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2.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3.xml" ContentType="application/vnd.openxmlformats-officedocument.spreadsheetml.comments+xml"/>
  <Override PartName="/xl/drawings/drawing16.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2"/>
  <workbookPr defaultThemeVersion="124226"/>
  <bookViews>
    <workbookView xWindow="-120" yWindow="-120" windowWidth="19320" windowHeight="7875" tabRatio="745" firstSheet="13" activeTab="20"/>
  </bookViews>
  <sheets>
    <sheet name="Base Receitas" sheetId="7" state="hidden" r:id="rId1"/>
    <sheet name="Orçamento 2020 " sheetId="16" state="hidden" r:id="rId2"/>
    <sheet name="Orçamento 2019" sheetId="19" state="hidden" r:id="rId3"/>
    <sheet name="Orçamento 2021" sheetId="22" state="hidden" r:id="rId4"/>
    <sheet name="Orçamento 2021 Médias" sheetId="27" state="hidden" r:id="rId5"/>
    <sheet name="Base Receitas 2021" sheetId="28" state="hidden" r:id="rId6"/>
    <sheet name="Orçamento 2022 - Metas" sheetId="26" state="hidden" r:id="rId7"/>
    <sheet name="19-01-Balancete" sheetId="11" state="hidden" r:id="rId8"/>
    <sheet name="Orçamento 2022 - Sintético" sheetId="30" state="hidden" r:id="rId9"/>
    <sheet name="Orçamento 2022 - Analítico" sheetId="48" r:id="rId10"/>
    <sheet name="Gerência Lucimara" sheetId="38" r:id="rId11"/>
    <sheet name="Diretor Dr. Newton" sheetId="42" r:id="rId12"/>
    <sheet name="Gerência Og. Pinotti" sheetId="40" r:id="rId13"/>
    <sheet name="Gerência Anderson" sheetId="41" r:id="rId14"/>
    <sheet name="Gerência Márcia" sheetId="49" r:id="rId15"/>
    <sheet name="Gerência Fernando" sheetId="39" r:id="rId16"/>
    <sheet name="Gerência Nívia" sheetId="43" r:id="rId17"/>
    <sheet name="Gerência Segato" sheetId="45" r:id="rId18"/>
    <sheet name="IEP" sheetId="44" state="hidden" r:id="rId19"/>
    <sheet name="Desvios_2022" sheetId="31" r:id="rId20"/>
    <sheet name="Acumulado_2022" sheetId="32" r:id="rId21"/>
  </sheets>
  <externalReferences>
    <externalReference r:id="rId22"/>
    <externalReference r:id="rId23"/>
  </externalReferences>
  <definedNames>
    <definedName name="_xlnm._FilterDatabase" localSheetId="7" hidden="1">'19-01-Balancete'!$A$1:$I$1682</definedName>
  </definedNames>
  <calcPr calcId="1445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T13" i="45" l="1"/>
  <c r="D41" i="48" l="1"/>
  <c r="C41" i="48"/>
  <c r="D45" i="48"/>
  <c r="C45" i="48"/>
  <c r="G27" i="48"/>
  <c r="C27" i="48"/>
  <c r="P27" i="48"/>
  <c r="L27" i="48"/>
  <c r="H27" i="48"/>
  <c r="D27" i="48"/>
  <c r="AA36" i="48"/>
  <c r="W36" i="48"/>
  <c r="S36" i="48"/>
  <c r="W35" i="48"/>
  <c r="T35" i="48"/>
  <c r="S35" i="48"/>
  <c r="P35" i="48"/>
  <c r="O35" i="48"/>
  <c r="L35" i="48"/>
  <c r="K35" i="48"/>
  <c r="H35" i="48"/>
  <c r="G35" i="48"/>
  <c r="C35" i="48"/>
  <c r="D35" i="48"/>
  <c r="D166" i="48"/>
  <c r="C150" i="48"/>
  <c r="D150" i="48"/>
  <c r="E164" i="48"/>
  <c r="C8" i="48" l="1"/>
  <c r="E41" i="48"/>
  <c r="H91" i="48"/>
  <c r="D264" i="48" l="1"/>
  <c r="M163" i="48" l="1"/>
  <c r="I163" i="48"/>
  <c r="E163" i="48"/>
  <c r="P282" i="48"/>
  <c r="F283" i="48"/>
  <c r="E283" i="48"/>
  <c r="D282" i="48"/>
  <c r="C282" i="48"/>
  <c r="D214" i="48"/>
  <c r="D191" i="48"/>
  <c r="D133" i="48"/>
  <c r="D91" i="48"/>
  <c r="D67" i="48"/>
  <c r="L269" i="48"/>
  <c r="H269" i="48"/>
  <c r="D269" i="48"/>
  <c r="E73" i="48"/>
  <c r="Y73" i="48"/>
  <c r="Z73" i="48"/>
  <c r="U73" i="48"/>
  <c r="V73" i="48"/>
  <c r="Q73" i="48"/>
  <c r="R73" i="48"/>
  <c r="F73" i="48"/>
  <c r="G73" i="48"/>
  <c r="K73" i="48" s="1"/>
  <c r="M73" i="48" s="1"/>
  <c r="C166" i="48"/>
  <c r="AV269" i="48"/>
  <c r="AU269" i="48"/>
  <c r="AR269" i="48"/>
  <c r="AQ269" i="48"/>
  <c r="AN269" i="48"/>
  <c r="AM269" i="48"/>
  <c r="AJ269" i="48"/>
  <c r="AI269" i="48"/>
  <c r="AF269" i="48"/>
  <c r="AE269" i="48"/>
  <c r="AB269" i="48"/>
  <c r="AA269" i="48"/>
  <c r="X269" i="48"/>
  <c r="W269" i="48"/>
  <c r="T269" i="48"/>
  <c r="S269" i="48"/>
  <c r="P269" i="48"/>
  <c r="O269" i="48"/>
  <c r="K269" i="48"/>
  <c r="G269" i="48"/>
  <c r="C269" i="48"/>
  <c r="BX42" i="42"/>
  <c r="P50" i="42"/>
  <c r="O50" i="42"/>
  <c r="K50" i="42"/>
  <c r="E50" i="42"/>
  <c r="P49" i="42"/>
  <c r="BX49" i="42" s="1"/>
  <c r="O49" i="42"/>
  <c r="U49" i="42" s="1"/>
  <c r="AA49" i="42" s="1"/>
  <c r="AG49" i="42" s="1"/>
  <c r="AM49" i="42" s="1"/>
  <c r="AS49" i="42" s="1"/>
  <c r="AY49" i="42" s="1"/>
  <c r="BE49" i="42" s="1"/>
  <c r="BK49" i="42" s="1"/>
  <c r="BQ49" i="42" s="1"/>
  <c r="BS49" i="42" s="1"/>
  <c r="K49" i="42"/>
  <c r="E49" i="42"/>
  <c r="P48" i="42"/>
  <c r="O48" i="42"/>
  <c r="K48" i="42"/>
  <c r="E48" i="42"/>
  <c r="P47" i="42"/>
  <c r="O47" i="42"/>
  <c r="L47" i="42"/>
  <c r="K47" i="42"/>
  <c r="F47" i="42"/>
  <c r="E47" i="42"/>
  <c r="P46" i="42"/>
  <c r="BX46" i="42" s="1"/>
  <c r="O46" i="42"/>
  <c r="U46" i="42" s="1"/>
  <c r="X46" i="42" s="1"/>
  <c r="L46" i="42"/>
  <c r="K46" i="42"/>
  <c r="F46" i="42"/>
  <c r="E46" i="42"/>
  <c r="P45" i="42"/>
  <c r="BX45" i="42" s="1"/>
  <c r="O45" i="42"/>
  <c r="U45" i="42" s="1"/>
  <c r="X45" i="42" s="1"/>
  <c r="L45" i="42"/>
  <c r="K45" i="42"/>
  <c r="F45" i="42"/>
  <c r="E45" i="42"/>
  <c r="P44" i="42"/>
  <c r="O44" i="42"/>
  <c r="L44" i="42"/>
  <c r="K44" i="42"/>
  <c r="F44" i="42"/>
  <c r="E44" i="42"/>
  <c r="P43" i="42"/>
  <c r="O43" i="42"/>
  <c r="U43" i="42" s="1"/>
  <c r="X43" i="42" s="1"/>
  <c r="L43" i="42"/>
  <c r="K43" i="42"/>
  <c r="F43" i="42"/>
  <c r="E43" i="42"/>
  <c r="O42" i="42"/>
  <c r="R42" i="42" s="1"/>
  <c r="L42" i="42"/>
  <c r="K42" i="42"/>
  <c r="F42" i="42"/>
  <c r="E42" i="42"/>
  <c r="P41" i="42"/>
  <c r="BX41" i="42" s="1"/>
  <c r="O41" i="42"/>
  <c r="U41" i="42" s="1"/>
  <c r="L41" i="42"/>
  <c r="K41" i="42"/>
  <c r="F41" i="42"/>
  <c r="E41" i="42"/>
  <c r="P40" i="42"/>
  <c r="O40" i="42"/>
  <c r="K40" i="42"/>
  <c r="E40" i="42"/>
  <c r="P39" i="42"/>
  <c r="BX39" i="42" s="1"/>
  <c r="O39" i="42"/>
  <c r="U39" i="42" s="1"/>
  <c r="L39" i="42"/>
  <c r="K39" i="42"/>
  <c r="F39" i="42"/>
  <c r="E39" i="42"/>
  <c r="P38" i="42"/>
  <c r="O38" i="42"/>
  <c r="U38" i="42" s="1"/>
  <c r="X38" i="42" s="1"/>
  <c r="L38" i="42"/>
  <c r="K38" i="42"/>
  <c r="F38" i="42"/>
  <c r="E38" i="42"/>
  <c r="P37" i="42"/>
  <c r="O37" i="42"/>
  <c r="L37" i="42"/>
  <c r="K37" i="42"/>
  <c r="F37" i="42"/>
  <c r="E37" i="42"/>
  <c r="P36" i="42"/>
  <c r="O36" i="42"/>
  <c r="U36" i="42" s="1"/>
  <c r="X36" i="42" s="1"/>
  <c r="L36" i="42"/>
  <c r="K36" i="42"/>
  <c r="F36" i="42"/>
  <c r="E36" i="42"/>
  <c r="P35" i="42"/>
  <c r="BX35" i="42" s="1"/>
  <c r="O35" i="42"/>
  <c r="U35" i="42" s="1"/>
  <c r="L35" i="42"/>
  <c r="K35" i="42"/>
  <c r="F35" i="42"/>
  <c r="E35" i="42"/>
  <c r="P34" i="42"/>
  <c r="O34" i="42"/>
  <c r="L34" i="42"/>
  <c r="K34" i="42"/>
  <c r="F34" i="42"/>
  <c r="E34" i="42"/>
  <c r="P33" i="42"/>
  <c r="O33" i="42"/>
  <c r="U33" i="42" s="1"/>
  <c r="X33" i="42" s="1"/>
  <c r="L33" i="42"/>
  <c r="K33" i="42"/>
  <c r="F33" i="42"/>
  <c r="E33" i="42"/>
  <c r="P32" i="42"/>
  <c r="BX32" i="42" s="1"/>
  <c r="O32" i="42"/>
  <c r="U32" i="42" s="1"/>
  <c r="L32" i="42"/>
  <c r="K32" i="42"/>
  <c r="F32" i="42"/>
  <c r="E32" i="42"/>
  <c r="P31" i="42"/>
  <c r="O31" i="42"/>
  <c r="U31" i="42" s="1"/>
  <c r="X31" i="42" s="1"/>
  <c r="L31" i="42"/>
  <c r="K31" i="42"/>
  <c r="F31" i="42"/>
  <c r="E31" i="42"/>
  <c r="P30" i="42"/>
  <c r="O30" i="42"/>
  <c r="L30" i="42"/>
  <c r="K30" i="42"/>
  <c r="F30" i="42"/>
  <c r="E30" i="42"/>
  <c r="P29" i="42"/>
  <c r="BX29" i="42" s="1"/>
  <c r="O29" i="42"/>
  <c r="U29" i="42" s="1"/>
  <c r="X29" i="42" s="1"/>
  <c r="L29" i="42"/>
  <c r="K29" i="42"/>
  <c r="F29" i="42"/>
  <c r="E29" i="42"/>
  <c r="P28" i="42"/>
  <c r="BX28" i="42" s="1"/>
  <c r="O28" i="42"/>
  <c r="U28" i="42" s="1"/>
  <c r="X28" i="42" s="1"/>
  <c r="L28" i="42"/>
  <c r="K28" i="42"/>
  <c r="F28" i="42"/>
  <c r="E28" i="42"/>
  <c r="P27" i="42"/>
  <c r="O27" i="42"/>
  <c r="U27" i="42" s="1"/>
  <c r="L27" i="42"/>
  <c r="K27" i="42"/>
  <c r="F27" i="42"/>
  <c r="E27" i="42"/>
  <c r="P26" i="42"/>
  <c r="BX26" i="42" s="1"/>
  <c r="P25" i="42"/>
  <c r="BX25" i="42" s="1"/>
  <c r="O25" i="42"/>
  <c r="U25" i="42" s="1"/>
  <c r="X25" i="42" s="1"/>
  <c r="L25" i="42"/>
  <c r="K25" i="42"/>
  <c r="F25" i="42"/>
  <c r="E25" i="42"/>
  <c r="P24" i="42"/>
  <c r="BX24" i="42" s="1"/>
  <c r="O24" i="42"/>
  <c r="U24" i="42" s="1"/>
  <c r="L24" i="42"/>
  <c r="K24" i="42"/>
  <c r="F24" i="42"/>
  <c r="E24" i="42"/>
  <c r="P23" i="42"/>
  <c r="O23" i="42"/>
  <c r="U23" i="42" s="1"/>
  <c r="AA23" i="42" s="1"/>
  <c r="L23" i="42"/>
  <c r="K23" i="42"/>
  <c r="F23" i="42"/>
  <c r="E23" i="42"/>
  <c r="P22" i="42"/>
  <c r="O22" i="42"/>
  <c r="L22" i="42"/>
  <c r="K22" i="42"/>
  <c r="F22" i="42"/>
  <c r="E22" i="42"/>
  <c r="P21" i="42"/>
  <c r="O21" i="42"/>
  <c r="L21" i="42"/>
  <c r="K21" i="42"/>
  <c r="F21" i="42"/>
  <c r="E21" i="42"/>
  <c r="P20" i="42"/>
  <c r="O20" i="42"/>
  <c r="U20" i="42" s="1"/>
  <c r="X20" i="42" s="1"/>
  <c r="L20" i="42"/>
  <c r="K20" i="42"/>
  <c r="F20" i="42"/>
  <c r="E20" i="42"/>
  <c r="P19" i="42"/>
  <c r="BX19" i="42" s="1"/>
  <c r="O19" i="42"/>
  <c r="U19" i="42" s="1"/>
  <c r="L19" i="42"/>
  <c r="K19" i="42"/>
  <c r="F19" i="42"/>
  <c r="E19" i="42"/>
  <c r="P18" i="42"/>
  <c r="O18" i="42"/>
  <c r="U18" i="42" s="1"/>
  <c r="X18" i="42" s="1"/>
  <c r="L18" i="42"/>
  <c r="K18" i="42"/>
  <c r="F18" i="42"/>
  <c r="E18" i="42"/>
  <c r="P17" i="42"/>
  <c r="O17" i="42"/>
  <c r="L17" i="42"/>
  <c r="K17" i="42"/>
  <c r="F17" i="42"/>
  <c r="E17" i="42"/>
  <c r="P16" i="42"/>
  <c r="O16" i="42"/>
  <c r="U16" i="42" s="1"/>
  <c r="X16" i="42" s="1"/>
  <c r="L16" i="42"/>
  <c r="K16" i="42"/>
  <c r="F16" i="42"/>
  <c r="E16" i="42"/>
  <c r="P15" i="42"/>
  <c r="BX15" i="42" s="1"/>
  <c r="O15" i="42"/>
  <c r="U15" i="42" s="1"/>
  <c r="L15" i="42"/>
  <c r="K15" i="42"/>
  <c r="F15" i="42"/>
  <c r="E15" i="42"/>
  <c r="P14" i="42"/>
  <c r="O14" i="42"/>
  <c r="U14" i="42" s="1"/>
  <c r="X14" i="42" s="1"/>
  <c r="L14" i="42"/>
  <c r="K14" i="42"/>
  <c r="F14" i="42"/>
  <c r="E14" i="42"/>
  <c r="P13" i="42"/>
  <c r="O13" i="42"/>
  <c r="L13" i="42"/>
  <c r="K13" i="42"/>
  <c r="F13" i="42"/>
  <c r="E13" i="42"/>
  <c r="P12" i="42"/>
  <c r="O12" i="42"/>
  <c r="U12" i="42" s="1"/>
  <c r="X12" i="42" s="1"/>
  <c r="L12" i="42"/>
  <c r="K12" i="42"/>
  <c r="F12" i="42"/>
  <c r="E12" i="42"/>
  <c r="P11" i="42"/>
  <c r="BX11" i="42" s="1"/>
  <c r="O11" i="42"/>
  <c r="U11" i="42" s="1"/>
  <c r="L11" i="42"/>
  <c r="K11" i="42"/>
  <c r="F11" i="42"/>
  <c r="E11" i="42"/>
  <c r="P10" i="42"/>
  <c r="O10" i="42"/>
  <c r="U10" i="42" s="1"/>
  <c r="X10" i="42" s="1"/>
  <c r="L10" i="42"/>
  <c r="K10" i="42"/>
  <c r="F10" i="42"/>
  <c r="E10" i="42"/>
  <c r="P9" i="42"/>
  <c r="O9" i="42"/>
  <c r="L9" i="42"/>
  <c r="K9" i="42"/>
  <c r="F9" i="42"/>
  <c r="E9" i="42"/>
  <c r="P8" i="42"/>
  <c r="O8" i="42"/>
  <c r="U8" i="42" s="1"/>
  <c r="W8" i="42" s="1"/>
  <c r="L8" i="42"/>
  <c r="K8" i="42"/>
  <c r="F8" i="42"/>
  <c r="E8" i="42"/>
  <c r="BR7" i="42"/>
  <c r="BL7" i="42"/>
  <c r="BF7" i="42"/>
  <c r="AZ7" i="42"/>
  <c r="AT7" i="42"/>
  <c r="AN7" i="42"/>
  <c r="AH7" i="42"/>
  <c r="AB7" i="42"/>
  <c r="V7" i="42"/>
  <c r="J7" i="42"/>
  <c r="I7" i="42"/>
  <c r="L7" i="42" s="1"/>
  <c r="D7" i="42"/>
  <c r="C7" i="42"/>
  <c r="F282" i="48" l="1"/>
  <c r="E282" i="48"/>
  <c r="AY73" i="48"/>
  <c r="J73" i="48"/>
  <c r="I73" i="48"/>
  <c r="N73" i="48"/>
  <c r="AT269" i="48"/>
  <c r="Q269" i="48"/>
  <c r="Z269" i="48"/>
  <c r="AG269" i="48"/>
  <c r="N269" i="48"/>
  <c r="M269" i="48"/>
  <c r="AD269" i="48"/>
  <c r="AP269" i="48"/>
  <c r="AX269" i="48"/>
  <c r="AC269" i="48"/>
  <c r="J269" i="48"/>
  <c r="V269" i="48"/>
  <c r="Y269" i="48"/>
  <c r="AL269" i="48"/>
  <c r="AO269" i="48"/>
  <c r="R269" i="48"/>
  <c r="U269" i="48"/>
  <c r="AH269" i="48"/>
  <c r="AK269" i="48"/>
  <c r="AY269" i="48"/>
  <c r="AW269" i="48"/>
  <c r="AS269" i="48"/>
  <c r="I269" i="48"/>
  <c r="AZ269" i="48"/>
  <c r="E269" i="48"/>
  <c r="F269" i="48"/>
  <c r="R9" i="42"/>
  <c r="R30" i="42"/>
  <c r="Q33" i="42"/>
  <c r="Q36" i="42"/>
  <c r="Q38" i="42"/>
  <c r="Q40" i="42"/>
  <c r="Q42" i="42"/>
  <c r="Q43" i="42"/>
  <c r="R44" i="42"/>
  <c r="Q48" i="42"/>
  <c r="Q50" i="42"/>
  <c r="R13" i="42"/>
  <c r="R17" i="42"/>
  <c r="R21" i="42"/>
  <c r="Q23" i="42"/>
  <c r="Q22" i="42"/>
  <c r="Q37" i="42"/>
  <c r="Q34" i="42"/>
  <c r="W12" i="42"/>
  <c r="W16" i="42"/>
  <c r="W20" i="42"/>
  <c r="E7" i="42"/>
  <c r="K7" i="42"/>
  <c r="Q8" i="42"/>
  <c r="U9" i="42"/>
  <c r="Q10" i="42"/>
  <c r="Q12" i="42"/>
  <c r="U13" i="42"/>
  <c r="W13" i="42" s="1"/>
  <c r="Q14" i="42"/>
  <c r="Q16" i="42"/>
  <c r="U17" i="42"/>
  <c r="Q18" i="42"/>
  <c r="Q20" i="42"/>
  <c r="U21" i="42"/>
  <c r="W21" i="42" s="1"/>
  <c r="R22" i="42"/>
  <c r="Q27" i="42"/>
  <c r="U30" i="42"/>
  <c r="W30" i="42" s="1"/>
  <c r="Q31" i="42"/>
  <c r="W33" i="42"/>
  <c r="R34" i="42"/>
  <c r="W36" i="42"/>
  <c r="R37" i="42"/>
  <c r="U40" i="42"/>
  <c r="U42" i="42"/>
  <c r="X42" i="42" s="1"/>
  <c r="W43" i="42"/>
  <c r="U47" i="42"/>
  <c r="AA47" i="42" s="1"/>
  <c r="W49" i="42"/>
  <c r="AU49" i="42"/>
  <c r="BW49" i="42"/>
  <c r="U22" i="42"/>
  <c r="X22" i="42" s="1"/>
  <c r="W25" i="42"/>
  <c r="R27" i="42"/>
  <c r="W29" i="42"/>
  <c r="R31" i="42"/>
  <c r="U34" i="42"/>
  <c r="W34" i="42" s="1"/>
  <c r="U37" i="42"/>
  <c r="W37" i="42" s="1"/>
  <c r="U44" i="42"/>
  <c r="W44" i="42" s="1"/>
  <c r="W46" i="42"/>
  <c r="R47" i="42"/>
  <c r="U48" i="42"/>
  <c r="AA48" i="42" s="1"/>
  <c r="AI49" i="42"/>
  <c r="BG49" i="42"/>
  <c r="U50" i="42"/>
  <c r="R10" i="42"/>
  <c r="Q13" i="42"/>
  <c r="Q17" i="42"/>
  <c r="Q47" i="42"/>
  <c r="R18" i="42"/>
  <c r="Q21" i="42"/>
  <c r="R23" i="42"/>
  <c r="BX8" i="42"/>
  <c r="BX9" i="42"/>
  <c r="BX10" i="42"/>
  <c r="BX12" i="42"/>
  <c r="BX13" i="42"/>
  <c r="BX14" i="42"/>
  <c r="BX16" i="42"/>
  <c r="BX17" i="42"/>
  <c r="BX18" i="42"/>
  <c r="BX20" i="42"/>
  <c r="BX21" i="42"/>
  <c r="BX22" i="42"/>
  <c r="BX23" i="42"/>
  <c r="R14" i="42"/>
  <c r="Q30" i="42"/>
  <c r="R38" i="42"/>
  <c r="Q44" i="42"/>
  <c r="BX27" i="42"/>
  <c r="BX30" i="42"/>
  <c r="BX31" i="42"/>
  <c r="BX33" i="42"/>
  <c r="BX34" i="42"/>
  <c r="BX36" i="42"/>
  <c r="BX37" i="42"/>
  <c r="BX38" i="42"/>
  <c r="BX40" i="42"/>
  <c r="BX43" i="42"/>
  <c r="BX44" i="42"/>
  <c r="BX47" i="42"/>
  <c r="BX48" i="42"/>
  <c r="BX50" i="42"/>
  <c r="AA19" i="42"/>
  <c r="W19" i="42"/>
  <c r="X19" i="42"/>
  <c r="AA11" i="42"/>
  <c r="W11" i="42"/>
  <c r="X11" i="42"/>
  <c r="AA15" i="42"/>
  <c r="W15" i="42"/>
  <c r="X15" i="42"/>
  <c r="W9" i="42"/>
  <c r="AA10" i="42"/>
  <c r="Q11" i="42"/>
  <c r="AA13" i="42"/>
  <c r="AA14" i="42"/>
  <c r="Q15" i="42"/>
  <c r="W17" i="42"/>
  <c r="AA18" i="42"/>
  <c r="Q19" i="42"/>
  <c r="Q29" i="42"/>
  <c r="R29" i="42"/>
  <c r="AA32" i="42"/>
  <c r="W32" i="42"/>
  <c r="X32" i="42"/>
  <c r="AA21" i="42"/>
  <c r="AA22" i="42"/>
  <c r="AG23" i="42"/>
  <c r="AC23" i="42"/>
  <c r="AD23" i="42"/>
  <c r="AA24" i="42"/>
  <c r="W24" i="42"/>
  <c r="Q24" i="42"/>
  <c r="X27" i="42"/>
  <c r="W27" i="42"/>
  <c r="F7" i="42"/>
  <c r="P7" i="42"/>
  <c r="BX7" i="42" s="1"/>
  <c r="X8" i="42"/>
  <c r="R8" i="42"/>
  <c r="AA8" i="42"/>
  <c r="O7" i="42"/>
  <c r="Q9" i="42"/>
  <c r="W10" i="42"/>
  <c r="R11" i="42"/>
  <c r="R12" i="42"/>
  <c r="AA12" i="42"/>
  <c r="X13" i="42"/>
  <c r="W14" i="42"/>
  <c r="R15" i="42"/>
  <c r="R16" i="42"/>
  <c r="AA16" i="42"/>
  <c r="W18" i="42"/>
  <c r="R19" i="42"/>
  <c r="R20" i="42"/>
  <c r="AA20" i="42"/>
  <c r="X23" i="42"/>
  <c r="W23" i="42"/>
  <c r="X24" i="42"/>
  <c r="Q25" i="42"/>
  <c r="R25" i="42"/>
  <c r="AA27" i="42"/>
  <c r="AA28" i="42"/>
  <c r="W28" i="42"/>
  <c r="Q28" i="42"/>
  <c r="AA31" i="42"/>
  <c r="Q32" i="42"/>
  <c r="AA34" i="42"/>
  <c r="AA35" i="42"/>
  <c r="W35" i="42"/>
  <c r="X35" i="42"/>
  <c r="R24" i="42"/>
  <c r="AA25" i="42"/>
  <c r="R28" i="42"/>
  <c r="AA29" i="42"/>
  <c r="W31" i="42"/>
  <c r="R32" i="42"/>
  <c r="R33" i="42"/>
  <c r="AA33" i="42"/>
  <c r="AA39" i="42"/>
  <c r="W39" i="42"/>
  <c r="X39" i="42"/>
  <c r="AA41" i="42"/>
  <c r="W41" i="42"/>
  <c r="X41" i="42"/>
  <c r="Q35" i="42"/>
  <c r="AA38" i="42"/>
  <c r="Q39" i="42"/>
  <c r="Q41" i="42"/>
  <c r="X44" i="42"/>
  <c r="Q46" i="42"/>
  <c r="R46" i="42"/>
  <c r="W47" i="42"/>
  <c r="R35" i="42"/>
  <c r="R36" i="42"/>
  <c r="AA36" i="42"/>
  <c r="W38" i="42"/>
  <c r="R39" i="42"/>
  <c r="R41" i="42"/>
  <c r="AA42" i="42"/>
  <c r="R43" i="42"/>
  <c r="AA43" i="42"/>
  <c r="AA44" i="42"/>
  <c r="AA45" i="42"/>
  <c r="W45" i="42"/>
  <c r="Q45" i="42"/>
  <c r="W48" i="42"/>
  <c r="R45" i="42"/>
  <c r="AA46" i="42"/>
  <c r="Q49" i="42"/>
  <c r="AC49" i="42"/>
  <c r="AO49" i="42"/>
  <c r="BA49" i="42"/>
  <c r="BM49" i="42"/>
  <c r="BX39" i="49"/>
  <c r="AG39" i="49"/>
  <c r="AJ39" i="49" s="1"/>
  <c r="AD39" i="49"/>
  <c r="AC39" i="49"/>
  <c r="I39" i="49"/>
  <c r="F39" i="49"/>
  <c r="E39" i="49"/>
  <c r="BX38" i="49"/>
  <c r="I38" i="49"/>
  <c r="L38" i="49" s="1"/>
  <c r="F38" i="49"/>
  <c r="E38" i="49"/>
  <c r="BX37" i="49"/>
  <c r="BT37" i="49"/>
  <c r="BS37" i="49"/>
  <c r="BN37" i="49"/>
  <c r="BM37" i="49"/>
  <c r="AG37" i="49"/>
  <c r="AD37" i="49"/>
  <c r="AC37" i="49"/>
  <c r="I37" i="49"/>
  <c r="K37" i="49" s="1"/>
  <c r="F37" i="49"/>
  <c r="E37" i="49"/>
  <c r="BX36" i="49"/>
  <c r="L36" i="49"/>
  <c r="I36" i="49"/>
  <c r="F36" i="49"/>
  <c r="E36" i="49"/>
  <c r="BX35" i="49"/>
  <c r="AI35" i="49"/>
  <c r="AG35" i="49"/>
  <c r="AJ35" i="49" s="1"/>
  <c r="AD35" i="49"/>
  <c r="AC35" i="49"/>
  <c r="I35" i="49"/>
  <c r="L35" i="49" s="1"/>
  <c r="F35" i="49"/>
  <c r="E35" i="49"/>
  <c r="BX34" i="49"/>
  <c r="BW34" i="49"/>
  <c r="BT34" i="49"/>
  <c r="BS34" i="49"/>
  <c r="BN34" i="49"/>
  <c r="BM34" i="49"/>
  <c r="BH34" i="49"/>
  <c r="BG34" i="49"/>
  <c r="BB34" i="49"/>
  <c r="BA34" i="49"/>
  <c r="AV34" i="49"/>
  <c r="AU34" i="49"/>
  <c r="AP34" i="49"/>
  <c r="AO34" i="49"/>
  <c r="AJ34" i="49"/>
  <c r="AI34" i="49"/>
  <c r="AD34" i="49"/>
  <c r="AC34" i="49"/>
  <c r="X34" i="49"/>
  <c r="W34" i="49"/>
  <c r="Q34" i="49"/>
  <c r="L34" i="49"/>
  <c r="K34" i="49"/>
  <c r="F34" i="49"/>
  <c r="E34" i="49"/>
  <c r="BX32" i="49"/>
  <c r="AG32" i="49"/>
  <c r="AD32" i="49"/>
  <c r="AC32" i="49"/>
  <c r="I32" i="49"/>
  <c r="F32" i="49"/>
  <c r="E32" i="49"/>
  <c r="BX30" i="49"/>
  <c r="BQ30" i="49"/>
  <c r="BT30" i="49" s="1"/>
  <c r="BN30" i="49"/>
  <c r="BM30" i="49"/>
  <c r="AG30" i="49"/>
  <c r="AD30" i="49"/>
  <c r="AC30" i="49"/>
  <c r="K30" i="49"/>
  <c r="I30" i="49"/>
  <c r="L30" i="49" s="1"/>
  <c r="F30" i="49"/>
  <c r="E30" i="49"/>
  <c r="BX29" i="49"/>
  <c r="AG29" i="49"/>
  <c r="AJ29" i="49" s="1"/>
  <c r="AD29" i="49"/>
  <c r="AC29" i="49"/>
  <c r="K29" i="49"/>
  <c r="I29" i="49"/>
  <c r="O29" i="49" s="1"/>
  <c r="F29" i="49"/>
  <c r="E29" i="49"/>
  <c r="BX28" i="49"/>
  <c r="AG28" i="49"/>
  <c r="AD28" i="49"/>
  <c r="AC28" i="49"/>
  <c r="K28" i="49"/>
  <c r="I28" i="49"/>
  <c r="O28" i="49" s="1"/>
  <c r="R28" i="49" s="1"/>
  <c r="F28" i="49"/>
  <c r="E28" i="49"/>
  <c r="BX27" i="49"/>
  <c r="AG27" i="49"/>
  <c r="AJ27" i="49" s="1"/>
  <c r="AD27" i="49"/>
  <c r="AC27" i="49"/>
  <c r="K27" i="49"/>
  <c r="I27" i="49"/>
  <c r="O27" i="49" s="1"/>
  <c r="F27" i="49"/>
  <c r="E27" i="49"/>
  <c r="BX26" i="49"/>
  <c r="AG26" i="49"/>
  <c r="AD26" i="49"/>
  <c r="AC26" i="49"/>
  <c r="K26" i="49"/>
  <c r="I26" i="49"/>
  <c r="O26" i="49" s="1"/>
  <c r="R26" i="49" s="1"/>
  <c r="F26" i="49"/>
  <c r="E26" i="49"/>
  <c r="BX25" i="49"/>
  <c r="I25" i="49"/>
  <c r="L25" i="49" s="1"/>
  <c r="F25" i="49"/>
  <c r="E25" i="49"/>
  <c r="BX23" i="49"/>
  <c r="BS23" i="49"/>
  <c r="BQ23" i="49"/>
  <c r="BT23" i="49" s="1"/>
  <c r="BN23" i="49"/>
  <c r="BM23" i="49"/>
  <c r="AG23" i="49"/>
  <c r="AJ23" i="49" s="1"/>
  <c r="AD23" i="49"/>
  <c r="AC23" i="49"/>
  <c r="I23" i="49"/>
  <c r="L23" i="49" s="1"/>
  <c r="F23" i="49"/>
  <c r="E23" i="49"/>
  <c r="BX21" i="49"/>
  <c r="BW21" i="49"/>
  <c r="BT21" i="49"/>
  <c r="BS21" i="49"/>
  <c r="BN21" i="49"/>
  <c r="BM21" i="49"/>
  <c r="BH21" i="49"/>
  <c r="BG21" i="49"/>
  <c r="BB21" i="49"/>
  <c r="BA21" i="49"/>
  <c r="AV21" i="49"/>
  <c r="AU21" i="49"/>
  <c r="AP21" i="49"/>
  <c r="AO21" i="49"/>
  <c r="AJ21" i="49"/>
  <c r="AI21" i="49"/>
  <c r="AD21" i="49"/>
  <c r="AC21" i="49"/>
  <c r="X21" i="49"/>
  <c r="W21" i="49"/>
  <c r="R21" i="49"/>
  <c r="Q21" i="49"/>
  <c r="L21" i="49"/>
  <c r="K21" i="49"/>
  <c r="F21" i="49"/>
  <c r="E21" i="49"/>
  <c r="BX17" i="49"/>
  <c r="AG17" i="49"/>
  <c r="AD17" i="49"/>
  <c r="AC17" i="49"/>
  <c r="I17" i="49"/>
  <c r="K17" i="49" s="1"/>
  <c r="F17" i="49"/>
  <c r="E17" i="49"/>
  <c r="BX16" i="49"/>
  <c r="AG16" i="49"/>
  <c r="AM16" i="49" s="1"/>
  <c r="AP16" i="49" s="1"/>
  <c r="AD16" i="49"/>
  <c r="AC16" i="49"/>
  <c r="I16" i="49"/>
  <c r="O16" i="49" s="1"/>
  <c r="U16" i="49" s="1"/>
  <c r="F16" i="49"/>
  <c r="E16" i="49"/>
  <c r="BX14" i="49"/>
  <c r="I14" i="49"/>
  <c r="F14" i="49"/>
  <c r="E14" i="49"/>
  <c r="BX13" i="49"/>
  <c r="AI13" i="49"/>
  <c r="AG13" i="49"/>
  <c r="AJ13" i="49" s="1"/>
  <c r="AD13" i="49"/>
  <c r="AC13" i="49"/>
  <c r="I13" i="49"/>
  <c r="O13" i="49" s="1"/>
  <c r="F13" i="49"/>
  <c r="E13" i="49"/>
  <c r="BX10" i="49"/>
  <c r="AG10" i="49"/>
  <c r="AJ10" i="49" s="1"/>
  <c r="AD10" i="49"/>
  <c r="AC10" i="49"/>
  <c r="I10" i="49"/>
  <c r="O10" i="49" s="1"/>
  <c r="F10" i="49"/>
  <c r="E10" i="49"/>
  <c r="BX9" i="49"/>
  <c r="AI9" i="49"/>
  <c r="AG9" i="49"/>
  <c r="AJ9" i="49" s="1"/>
  <c r="AD9" i="49"/>
  <c r="AC9" i="49"/>
  <c r="I9" i="49"/>
  <c r="O9" i="49" s="1"/>
  <c r="F9" i="49"/>
  <c r="E9" i="49"/>
  <c r="BX8" i="49"/>
  <c r="I8" i="49"/>
  <c r="L8" i="49" s="1"/>
  <c r="F8" i="49"/>
  <c r="E8" i="49"/>
  <c r="BR7" i="49"/>
  <c r="BL7" i="49"/>
  <c r="BF7" i="49"/>
  <c r="AZ7" i="49"/>
  <c r="AT7" i="49"/>
  <c r="AN7" i="49"/>
  <c r="AH7" i="49"/>
  <c r="AB7" i="49"/>
  <c r="V7" i="49"/>
  <c r="P7" i="49"/>
  <c r="J7" i="49"/>
  <c r="D7" i="49"/>
  <c r="C7" i="49"/>
  <c r="E7" i="49" l="1"/>
  <c r="K16" i="49"/>
  <c r="O8" i="49"/>
  <c r="U8" i="49" s="1"/>
  <c r="AM10" i="49"/>
  <c r="AS10" i="49" s="1"/>
  <c r="AY10" i="49" s="1"/>
  <c r="O17" i="49"/>
  <c r="R17" i="49" s="1"/>
  <c r="O23" i="49"/>
  <c r="U23" i="49" s="1"/>
  <c r="O37" i="49"/>
  <c r="R37" i="49" s="1"/>
  <c r="O38" i="49"/>
  <c r="R38" i="49" s="1"/>
  <c r="AM39" i="49"/>
  <c r="AP39" i="49" s="1"/>
  <c r="K8" i="49"/>
  <c r="AM9" i="49"/>
  <c r="AS9" i="49" s="1"/>
  <c r="AI10" i="49"/>
  <c r="AM13" i="49"/>
  <c r="AS13" i="49" s="1"/>
  <c r="K23" i="49"/>
  <c r="O30" i="49"/>
  <c r="R30" i="49" s="1"/>
  <c r="BS30" i="49"/>
  <c r="AM35" i="49"/>
  <c r="K38" i="49"/>
  <c r="AI39" i="49"/>
  <c r="X34" i="42"/>
  <c r="AA30" i="42"/>
  <c r="W42" i="42"/>
  <c r="X47" i="42"/>
  <c r="AA37" i="42"/>
  <c r="AD37" i="42" s="1"/>
  <c r="X21" i="42"/>
  <c r="U7" i="42"/>
  <c r="X7" i="42" s="1"/>
  <c r="W40" i="42"/>
  <c r="AA40" i="42"/>
  <c r="X37" i="42"/>
  <c r="X30" i="42"/>
  <c r="X17" i="42"/>
  <c r="X9" i="42"/>
  <c r="W22" i="42"/>
  <c r="AA17" i="42"/>
  <c r="AA7" i="42" s="1"/>
  <c r="AA9" i="42"/>
  <c r="W50" i="42"/>
  <c r="AA50" i="42"/>
  <c r="AG46" i="42"/>
  <c r="AC46" i="42"/>
  <c r="AD46" i="42"/>
  <c r="AC48" i="42"/>
  <c r="AG48" i="42"/>
  <c r="AD45" i="42"/>
  <c r="AC45" i="42"/>
  <c r="AG45" i="42"/>
  <c r="AG43" i="42"/>
  <c r="AC43" i="42"/>
  <c r="AD43" i="42"/>
  <c r="AD47" i="42"/>
  <c r="AG47" i="42"/>
  <c r="AC47" i="42"/>
  <c r="AD39" i="42"/>
  <c r="AC39" i="42"/>
  <c r="AG39" i="42"/>
  <c r="AG33" i="42"/>
  <c r="AC33" i="42"/>
  <c r="AD33" i="42"/>
  <c r="AD28" i="42"/>
  <c r="AC28" i="42"/>
  <c r="AG28" i="42"/>
  <c r="AG20" i="42"/>
  <c r="AC20" i="42"/>
  <c r="AD20" i="42"/>
  <c r="AG12" i="42"/>
  <c r="AC12" i="42"/>
  <c r="AD12" i="42"/>
  <c r="Q7" i="42"/>
  <c r="R7" i="42"/>
  <c r="AD24" i="42"/>
  <c r="AC24" i="42"/>
  <c r="AG24" i="42"/>
  <c r="AD22" i="42"/>
  <c r="AG22" i="42"/>
  <c r="AC22" i="42"/>
  <c r="AD21" i="42"/>
  <c r="AG21" i="42"/>
  <c r="AC21" i="42"/>
  <c r="AD15" i="42"/>
  <c r="AC15" i="42"/>
  <c r="AG15" i="42"/>
  <c r="AG44" i="42"/>
  <c r="AC44" i="42"/>
  <c r="AD44" i="42"/>
  <c r="AD42" i="42"/>
  <c r="AC42" i="42"/>
  <c r="AG42" i="42"/>
  <c r="AG36" i="42"/>
  <c r="AC36" i="42"/>
  <c r="AD36" i="42"/>
  <c r="AG38" i="42"/>
  <c r="AC38" i="42"/>
  <c r="AD38" i="42"/>
  <c r="AD41" i="42"/>
  <c r="AC41" i="42"/>
  <c r="AG41" i="42"/>
  <c r="AG29" i="42"/>
  <c r="AC29" i="42"/>
  <c r="AD29" i="42"/>
  <c r="AG25" i="42"/>
  <c r="AC25" i="42"/>
  <c r="AD25" i="42"/>
  <c r="AD35" i="42"/>
  <c r="AC35" i="42"/>
  <c r="AG35" i="42"/>
  <c r="AD34" i="42"/>
  <c r="AG34" i="42"/>
  <c r="AC34" i="42"/>
  <c r="AG31" i="42"/>
  <c r="AC31" i="42"/>
  <c r="AD31" i="42"/>
  <c r="AD30" i="42"/>
  <c r="AG30" i="42"/>
  <c r="AC30" i="42"/>
  <c r="AG27" i="42"/>
  <c r="AC27" i="42"/>
  <c r="AD27" i="42"/>
  <c r="AG16" i="42"/>
  <c r="AC16" i="42"/>
  <c r="AD16" i="42"/>
  <c r="AG8" i="42"/>
  <c r="AC8" i="42"/>
  <c r="AD8" i="42"/>
  <c r="AJ23" i="42"/>
  <c r="AM23" i="42"/>
  <c r="AI23" i="42"/>
  <c r="AD32" i="42"/>
  <c r="AC32" i="42"/>
  <c r="AG32" i="42"/>
  <c r="AG18" i="42"/>
  <c r="AC18" i="42"/>
  <c r="AD18" i="42"/>
  <c r="AG14" i="42"/>
  <c r="AC14" i="42"/>
  <c r="AD14" i="42"/>
  <c r="AD13" i="42"/>
  <c r="AG13" i="42"/>
  <c r="AC13" i="42"/>
  <c r="AG10" i="42"/>
  <c r="AC10" i="42"/>
  <c r="AD10" i="42"/>
  <c r="AD9" i="42"/>
  <c r="AC9" i="42"/>
  <c r="AD11" i="42"/>
  <c r="AC11" i="42"/>
  <c r="AG11" i="42"/>
  <c r="AD19" i="42"/>
  <c r="AC19" i="42"/>
  <c r="AG19" i="42"/>
  <c r="AV9" i="49"/>
  <c r="AY9" i="49"/>
  <c r="AU9" i="49"/>
  <c r="R10" i="49"/>
  <c r="U10" i="49"/>
  <c r="Q10" i="49"/>
  <c r="AV13" i="49"/>
  <c r="AY13" i="49"/>
  <c r="AU13" i="49"/>
  <c r="X16" i="49"/>
  <c r="W16" i="49"/>
  <c r="X8" i="49"/>
  <c r="AA8" i="49"/>
  <c r="W8" i="49"/>
  <c r="R9" i="49"/>
  <c r="U9" i="49"/>
  <c r="Q9" i="49"/>
  <c r="AV10" i="49"/>
  <c r="AU10" i="49"/>
  <c r="R13" i="49"/>
  <c r="U13" i="49"/>
  <c r="Q13" i="49"/>
  <c r="F7" i="49"/>
  <c r="BX7" i="49"/>
  <c r="R8" i="49"/>
  <c r="L9" i="49"/>
  <c r="AP9" i="49"/>
  <c r="L10" i="49"/>
  <c r="AP10" i="49"/>
  <c r="L13" i="49"/>
  <c r="AP13" i="49"/>
  <c r="L14" i="49"/>
  <c r="R16" i="49"/>
  <c r="AJ16" i="49"/>
  <c r="AS16" i="49"/>
  <c r="AM17" i="49"/>
  <c r="AI17" i="49"/>
  <c r="Q23" i="49"/>
  <c r="AM26" i="49"/>
  <c r="AI26" i="49"/>
  <c r="U27" i="49"/>
  <c r="Q27" i="49"/>
  <c r="AM28" i="49"/>
  <c r="AI28" i="49"/>
  <c r="U29" i="49"/>
  <c r="Q29" i="49"/>
  <c r="AM30" i="49"/>
  <c r="AI30" i="49"/>
  <c r="O32" i="49"/>
  <c r="K32" i="49"/>
  <c r="AM32" i="49"/>
  <c r="AI32" i="49"/>
  <c r="AJ32" i="49"/>
  <c r="O39" i="49"/>
  <c r="K39" i="49"/>
  <c r="L39" i="49"/>
  <c r="I7" i="49"/>
  <c r="Q8" i="49"/>
  <c r="K9" i="49"/>
  <c r="AO9" i="49"/>
  <c r="K10" i="49"/>
  <c r="AO10" i="49"/>
  <c r="K13" i="49"/>
  <c r="AO13" i="49"/>
  <c r="K14" i="49"/>
  <c r="O14" i="49"/>
  <c r="L16" i="49"/>
  <c r="Q16" i="49"/>
  <c r="AI16" i="49"/>
  <c r="AO16" i="49"/>
  <c r="U17" i="49"/>
  <c r="Q17" i="49"/>
  <c r="AJ17" i="49"/>
  <c r="R23" i="49"/>
  <c r="AM23" i="49"/>
  <c r="AI23" i="49"/>
  <c r="O25" i="49"/>
  <c r="K25" i="49"/>
  <c r="U26" i="49"/>
  <c r="Q26" i="49"/>
  <c r="AJ26" i="49"/>
  <c r="R27" i="49"/>
  <c r="AM27" i="49"/>
  <c r="AI27" i="49"/>
  <c r="U28" i="49"/>
  <c r="Q28" i="49"/>
  <c r="AJ28" i="49"/>
  <c r="R29" i="49"/>
  <c r="AM29" i="49"/>
  <c r="AI29" i="49"/>
  <c r="U30" i="49"/>
  <c r="Q30" i="49"/>
  <c r="AJ30" i="49"/>
  <c r="L32" i="49"/>
  <c r="AS35" i="49"/>
  <c r="AO35" i="49"/>
  <c r="AP35" i="49"/>
  <c r="AM37" i="49"/>
  <c r="AI37" i="49"/>
  <c r="AJ37" i="49"/>
  <c r="L17" i="49"/>
  <c r="L26" i="49"/>
  <c r="L27" i="49"/>
  <c r="L28" i="49"/>
  <c r="L29" i="49"/>
  <c r="O35" i="49"/>
  <c r="K35" i="49"/>
  <c r="O36" i="49"/>
  <c r="K36" i="49"/>
  <c r="U37" i="49"/>
  <c r="Q37" i="49"/>
  <c r="U38" i="49"/>
  <c r="AS39" i="49"/>
  <c r="AO39" i="49"/>
  <c r="L37" i="49"/>
  <c r="Q38" i="49" l="1"/>
  <c r="AG17" i="42"/>
  <c r="AM17" i="42" s="1"/>
  <c r="AG37" i="42"/>
  <c r="AC17" i="42"/>
  <c r="AD17" i="42"/>
  <c r="W7" i="42"/>
  <c r="AC37" i="42"/>
  <c r="AG50" i="42"/>
  <c r="AC50" i="42"/>
  <c r="AG9" i="42"/>
  <c r="AI9" i="42" s="1"/>
  <c r="AC40" i="42"/>
  <c r="AG40" i="42"/>
  <c r="AM11" i="42"/>
  <c r="AI11" i="42"/>
  <c r="AJ11" i="42"/>
  <c r="AJ10" i="42"/>
  <c r="AM10" i="42"/>
  <c r="AI10" i="42"/>
  <c r="AM13" i="42"/>
  <c r="AI13" i="42"/>
  <c r="AJ13" i="42"/>
  <c r="AJ14" i="42"/>
  <c r="AM14" i="42"/>
  <c r="AI14" i="42"/>
  <c r="AI17" i="42"/>
  <c r="AJ18" i="42"/>
  <c r="AM18" i="42"/>
  <c r="AI18" i="42"/>
  <c r="AJ16" i="42"/>
  <c r="AI16" i="42"/>
  <c r="AM16" i="42"/>
  <c r="AJ25" i="42"/>
  <c r="AI25" i="42"/>
  <c r="AM25" i="42"/>
  <c r="AM41" i="42"/>
  <c r="AI41" i="42"/>
  <c r="AJ41" i="42"/>
  <c r="AM37" i="42"/>
  <c r="AI37" i="42"/>
  <c r="AJ37" i="42"/>
  <c r="AJ38" i="42"/>
  <c r="AM38" i="42"/>
  <c r="AI38" i="42"/>
  <c r="AM42" i="42"/>
  <c r="AI42" i="42"/>
  <c r="AJ42" i="42"/>
  <c r="AM15" i="42"/>
  <c r="AI15" i="42"/>
  <c r="AJ15" i="42"/>
  <c r="AM21" i="42"/>
  <c r="AI21" i="42"/>
  <c r="AJ21" i="42"/>
  <c r="AJ12" i="42"/>
  <c r="AI12" i="42"/>
  <c r="AM12" i="42"/>
  <c r="AM28" i="42"/>
  <c r="AI28" i="42"/>
  <c r="AJ28" i="42"/>
  <c r="AM39" i="42"/>
  <c r="AI39" i="42"/>
  <c r="AJ39" i="42"/>
  <c r="AM47" i="42"/>
  <c r="AI47" i="42"/>
  <c r="AJ47" i="42"/>
  <c r="AJ43" i="42"/>
  <c r="AI43" i="42"/>
  <c r="AM43" i="42"/>
  <c r="AI48" i="42"/>
  <c r="AM48" i="42"/>
  <c r="AJ46" i="42"/>
  <c r="AI46" i="42"/>
  <c r="AM46" i="42"/>
  <c r="AM19" i="42"/>
  <c r="AI19" i="42"/>
  <c r="AJ19" i="42"/>
  <c r="AM32" i="42"/>
  <c r="AI32" i="42"/>
  <c r="AJ32" i="42"/>
  <c r="AS23" i="42"/>
  <c r="AO23" i="42"/>
  <c r="AP23" i="42"/>
  <c r="AD7" i="42"/>
  <c r="AC7" i="42"/>
  <c r="AJ8" i="42"/>
  <c r="AI8" i="42"/>
  <c r="AM8" i="42"/>
  <c r="AJ27" i="42"/>
  <c r="AM27" i="42"/>
  <c r="AI27" i="42"/>
  <c r="AM30" i="42"/>
  <c r="AI30" i="42"/>
  <c r="AJ30" i="42"/>
  <c r="AJ31" i="42"/>
  <c r="AM31" i="42"/>
  <c r="AI31" i="42"/>
  <c r="AM34" i="42"/>
  <c r="AI34" i="42"/>
  <c r="AJ34" i="42"/>
  <c r="AM35" i="42"/>
  <c r="AI35" i="42"/>
  <c r="AJ35" i="42"/>
  <c r="AJ29" i="42"/>
  <c r="AI29" i="42"/>
  <c r="AM29" i="42"/>
  <c r="AJ36" i="42"/>
  <c r="AI36" i="42"/>
  <c r="AM36" i="42"/>
  <c r="AJ44" i="42"/>
  <c r="AM44" i="42"/>
  <c r="AI44" i="42"/>
  <c r="AM22" i="42"/>
  <c r="AI22" i="42"/>
  <c r="AJ22" i="42"/>
  <c r="AM24" i="42"/>
  <c r="AI24" i="42"/>
  <c r="AJ24" i="42"/>
  <c r="AJ20" i="42"/>
  <c r="AI20" i="42"/>
  <c r="AM20" i="42"/>
  <c r="AJ33" i="42"/>
  <c r="AI33" i="42"/>
  <c r="AM33" i="42"/>
  <c r="AM45" i="42"/>
  <c r="AI45" i="42"/>
  <c r="AJ45" i="42"/>
  <c r="R36" i="49"/>
  <c r="Q36" i="49"/>
  <c r="U36" i="49"/>
  <c r="R35" i="49"/>
  <c r="Q35" i="49"/>
  <c r="U35" i="49"/>
  <c r="AP37" i="49"/>
  <c r="AS37" i="49"/>
  <c r="AO37" i="49"/>
  <c r="AP27" i="49"/>
  <c r="AO27" i="49"/>
  <c r="AS27" i="49"/>
  <c r="X26" i="49"/>
  <c r="W26" i="49"/>
  <c r="R14" i="49"/>
  <c r="U14" i="49"/>
  <c r="Q14" i="49"/>
  <c r="R39" i="49"/>
  <c r="U39" i="49"/>
  <c r="Q39" i="49"/>
  <c r="AP30" i="49"/>
  <c r="AS30" i="49"/>
  <c r="AO30" i="49"/>
  <c r="X29" i="49"/>
  <c r="W29" i="49"/>
  <c r="AP26" i="49"/>
  <c r="AS26" i="49"/>
  <c r="AO26" i="49"/>
  <c r="X23" i="49"/>
  <c r="W23" i="49"/>
  <c r="AP17" i="49"/>
  <c r="AS17" i="49"/>
  <c r="AO17" i="49"/>
  <c r="W13" i="49"/>
  <c r="X13" i="49"/>
  <c r="W9" i="49"/>
  <c r="X9" i="49"/>
  <c r="W10" i="49"/>
  <c r="X10" i="49"/>
  <c r="K7" i="49"/>
  <c r="AV39" i="49"/>
  <c r="AU39" i="49"/>
  <c r="AY39" i="49"/>
  <c r="X38" i="49"/>
  <c r="W38" i="49"/>
  <c r="AA38" i="49"/>
  <c r="X37" i="49"/>
  <c r="W37" i="49"/>
  <c r="AV35" i="49"/>
  <c r="AY35" i="49"/>
  <c r="AU35" i="49"/>
  <c r="X30" i="49"/>
  <c r="W30" i="49"/>
  <c r="AP29" i="49"/>
  <c r="AO29" i="49"/>
  <c r="AS29" i="49"/>
  <c r="X28" i="49"/>
  <c r="W28" i="49"/>
  <c r="R25" i="49"/>
  <c r="Q25" i="49"/>
  <c r="U25" i="49"/>
  <c r="AP23" i="49"/>
  <c r="AO23" i="49"/>
  <c r="AS23" i="49"/>
  <c r="X17" i="49"/>
  <c r="W17" i="49"/>
  <c r="O7" i="49"/>
  <c r="AP32" i="49"/>
  <c r="AS32" i="49"/>
  <c r="AO32" i="49"/>
  <c r="R32" i="49"/>
  <c r="U32" i="49"/>
  <c r="Q32" i="49"/>
  <c r="AP28" i="49"/>
  <c r="AS28" i="49"/>
  <c r="AO28" i="49"/>
  <c r="X27" i="49"/>
  <c r="W27" i="49"/>
  <c r="AY16" i="49"/>
  <c r="AU16" i="49"/>
  <c r="AV16" i="49"/>
  <c r="L7" i="49"/>
  <c r="BE10" i="49"/>
  <c r="BA10" i="49"/>
  <c r="BB10" i="49"/>
  <c r="AG8" i="49"/>
  <c r="AC8" i="49"/>
  <c r="AD8" i="49"/>
  <c r="BE13" i="49"/>
  <c r="BA13" i="49"/>
  <c r="BB13" i="49"/>
  <c r="BE9" i="49"/>
  <c r="BA9" i="49"/>
  <c r="BB9" i="49"/>
  <c r="AM9" i="42" l="1"/>
  <c r="AG7" i="42"/>
  <c r="AJ17" i="42"/>
  <c r="AJ9" i="42"/>
  <c r="AM40" i="42"/>
  <c r="AI40" i="42"/>
  <c r="AM50" i="42"/>
  <c r="AI50" i="42"/>
  <c r="AP45" i="42"/>
  <c r="AS45" i="42"/>
  <c r="AO45" i="42"/>
  <c r="AS20" i="42"/>
  <c r="AO20" i="42"/>
  <c r="AP20" i="42"/>
  <c r="AP22" i="42"/>
  <c r="AO22" i="42"/>
  <c r="AS22" i="42"/>
  <c r="AS44" i="42"/>
  <c r="AO44" i="42"/>
  <c r="AP44" i="42"/>
  <c r="AS36" i="42"/>
  <c r="AO36" i="42"/>
  <c r="AP36" i="42"/>
  <c r="AP35" i="42"/>
  <c r="AS35" i="42"/>
  <c r="AO35" i="42"/>
  <c r="AP32" i="42"/>
  <c r="AS32" i="42"/>
  <c r="AO32" i="42"/>
  <c r="AS46" i="42"/>
  <c r="AO46" i="42"/>
  <c r="AP46" i="42"/>
  <c r="AP47" i="42"/>
  <c r="AO47" i="42"/>
  <c r="AS47" i="42"/>
  <c r="AP28" i="42"/>
  <c r="AS28" i="42"/>
  <c r="AO28" i="42"/>
  <c r="AP21" i="42"/>
  <c r="AO21" i="42"/>
  <c r="AS21" i="42"/>
  <c r="AP42" i="42"/>
  <c r="AS42" i="42"/>
  <c r="AO42" i="42"/>
  <c r="AS38" i="42"/>
  <c r="AO38" i="42"/>
  <c r="AP38" i="42"/>
  <c r="AP37" i="42"/>
  <c r="AO37" i="42"/>
  <c r="AS37" i="42"/>
  <c r="AS25" i="42"/>
  <c r="AO25" i="42"/>
  <c r="AP25" i="42"/>
  <c r="AP11" i="42"/>
  <c r="AS11" i="42"/>
  <c r="AO11" i="42"/>
  <c r="AS33" i="42"/>
  <c r="AO33" i="42"/>
  <c r="AP33" i="42"/>
  <c r="AP24" i="42"/>
  <c r="AS24" i="42"/>
  <c r="AO24" i="42"/>
  <c r="AS29" i="42"/>
  <c r="AO29" i="42"/>
  <c r="AP29" i="42"/>
  <c r="AP34" i="42"/>
  <c r="AS34" i="42"/>
  <c r="AO34" i="42"/>
  <c r="AS31" i="42"/>
  <c r="AO31" i="42"/>
  <c r="AP31" i="42"/>
  <c r="AP30" i="42"/>
  <c r="AO30" i="42"/>
  <c r="AS30" i="42"/>
  <c r="AS27" i="42"/>
  <c r="AO27" i="42"/>
  <c r="AP27" i="42"/>
  <c r="AS8" i="42"/>
  <c r="AO8" i="42"/>
  <c r="AP8" i="42"/>
  <c r="AJ7" i="42"/>
  <c r="AI7" i="42"/>
  <c r="AV23" i="42"/>
  <c r="AU23" i="42"/>
  <c r="AY23" i="42"/>
  <c r="AP19" i="42"/>
  <c r="AS19" i="42"/>
  <c r="AO19" i="42"/>
  <c r="AO48" i="42"/>
  <c r="AS48" i="42"/>
  <c r="AS43" i="42"/>
  <c r="AO43" i="42"/>
  <c r="AP43" i="42"/>
  <c r="AP39" i="42"/>
  <c r="AS39" i="42"/>
  <c r="AO39" i="42"/>
  <c r="AS12" i="42"/>
  <c r="AO12" i="42"/>
  <c r="AP12" i="42"/>
  <c r="AP15" i="42"/>
  <c r="AS15" i="42"/>
  <c r="AO15" i="42"/>
  <c r="AP41" i="42"/>
  <c r="AS41" i="42"/>
  <c r="AO41" i="42"/>
  <c r="AS16" i="42"/>
  <c r="AO16" i="42"/>
  <c r="AP16" i="42"/>
  <c r="AS18" i="42"/>
  <c r="AO18" i="42"/>
  <c r="AP18" i="42"/>
  <c r="AP17" i="42"/>
  <c r="AO17" i="42"/>
  <c r="AS17" i="42"/>
  <c r="AS14" i="42"/>
  <c r="AO14" i="42"/>
  <c r="AP14" i="42"/>
  <c r="AP13" i="42"/>
  <c r="AO13" i="42"/>
  <c r="AS13" i="42"/>
  <c r="AS10" i="42"/>
  <c r="AO10" i="42"/>
  <c r="AP10" i="42"/>
  <c r="AP9" i="42"/>
  <c r="AO9" i="42"/>
  <c r="AS9" i="42"/>
  <c r="BH9" i="49"/>
  <c r="BK9" i="49"/>
  <c r="BG9" i="49"/>
  <c r="AJ8" i="49"/>
  <c r="AM8" i="49"/>
  <c r="AI8" i="49"/>
  <c r="AY32" i="49"/>
  <c r="AU32" i="49"/>
  <c r="AV32" i="49"/>
  <c r="AY23" i="49"/>
  <c r="AU23" i="49"/>
  <c r="AV23" i="49"/>
  <c r="AA25" i="49"/>
  <c r="W25" i="49"/>
  <c r="X25" i="49"/>
  <c r="AY29" i="49"/>
  <c r="AU29" i="49"/>
  <c r="AV29" i="49"/>
  <c r="AG38" i="49"/>
  <c r="AC38" i="49"/>
  <c r="AD38" i="49"/>
  <c r="BE39" i="49"/>
  <c r="BA39" i="49"/>
  <c r="BB39" i="49"/>
  <c r="U7" i="49"/>
  <c r="AY17" i="49"/>
  <c r="AU17" i="49"/>
  <c r="AV17" i="49"/>
  <c r="W39" i="49"/>
  <c r="X39" i="49"/>
  <c r="AA36" i="49"/>
  <c r="W36" i="49"/>
  <c r="X36" i="49"/>
  <c r="BH13" i="49"/>
  <c r="BK13" i="49"/>
  <c r="BG13" i="49"/>
  <c r="BH10" i="49"/>
  <c r="BK10" i="49"/>
  <c r="BG10" i="49"/>
  <c r="BB16" i="49"/>
  <c r="BE16" i="49"/>
  <c r="BA16" i="49"/>
  <c r="AY28" i="49"/>
  <c r="AU28" i="49"/>
  <c r="AV28" i="49"/>
  <c r="X32" i="49"/>
  <c r="W32" i="49"/>
  <c r="Q7" i="49"/>
  <c r="R7" i="49"/>
  <c r="BE35" i="49"/>
  <c r="BA35" i="49"/>
  <c r="BB35" i="49"/>
  <c r="AY26" i="49"/>
  <c r="AU26" i="49"/>
  <c r="AV26" i="49"/>
  <c r="AY30" i="49"/>
  <c r="AU30" i="49"/>
  <c r="AV30" i="49"/>
  <c r="AA14" i="49"/>
  <c r="W14" i="49"/>
  <c r="X14" i="49"/>
  <c r="AY27" i="49"/>
  <c r="AU27" i="49"/>
  <c r="AV27" i="49"/>
  <c r="AY37" i="49"/>
  <c r="AU37" i="49"/>
  <c r="AV37" i="49"/>
  <c r="W35" i="49"/>
  <c r="X35" i="49"/>
  <c r="AO40" i="42" l="1"/>
  <c r="AS40" i="42"/>
  <c r="AM7" i="42"/>
  <c r="AP7" i="42" s="1"/>
  <c r="AS50" i="42"/>
  <c r="AO50" i="42"/>
  <c r="AY9" i="42"/>
  <c r="AU9" i="42"/>
  <c r="AV9" i="42"/>
  <c r="AY13" i="42"/>
  <c r="AU13" i="42"/>
  <c r="AV13" i="42"/>
  <c r="AV16" i="42"/>
  <c r="AY16" i="42"/>
  <c r="AU16" i="42"/>
  <c r="AU48" i="42"/>
  <c r="AY48" i="42"/>
  <c r="AV27" i="42"/>
  <c r="AU27" i="42"/>
  <c r="AY27" i="42"/>
  <c r="AV31" i="42"/>
  <c r="AU31" i="42"/>
  <c r="AY31" i="42"/>
  <c r="AV29" i="42"/>
  <c r="AY29" i="42"/>
  <c r="AU29" i="42"/>
  <c r="AY24" i="42"/>
  <c r="AU24" i="42"/>
  <c r="AV24" i="42"/>
  <c r="AV33" i="42"/>
  <c r="AY33" i="42"/>
  <c r="AU33" i="42"/>
  <c r="AV25" i="42"/>
  <c r="AY25" i="42"/>
  <c r="AU25" i="42"/>
  <c r="AV38" i="42"/>
  <c r="AU38" i="42"/>
  <c r="AY38" i="42"/>
  <c r="AY42" i="42"/>
  <c r="AU42" i="42"/>
  <c r="AV42" i="42"/>
  <c r="AY28" i="42"/>
  <c r="AU28" i="42"/>
  <c r="AV28" i="42"/>
  <c r="AY47" i="42"/>
  <c r="AU47" i="42"/>
  <c r="AV47" i="42"/>
  <c r="AY35" i="42"/>
  <c r="AU35" i="42"/>
  <c r="AV35" i="42"/>
  <c r="AV36" i="42"/>
  <c r="AY36" i="42"/>
  <c r="AU36" i="42"/>
  <c r="AV10" i="42"/>
  <c r="AU10" i="42"/>
  <c r="AY10" i="42"/>
  <c r="AV14" i="42"/>
  <c r="AU14" i="42"/>
  <c r="AY14" i="42"/>
  <c r="AV18" i="42"/>
  <c r="AU18" i="42"/>
  <c r="AY18" i="42"/>
  <c r="AY15" i="42"/>
  <c r="AU15" i="42"/>
  <c r="AV15" i="42"/>
  <c r="AV12" i="42"/>
  <c r="AY12" i="42"/>
  <c r="AU12" i="42"/>
  <c r="AY39" i="42"/>
  <c r="AU39" i="42"/>
  <c r="AV39" i="42"/>
  <c r="AV43" i="42"/>
  <c r="AY43" i="42"/>
  <c r="AU43" i="42"/>
  <c r="AY19" i="42"/>
  <c r="AU19" i="42"/>
  <c r="AV19" i="42"/>
  <c r="BE23" i="42"/>
  <c r="BA23" i="42"/>
  <c r="BB23" i="42"/>
  <c r="AO7" i="42"/>
  <c r="AV8" i="42"/>
  <c r="AY8" i="42"/>
  <c r="AU8" i="42"/>
  <c r="AY30" i="42"/>
  <c r="AU30" i="42"/>
  <c r="AV30" i="42"/>
  <c r="AY37" i="42"/>
  <c r="AU37" i="42"/>
  <c r="AV37" i="42"/>
  <c r="AV46" i="42"/>
  <c r="AY46" i="42"/>
  <c r="AU46" i="42"/>
  <c r="AY32" i="42"/>
  <c r="AU32" i="42"/>
  <c r="AV32" i="42"/>
  <c r="AV44" i="42"/>
  <c r="AU44" i="42"/>
  <c r="AY44" i="42"/>
  <c r="AV20" i="42"/>
  <c r="AY20" i="42"/>
  <c r="AU20" i="42"/>
  <c r="AY45" i="42"/>
  <c r="AU45" i="42"/>
  <c r="AV45" i="42"/>
  <c r="AY17" i="42"/>
  <c r="AU17" i="42"/>
  <c r="AV17" i="42"/>
  <c r="AY41" i="42"/>
  <c r="AU41" i="42"/>
  <c r="AV41" i="42"/>
  <c r="AY34" i="42"/>
  <c r="AU34" i="42"/>
  <c r="AV34" i="42"/>
  <c r="AY11" i="42"/>
  <c r="AU11" i="42"/>
  <c r="AV11" i="42"/>
  <c r="AY21" i="42"/>
  <c r="AU21" i="42"/>
  <c r="AV21" i="42"/>
  <c r="AY22" i="42"/>
  <c r="AU22" i="42"/>
  <c r="AV22" i="42"/>
  <c r="BB37" i="49"/>
  <c r="BA37" i="49"/>
  <c r="BE37" i="49"/>
  <c r="AD14" i="49"/>
  <c r="AG14" i="49"/>
  <c r="AC14" i="49"/>
  <c r="AA7" i="49"/>
  <c r="BB26" i="49"/>
  <c r="BA26" i="49"/>
  <c r="BE26" i="49"/>
  <c r="BB28" i="49"/>
  <c r="BA28" i="49"/>
  <c r="BE28" i="49"/>
  <c r="BQ10" i="49"/>
  <c r="BM10" i="49"/>
  <c r="BN10" i="49"/>
  <c r="W7" i="49"/>
  <c r="X7" i="49"/>
  <c r="AJ38" i="49"/>
  <c r="AM38" i="49"/>
  <c r="AI38" i="49"/>
  <c r="BB23" i="49"/>
  <c r="BE23" i="49"/>
  <c r="BA23" i="49"/>
  <c r="AS8" i="49"/>
  <c r="AO8" i="49"/>
  <c r="AP8" i="49"/>
  <c r="BQ9" i="49"/>
  <c r="BM9" i="49"/>
  <c r="BN9" i="49"/>
  <c r="BW37" i="49"/>
  <c r="BB27" i="49"/>
  <c r="BE27" i="49"/>
  <c r="BA27" i="49"/>
  <c r="BB30" i="49"/>
  <c r="BA30" i="49"/>
  <c r="BE30" i="49"/>
  <c r="BH35" i="49"/>
  <c r="BG35" i="49"/>
  <c r="BK35" i="49"/>
  <c r="BK16" i="49"/>
  <c r="BG16" i="49"/>
  <c r="BH16" i="49"/>
  <c r="BW9" i="49"/>
  <c r="BQ13" i="49"/>
  <c r="BM13" i="49"/>
  <c r="BN13" i="49"/>
  <c r="BW13" i="49"/>
  <c r="AD36" i="49"/>
  <c r="AG36" i="49"/>
  <c r="AC36" i="49"/>
  <c r="BB17" i="49"/>
  <c r="BA17" i="49"/>
  <c r="BE17" i="49"/>
  <c r="BH39" i="49"/>
  <c r="BK39" i="49"/>
  <c r="BG39" i="49"/>
  <c r="BB29" i="49"/>
  <c r="BE29" i="49"/>
  <c r="BA29" i="49"/>
  <c r="AD25" i="49"/>
  <c r="AG25" i="49"/>
  <c r="AC25" i="49"/>
  <c r="BB32" i="49"/>
  <c r="BA32" i="49"/>
  <c r="BE32" i="49"/>
  <c r="AY50" i="42" l="1"/>
  <c r="AU50" i="42"/>
  <c r="AU40" i="42"/>
  <c r="AY40" i="42"/>
  <c r="AS7" i="42"/>
  <c r="AV7" i="42" s="1"/>
  <c r="BB21" i="42"/>
  <c r="BE21" i="42"/>
  <c r="BA21" i="42"/>
  <c r="BB34" i="42"/>
  <c r="BE34" i="42"/>
  <c r="BA34" i="42"/>
  <c r="BB17" i="42"/>
  <c r="BE17" i="42"/>
  <c r="BA17" i="42"/>
  <c r="BB32" i="42"/>
  <c r="BA32" i="42"/>
  <c r="BE32" i="42"/>
  <c r="BE46" i="42"/>
  <c r="BA46" i="42"/>
  <c r="BB46" i="42"/>
  <c r="BB37" i="42"/>
  <c r="BE37" i="42"/>
  <c r="BA37" i="42"/>
  <c r="BH23" i="42"/>
  <c r="BK23" i="42"/>
  <c r="BG23" i="42"/>
  <c r="BE18" i="42"/>
  <c r="BA18" i="42"/>
  <c r="BB18" i="42"/>
  <c r="BE10" i="42"/>
  <c r="BA10" i="42"/>
  <c r="BB10" i="42"/>
  <c r="BE36" i="42"/>
  <c r="BA36" i="42"/>
  <c r="BB36" i="42"/>
  <c r="BB35" i="42"/>
  <c r="BA35" i="42"/>
  <c r="BE35" i="42"/>
  <c r="BB28" i="42"/>
  <c r="BA28" i="42"/>
  <c r="BE28" i="42"/>
  <c r="BE38" i="42"/>
  <c r="BA38" i="42"/>
  <c r="BB38" i="42"/>
  <c r="BE25" i="42"/>
  <c r="BA25" i="42"/>
  <c r="BB25" i="42"/>
  <c r="BE27" i="42"/>
  <c r="BA27" i="42"/>
  <c r="BB27" i="42"/>
  <c r="BE16" i="42"/>
  <c r="BA16" i="42"/>
  <c r="BB16" i="42"/>
  <c r="BB13" i="42"/>
  <c r="BE13" i="42"/>
  <c r="BA13" i="42"/>
  <c r="BB22" i="42"/>
  <c r="BE22" i="42"/>
  <c r="BA22" i="42"/>
  <c r="BB11" i="42"/>
  <c r="BA11" i="42"/>
  <c r="BE11" i="42"/>
  <c r="BB41" i="42"/>
  <c r="BA41" i="42"/>
  <c r="BE41" i="42"/>
  <c r="BB45" i="42"/>
  <c r="BA45" i="42"/>
  <c r="BE45" i="42"/>
  <c r="BE20" i="42"/>
  <c r="BA20" i="42"/>
  <c r="BB20" i="42"/>
  <c r="BE44" i="42"/>
  <c r="BA44" i="42"/>
  <c r="BB44" i="42"/>
  <c r="BB30" i="42"/>
  <c r="BE30" i="42"/>
  <c r="BA30" i="42"/>
  <c r="BE8" i="42"/>
  <c r="BA8" i="42"/>
  <c r="AY7" i="42"/>
  <c r="BB8" i="42"/>
  <c r="BB19" i="42"/>
  <c r="BA19" i="42"/>
  <c r="BE19" i="42"/>
  <c r="BE43" i="42"/>
  <c r="BA43" i="42"/>
  <c r="BB43" i="42"/>
  <c r="BB39" i="42"/>
  <c r="BA39" i="42"/>
  <c r="BE39" i="42"/>
  <c r="BE12" i="42"/>
  <c r="BA12" i="42"/>
  <c r="BB12" i="42"/>
  <c r="BB15" i="42"/>
  <c r="BA15" i="42"/>
  <c r="BE15" i="42"/>
  <c r="BE14" i="42"/>
  <c r="BA14" i="42"/>
  <c r="BB14" i="42"/>
  <c r="BB47" i="42"/>
  <c r="BE47" i="42"/>
  <c r="BA47" i="42"/>
  <c r="BB42" i="42"/>
  <c r="BA42" i="42"/>
  <c r="BE42" i="42"/>
  <c r="BE33" i="42"/>
  <c r="BA33" i="42"/>
  <c r="BB33" i="42"/>
  <c r="BB24" i="42"/>
  <c r="BA24" i="42"/>
  <c r="BE24" i="42"/>
  <c r="BE29" i="42"/>
  <c r="BA29" i="42"/>
  <c r="BB29" i="42"/>
  <c r="BE31" i="42"/>
  <c r="BA31" i="42"/>
  <c r="BB31" i="42"/>
  <c r="BA48" i="42"/>
  <c r="BE48" i="42"/>
  <c r="BB9" i="42"/>
  <c r="BE9" i="42"/>
  <c r="BA9" i="42"/>
  <c r="BK29" i="49"/>
  <c r="BG29" i="49"/>
  <c r="BH29" i="49"/>
  <c r="BQ39" i="49"/>
  <c r="BM39" i="49"/>
  <c r="BN39" i="49"/>
  <c r="BK17" i="49"/>
  <c r="BG17" i="49"/>
  <c r="BH17" i="49"/>
  <c r="AM36" i="49"/>
  <c r="AI36" i="49"/>
  <c r="AJ36" i="49"/>
  <c r="BG30" i="49"/>
  <c r="BH30" i="49"/>
  <c r="AS38" i="49"/>
  <c r="AO38" i="49"/>
  <c r="AP38" i="49"/>
  <c r="BT10" i="49"/>
  <c r="BS10" i="49"/>
  <c r="BW10" i="49"/>
  <c r="BK32" i="49"/>
  <c r="BG32" i="49"/>
  <c r="BH32" i="49"/>
  <c r="AM25" i="49"/>
  <c r="AI25" i="49"/>
  <c r="AJ25" i="49"/>
  <c r="BT13" i="49"/>
  <c r="BS13" i="49"/>
  <c r="BN16" i="49"/>
  <c r="BM16" i="49"/>
  <c r="BQ16" i="49"/>
  <c r="BQ35" i="49"/>
  <c r="BM35" i="49"/>
  <c r="BN35" i="49"/>
  <c r="BW30" i="49"/>
  <c r="BK27" i="49"/>
  <c r="BG27" i="49"/>
  <c r="BH27" i="49"/>
  <c r="BT9" i="49"/>
  <c r="BS9" i="49"/>
  <c r="AV8" i="49"/>
  <c r="AY8" i="49"/>
  <c r="AU8" i="49"/>
  <c r="BG23" i="49"/>
  <c r="BH23" i="49"/>
  <c r="BW23" i="49"/>
  <c r="BK28" i="49"/>
  <c r="BG28" i="49"/>
  <c r="BH28" i="49"/>
  <c r="BK26" i="49"/>
  <c r="BG26" i="49"/>
  <c r="BH26" i="49"/>
  <c r="AC7" i="49"/>
  <c r="AD7" i="49"/>
  <c r="AM14" i="49"/>
  <c r="AI14" i="49"/>
  <c r="AJ14" i="49"/>
  <c r="AG7" i="49"/>
  <c r="BG37" i="49"/>
  <c r="BH37" i="49"/>
  <c r="BA40" i="42" l="1"/>
  <c r="BE40" i="42"/>
  <c r="AU7" i="42"/>
  <c r="BE50" i="42"/>
  <c r="BA50" i="42"/>
  <c r="BK9" i="42"/>
  <c r="BG9" i="42"/>
  <c r="BH9" i="42"/>
  <c r="BG48" i="42"/>
  <c r="BK48" i="42"/>
  <c r="BH31" i="42"/>
  <c r="BK31" i="42"/>
  <c r="BG31" i="42"/>
  <c r="BK24" i="42"/>
  <c r="BG24" i="42"/>
  <c r="BH24" i="42"/>
  <c r="BK42" i="42"/>
  <c r="BG42" i="42"/>
  <c r="BH42" i="42"/>
  <c r="BK47" i="42"/>
  <c r="BG47" i="42"/>
  <c r="BH47" i="42"/>
  <c r="BH14" i="42"/>
  <c r="BK14" i="42"/>
  <c r="BG14" i="42"/>
  <c r="BH12" i="42"/>
  <c r="BG12" i="42"/>
  <c r="BK12" i="42"/>
  <c r="BH43" i="42"/>
  <c r="BG43" i="42"/>
  <c r="BK43" i="42"/>
  <c r="BH20" i="42"/>
  <c r="BG20" i="42"/>
  <c r="BK20" i="42"/>
  <c r="BK41" i="42"/>
  <c r="BG41" i="42"/>
  <c r="BH41" i="42"/>
  <c r="BK13" i="42"/>
  <c r="BG13" i="42"/>
  <c r="BH13" i="42"/>
  <c r="BH16" i="42"/>
  <c r="BG16" i="42"/>
  <c r="BK16" i="42"/>
  <c r="BH25" i="42"/>
  <c r="BG25" i="42"/>
  <c r="BK25" i="42"/>
  <c r="BK28" i="42"/>
  <c r="BG28" i="42"/>
  <c r="BH28" i="42"/>
  <c r="BH36" i="42"/>
  <c r="BG36" i="42"/>
  <c r="BK36" i="42"/>
  <c r="BH18" i="42"/>
  <c r="BK18" i="42"/>
  <c r="BG18" i="42"/>
  <c r="BQ23" i="42"/>
  <c r="BW23" i="42" s="1"/>
  <c r="BM23" i="42"/>
  <c r="BN23" i="42"/>
  <c r="BK32" i="42"/>
  <c r="BG32" i="42"/>
  <c r="BH32" i="42"/>
  <c r="BK17" i="42"/>
  <c r="BG17" i="42"/>
  <c r="BH17" i="42"/>
  <c r="BK21" i="42"/>
  <c r="BG21" i="42"/>
  <c r="BH21" i="42"/>
  <c r="BH29" i="42"/>
  <c r="BG29" i="42"/>
  <c r="BK29" i="42"/>
  <c r="BH33" i="42"/>
  <c r="BG33" i="42"/>
  <c r="BK33" i="42"/>
  <c r="BK15" i="42"/>
  <c r="BG15" i="42"/>
  <c r="BH15" i="42"/>
  <c r="BK39" i="42"/>
  <c r="BG39" i="42"/>
  <c r="BH39" i="42"/>
  <c r="BK19" i="42"/>
  <c r="BG19" i="42"/>
  <c r="BH19" i="42"/>
  <c r="BB7" i="42"/>
  <c r="BA7" i="42"/>
  <c r="BH8" i="42"/>
  <c r="BE7" i="42"/>
  <c r="BG8" i="42"/>
  <c r="BK8" i="42"/>
  <c r="BK30" i="42"/>
  <c r="BG30" i="42"/>
  <c r="BH30" i="42"/>
  <c r="BH44" i="42"/>
  <c r="BK44" i="42"/>
  <c r="BG44" i="42"/>
  <c r="BK45" i="42"/>
  <c r="BG45" i="42"/>
  <c r="BH45" i="42"/>
  <c r="BK11" i="42"/>
  <c r="BG11" i="42"/>
  <c r="BH11" i="42"/>
  <c r="BK22" i="42"/>
  <c r="BG22" i="42"/>
  <c r="BH22" i="42"/>
  <c r="BH27" i="42"/>
  <c r="BK27" i="42"/>
  <c r="BG27" i="42"/>
  <c r="BH38" i="42"/>
  <c r="BK38" i="42"/>
  <c r="BG38" i="42"/>
  <c r="BK35" i="42"/>
  <c r="BG35" i="42"/>
  <c r="BH35" i="42"/>
  <c r="BH10" i="42"/>
  <c r="BK10" i="42"/>
  <c r="BG10" i="42"/>
  <c r="BK37" i="42"/>
  <c r="BG37" i="42"/>
  <c r="BH37" i="42"/>
  <c r="BH46" i="42"/>
  <c r="BG46" i="42"/>
  <c r="BK46" i="42"/>
  <c r="BK34" i="42"/>
  <c r="BG34" i="42"/>
  <c r="BH34" i="42"/>
  <c r="AP14" i="49"/>
  <c r="AS14" i="49"/>
  <c r="AO14" i="49"/>
  <c r="AM7" i="49"/>
  <c r="BN28" i="49"/>
  <c r="BQ28" i="49"/>
  <c r="BM28" i="49"/>
  <c r="BW28" i="49"/>
  <c r="BE8" i="49"/>
  <c r="BA8" i="49"/>
  <c r="BB8" i="49"/>
  <c r="BT35" i="49"/>
  <c r="BS35" i="49"/>
  <c r="BS16" i="49"/>
  <c r="BT16" i="49"/>
  <c r="AP25" i="49"/>
  <c r="AO25" i="49"/>
  <c r="AS25" i="49"/>
  <c r="BN32" i="49"/>
  <c r="BQ32" i="49"/>
  <c r="BW32" i="49" s="1"/>
  <c r="BM32" i="49"/>
  <c r="AV38" i="49"/>
  <c r="AU38" i="49"/>
  <c r="AY38" i="49"/>
  <c r="AP36" i="49"/>
  <c r="AO36" i="49"/>
  <c r="AS36" i="49"/>
  <c r="BN17" i="49"/>
  <c r="BQ17" i="49"/>
  <c r="BM17" i="49"/>
  <c r="AJ7" i="49"/>
  <c r="AI7" i="49"/>
  <c r="BN26" i="49"/>
  <c r="BQ26" i="49"/>
  <c r="BM26" i="49"/>
  <c r="BW26" i="49"/>
  <c r="BN27" i="49"/>
  <c r="BM27" i="49"/>
  <c r="BQ27" i="49"/>
  <c r="BW27" i="49"/>
  <c r="BW35" i="49"/>
  <c r="BW16" i="49"/>
  <c r="BW17" i="49"/>
  <c r="BT39" i="49"/>
  <c r="BS39" i="49"/>
  <c r="BW39" i="49"/>
  <c r="BN29" i="49"/>
  <c r="BM29" i="49"/>
  <c r="BQ29" i="49"/>
  <c r="BG50" i="42" l="1"/>
  <c r="BK50" i="42"/>
  <c r="BK40" i="42"/>
  <c r="BG40" i="42"/>
  <c r="BN34" i="42"/>
  <c r="BQ34" i="42"/>
  <c r="BW34" i="42" s="1"/>
  <c r="BM34" i="42"/>
  <c r="BN37" i="42"/>
  <c r="BM37" i="42"/>
  <c r="BQ37" i="42"/>
  <c r="BW37" i="42" s="1"/>
  <c r="BQ10" i="42"/>
  <c r="BW10" i="42" s="1"/>
  <c r="BM10" i="42"/>
  <c r="BN10" i="42"/>
  <c r="BN35" i="42"/>
  <c r="BQ35" i="42"/>
  <c r="BW35" i="42" s="1"/>
  <c r="BM35" i="42"/>
  <c r="BQ38" i="42"/>
  <c r="BW38" i="42" s="1"/>
  <c r="BM38" i="42"/>
  <c r="BN38" i="42"/>
  <c r="BN11" i="42"/>
  <c r="BQ11" i="42"/>
  <c r="BW11" i="42" s="1"/>
  <c r="BM11" i="42"/>
  <c r="BQ8" i="42"/>
  <c r="BW8" i="42" s="1"/>
  <c r="BM8" i="42"/>
  <c r="BN8" i="42"/>
  <c r="BH7" i="42"/>
  <c r="BG7" i="42"/>
  <c r="BN19" i="42"/>
  <c r="BQ19" i="42"/>
  <c r="BW19" i="42" s="1"/>
  <c r="BM19" i="42"/>
  <c r="BN15" i="42"/>
  <c r="BQ15" i="42"/>
  <c r="BW15" i="42" s="1"/>
  <c r="BM15" i="42"/>
  <c r="BQ29" i="42"/>
  <c r="BW29" i="42" s="1"/>
  <c r="BM29" i="42"/>
  <c r="BN29" i="42"/>
  <c r="BN17" i="42"/>
  <c r="BM17" i="42"/>
  <c r="BQ17" i="42"/>
  <c r="BW17" i="42" s="1"/>
  <c r="BT23" i="42"/>
  <c r="BS23" i="42"/>
  <c r="BQ18" i="42"/>
  <c r="BW18" i="42" s="1"/>
  <c r="BM18" i="42"/>
  <c r="BN18" i="42"/>
  <c r="BQ36" i="42"/>
  <c r="BW36" i="42" s="1"/>
  <c r="BM36" i="42"/>
  <c r="BN36" i="42"/>
  <c r="BQ25" i="42"/>
  <c r="BW25" i="42" s="1"/>
  <c r="BM25" i="42"/>
  <c r="BN25" i="42"/>
  <c r="BN13" i="42"/>
  <c r="BM13" i="42"/>
  <c r="BQ13" i="42"/>
  <c r="BW13" i="42" s="1"/>
  <c r="BQ20" i="42"/>
  <c r="BW20" i="42" s="1"/>
  <c r="BM20" i="42"/>
  <c r="BN20" i="42"/>
  <c r="BQ12" i="42"/>
  <c r="BW12" i="42" s="1"/>
  <c r="BM12" i="42"/>
  <c r="BN12" i="42"/>
  <c r="BQ14" i="42"/>
  <c r="BW14" i="42" s="1"/>
  <c r="BM14" i="42"/>
  <c r="BN14" i="42"/>
  <c r="BN47" i="42"/>
  <c r="BM47" i="42"/>
  <c r="BQ47" i="42"/>
  <c r="BW47" i="42" s="1"/>
  <c r="BN24" i="42"/>
  <c r="BQ24" i="42"/>
  <c r="BW24" i="42" s="1"/>
  <c r="BM24" i="42"/>
  <c r="BQ31" i="42"/>
  <c r="BW31" i="42" s="1"/>
  <c r="BM31" i="42"/>
  <c r="BN31" i="42"/>
  <c r="BM48" i="42"/>
  <c r="BQ48" i="42"/>
  <c r="BS48" i="42" s="1"/>
  <c r="BN9" i="42"/>
  <c r="BM9" i="42"/>
  <c r="BQ9" i="42"/>
  <c r="BW9" i="42" s="1"/>
  <c r="BQ46" i="42"/>
  <c r="BW46" i="42" s="1"/>
  <c r="BM46" i="42"/>
  <c r="BN46" i="42"/>
  <c r="BQ27" i="42"/>
  <c r="BW27" i="42" s="1"/>
  <c r="BM27" i="42"/>
  <c r="BN27" i="42"/>
  <c r="BN22" i="42"/>
  <c r="BM22" i="42"/>
  <c r="BQ22" i="42"/>
  <c r="BW22" i="42" s="1"/>
  <c r="BN45" i="42"/>
  <c r="BQ45" i="42"/>
  <c r="BW45" i="42" s="1"/>
  <c r="BM45" i="42"/>
  <c r="BQ44" i="42"/>
  <c r="BW44" i="42" s="1"/>
  <c r="BM44" i="42"/>
  <c r="BN44" i="42"/>
  <c r="BN30" i="42"/>
  <c r="BM30" i="42"/>
  <c r="BQ30" i="42"/>
  <c r="BW30" i="42" s="1"/>
  <c r="BN39" i="42"/>
  <c r="BQ39" i="42"/>
  <c r="BW39" i="42" s="1"/>
  <c r="BM39" i="42"/>
  <c r="BQ33" i="42"/>
  <c r="BW33" i="42" s="1"/>
  <c r="BM33" i="42"/>
  <c r="BN33" i="42"/>
  <c r="BN21" i="42"/>
  <c r="BM21" i="42"/>
  <c r="BQ21" i="42"/>
  <c r="BW21" i="42" s="1"/>
  <c r="BN32" i="42"/>
  <c r="BQ32" i="42"/>
  <c r="BW32" i="42" s="1"/>
  <c r="BM32" i="42"/>
  <c r="BN28" i="42"/>
  <c r="BQ28" i="42"/>
  <c r="BW28" i="42" s="1"/>
  <c r="BM28" i="42"/>
  <c r="BQ16" i="42"/>
  <c r="BW16" i="42" s="1"/>
  <c r="BM16" i="42"/>
  <c r="BN16" i="42"/>
  <c r="BN41" i="42"/>
  <c r="BQ41" i="42"/>
  <c r="BW41" i="42" s="1"/>
  <c r="BM41" i="42"/>
  <c r="BQ43" i="42"/>
  <c r="BW43" i="42" s="1"/>
  <c r="BM43" i="42"/>
  <c r="BN43" i="42"/>
  <c r="BN42" i="42"/>
  <c r="BQ42" i="42"/>
  <c r="BW42" i="42" s="1"/>
  <c r="BM42" i="42"/>
  <c r="BS29" i="49"/>
  <c r="BT29" i="49"/>
  <c r="BW29" i="49"/>
  <c r="BS26" i="49"/>
  <c r="BT26" i="49"/>
  <c r="BS17" i="49"/>
  <c r="BT17" i="49"/>
  <c r="AY36" i="49"/>
  <c r="AU36" i="49"/>
  <c r="AV36" i="49"/>
  <c r="BE38" i="49"/>
  <c r="BA38" i="49"/>
  <c r="BB38" i="49"/>
  <c r="BS32" i="49"/>
  <c r="BT32" i="49"/>
  <c r="AY25" i="49"/>
  <c r="AU25" i="49"/>
  <c r="AV25" i="49"/>
  <c r="BH8" i="49"/>
  <c r="BK8" i="49"/>
  <c r="BG8" i="49"/>
  <c r="AO7" i="49"/>
  <c r="AP7" i="49"/>
  <c r="AY14" i="49"/>
  <c r="AU14" i="49"/>
  <c r="AV14" i="49"/>
  <c r="AS7" i="49"/>
  <c r="BS27" i="49"/>
  <c r="BT27" i="49"/>
  <c r="BS28" i="49"/>
  <c r="BT28" i="49"/>
  <c r="BM50" i="42" l="1"/>
  <c r="BQ50" i="42"/>
  <c r="BS50" i="42" s="1"/>
  <c r="BK7" i="42"/>
  <c r="BM7" i="42" s="1"/>
  <c r="BM40" i="42"/>
  <c r="BQ40" i="42"/>
  <c r="BS40" i="42" s="1"/>
  <c r="BW48" i="42"/>
  <c r="BS42" i="42"/>
  <c r="BT42" i="42"/>
  <c r="BT43" i="42"/>
  <c r="BS43" i="42"/>
  <c r="BS41" i="42"/>
  <c r="BT41" i="42"/>
  <c r="BT16" i="42"/>
  <c r="BS16" i="42"/>
  <c r="BS28" i="42"/>
  <c r="BT28" i="42"/>
  <c r="BT33" i="42"/>
  <c r="BS33" i="42"/>
  <c r="BS39" i="42"/>
  <c r="BT39" i="42"/>
  <c r="BS30" i="42"/>
  <c r="BT30" i="42"/>
  <c r="BT27" i="42"/>
  <c r="BS27" i="42"/>
  <c r="BS9" i="42"/>
  <c r="BT9" i="42"/>
  <c r="BT14" i="42"/>
  <c r="BS14" i="42"/>
  <c r="BT20" i="42"/>
  <c r="BS20" i="42"/>
  <c r="BT25" i="42"/>
  <c r="BS25" i="42"/>
  <c r="BT18" i="42"/>
  <c r="BS18" i="42"/>
  <c r="BT29" i="42"/>
  <c r="BS29" i="42"/>
  <c r="BS15" i="42"/>
  <c r="BT15" i="42"/>
  <c r="BN7" i="42"/>
  <c r="BT8" i="42"/>
  <c r="BS8" i="42"/>
  <c r="BS11" i="42"/>
  <c r="BT11" i="42"/>
  <c r="BT38" i="42"/>
  <c r="BS38" i="42"/>
  <c r="BS35" i="42"/>
  <c r="BT35" i="42"/>
  <c r="BT10" i="42"/>
  <c r="BS10" i="42"/>
  <c r="BS32" i="42"/>
  <c r="BT32" i="42"/>
  <c r="BS21" i="42"/>
  <c r="BT21" i="42"/>
  <c r="BT44" i="42"/>
  <c r="BS44" i="42"/>
  <c r="BS45" i="42"/>
  <c r="BT45" i="42"/>
  <c r="BS22" i="42"/>
  <c r="BT22" i="42"/>
  <c r="BT46" i="42"/>
  <c r="BS46" i="42"/>
  <c r="BT31" i="42"/>
  <c r="BS31" i="42"/>
  <c r="BS24" i="42"/>
  <c r="BT24" i="42"/>
  <c r="BS47" i="42"/>
  <c r="BT47" i="42"/>
  <c r="BT12" i="42"/>
  <c r="BS12" i="42"/>
  <c r="BS13" i="42"/>
  <c r="BT13" i="42"/>
  <c r="BT36" i="42"/>
  <c r="BS36" i="42"/>
  <c r="BS17" i="42"/>
  <c r="BT17" i="42"/>
  <c r="BS19" i="42"/>
  <c r="BT19" i="42"/>
  <c r="BS37" i="42"/>
  <c r="BT37" i="42"/>
  <c r="BT34" i="42"/>
  <c r="BS34" i="42"/>
  <c r="BB14" i="49"/>
  <c r="BE14" i="49"/>
  <c r="BA14" i="49"/>
  <c r="AY7" i="49"/>
  <c r="BB25" i="49"/>
  <c r="BE25" i="49"/>
  <c r="BA25" i="49"/>
  <c r="BB36" i="49"/>
  <c r="BE36" i="49"/>
  <c r="BA36" i="49"/>
  <c r="AU7" i="49"/>
  <c r="AV7" i="49"/>
  <c r="BQ8" i="49"/>
  <c r="BM8" i="49"/>
  <c r="BN8" i="49"/>
  <c r="BH38" i="49"/>
  <c r="BK38" i="49"/>
  <c r="BG38" i="49"/>
  <c r="BQ7" i="42" l="1"/>
  <c r="BW7" i="42" s="1"/>
  <c r="BW40" i="42"/>
  <c r="BW50" i="42"/>
  <c r="BT8" i="49"/>
  <c r="BS8" i="49"/>
  <c r="BW8" i="49"/>
  <c r="BK25" i="49"/>
  <c r="BG25" i="49"/>
  <c r="BH25" i="49"/>
  <c r="BA7" i="49"/>
  <c r="BB7" i="49"/>
  <c r="BK14" i="49"/>
  <c r="BG14" i="49"/>
  <c r="BH14" i="49"/>
  <c r="BE7" i="49"/>
  <c r="BQ38" i="49"/>
  <c r="BM38" i="49"/>
  <c r="BN38" i="49"/>
  <c r="BK36" i="49"/>
  <c r="BG36" i="49"/>
  <c r="BH36" i="49"/>
  <c r="BT7" i="42" l="1"/>
  <c r="BS7" i="42"/>
  <c r="BN36" i="49"/>
  <c r="BM36" i="49"/>
  <c r="BQ36" i="49"/>
  <c r="BT38" i="49"/>
  <c r="BS38" i="49"/>
  <c r="BN14" i="49"/>
  <c r="BQ14" i="49"/>
  <c r="BM14" i="49"/>
  <c r="BK7" i="49"/>
  <c r="BW36" i="49"/>
  <c r="BW14" i="49"/>
  <c r="BW38" i="49"/>
  <c r="BH7" i="49"/>
  <c r="BG7" i="49"/>
  <c r="BN25" i="49"/>
  <c r="BM25" i="49"/>
  <c r="BQ25" i="49"/>
  <c r="BW25" i="49"/>
  <c r="BS25" i="49" l="1"/>
  <c r="BT25" i="49"/>
  <c r="BM7" i="49"/>
  <c r="BN7" i="49"/>
  <c r="BS14" i="49"/>
  <c r="BT14" i="49"/>
  <c r="BQ7" i="49"/>
  <c r="BS36" i="49"/>
  <c r="BT36" i="49"/>
  <c r="BS7" i="49" l="1"/>
  <c r="BT7" i="49"/>
  <c r="BW7" i="49"/>
  <c r="BX57" i="43" l="1"/>
  <c r="BW57" i="43"/>
  <c r="BX56" i="43"/>
  <c r="BW56" i="43"/>
  <c r="BX55" i="43"/>
  <c r="BW55" i="43"/>
  <c r="BT55" i="43"/>
  <c r="BS55" i="43"/>
  <c r="BN55" i="43"/>
  <c r="BM55" i="43"/>
  <c r="BH55" i="43"/>
  <c r="BG55" i="43"/>
  <c r="BB55" i="43"/>
  <c r="BA55" i="43"/>
  <c r="AV55" i="43"/>
  <c r="AU55" i="43"/>
  <c r="AP55" i="43"/>
  <c r="AO55" i="43"/>
  <c r="AJ55" i="43"/>
  <c r="AI55" i="43"/>
  <c r="AD55" i="43"/>
  <c r="AC55" i="43"/>
  <c r="X55" i="43"/>
  <c r="W55" i="43"/>
  <c r="R55" i="43"/>
  <c r="Q55" i="43"/>
  <c r="L55" i="43"/>
  <c r="K55" i="43"/>
  <c r="F55" i="43"/>
  <c r="E55" i="43"/>
  <c r="BX54" i="43"/>
  <c r="BW54" i="43"/>
  <c r="BX53" i="43"/>
  <c r="I53" i="43"/>
  <c r="L53" i="43" s="1"/>
  <c r="F53" i="43"/>
  <c r="E53" i="43"/>
  <c r="BX52" i="43"/>
  <c r="I52" i="43"/>
  <c r="L52" i="43" s="1"/>
  <c r="F52" i="43"/>
  <c r="E52" i="43"/>
  <c r="BX51" i="43"/>
  <c r="BW51" i="43"/>
  <c r="BX50" i="43"/>
  <c r="I50" i="43"/>
  <c r="L50" i="43" s="1"/>
  <c r="F50" i="43"/>
  <c r="E50" i="43"/>
  <c r="BX49" i="43"/>
  <c r="BS49" i="43"/>
  <c r="BM49" i="43"/>
  <c r="BG49" i="43"/>
  <c r="BA49" i="43"/>
  <c r="AU49" i="43"/>
  <c r="AO49" i="43"/>
  <c r="AI49" i="43"/>
  <c r="AC49" i="43"/>
  <c r="K49" i="43"/>
  <c r="I49" i="43"/>
  <c r="E49" i="43"/>
  <c r="BX47" i="43"/>
  <c r="K47" i="43"/>
  <c r="I47" i="43"/>
  <c r="L47" i="43" s="1"/>
  <c r="F47" i="43"/>
  <c r="E47" i="43"/>
  <c r="BX46" i="43"/>
  <c r="I46" i="43"/>
  <c r="L46" i="43" s="1"/>
  <c r="F46" i="43"/>
  <c r="E46" i="43"/>
  <c r="BX42" i="43"/>
  <c r="I42" i="43"/>
  <c r="F42" i="43"/>
  <c r="E42" i="43"/>
  <c r="BX41" i="43"/>
  <c r="I41" i="43"/>
  <c r="L41" i="43" s="1"/>
  <c r="F41" i="43"/>
  <c r="E41" i="43"/>
  <c r="BX40" i="43"/>
  <c r="I40" i="43"/>
  <c r="L40" i="43" s="1"/>
  <c r="F40" i="43"/>
  <c r="E40" i="43"/>
  <c r="BT39" i="43"/>
  <c r="BN39" i="43"/>
  <c r="BH39" i="43"/>
  <c r="BB39" i="43"/>
  <c r="AV39" i="43"/>
  <c r="AP39" i="43"/>
  <c r="AJ39" i="43"/>
  <c r="AD39" i="43"/>
  <c r="X39" i="43"/>
  <c r="R39" i="43"/>
  <c r="L39" i="43"/>
  <c r="F39" i="43"/>
  <c r="BT38" i="43"/>
  <c r="BN38" i="43"/>
  <c r="BH38" i="43"/>
  <c r="BB38" i="43"/>
  <c r="AV38" i="43"/>
  <c r="AP38" i="43"/>
  <c r="AJ38" i="43"/>
  <c r="AD38" i="43"/>
  <c r="X38" i="43"/>
  <c r="R38" i="43"/>
  <c r="L38" i="43"/>
  <c r="F38" i="43"/>
  <c r="BT37" i="43"/>
  <c r="BN37" i="43"/>
  <c r="BH37" i="43"/>
  <c r="BB37" i="43"/>
  <c r="AV37" i="43"/>
  <c r="AP37" i="43"/>
  <c r="AJ37" i="43"/>
  <c r="AD37" i="43"/>
  <c r="X37" i="43"/>
  <c r="R37" i="43"/>
  <c r="L37" i="43"/>
  <c r="F37" i="43"/>
  <c r="BT36" i="43"/>
  <c r="BN36" i="43"/>
  <c r="BH36" i="43"/>
  <c r="BB36" i="43"/>
  <c r="AV36" i="43"/>
  <c r="AP36" i="43"/>
  <c r="AJ36" i="43"/>
  <c r="AD36" i="43"/>
  <c r="X36" i="43"/>
  <c r="R36" i="43"/>
  <c r="L36" i="43"/>
  <c r="F36" i="43"/>
  <c r="BT35" i="43"/>
  <c r="BN35" i="43"/>
  <c r="BH35" i="43"/>
  <c r="BB35" i="43"/>
  <c r="AV35" i="43"/>
  <c r="AP35" i="43"/>
  <c r="AJ35" i="43"/>
  <c r="AD35" i="43"/>
  <c r="X35" i="43"/>
  <c r="R35" i="43"/>
  <c r="L35" i="43"/>
  <c r="F35" i="43"/>
  <c r="BX34" i="43"/>
  <c r="I34" i="43"/>
  <c r="L34" i="43" s="1"/>
  <c r="F34" i="43"/>
  <c r="E34" i="43"/>
  <c r="BX33" i="43"/>
  <c r="I33" i="43"/>
  <c r="F33" i="43"/>
  <c r="E33" i="43"/>
  <c r="BX32" i="43"/>
  <c r="I32" i="43"/>
  <c r="L32" i="43" s="1"/>
  <c r="F32" i="43"/>
  <c r="E32" i="43"/>
  <c r="BX31" i="43"/>
  <c r="I31" i="43"/>
  <c r="L31" i="43" s="1"/>
  <c r="F31" i="43"/>
  <c r="E31" i="43"/>
  <c r="BX30" i="43"/>
  <c r="K30" i="43"/>
  <c r="I30" i="43"/>
  <c r="O30" i="43" s="1"/>
  <c r="R30" i="43" s="1"/>
  <c r="F30" i="43"/>
  <c r="E30" i="43"/>
  <c r="BX29" i="43"/>
  <c r="I29" i="43"/>
  <c r="L29" i="43" s="1"/>
  <c r="F29" i="43"/>
  <c r="E29" i="43"/>
  <c r="BX28" i="43"/>
  <c r="I28" i="43"/>
  <c r="L28" i="43" s="1"/>
  <c r="F28" i="43"/>
  <c r="E28" i="43"/>
  <c r="BX23" i="43"/>
  <c r="I23" i="43"/>
  <c r="F23" i="43"/>
  <c r="E23" i="43"/>
  <c r="BX22" i="43"/>
  <c r="I22" i="43"/>
  <c r="L22" i="43" s="1"/>
  <c r="F22" i="43"/>
  <c r="E22" i="43"/>
  <c r="BX21" i="43"/>
  <c r="I21" i="43"/>
  <c r="L21" i="43" s="1"/>
  <c r="F21" i="43"/>
  <c r="E21" i="43"/>
  <c r="BX20" i="43"/>
  <c r="I20" i="43"/>
  <c r="L20" i="43" s="1"/>
  <c r="F20" i="43"/>
  <c r="E20" i="43"/>
  <c r="BX19" i="43"/>
  <c r="I19" i="43"/>
  <c r="F19" i="43"/>
  <c r="E19" i="43"/>
  <c r="K17" i="43"/>
  <c r="I17" i="43"/>
  <c r="L17" i="43" s="1"/>
  <c r="F17" i="43"/>
  <c r="E17" i="43"/>
  <c r="BX16" i="43"/>
  <c r="I16" i="43"/>
  <c r="F16" i="43"/>
  <c r="E16" i="43"/>
  <c r="BX11" i="43"/>
  <c r="I11" i="43"/>
  <c r="L11" i="43" s="1"/>
  <c r="F11" i="43"/>
  <c r="E11" i="43"/>
  <c r="BX10" i="43"/>
  <c r="I10" i="43"/>
  <c r="L10" i="43" s="1"/>
  <c r="F10" i="43"/>
  <c r="E10" i="43"/>
  <c r="BX9" i="43"/>
  <c r="BW9" i="43"/>
  <c r="BT9" i="43"/>
  <c r="BS9" i="43"/>
  <c r="BN9" i="43"/>
  <c r="BM9" i="43"/>
  <c r="BH9" i="43"/>
  <c r="BG9" i="43"/>
  <c r="BB9" i="43"/>
  <c r="BA9" i="43"/>
  <c r="AV9" i="43"/>
  <c r="AU9" i="43"/>
  <c r="AP9" i="43"/>
  <c r="AO9" i="43"/>
  <c r="AJ9" i="43"/>
  <c r="AI9" i="43"/>
  <c r="AD9" i="43"/>
  <c r="AC9" i="43"/>
  <c r="X9" i="43"/>
  <c r="W9" i="43"/>
  <c r="R9" i="43"/>
  <c r="Q9" i="43"/>
  <c r="L9" i="43"/>
  <c r="K9" i="43"/>
  <c r="F9" i="43"/>
  <c r="E9" i="43"/>
  <c r="BX8" i="43"/>
  <c r="K8" i="43"/>
  <c r="I8" i="43"/>
  <c r="L8" i="43" s="1"/>
  <c r="F8" i="43"/>
  <c r="E8" i="43"/>
  <c r="BR7" i="43"/>
  <c r="BL7" i="43"/>
  <c r="BF7" i="43"/>
  <c r="AZ7" i="43"/>
  <c r="AT7" i="43"/>
  <c r="AN7" i="43"/>
  <c r="AH7" i="43"/>
  <c r="AB7" i="43"/>
  <c r="V7" i="43"/>
  <c r="P7" i="43"/>
  <c r="J7" i="43"/>
  <c r="D7" i="43"/>
  <c r="E7" i="43" s="1"/>
  <c r="C7" i="43"/>
  <c r="K32" i="43" l="1"/>
  <c r="K41" i="43"/>
  <c r="K53" i="43"/>
  <c r="K22" i="43"/>
  <c r="O11" i="43"/>
  <c r="R11" i="43" s="1"/>
  <c r="O20" i="43"/>
  <c r="U20" i="43" s="1"/>
  <c r="O28" i="43"/>
  <c r="O34" i="43"/>
  <c r="Q34" i="43" s="1"/>
  <c r="O50" i="43"/>
  <c r="F7" i="43"/>
  <c r="O8" i="43"/>
  <c r="K11" i="43"/>
  <c r="O17" i="43"/>
  <c r="K20" i="43"/>
  <c r="O22" i="43"/>
  <c r="R22" i="43" s="1"/>
  <c r="K28" i="43"/>
  <c r="O32" i="43"/>
  <c r="R32" i="43" s="1"/>
  <c r="K34" i="43"/>
  <c r="O41" i="43"/>
  <c r="R41" i="43" s="1"/>
  <c r="O47" i="43"/>
  <c r="R47" i="43" s="1"/>
  <c r="K50" i="43"/>
  <c r="O53" i="43"/>
  <c r="R53" i="43" s="1"/>
  <c r="U8" i="43"/>
  <c r="Q8" i="43"/>
  <c r="O16" i="43"/>
  <c r="K16" i="43"/>
  <c r="U17" i="43"/>
  <c r="Q17" i="43"/>
  <c r="O19" i="43"/>
  <c r="K19" i="43"/>
  <c r="Q20" i="43"/>
  <c r="O23" i="43"/>
  <c r="K23" i="43"/>
  <c r="U28" i="43"/>
  <c r="Q28" i="43"/>
  <c r="BX7" i="43"/>
  <c r="R8" i="43"/>
  <c r="O10" i="43"/>
  <c r="K10" i="43"/>
  <c r="I7" i="43"/>
  <c r="L7" i="43" s="1"/>
  <c r="U11" i="43"/>
  <c r="Q11" i="43"/>
  <c r="L16" i="43"/>
  <c r="R17" i="43"/>
  <c r="L19" i="43"/>
  <c r="R20" i="43"/>
  <c r="O21" i="43"/>
  <c r="K21" i="43"/>
  <c r="U22" i="43"/>
  <c r="Q22" i="43"/>
  <c r="L23" i="43"/>
  <c r="R28" i="43"/>
  <c r="O29" i="43"/>
  <c r="K29" i="43"/>
  <c r="U30" i="43"/>
  <c r="Q30" i="43"/>
  <c r="O33" i="43"/>
  <c r="K33" i="43"/>
  <c r="L33" i="43"/>
  <c r="U34" i="43"/>
  <c r="O42" i="43"/>
  <c r="K42" i="43"/>
  <c r="L30" i="43"/>
  <c r="O31" i="43"/>
  <c r="K31" i="43"/>
  <c r="U32" i="43"/>
  <c r="Q32" i="43"/>
  <c r="O40" i="43"/>
  <c r="K40" i="43"/>
  <c r="U41" i="43"/>
  <c r="Q41" i="43"/>
  <c r="L42" i="43"/>
  <c r="U50" i="43"/>
  <c r="Q50" i="43"/>
  <c r="R50" i="43"/>
  <c r="O46" i="43"/>
  <c r="K46" i="43"/>
  <c r="O52" i="43"/>
  <c r="K52" i="43"/>
  <c r="U53" i="43"/>
  <c r="O49" i="43"/>
  <c r="U47" i="43" l="1"/>
  <c r="R34" i="43"/>
  <c r="Q53" i="43"/>
  <c r="Q47" i="43"/>
  <c r="K7" i="43"/>
  <c r="U49" i="43"/>
  <c r="W49" i="43" s="1"/>
  <c r="Q49" i="43"/>
  <c r="X53" i="43"/>
  <c r="W53" i="43"/>
  <c r="AA53" i="43"/>
  <c r="R52" i="43"/>
  <c r="Q52" i="43"/>
  <c r="U52" i="43"/>
  <c r="BW49" i="43"/>
  <c r="X47" i="43"/>
  <c r="W47" i="43"/>
  <c r="AA47" i="43"/>
  <c r="R46" i="43"/>
  <c r="Q46" i="43"/>
  <c r="U46" i="43"/>
  <c r="X41" i="43"/>
  <c r="W41" i="43"/>
  <c r="AA41" i="43"/>
  <c r="R40" i="43"/>
  <c r="Q40" i="43"/>
  <c r="U40" i="43"/>
  <c r="X34" i="43"/>
  <c r="AA34" i="43"/>
  <c r="W34" i="43"/>
  <c r="X30" i="43"/>
  <c r="AA30" i="43"/>
  <c r="W30" i="43"/>
  <c r="X11" i="43"/>
  <c r="W11" i="43"/>
  <c r="AA11" i="43"/>
  <c r="X28" i="43"/>
  <c r="AA28" i="43"/>
  <c r="W28" i="43"/>
  <c r="R23" i="43"/>
  <c r="U23" i="43"/>
  <c r="Q23" i="43"/>
  <c r="X17" i="43"/>
  <c r="AA17" i="43"/>
  <c r="W17" i="43"/>
  <c r="R16" i="43"/>
  <c r="U16" i="43"/>
  <c r="Q16" i="43"/>
  <c r="O7" i="43"/>
  <c r="X8" i="43"/>
  <c r="AA8" i="43"/>
  <c r="W8" i="43"/>
  <c r="X50" i="43"/>
  <c r="AA50" i="43"/>
  <c r="W50" i="43"/>
  <c r="X32" i="43"/>
  <c r="W32" i="43"/>
  <c r="AA32" i="43"/>
  <c r="R31" i="43"/>
  <c r="Q31" i="43"/>
  <c r="U31" i="43"/>
  <c r="R42" i="43"/>
  <c r="U42" i="43"/>
  <c r="Q42" i="43"/>
  <c r="R33" i="43"/>
  <c r="U33" i="43"/>
  <c r="Q33" i="43"/>
  <c r="R29" i="43"/>
  <c r="Q29" i="43"/>
  <c r="U29" i="43"/>
  <c r="X22" i="43"/>
  <c r="W22" i="43"/>
  <c r="AA22" i="43"/>
  <c r="R21" i="43"/>
  <c r="Q21" i="43"/>
  <c r="U21" i="43"/>
  <c r="R10" i="43"/>
  <c r="Q10" i="43"/>
  <c r="U10" i="43"/>
  <c r="X20" i="43"/>
  <c r="AA20" i="43"/>
  <c r="W20" i="43"/>
  <c r="R19" i="43"/>
  <c r="U19" i="43"/>
  <c r="Q19" i="43"/>
  <c r="AA19" i="43" l="1"/>
  <c r="W19" i="43"/>
  <c r="X19" i="43"/>
  <c r="AA21" i="43"/>
  <c r="W21" i="43"/>
  <c r="X21" i="43"/>
  <c r="AA29" i="43"/>
  <c r="W29" i="43"/>
  <c r="X29" i="43"/>
  <c r="AA42" i="43"/>
  <c r="W42" i="43"/>
  <c r="X42" i="43"/>
  <c r="AA31" i="43"/>
  <c r="W31" i="43"/>
  <c r="X31" i="43"/>
  <c r="AG8" i="43"/>
  <c r="AC8" i="43"/>
  <c r="AD8" i="43"/>
  <c r="AG17" i="43"/>
  <c r="AC17" i="43"/>
  <c r="AD17" i="43"/>
  <c r="AG28" i="43"/>
  <c r="AC28" i="43"/>
  <c r="AD28" i="43"/>
  <c r="AG11" i="43"/>
  <c r="AC11" i="43"/>
  <c r="AD11" i="43"/>
  <c r="AG34" i="43"/>
  <c r="AC34" i="43"/>
  <c r="AD34" i="43"/>
  <c r="AA40" i="43"/>
  <c r="W40" i="43"/>
  <c r="X40" i="43"/>
  <c r="AG47" i="43"/>
  <c r="AC47" i="43"/>
  <c r="AD47" i="43"/>
  <c r="AG53" i="43"/>
  <c r="AC53" i="43"/>
  <c r="AD53" i="43"/>
  <c r="AG20" i="43"/>
  <c r="AC20" i="43"/>
  <c r="AD20" i="43"/>
  <c r="AA10" i="43"/>
  <c r="W10" i="43"/>
  <c r="X10" i="43"/>
  <c r="AG22" i="43"/>
  <c r="AC22" i="43"/>
  <c r="AD22" i="43"/>
  <c r="AA33" i="43"/>
  <c r="W33" i="43"/>
  <c r="X33" i="43"/>
  <c r="AG32" i="43"/>
  <c r="AC32" i="43"/>
  <c r="AD32" i="43"/>
  <c r="AG50" i="43"/>
  <c r="AC50" i="43"/>
  <c r="AD50" i="43"/>
  <c r="U7" i="43"/>
  <c r="R7" i="43"/>
  <c r="Q7" i="43"/>
  <c r="AA16" i="43"/>
  <c r="W16" i="43"/>
  <c r="X16" i="43"/>
  <c r="AA23" i="43"/>
  <c r="W23" i="43"/>
  <c r="X23" i="43"/>
  <c r="AG30" i="43"/>
  <c r="AC30" i="43"/>
  <c r="AD30" i="43"/>
  <c r="AG41" i="43"/>
  <c r="AC41" i="43"/>
  <c r="AD41" i="43"/>
  <c r="AA46" i="43"/>
  <c r="W46" i="43"/>
  <c r="X46" i="43"/>
  <c r="AA52" i="43"/>
  <c r="W52" i="43"/>
  <c r="X52" i="43"/>
  <c r="AD52" i="43" l="1"/>
  <c r="AG52" i="43"/>
  <c r="AC52" i="43"/>
  <c r="AD46" i="43"/>
  <c r="AG46" i="43"/>
  <c r="AC46" i="43"/>
  <c r="AJ30" i="43"/>
  <c r="AI30" i="43"/>
  <c r="AM30" i="43"/>
  <c r="AD23" i="43"/>
  <c r="AC23" i="43"/>
  <c r="AG23" i="43"/>
  <c r="X7" i="43"/>
  <c r="W7" i="43"/>
  <c r="AJ50" i="43"/>
  <c r="AI50" i="43"/>
  <c r="AM50" i="43"/>
  <c r="AJ32" i="43"/>
  <c r="AM32" i="43"/>
  <c r="AI32" i="43"/>
  <c r="AD33" i="43"/>
  <c r="AC33" i="43"/>
  <c r="AG33" i="43"/>
  <c r="AJ22" i="43"/>
  <c r="AM22" i="43"/>
  <c r="AI22" i="43"/>
  <c r="AD10" i="43"/>
  <c r="AG10" i="43"/>
  <c r="AC10" i="43"/>
  <c r="AJ20" i="43"/>
  <c r="AI20" i="43"/>
  <c r="AM20" i="43"/>
  <c r="AJ47" i="43"/>
  <c r="AM47" i="43"/>
  <c r="AI47" i="43"/>
  <c r="AJ11" i="43"/>
  <c r="AM11" i="43"/>
  <c r="AI11" i="43"/>
  <c r="AJ41" i="43"/>
  <c r="AM41" i="43"/>
  <c r="AI41" i="43"/>
  <c r="AD16" i="43"/>
  <c r="AC16" i="43"/>
  <c r="AG16" i="43"/>
  <c r="AJ53" i="43"/>
  <c r="AM53" i="43"/>
  <c r="AI53" i="43"/>
  <c r="AD40" i="43"/>
  <c r="AG40" i="43"/>
  <c r="AC40" i="43"/>
  <c r="AJ34" i="43"/>
  <c r="AI34" i="43"/>
  <c r="AM34" i="43"/>
  <c r="AJ28" i="43"/>
  <c r="AI28" i="43"/>
  <c r="AM28" i="43"/>
  <c r="AJ17" i="43"/>
  <c r="AI17" i="43"/>
  <c r="AM17" i="43"/>
  <c r="AA7" i="43"/>
  <c r="AJ8" i="43"/>
  <c r="AI8" i="43"/>
  <c r="AM8" i="43"/>
  <c r="AD31" i="43"/>
  <c r="AG31" i="43"/>
  <c r="AC31" i="43"/>
  <c r="AD42" i="43"/>
  <c r="AC42" i="43"/>
  <c r="AG42" i="43"/>
  <c r="AD29" i="43"/>
  <c r="AG29" i="43"/>
  <c r="AC29" i="43"/>
  <c r="AD21" i="43"/>
  <c r="AG21" i="43"/>
  <c r="AC21" i="43"/>
  <c r="AD19" i="43"/>
  <c r="AC19" i="43"/>
  <c r="AG19" i="43"/>
  <c r="AM29" i="43" l="1"/>
  <c r="AI29" i="43"/>
  <c r="AJ29" i="43"/>
  <c r="AM42" i="43"/>
  <c r="AI42" i="43"/>
  <c r="AJ42" i="43"/>
  <c r="AM31" i="43"/>
  <c r="AI31" i="43"/>
  <c r="AJ31" i="43"/>
  <c r="AS17" i="43"/>
  <c r="AO17" i="43"/>
  <c r="AP17" i="43"/>
  <c r="AS34" i="43"/>
  <c r="AO34" i="43"/>
  <c r="AP34" i="43"/>
  <c r="AM40" i="43"/>
  <c r="AI40" i="43"/>
  <c r="AJ40" i="43"/>
  <c r="AM16" i="43"/>
  <c r="AI16" i="43"/>
  <c r="AJ16" i="43"/>
  <c r="AS41" i="43"/>
  <c r="AO41" i="43"/>
  <c r="AP41" i="43"/>
  <c r="AS11" i="43"/>
  <c r="AO11" i="43"/>
  <c r="AP11" i="43"/>
  <c r="AS32" i="43"/>
  <c r="AO32" i="43"/>
  <c r="AP32" i="43"/>
  <c r="AS50" i="43"/>
  <c r="AO50" i="43"/>
  <c r="AP50" i="43"/>
  <c r="AM46" i="43"/>
  <c r="AI46" i="43"/>
  <c r="AJ46" i="43"/>
  <c r="AM52" i="43"/>
  <c r="AI52" i="43"/>
  <c r="AJ52" i="43"/>
  <c r="AM19" i="43"/>
  <c r="AI19" i="43"/>
  <c r="AJ19" i="43"/>
  <c r="AM21" i="43"/>
  <c r="AI21" i="43"/>
  <c r="AJ21" i="43"/>
  <c r="AS8" i="43"/>
  <c r="AO8" i="43"/>
  <c r="AP8" i="43"/>
  <c r="AG7" i="43"/>
  <c r="AD7" i="43"/>
  <c r="AC7" i="43"/>
  <c r="AS28" i="43"/>
  <c r="AO28" i="43"/>
  <c r="AP28" i="43"/>
  <c r="AS53" i="43"/>
  <c r="AO53" i="43"/>
  <c r="AP53" i="43"/>
  <c r="AS47" i="43"/>
  <c r="AO47" i="43"/>
  <c r="AP47" i="43"/>
  <c r="AS20" i="43"/>
  <c r="AO20" i="43"/>
  <c r="AP20" i="43"/>
  <c r="AM10" i="43"/>
  <c r="AI10" i="43"/>
  <c r="AJ10" i="43"/>
  <c r="AS22" i="43"/>
  <c r="AO22" i="43"/>
  <c r="AP22" i="43"/>
  <c r="AM33" i="43"/>
  <c r="AI33" i="43"/>
  <c r="AJ33" i="43"/>
  <c r="AM23" i="43"/>
  <c r="AI23" i="43"/>
  <c r="AJ23" i="43"/>
  <c r="AS30" i="43"/>
  <c r="AO30" i="43"/>
  <c r="AP30" i="43"/>
  <c r="AM7" i="43" l="1"/>
  <c r="AV30" i="43"/>
  <c r="AY30" i="43"/>
  <c r="AU30" i="43"/>
  <c r="AV22" i="43"/>
  <c r="AU22" i="43"/>
  <c r="AY22" i="43"/>
  <c r="AV20" i="43"/>
  <c r="AY20" i="43"/>
  <c r="AU20" i="43"/>
  <c r="AJ7" i="43"/>
  <c r="AI7" i="43"/>
  <c r="AP7" i="43"/>
  <c r="AO7" i="43"/>
  <c r="AV8" i="43"/>
  <c r="AY8" i="43"/>
  <c r="AU8" i="43"/>
  <c r="AP21" i="43"/>
  <c r="AO21" i="43"/>
  <c r="AS21" i="43"/>
  <c r="AP19" i="43"/>
  <c r="AS19" i="43"/>
  <c r="AO19" i="43"/>
  <c r="AP46" i="43"/>
  <c r="AO46" i="43"/>
  <c r="AS46" i="43"/>
  <c r="AV32" i="43"/>
  <c r="AU32" i="43"/>
  <c r="AY32" i="43"/>
  <c r="AV41" i="43"/>
  <c r="AU41" i="43"/>
  <c r="AY41" i="43"/>
  <c r="AP23" i="43"/>
  <c r="AS23" i="43"/>
  <c r="AO23" i="43"/>
  <c r="AP33" i="43"/>
  <c r="AS33" i="43"/>
  <c r="AO33" i="43"/>
  <c r="AP10" i="43"/>
  <c r="AO10" i="43"/>
  <c r="AS10" i="43"/>
  <c r="AV47" i="43"/>
  <c r="AU47" i="43"/>
  <c r="AY47" i="43"/>
  <c r="AV53" i="43"/>
  <c r="AU53" i="43"/>
  <c r="AY53" i="43"/>
  <c r="AV28" i="43"/>
  <c r="AY28" i="43"/>
  <c r="AU28" i="43"/>
  <c r="AP52" i="43"/>
  <c r="AO52" i="43"/>
  <c r="AS52" i="43"/>
  <c r="AV50" i="43"/>
  <c r="AY50" i="43"/>
  <c r="AU50" i="43"/>
  <c r="AV11" i="43"/>
  <c r="AU11" i="43"/>
  <c r="AY11" i="43"/>
  <c r="AP16" i="43"/>
  <c r="AS16" i="43"/>
  <c r="AO16" i="43"/>
  <c r="AP40" i="43"/>
  <c r="AO40" i="43"/>
  <c r="AS40" i="43"/>
  <c r="AV34" i="43"/>
  <c r="AY34" i="43"/>
  <c r="AU34" i="43"/>
  <c r="AV17" i="43"/>
  <c r="AY17" i="43"/>
  <c r="AU17" i="43"/>
  <c r="AP31" i="43"/>
  <c r="AO31" i="43"/>
  <c r="AS31" i="43"/>
  <c r="AP42" i="43"/>
  <c r="AS42" i="43"/>
  <c r="AO42" i="43"/>
  <c r="AP29" i="43"/>
  <c r="AO29" i="43"/>
  <c r="AS29" i="43"/>
  <c r="BE34" i="43" l="1"/>
  <c r="BA34" i="43"/>
  <c r="BB34" i="43"/>
  <c r="AY40" i="43"/>
  <c r="AU40" i="43"/>
  <c r="AV40" i="43"/>
  <c r="AY16" i="43"/>
  <c r="AU16" i="43"/>
  <c r="AV16" i="43"/>
  <c r="BE11" i="43"/>
  <c r="BA11" i="43"/>
  <c r="BB11" i="43"/>
  <c r="AY52" i="43"/>
  <c r="AU52" i="43"/>
  <c r="AV52" i="43"/>
  <c r="BE28" i="43"/>
  <c r="BA28" i="43"/>
  <c r="BB28" i="43"/>
  <c r="BE53" i="43"/>
  <c r="BA53" i="43"/>
  <c r="BB53" i="43"/>
  <c r="BE47" i="43"/>
  <c r="BA47" i="43"/>
  <c r="BB47" i="43"/>
  <c r="AY10" i="43"/>
  <c r="AU10" i="43"/>
  <c r="AV10" i="43"/>
  <c r="BE41" i="43"/>
  <c r="BA41" i="43"/>
  <c r="BB41" i="43"/>
  <c r="BE32" i="43"/>
  <c r="BA32" i="43"/>
  <c r="BB32" i="43"/>
  <c r="AY46" i="43"/>
  <c r="AU46" i="43"/>
  <c r="AV46" i="43"/>
  <c r="AY19" i="43"/>
  <c r="AU19" i="43"/>
  <c r="AV19" i="43"/>
  <c r="AY21" i="43"/>
  <c r="AU21" i="43"/>
  <c r="AV21" i="43"/>
  <c r="AS7" i="43"/>
  <c r="BE20" i="43"/>
  <c r="BA20" i="43"/>
  <c r="BB20" i="43"/>
  <c r="BE30" i="43"/>
  <c r="BA30" i="43"/>
  <c r="BB30" i="43"/>
  <c r="AY29" i="43"/>
  <c r="AU29" i="43"/>
  <c r="AV29" i="43"/>
  <c r="AY42" i="43"/>
  <c r="AU42" i="43"/>
  <c r="AV42" i="43"/>
  <c r="AY31" i="43"/>
  <c r="AU31" i="43"/>
  <c r="AV31" i="43"/>
  <c r="BE17" i="43"/>
  <c r="BA17" i="43"/>
  <c r="BB17" i="43"/>
  <c r="BE50" i="43"/>
  <c r="BA50" i="43"/>
  <c r="BB50" i="43"/>
  <c r="AY33" i="43"/>
  <c r="AU33" i="43"/>
  <c r="AV33" i="43"/>
  <c r="AY23" i="43"/>
  <c r="AU23" i="43"/>
  <c r="AV23" i="43"/>
  <c r="BE8" i="43"/>
  <c r="BA8" i="43"/>
  <c r="BB8" i="43"/>
  <c r="BE22" i="43"/>
  <c r="BA22" i="43"/>
  <c r="BB22" i="43"/>
  <c r="AY7" i="43" l="1"/>
  <c r="BH22" i="43"/>
  <c r="BK22" i="43"/>
  <c r="BG22" i="43"/>
  <c r="BB7" i="43"/>
  <c r="BA7" i="43"/>
  <c r="BH8" i="43"/>
  <c r="BG8" i="43"/>
  <c r="BK8" i="43"/>
  <c r="BB23" i="43"/>
  <c r="BA23" i="43"/>
  <c r="BE23" i="43"/>
  <c r="BH50" i="43"/>
  <c r="BG50" i="43"/>
  <c r="BK50" i="43"/>
  <c r="BH17" i="43"/>
  <c r="BG17" i="43"/>
  <c r="BK17" i="43"/>
  <c r="BB31" i="43"/>
  <c r="BE31" i="43"/>
  <c r="BA31" i="43"/>
  <c r="BB42" i="43"/>
  <c r="BA42" i="43"/>
  <c r="BE42" i="43"/>
  <c r="BB29" i="43"/>
  <c r="BE29" i="43"/>
  <c r="BA29" i="43"/>
  <c r="BH20" i="43"/>
  <c r="BG20" i="43"/>
  <c r="BK20" i="43"/>
  <c r="BB21" i="43"/>
  <c r="BE21" i="43"/>
  <c r="BA21" i="43"/>
  <c r="BB46" i="43"/>
  <c r="BE46" i="43"/>
  <c r="BA46" i="43"/>
  <c r="BH41" i="43"/>
  <c r="BK41" i="43"/>
  <c r="BG41" i="43"/>
  <c r="BH47" i="43"/>
  <c r="BK47" i="43"/>
  <c r="BG47" i="43"/>
  <c r="BH53" i="43"/>
  <c r="BK53" i="43"/>
  <c r="BG53" i="43"/>
  <c r="BH28" i="43"/>
  <c r="BG28" i="43"/>
  <c r="BK28" i="43"/>
  <c r="BB33" i="43"/>
  <c r="BA33" i="43"/>
  <c r="BE33" i="43"/>
  <c r="BW17" i="43"/>
  <c r="BH30" i="43"/>
  <c r="BG30" i="43"/>
  <c r="BK30" i="43"/>
  <c r="AV7" i="43"/>
  <c r="AU7" i="43"/>
  <c r="BB19" i="43"/>
  <c r="BA19" i="43"/>
  <c r="BE19" i="43"/>
  <c r="BH32" i="43"/>
  <c r="BK32" i="43"/>
  <c r="BG32" i="43"/>
  <c r="BB10" i="43"/>
  <c r="BE10" i="43"/>
  <c r="BA10" i="43"/>
  <c r="BB52" i="43"/>
  <c r="BE52" i="43"/>
  <c r="BA52" i="43"/>
  <c r="BH11" i="43"/>
  <c r="BK11" i="43"/>
  <c r="BG11" i="43"/>
  <c r="BB16" i="43"/>
  <c r="BA16" i="43"/>
  <c r="BE16" i="43"/>
  <c r="BB40" i="43"/>
  <c r="BE40" i="43"/>
  <c r="BA40" i="43"/>
  <c r="BH34" i="43"/>
  <c r="BG34" i="43"/>
  <c r="BK34" i="43"/>
  <c r="BQ34" i="43" l="1"/>
  <c r="BM34" i="43"/>
  <c r="BN34" i="43"/>
  <c r="BW34" i="43"/>
  <c r="BK40" i="43"/>
  <c r="BG40" i="43"/>
  <c r="BH40" i="43"/>
  <c r="BK16" i="43"/>
  <c r="BG16" i="43"/>
  <c r="BH16" i="43"/>
  <c r="BQ11" i="43"/>
  <c r="BW11" i="43" s="1"/>
  <c r="BM11" i="43"/>
  <c r="BN11" i="43"/>
  <c r="BK10" i="43"/>
  <c r="BG10" i="43"/>
  <c r="BH10" i="43"/>
  <c r="BQ30" i="43"/>
  <c r="BW30" i="43" s="1"/>
  <c r="BM30" i="43"/>
  <c r="BN30" i="43"/>
  <c r="BQ28" i="43"/>
  <c r="BM28" i="43"/>
  <c r="BN28" i="43"/>
  <c r="BQ53" i="43"/>
  <c r="BM53" i="43"/>
  <c r="BN53" i="43"/>
  <c r="BQ41" i="43"/>
  <c r="BM41" i="43"/>
  <c r="BN41" i="43"/>
  <c r="BQ20" i="43"/>
  <c r="BM20" i="43"/>
  <c r="BN20" i="43"/>
  <c r="BK29" i="43"/>
  <c r="BG29" i="43"/>
  <c r="BH29" i="43"/>
  <c r="BK42" i="43"/>
  <c r="BG42" i="43"/>
  <c r="BH42" i="43"/>
  <c r="BK31" i="43"/>
  <c r="BG31" i="43"/>
  <c r="BH31" i="43"/>
  <c r="BQ17" i="43"/>
  <c r="BM17" i="43"/>
  <c r="BN17" i="43"/>
  <c r="BQ50" i="43"/>
  <c r="BM50" i="43"/>
  <c r="BN50" i="43"/>
  <c r="BK23" i="43"/>
  <c r="BG23" i="43"/>
  <c r="BH23" i="43"/>
  <c r="BQ8" i="43"/>
  <c r="BM8" i="43"/>
  <c r="BN8" i="43"/>
  <c r="BE7" i="43"/>
  <c r="BQ22" i="43"/>
  <c r="BM22" i="43"/>
  <c r="BN22" i="43"/>
  <c r="BK52" i="43"/>
  <c r="BG52" i="43"/>
  <c r="BH52" i="43"/>
  <c r="BW28" i="43"/>
  <c r="BQ32" i="43"/>
  <c r="BW32" i="43" s="1"/>
  <c r="BM32" i="43"/>
  <c r="BN32" i="43"/>
  <c r="BK19" i="43"/>
  <c r="BG19" i="43"/>
  <c r="BH19" i="43"/>
  <c r="BK33" i="43"/>
  <c r="BG33" i="43"/>
  <c r="BH33" i="43"/>
  <c r="BQ47" i="43"/>
  <c r="BM47" i="43"/>
  <c r="BN47" i="43"/>
  <c r="BK46" i="43"/>
  <c r="BG46" i="43"/>
  <c r="BH46" i="43"/>
  <c r="BK21" i="43"/>
  <c r="BG21" i="43"/>
  <c r="BH21" i="43"/>
  <c r="BW20" i="43"/>
  <c r="BW8" i="43"/>
  <c r="BN46" i="43" l="1"/>
  <c r="BM46" i="43"/>
  <c r="BQ46" i="43"/>
  <c r="BW46" i="43"/>
  <c r="BN33" i="43"/>
  <c r="BQ33" i="43"/>
  <c r="BM33" i="43"/>
  <c r="BW33" i="43"/>
  <c r="BN52" i="43"/>
  <c r="BM52" i="43"/>
  <c r="BQ52" i="43"/>
  <c r="BH7" i="43"/>
  <c r="BG7" i="43"/>
  <c r="BK7" i="43"/>
  <c r="BT8" i="43"/>
  <c r="BS8" i="43"/>
  <c r="BT50" i="43"/>
  <c r="BS50" i="43"/>
  <c r="BN31" i="43"/>
  <c r="BM31" i="43"/>
  <c r="BQ31" i="43"/>
  <c r="BN29" i="43"/>
  <c r="BM29" i="43"/>
  <c r="BQ29" i="43"/>
  <c r="BT41" i="43"/>
  <c r="BS41" i="43"/>
  <c r="BW41" i="43"/>
  <c r="BT28" i="43"/>
  <c r="BS28" i="43"/>
  <c r="BW50" i="43"/>
  <c r="BN21" i="43"/>
  <c r="BM21" i="43"/>
  <c r="BQ21" i="43"/>
  <c r="BW21" i="43" s="1"/>
  <c r="BT47" i="43"/>
  <c r="BS47" i="43"/>
  <c r="BW47" i="43"/>
  <c r="BW31" i="43"/>
  <c r="BN19" i="43"/>
  <c r="BQ19" i="43"/>
  <c r="BM19" i="43"/>
  <c r="BT32" i="43"/>
  <c r="BS32" i="43"/>
  <c r="BW52" i="43"/>
  <c r="BT22" i="43"/>
  <c r="BS22" i="43"/>
  <c r="BW22" i="43"/>
  <c r="BN23" i="43"/>
  <c r="BQ23" i="43"/>
  <c r="BM23" i="43"/>
  <c r="BX17" i="43"/>
  <c r="BT17" i="43"/>
  <c r="BS17" i="43"/>
  <c r="BN42" i="43"/>
  <c r="BQ42" i="43"/>
  <c r="BM42" i="43"/>
  <c r="BW42" i="43"/>
  <c r="BT20" i="43"/>
  <c r="BS20" i="43"/>
  <c r="BT53" i="43"/>
  <c r="BS53" i="43"/>
  <c r="BW53" i="43"/>
  <c r="BT30" i="43"/>
  <c r="BS30" i="43"/>
  <c r="BN10" i="43"/>
  <c r="BM10" i="43"/>
  <c r="BQ10" i="43"/>
  <c r="BT11" i="43"/>
  <c r="BS11" i="43"/>
  <c r="BN16" i="43"/>
  <c r="BQ16" i="43"/>
  <c r="BM16" i="43"/>
  <c r="BN40" i="43"/>
  <c r="BM40" i="43"/>
  <c r="BQ40" i="43"/>
  <c r="BT34" i="43"/>
  <c r="BS34" i="43"/>
  <c r="BS19" i="43" l="1"/>
  <c r="BT19" i="43"/>
  <c r="BW19" i="43"/>
  <c r="BS29" i="43"/>
  <c r="BT29" i="43"/>
  <c r="BW29" i="43"/>
  <c r="BS33" i="43"/>
  <c r="BT33" i="43"/>
  <c r="BS40" i="43"/>
  <c r="BT40" i="43"/>
  <c r="BW40" i="43"/>
  <c r="BS16" i="43"/>
  <c r="BT16" i="43"/>
  <c r="BW16" i="43"/>
  <c r="BS10" i="43"/>
  <c r="BT10" i="43"/>
  <c r="BW10" i="43"/>
  <c r="BS42" i="43"/>
  <c r="BT42" i="43"/>
  <c r="BS23" i="43"/>
  <c r="BT23" i="43"/>
  <c r="BW23" i="43"/>
  <c r="BS21" i="43"/>
  <c r="BT21" i="43"/>
  <c r="BS31" i="43"/>
  <c r="BT31" i="43"/>
  <c r="BQ7" i="43"/>
  <c r="BN7" i="43"/>
  <c r="BM7" i="43"/>
  <c r="BS52" i="43"/>
  <c r="BT52" i="43"/>
  <c r="BS46" i="43"/>
  <c r="BT46" i="43"/>
  <c r="BT7" i="43" l="1"/>
  <c r="BS7" i="43"/>
  <c r="BW7" i="43"/>
  <c r="BW19" i="41" l="1"/>
  <c r="BT19" i="41"/>
  <c r="BS19" i="41"/>
  <c r="BN19" i="41"/>
  <c r="BM19" i="41"/>
  <c r="BH19" i="41"/>
  <c r="BG19" i="41"/>
  <c r="BB19" i="41"/>
  <c r="BA19" i="41"/>
  <c r="AV19" i="41"/>
  <c r="AU19" i="41"/>
  <c r="AP19" i="41"/>
  <c r="AO19" i="41"/>
  <c r="AJ19" i="41"/>
  <c r="AI19" i="41"/>
  <c r="AD19" i="41"/>
  <c r="AC19" i="41"/>
  <c r="X19" i="41"/>
  <c r="W19" i="41"/>
  <c r="P19" i="41"/>
  <c r="Q19" i="41" s="1"/>
  <c r="L19" i="41"/>
  <c r="K19" i="41"/>
  <c r="F19" i="41"/>
  <c r="E19" i="41"/>
  <c r="BW18" i="41"/>
  <c r="BT18" i="41"/>
  <c r="BS18" i="41"/>
  <c r="BN18" i="41"/>
  <c r="BM18" i="41"/>
  <c r="BH18" i="41"/>
  <c r="BG18" i="41"/>
  <c r="BB18" i="41"/>
  <c r="BA18" i="41"/>
  <c r="AV18" i="41"/>
  <c r="AU18" i="41"/>
  <c r="AP18" i="41"/>
  <c r="AO18" i="41"/>
  <c r="AJ18" i="41"/>
  <c r="AI18" i="41"/>
  <c r="AD18" i="41"/>
  <c r="AC18" i="41"/>
  <c r="X18" i="41"/>
  <c r="W18" i="41"/>
  <c r="P18" i="41"/>
  <c r="BX18" i="41" s="1"/>
  <c r="L18" i="41"/>
  <c r="K18" i="41"/>
  <c r="F18" i="41"/>
  <c r="E18" i="41"/>
  <c r="BW17" i="41"/>
  <c r="BT17" i="41"/>
  <c r="BS17" i="41"/>
  <c r="BN17" i="41"/>
  <c r="BM17" i="41"/>
  <c r="BH17" i="41"/>
  <c r="BG17" i="41"/>
  <c r="BB17" i="41"/>
  <c r="BA17" i="41"/>
  <c r="AV17" i="41"/>
  <c r="AU17" i="41"/>
  <c r="AP17" i="41"/>
  <c r="AO17" i="41"/>
  <c r="AJ17" i="41"/>
  <c r="AI17" i="41"/>
  <c r="AD17" i="41"/>
  <c r="AC17" i="41"/>
  <c r="X17" i="41"/>
  <c r="W17" i="41"/>
  <c r="P17" i="41"/>
  <c r="Q17" i="41" s="1"/>
  <c r="L17" i="41"/>
  <c r="K17" i="41"/>
  <c r="F17" i="41"/>
  <c r="E17" i="41"/>
  <c r="BW16" i="41"/>
  <c r="BT16" i="41"/>
  <c r="BS16" i="41"/>
  <c r="BN16" i="41"/>
  <c r="BM16" i="41"/>
  <c r="BH16" i="41"/>
  <c r="BG16" i="41"/>
  <c r="BB16" i="41"/>
  <c r="BA16" i="41"/>
  <c r="AV16" i="41"/>
  <c r="AU16" i="41"/>
  <c r="AP16" i="41"/>
  <c r="AO16" i="41"/>
  <c r="AJ16" i="41"/>
  <c r="AI16" i="41"/>
  <c r="AD16" i="41"/>
  <c r="AC16" i="41"/>
  <c r="X16" i="41"/>
  <c r="W16" i="41"/>
  <c r="P16" i="41"/>
  <c r="BX16" i="41" s="1"/>
  <c r="L16" i="41"/>
  <c r="K16" i="41"/>
  <c r="F16" i="41"/>
  <c r="E16" i="41"/>
  <c r="BW15" i="41"/>
  <c r="BT15" i="41"/>
  <c r="BS15" i="41"/>
  <c r="BN15" i="41"/>
  <c r="BM15" i="41"/>
  <c r="BH15" i="41"/>
  <c r="BG15" i="41"/>
  <c r="BB15" i="41"/>
  <c r="BA15" i="41"/>
  <c r="AV15" i="41"/>
  <c r="AU15" i="41"/>
  <c r="AP15" i="41"/>
  <c r="AO15" i="41"/>
  <c r="AJ15" i="41"/>
  <c r="AI15" i="41"/>
  <c r="AD15" i="41"/>
  <c r="AC15" i="41"/>
  <c r="X15" i="41"/>
  <c r="W15" i="41"/>
  <c r="P15" i="41"/>
  <c r="Q15" i="41" s="1"/>
  <c r="L15" i="41"/>
  <c r="K15" i="41"/>
  <c r="F15" i="41"/>
  <c r="E15" i="41"/>
  <c r="BW14" i="41"/>
  <c r="BT14" i="41"/>
  <c r="BS14" i="41"/>
  <c r="BN14" i="41"/>
  <c r="BM14" i="41"/>
  <c r="BH14" i="41"/>
  <c r="BG14" i="41"/>
  <c r="BB14" i="41"/>
  <c r="BA14" i="41"/>
  <c r="AV14" i="41"/>
  <c r="AU14" i="41"/>
  <c r="AP14" i="41"/>
  <c r="AO14" i="41"/>
  <c r="AJ14" i="41"/>
  <c r="AI14" i="41"/>
  <c r="AD14" i="41"/>
  <c r="AC14" i="41"/>
  <c r="X14" i="41"/>
  <c r="W14" i="41"/>
  <c r="P14" i="41"/>
  <c r="BX14" i="41" s="1"/>
  <c r="L14" i="41"/>
  <c r="K14" i="41"/>
  <c r="F14" i="41"/>
  <c r="E14" i="41"/>
  <c r="BW13" i="41"/>
  <c r="BT13" i="41"/>
  <c r="BS13" i="41"/>
  <c r="BN13" i="41"/>
  <c r="BM13" i="41"/>
  <c r="BH13" i="41"/>
  <c r="BG13" i="41"/>
  <c r="BB13" i="41"/>
  <c r="BA13" i="41"/>
  <c r="AV13" i="41"/>
  <c r="AU13" i="41"/>
  <c r="AP13" i="41"/>
  <c r="AO13" i="41"/>
  <c r="AJ13" i="41"/>
  <c r="AI13" i="41"/>
  <c r="AD13" i="41"/>
  <c r="AC13" i="41"/>
  <c r="X13" i="41"/>
  <c r="W13" i="41"/>
  <c r="P13" i="41"/>
  <c r="Q13" i="41" s="1"/>
  <c r="L13" i="41"/>
  <c r="K13" i="41"/>
  <c r="F13" i="41"/>
  <c r="E13" i="41"/>
  <c r="BW12" i="41"/>
  <c r="BT12" i="41"/>
  <c r="BS12" i="41"/>
  <c r="BN12" i="41"/>
  <c r="BM12" i="41"/>
  <c r="BH12" i="41"/>
  <c r="BG12" i="41"/>
  <c r="BB12" i="41"/>
  <c r="BA12" i="41"/>
  <c r="AV12" i="41"/>
  <c r="AU12" i="41"/>
  <c r="AP12" i="41"/>
  <c r="AO12" i="41"/>
  <c r="AJ12" i="41"/>
  <c r="AI12" i="41"/>
  <c r="AD12" i="41"/>
  <c r="AC12" i="41"/>
  <c r="X12" i="41"/>
  <c r="W12" i="41"/>
  <c r="P12" i="41"/>
  <c r="BX12" i="41" s="1"/>
  <c r="L12" i="41"/>
  <c r="K12" i="41"/>
  <c r="F12" i="41"/>
  <c r="E12" i="41"/>
  <c r="BW11" i="41"/>
  <c r="BT11" i="41"/>
  <c r="BS11" i="41"/>
  <c r="BN11" i="41"/>
  <c r="BM11" i="41"/>
  <c r="BH11" i="41"/>
  <c r="BG11" i="41"/>
  <c r="BB11" i="41"/>
  <c r="BA11" i="41"/>
  <c r="AV11" i="41"/>
  <c r="AU11" i="41"/>
  <c r="AP11" i="41"/>
  <c r="AO11" i="41"/>
  <c r="AJ11" i="41"/>
  <c r="AI11" i="41"/>
  <c r="AD11" i="41"/>
  <c r="AC11" i="41"/>
  <c r="X11" i="41"/>
  <c r="W11" i="41"/>
  <c r="P11" i="41"/>
  <c r="Q11" i="41" s="1"/>
  <c r="L11" i="41"/>
  <c r="K11" i="41"/>
  <c r="F11" i="41"/>
  <c r="E11" i="41"/>
  <c r="BW10" i="41"/>
  <c r="BT10" i="41"/>
  <c r="BS10" i="41"/>
  <c r="BN10" i="41"/>
  <c r="BM10" i="41"/>
  <c r="BH10" i="41"/>
  <c r="BG10" i="41"/>
  <c r="BB10" i="41"/>
  <c r="BA10" i="41"/>
  <c r="AV10" i="41"/>
  <c r="AU10" i="41"/>
  <c r="AP10" i="41"/>
  <c r="AO10" i="41"/>
  <c r="AJ10" i="41"/>
  <c r="AI10" i="41"/>
  <c r="AD10" i="41"/>
  <c r="AC10" i="41"/>
  <c r="X10" i="41"/>
  <c r="W10" i="41"/>
  <c r="P10" i="41"/>
  <c r="BX10" i="41" s="1"/>
  <c r="L10" i="41"/>
  <c r="K10" i="41"/>
  <c r="F10" i="41"/>
  <c r="E10" i="41"/>
  <c r="BW9" i="41"/>
  <c r="BT9" i="41"/>
  <c r="BS9" i="41"/>
  <c r="BN9" i="41"/>
  <c r="BM9" i="41"/>
  <c r="BH9" i="41"/>
  <c r="BG9" i="41"/>
  <c r="BB9" i="41"/>
  <c r="BA9" i="41"/>
  <c r="AV9" i="41"/>
  <c r="AU9" i="41"/>
  <c r="AP9" i="41"/>
  <c r="AO9" i="41"/>
  <c r="AJ9" i="41"/>
  <c r="AI9" i="41"/>
  <c r="AD9" i="41"/>
  <c r="AC9" i="41"/>
  <c r="X9" i="41"/>
  <c r="W9" i="41"/>
  <c r="P9" i="41"/>
  <c r="Q9" i="41" s="1"/>
  <c r="L9" i="41"/>
  <c r="K9" i="41"/>
  <c r="F9" i="41"/>
  <c r="E9" i="41"/>
  <c r="BR8" i="41"/>
  <c r="BQ8" i="41"/>
  <c r="BL8" i="41"/>
  <c r="BK8" i="41"/>
  <c r="BM8" i="41" s="1"/>
  <c r="BF8" i="41"/>
  <c r="BE8" i="41"/>
  <c r="AZ8" i="41"/>
  <c r="AY8" i="41"/>
  <c r="BA8" i="41" s="1"/>
  <c r="AT8" i="41"/>
  <c r="AS8" i="41"/>
  <c r="AN8" i="41"/>
  <c r="AM8" i="41"/>
  <c r="AO8" i="41" s="1"/>
  <c r="AH8" i="41"/>
  <c r="AG8" i="41"/>
  <c r="AB8" i="41"/>
  <c r="AA8" i="41"/>
  <c r="AC8" i="41" s="1"/>
  <c r="V8" i="41"/>
  <c r="U8" i="41"/>
  <c r="O8" i="41"/>
  <c r="J8" i="41"/>
  <c r="L8" i="41" s="1"/>
  <c r="I8" i="41"/>
  <c r="D8" i="41"/>
  <c r="C8" i="41"/>
  <c r="W8" i="41" l="1"/>
  <c r="AI8" i="41"/>
  <c r="AU8" i="41"/>
  <c r="BG8" i="41"/>
  <c r="BS8" i="41"/>
  <c r="BW8" i="41"/>
  <c r="K8" i="41"/>
  <c r="X8" i="41"/>
  <c r="AD8" i="41"/>
  <c r="AJ8" i="41"/>
  <c r="AP8" i="41"/>
  <c r="AV8" i="41"/>
  <c r="BB8" i="41"/>
  <c r="BH8" i="41"/>
  <c r="BN8" i="41"/>
  <c r="BT8" i="41"/>
  <c r="Q18" i="41"/>
  <c r="Q16" i="41"/>
  <c r="Q12" i="41"/>
  <c r="Q10" i="41"/>
  <c r="Q14" i="41"/>
  <c r="E8" i="41"/>
  <c r="R9" i="41"/>
  <c r="BX9" i="41"/>
  <c r="R11" i="41"/>
  <c r="BX11" i="41"/>
  <c r="R13" i="41"/>
  <c r="BX13" i="41"/>
  <c r="R15" i="41"/>
  <c r="BX15" i="41"/>
  <c r="R17" i="41"/>
  <c r="BX17" i="41"/>
  <c r="R19" i="41"/>
  <c r="BX19" i="41"/>
  <c r="F8" i="41"/>
  <c r="P8" i="41"/>
  <c r="BX8" i="41" s="1"/>
  <c r="R10" i="41"/>
  <c r="R12" i="41"/>
  <c r="R14" i="41"/>
  <c r="R16" i="41"/>
  <c r="R18" i="41"/>
  <c r="R8" i="41" l="1"/>
  <c r="Q8" i="41"/>
  <c r="AY258" i="48" l="1"/>
  <c r="P9" i="48" l="1"/>
  <c r="T9" i="48"/>
  <c r="X9" i="48"/>
  <c r="AB9" i="48"/>
  <c r="AF9" i="48"/>
  <c r="AJ9" i="48"/>
  <c r="AN9" i="48"/>
  <c r="AR9" i="48"/>
  <c r="AV9" i="48"/>
  <c r="BX20" i="45" l="1"/>
  <c r="BW20" i="45"/>
  <c r="BT20" i="45"/>
  <c r="BS20" i="45"/>
  <c r="BN20" i="45"/>
  <c r="BM20" i="45"/>
  <c r="BH20" i="45"/>
  <c r="BG20" i="45"/>
  <c r="BB20" i="45"/>
  <c r="BA20" i="45"/>
  <c r="AV20" i="45"/>
  <c r="AU20" i="45"/>
  <c r="AP20" i="45"/>
  <c r="AO20" i="45"/>
  <c r="AJ20" i="45"/>
  <c r="AI20" i="45"/>
  <c r="AD20" i="45"/>
  <c r="AC20" i="45"/>
  <c r="X20" i="45"/>
  <c r="W20" i="45"/>
  <c r="R20" i="45"/>
  <c r="Q20" i="45"/>
  <c r="L20" i="45"/>
  <c r="K20" i="45"/>
  <c r="F20" i="45"/>
  <c r="E20" i="45"/>
  <c r="BX19" i="45"/>
  <c r="BW19" i="45"/>
  <c r="BT19" i="45"/>
  <c r="BS19" i="45"/>
  <c r="BN19" i="45"/>
  <c r="BM19" i="45"/>
  <c r="BH19" i="45"/>
  <c r="BG19" i="45"/>
  <c r="BB19" i="45"/>
  <c r="BA19" i="45"/>
  <c r="AV19" i="45"/>
  <c r="AU19" i="45"/>
  <c r="AP19" i="45"/>
  <c r="AO19" i="45"/>
  <c r="AJ19" i="45"/>
  <c r="AI19" i="45"/>
  <c r="AD19" i="45"/>
  <c r="AC19" i="45"/>
  <c r="X19" i="45"/>
  <c r="W19" i="45"/>
  <c r="R19" i="45"/>
  <c r="Q19" i="45"/>
  <c r="L19" i="45"/>
  <c r="K19" i="45"/>
  <c r="F19" i="45"/>
  <c r="E19" i="45"/>
  <c r="BX18" i="45"/>
  <c r="BW18" i="45"/>
  <c r="BT18" i="45"/>
  <c r="BS18" i="45"/>
  <c r="BN18" i="45"/>
  <c r="BM18" i="45"/>
  <c r="BH18" i="45"/>
  <c r="BG18" i="45"/>
  <c r="BB18" i="45"/>
  <c r="BA18" i="45"/>
  <c r="AV18" i="45"/>
  <c r="AU18" i="45"/>
  <c r="AP18" i="45"/>
  <c r="AO18" i="45"/>
  <c r="AJ18" i="45"/>
  <c r="AI18" i="45"/>
  <c r="AD18" i="45"/>
  <c r="AC18" i="45"/>
  <c r="X18" i="45"/>
  <c r="W18" i="45"/>
  <c r="R18" i="45"/>
  <c r="Q18" i="45"/>
  <c r="L18" i="45"/>
  <c r="K18" i="45"/>
  <c r="F18" i="45"/>
  <c r="E18" i="45"/>
  <c r="BT17" i="45"/>
  <c r="BN17" i="45"/>
  <c r="BH17" i="45"/>
  <c r="BB17" i="45"/>
  <c r="AV17" i="45"/>
  <c r="AP17" i="45"/>
  <c r="AJ17" i="45"/>
  <c r="AD17" i="45"/>
  <c r="X17" i="45"/>
  <c r="R17" i="45"/>
  <c r="L17" i="45"/>
  <c r="BX16" i="45"/>
  <c r="BW16" i="45"/>
  <c r="BT16" i="45"/>
  <c r="BS16" i="45"/>
  <c r="BN16" i="45"/>
  <c r="BM16" i="45"/>
  <c r="BH16" i="45"/>
  <c r="BG16" i="45"/>
  <c r="BB16" i="45"/>
  <c r="BA16" i="45"/>
  <c r="AV16" i="45"/>
  <c r="AU16" i="45"/>
  <c r="AP16" i="45"/>
  <c r="AO16" i="45"/>
  <c r="AJ16" i="45"/>
  <c r="AI16" i="45"/>
  <c r="AD16" i="45"/>
  <c r="AC16" i="45"/>
  <c r="X16" i="45"/>
  <c r="W16" i="45"/>
  <c r="R16" i="45"/>
  <c r="Q16" i="45"/>
  <c r="L16" i="45"/>
  <c r="K16" i="45"/>
  <c r="F16" i="45"/>
  <c r="E16" i="45"/>
  <c r="BX15" i="45"/>
  <c r="BW15" i="45"/>
  <c r="BT15" i="45"/>
  <c r="BS15" i="45"/>
  <c r="BN15" i="45"/>
  <c r="BM15" i="45"/>
  <c r="BH15" i="45"/>
  <c r="BG15" i="45"/>
  <c r="BB15" i="45"/>
  <c r="BA15" i="45"/>
  <c r="AV15" i="45"/>
  <c r="AU15" i="45"/>
  <c r="AP15" i="45"/>
  <c r="AO15" i="45"/>
  <c r="AJ15" i="45"/>
  <c r="AI15" i="45"/>
  <c r="AD15" i="45"/>
  <c r="AC15" i="45"/>
  <c r="X15" i="45"/>
  <c r="W15" i="45"/>
  <c r="R15" i="45"/>
  <c r="Q15" i="45"/>
  <c r="L15" i="45"/>
  <c r="K15" i="45"/>
  <c r="F15" i="45"/>
  <c r="E15" i="45"/>
  <c r="BX13" i="45"/>
  <c r="I13" i="45"/>
  <c r="F13" i="45"/>
  <c r="E13" i="45"/>
  <c r="BX12" i="45"/>
  <c r="BW12" i="45"/>
  <c r="BT12" i="45"/>
  <c r="BS12" i="45"/>
  <c r="BN12" i="45"/>
  <c r="BM12" i="45"/>
  <c r="BH12" i="45"/>
  <c r="BG12" i="45"/>
  <c r="BB12" i="45"/>
  <c r="BA12" i="45"/>
  <c r="AV12" i="45"/>
  <c r="AU12" i="45"/>
  <c r="AP12" i="45"/>
  <c r="AO12" i="45"/>
  <c r="AJ12" i="45"/>
  <c r="AI12" i="45"/>
  <c r="AD12" i="45"/>
  <c r="AC12" i="45"/>
  <c r="X12" i="45"/>
  <c r="W12" i="45"/>
  <c r="R12" i="45"/>
  <c r="Q12" i="45"/>
  <c r="L12" i="45"/>
  <c r="K12" i="45"/>
  <c r="F12" i="45"/>
  <c r="E12" i="45"/>
  <c r="BX11" i="45"/>
  <c r="BW11" i="45"/>
  <c r="BT11" i="45"/>
  <c r="BS11" i="45"/>
  <c r="BN11" i="45"/>
  <c r="BM11" i="45"/>
  <c r="BH11" i="45"/>
  <c r="BG11" i="45"/>
  <c r="BB11" i="45"/>
  <c r="BA11" i="45"/>
  <c r="AV11" i="45"/>
  <c r="AU11" i="45"/>
  <c r="AP11" i="45"/>
  <c r="AO11" i="45"/>
  <c r="AJ11" i="45"/>
  <c r="AI11" i="45"/>
  <c r="AD11" i="45"/>
  <c r="AC11" i="45"/>
  <c r="X11" i="45"/>
  <c r="W11" i="45"/>
  <c r="R11" i="45"/>
  <c r="Q11" i="45"/>
  <c r="L11" i="45"/>
  <c r="K11" i="45"/>
  <c r="F11" i="45"/>
  <c r="E11" i="45"/>
  <c r="BX10" i="45"/>
  <c r="BW10" i="45"/>
  <c r="BT10" i="45"/>
  <c r="BS10" i="45"/>
  <c r="BN10" i="45"/>
  <c r="BM10" i="45"/>
  <c r="BH10" i="45"/>
  <c r="BG10" i="45"/>
  <c r="BB10" i="45"/>
  <c r="BA10" i="45"/>
  <c r="AV10" i="45"/>
  <c r="AU10" i="45"/>
  <c r="AP10" i="45"/>
  <c r="AO10" i="45"/>
  <c r="AJ10" i="45"/>
  <c r="AI10" i="45"/>
  <c r="AD10" i="45"/>
  <c r="AC10" i="45"/>
  <c r="X10" i="45"/>
  <c r="W10" i="45"/>
  <c r="R10" i="45"/>
  <c r="Q10" i="45"/>
  <c r="L10" i="45"/>
  <c r="K10" i="45"/>
  <c r="F10" i="45"/>
  <c r="E10" i="45"/>
  <c r="BX9" i="45"/>
  <c r="BW9" i="45"/>
  <c r="BT9" i="45"/>
  <c r="BS9" i="45"/>
  <c r="BN9" i="45"/>
  <c r="BM9" i="45"/>
  <c r="BH9" i="45"/>
  <c r="BG9" i="45"/>
  <c r="BB9" i="45"/>
  <c r="BA9" i="45"/>
  <c r="AV9" i="45"/>
  <c r="AU9" i="45"/>
  <c r="AP9" i="45"/>
  <c r="AO9" i="45"/>
  <c r="AJ9" i="45"/>
  <c r="AI9" i="45"/>
  <c r="AD9" i="45"/>
  <c r="AC9" i="45"/>
  <c r="X9" i="45"/>
  <c r="W9" i="45"/>
  <c r="R9" i="45"/>
  <c r="Q9" i="45"/>
  <c r="L9" i="45"/>
  <c r="K9" i="45"/>
  <c r="F9" i="45"/>
  <c r="E9" i="45"/>
  <c r="BR8" i="45"/>
  <c r="BL8" i="45"/>
  <c r="BF8" i="45"/>
  <c r="AZ8" i="45"/>
  <c r="AT8" i="45"/>
  <c r="AN8" i="45"/>
  <c r="AH8" i="45"/>
  <c r="AB8" i="45"/>
  <c r="V8" i="45"/>
  <c r="P8" i="45"/>
  <c r="J8" i="45"/>
  <c r="L8" i="45" s="1"/>
  <c r="I8" i="45"/>
  <c r="D8" i="45"/>
  <c r="C8" i="45"/>
  <c r="BX8" i="45" l="1"/>
  <c r="K8" i="45"/>
  <c r="E8" i="45"/>
  <c r="L13" i="45"/>
  <c r="F8" i="45"/>
  <c r="K13" i="45"/>
  <c r="O13" i="45"/>
  <c r="R13" i="45" l="1"/>
  <c r="U13" i="45"/>
  <c r="Q13" i="45"/>
  <c r="O8" i="45"/>
  <c r="Q8" i="45" l="1"/>
  <c r="R8" i="45"/>
  <c r="AA13" i="45"/>
  <c r="W13" i="45"/>
  <c r="X13" i="45"/>
  <c r="U8" i="45"/>
  <c r="AD13" i="45" l="1"/>
  <c r="AG13" i="45"/>
  <c r="AC13" i="45"/>
  <c r="AA8" i="45"/>
  <c r="W8" i="45"/>
  <c r="X8" i="45"/>
  <c r="AC8" i="45" l="1"/>
  <c r="AD8" i="45"/>
  <c r="AM13" i="45"/>
  <c r="AI13" i="45"/>
  <c r="AJ13" i="45"/>
  <c r="AG8" i="45"/>
  <c r="AI8" i="45" l="1"/>
  <c r="AJ8" i="45"/>
  <c r="AP13" i="45"/>
  <c r="AS13" i="45"/>
  <c r="AO13" i="45"/>
  <c r="AM8" i="45"/>
  <c r="AO8" i="45" l="1"/>
  <c r="AP8" i="45"/>
  <c r="AY13" i="45"/>
  <c r="AU13" i="45"/>
  <c r="AV13" i="45"/>
  <c r="AS8" i="45"/>
  <c r="BB13" i="45" l="1"/>
  <c r="BE13" i="45"/>
  <c r="BA13" i="45"/>
  <c r="AY8" i="45"/>
  <c r="AU8" i="45"/>
  <c r="AV8" i="45"/>
  <c r="BA8" i="45" l="1"/>
  <c r="BB8" i="45"/>
  <c r="BK13" i="45"/>
  <c r="BG13" i="45"/>
  <c r="BH13" i="45"/>
  <c r="BE8" i="45"/>
  <c r="BG8" i="45" l="1"/>
  <c r="BH8" i="45"/>
  <c r="BN13" i="45"/>
  <c r="BQ13" i="45"/>
  <c r="BM13" i="45"/>
  <c r="BK8" i="45"/>
  <c r="BM8" i="45" l="1"/>
  <c r="BN8" i="45"/>
  <c r="BS13" i="45"/>
  <c r="BQ8" i="45"/>
  <c r="BW13" i="45"/>
  <c r="BS8" i="45" l="1"/>
  <c r="BT8" i="45"/>
  <c r="BW8" i="45"/>
  <c r="BX19" i="39" l="1"/>
  <c r="AM19" i="39"/>
  <c r="AP19" i="39" s="1"/>
  <c r="AJ19" i="39"/>
  <c r="AI19" i="39"/>
  <c r="I19" i="39"/>
  <c r="L19" i="39" s="1"/>
  <c r="F19" i="39"/>
  <c r="E19" i="39"/>
  <c r="BX18" i="39"/>
  <c r="AM18" i="39"/>
  <c r="AJ18" i="39"/>
  <c r="AI18" i="39"/>
  <c r="I18" i="39"/>
  <c r="F18" i="39"/>
  <c r="E18" i="39"/>
  <c r="BX17" i="39"/>
  <c r="AP17" i="39"/>
  <c r="AM17" i="39"/>
  <c r="AJ17" i="39"/>
  <c r="AI17" i="39"/>
  <c r="L17" i="39"/>
  <c r="I17" i="39"/>
  <c r="F17" i="39"/>
  <c r="E17" i="39"/>
  <c r="BX16" i="39"/>
  <c r="AM16" i="39"/>
  <c r="AJ16" i="39"/>
  <c r="AI16" i="39"/>
  <c r="I16" i="39"/>
  <c r="F16" i="39"/>
  <c r="E16" i="39"/>
  <c r="BX15" i="39"/>
  <c r="AP15" i="39"/>
  <c r="AM15" i="39"/>
  <c r="AJ15" i="39"/>
  <c r="AI15" i="39"/>
  <c r="L15" i="39"/>
  <c r="I15" i="39"/>
  <c r="F15" i="39"/>
  <c r="E15" i="39"/>
  <c r="BX14" i="39"/>
  <c r="AM14" i="39"/>
  <c r="AJ14" i="39"/>
  <c r="AI14" i="39"/>
  <c r="I14" i="39"/>
  <c r="K14" i="39" s="1"/>
  <c r="F14" i="39"/>
  <c r="E14" i="39"/>
  <c r="BX13" i="39"/>
  <c r="BE13" i="39"/>
  <c r="BK13" i="39" s="1"/>
  <c r="BB13" i="39"/>
  <c r="BA13" i="39"/>
  <c r="AV13" i="39"/>
  <c r="AU13" i="39"/>
  <c r="AP13" i="39"/>
  <c r="AO13" i="39"/>
  <c r="AJ13" i="39"/>
  <c r="AI13" i="39"/>
  <c r="I13" i="39"/>
  <c r="F13" i="39"/>
  <c r="E13" i="39"/>
  <c r="BX12" i="39"/>
  <c r="AM12" i="39"/>
  <c r="AJ12" i="39"/>
  <c r="AI12" i="39"/>
  <c r="I12" i="39"/>
  <c r="F12" i="39"/>
  <c r="E12" i="39"/>
  <c r="BX9" i="39"/>
  <c r="AP9" i="39"/>
  <c r="AM9" i="39"/>
  <c r="AJ9" i="39"/>
  <c r="AI9" i="39"/>
  <c r="L9" i="39"/>
  <c r="I9" i="39"/>
  <c r="F9" i="39"/>
  <c r="E9" i="39"/>
  <c r="BX8" i="39"/>
  <c r="AM8" i="39"/>
  <c r="AJ8" i="39"/>
  <c r="AI8" i="39"/>
  <c r="I8" i="39"/>
  <c r="I7" i="39" s="1"/>
  <c r="F8" i="39"/>
  <c r="E8" i="39"/>
  <c r="BR7" i="39"/>
  <c r="BL7" i="39"/>
  <c r="BF7" i="39"/>
  <c r="AZ7" i="39"/>
  <c r="AT7" i="39"/>
  <c r="AN7" i="39"/>
  <c r="AH7" i="39"/>
  <c r="AG7" i="39"/>
  <c r="AI7" i="39" s="1"/>
  <c r="AB7" i="39"/>
  <c r="V7" i="39"/>
  <c r="P7" i="39"/>
  <c r="J7" i="39"/>
  <c r="D7" i="39"/>
  <c r="BX7" i="39" s="1"/>
  <c r="C7" i="39"/>
  <c r="K7" i="39" l="1"/>
  <c r="O14" i="39"/>
  <c r="U14" i="39" s="1"/>
  <c r="O8" i="39"/>
  <c r="K8" i="39"/>
  <c r="AS8" i="39"/>
  <c r="AO8" i="39"/>
  <c r="O12" i="39"/>
  <c r="K12" i="39"/>
  <c r="AS12" i="39"/>
  <c r="AO12" i="39"/>
  <c r="BN13" i="39"/>
  <c r="BQ13" i="39"/>
  <c r="BM13" i="39"/>
  <c r="X14" i="39"/>
  <c r="AA14" i="39"/>
  <c r="W14" i="39"/>
  <c r="E7" i="39"/>
  <c r="L7" i="39"/>
  <c r="AJ7" i="39"/>
  <c r="AM7" i="39"/>
  <c r="AO7" i="39" s="1"/>
  <c r="L8" i="39"/>
  <c r="AP8" i="39"/>
  <c r="O9" i="39"/>
  <c r="K9" i="39"/>
  <c r="AS9" i="39"/>
  <c r="AO9" i="39"/>
  <c r="L12" i="39"/>
  <c r="AP12" i="39"/>
  <c r="L13" i="39"/>
  <c r="BH13" i="39"/>
  <c r="R14" i="39"/>
  <c r="AS14" i="39"/>
  <c r="AO14" i="39"/>
  <c r="O16" i="39"/>
  <c r="K16" i="39"/>
  <c r="AS16" i="39"/>
  <c r="AO16" i="39"/>
  <c r="O18" i="39"/>
  <c r="K18" i="39"/>
  <c r="AS18" i="39"/>
  <c r="AO18" i="39"/>
  <c r="F7" i="39"/>
  <c r="K13" i="39"/>
  <c r="O13" i="39"/>
  <c r="BG13" i="39"/>
  <c r="L14" i="39"/>
  <c r="Q14" i="39"/>
  <c r="AP14" i="39"/>
  <c r="O15" i="39"/>
  <c r="K15" i="39"/>
  <c r="AS15" i="39"/>
  <c r="AO15" i="39"/>
  <c r="L16" i="39"/>
  <c r="AP16" i="39"/>
  <c r="O17" i="39"/>
  <c r="K17" i="39"/>
  <c r="AS17" i="39"/>
  <c r="AO17" i="39"/>
  <c r="L18" i="39"/>
  <c r="AP18" i="39"/>
  <c r="O19" i="39"/>
  <c r="K19" i="39"/>
  <c r="AS19" i="39"/>
  <c r="AO19" i="39"/>
  <c r="AP7" i="39" l="1"/>
  <c r="AV17" i="39"/>
  <c r="AU17" i="39"/>
  <c r="AY17" i="39"/>
  <c r="R17" i="39"/>
  <c r="Q17" i="39"/>
  <c r="U17" i="39"/>
  <c r="R13" i="39"/>
  <c r="U13" i="39"/>
  <c r="Q13" i="39"/>
  <c r="AV18" i="39"/>
  <c r="AY18" i="39"/>
  <c r="AU18" i="39"/>
  <c r="R18" i="39"/>
  <c r="U18" i="39"/>
  <c r="Q18" i="39"/>
  <c r="AV16" i="39"/>
  <c r="AY16" i="39"/>
  <c r="AU16" i="39"/>
  <c r="R16" i="39"/>
  <c r="U16" i="39"/>
  <c r="Q16" i="39"/>
  <c r="AV14" i="39"/>
  <c r="AY14" i="39"/>
  <c r="AU14" i="39"/>
  <c r="AV9" i="39"/>
  <c r="AU9" i="39"/>
  <c r="AY9" i="39"/>
  <c r="R9" i="39"/>
  <c r="Q9" i="39"/>
  <c r="U9" i="39"/>
  <c r="AV12" i="39"/>
  <c r="AY12" i="39"/>
  <c r="AU12" i="39"/>
  <c r="AV19" i="39"/>
  <c r="AU19" i="39"/>
  <c r="AY19" i="39"/>
  <c r="R19" i="39"/>
  <c r="Q19" i="39"/>
  <c r="U19" i="39"/>
  <c r="AV15" i="39"/>
  <c r="AU15" i="39"/>
  <c r="AY15" i="39"/>
  <c r="R15" i="39"/>
  <c r="Q15" i="39"/>
  <c r="U15" i="39"/>
  <c r="AD14" i="39"/>
  <c r="AC14" i="39"/>
  <c r="BS13" i="39"/>
  <c r="BT13" i="39"/>
  <c r="R12" i="39"/>
  <c r="U12" i="39"/>
  <c r="Q12" i="39"/>
  <c r="AV8" i="39"/>
  <c r="AY8" i="39"/>
  <c r="AU8" i="39"/>
  <c r="AS7" i="39"/>
  <c r="R8" i="39"/>
  <c r="U8" i="39"/>
  <c r="O7" i="39"/>
  <c r="Q8" i="39"/>
  <c r="Q7" i="39" l="1"/>
  <c r="R7" i="39"/>
  <c r="AA12" i="39"/>
  <c r="W12" i="39"/>
  <c r="X12" i="39"/>
  <c r="BE14" i="39"/>
  <c r="BA14" i="39"/>
  <c r="BB14" i="39"/>
  <c r="BE16" i="39"/>
  <c r="BA16" i="39"/>
  <c r="BB16" i="39"/>
  <c r="BE18" i="39"/>
  <c r="BA18" i="39"/>
  <c r="BB18" i="39"/>
  <c r="AA8" i="39"/>
  <c r="W8" i="39"/>
  <c r="X8" i="39"/>
  <c r="U7" i="39"/>
  <c r="AU7" i="39"/>
  <c r="AV7" i="39"/>
  <c r="BE8" i="39"/>
  <c r="BA8" i="39"/>
  <c r="AY7" i="39"/>
  <c r="BB8" i="39"/>
  <c r="AA15" i="39"/>
  <c r="W15" i="39"/>
  <c r="X15" i="39"/>
  <c r="BE15" i="39"/>
  <c r="BA15" i="39"/>
  <c r="BB15" i="39"/>
  <c r="AA19" i="39"/>
  <c r="W19" i="39"/>
  <c r="X19" i="39"/>
  <c r="BE19" i="39"/>
  <c r="BA19" i="39"/>
  <c r="BB19" i="39"/>
  <c r="BE12" i="39"/>
  <c r="BA12" i="39"/>
  <c r="BB12" i="39"/>
  <c r="AA9" i="39"/>
  <c r="W9" i="39"/>
  <c r="X9" i="39"/>
  <c r="BE9" i="39"/>
  <c r="BA9" i="39"/>
  <c r="BB9" i="39"/>
  <c r="AA16" i="39"/>
  <c r="W16" i="39"/>
  <c r="X16" i="39"/>
  <c r="AA18" i="39"/>
  <c r="W18" i="39"/>
  <c r="X18" i="39"/>
  <c r="AA13" i="39"/>
  <c r="W13" i="39"/>
  <c r="X13" i="39"/>
  <c r="AA17" i="39"/>
  <c r="W17" i="39"/>
  <c r="X17" i="39"/>
  <c r="BE17" i="39"/>
  <c r="BA17" i="39"/>
  <c r="BB17" i="39"/>
  <c r="BH17" i="39" l="1"/>
  <c r="BK17" i="39"/>
  <c r="BG17" i="39"/>
  <c r="AD13" i="39"/>
  <c r="AC13" i="39"/>
  <c r="BW13" i="39"/>
  <c r="AD18" i="39"/>
  <c r="AC18" i="39"/>
  <c r="BH9" i="39"/>
  <c r="BK9" i="39"/>
  <c r="BG9" i="39"/>
  <c r="BH12" i="39"/>
  <c r="BK12" i="39"/>
  <c r="BG12" i="39"/>
  <c r="AD19" i="39"/>
  <c r="AC19" i="39"/>
  <c r="AD15" i="39"/>
  <c r="AC15" i="39"/>
  <c r="BA7" i="39"/>
  <c r="BB7" i="39"/>
  <c r="BH8" i="39"/>
  <c r="BG8" i="39"/>
  <c r="BK8" i="39"/>
  <c r="BE7" i="39"/>
  <c r="W7" i="39"/>
  <c r="X7" i="39"/>
  <c r="BH18" i="39"/>
  <c r="BG18" i="39"/>
  <c r="BK18" i="39"/>
  <c r="BH14" i="39"/>
  <c r="BG14" i="39"/>
  <c r="BK14" i="39"/>
  <c r="AD12" i="39"/>
  <c r="AC12" i="39"/>
  <c r="AD17" i="39"/>
  <c r="AC17" i="39"/>
  <c r="AD16" i="39"/>
  <c r="AC16" i="39"/>
  <c r="AD9" i="39"/>
  <c r="AC9" i="39"/>
  <c r="BH19" i="39"/>
  <c r="BK19" i="39"/>
  <c r="BG19" i="39"/>
  <c r="BH15" i="39"/>
  <c r="BK15" i="39"/>
  <c r="BG15" i="39"/>
  <c r="AD8" i="39"/>
  <c r="AC8" i="39"/>
  <c r="AA7" i="39"/>
  <c r="BH16" i="39"/>
  <c r="BG16" i="39"/>
  <c r="BK16" i="39"/>
  <c r="AC7" i="39" l="1"/>
  <c r="AD7" i="39"/>
  <c r="BQ19" i="39"/>
  <c r="BM19" i="39"/>
  <c r="BN19" i="39"/>
  <c r="BQ14" i="39"/>
  <c r="BW14" i="39" s="1"/>
  <c r="BM14" i="39"/>
  <c r="BN14" i="39"/>
  <c r="BG7" i="39"/>
  <c r="BH7" i="39"/>
  <c r="BQ9" i="39"/>
  <c r="BM9" i="39"/>
  <c r="BN9" i="39"/>
  <c r="BQ17" i="39"/>
  <c r="BM17" i="39"/>
  <c r="BN17" i="39"/>
  <c r="BQ16" i="39"/>
  <c r="BM16" i="39"/>
  <c r="BN16" i="39"/>
  <c r="BQ15" i="39"/>
  <c r="BM15" i="39"/>
  <c r="BN15" i="39"/>
  <c r="BW16" i="39"/>
  <c r="BW17" i="39"/>
  <c r="BQ18" i="39"/>
  <c r="BM18" i="39"/>
  <c r="BN18" i="39"/>
  <c r="BQ8" i="39"/>
  <c r="BM8" i="39"/>
  <c r="BN8" i="39"/>
  <c r="BK7" i="39"/>
  <c r="BW19" i="39"/>
  <c r="BQ12" i="39"/>
  <c r="BM12" i="39"/>
  <c r="BN12" i="39"/>
  <c r="BT8" i="39" l="1"/>
  <c r="BS8" i="39"/>
  <c r="BQ7" i="39"/>
  <c r="BW8" i="39"/>
  <c r="BT16" i="39"/>
  <c r="BS16" i="39"/>
  <c r="BT9" i="39"/>
  <c r="BS9" i="39"/>
  <c r="BW9" i="39"/>
  <c r="BT12" i="39"/>
  <c r="BS12" i="39"/>
  <c r="BW12" i="39"/>
  <c r="BM7" i="39"/>
  <c r="BN7" i="39"/>
  <c r="BT18" i="39"/>
  <c r="BS18" i="39"/>
  <c r="BW18" i="39"/>
  <c r="BT15" i="39"/>
  <c r="BS15" i="39"/>
  <c r="BW15" i="39"/>
  <c r="BT17" i="39"/>
  <c r="BS17" i="39"/>
  <c r="BT14" i="39"/>
  <c r="BS14" i="39"/>
  <c r="BT19" i="39"/>
  <c r="BS19" i="39"/>
  <c r="BS7" i="39" l="1"/>
  <c r="BT7" i="39"/>
  <c r="BW7" i="39"/>
  <c r="BX27" i="40" l="1"/>
  <c r="I27" i="40"/>
  <c r="L27" i="40" s="1"/>
  <c r="F27" i="40"/>
  <c r="E27" i="40"/>
  <c r="BX26" i="40"/>
  <c r="I26" i="40"/>
  <c r="K26" i="40" s="1"/>
  <c r="E26" i="40"/>
  <c r="BX25" i="40"/>
  <c r="K25" i="40"/>
  <c r="I25" i="40"/>
  <c r="L25" i="40" s="1"/>
  <c r="F25" i="40"/>
  <c r="E25" i="40"/>
  <c r="BX24" i="40"/>
  <c r="I24" i="40"/>
  <c r="L24" i="40" s="1"/>
  <c r="F24" i="40"/>
  <c r="E24" i="40"/>
  <c r="BX23" i="40"/>
  <c r="I23" i="40"/>
  <c r="L23" i="40" s="1"/>
  <c r="F23" i="40"/>
  <c r="E23" i="40"/>
  <c r="BX22" i="40"/>
  <c r="I22" i="40"/>
  <c r="F22" i="40"/>
  <c r="E22" i="40"/>
  <c r="BX21" i="40"/>
  <c r="I21" i="40"/>
  <c r="L21" i="40" s="1"/>
  <c r="F21" i="40"/>
  <c r="E21" i="40"/>
  <c r="BX20" i="40"/>
  <c r="I20" i="40"/>
  <c r="L20" i="40" s="1"/>
  <c r="F20" i="40"/>
  <c r="E20" i="40"/>
  <c r="BX19" i="40"/>
  <c r="L19" i="40"/>
  <c r="I19" i="40"/>
  <c r="F19" i="40"/>
  <c r="E19" i="40"/>
  <c r="BX18" i="40"/>
  <c r="I18" i="40"/>
  <c r="L18" i="40" s="1"/>
  <c r="F18" i="40"/>
  <c r="E18" i="40"/>
  <c r="BX17" i="40"/>
  <c r="I17" i="40"/>
  <c r="F17" i="40"/>
  <c r="E17" i="40"/>
  <c r="BX16" i="40"/>
  <c r="I16" i="40"/>
  <c r="L16" i="40" s="1"/>
  <c r="F16" i="40"/>
  <c r="E16" i="40"/>
  <c r="BX15" i="40"/>
  <c r="L15" i="40"/>
  <c r="I15" i="40"/>
  <c r="F15" i="40"/>
  <c r="E15" i="40"/>
  <c r="BX14" i="40"/>
  <c r="I14" i="40"/>
  <c r="L14" i="40" s="1"/>
  <c r="F14" i="40"/>
  <c r="E14" i="40"/>
  <c r="BX13" i="40"/>
  <c r="I13" i="40"/>
  <c r="F13" i="40"/>
  <c r="E13" i="40"/>
  <c r="BX11" i="40"/>
  <c r="BE11" i="40"/>
  <c r="BH11" i="40" s="1"/>
  <c r="BB11" i="40"/>
  <c r="BA11" i="40"/>
  <c r="AG11" i="40"/>
  <c r="AD11" i="40"/>
  <c r="AC11" i="40"/>
  <c r="I11" i="40"/>
  <c r="L11" i="40" s="1"/>
  <c r="F11" i="40"/>
  <c r="E11" i="40"/>
  <c r="BX9" i="40"/>
  <c r="I9" i="40"/>
  <c r="F9" i="40"/>
  <c r="E9" i="40"/>
  <c r="BX8" i="40"/>
  <c r="I8" i="40"/>
  <c r="L8" i="40" s="1"/>
  <c r="F8" i="40"/>
  <c r="E8" i="40"/>
  <c r="BR7" i="40"/>
  <c r="BL7" i="40"/>
  <c r="BF7" i="40"/>
  <c r="AZ7" i="40"/>
  <c r="AT7" i="40"/>
  <c r="AN7" i="40"/>
  <c r="AH7" i="40"/>
  <c r="AB7" i="40"/>
  <c r="V7" i="40"/>
  <c r="P7" i="40"/>
  <c r="J7" i="40"/>
  <c r="D7" i="40"/>
  <c r="C7" i="40"/>
  <c r="K8" i="40" l="1"/>
  <c r="K14" i="40"/>
  <c r="K21" i="40"/>
  <c r="K11" i="40"/>
  <c r="K18" i="40"/>
  <c r="BK11" i="40"/>
  <c r="BN11" i="40" s="1"/>
  <c r="O16" i="40"/>
  <c r="R16" i="40" s="1"/>
  <c r="O23" i="40"/>
  <c r="Q23" i="40" s="1"/>
  <c r="O27" i="40"/>
  <c r="Q27" i="40" s="1"/>
  <c r="E7" i="40"/>
  <c r="O8" i="40"/>
  <c r="U8" i="40" s="1"/>
  <c r="AA8" i="40" s="1"/>
  <c r="O11" i="40"/>
  <c r="R11" i="40" s="1"/>
  <c r="BG11" i="40"/>
  <c r="O14" i="40"/>
  <c r="K16" i="40"/>
  <c r="O18" i="40"/>
  <c r="U18" i="40" s="1"/>
  <c r="O21" i="40"/>
  <c r="R21" i="40" s="1"/>
  <c r="K23" i="40"/>
  <c r="O25" i="40"/>
  <c r="R25" i="40" s="1"/>
  <c r="K27" i="40"/>
  <c r="X8" i="40"/>
  <c r="F7" i="40"/>
  <c r="BX7" i="40"/>
  <c r="R8" i="40"/>
  <c r="L9" i="40"/>
  <c r="AM11" i="40"/>
  <c r="AI11" i="40"/>
  <c r="O13" i="40"/>
  <c r="K13" i="40"/>
  <c r="U14" i="40"/>
  <c r="Q14" i="40"/>
  <c r="O17" i="40"/>
  <c r="K17" i="40"/>
  <c r="Q18" i="40"/>
  <c r="O22" i="40"/>
  <c r="K22" i="40"/>
  <c r="L22" i="40"/>
  <c r="U23" i="40"/>
  <c r="U27" i="40"/>
  <c r="R27" i="40"/>
  <c r="I7" i="40"/>
  <c r="K7" i="40" s="1"/>
  <c r="Q8" i="40"/>
  <c r="K9" i="40"/>
  <c r="O9" i="40"/>
  <c r="U11" i="40"/>
  <c r="AJ11" i="40"/>
  <c r="BQ11" i="40"/>
  <c r="BM11" i="40"/>
  <c r="L13" i="40"/>
  <c r="R14" i="40"/>
  <c r="O15" i="40"/>
  <c r="K15" i="40"/>
  <c r="U16" i="40"/>
  <c r="L17" i="40"/>
  <c r="R18" i="40"/>
  <c r="O19" i="40"/>
  <c r="K19" i="40"/>
  <c r="O20" i="40"/>
  <c r="K20" i="40"/>
  <c r="U21" i="40"/>
  <c r="O24" i="40"/>
  <c r="K24" i="40"/>
  <c r="U25" i="40"/>
  <c r="O26" i="40"/>
  <c r="Q11" i="40" l="1"/>
  <c r="R23" i="40"/>
  <c r="W8" i="40"/>
  <c r="Q25" i="40"/>
  <c r="Q21" i="40"/>
  <c r="Q16" i="40"/>
  <c r="U26" i="40"/>
  <c r="Q26" i="40"/>
  <c r="X21" i="40"/>
  <c r="W21" i="40"/>
  <c r="AA21" i="40"/>
  <c r="R20" i="40"/>
  <c r="Q20" i="40"/>
  <c r="U20" i="40"/>
  <c r="X11" i="40"/>
  <c r="W11" i="40"/>
  <c r="O7" i="40"/>
  <c r="R22" i="40"/>
  <c r="U22" i="40"/>
  <c r="Q22" i="40"/>
  <c r="X14" i="40"/>
  <c r="AA14" i="40"/>
  <c r="W14" i="40"/>
  <c r="R13" i="40"/>
  <c r="U13" i="40"/>
  <c r="Q13" i="40"/>
  <c r="X25" i="40"/>
  <c r="W25" i="40"/>
  <c r="AA25" i="40"/>
  <c r="R24" i="40"/>
  <c r="Q24" i="40"/>
  <c r="U24" i="40"/>
  <c r="R19" i="40"/>
  <c r="Q19" i="40"/>
  <c r="U19" i="40"/>
  <c r="X16" i="40"/>
  <c r="W16" i="40"/>
  <c r="AA16" i="40"/>
  <c r="R15" i="40"/>
  <c r="Q15" i="40"/>
  <c r="U15" i="40"/>
  <c r="BT11" i="40"/>
  <c r="BS11" i="40"/>
  <c r="R9" i="40"/>
  <c r="U9" i="40"/>
  <c r="Q9" i="40"/>
  <c r="X27" i="40"/>
  <c r="AA27" i="40"/>
  <c r="W27" i="40"/>
  <c r="X23" i="40"/>
  <c r="AA23" i="40"/>
  <c r="W23" i="40"/>
  <c r="X18" i="40"/>
  <c r="AA18" i="40"/>
  <c r="W18" i="40"/>
  <c r="R17" i="40"/>
  <c r="U17" i="40"/>
  <c r="Q17" i="40"/>
  <c r="AP11" i="40"/>
  <c r="AS11" i="40"/>
  <c r="BW11" i="40" s="1"/>
  <c r="AO11" i="40"/>
  <c r="L7" i="40"/>
  <c r="AG8" i="40"/>
  <c r="AC8" i="40"/>
  <c r="AD8" i="40"/>
  <c r="AG18" i="40" l="1"/>
  <c r="AC18" i="40"/>
  <c r="AD18" i="40"/>
  <c r="AA9" i="40"/>
  <c r="W9" i="40"/>
  <c r="X9" i="40"/>
  <c r="U7" i="40"/>
  <c r="AG16" i="40"/>
  <c r="AC16" i="40"/>
  <c r="AD16" i="40"/>
  <c r="AA24" i="40"/>
  <c r="W24" i="40"/>
  <c r="X24" i="40"/>
  <c r="AG14" i="40"/>
  <c r="AC14" i="40"/>
  <c r="AD14" i="40"/>
  <c r="AG21" i="40"/>
  <c r="AC21" i="40"/>
  <c r="AD21" i="40"/>
  <c r="AJ8" i="40"/>
  <c r="AM8" i="40"/>
  <c r="AI8" i="40"/>
  <c r="AU11" i="40"/>
  <c r="AV11" i="40"/>
  <c r="AA17" i="40"/>
  <c r="W17" i="40"/>
  <c r="X17" i="40"/>
  <c r="AG27" i="40"/>
  <c r="AC27" i="40"/>
  <c r="AD27" i="40"/>
  <c r="AA15" i="40"/>
  <c r="W15" i="40"/>
  <c r="X15" i="40"/>
  <c r="AG25" i="40"/>
  <c r="AC25" i="40"/>
  <c r="AD25" i="40"/>
  <c r="AA13" i="40"/>
  <c r="W13" i="40"/>
  <c r="X13" i="40"/>
  <c r="AA22" i="40"/>
  <c r="W22" i="40"/>
  <c r="X22" i="40"/>
  <c r="Q7" i="40"/>
  <c r="R7" i="40"/>
  <c r="AA20" i="40"/>
  <c r="W20" i="40"/>
  <c r="X20" i="40"/>
  <c r="AA26" i="40"/>
  <c r="W26" i="40"/>
  <c r="AG23" i="40"/>
  <c r="AC23" i="40"/>
  <c r="AD23" i="40"/>
  <c r="AA19" i="40"/>
  <c r="W19" i="40"/>
  <c r="X19" i="40"/>
  <c r="AD19" i="40" l="1"/>
  <c r="AG19" i="40"/>
  <c r="AC19" i="40"/>
  <c r="AJ23" i="40"/>
  <c r="AI23" i="40"/>
  <c r="AM23" i="40"/>
  <c r="AG26" i="40"/>
  <c r="AC26" i="40"/>
  <c r="AD20" i="40"/>
  <c r="AG20" i="40"/>
  <c r="AC20" i="40"/>
  <c r="AD13" i="40"/>
  <c r="AC13" i="40"/>
  <c r="AG13" i="40"/>
  <c r="AD15" i="40"/>
  <c r="AG15" i="40"/>
  <c r="AC15" i="40"/>
  <c r="AJ27" i="40"/>
  <c r="AI27" i="40"/>
  <c r="AM27" i="40"/>
  <c r="AD17" i="40"/>
  <c r="AC17" i="40"/>
  <c r="AG17" i="40"/>
  <c r="AS8" i="40"/>
  <c r="AO8" i="40"/>
  <c r="AP8" i="40"/>
  <c r="AJ14" i="40"/>
  <c r="AI14" i="40"/>
  <c r="AM14" i="40"/>
  <c r="AD24" i="40"/>
  <c r="AG24" i="40"/>
  <c r="AC24" i="40"/>
  <c r="W7" i="40"/>
  <c r="X7" i="40"/>
  <c r="AD22" i="40"/>
  <c r="AC22" i="40"/>
  <c r="AG22" i="40"/>
  <c r="AJ25" i="40"/>
  <c r="AM25" i="40"/>
  <c r="AI25" i="40"/>
  <c r="AJ21" i="40"/>
  <c r="AM21" i="40"/>
  <c r="AI21" i="40"/>
  <c r="AJ16" i="40"/>
  <c r="AM16" i="40"/>
  <c r="AI16" i="40"/>
  <c r="AD9" i="40"/>
  <c r="AG9" i="40"/>
  <c r="AC9" i="40"/>
  <c r="AA7" i="40"/>
  <c r="AJ18" i="40"/>
  <c r="AI18" i="40"/>
  <c r="AM18" i="40"/>
  <c r="AS18" i="40" l="1"/>
  <c r="AO18" i="40"/>
  <c r="AP18" i="40"/>
  <c r="AS16" i="40"/>
  <c r="AO16" i="40"/>
  <c r="AP16" i="40"/>
  <c r="AM22" i="40"/>
  <c r="AI22" i="40"/>
  <c r="AJ22" i="40"/>
  <c r="AS14" i="40"/>
  <c r="AO14" i="40"/>
  <c r="AP14" i="40"/>
  <c r="AV8" i="40"/>
  <c r="AY8" i="40"/>
  <c r="AU8" i="40"/>
  <c r="AS27" i="40"/>
  <c r="AO27" i="40"/>
  <c r="AP27" i="40"/>
  <c r="AM15" i="40"/>
  <c r="AI15" i="40"/>
  <c r="AJ15" i="40"/>
  <c r="AM20" i="40"/>
  <c r="AI20" i="40"/>
  <c r="AJ20" i="40"/>
  <c r="AM26" i="40"/>
  <c r="AI26" i="40"/>
  <c r="AC7" i="40"/>
  <c r="AD7" i="40"/>
  <c r="AM9" i="40"/>
  <c r="AI9" i="40"/>
  <c r="AJ9" i="40"/>
  <c r="AG7" i="40"/>
  <c r="AS21" i="40"/>
  <c r="AO21" i="40"/>
  <c r="AP21" i="40"/>
  <c r="AS25" i="40"/>
  <c r="AO25" i="40"/>
  <c r="AP25" i="40"/>
  <c r="AM24" i="40"/>
  <c r="AI24" i="40"/>
  <c r="AJ24" i="40"/>
  <c r="AM17" i="40"/>
  <c r="AI17" i="40"/>
  <c r="AJ17" i="40"/>
  <c r="AM13" i="40"/>
  <c r="AI13" i="40"/>
  <c r="AJ13" i="40"/>
  <c r="AS23" i="40"/>
  <c r="AO23" i="40"/>
  <c r="AP23" i="40"/>
  <c r="AM19" i="40"/>
  <c r="AI19" i="40"/>
  <c r="AJ19" i="40"/>
  <c r="AP13" i="40" l="1"/>
  <c r="AS13" i="40"/>
  <c r="AO13" i="40"/>
  <c r="AP17" i="40"/>
  <c r="AS17" i="40"/>
  <c r="AO17" i="40"/>
  <c r="AP24" i="40"/>
  <c r="AO24" i="40"/>
  <c r="AS24" i="40"/>
  <c r="AV25" i="40"/>
  <c r="AU25" i="40"/>
  <c r="AY25" i="40"/>
  <c r="AV21" i="40"/>
  <c r="AU21" i="40"/>
  <c r="AY21" i="40"/>
  <c r="AJ7" i="40"/>
  <c r="AI7" i="40"/>
  <c r="AP20" i="40"/>
  <c r="AO20" i="40"/>
  <c r="AS20" i="40"/>
  <c r="AP15" i="40"/>
  <c r="AO15" i="40"/>
  <c r="AS15" i="40"/>
  <c r="AV27" i="40"/>
  <c r="AY27" i="40"/>
  <c r="AU27" i="40"/>
  <c r="AV14" i="40"/>
  <c r="AY14" i="40"/>
  <c r="AU14" i="40"/>
  <c r="AV18" i="40"/>
  <c r="AY18" i="40"/>
  <c r="AU18" i="40"/>
  <c r="AP19" i="40"/>
  <c r="AO19" i="40"/>
  <c r="AS19" i="40"/>
  <c r="AV23" i="40"/>
  <c r="AY23" i="40"/>
  <c r="AU23" i="40"/>
  <c r="AP9" i="40"/>
  <c r="AS9" i="40"/>
  <c r="AO9" i="40"/>
  <c r="AM7" i="40"/>
  <c r="AS26" i="40"/>
  <c r="AO26" i="40"/>
  <c r="BE8" i="40"/>
  <c r="BA8" i="40"/>
  <c r="BB8" i="40"/>
  <c r="AP22" i="40"/>
  <c r="AS22" i="40"/>
  <c r="AO22" i="40"/>
  <c r="AV16" i="40"/>
  <c r="AU16" i="40"/>
  <c r="AY16" i="40"/>
  <c r="BE16" i="40" l="1"/>
  <c r="BA16" i="40"/>
  <c r="BB16" i="40"/>
  <c r="BH8" i="40"/>
  <c r="BK8" i="40"/>
  <c r="BG8" i="40"/>
  <c r="AO7" i="40"/>
  <c r="AP7" i="40"/>
  <c r="AY9" i="40"/>
  <c r="AU9" i="40"/>
  <c r="AV9" i="40"/>
  <c r="AS7" i="40"/>
  <c r="BE27" i="40"/>
  <c r="BA27" i="40"/>
  <c r="BB27" i="40"/>
  <c r="AY15" i="40"/>
  <c r="AU15" i="40"/>
  <c r="AV15" i="40"/>
  <c r="AY20" i="40"/>
  <c r="AU20" i="40"/>
  <c r="AV20" i="40"/>
  <c r="AY24" i="40"/>
  <c r="AU24" i="40"/>
  <c r="AV24" i="40"/>
  <c r="AY17" i="40"/>
  <c r="AU17" i="40"/>
  <c r="AV17" i="40"/>
  <c r="AY22" i="40"/>
  <c r="AU22" i="40"/>
  <c r="AV22" i="40"/>
  <c r="AY26" i="40"/>
  <c r="AU26" i="40"/>
  <c r="BE23" i="40"/>
  <c r="BA23" i="40"/>
  <c r="BB23" i="40"/>
  <c r="AY19" i="40"/>
  <c r="AU19" i="40"/>
  <c r="AV19" i="40"/>
  <c r="BE18" i="40"/>
  <c r="BA18" i="40"/>
  <c r="BB18" i="40"/>
  <c r="BE14" i="40"/>
  <c r="BA14" i="40"/>
  <c r="BB14" i="40"/>
  <c r="BE21" i="40"/>
  <c r="BA21" i="40"/>
  <c r="BB21" i="40"/>
  <c r="BE25" i="40"/>
  <c r="BA25" i="40"/>
  <c r="BB25" i="40"/>
  <c r="AY13" i="40"/>
  <c r="AU13" i="40"/>
  <c r="AV13" i="40"/>
  <c r="BH25" i="40" l="1"/>
  <c r="BK25" i="40"/>
  <c r="BG25" i="40"/>
  <c r="BH21" i="40"/>
  <c r="BK21" i="40"/>
  <c r="BG21" i="40"/>
  <c r="BB19" i="40"/>
  <c r="BE19" i="40"/>
  <c r="BA19" i="40"/>
  <c r="BB22" i="40"/>
  <c r="BA22" i="40"/>
  <c r="BE22" i="40"/>
  <c r="BB20" i="40"/>
  <c r="BE20" i="40"/>
  <c r="BA20" i="40"/>
  <c r="BB15" i="40"/>
  <c r="BE15" i="40"/>
  <c r="BA15" i="40"/>
  <c r="BH27" i="40"/>
  <c r="BG27" i="40"/>
  <c r="BK27" i="40"/>
  <c r="BH16" i="40"/>
  <c r="BK16" i="40"/>
  <c r="BG16" i="40"/>
  <c r="BB13" i="40"/>
  <c r="BA13" i="40"/>
  <c r="BE13" i="40"/>
  <c r="BH14" i="40"/>
  <c r="BG14" i="40"/>
  <c r="BK14" i="40"/>
  <c r="BH18" i="40"/>
  <c r="BG18" i="40"/>
  <c r="BK18" i="40"/>
  <c r="BH23" i="40"/>
  <c r="BG23" i="40"/>
  <c r="BK23" i="40"/>
  <c r="BE26" i="40"/>
  <c r="BA26" i="40"/>
  <c r="BB17" i="40"/>
  <c r="BA17" i="40"/>
  <c r="BE17" i="40"/>
  <c r="BB24" i="40"/>
  <c r="BE24" i="40"/>
  <c r="BA24" i="40"/>
  <c r="AU7" i="40"/>
  <c r="AV7" i="40"/>
  <c r="BB9" i="40"/>
  <c r="BE9" i="40"/>
  <c r="BA9" i="40"/>
  <c r="AY7" i="40"/>
  <c r="BQ8" i="40"/>
  <c r="BM8" i="40"/>
  <c r="BN8" i="40"/>
  <c r="BA7" i="40" l="1"/>
  <c r="BB7" i="40"/>
  <c r="BK9" i="40"/>
  <c r="BG9" i="40"/>
  <c r="BH9" i="40"/>
  <c r="BE7" i="40"/>
  <c r="BK26" i="40"/>
  <c r="BG26" i="40"/>
  <c r="BQ18" i="40"/>
  <c r="BM18" i="40"/>
  <c r="BN18" i="40"/>
  <c r="BQ14" i="40"/>
  <c r="BM14" i="40"/>
  <c r="BN14" i="40"/>
  <c r="BK13" i="40"/>
  <c r="BG13" i="40"/>
  <c r="BH13" i="40"/>
  <c r="BQ16" i="40"/>
  <c r="BW16" i="40" s="1"/>
  <c r="BM16" i="40"/>
  <c r="BN16" i="40"/>
  <c r="BQ27" i="40"/>
  <c r="BW27" i="40" s="1"/>
  <c r="BM27" i="40"/>
  <c r="BN27" i="40"/>
  <c r="BK15" i="40"/>
  <c r="BG15" i="40"/>
  <c r="BH15" i="40"/>
  <c r="BK20" i="40"/>
  <c r="BG20" i="40"/>
  <c r="BH20" i="40"/>
  <c r="BQ21" i="40"/>
  <c r="BW21" i="40" s="1"/>
  <c r="BM21" i="40"/>
  <c r="BN21" i="40"/>
  <c r="BT8" i="40"/>
  <c r="BS8" i="40"/>
  <c r="BW8" i="40"/>
  <c r="BK24" i="40"/>
  <c r="BG24" i="40"/>
  <c r="BH24" i="40"/>
  <c r="BK17" i="40"/>
  <c r="BG17" i="40"/>
  <c r="BH17" i="40"/>
  <c r="BQ23" i="40"/>
  <c r="BW23" i="40" s="1"/>
  <c r="BM23" i="40"/>
  <c r="BN23" i="40"/>
  <c r="BK22" i="40"/>
  <c r="BG22" i="40"/>
  <c r="BH22" i="40"/>
  <c r="BK19" i="40"/>
  <c r="BG19" i="40"/>
  <c r="BH19" i="40"/>
  <c r="BQ25" i="40"/>
  <c r="BM25" i="40"/>
  <c r="BN25" i="40"/>
  <c r="BW18" i="40"/>
  <c r="BN22" i="40" l="1"/>
  <c r="BQ22" i="40"/>
  <c r="BM22" i="40"/>
  <c r="BT23" i="40"/>
  <c r="BS23" i="40"/>
  <c r="BN24" i="40"/>
  <c r="BM24" i="40"/>
  <c r="BQ24" i="40"/>
  <c r="BN20" i="40"/>
  <c r="BM20" i="40"/>
  <c r="BQ20" i="40"/>
  <c r="BW20" i="40" s="1"/>
  <c r="BN15" i="40"/>
  <c r="BM15" i="40"/>
  <c r="BQ15" i="40"/>
  <c r="BT27" i="40"/>
  <c r="BS27" i="40"/>
  <c r="BT16" i="40"/>
  <c r="BS16" i="40"/>
  <c r="BT14" i="40"/>
  <c r="BS14" i="40"/>
  <c r="BW14" i="40"/>
  <c r="BH7" i="40"/>
  <c r="BG7" i="40"/>
  <c r="BT25" i="40"/>
  <c r="BS25" i="40"/>
  <c r="BW25" i="40"/>
  <c r="BQ19" i="40"/>
  <c r="BN19" i="40"/>
  <c r="BM19" i="40"/>
  <c r="BN17" i="40"/>
  <c r="BQ17" i="40"/>
  <c r="BM17" i="40"/>
  <c r="BT21" i="40"/>
  <c r="BS21" i="40"/>
  <c r="BN13" i="40"/>
  <c r="BQ13" i="40"/>
  <c r="BW13" i="40" s="1"/>
  <c r="BM13" i="40"/>
  <c r="BT18" i="40"/>
  <c r="BS18" i="40"/>
  <c r="BQ26" i="40"/>
  <c r="BS26" i="40" s="1"/>
  <c r="BM26" i="40"/>
  <c r="BN9" i="40"/>
  <c r="BM9" i="40"/>
  <c r="BQ9" i="40"/>
  <c r="BK7" i="40"/>
  <c r="BW22" i="40"/>
  <c r="BW26" i="40" l="1"/>
  <c r="BM7" i="40"/>
  <c r="BN7" i="40"/>
  <c r="BS17" i="40"/>
  <c r="BT17" i="40"/>
  <c r="BT19" i="40"/>
  <c r="BS19" i="40"/>
  <c r="BS24" i="40"/>
  <c r="BT24" i="40"/>
  <c r="BW24" i="40"/>
  <c r="BS22" i="40"/>
  <c r="BT22" i="40"/>
  <c r="BW17" i="40"/>
  <c r="BS9" i="40"/>
  <c r="BT9" i="40"/>
  <c r="BQ7" i="40"/>
  <c r="BW9" i="40"/>
  <c r="BS13" i="40"/>
  <c r="BT13" i="40"/>
  <c r="BS15" i="40"/>
  <c r="BT15" i="40"/>
  <c r="BW15" i="40"/>
  <c r="BS20" i="40"/>
  <c r="BT20" i="40"/>
  <c r="BW19" i="40"/>
  <c r="BS7" i="40" l="1"/>
  <c r="BT7" i="40"/>
  <c r="BW7" i="40"/>
  <c r="AF91" i="48" l="1"/>
  <c r="P91" i="48"/>
  <c r="BW50" i="38" l="1"/>
  <c r="BX50" i="38" s="1"/>
  <c r="C49" i="38"/>
  <c r="BX45" i="38"/>
  <c r="BX44" i="38"/>
  <c r="BX43" i="38"/>
  <c r="BS43" i="38"/>
  <c r="BM43" i="38"/>
  <c r="BG43" i="38"/>
  <c r="BA43" i="38"/>
  <c r="AU43" i="38"/>
  <c r="AO43" i="38"/>
  <c r="AI43" i="38"/>
  <c r="AC43" i="38"/>
  <c r="Q43" i="38"/>
  <c r="K43" i="38"/>
  <c r="E43" i="38"/>
  <c r="BX42" i="38"/>
  <c r="BS42" i="38"/>
  <c r="BG42" i="38"/>
  <c r="AU42" i="38"/>
  <c r="AI42" i="38"/>
  <c r="Q42" i="38"/>
  <c r="K42" i="38"/>
  <c r="E42" i="38"/>
  <c r="BX41" i="38"/>
  <c r="BS41" i="38"/>
  <c r="BG41" i="38"/>
  <c r="AU41" i="38"/>
  <c r="AI41" i="38"/>
  <c r="Q41" i="38"/>
  <c r="K41" i="38"/>
  <c r="E41" i="38"/>
  <c r="BX40" i="38"/>
  <c r="BS40" i="38"/>
  <c r="BG40" i="38"/>
  <c r="AU40" i="38"/>
  <c r="AI40" i="38"/>
  <c r="Q40" i="38"/>
  <c r="K40" i="38"/>
  <c r="E40" i="38"/>
  <c r="BX39" i="38"/>
  <c r="O39" i="38"/>
  <c r="AA39" i="38" s="1"/>
  <c r="L39" i="38"/>
  <c r="I39" i="38"/>
  <c r="F39" i="38"/>
  <c r="E39" i="38"/>
  <c r="BX38" i="38"/>
  <c r="O38" i="38"/>
  <c r="I38" i="38"/>
  <c r="U38" i="38" s="1"/>
  <c r="W38" i="38" s="1"/>
  <c r="F38" i="38"/>
  <c r="E38" i="38"/>
  <c r="BX37" i="38"/>
  <c r="O37" i="38"/>
  <c r="AA37" i="38" s="1"/>
  <c r="L37" i="38"/>
  <c r="I37" i="38"/>
  <c r="F37" i="38"/>
  <c r="E37" i="38"/>
  <c r="BT36" i="38"/>
  <c r="BN36" i="38"/>
  <c r="BH36" i="38"/>
  <c r="BB36" i="38"/>
  <c r="AV36" i="38"/>
  <c r="AP36" i="38"/>
  <c r="AJ36" i="38"/>
  <c r="AD36" i="38"/>
  <c r="X36" i="38"/>
  <c r="R36" i="38"/>
  <c r="L36" i="38"/>
  <c r="F36" i="38"/>
  <c r="BX35" i="38"/>
  <c r="O35" i="38"/>
  <c r="AA35" i="38" s="1"/>
  <c r="AD35" i="38" s="1"/>
  <c r="I35" i="38"/>
  <c r="L35" i="38" s="1"/>
  <c r="F35" i="38"/>
  <c r="E35" i="38"/>
  <c r="BX34" i="38"/>
  <c r="O34" i="38"/>
  <c r="Q34" i="38" s="1"/>
  <c r="I34" i="38"/>
  <c r="U34" i="38" s="1"/>
  <c r="F34" i="38"/>
  <c r="E34" i="38"/>
  <c r="BX33" i="38"/>
  <c r="O33" i="38"/>
  <c r="AA33" i="38" s="1"/>
  <c r="L33" i="38"/>
  <c r="I33" i="38"/>
  <c r="F33" i="38"/>
  <c r="E33" i="38"/>
  <c r="BX32" i="38"/>
  <c r="O32" i="38"/>
  <c r="Q32" i="38" s="1"/>
  <c r="I32" i="38"/>
  <c r="U32" i="38" s="1"/>
  <c r="F32" i="38"/>
  <c r="E32" i="38"/>
  <c r="BX31" i="38"/>
  <c r="O31" i="38"/>
  <c r="AA31" i="38" s="1"/>
  <c r="I31" i="38"/>
  <c r="L31" i="38" s="1"/>
  <c r="F31" i="38"/>
  <c r="E31" i="38"/>
  <c r="BX30" i="38"/>
  <c r="BM30" i="38"/>
  <c r="AY30" i="38"/>
  <c r="BA30" i="38" s="1"/>
  <c r="AO30" i="38"/>
  <c r="AG30" i="38"/>
  <c r="AC30" i="38"/>
  <c r="W30" i="38"/>
  <c r="U30" i="38"/>
  <c r="Q30" i="38"/>
  <c r="O30" i="38"/>
  <c r="K30" i="38"/>
  <c r="E30" i="38"/>
  <c r="BX28" i="38"/>
  <c r="E28" i="38"/>
  <c r="C28" i="38"/>
  <c r="I28" i="38" s="1"/>
  <c r="K28" i="38" s="1"/>
  <c r="BX27" i="38"/>
  <c r="O27" i="38"/>
  <c r="AA27" i="38" s="1"/>
  <c r="I27" i="38"/>
  <c r="L27" i="38" s="1"/>
  <c r="F27" i="38"/>
  <c r="E27" i="38"/>
  <c r="BR26" i="38"/>
  <c r="BL26" i="38"/>
  <c r="BF26" i="38"/>
  <c r="AZ26" i="38"/>
  <c r="AT26" i="38"/>
  <c r="AN26" i="38"/>
  <c r="AH26" i="38"/>
  <c r="AB26" i="38"/>
  <c r="V26" i="38"/>
  <c r="P26" i="38"/>
  <c r="J26" i="38"/>
  <c r="D26" i="38"/>
  <c r="C26" i="38"/>
  <c r="BX25" i="38"/>
  <c r="I25" i="38"/>
  <c r="L25" i="38" s="1"/>
  <c r="F25" i="38"/>
  <c r="E25" i="38"/>
  <c r="BX24" i="38"/>
  <c r="I24" i="38"/>
  <c r="F24" i="38"/>
  <c r="E24" i="38"/>
  <c r="BX23" i="38"/>
  <c r="I23" i="38"/>
  <c r="L23" i="38" s="1"/>
  <c r="F23" i="38"/>
  <c r="E23" i="38"/>
  <c r="BR22" i="38"/>
  <c r="BL22" i="38"/>
  <c r="BF22" i="38"/>
  <c r="AZ22" i="38"/>
  <c r="AT22" i="38"/>
  <c r="AN22" i="38"/>
  <c r="AH22" i="38"/>
  <c r="AB22" i="38"/>
  <c r="V22" i="38"/>
  <c r="P22" i="38"/>
  <c r="J22" i="38"/>
  <c r="D22" i="38"/>
  <c r="C22" i="38"/>
  <c r="BT21" i="38"/>
  <c r="AV21" i="38"/>
  <c r="X21" i="38"/>
  <c r="BT20" i="38"/>
  <c r="AV20" i="38"/>
  <c r="X20" i="38"/>
  <c r="BT19" i="38"/>
  <c r="AV19" i="38"/>
  <c r="X19" i="38"/>
  <c r="BX18" i="38"/>
  <c r="I18" i="38"/>
  <c r="L18" i="38" s="1"/>
  <c r="F18" i="38"/>
  <c r="E18" i="38"/>
  <c r="BT17" i="38"/>
  <c r="BN17" i="38"/>
  <c r="BH17" i="38"/>
  <c r="BB17" i="38"/>
  <c r="AV17" i="38"/>
  <c r="AP17" i="38"/>
  <c r="AJ17" i="38"/>
  <c r="AD17" i="38"/>
  <c r="X17" i="38"/>
  <c r="R17" i="38"/>
  <c r="L17" i="38"/>
  <c r="F17" i="38"/>
  <c r="BT16" i="38"/>
  <c r="BN16" i="38"/>
  <c r="BH16" i="38"/>
  <c r="BB16" i="38"/>
  <c r="AV16" i="38"/>
  <c r="AP16" i="38"/>
  <c r="AJ16" i="38"/>
  <c r="AD16" i="38"/>
  <c r="X16" i="38"/>
  <c r="R16" i="38"/>
  <c r="L16" i="38"/>
  <c r="F16" i="38"/>
  <c r="BT15" i="38"/>
  <c r="BN15" i="38"/>
  <c r="BH15" i="38"/>
  <c r="BB15" i="38"/>
  <c r="AV15" i="38"/>
  <c r="AP15" i="38"/>
  <c r="AJ15" i="38"/>
  <c r="AD15" i="38"/>
  <c r="X15" i="38"/>
  <c r="R15" i="38"/>
  <c r="L15" i="38"/>
  <c r="F15" i="38"/>
  <c r="BT14" i="38"/>
  <c r="BN14" i="38"/>
  <c r="BH14" i="38"/>
  <c r="BB14" i="38"/>
  <c r="AV14" i="38"/>
  <c r="AP14" i="38"/>
  <c r="AJ14" i="38"/>
  <c r="AD14" i="38"/>
  <c r="X14" i="38"/>
  <c r="R14" i="38"/>
  <c r="L14" i="38"/>
  <c r="F14" i="38"/>
  <c r="BX13" i="38"/>
  <c r="I13" i="38"/>
  <c r="L13" i="38" s="1"/>
  <c r="F13" i="38"/>
  <c r="E13" i="38"/>
  <c r="BX12" i="38"/>
  <c r="I12" i="38"/>
  <c r="F12" i="38"/>
  <c r="E12" i="38"/>
  <c r="BX10" i="38"/>
  <c r="BW10" i="38"/>
  <c r="BT10" i="38"/>
  <c r="BS10" i="38"/>
  <c r="BN10" i="38"/>
  <c r="BM10" i="38"/>
  <c r="BH10" i="38"/>
  <c r="BG10" i="38"/>
  <c r="BB10" i="38"/>
  <c r="BA10" i="38"/>
  <c r="AV10" i="38"/>
  <c r="AU10" i="38"/>
  <c r="AP10" i="38"/>
  <c r="AO10" i="38"/>
  <c r="AJ10" i="38"/>
  <c r="AI10" i="38"/>
  <c r="AD10" i="38"/>
  <c r="AC10" i="38"/>
  <c r="X10" i="38"/>
  <c r="W10" i="38"/>
  <c r="R10" i="38"/>
  <c r="Q10" i="38"/>
  <c r="L10" i="38"/>
  <c r="K10" i="38"/>
  <c r="F10" i="38"/>
  <c r="E10" i="38"/>
  <c r="BX9" i="38"/>
  <c r="BW9" i="38"/>
  <c r="BT9" i="38"/>
  <c r="BS9" i="38"/>
  <c r="BN9" i="38"/>
  <c r="BM9" i="38"/>
  <c r="BH9" i="38"/>
  <c r="BG9" i="38"/>
  <c r="BB9" i="38"/>
  <c r="BA9" i="38"/>
  <c r="AV9" i="38"/>
  <c r="AU9" i="38"/>
  <c r="AP9" i="38"/>
  <c r="AO9" i="38"/>
  <c r="AJ9" i="38"/>
  <c r="AI9" i="38"/>
  <c r="AD9" i="38"/>
  <c r="AC9" i="38"/>
  <c r="X9" i="38"/>
  <c r="W9" i="38"/>
  <c r="R9" i="38"/>
  <c r="Q9" i="38"/>
  <c r="L9" i="38"/>
  <c r="K9" i="38"/>
  <c r="F9" i="38"/>
  <c r="E9" i="38"/>
  <c r="BR8" i="38"/>
  <c r="BL8" i="38"/>
  <c r="BF8" i="38"/>
  <c r="AZ8" i="38"/>
  <c r="AT8" i="38"/>
  <c r="AN8" i="38"/>
  <c r="AH8" i="38"/>
  <c r="AB8" i="38"/>
  <c r="V8" i="38"/>
  <c r="P8" i="38"/>
  <c r="J8" i="38"/>
  <c r="I8" i="38"/>
  <c r="D8" i="38"/>
  <c r="C8" i="38"/>
  <c r="C7" i="38"/>
  <c r="BX26" i="38" l="1"/>
  <c r="K32" i="38"/>
  <c r="Q33" i="38"/>
  <c r="BX8" i="38"/>
  <c r="K13" i="38"/>
  <c r="K25" i="38"/>
  <c r="Q37" i="38"/>
  <c r="Q39" i="38"/>
  <c r="O23" i="38"/>
  <c r="R23" i="38" s="1"/>
  <c r="K8" i="38"/>
  <c r="O13" i="38"/>
  <c r="Q13" i="38" s="1"/>
  <c r="K23" i="38"/>
  <c r="O25" i="38"/>
  <c r="Q27" i="38"/>
  <c r="Q31" i="38"/>
  <c r="K34" i="38"/>
  <c r="Q35" i="38"/>
  <c r="K38" i="38"/>
  <c r="O12" i="38"/>
  <c r="K12" i="38"/>
  <c r="U13" i="38"/>
  <c r="E22" i="38"/>
  <c r="F21" i="38"/>
  <c r="F20" i="38"/>
  <c r="F19" i="38"/>
  <c r="D7" i="38"/>
  <c r="J7" i="38"/>
  <c r="R21" i="38"/>
  <c r="R20" i="38"/>
  <c r="R19" i="38"/>
  <c r="P7" i="38"/>
  <c r="V7" i="38"/>
  <c r="AD21" i="38"/>
  <c r="AD20" i="38"/>
  <c r="AD19" i="38"/>
  <c r="AB7" i="38"/>
  <c r="AH7" i="38"/>
  <c r="AP21" i="38"/>
  <c r="AP20" i="38"/>
  <c r="AP19" i="38"/>
  <c r="AN7" i="38"/>
  <c r="AT7" i="38"/>
  <c r="BB21" i="38"/>
  <c r="BB20" i="38"/>
  <c r="BB19" i="38"/>
  <c r="AZ7" i="38"/>
  <c r="BF7" i="38"/>
  <c r="BN21" i="38"/>
  <c r="BN20" i="38"/>
  <c r="BN19" i="38"/>
  <c r="BL7" i="38"/>
  <c r="BR7" i="38"/>
  <c r="BX22" i="38"/>
  <c r="O24" i="38"/>
  <c r="O22" i="38" s="1"/>
  <c r="K24" i="38"/>
  <c r="I22" i="38"/>
  <c r="K22" i="38" s="1"/>
  <c r="U25" i="38"/>
  <c r="Q25" i="38"/>
  <c r="E8" i="38"/>
  <c r="L8" i="38"/>
  <c r="L12" i="38"/>
  <c r="R13" i="38"/>
  <c r="O18" i="38"/>
  <c r="K18" i="38"/>
  <c r="L19" i="38"/>
  <c r="AJ19" i="38"/>
  <c r="BH19" i="38"/>
  <c r="L20" i="38"/>
  <c r="AJ20" i="38"/>
  <c r="BH20" i="38"/>
  <c r="L21" i="38"/>
  <c r="AJ21" i="38"/>
  <c r="BH21" i="38"/>
  <c r="F22" i="38"/>
  <c r="L22" i="38"/>
  <c r="U23" i="38"/>
  <c r="Q23" i="38"/>
  <c r="L24" i="38"/>
  <c r="R25" i="38"/>
  <c r="E26" i="38"/>
  <c r="AG32" i="38"/>
  <c r="X32" i="38"/>
  <c r="W32" i="38"/>
  <c r="AG34" i="38"/>
  <c r="X34" i="38"/>
  <c r="W34" i="38"/>
  <c r="F8" i="38"/>
  <c r="I26" i="38"/>
  <c r="K26" i="38" s="1"/>
  <c r="K27" i="38"/>
  <c r="AM27" i="38"/>
  <c r="AD27" i="38"/>
  <c r="U27" i="38"/>
  <c r="AC27" i="38"/>
  <c r="L28" i="38"/>
  <c r="U28" i="38"/>
  <c r="AS30" i="38"/>
  <c r="AI30" i="38"/>
  <c r="K31" i="38"/>
  <c r="AM31" i="38"/>
  <c r="AD31" i="38"/>
  <c r="U31" i="38"/>
  <c r="AC31" i="38"/>
  <c r="R32" i="38"/>
  <c r="AA32" i="38"/>
  <c r="K33" i="38"/>
  <c r="AM33" i="38"/>
  <c r="AD33" i="38"/>
  <c r="U33" i="38"/>
  <c r="AC33" i="38"/>
  <c r="R34" i="38"/>
  <c r="AA34" i="38"/>
  <c r="K35" i="38"/>
  <c r="U35" i="38"/>
  <c r="AC35" i="38"/>
  <c r="AM35" i="38"/>
  <c r="AG38" i="38"/>
  <c r="X38" i="38"/>
  <c r="Q38" i="38"/>
  <c r="AA38" i="38"/>
  <c r="R38" i="38"/>
  <c r="I49" i="38"/>
  <c r="C48" i="38"/>
  <c r="F26" i="38"/>
  <c r="R27" i="38"/>
  <c r="F28" i="38"/>
  <c r="O28" i="38"/>
  <c r="R31" i="38"/>
  <c r="L32" i="38"/>
  <c r="R33" i="38"/>
  <c r="L34" i="38"/>
  <c r="R35" i="38"/>
  <c r="K37" i="38"/>
  <c r="AM37" i="38"/>
  <c r="AD37" i="38"/>
  <c r="U37" i="38"/>
  <c r="AC37" i="38"/>
  <c r="K39" i="38"/>
  <c r="AM39" i="38"/>
  <c r="AD39" i="38"/>
  <c r="U39" i="38"/>
  <c r="AC39" i="38"/>
  <c r="AC40" i="38"/>
  <c r="AC41" i="38"/>
  <c r="AC42" i="38"/>
  <c r="R37" i="38"/>
  <c r="L38" i="38"/>
  <c r="R39" i="38"/>
  <c r="L26" i="38" l="1"/>
  <c r="AY42" i="38"/>
  <c r="AO42" i="38"/>
  <c r="AY41" i="38"/>
  <c r="AO41" i="38"/>
  <c r="AY40" i="38"/>
  <c r="AO40" i="38"/>
  <c r="W39" i="38"/>
  <c r="AG39" i="38"/>
  <c r="X39" i="38"/>
  <c r="AY39" i="38"/>
  <c r="AP39" i="38"/>
  <c r="AO39" i="38"/>
  <c r="W37" i="38"/>
  <c r="X37" i="38"/>
  <c r="AG37" i="38"/>
  <c r="AY37" i="38"/>
  <c r="AP37" i="38"/>
  <c r="AO37" i="38"/>
  <c r="AA28" i="38"/>
  <c r="R28" i="38"/>
  <c r="Q28" i="38"/>
  <c r="O26" i="38"/>
  <c r="AO35" i="38"/>
  <c r="AY35" i="38"/>
  <c r="AP35" i="38"/>
  <c r="W35" i="38"/>
  <c r="AG35" i="38"/>
  <c r="X35" i="38"/>
  <c r="AC34" i="38"/>
  <c r="AM34" i="38"/>
  <c r="AD34" i="38"/>
  <c r="W31" i="38"/>
  <c r="AG31" i="38"/>
  <c r="X31" i="38"/>
  <c r="AY31" i="38"/>
  <c r="AP31" i="38"/>
  <c r="AO31" i="38"/>
  <c r="W28" i="38"/>
  <c r="X28" i="38"/>
  <c r="AS32" i="38"/>
  <c r="AJ32" i="38"/>
  <c r="AI32" i="38"/>
  <c r="X23" i="38"/>
  <c r="W23" i="38"/>
  <c r="AA23" i="38"/>
  <c r="R22" i="38"/>
  <c r="R18" i="38"/>
  <c r="Q18" i="38"/>
  <c r="U18" i="38"/>
  <c r="X25" i="38"/>
  <c r="AA25" i="38"/>
  <c r="W25" i="38"/>
  <c r="Q22" i="38"/>
  <c r="I48" i="38"/>
  <c r="O49" i="38"/>
  <c r="AC38" i="38"/>
  <c r="AD38" i="38"/>
  <c r="AM38" i="38"/>
  <c r="AS38" i="38"/>
  <c r="AJ38" i="38"/>
  <c r="AI38" i="38"/>
  <c r="W33" i="38"/>
  <c r="AG33" i="38"/>
  <c r="X33" i="38"/>
  <c r="AY33" i="38"/>
  <c r="AP33" i="38"/>
  <c r="AO33" i="38"/>
  <c r="AC32" i="38"/>
  <c r="AM32" i="38"/>
  <c r="AD32" i="38"/>
  <c r="BE30" i="38"/>
  <c r="AU30" i="38"/>
  <c r="W27" i="38"/>
  <c r="U26" i="38"/>
  <c r="AG27" i="38"/>
  <c r="X27" i="38"/>
  <c r="AY27" i="38"/>
  <c r="AP27" i="38"/>
  <c r="AO27" i="38"/>
  <c r="AS34" i="38"/>
  <c r="AJ34" i="38"/>
  <c r="AI34" i="38"/>
  <c r="I7" i="38"/>
  <c r="K7" i="38" s="1"/>
  <c r="R24" i="38"/>
  <c r="U24" i="38"/>
  <c r="U22" i="38" s="1"/>
  <c r="Q24" i="38"/>
  <c r="BX7" i="38"/>
  <c r="F7" i="38"/>
  <c r="E7" i="38"/>
  <c r="X13" i="38"/>
  <c r="AA13" i="38"/>
  <c r="W13" i="38"/>
  <c r="R12" i="38"/>
  <c r="U12" i="38"/>
  <c r="O8" i="38"/>
  <c r="Q12" i="38"/>
  <c r="L7" i="38" l="1"/>
  <c r="AA12" i="38"/>
  <c r="W12" i="38"/>
  <c r="X12" i="38"/>
  <c r="U8" i="38"/>
  <c r="BK27" i="38"/>
  <c r="BB27" i="38"/>
  <c r="BA27" i="38"/>
  <c r="AI27" i="38"/>
  <c r="AS27" i="38"/>
  <c r="AJ27" i="38"/>
  <c r="BQ30" i="38"/>
  <c r="BS30" i="38" s="1"/>
  <c r="BG30" i="38"/>
  <c r="AO32" i="38"/>
  <c r="AY32" i="38"/>
  <c r="AP32" i="38"/>
  <c r="BE38" i="38"/>
  <c r="AV38" i="38"/>
  <c r="AU38" i="38"/>
  <c r="W22" i="38"/>
  <c r="X22" i="38"/>
  <c r="BE32" i="38"/>
  <c r="AV32" i="38"/>
  <c r="AU32" i="38"/>
  <c r="BK31" i="38"/>
  <c r="BB31" i="38"/>
  <c r="BA31" i="38"/>
  <c r="AI31" i="38"/>
  <c r="AS31" i="38"/>
  <c r="AJ31" i="38"/>
  <c r="BA35" i="38"/>
  <c r="BB35" i="38"/>
  <c r="BK35" i="38"/>
  <c r="AD28" i="38"/>
  <c r="AC28" i="38"/>
  <c r="AG28" i="38"/>
  <c r="AG26" i="38" s="1"/>
  <c r="AA26" i="38"/>
  <c r="BK37" i="38"/>
  <c r="BB37" i="38"/>
  <c r="BA37" i="38"/>
  <c r="BK40" i="38"/>
  <c r="BM40" i="38" s="1"/>
  <c r="BA40" i="38"/>
  <c r="BK41" i="38"/>
  <c r="BM41" i="38" s="1"/>
  <c r="BA41" i="38"/>
  <c r="BK42" i="38"/>
  <c r="BM42" i="38" s="1"/>
  <c r="BA42" i="38"/>
  <c r="Q8" i="38"/>
  <c r="O7" i="38"/>
  <c r="R8" i="38"/>
  <c r="AG13" i="38"/>
  <c r="AC13" i="38"/>
  <c r="AD13" i="38"/>
  <c r="AA24" i="38"/>
  <c r="AA22" i="38" s="1"/>
  <c r="W24" i="38"/>
  <c r="X24" i="38"/>
  <c r="BE34" i="38"/>
  <c r="AV34" i="38"/>
  <c r="AU34" i="38"/>
  <c r="W26" i="38"/>
  <c r="X26" i="38"/>
  <c r="BK33" i="38"/>
  <c r="BB33" i="38"/>
  <c r="BA33" i="38"/>
  <c r="AI33" i="38"/>
  <c r="AS33" i="38"/>
  <c r="AJ33" i="38"/>
  <c r="AO38" i="38"/>
  <c r="AY38" i="38"/>
  <c r="AP38" i="38"/>
  <c r="U49" i="38"/>
  <c r="O48" i="38"/>
  <c r="AG25" i="38"/>
  <c r="AC25" i="38"/>
  <c r="AD25" i="38"/>
  <c r="AA18" i="38"/>
  <c r="W18" i="38"/>
  <c r="X18" i="38"/>
  <c r="AG23" i="38"/>
  <c r="AC23" i="38"/>
  <c r="AD23" i="38"/>
  <c r="AO34" i="38"/>
  <c r="AY34" i="38"/>
  <c r="AP34" i="38"/>
  <c r="AS35" i="38"/>
  <c r="AJ35" i="38"/>
  <c r="AI35" i="38"/>
  <c r="Q26" i="38"/>
  <c r="R26" i="38"/>
  <c r="AI37" i="38"/>
  <c r="AS37" i="38"/>
  <c r="AJ37" i="38"/>
  <c r="BK39" i="38"/>
  <c r="BB39" i="38"/>
  <c r="BA39" i="38"/>
  <c r="AI39" i="38"/>
  <c r="AS39" i="38"/>
  <c r="AJ39" i="38"/>
  <c r="BW30" i="38" l="1"/>
  <c r="BE35" i="38"/>
  <c r="AV35" i="38"/>
  <c r="AU35" i="38"/>
  <c r="BA34" i="38"/>
  <c r="BK34" i="38"/>
  <c r="BB34" i="38"/>
  <c r="AC22" i="38"/>
  <c r="AD22" i="38"/>
  <c r="AJ23" i="38"/>
  <c r="AM23" i="38"/>
  <c r="AI23" i="38"/>
  <c r="AJ25" i="38"/>
  <c r="AI25" i="38"/>
  <c r="AM25" i="38"/>
  <c r="U48" i="38"/>
  <c r="AA49" i="38"/>
  <c r="BA38" i="38"/>
  <c r="BK38" i="38"/>
  <c r="BB38" i="38"/>
  <c r="AU33" i="38"/>
  <c r="BE33" i="38"/>
  <c r="AV33" i="38"/>
  <c r="BN33" i="38"/>
  <c r="BM33" i="38"/>
  <c r="AD24" i="38"/>
  <c r="AC24" i="38"/>
  <c r="AG24" i="38"/>
  <c r="AJ13" i="38"/>
  <c r="AI13" i="38"/>
  <c r="AM13" i="38"/>
  <c r="AC26" i="38"/>
  <c r="AD26" i="38"/>
  <c r="BM35" i="38"/>
  <c r="BN35" i="38"/>
  <c r="AU31" i="38"/>
  <c r="BE31" i="38"/>
  <c r="AV31" i="38"/>
  <c r="BN31" i="38"/>
  <c r="BM31" i="38"/>
  <c r="BQ38" i="38"/>
  <c r="BH38" i="38"/>
  <c r="BG38" i="38"/>
  <c r="AI26" i="38"/>
  <c r="AJ26" i="38"/>
  <c r="AU27" i="38"/>
  <c r="BE27" i="38"/>
  <c r="AV27" i="38"/>
  <c r="AD12" i="38"/>
  <c r="AC12" i="38"/>
  <c r="AA8" i="38"/>
  <c r="AG12" i="38"/>
  <c r="AU39" i="38"/>
  <c r="AV39" i="38"/>
  <c r="BE39" i="38"/>
  <c r="BN39" i="38"/>
  <c r="BM39" i="38"/>
  <c r="AU37" i="38"/>
  <c r="BE37" i="38"/>
  <c r="AV37" i="38"/>
  <c r="AD18" i="38"/>
  <c r="AG18" i="38"/>
  <c r="AC18" i="38"/>
  <c r="BQ34" i="38"/>
  <c r="BH34" i="38"/>
  <c r="BG34" i="38"/>
  <c r="R7" i="38"/>
  <c r="Q7" i="38"/>
  <c r="BN37" i="38"/>
  <c r="BM37" i="38"/>
  <c r="AM28" i="38"/>
  <c r="AI28" i="38"/>
  <c r="AJ28" i="38"/>
  <c r="BQ32" i="38"/>
  <c r="BH32" i="38"/>
  <c r="BG32" i="38"/>
  <c r="BA32" i="38"/>
  <c r="BK32" i="38"/>
  <c r="BB32" i="38"/>
  <c r="BN27" i="38"/>
  <c r="BM27" i="38"/>
  <c r="W8" i="38"/>
  <c r="U7" i="38"/>
  <c r="X8" i="38"/>
  <c r="X7" i="38" l="1"/>
  <c r="W7" i="38"/>
  <c r="BM32" i="38"/>
  <c r="BN32" i="38"/>
  <c r="BW32" i="38"/>
  <c r="BT34" i="38"/>
  <c r="BS34" i="38"/>
  <c r="BG39" i="38"/>
  <c r="BQ39" i="38"/>
  <c r="BH39" i="38"/>
  <c r="AM12" i="38"/>
  <c r="AI12" i="38"/>
  <c r="AJ12" i="38"/>
  <c r="AG8" i="38"/>
  <c r="BG27" i="38"/>
  <c r="BQ27" i="38"/>
  <c r="BH27" i="38"/>
  <c r="AM24" i="38"/>
  <c r="AM22" i="38" s="1"/>
  <c r="AI24" i="38"/>
  <c r="AJ24" i="38"/>
  <c r="AG49" i="38"/>
  <c r="AA48" i="38"/>
  <c r="AS23" i="38"/>
  <c r="AO23" i="38"/>
  <c r="AP23" i="38"/>
  <c r="BM34" i="38"/>
  <c r="BN34" i="38"/>
  <c r="BT32" i="38"/>
  <c r="BS32" i="38"/>
  <c r="AP28" i="38"/>
  <c r="AS28" i="38"/>
  <c r="AO28" i="38"/>
  <c r="AM26" i="38"/>
  <c r="AM18" i="38"/>
  <c r="AI18" i="38"/>
  <c r="AJ18" i="38"/>
  <c r="BG37" i="38"/>
  <c r="BQ37" i="38"/>
  <c r="BH37" i="38"/>
  <c r="BW39" i="38"/>
  <c r="AC8" i="38"/>
  <c r="AA7" i="38"/>
  <c r="AD8" i="38"/>
  <c r="BT38" i="38"/>
  <c r="BS38" i="38"/>
  <c r="BG31" i="38"/>
  <c r="BQ31" i="38"/>
  <c r="BW31" i="38" s="1"/>
  <c r="BH31" i="38"/>
  <c r="AS13" i="38"/>
  <c r="AO13" i="38"/>
  <c r="AP13" i="38"/>
  <c r="BG33" i="38"/>
  <c r="BQ33" i="38"/>
  <c r="BH33" i="38"/>
  <c r="BW34" i="38"/>
  <c r="BM38" i="38"/>
  <c r="BN38" i="38"/>
  <c r="BW38" i="38"/>
  <c r="AS25" i="38"/>
  <c r="AO25" i="38"/>
  <c r="AP25" i="38"/>
  <c r="AG22" i="38"/>
  <c r="BQ35" i="38"/>
  <c r="BH35" i="38"/>
  <c r="BG35" i="38"/>
  <c r="BT35" i="38" l="1"/>
  <c r="BS35" i="38"/>
  <c r="BW35" i="38"/>
  <c r="AV25" i="38"/>
  <c r="AY25" i="38"/>
  <c r="AU25" i="38"/>
  <c r="BS31" i="38"/>
  <c r="BT31" i="38"/>
  <c r="AD7" i="38"/>
  <c r="AC7" i="38"/>
  <c r="BS37" i="38"/>
  <c r="BT37" i="38"/>
  <c r="BW37" i="38"/>
  <c r="AP18" i="38"/>
  <c r="AO18" i="38"/>
  <c r="AS18" i="38"/>
  <c r="AO22" i="38"/>
  <c r="AP22" i="38"/>
  <c r="AV23" i="38"/>
  <c r="AU23" i="38"/>
  <c r="AY23" i="38"/>
  <c r="AG48" i="38"/>
  <c r="AM49" i="38"/>
  <c r="BS27" i="38"/>
  <c r="BT27" i="38"/>
  <c r="BW27" i="38"/>
  <c r="AP12" i="38"/>
  <c r="AS12" i="38"/>
  <c r="AM8" i="38"/>
  <c r="AO12" i="38"/>
  <c r="BS39" i="38"/>
  <c r="BT39" i="38"/>
  <c r="AJ22" i="38"/>
  <c r="AI22" i="38"/>
  <c r="BS33" i="38"/>
  <c r="BT33" i="38"/>
  <c r="BW33" i="38"/>
  <c r="AV13" i="38"/>
  <c r="AY13" i="38"/>
  <c r="AU13" i="38"/>
  <c r="AO26" i="38"/>
  <c r="AP26" i="38"/>
  <c r="AY28" i="38"/>
  <c r="AU28" i="38"/>
  <c r="AV28" i="38"/>
  <c r="AS26" i="38"/>
  <c r="AP24" i="38"/>
  <c r="AS24" i="38"/>
  <c r="AO24" i="38"/>
  <c r="AI8" i="38"/>
  <c r="AG7" i="38"/>
  <c r="AJ8" i="38"/>
  <c r="AY24" i="38" l="1"/>
  <c r="AU24" i="38"/>
  <c r="AV24" i="38"/>
  <c r="BB28" i="38"/>
  <c r="BA28" i="38"/>
  <c r="BE28" i="38"/>
  <c r="AY26" i="38"/>
  <c r="AO8" i="38"/>
  <c r="AM7" i="38"/>
  <c r="AP8" i="38"/>
  <c r="BE23" i="38"/>
  <c r="BA23" i="38"/>
  <c r="AY22" i="38"/>
  <c r="BB23" i="38"/>
  <c r="AS22" i="38"/>
  <c r="AJ7" i="38"/>
  <c r="AI7" i="38"/>
  <c r="AU26" i="38"/>
  <c r="AV26" i="38"/>
  <c r="BE13" i="38"/>
  <c r="BA13" i="38"/>
  <c r="BB13" i="38"/>
  <c r="AY12" i="38"/>
  <c r="AU12" i="38"/>
  <c r="AV12" i="38"/>
  <c r="AS8" i="38"/>
  <c r="AS49" i="38"/>
  <c r="AM48" i="38"/>
  <c r="AY18" i="38"/>
  <c r="AU18" i="38"/>
  <c r="AV18" i="38"/>
  <c r="BE25" i="38"/>
  <c r="BA25" i="38"/>
  <c r="BB25" i="38"/>
  <c r="BH25" i="38" l="1"/>
  <c r="BK25" i="38"/>
  <c r="BG25" i="38"/>
  <c r="AS48" i="38"/>
  <c r="AY49" i="38"/>
  <c r="AU8" i="38"/>
  <c r="AS7" i="38"/>
  <c r="AV8" i="38"/>
  <c r="BH13" i="38"/>
  <c r="BG13" i="38"/>
  <c r="BK13" i="38"/>
  <c r="AU22" i="38"/>
  <c r="AV22" i="38"/>
  <c r="BA22" i="38"/>
  <c r="BB22" i="38"/>
  <c r="BH23" i="38"/>
  <c r="BK23" i="38"/>
  <c r="BG23" i="38"/>
  <c r="BK28" i="38"/>
  <c r="BG28" i="38"/>
  <c r="BH28" i="38"/>
  <c r="BE26" i="38"/>
  <c r="BB24" i="38"/>
  <c r="BA24" i="38"/>
  <c r="BE24" i="38"/>
  <c r="BB18" i="38"/>
  <c r="BE18" i="38"/>
  <c r="BA18" i="38"/>
  <c r="BB12" i="38"/>
  <c r="BA12" i="38"/>
  <c r="AY8" i="38"/>
  <c r="BE12" i="38"/>
  <c r="AP7" i="38"/>
  <c r="AO7" i="38"/>
  <c r="BA26" i="38"/>
  <c r="BB26" i="38"/>
  <c r="BA8" i="38" l="1"/>
  <c r="AY7" i="38"/>
  <c r="BB8" i="38"/>
  <c r="BK18" i="38"/>
  <c r="BG18" i="38"/>
  <c r="BH18" i="38"/>
  <c r="BK24" i="38"/>
  <c r="BK22" i="38" s="1"/>
  <c r="BG24" i="38"/>
  <c r="BH24" i="38"/>
  <c r="BG26" i="38"/>
  <c r="BH26" i="38"/>
  <c r="BQ23" i="38"/>
  <c r="BM23" i="38"/>
  <c r="BN23" i="38"/>
  <c r="BE49" i="38"/>
  <c r="AY48" i="38"/>
  <c r="BQ25" i="38"/>
  <c r="BM25" i="38"/>
  <c r="BN25" i="38"/>
  <c r="BK12" i="38"/>
  <c r="BG12" i="38"/>
  <c r="BH12" i="38"/>
  <c r="BE8" i="38"/>
  <c r="BN28" i="38"/>
  <c r="BQ28" i="38"/>
  <c r="BM28" i="38"/>
  <c r="BK26" i="38"/>
  <c r="BE22" i="38"/>
  <c r="BQ13" i="38"/>
  <c r="BM13" i="38"/>
  <c r="BN13" i="38"/>
  <c r="AV7" i="38"/>
  <c r="AU7" i="38"/>
  <c r="BH22" i="38" l="1"/>
  <c r="BG22" i="38"/>
  <c r="BG8" i="38"/>
  <c r="BE7" i="38"/>
  <c r="BH8" i="38"/>
  <c r="BT25" i="38"/>
  <c r="BS25" i="38"/>
  <c r="BW25" i="38"/>
  <c r="BN24" i="38"/>
  <c r="BQ24" i="38"/>
  <c r="BQ22" i="38" s="1"/>
  <c r="BW22" i="38" s="1"/>
  <c r="BM24" i="38"/>
  <c r="BT13" i="38"/>
  <c r="BS13" i="38"/>
  <c r="BM26" i="38"/>
  <c r="BN26" i="38"/>
  <c r="BS28" i="38"/>
  <c r="BT28" i="38"/>
  <c r="BQ26" i="38"/>
  <c r="BW28" i="38"/>
  <c r="BN12" i="38"/>
  <c r="BQ12" i="38"/>
  <c r="BK8" i="38"/>
  <c r="BM12" i="38"/>
  <c r="BE48" i="38"/>
  <c r="BK49" i="38"/>
  <c r="BM22" i="38"/>
  <c r="BN22" i="38"/>
  <c r="BT23" i="38"/>
  <c r="BS23" i="38"/>
  <c r="BW23" i="38"/>
  <c r="BN18" i="38"/>
  <c r="BM18" i="38"/>
  <c r="BQ18" i="38"/>
  <c r="BW18" i="38" s="1"/>
  <c r="BB7" i="38"/>
  <c r="BA7" i="38"/>
  <c r="BW13" i="38"/>
  <c r="BS18" i="38" l="1"/>
  <c r="BT18" i="38"/>
  <c r="BQ49" i="38"/>
  <c r="BW49" i="38" s="1"/>
  <c r="BK48" i="38"/>
  <c r="BS12" i="38"/>
  <c r="BT12" i="38"/>
  <c r="BQ8" i="38"/>
  <c r="BW12" i="38"/>
  <c r="BH7" i="38"/>
  <c r="BG7" i="38"/>
  <c r="BS22" i="38"/>
  <c r="BT22" i="38"/>
  <c r="BM8" i="38"/>
  <c r="BK7" i="38"/>
  <c r="BN8" i="38"/>
  <c r="BS26" i="38"/>
  <c r="BT26" i="38"/>
  <c r="BS24" i="38"/>
  <c r="BT24" i="38"/>
  <c r="BW24" i="38"/>
  <c r="BW26" i="38"/>
  <c r="BN7" i="38" l="1"/>
  <c r="BM7" i="38"/>
  <c r="BS8" i="38"/>
  <c r="BQ7" i="38"/>
  <c r="BT8" i="38"/>
  <c r="BW8" i="38"/>
  <c r="BQ48" i="38"/>
  <c r="BW48" i="38" s="1"/>
  <c r="BX49" i="38"/>
  <c r="BT7" i="38" l="1"/>
  <c r="BS7" i="38"/>
  <c r="BW7" i="38"/>
  <c r="BX48" i="38"/>
  <c r="AZ29" i="48" l="1"/>
  <c r="AY29" i="48"/>
  <c r="AY257" i="48"/>
  <c r="AY254" i="48"/>
  <c r="AY169" i="48"/>
  <c r="AZ154" i="48"/>
  <c r="AZ182" i="48"/>
  <c r="AZ71" i="48"/>
  <c r="AY37" i="48"/>
  <c r="AX258" i="48" l="1"/>
  <c r="AW258" i="48"/>
  <c r="AW257" i="48"/>
  <c r="AW254" i="48"/>
  <c r="AX216" i="48"/>
  <c r="AW216" i="48"/>
  <c r="AW210" i="48"/>
  <c r="AW169" i="48"/>
  <c r="AX145" i="48"/>
  <c r="AW145" i="48"/>
  <c r="AX144" i="48"/>
  <c r="AW144" i="48"/>
  <c r="AX143" i="48"/>
  <c r="AW143" i="48"/>
  <c r="AX141" i="48"/>
  <c r="AW141" i="48"/>
  <c r="AX140" i="48"/>
  <c r="AW140" i="48"/>
  <c r="AX137" i="48"/>
  <c r="AW137" i="48"/>
  <c r="AX136" i="48"/>
  <c r="AW136" i="48"/>
  <c r="AX135" i="48"/>
  <c r="AW135" i="48"/>
  <c r="AX134" i="48"/>
  <c r="AW134" i="48"/>
  <c r="AX87" i="48"/>
  <c r="AW87" i="48"/>
  <c r="AX84" i="48"/>
  <c r="AW84" i="48"/>
  <c r="AW182" i="48"/>
  <c r="AT258" i="48"/>
  <c r="AS258" i="48"/>
  <c r="AS257" i="48"/>
  <c r="AS254" i="48"/>
  <c r="AS252" i="48"/>
  <c r="AT216" i="48"/>
  <c r="AS216" i="48"/>
  <c r="AS210" i="48"/>
  <c r="AS169" i="48"/>
  <c r="AT145" i="48"/>
  <c r="AS145" i="48"/>
  <c r="AT144" i="48"/>
  <c r="AS144" i="48"/>
  <c r="AT143" i="48"/>
  <c r="AS143" i="48"/>
  <c r="AT141" i="48"/>
  <c r="AS141" i="48"/>
  <c r="AT140" i="48"/>
  <c r="AS140" i="48"/>
  <c r="AT137" i="48"/>
  <c r="AS137" i="48"/>
  <c r="AT136" i="48"/>
  <c r="AS136" i="48"/>
  <c r="AT135" i="48"/>
  <c r="AS135" i="48"/>
  <c r="AT134" i="48"/>
  <c r="AS134" i="48"/>
  <c r="AT87" i="48"/>
  <c r="AS87" i="48"/>
  <c r="AT84" i="48"/>
  <c r="AS84" i="48"/>
  <c r="AT82" i="48"/>
  <c r="AS82" i="48"/>
  <c r="AT75" i="48"/>
  <c r="AS75" i="48"/>
  <c r="AS182" i="48"/>
  <c r="AP258" i="48"/>
  <c r="AO258" i="48"/>
  <c r="AO257" i="48"/>
  <c r="AO254" i="48"/>
  <c r="AO252" i="48"/>
  <c r="AP216" i="48"/>
  <c r="AO216" i="48"/>
  <c r="AO210" i="48"/>
  <c r="AO169" i="48"/>
  <c r="AP145" i="48"/>
  <c r="AO145" i="48"/>
  <c r="AP144" i="48"/>
  <c r="AO144" i="48"/>
  <c r="AP143" i="48"/>
  <c r="AO143" i="48"/>
  <c r="AP141" i="48"/>
  <c r="AO141" i="48"/>
  <c r="AP140" i="48"/>
  <c r="AO140" i="48"/>
  <c r="AP137" i="48"/>
  <c r="AO137" i="48"/>
  <c r="AP136" i="48"/>
  <c r="AO136" i="48"/>
  <c r="AP135" i="48"/>
  <c r="AO135" i="48"/>
  <c r="AP134" i="48"/>
  <c r="AO134" i="48"/>
  <c r="AP84" i="48"/>
  <c r="AO84" i="48"/>
  <c r="AO182" i="48"/>
  <c r="AL258" i="48"/>
  <c r="AK258" i="48"/>
  <c r="AK257" i="48"/>
  <c r="AK254" i="48"/>
  <c r="AK252" i="48"/>
  <c r="AL216" i="48"/>
  <c r="AK216" i="48"/>
  <c r="AK210" i="48"/>
  <c r="AL195" i="48"/>
  <c r="AK195" i="48"/>
  <c r="AK169" i="48"/>
  <c r="AL156" i="48"/>
  <c r="AK156" i="48"/>
  <c r="AL145" i="48"/>
  <c r="AK145" i="48"/>
  <c r="AL144" i="48"/>
  <c r="AK144" i="48"/>
  <c r="AL143" i="48"/>
  <c r="AK143" i="48"/>
  <c r="AL141" i="48"/>
  <c r="AK141" i="48"/>
  <c r="AL140" i="48"/>
  <c r="AK140" i="48"/>
  <c r="AL137" i="48"/>
  <c r="AK137" i="48"/>
  <c r="AL136" i="48"/>
  <c r="AK136" i="48"/>
  <c r="AL135" i="48"/>
  <c r="AK135" i="48"/>
  <c r="AL134" i="48"/>
  <c r="AK134" i="48"/>
  <c r="AL84" i="48"/>
  <c r="AK84" i="48"/>
  <c r="AK182" i="48"/>
  <c r="AH258" i="48"/>
  <c r="AG258" i="48"/>
  <c r="AG257" i="48"/>
  <c r="AG254" i="48"/>
  <c r="AG252" i="48"/>
  <c r="AH216" i="48"/>
  <c r="AG216" i="48"/>
  <c r="AG210" i="48"/>
  <c r="AG169" i="48"/>
  <c r="AH156" i="48"/>
  <c r="AG156" i="48"/>
  <c r="AH145" i="48"/>
  <c r="AG145" i="48"/>
  <c r="AH144" i="48"/>
  <c r="AG144" i="48"/>
  <c r="AH143" i="48"/>
  <c r="AG143" i="48"/>
  <c r="AH141" i="48"/>
  <c r="AG141" i="48"/>
  <c r="AH140" i="48"/>
  <c r="AG140" i="48"/>
  <c r="AH137" i="48"/>
  <c r="AG137" i="48"/>
  <c r="AH136" i="48"/>
  <c r="AG136" i="48"/>
  <c r="AH135" i="48"/>
  <c r="AG135" i="48"/>
  <c r="AH134" i="48"/>
  <c r="AG134" i="48"/>
  <c r="AH84" i="48"/>
  <c r="AG84" i="48"/>
  <c r="AG182" i="48"/>
  <c r="AD258" i="48"/>
  <c r="AC258" i="48"/>
  <c r="AC257" i="48"/>
  <c r="AC254" i="48"/>
  <c r="AC252" i="48"/>
  <c r="AD216" i="48"/>
  <c r="AC216" i="48"/>
  <c r="AC210" i="48"/>
  <c r="AC169" i="48"/>
  <c r="AD156" i="48"/>
  <c r="AC156" i="48"/>
  <c r="AD145" i="48"/>
  <c r="AC145" i="48"/>
  <c r="AD144" i="48"/>
  <c r="AC144" i="48"/>
  <c r="AD143" i="48"/>
  <c r="AC143" i="48"/>
  <c r="AD141" i="48"/>
  <c r="AC141" i="48"/>
  <c r="AD140" i="48"/>
  <c r="AC140" i="48"/>
  <c r="AD137" i="48"/>
  <c r="AC137" i="48"/>
  <c r="AD136" i="48"/>
  <c r="AC136" i="48"/>
  <c r="AD135" i="48"/>
  <c r="AC135" i="48"/>
  <c r="AD134" i="48"/>
  <c r="AC134" i="48"/>
  <c r="AD84" i="48"/>
  <c r="AC84" i="48"/>
  <c r="AC182" i="48"/>
  <c r="Z258" i="48"/>
  <c r="Y258" i="48"/>
  <c r="Y257" i="48"/>
  <c r="Y254" i="48"/>
  <c r="Y252" i="48"/>
  <c r="Z216" i="48"/>
  <c r="Y216" i="48"/>
  <c r="Y210" i="48"/>
  <c r="Z179" i="48"/>
  <c r="Y179" i="48"/>
  <c r="Z178" i="48"/>
  <c r="Y178" i="48"/>
  <c r="Z177" i="48"/>
  <c r="Y177" i="48"/>
  <c r="Z176" i="48"/>
  <c r="Y176" i="48"/>
  <c r="Z175" i="48"/>
  <c r="Y175" i="48"/>
  <c r="Z174" i="48"/>
  <c r="Y174" i="48"/>
  <c r="Z173" i="48"/>
  <c r="Y173" i="48"/>
  <c r="Z172" i="48"/>
  <c r="Y172" i="48"/>
  <c r="Z171" i="48"/>
  <c r="Y171" i="48"/>
  <c r="Z170" i="48"/>
  <c r="Y170" i="48"/>
  <c r="Y169" i="48"/>
  <c r="Z167" i="48"/>
  <c r="Y167" i="48"/>
  <c r="Z162" i="48"/>
  <c r="Y162" i="48"/>
  <c r="Z161" i="48"/>
  <c r="Y161" i="48"/>
  <c r="Z160" i="48"/>
  <c r="Y160" i="48"/>
  <c r="Z159" i="48"/>
  <c r="Y159" i="48"/>
  <c r="Z158" i="48"/>
  <c r="Y158" i="48"/>
  <c r="Z157" i="48"/>
  <c r="Y157" i="48"/>
  <c r="Z156" i="48"/>
  <c r="Y156" i="48"/>
  <c r="Z155" i="48"/>
  <c r="Y155" i="48"/>
  <c r="Z152" i="48"/>
  <c r="Y152" i="48"/>
  <c r="Z151" i="48"/>
  <c r="Y151" i="48"/>
  <c r="Z145" i="48"/>
  <c r="Y145" i="48"/>
  <c r="Z144" i="48"/>
  <c r="Y144" i="48"/>
  <c r="Z143" i="48"/>
  <c r="Y143" i="48"/>
  <c r="Z141" i="48"/>
  <c r="Y141" i="48"/>
  <c r="Z140" i="48"/>
  <c r="Y140" i="48"/>
  <c r="Z137" i="48"/>
  <c r="Y137" i="48"/>
  <c r="Z136" i="48"/>
  <c r="Y136" i="48"/>
  <c r="Z135" i="48"/>
  <c r="Y135" i="48"/>
  <c r="Z134" i="48"/>
  <c r="Y134" i="48"/>
  <c r="Z84" i="48"/>
  <c r="Y84" i="48"/>
  <c r="Y182" i="48"/>
  <c r="V258" i="48"/>
  <c r="U258" i="48"/>
  <c r="U257" i="48"/>
  <c r="U254" i="48"/>
  <c r="U252" i="48"/>
  <c r="V216" i="48"/>
  <c r="U216" i="48"/>
  <c r="U210" i="48"/>
  <c r="V195" i="48"/>
  <c r="U195" i="48"/>
  <c r="U169" i="48"/>
  <c r="V145" i="48"/>
  <c r="U145" i="48"/>
  <c r="V144" i="48"/>
  <c r="U144" i="48"/>
  <c r="V143" i="48"/>
  <c r="U143" i="48"/>
  <c r="V141" i="48"/>
  <c r="U141" i="48"/>
  <c r="V140" i="48"/>
  <c r="U140" i="48"/>
  <c r="V137" i="48"/>
  <c r="U137" i="48"/>
  <c r="V136" i="48"/>
  <c r="U136" i="48"/>
  <c r="V135" i="48"/>
  <c r="U135" i="48"/>
  <c r="V134" i="48"/>
  <c r="U134" i="48"/>
  <c r="V89" i="48"/>
  <c r="U89" i="48"/>
  <c r="V87" i="48"/>
  <c r="U87" i="48"/>
  <c r="V85" i="48"/>
  <c r="U85" i="48"/>
  <c r="V84" i="48"/>
  <c r="U84" i="48"/>
  <c r="V284" i="48"/>
  <c r="U284" i="48"/>
  <c r="V82" i="48"/>
  <c r="U82" i="48"/>
  <c r="V81" i="48"/>
  <c r="U81" i="48"/>
  <c r="V80" i="48"/>
  <c r="U80" i="48"/>
  <c r="V79" i="48"/>
  <c r="U79" i="48"/>
  <c r="V78" i="48"/>
  <c r="U78" i="48"/>
  <c r="V75" i="48"/>
  <c r="U75" i="48"/>
  <c r="U182" i="48"/>
  <c r="V180" i="48"/>
  <c r="U180" i="48"/>
  <c r="V74" i="48"/>
  <c r="U74" i="48"/>
  <c r="V72" i="48"/>
  <c r="U72" i="48"/>
  <c r="V70" i="48"/>
  <c r="U70" i="48"/>
  <c r="V69" i="48"/>
  <c r="U69" i="48"/>
  <c r="R258" i="48"/>
  <c r="Q258" i="48"/>
  <c r="Q257" i="48"/>
  <c r="Q254" i="48"/>
  <c r="R216" i="48"/>
  <c r="Q216" i="48"/>
  <c r="Q210" i="48"/>
  <c r="Q169" i="48"/>
  <c r="R145" i="48"/>
  <c r="Q145" i="48"/>
  <c r="R144" i="48"/>
  <c r="Q144" i="48"/>
  <c r="R143" i="48"/>
  <c r="Q143" i="48"/>
  <c r="R141" i="48"/>
  <c r="Q141" i="48"/>
  <c r="R140" i="48"/>
  <c r="Q140" i="48"/>
  <c r="R137" i="48"/>
  <c r="Q137" i="48"/>
  <c r="R136" i="48"/>
  <c r="Q136" i="48"/>
  <c r="R135" i="48"/>
  <c r="Q135" i="48"/>
  <c r="R134" i="48"/>
  <c r="Q134" i="48"/>
  <c r="R84" i="48"/>
  <c r="Q84" i="48"/>
  <c r="Q182" i="48"/>
  <c r="AW29" i="48"/>
  <c r="AX11" i="48"/>
  <c r="AW11" i="48"/>
  <c r="AX10" i="48"/>
  <c r="AW10" i="48"/>
  <c r="AS30" i="48"/>
  <c r="AS29" i="48"/>
  <c r="AT11" i="48"/>
  <c r="AS11" i="48"/>
  <c r="AT10" i="48"/>
  <c r="AS10" i="48"/>
  <c r="AO29" i="48"/>
  <c r="AP11" i="48"/>
  <c r="AO11" i="48"/>
  <c r="AP10" i="48"/>
  <c r="AO10" i="48"/>
  <c r="AK29" i="48"/>
  <c r="AL11" i="48"/>
  <c r="AK11" i="48"/>
  <c r="AL10" i="48"/>
  <c r="AK10" i="48"/>
  <c r="AG49" i="48"/>
  <c r="AG52" i="48"/>
  <c r="AG61" i="48"/>
  <c r="AG32" i="48"/>
  <c r="AG43" i="48"/>
  <c r="AG51" i="48"/>
  <c r="AG29" i="48"/>
  <c r="AH11" i="48"/>
  <c r="AG11" i="48"/>
  <c r="AH10" i="48"/>
  <c r="AG10" i="48"/>
  <c r="AC30" i="48"/>
  <c r="AC29" i="48"/>
  <c r="AD11" i="48"/>
  <c r="AC11" i="48"/>
  <c r="AD10" i="48"/>
  <c r="AC10" i="48"/>
  <c r="Y49" i="48"/>
  <c r="Y52" i="48"/>
  <c r="Y61" i="48"/>
  <c r="Y32" i="48"/>
  <c r="Y43" i="48"/>
  <c r="Y51" i="48"/>
  <c r="Y29" i="48"/>
  <c r="Z11" i="48"/>
  <c r="Y11" i="48"/>
  <c r="Z10" i="48"/>
  <c r="Y10" i="48"/>
  <c r="U30" i="48"/>
  <c r="U29" i="48"/>
  <c r="V11" i="48"/>
  <c r="U11" i="48"/>
  <c r="V10" i="48"/>
  <c r="U10" i="48"/>
  <c r="Q49" i="48"/>
  <c r="Q52" i="48"/>
  <c r="Q61" i="48"/>
  <c r="Q32" i="48"/>
  <c r="Q43" i="48"/>
  <c r="Q51" i="48"/>
  <c r="Q29" i="48"/>
  <c r="R11" i="48"/>
  <c r="Q11" i="48"/>
  <c r="R10" i="48"/>
  <c r="Q10" i="48"/>
  <c r="M29" i="48"/>
  <c r="I30" i="48"/>
  <c r="I29" i="48"/>
  <c r="F265" i="48"/>
  <c r="E265" i="48"/>
  <c r="F258" i="48"/>
  <c r="E258" i="48"/>
  <c r="E256" i="48"/>
  <c r="F250" i="48"/>
  <c r="E250" i="48"/>
  <c r="E249" i="48"/>
  <c r="F247" i="48"/>
  <c r="E247" i="48"/>
  <c r="F239" i="48"/>
  <c r="E239" i="48"/>
  <c r="F230" i="48"/>
  <c r="E230" i="48"/>
  <c r="E227" i="48"/>
  <c r="E228" i="48"/>
  <c r="E229" i="48"/>
  <c r="E226" i="48"/>
  <c r="E216" i="48"/>
  <c r="E217" i="48"/>
  <c r="E215" i="48"/>
  <c r="F224" i="48"/>
  <c r="E224" i="48"/>
  <c r="E218" i="48"/>
  <c r="F218" i="48"/>
  <c r="C214" i="48"/>
  <c r="E210" i="48"/>
  <c r="G210" i="48"/>
  <c r="I210" i="48" s="1"/>
  <c r="F195" i="48"/>
  <c r="E195" i="48"/>
  <c r="F193" i="48"/>
  <c r="E193" i="48"/>
  <c r="F152" i="48"/>
  <c r="E152" i="48"/>
  <c r="F141" i="48"/>
  <c r="E141" i="48"/>
  <c r="F138" i="48"/>
  <c r="E138" i="48"/>
  <c r="F284" i="48"/>
  <c r="E284" i="48"/>
  <c r="F82" i="48"/>
  <c r="E82" i="48"/>
  <c r="F75" i="48"/>
  <c r="E75" i="48"/>
  <c r="F180" i="48"/>
  <c r="F70" i="48"/>
  <c r="E68" i="48"/>
  <c r="E47" i="48"/>
  <c r="F14" i="48" l="1"/>
  <c r="F13" i="48"/>
  <c r="F10" i="48"/>
  <c r="E14" i="48"/>
  <c r="E182" i="48"/>
  <c r="E180" i="48"/>
  <c r="E70" i="48"/>
  <c r="F47" i="48"/>
  <c r="F50" i="48"/>
  <c r="F58" i="48"/>
  <c r="F19" i="48"/>
  <c r="E19" i="48"/>
  <c r="F36" i="48"/>
  <c r="E36" i="48"/>
  <c r="E10" i="48"/>
  <c r="E174" i="48"/>
  <c r="E175" i="48"/>
  <c r="E176" i="48"/>
  <c r="E177" i="48"/>
  <c r="E178" i="48"/>
  <c r="E179" i="48"/>
  <c r="F170" i="48"/>
  <c r="F171" i="48"/>
  <c r="E169" i="48"/>
  <c r="E170" i="48"/>
  <c r="E171" i="48"/>
  <c r="E167" i="48"/>
  <c r="E156" i="48"/>
  <c r="E157" i="48"/>
  <c r="E158" i="48"/>
  <c r="E159" i="48"/>
  <c r="E160" i="48"/>
  <c r="E161" i="48"/>
  <c r="E162" i="48"/>
  <c r="E155" i="48"/>
  <c r="E151" i="48"/>
  <c r="E145" i="48"/>
  <c r="F145" i="48"/>
  <c r="E135" i="48"/>
  <c r="E136" i="48"/>
  <c r="E137" i="48"/>
  <c r="E128" i="48"/>
  <c r="E129" i="48"/>
  <c r="E130" i="48"/>
  <c r="E122" i="48"/>
  <c r="E112" i="48"/>
  <c r="E113" i="48"/>
  <c r="E267" i="48"/>
  <c r="E114" i="48"/>
  <c r="E115" i="48"/>
  <c r="E116" i="48"/>
  <c r="E117" i="48"/>
  <c r="E118" i="48"/>
  <c r="E119" i="48"/>
  <c r="E120" i="48"/>
  <c r="E121" i="48"/>
  <c r="E276" i="48"/>
  <c r="F274" i="48"/>
  <c r="E274" i="48"/>
  <c r="E86" i="48"/>
  <c r="E87" i="48"/>
  <c r="E88" i="48"/>
  <c r="E89" i="48"/>
  <c r="E78" i="48"/>
  <c r="E79" i="48"/>
  <c r="E80" i="48"/>
  <c r="E81" i="48"/>
  <c r="E77" i="48"/>
  <c r="E74" i="48"/>
  <c r="AM51" i="48"/>
  <c r="AO51" i="48" s="1"/>
  <c r="AM43" i="48"/>
  <c r="AO43" i="48" s="1"/>
  <c r="AM32" i="48"/>
  <c r="AO32" i="48" s="1"/>
  <c r="AM61" i="48"/>
  <c r="AO61" i="48" s="1"/>
  <c r="AM52" i="48"/>
  <c r="AO52" i="48" s="1"/>
  <c r="AM49" i="48"/>
  <c r="AO49" i="48" s="1"/>
  <c r="E29" i="48"/>
  <c r="AU52" i="48" l="1"/>
  <c r="AW52" i="48" s="1"/>
  <c r="AU32" i="48"/>
  <c r="AW32" i="48" s="1"/>
  <c r="AU51" i="48"/>
  <c r="AW51" i="48" s="1"/>
  <c r="AU49" i="48"/>
  <c r="AW49" i="48" s="1"/>
  <c r="AU61" i="48"/>
  <c r="AW61" i="48" s="1"/>
  <c r="AU43" i="48"/>
  <c r="AW43" i="48" s="1"/>
  <c r="AZ243" i="48"/>
  <c r="AZ244" i="48"/>
  <c r="AY12" i="48"/>
  <c r="H266" i="48"/>
  <c r="H265" i="48"/>
  <c r="H259" i="48"/>
  <c r="J259" i="48" s="1"/>
  <c r="H258" i="48"/>
  <c r="H257" i="48"/>
  <c r="I257" i="48" s="1"/>
  <c r="H256" i="48"/>
  <c r="H255" i="48"/>
  <c r="H254" i="48"/>
  <c r="I254" i="48" s="1"/>
  <c r="H253" i="48"/>
  <c r="H251" i="48"/>
  <c r="AZ250" i="48"/>
  <c r="H249" i="48"/>
  <c r="H248" i="48"/>
  <c r="H247" i="48"/>
  <c r="H246" i="48"/>
  <c r="H245" i="48"/>
  <c r="H242" i="48"/>
  <c r="H241" i="48"/>
  <c r="H240" i="48"/>
  <c r="H239" i="48"/>
  <c r="H238" i="48"/>
  <c r="H237" i="48"/>
  <c r="H236" i="48"/>
  <c r="H235" i="48"/>
  <c r="H234" i="48"/>
  <c r="H233" i="48"/>
  <c r="H232" i="48"/>
  <c r="H230" i="48"/>
  <c r="H229" i="48"/>
  <c r="H227" i="48"/>
  <c r="H226" i="48"/>
  <c r="H225" i="48"/>
  <c r="H224" i="48"/>
  <c r="H223" i="48"/>
  <c r="H222" i="48"/>
  <c r="H221" i="48"/>
  <c r="H220" i="48"/>
  <c r="H219" i="48"/>
  <c r="H218" i="48"/>
  <c r="H217" i="48"/>
  <c r="H216" i="48"/>
  <c r="H215" i="48"/>
  <c r="H211" i="48"/>
  <c r="H207" i="48"/>
  <c r="H205" i="48"/>
  <c r="H204" i="48"/>
  <c r="H203" i="48"/>
  <c r="H202" i="48"/>
  <c r="H201" i="48"/>
  <c r="H200" i="48"/>
  <c r="H199" i="48"/>
  <c r="H198" i="48"/>
  <c r="H197" i="48"/>
  <c r="H196" i="48"/>
  <c r="H193" i="48"/>
  <c r="H192" i="48"/>
  <c r="H179" i="48"/>
  <c r="H178" i="48"/>
  <c r="H177" i="48"/>
  <c r="H176" i="48"/>
  <c r="H175" i="48"/>
  <c r="H174" i="48"/>
  <c r="H173" i="48"/>
  <c r="H172" i="48"/>
  <c r="H171" i="48"/>
  <c r="H170" i="48"/>
  <c r="H169" i="48"/>
  <c r="I169" i="48" s="1"/>
  <c r="H167" i="48"/>
  <c r="H162" i="48"/>
  <c r="H161" i="48"/>
  <c r="H160" i="48"/>
  <c r="H159" i="48"/>
  <c r="H158" i="48"/>
  <c r="H157" i="48"/>
  <c r="H156" i="48"/>
  <c r="H155" i="48"/>
  <c r="H153" i="48"/>
  <c r="AZ152" i="48"/>
  <c r="H151" i="48"/>
  <c r="H145" i="48"/>
  <c r="H144" i="48"/>
  <c r="H143" i="48"/>
  <c r="H142" i="48"/>
  <c r="H140" i="48"/>
  <c r="H139" i="48"/>
  <c r="H138" i="48"/>
  <c r="H137" i="48"/>
  <c r="H136" i="48"/>
  <c r="H135" i="48"/>
  <c r="H134" i="48"/>
  <c r="H88" i="48"/>
  <c r="H87" i="48"/>
  <c r="H86" i="48"/>
  <c r="H285" i="48"/>
  <c r="H284" i="48"/>
  <c r="H83" i="48"/>
  <c r="H82" i="48"/>
  <c r="H81" i="48"/>
  <c r="H80" i="48"/>
  <c r="H79" i="48"/>
  <c r="H78" i="48"/>
  <c r="H77" i="48"/>
  <c r="H76" i="48"/>
  <c r="H75" i="48"/>
  <c r="H283" i="48"/>
  <c r="H183" i="48"/>
  <c r="H181" i="48"/>
  <c r="H180" i="48"/>
  <c r="AZ73" i="48"/>
  <c r="H70" i="48"/>
  <c r="H69" i="48"/>
  <c r="H68" i="48"/>
  <c r="H37" i="48"/>
  <c r="H49" i="48"/>
  <c r="I49" i="48" s="1"/>
  <c r="H52" i="48"/>
  <c r="I52" i="48" s="1"/>
  <c r="H61" i="48"/>
  <c r="I61" i="48" s="1"/>
  <c r="H32" i="48"/>
  <c r="I32" i="48" s="1"/>
  <c r="H43" i="48"/>
  <c r="I43" i="48" s="1"/>
  <c r="H51" i="48"/>
  <c r="I51" i="48" s="1"/>
  <c r="H31" i="48"/>
  <c r="H58" i="48"/>
  <c r="H50" i="48"/>
  <c r="H48" i="48"/>
  <c r="H47" i="48"/>
  <c r="H55" i="48"/>
  <c r="H42" i="48"/>
  <c r="H41" i="48" s="1"/>
  <c r="H39" i="48"/>
  <c r="H38" i="48"/>
  <c r="H46" i="48"/>
  <c r="H28" i="48"/>
  <c r="H26" i="48"/>
  <c r="H25" i="48"/>
  <c r="H24" i="48"/>
  <c r="H20" i="48"/>
  <c r="H21" i="48"/>
  <c r="H22" i="48"/>
  <c r="H13" i="48"/>
  <c r="H14" i="48"/>
  <c r="H15" i="48"/>
  <c r="H16" i="48"/>
  <c r="H17" i="48"/>
  <c r="H18" i="48"/>
  <c r="H19" i="48"/>
  <c r="H12" i="48"/>
  <c r="H10" i="48"/>
  <c r="AY297" i="48"/>
  <c r="AZ297" i="48" s="1"/>
  <c r="C296" i="48"/>
  <c r="L266" i="48"/>
  <c r="AU265" i="48"/>
  <c r="AU264" i="48" s="1"/>
  <c r="AQ265" i="48"/>
  <c r="AM265" i="48"/>
  <c r="AM264" i="48" s="1"/>
  <c r="AI265" i="48"/>
  <c r="AI264" i="48" s="1"/>
  <c r="AE265" i="48"/>
  <c r="AE264" i="48" s="1"/>
  <c r="AA265" i="48"/>
  <c r="W265" i="48"/>
  <c r="W264" i="48" s="1"/>
  <c r="S265" i="48"/>
  <c r="S264" i="48" s="1"/>
  <c r="O265" i="48"/>
  <c r="L265" i="48"/>
  <c r="K265" i="48"/>
  <c r="K264" i="48" s="1"/>
  <c r="G265" i="48"/>
  <c r="AV264" i="48"/>
  <c r="AR264" i="48"/>
  <c r="AN264" i="48"/>
  <c r="AJ264" i="48"/>
  <c r="AF264" i="48"/>
  <c r="AB264" i="48"/>
  <c r="X264" i="48"/>
  <c r="T264" i="48"/>
  <c r="P264" i="48"/>
  <c r="C264" i="48"/>
  <c r="L259" i="48"/>
  <c r="G258" i="48"/>
  <c r="L258" i="48"/>
  <c r="L257" i="48"/>
  <c r="M257" i="48" s="1"/>
  <c r="E257" i="48"/>
  <c r="L256" i="48"/>
  <c r="G256" i="48"/>
  <c r="F256" i="48"/>
  <c r="L255" i="48"/>
  <c r="G255" i="48"/>
  <c r="F255" i="48"/>
  <c r="E255" i="48"/>
  <c r="L254" i="48"/>
  <c r="M254" i="48" s="1"/>
  <c r="E254" i="48"/>
  <c r="L253" i="48"/>
  <c r="G253" i="48"/>
  <c r="F253" i="48"/>
  <c r="E253" i="48"/>
  <c r="AU252" i="48"/>
  <c r="AW252" i="48" s="1"/>
  <c r="L252" i="48"/>
  <c r="G252" i="48"/>
  <c r="E252" i="48"/>
  <c r="L251" i="48"/>
  <c r="G250" i="48"/>
  <c r="L249" i="48"/>
  <c r="G249" i="48"/>
  <c r="F249" i="48"/>
  <c r="L248" i="48"/>
  <c r="L247" i="48"/>
  <c r="G247" i="48"/>
  <c r="L246" i="48"/>
  <c r="G246" i="48"/>
  <c r="K246" i="48" s="1"/>
  <c r="O246" i="48" s="1"/>
  <c r="F246" i="48"/>
  <c r="E246" i="48"/>
  <c r="L245" i="48"/>
  <c r="G245" i="48"/>
  <c r="F245" i="48"/>
  <c r="E245" i="48"/>
  <c r="L242" i="48"/>
  <c r="L241" i="48"/>
  <c r="L240" i="48"/>
  <c r="L239" i="48"/>
  <c r="G239" i="48"/>
  <c r="L238" i="48"/>
  <c r="G238" i="48"/>
  <c r="F238" i="48"/>
  <c r="E238" i="48"/>
  <c r="L237" i="48"/>
  <c r="G237" i="48"/>
  <c r="F237" i="48"/>
  <c r="E237" i="48"/>
  <c r="L236" i="48"/>
  <c r="G236" i="48"/>
  <c r="F236" i="48"/>
  <c r="E236" i="48"/>
  <c r="L235" i="48"/>
  <c r="G235" i="48"/>
  <c r="F235" i="48"/>
  <c r="L234" i="48"/>
  <c r="G234" i="48"/>
  <c r="F234" i="48"/>
  <c r="L233" i="48"/>
  <c r="G233" i="48"/>
  <c r="F233" i="48"/>
  <c r="E233" i="48"/>
  <c r="L232" i="48"/>
  <c r="L230" i="48"/>
  <c r="G230" i="48"/>
  <c r="L229" i="48"/>
  <c r="G229" i="48"/>
  <c r="F229" i="48"/>
  <c r="L228" i="48"/>
  <c r="G228" i="48"/>
  <c r="F228" i="48"/>
  <c r="L227" i="48"/>
  <c r="G227" i="48"/>
  <c r="F227" i="48"/>
  <c r="L226" i="48"/>
  <c r="G226" i="48"/>
  <c r="F226" i="48"/>
  <c r="L225" i="48"/>
  <c r="L224" i="48"/>
  <c r="G224" i="48"/>
  <c r="L223" i="48"/>
  <c r="G223" i="48"/>
  <c r="F223" i="48"/>
  <c r="E223" i="48"/>
  <c r="L222" i="48"/>
  <c r="L221" i="48"/>
  <c r="L220" i="48"/>
  <c r="L219" i="48"/>
  <c r="L218" i="48"/>
  <c r="G218" i="48"/>
  <c r="L217" i="48"/>
  <c r="G217" i="48"/>
  <c r="F217" i="48"/>
  <c r="AY216" i="48"/>
  <c r="L216" i="48"/>
  <c r="F216" i="48"/>
  <c r="L215" i="48"/>
  <c r="G215" i="48"/>
  <c r="K215" i="48" s="1"/>
  <c r="F215" i="48"/>
  <c r="AV214" i="48"/>
  <c r="AR214" i="48"/>
  <c r="AN214" i="48"/>
  <c r="AJ214" i="48"/>
  <c r="AF214" i="48"/>
  <c r="AB214" i="48"/>
  <c r="X214" i="48"/>
  <c r="T214" i="48"/>
  <c r="P214" i="48"/>
  <c r="E214" i="48"/>
  <c r="L211" i="48"/>
  <c r="G211" i="48"/>
  <c r="F211" i="48"/>
  <c r="E211" i="48"/>
  <c r="L210" i="48"/>
  <c r="M210" i="48" s="1"/>
  <c r="G209" i="48"/>
  <c r="F209" i="48"/>
  <c r="E209" i="48"/>
  <c r="G208" i="48"/>
  <c r="F208" i="48"/>
  <c r="E208" i="48"/>
  <c r="L207" i="48"/>
  <c r="G207" i="48"/>
  <c r="K207" i="48" s="1"/>
  <c r="O207" i="48" s="1"/>
  <c r="F207" i="48"/>
  <c r="E207" i="48"/>
  <c r="G206" i="48"/>
  <c r="F206" i="48"/>
  <c r="E206" i="48"/>
  <c r="L205" i="48"/>
  <c r="G205" i="48"/>
  <c r="F205" i="48"/>
  <c r="E205" i="48"/>
  <c r="L204" i="48"/>
  <c r="G204" i="48"/>
  <c r="K204" i="48" s="1"/>
  <c r="O204" i="48" s="1"/>
  <c r="F204" i="48"/>
  <c r="E204" i="48"/>
  <c r="L203" i="48"/>
  <c r="G203" i="48"/>
  <c r="F203" i="48"/>
  <c r="L202" i="48"/>
  <c r="G202" i="48"/>
  <c r="K202" i="48" s="1"/>
  <c r="O202" i="48" s="1"/>
  <c r="R202" i="48" s="1"/>
  <c r="F202" i="48"/>
  <c r="L201" i="48"/>
  <c r="G201" i="48"/>
  <c r="K201" i="48" s="1"/>
  <c r="O201" i="48" s="1"/>
  <c r="F201" i="48"/>
  <c r="E201" i="48"/>
  <c r="L200" i="48"/>
  <c r="G200" i="48"/>
  <c r="K200" i="48" s="1"/>
  <c r="F200" i="48"/>
  <c r="E200" i="48"/>
  <c r="L199" i="48"/>
  <c r="G199" i="48"/>
  <c r="F199" i="48"/>
  <c r="L198" i="48"/>
  <c r="G198" i="48"/>
  <c r="K198" i="48" s="1"/>
  <c r="O198" i="48" s="1"/>
  <c r="F198" i="48"/>
  <c r="E198" i="48"/>
  <c r="L197" i="48"/>
  <c r="G197" i="48"/>
  <c r="F197" i="48"/>
  <c r="E197" i="48"/>
  <c r="L196" i="48"/>
  <c r="AM195" i="48"/>
  <c r="W195" i="48"/>
  <c r="AA195" i="48" s="1"/>
  <c r="G195" i="48"/>
  <c r="K195" i="48" s="1"/>
  <c r="O195" i="48" s="1"/>
  <c r="L193" i="48"/>
  <c r="G193" i="48"/>
  <c r="L192" i="48"/>
  <c r="G192" i="48"/>
  <c r="K192" i="48" s="1"/>
  <c r="F192" i="48"/>
  <c r="E192" i="48"/>
  <c r="AV191" i="48"/>
  <c r="AV166" i="48" s="1"/>
  <c r="AR191" i="48"/>
  <c r="AN191" i="48"/>
  <c r="AN166" i="48" s="1"/>
  <c r="AJ191" i="48"/>
  <c r="AF191" i="48"/>
  <c r="AF166" i="48" s="1"/>
  <c r="AB191" i="48"/>
  <c r="AB166" i="48" s="1"/>
  <c r="X191" i="48"/>
  <c r="X166" i="48" s="1"/>
  <c r="T191" i="48"/>
  <c r="P191" i="48"/>
  <c r="P166" i="48" s="1"/>
  <c r="C191" i="48"/>
  <c r="AA179" i="48"/>
  <c r="L179" i="48"/>
  <c r="G179" i="48"/>
  <c r="K179" i="48" s="1"/>
  <c r="O179" i="48" s="1"/>
  <c r="F179" i="48"/>
  <c r="AA178" i="48"/>
  <c r="AE178" i="48" s="1"/>
  <c r="L178" i="48"/>
  <c r="G178" i="48"/>
  <c r="F178" i="48"/>
  <c r="AA177" i="48"/>
  <c r="L177" i="48"/>
  <c r="G177" i="48"/>
  <c r="F177" i="48"/>
  <c r="AA176" i="48"/>
  <c r="L176" i="48"/>
  <c r="G176" i="48"/>
  <c r="K176" i="48" s="1"/>
  <c r="O176" i="48" s="1"/>
  <c r="F176" i="48"/>
  <c r="AA175" i="48"/>
  <c r="L175" i="48"/>
  <c r="G175" i="48"/>
  <c r="K175" i="48" s="1"/>
  <c r="O175" i="48" s="1"/>
  <c r="F175" i="48"/>
  <c r="AA174" i="48"/>
  <c r="L174" i="48"/>
  <c r="G174" i="48"/>
  <c r="F174" i="48"/>
  <c r="AA173" i="48"/>
  <c r="L173" i="48"/>
  <c r="G173" i="48"/>
  <c r="F173" i="48"/>
  <c r="E173" i="48"/>
  <c r="AA172" i="48"/>
  <c r="L172" i="48"/>
  <c r="G172" i="48"/>
  <c r="K172" i="48" s="1"/>
  <c r="O172" i="48" s="1"/>
  <c r="F172" i="48"/>
  <c r="E172" i="48"/>
  <c r="AA171" i="48"/>
  <c r="AE171" i="48" s="1"/>
  <c r="L171" i="48"/>
  <c r="G171" i="48"/>
  <c r="AA170" i="48"/>
  <c r="L170" i="48"/>
  <c r="G170" i="48"/>
  <c r="L169" i="48"/>
  <c r="M169" i="48" s="1"/>
  <c r="AA167" i="48"/>
  <c r="L167" i="48"/>
  <c r="G167" i="48"/>
  <c r="F167" i="48"/>
  <c r="W166" i="48"/>
  <c r="AA162" i="48"/>
  <c r="L162" i="48"/>
  <c r="G162" i="48"/>
  <c r="F162" i="48"/>
  <c r="AA161" i="48"/>
  <c r="L161" i="48"/>
  <c r="G161" i="48"/>
  <c r="F161" i="48"/>
  <c r="AA160" i="48"/>
  <c r="AE160" i="48" s="1"/>
  <c r="L160" i="48"/>
  <c r="G160" i="48"/>
  <c r="K160" i="48" s="1"/>
  <c r="O160" i="48" s="1"/>
  <c r="F160" i="48"/>
  <c r="AA159" i="48"/>
  <c r="L159" i="48"/>
  <c r="G159" i="48"/>
  <c r="K159" i="48" s="1"/>
  <c r="O159" i="48" s="1"/>
  <c r="F159" i="48"/>
  <c r="AA158" i="48"/>
  <c r="L158" i="48"/>
  <c r="G158" i="48"/>
  <c r="F158" i="48"/>
  <c r="AA157" i="48"/>
  <c r="L157" i="48"/>
  <c r="G157" i="48"/>
  <c r="K157" i="48" s="1"/>
  <c r="O157" i="48" s="1"/>
  <c r="F157" i="48"/>
  <c r="AM156" i="48"/>
  <c r="L156" i="48"/>
  <c r="G156" i="48"/>
  <c r="F156" i="48"/>
  <c r="AA155" i="48"/>
  <c r="L155" i="48"/>
  <c r="G155" i="48"/>
  <c r="F155" i="48"/>
  <c r="L153" i="48"/>
  <c r="AA152" i="48"/>
  <c r="G152" i="48"/>
  <c r="AA151" i="48"/>
  <c r="L151" i="48"/>
  <c r="G151" i="48"/>
  <c r="K151" i="48" s="1"/>
  <c r="F151" i="48"/>
  <c r="AV150" i="48"/>
  <c r="AR150" i="48"/>
  <c r="AN150" i="48"/>
  <c r="AJ150" i="48"/>
  <c r="AF150" i="48"/>
  <c r="AB150" i="48"/>
  <c r="X150" i="48"/>
  <c r="W150" i="48"/>
  <c r="T150" i="48"/>
  <c r="P150" i="48"/>
  <c r="AY145" i="48"/>
  <c r="L145" i="48"/>
  <c r="AY144" i="48"/>
  <c r="L144" i="48"/>
  <c r="F144" i="48"/>
  <c r="E144" i="48"/>
  <c r="AY143" i="48"/>
  <c r="L143" i="48"/>
  <c r="F143" i="48"/>
  <c r="E143" i="48"/>
  <c r="L142" i="48"/>
  <c r="AZ141" i="48"/>
  <c r="AY141" i="48"/>
  <c r="AY140" i="48"/>
  <c r="L140" i="48"/>
  <c r="F140" i="48"/>
  <c r="E140" i="48"/>
  <c r="L139" i="48"/>
  <c r="L138" i="48"/>
  <c r="G138" i="48"/>
  <c r="G133" i="48" s="1"/>
  <c r="AY137" i="48"/>
  <c r="L137" i="48"/>
  <c r="F137" i="48"/>
  <c r="AY136" i="48"/>
  <c r="L136" i="48"/>
  <c r="F136" i="48"/>
  <c r="AY135" i="48"/>
  <c r="L135" i="48"/>
  <c r="F135" i="48"/>
  <c r="AY134" i="48"/>
  <c r="L134" i="48"/>
  <c r="F134" i="48"/>
  <c r="E134" i="48"/>
  <c r="AV133" i="48"/>
  <c r="AR133" i="48"/>
  <c r="AN133" i="48"/>
  <c r="AJ133" i="48"/>
  <c r="AF133" i="48"/>
  <c r="AB133" i="48"/>
  <c r="X133" i="48"/>
  <c r="T133" i="48"/>
  <c r="P133" i="48"/>
  <c r="C133" i="48"/>
  <c r="L130" i="48"/>
  <c r="K130" i="48"/>
  <c r="O130" i="48" s="1"/>
  <c r="Q130" i="48" s="1"/>
  <c r="L129" i="48"/>
  <c r="K129" i="48"/>
  <c r="O129" i="48" s="1"/>
  <c r="Q129" i="48" s="1"/>
  <c r="L128" i="48"/>
  <c r="K128" i="48"/>
  <c r="O128" i="48" s="1"/>
  <c r="Q128" i="48" s="1"/>
  <c r="L127" i="48"/>
  <c r="F127" i="48"/>
  <c r="E127" i="48"/>
  <c r="L126" i="48"/>
  <c r="K126" i="48"/>
  <c r="O126" i="48" s="1"/>
  <c r="F126" i="48"/>
  <c r="E126" i="48"/>
  <c r="L125" i="48"/>
  <c r="F125" i="48"/>
  <c r="E125" i="48"/>
  <c r="L124" i="48"/>
  <c r="F124" i="48"/>
  <c r="E124" i="48"/>
  <c r="L123" i="48"/>
  <c r="K123" i="48"/>
  <c r="F123" i="48"/>
  <c r="E123" i="48"/>
  <c r="AZ122" i="48"/>
  <c r="F122" i="48"/>
  <c r="L121" i="48"/>
  <c r="F121" i="48"/>
  <c r="L120" i="48"/>
  <c r="L119" i="48"/>
  <c r="K119" i="48"/>
  <c r="O119" i="48" s="1"/>
  <c r="F119" i="48"/>
  <c r="L118" i="48"/>
  <c r="K118" i="48"/>
  <c r="O118" i="48" s="1"/>
  <c r="F118" i="48"/>
  <c r="L117" i="48"/>
  <c r="F117" i="48"/>
  <c r="L116" i="48"/>
  <c r="K116" i="48"/>
  <c r="O116" i="48" s="1"/>
  <c r="F116" i="48"/>
  <c r="L115" i="48"/>
  <c r="K115" i="48"/>
  <c r="F115" i="48"/>
  <c r="L114" i="48"/>
  <c r="F114" i="48"/>
  <c r="L267" i="48"/>
  <c r="F267" i="48"/>
  <c r="L113" i="48"/>
  <c r="F113" i="48"/>
  <c r="L112" i="48"/>
  <c r="K112" i="48"/>
  <c r="O112" i="48" s="1"/>
  <c r="F112" i="48"/>
  <c r="L276" i="48"/>
  <c r="K276" i="48"/>
  <c r="O276" i="48" s="1"/>
  <c r="F276" i="48"/>
  <c r="L111" i="48"/>
  <c r="F111" i="48"/>
  <c r="E111" i="48"/>
  <c r="L110" i="48"/>
  <c r="F110" i="48"/>
  <c r="E110" i="48"/>
  <c r="L109" i="48"/>
  <c r="F109" i="48"/>
  <c r="E109" i="48"/>
  <c r="L275" i="48"/>
  <c r="L274" i="48"/>
  <c r="K274" i="48"/>
  <c r="O274" i="48" s="1"/>
  <c r="L108" i="48"/>
  <c r="K108" i="48"/>
  <c r="F108" i="48"/>
  <c r="E108" i="48"/>
  <c r="L107" i="48"/>
  <c r="F107" i="48"/>
  <c r="E107" i="48"/>
  <c r="L106" i="48"/>
  <c r="K106" i="48"/>
  <c r="O106" i="48" s="1"/>
  <c r="F106" i="48"/>
  <c r="E106" i="48"/>
  <c r="L105" i="48"/>
  <c r="F105" i="48"/>
  <c r="E105" i="48"/>
  <c r="L104" i="48"/>
  <c r="F104" i="48"/>
  <c r="E104" i="48"/>
  <c r="L103" i="48"/>
  <c r="F103" i="48"/>
  <c r="E103" i="48"/>
  <c r="L102" i="48"/>
  <c r="F102" i="48"/>
  <c r="E102" i="48"/>
  <c r="L101" i="48"/>
  <c r="F101" i="48"/>
  <c r="E101" i="48"/>
  <c r="L100" i="48"/>
  <c r="F100" i="48"/>
  <c r="E100" i="48"/>
  <c r="L99" i="48"/>
  <c r="K99" i="48"/>
  <c r="O99" i="48" s="1"/>
  <c r="F99" i="48"/>
  <c r="E99" i="48"/>
  <c r="L98" i="48"/>
  <c r="F98" i="48"/>
  <c r="E98" i="48"/>
  <c r="L97" i="48"/>
  <c r="K97" i="48"/>
  <c r="O97" i="48" s="1"/>
  <c r="F97" i="48"/>
  <c r="E97" i="48"/>
  <c r="L96" i="48"/>
  <c r="F96" i="48"/>
  <c r="E96" i="48"/>
  <c r="L95" i="48"/>
  <c r="K95" i="48"/>
  <c r="F95" i="48"/>
  <c r="E95" i="48"/>
  <c r="L94" i="48"/>
  <c r="F94" i="48"/>
  <c r="E94" i="48"/>
  <c r="L93" i="48"/>
  <c r="K93" i="48"/>
  <c r="O93" i="48" s="1"/>
  <c r="F93" i="48"/>
  <c r="E93" i="48"/>
  <c r="L92" i="48"/>
  <c r="F92" i="48"/>
  <c r="E92" i="48"/>
  <c r="AV91" i="48"/>
  <c r="AR91" i="48"/>
  <c r="AN91" i="48"/>
  <c r="AJ91" i="48"/>
  <c r="AB91" i="48"/>
  <c r="X91" i="48"/>
  <c r="T91" i="48"/>
  <c r="C91" i="48"/>
  <c r="W89" i="48"/>
  <c r="L89" i="48"/>
  <c r="G89" i="48"/>
  <c r="K89" i="48" s="1"/>
  <c r="F89" i="48"/>
  <c r="L88" i="48"/>
  <c r="G88" i="48"/>
  <c r="F88" i="48"/>
  <c r="W87" i="48"/>
  <c r="L87" i="48"/>
  <c r="G87" i="48"/>
  <c r="K87" i="48" s="1"/>
  <c r="O87" i="48" s="1"/>
  <c r="F87" i="48"/>
  <c r="L86" i="48"/>
  <c r="G86" i="48"/>
  <c r="K86" i="48" s="1"/>
  <c r="O86" i="48" s="1"/>
  <c r="F86" i="48"/>
  <c r="W85" i="48"/>
  <c r="G85" i="48"/>
  <c r="K85" i="48" s="1"/>
  <c r="O85" i="48" s="1"/>
  <c r="F85" i="48"/>
  <c r="E85" i="48"/>
  <c r="AY84" i="48"/>
  <c r="F84" i="48"/>
  <c r="E84" i="48"/>
  <c r="L285" i="48"/>
  <c r="W284" i="48"/>
  <c r="L284" i="48"/>
  <c r="G284" i="48"/>
  <c r="K284" i="48" s="1"/>
  <c r="O284" i="48" s="1"/>
  <c r="L83" i="48"/>
  <c r="AU82" i="48"/>
  <c r="W82" i="48"/>
  <c r="L82" i="48"/>
  <c r="G82" i="48"/>
  <c r="K82" i="48" s="1"/>
  <c r="W81" i="48"/>
  <c r="L81" i="48"/>
  <c r="G81" i="48"/>
  <c r="F81" i="48"/>
  <c r="W80" i="48"/>
  <c r="L80" i="48"/>
  <c r="G80" i="48"/>
  <c r="K80" i="48" s="1"/>
  <c r="O80" i="48" s="1"/>
  <c r="F80" i="48"/>
  <c r="W79" i="48"/>
  <c r="L79" i="48"/>
  <c r="G79" i="48"/>
  <c r="K79" i="48" s="1"/>
  <c r="O79" i="48" s="1"/>
  <c r="F79" i="48"/>
  <c r="W78" i="48"/>
  <c r="L78" i="48"/>
  <c r="G78" i="48"/>
  <c r="F78" i="48"/>
  <c r="L77" i="48"/>
  <c r="G77" i="48"/>
  <c r="F77" i="48"/>
  <c r="L76" i="48"/>
  <c r="AU75" i="48"/>
  <c r="W75" i="48"/>
  <c r="L75" i="48"/>
  <c r="G75" i="48"/>
  <c r="K75" i="48" s="1"/>
  <c r="L283" i="48"/>
  <c r="W283" i="48"/>
  <c r="G283" i="48"/>
  <c r="L183" i="48"/>
  <c r="M182" i="48" s="1"/>
  <c r="L181" i="48"/>
  <c r="W180" i="48"/>
  <c r="L180" i="48"/>
  <c r="G180" i="48"/>
  <c r="W74" i="48"/>
  <c r="G74" i="48"/>
  <c r="K74" i="48" s="1"/>
  <c r="F74" i="48"/>
  <c r="W72" i="48"/>
  <c r="AA72" i="48" s="1"/>
  <c r="G72" i="48"/>
  <c r="F72" i="48"/>
  <c r="E72" i="48"/>
  <c r="W70" i="48"/>
  <c r="AA70" i="48" s="1"/>
  <c r="L70" i="48"/>
  <c r="G70" i="48"/>
  <c r="W69" i="48"/>
  <c r="L69" i="48"/>
  <c r="G69" i="48"/>
  <c r="K69" i="48" s="1"/>
  <c r="O69" i="48" s="1"/>
  <c r="F69" i="48"/>
  <c r="E69" i="48"/>
  <c r="L68" i="48"/>
  <c r="G68" i="48"/>
  <c r="K68" i="48" s="1"/>
  <c r="O68" i="48" s="1"/>
  <c r="F68" i="48"/>
  <c r="AV67" i="48"/>
  <c r="AR67" i="48"/>
  <c r="AN67" i="48"/>
  <c r="AJ67" i="48"/>
  <c r="AF67" i="48"/>
  <c r="AB67" i="48"/>
  <c r="X67" i="48"/>
  <c r="T67" i="48"/>
  <c r="P67" i="48"/>
  <c r="C67" i="48"/>
  <c r="L37" i="48"/>
  <c r="AZ36" i="48"/>
  <c r="K36" i="48"/>
  <c r="G36" i="48"/>
  <c r="O36" i="48" s="1"/>
  <c r="AV35" i="48"/>
  <c r="AR35" i="48"/>
  <c r="AN35" i="48"/>
  <c r="AJ35" i="48"/>
  <c r="AF35" i="48"/>
  <c r="AB35" i="48"/>
  <c r="X35" i="48"/>
  <c r="L49" i="48"/>
  <c r="K49" i="48"/>
  <c r="E49" i="48"/>
  <c r="L52" i="48"/>
  <c r="K52" i="48"/>
  <c r="E52" i="48"/>
  <c r="L61" i="48"/>
  <c r="K61" i="48"/>
  <c r="E61" i="48"/>
  <c r="L32" i="48"/>
  <c r="K32" i="48"/>
  <c r="E32" i="48"/>
  <c r="L43" i="48"/>
  <c r="K43" i="48"/>
  <c r="E43" i="48"/>
  <c r="L51" i="48"/>
  <c r="K51" i="48"/>
  <c r="E51" i="48"/>
  <c r="L31" i="48"/>
  <c r="K31" i="48"/>
  <c r="S31" i="48" s="1"/>
  <c r="G31" i="48"/>
  <c r="O31" i="48" s="1"/>
  <c r="F31" i="48"/>
  <c r="E31" i="48"/>
  <c r="L58" i="48"/>
  <c r="K58" i="48"/>
  <c r="G58" i="48"/>
  <c r="O58" i="48" s="1"/>
  <c r="E58" i="48"/>
  <c r="L50" i="48"/>
  <c r="K50" i="48"/>
  <c r="S50" i="48" s="1"/>
  <c r="G50" i="48"/>
  <c r="O50" i="48" s="1"/>
  <c r="E50" i="48"/>
  <c r="L48" i="48"/>
  <c r="L47" i="48"/>
  <c r="K47" i="48"/>
  <c r="G47" i="48"/>
  <c r="O47" i="48" s="1"/>
  <c r="L55" i="48"/>
  <c r="K55" i="48"/>
  <c r="S55" i="48" s="1"/>
  <c r="G55" i="48"/>
  <c r="O55" i="48" s="1"/>
  <c r="F55" i="48"/>
  <c r="E55" i="48"/>
  <c r="L42" i="48"/>
  <c r="L41" i="48" s="1"/>
  <c r="K42" i="48"/>
  <c r="G42" i="48"/>
  <c r="F42" i="48"/>
  <c r="E42" i="48"/>
  <c r="L39" i="48"/>
  <c r="K39" i="48"/>
  <c r="S39" i="48" s="1"/>
  <c r="G39" i="48"/>
  <c r="O39" i="48" s="1"/>
  <c r="F39" i="48"/>
  <c r="E39" i="48"/>
  <c r="L38" i="48"/>
  <c r="K38" i="48"/>
  <c r="S38" i="48" s="1"/>
  <c r="G38" i="48"/>
  <c r="O38" i="48" s="1"/>
  <c r="F38" i="48"/>
  <c r="E38" i="48"/>
  <c r="AZ30" i="48"/>
  <c r="AI30" i="48"/>
  <c r="AK30" i="48" s="1"/>
  <c r="O30" i="48"/>
  <c r="K30" i="48"/>
  <c r="M30" i="48" s="1"/>
  <c r="E30" i="48"/>
  <c r="L46" i="48"/>
  <c r="C46" i="48"/>
  <c r="G46" i="48" s="1"/>
  <c r="L28" i="48"/>
  <c r="K28" i="48"/>
  <c r="S28" i="48" s="1"/>
  <c r="G28" i="48"/>
  <c r="F28" i="48"/>
  <c r="E28" i="48"/>
  <c r="AV27" i="48"/>
  <c r="AR27" i="48"/>
  <c r="AN27" i="48"/>
  <c r="AJ27" i="48"/>
  <c r="AF27" i="48"/>
  <c r="AB27" i="48"/>
  <c r="X27" i="48"/>
  <c r="T27" i="48"/>
  <c r="L26" i="48"/>
  <c r="G26" i="48"/>
  <c r="K26" i="48" s="1"/>
  <c r="O26" i="48" s="1"/>
  <c r="F26" i="48"/>
  <c r="E26" i="48"/>
  <c r="L25" i="48"/>
  <c r="G25" i="48"/>
  <c r="K25" i="48" s="1"/>
  <c r="F25" i="48"/>
  <c r="E25" i="48"/>
  <c r="L24" i="48"/>
  <c r="G24" i="48"/>
  <c r="K24" i="48" s="1"/>
  <c r="F24" i="48"/>
  <c r="E24" i="48"/>
  <c r="AV23" i="48"/>
  <c r="AR23" i="48"/>
  <c r="AN23" i="48"/>
  <c r="AJ23" i="48"/>
  <c r="AF23" i="48"/>
  <c r="AB23" i="48"/>
  <c r="X23" i="48"/>
  <c r="T23" i="48"/>
  <c r="P23" i="48"/>
  <c r="D23" i="48"/>
  <c r="C23" i="48"/>
  <c r="L22" i="48"/>
  <c r="L21" i="48"/>
  <c r="L20" i="48"/>
  <c r="L19" i="48"/>
  <c r="G19" i="48"/>
  <c r="K19" i="48" s="1"/>
  <c r="L18" i="48"/>
  <c r="L17" i="48"/>
  <c r="L16" i="48"/>
  <c r="L15" i="48"/>
  <c r="L14" i="48"/>
  <c r="G14" i="48"/>
  <c r="K14" i="48" s="1"/>
  <c r="O14" i="48" s="1"/>
  <c r="L13" i="48"/>
  <c r="G13" i="48"/>
  <c r="K13" i="48" s="1"/>
  <c r="E13" i="48"/>
  <c r="L12" i="48"/>
  <c r="AY11" i="48"/>
  <c r="D11" i="48"/>
  <c r="AY10" i="48"/>
  <c r="L10" i="48"/>
  <c r="C9" i="48"/>
  <c r="O42" i="48" l="1"/>
  <c r="R42" i="48" s="1"/>
  <c r="G41" i="48"/>
  <c r="I41" i="48" s="1"/>
  <c r="S42" i="48"/>
  <c r="U42" i="48" s="1"/>
  <c r="K41" i="48"/>
  <c r="M41" i="48" s="1"/>
  <c r="L150" i="48"/>
  <c r="L166" i="48"/>
  <c r="H150" i="48"/>
  <c r="H166" i="48"/>
  <c r="H264" i="48"/>
  <c r="L91" i="48"/>
  <c r="L264" i="48"/>
  <c r="K283" i="48"/>
  <c r="M283" i="48" s="1"/>
  <c r="G282" i="48"/>
  <c r="J283" i="48"/>
  <c r="H282" i="48"/>
  <c r="I283" i="48"/>
  <c r="L282" i="48"/>
  <c r="AZ240" i="48"/>
  <c r="AZ259" i="48"/>
  <c r="H191" i="48"/>
  <c r="H133" i="48"/>
  <c r="H214" i="48"/>
  <c r="L133" i="48"/>
  <c r="L214" i="48"/>
  <c r="L191" i="48"/>
  <c r="M74" i="48"/>
  <c r="N74" i="48"/>
  <c r="G166" i="48"/>
  <c r="G23" i="48"/>
  <c r="AZ242" i="48"/>
  <c r="E35" i="48"/>
  <c r="C65" i="48"/>
  <c r="F133" i="48"/>
  <c r="F150" i="48"/>
  <c r="G214" i="48"/>
  <c r="AZ241" i="48"/>
  <c r="J258" i="48"/>
  <c r="I258" i="48"/>
  <c r="E91" i="48"/>
  <c r="G91" i="48"/>
  <c r="AB65" i="48"/>
  <c r="K223" i="48"/>
  <c r="N223" i="48" s="1"/>
  <c r="K224" i="48"/>
  <c r="O224" i="48" s="1"/>
  <c r="S224" i="48" s="1"/>
  <c r="W224" i="48" s="1"/>
  <c r="K236" i="48"/>
  <c r="M236" i="48" s="1"/>
  <c r="K253" i="48"/>
  <c r="M253" i="48" s="1"/>
  <c r="K255" i="48"/>
  <c r="M255" i="48" s="1"/>
  <c r="E23" i="48"/>
  <c r="F166" i="48"/>
  <c r="K226" i="48"/>
  <c r="O226" i="48" s="1"/>
  <c r="Q226" i="48" s="1"/>
  <c r="K230" i="48"/>
  <c r="O230" i="48" s="1"/>
  <c r="S230" i="48" s="1"/>
  <c r="W230" i="48" s="1"/>
  <c r="K234" i="48"/>
  <c r="O234" i="48" s="1"/>
  <c r="R234" i="48" s="1"/>
  <c r="K245" i="48"/>
  <c r="M245" i="48" s="1"/>
  <c r="I252" i="48"/>
  <c r="Q99" i="48"/>
  <c r="R99" i="48"/>
  <c r="Q276" i="48"/>
  <c r="R276" i="48"/>
  <c r="Q116" i="48"/>
  <c r="R116" i="48"/>
  <c r="Q159" i="48"/>
  <c r="R159" i="48"/>
  <c r="R175" i="48"/>
  <c r="Q175" i="48"/>
  <c r="Q207" i="48"/>
  <c r="R207" i="48"/>
  <c r="Q93" i="48"/>
  <c r="R93" i="48"/>
  <c r="Q112" i="48"/>
  <c r="R112" i="48"/>
  <c r="Q160" i="48"/>
  <c r="R160" i="48"/>
  <c r="K9" i="48"/>
  <c r="Q14" i="48"/>
  <c r="R14" i="48"/>
  <c r="R26" i="48"/>
  <c r="Q26" i="48"/>
  <c r="Q50" i="48"/>
  <c r="R50" i="48"/>
  <c r="W58" i="48"/>
  <c r="AE58" i="48" s="1"/>
  <c r="Q58" i="48"/>
  <c r="R58" i="48"/>
  <c r="Q36" i="48"/>
  <c r="R36" i="48"/>
  <c r="Q97" i="48"/>
  <c r="R97" i="48"/>
  <c r="Q106" i="48"/>
  <c r="R106" i="48"/>
  <c r="Q274" i="48"/>
  <c r="R274" i="48"/>
  <c r="S119" i="48"/>
  <c r="W119" i="48" s="1"/>
  <c r="Q119" i="48"/>
  <c r="R119" i="48"/>
  <c r="J122" i="48"/>
  <c r="I122" i="48"/>
  <c r="R126" i="48"/>
  <c r="Q126" i="48"/>
  <c r="M130" i="48"/>
  <c r="Z150" i="48"/>
  <c r="Y150" i="48"/>
  <c r="AC151" i="48"/>
  <c r="AD151" i="48"/>
  <c r="AC155" i="48"/>
  <c r="AD155" i="48"/>
  <c r="AQ156" i="48"/>
  <c r="AU156" i="48" s="1"/>
  <c r="AO156" i="48"/>
  <c r="AP156" i="48"/>
  <c r="S157" i="48"/>
  <c r="Q157" i="48"/>
  <c r="R157" i="48"/>
  <c r="AC157" i="48"/>
  <c r="AD157" i="48"/>
  <c r="AC158" i="48"/>
  <c r="AD158" i="48"/>
  <c r="AH160" i="48"/>
  <c r="AG160" i="48"/>
  <c r="AC161" i="48"/>
  <c r="AD161" i="48"/>
  <c r="AC162" i="48"/>
  <c r="AD162" i="48"/>
  <c r="AC167" i="48"/>
  <c r="AD167" i="48"/>
  <c r="AD170" i="48"/>
  <c r="AC170" i="48"/>
  <c r="AG171" i="48"/>
  <c r="AH171" i="48"/>
  <c r="R172" i="48"/>
  <c r="Q172" i="48"/>
  <c r="AD172" i="48"/>
  <c r="AC172" i="48"/>
  <c r="AD173" i="48"/>
  <c r="AC173" i="48"/>
  <c r="AD174" i="48"/>
  <c r="AC174" i="48"/>
  <c r="AI178" i="48"/>
  <c r="AM178" i="48" s="1"/>
  <c r="AG178" i="48"/>
  <c r="AH178" i="48"/>
  <c r="R179" i="48"/>
  <c r="Q179" i="48"/>
  <c r="AE179" i="48"/>
  <c r="AI179" i="48" s="1"/>
  <c r="AD179" i="48"/>
  <c r="AC179" i="48"/>
  <c r="AJ166" i="48"/>
  <c r="AJ65" i="48" s="1"/>
  <c r="AD195" i="48"/>
  <c r="AC195" i="48"/>
  <c r="R198" i="48"/>
  <c r="Q198" i="48"/>
  <c r="N202" i="48"/>
  <c r="Q204" i="48"/>
  <c r="R204" i="48"/>
  <c r="I228" i="48"/>
  <c r="J228" i="48"/>
  <c r="E11" i="48"/>
  <c r="F11" i="48"/>
  <c r="Q31" i="48"/>
  <c r="R31" i="48"/>
  <c r="M43" i="48"/>
  <c r="M61" i="48"/>
  <c r="M49" i="48"/>
  <c r="F35" i="48"/>
  <c r="P65" i="48"/>
  <c r="X65" i="48"/>
  <c r="AF65" i="48"/>
  <c r="AN65" i="48"/>
  <c r="AV65" i="48"/>
  <c r="J89" i="48"/>
  <c r="I89" i="48"/>
  <c r="Q118" i="48"/>
  <c r="R118" i="48"/>
  <c r="K122" i="48"/>
  <c r="O122" i="48" s="1"/>
  <c r="S122" i="48" s="1"/>
  <c r="M128" i="48"/>
  <c r="AE151" i="48"/>
  <c r="AI151" i="48" s="1"/>
  <c r="AM151" i="48" s="1"/>
  <c r="AC152" i="48"/>
  <c r="AD152" i="48"/>
  <c r="AC159" i="48"/>
  <c r="AD159" i="48"/>
  <c r="AC160" i="48"/>
  <c r="AD160" i="48"/>
  <c r="T166" i="48"/>
  <c r="Z166" i="48"/>
  <c r="Y166" i="48"/>
  <c r="AR166" i="48"/>
  <c r="K171" i="48"/>
  <c r="O171" i="48" s="1"/>
  <c r="S171" i="48" s="1"/>
  <c r="AD171" i="48"/>
  <c r="AC171" i="48"/>
  <c r="AE172" i="48"/>
  <c r="AI172" i="48" s="1"/>
  <c r="AD175" i="48"/>
  <c r="AC175" i="48"/>
  <c r="R176" i="48"/>
  <c r="Q176" i="48"/>
  <c r="AD176" i="48"/>
  <c r="AC176" i="48"/>
  <c r="AD177" i="48"/>
  <c r="AC177" i="48"/>
  <c r="AD178" i="48"/>
  <c r="AC178" i="48"/>
  <c r="R195" i="48"/>
  <c r="Q195" i="48"/>
  <c r="Y195" i="48"/>
  <c r="Z195" i="48"/>
  <c r="AP195" i="48"/>
  <c r="AO195" i="48"/>
  <c r="Q201" i="48"/>
  <c r="R201" i="48"/>
  <c r="U264" i="48"/>
  <c r="V264" i="48"/>
  <c r="Z264" i="48"/>
  <c r="Y264" i="48"/>
  <c r="AX264" i="48"/>
  <c r="AW264" i="48"/>
  <c r="Q265" i="48"/>
  <c r="R265" i="48"/>
  <c r="Z265" i="48"/>
  <c r="Y265" i="48"/>
  <c r="AG265" i="48"/>
  <c r="AH265" i="48"/>
  <c r="AO265" i="48"/>
  <c r="AP265" i="48"/>
  <c r="AX265" i="48"/>
  <c r="AW265" i="48"/>
  <c r="I120" i="48"/>
  <c r="I129" i="48"/>
  <c r="J202" i="48"/>
  <c r="J234" i="48"/>
  <c r="R246" i="48"/>
  <c r="Q246" i="48"/>
  <c r="AG264" i="48"/>
  <c r="AH264" i="48"/>
  <c r="AL264" i="48"/>
  <c r="AK264" i="48"/>
  <c r="AO264" i="48"/>
  <c r="AP264" i="48"/>
  <c r="U265" i="48"/>
  <c r="V265" i="48"/>
  <c r="AC265" i="48"/>
  <c r="AD265" i="48"/>
  <c r="AL265" i="48"/>
  <c r="AK265" i="48"/>
  <c r="AT265" i="48"/>
  <c r="AS265" i="48"/>
  <c r="I128" i="48"/>
  <c r="I130" i="48"/>
  <c r="J199" i="48"/>
  <c r="J203" i="48"/>
  <c r="J235" i="48"/>
  <c r="U28" i="48"/>
  <c r="V28" i="48"/>
  <c r="W30" i="48"/>
  <c r="Y30" i="48" s="1"/>
  <c r="Q30" i="48"/>
  <c r="U38" i="48"/>
  <c r="V38" i="48"/>
  <c r="W38" i="48"/>
  <c r="AE38" i="48" s="1"/>
  <c r="R38" i="48"/>
  <c r="Q38" i="48"/>
  <c r="U39" i="48"/>
  <c r="V39" i="48"/>
  <c r="W42" i="48"/>
  <c r="AE42" i="48" s="1"/>
  <c r="U55" i="48"/>
  <c r="V55" i="48"/>
  <c r="W47" i="48"/>
  <c r="AE47" i="48" s="1"/>
  <c r="R47" i="48"/>
  <c r="Q47" i="48"/>
  <c r="U50" i="48"/>
  <c r="V50" i="48"/>
  <c r="S32" i="48"/>
  <c r="U32" i="48" s="1"/>
  <c r="R68" i="48"/>
  <c r="Q68" i="48"/>
  <c r="R69" i="48"/>
  <c r="Q69" i="48"/>
  <c r="Y69" i="48"/>
  <c r="Z69" i="48"/>
  <c r="AD70" i="48"/>
  <c r="AC70" i="48"/>
  <c r="AD72" i="48"/>
  <c r="AC72" i="48"/>
  <c r="Y180" i="48"/>
  <c r="Z180" i="48"/>
  <c r="Z75" i="48"/>
  <c r="Y75" i="48"/>
  <c r="AA82" i="48"/>
  <c r="AE82" i="48" s="1"/>
  <c r="Z82" i="48"/>
  <c r="Y82" i="48"/>
  <c r="Q284" i="48"/>
  <c r="R284" i="48"/>
  <c r="Z284" i="48"/>
  <c r="Y284" i="48"/>
  <c r="Q85" i="48"/>
  <c r="R85" i="48"/>
  <c r="Z85" i="48"/>
  <c r="Y85" i="48"/>
  <c r="R87" i="48"/>
  <c r="Q87" i="48"/>
  <c r="Z87" i="48"/>
  <c r="Y87" i="48"/>
  <c r="Z89" i="48"/>
  <c r="Y89" i="48"/>
  <c r="R39" i="48"/>
  <c r="Q39" i="48"/>
  <c r="R55" i="48"/>
  <c r="Q55" i="48"/>
  <c r="AA31" i="48"/>
  <c r="AI31" i="48" s="1"/>
  <c r="U31" i="48"/>
  <c r="V31" i="48"/>
  <c r="M51" i="48"/>
  <c r="S43" i="48"/>
  <c r="U43" i="48" s="1"/>
  <c r="M32" i="48"/>
  <c r="S61" i="48"/>
  <c r="U61" i="48" s="1"/>
  <c r="M52" i="48"/>
  <c r="S49" i="48"/>
  <c r="U49" i="48" s="1"/>
  <c r="Y70" i="48"/>
  <c r="Z70" i="48"/>
  <c r="Y72" i="48"/>
  <c r="Z72" i="48"/>
  <c r="AA74" i="48"/>
  <c r="AE74" i="48" s="1"/>
  <c r="Y74" i="48"/>
  <c r="Z74" i="48"/>
  <c r="AW75" i="48"/>
  <c r="AX75" i="48"/>
  <c r="Z78" i="48"/>
  <c r="Y78" i="48"/>
  <c r="Q79" i="48"/>
  <c r="R79" i="48"/>
  <c r="Z79" i="48"/>
  <c r="Y79" i="48"/>
  <c r="Q80" i="48"/>
  <c r="R80" i="48"/>
  <c r="Z80" i="48"/>
  <c r="Y80" i="48"/>
  <c r="Z81" i="48"/>
  <c r="Y81" i="48"/>
  <c r="AW82" i="48"/>
  <c r="AX82" i="48"/>
  <c r="AA284" i="48"/>
  <c r="AE284" i="48" s="1"/>
  <c r="Q86" i="48"/>
  <c r="R86" i="48"/>
  <c r="AZ219" i="48"/>
  <c r="H11" i="48"/>
  <c r="AZ10" i="48"/>
  <c r="J10" i="48"/>
  <c r="I10" i="48"/>
  <c r="J19" i="48"/>
  <c r="I19" i="48"/>
  <c r="J13" i="48"/>
  <c r="I13" i="48"/>
  <c r="I24" i="48"/>
  <c r="J24" i="48"/>
  <c r="I26" i="48"/>
  <c r="J26" i="48"/>
  <c r="I46" i="48"/>
  <c r="J46" i="48"/>
  <c r="I39" i="48"/>
  <c r="J39" i="48"/>
  <c r="I55" i="48"/>
  <c r="J55" i="48"/>
  <c r="I58" i="48"/>
  <c r="J58" i="48"/>
  <c r="AZ37" i="48"/>
  <c r="I36" i="48"/>
  <c r="J36" i="48"/>
  <c r="J68" i="48"/>
  <c r="I68" i="48"/>
  <c r="J70" i="48"/>
  <c r="I70" i="48"/>
  <c r="J74" i="48"/>
  <c r="I74" i="48"/>
  <c r="AZ283" i="48"/>
  <c r="AZ76" i="48"/>
  <c r="I78" i="48"/>
  <c r="J78" i="48"/>
  <c r="I80" i="48"/>
  <c r="J80" i="48"/>
  <c r="I82" i="48"/>
  <c r="J82" i="48"/>
  <c r="I284" i="48"/>
  <c r="J284" i="48"/>
  <c r="I84" i="48"/>
  <c r="J84" i="48"/>
  <c r="I86" i="48"/>
  <c r="J86" i="48"/>
  <c r="I88" i="48"/>
  <c r="J88" i="48"/>
  <c r="I93" i="48"/>
  <c r="J93" i="48"/>
  <c r="I95" i="48"/>
  <c r="J95" i="48"/>
  <c r="I97" i="48"/>
  <c r="J97" i="48"/>
  <c r="I99" i="48"/>
  <c r="J99" i="48"/>
  <c r="I101" i="48"/>
  <c r="J101" i="48"/>
  <c r="I103" i="48"/>
  <c r="J103" i="48"/>
  <c r="I105" i="48"/>
  <c r="J105" i="48"/>
  <c r="I107" i="48"/>
  <c r="J107" i="48"/>
  <c r="I274" i="48"/>
  <c r="J274" i="48"/>
  <c r="I109" i="48"/>
  <c r="J109" i="48"/>
  <c r="I111" i="48"/>
  <c r="J111" i="48"/>
  <c r="I112" i="48"/>
  <c r="J112" i="48"/>
  <c r="I267" i="48"/>
  <c r="J267" i="48"/>
  <c r="I115" i="48"/>
  <c r="J115" i="48"/>
  <c r="I117" i="48"/>
  <c r="J117" i="48"/>
  <c r="I119" i="48"/>
  <c r="J119" i="48"/>
  <c r="J121" i="48"/>
  <c r="I121" i="48"/>
  <c r="J124" i="48"/>
  <c r="I124" i="48"/>
  <c r="I126" i="48"/>
  <c r="J126" i="48"/>
  <c r="J135" i="48"/>
  <c r="I135" i="48"/>
  <c r="J137" i="48"/>
  <c r="I137" i="48"/>
  <c r="AZ142" i="48"/>
  <c r="J141" i="48"/>
  <c r="I141" i="48"/>
  <c r="J144" i="48"/>
  <c r="I144" i="48"/>
  <c r="J151" i="48"/>
  <c r="I151" i="48"/>
  <c r="AZ153" i="48"/>
  <c r="J152" i="48"/>
  <c r="I152" i="48"/>
  <c r="J156" i="48"/>
  <c r="I156" i="48"/>
  <c r="J158" i="48"/>
  <c r="I158" i="48"/>
  <c r="J160" i="48"/>
  <c r="I160" i="48"/>
  <c r="J162" i="48"/>
  <c r="I162" i="48"/>
  <c r="I171" i="48"/>
  <c r="J171" i="48"/>
  <c r="I173" i="48"/>
  <c r="J173" i="48"/>
  <c r="I175" i="48"/>
  <c r="J175" i="48"/>
  <c r="I177" i="48"/>
  <c r="J177" i="48"/>
  <c r="I179" i="48"/>
  <c r="J179" i="48"/>
  <c r="I193" i="48"/>
  <c r="J193" i="48"/>
  <c r="I195" i="48"/>
  <c r="J195" i="48"/>
  <c r="I197" i="48"/>
  <c r="J197" i="48"/>
  <c r="J201" i="48"/>
  <c r="I201" i="48"/>
  <c r="J205" i="48"/>
  <c r="I205" i="48"/>
  <c r="J207" i="48"/>
  <c r="I207" i="48"/>
  <c r="J209" i="48"/>
  <c r="I209" i="48"/>
  <c r="I215" i="48"/>
  <c r="J215" i="48"/>
  <c r="I217" i="48"/>
  <c r="J217" i="48"/>
  <c r="I223" i="48"/>
  <c r="J223" i="48"/>
  <c r="I227" i="48"/>
  <c r="J227" i="48"/>
  <c r="I230" i="48"/>
  <c r="J230" i="48"/>
  <c r="I233" i="48"/>
  <c r="J233" i="48"/>
  <c r="I237" i="48"/>
  <c r="J237" i="48"/>
  <c r="I239" i="48"/>
  <c r="J239" i="48"/>
  <c r="I245" i="48"/>
  <c r="J245" i="48"/>
  <c r="I247" i="48"/>
  <c r="J247" i="48"/>
  <c r="I249" i="48"/>
  <c r="J249" i="48"/>
  <c r="I250" i="48"/>
  <c r="J250" i="48"/>
  <c r="I256" i="48"/>
  <c r="J256" i="48"/>
  <c r="J265" i="48"/>
  <c r="I265" i="48"/>
  <c r="J14" i="48"/>
  <c r="I14" i="48"/>
  <c r="I25" i="48"/>
  <c r="J25" i="48"/>
  <c r="I28" i="48"/>
  <c r="J28" i="48"/>
  <c r="I38" i="48"/>
  <c r="J38" i="48"/>
  <c r="I42" i="48"/>
  <c r="J42" i="48"/>
  <c r="I47" i="48"/>
  <c r="J47" i="48"/>
  <c r="I50" i="48"/>
  <c r="J50" i="48"/>
  <c r="I31" i="48"/>
  <c r="J31" i="48"/>
  <c r="J69" i="48"/>
  <c r="I69" i="48"/>
  <c r="J72" i="48"/>
  <c r="I72" i="48"/>
  <c r="J180" i="48"/>
  <c r="I180" i="48"/>
  <c r="AZ183" i="48"/>
  <c r="I182" i="48"/>
  <c r="I75" i="48"/>
  <c r="J75" i="48"/>
  <c r="I77" i="48"/>
  <c r="J77" i="48"/>
  <c r="I79" i="48"/>
  <c r="J79" i="48"/>
  <c r="I81" i="48"/>
  <c r="J81" i="48"/>
  <c r="AZ83" i="48"/>
  <c r="I85" i="48"/>
  <c r="J85" i="48"/>
  <c r="I87" i="48"/>
  <c r="J87" i="48"/>
  <c r="I92" i="48"/>
  <c r="J92" i="48"/>
  <c r="I94" i="48"/>
  <c r="J94" i="48"/>
  <c r="I96" i="48"/>
  <c r="J96" i="48"/>
  <c r="I98" i="48"/>
  <c r="J98" i="48"/>
  <c r="I100" i="48"/>
  <c r="J100" i="48"/>
  <c r="I102" i="48"/>
  <c r="J102" i="48"/>
  <c r="I104" i="48"/>
  <c r="J104" i="48"/>
  <c r="I106" i="48"/>
  <c r="J106" i="48"/>
  <c r="I108" i="48"/>
  <c r="J108" i="48"/>
  <c r="AZ275" i="48"/>
  <c r="I110" i="48"/>
  <c r="J110" i="48"/>
  <c r="I276" i="48"/>
  <c r="J276" i="48"/>
  <c r="I113" i="48"/>
  <c r="J113" i="48"/>
  <c r="I114" i="48"/>
  <c r="J114" i="48"/>
  <c r="I116" i="48"/>
  <c r="J116" i="48"/>
  <c r="I118" i="48"/>
  <c r="J118" i="48"/>
  <c r="J123" i="48"/>
  <c r="I123" i="48"/>
  <c r="I125" i="48"/>
  <c r="J125" i="48"/>
  <c r="I127" i="48"/>
  <c r="J127" i="48"/>
  <c r="J134" i="48"/>
  <c r="I134" i="48"/>
  <c r="J136" i="48"/>
  <c r="I136" i="48"/>
  <c r="J138" i="48"/>
  <c r="I138" i="48"/>
  <c r="J140" i="48"/>
  <c r="I140" i="48"/>
  <c r="J143" i="48"/>
  <c r="I143" i="48"/>
  <c r="J145" i="48"/>
  <c r="I145" i="48"/>
  <c r="J155" i="48"/>
  <c r="I155" i="48"/>
  <c r="J157" i="48"/>
  <c r="I157" i="48"/>
  <c r="J159" i="48"/>
  <c r="I159" i="48"/>
  <c r="J161" i="48"/>
  <c r="I161" i="48"/>
  <c r="J167" i="48"/>
  <c r="I167" i="48"/>
  <c r="I170" i="48"/>
  <c r="J170" i="48"/>
  <c r="I172" i="48"/>
  <c r="J172" i="48"/>
  <c r="I174" i="48"/>
  <c r="J174" i="48"/>
  <c r="I176" i="48"/>
  <c r="J176" i="48"/>
  <c r="I178" i="48"/>
  <c r="J178" i="48"/>
  <c r="I192" i="48"/>
  <c r="J192" i="48"/>
  <c r="I198" i="48"/>
  <c r="J198" i="48"/>
  <c r="J200" i="48"/>
  <c r="I200" i="48"/>
  <c r="J204" i="48"/>
  <c r="I204" i="48"/>
  <c r="J206" i="48"/>
  <c r="I206" i="48"/>
  <c r="J208" i="48"/>
  <c r="I208" i="48"/>
  <c r="I211" i="48"/>
  <c r="J211" i="48"/>
  <c r="I216" i="48"/>
  <c r="J216" i="48"/>
  <c r="I218" i="48"/>
  <c r="J218" i="48"/>
  <c r="I224" i="48"/>
  <c r="J224" i="48"/>
  <c r="I226" i="48"/>
  <c r="J226" i="48"/>
  <c r="I229" i="48"/>
  <c r="J229" i="48"/>
  <c r="I236" i="48"/>
  <c r="J236" i="48"/>
  <c r="I238" i="48"/>
  <c r="J238" i="48"/>
  <c r="I246" i="48"/>
  <c r="J246" i="48"/>
  <c r="AZ248" i="48"/>
  <c r="J253" i="48"/>
  <c r="I253" i="48"/>
  <c r="I255" i="48"/>
  <c r="J255" i="48"/>
  <c r="AZ266" i="48"/>
  <c r="M19" i="48"/>
  <c r="N19" i="48"/>
  <c r="N28" i="48"/>
  <c r="M28" i="48"/>
  <c r="N38" i="48"/>
  <c r="M38" i="48"/>
  <c r="N39" i="48"/>
  <c r="M39" i="48"/>
  <c r="N55" i="48"/>
  <c r="M55" i="48"/>
  <c r="N50" i="48"/>
  <c r="M50" i="48"/>
  <c r="N58" i="48"/>
  <c r="M58" i="48"/>
  <c r="M68" i="48"/>
  <c r="N68" i="48"/>
  <c r="M69" i="48"/>
  <c r="N69" i="48"/>
  <c r="N75" i="48"/>
  <c r="M75" i="48"/>
  <c r="N82" i="48"/>
  <c r="M82" i="48"/>
  <c r="N284" i="48"/>
  <c r="M284" i="48"/>
  <c r="N84" i="48"/>
  <c r="M84" i="48"/>
  <c r="N85" i="48"/>
  <c r="M85" i="48"/>
  <c r="N87" i="48"/>
  <c r="M87" i="48"/>
  <c r="N89" i="48"/>
  <c r="M89" i="48"/>
  <c r="AZ92" i="48"/>
  <c r="N97" i="48"/>
  <c r="M97" i="48"/>
  <c r="N106" i="48"/>
  <c r="M106" i="48"/>
  <c r="N274" i="48"/>
  <c r="M274" i="48"/>
  <c r="AZ113" i="48"/>
  <c r="N119" i="48"/>
  <c r="M119" i="48"/>
  <c r="AZ120" i="48"/>
  <c r="AZ123" i="48"/>
  <c r="M123" i="48"/>
  <c r="N123" i="48"/>
  <c r="AZ125" i="48"/>
  <c r="M126" i="48"/>
  <c r="N126" i="48"/>
  <c r="AZ129" i="48"/>
  <c r="M129" i="48"/>
  <c r="N135" i="48"/>
  <c r="M135" i="48"/>
  <c r="N137" i="48"/>
  <c r="M137" i="48"/>
  <c r="N143" i="48"/>
  <c r="M143" i="48"/>
  <c r="N144" i="48"/>
  <c r="M144" i="48"/>
  <c r="N145" i="48"/>
  <c r="M145" i="48"/>
  <c r="N151" i="48"/>
  <c r="M151" i="48"/>
  <c r="N157" i="48"/>
  <c r="M157" i="48"/>
  <c r="N160" i="48"/>
  <c r="M160" i="48"/>
  <c r="M172" i="48"/>
  <c r="N172" i="48"/>
  <c r="M179" i="48"/>
  <c r="N179" i="48"/>
  <c r="M192" i="48"/>
  <c r="N192" i="48"/>
  <c r="M198" i="48"/>
  <c r="N198" i="48"/>
  <c r="AZ203" i="48"/>
  <c r="N204" i="48"/>
  <c r="M204" i="48"/>
  <c r="AZ206" i="48"/>
  <c r="M215" i="48"/>
  <c r="N215" i="48"/>
  <c r="M216" i="48"/>
  <c r="N216" i="48"/>
  <c r="AZ226" i="48"/>
  <c r="AZ236" i="48"/>
  <c r="M246" i="48"/>
  <c r="N246" i="48"/>
  <c r="N265" i="48"/>
  <c r="M265" i="48"/>
  <c r="M10" i="48"/>
  <c r="N10" i="48"/>
  <c r="M13" i="48"/>
  <c r="N13" i="48"/>
  <c r="M14" i="48"/>
  <c r="N14" i="48"/>
  <c r="N24" i="48"/>
  <c r="M24" i="48"/>
  <c r="N25" i="48"/>
  <c r="M25" i="48"/>
  <c r="N26" i="48"/>
  <c r="M26" i="48"/>
  <c r="N42" i="48"/>
  <c r="M42" i="48"/>
  <c r="N47" i="48"/>
  <c r="M47" i="48"/>
  <c r="N31" i="48"/>
  <c r="M31" i="48"/>
  <c r="N36" i="48"/>
  <c r="M36" i="48"/>
  <c r="AZ78" i="48"/>
  <c r="AZ79" i="48"/>
  <c r="N79" i="48"/>
  <c r="M79" i="48"/>
  <c r="N80" i="48"/>
  <c r="M80" i="48"/>
  <c r="N86" i="48"/>
  <c r="M86" i="48"/>
  <c r="N93" i="48"/>
  <c r="M93" i="48"/>
  <c r="N95" i="48"/>
  <c r="M95" i="48"/>
  <c r="N99" i="48"/>
  <c r="M99" i="48"/>
  <c r="AZ100" i="48"/>
  <c r="AZ105" i="48"/>
  <c r="N108" i="48"/>
  <c r="M108" i="48"/>
  <c r="N276" i="48"/>
  <c r="M276" i="48"/>
  <c r="AZ112" i="48"/>
  <c r="N112" i="48"/>
  <c r="M112" i="48"/>
  <c r="AZ115" i="48"/>
  <c r="N115" i="48"/>
  <c r="M115" i="48"/>
  <c r="N116" i="48"/>
  <c r="M116" i="48"/>
  <c r="N118" i="48"/>
  <c r="M118" i="48"/>
  <c r="N134" i="48"/>
  <c r="M134" i="48"/>
  <c r="N136" i="48"/>
  <c r="M136" i="48"/>
  <c r="AZ138" i="48"/>
  <c r="N140" i="48"/>
  <c r="M140" i="48"/>
  <c r="N141" i="48"/>
  <c r="M141" i="48"/>
  <c r="N159" i="48"/>
  <c r="M159" i="48"/>
  <c r="AZ171" i="48"/>
  <c r="M175" i="48"/>
  <c r="N175" i="48"/>
  <c r="M176" i="48"/>
  <c r="N176" i="48"/>
  <c r="AZ178" i="48"/>
  <c r="M195" i="48"/>
  <c r="N195" i="48"/>
  <c r="AZ199" i="48"/>
  <c r="N200" i="48"/>
  <c r="M200" i="48"/>
  <c r="N201" i="48"/>
  <c r="M201" i="48"/>
  <c r="AZ207" i="48"/>
  <c r="N207" i="48"/>
  <c r="M207" i="48"/>
  <c r="AZ233" i="48"/>
  <c r="AZ252" i="48"/>
  <c r="AZ255" i="48"/>
  <c r="AZ258" i="48"/>
  <c r="N258" i="48"/>
  <c r="M258" i="48"/>
  <c r="E150" i="48"/>
  <c r="AZ202" i="48"/>
  <c r="AZ140" i="48"/>
  <c r="AZ15" i="48"/>
  <c r="AZ21" i="48"/>
  <c r="S97" i="48"/>
  <c r="W97" i="48" s="1"/>
  <c r="S118" i="48"/>
  <c r="W118" i="48" s="1"/>
  <c r="AZ43" i="48"/>
  <c r="F67" i="48"/>
  <c r="AA69" i="48"/>
  <c r="AA81" i="48"/>
  <c r="AE81" i="48" s="1"/>
  <c r="K100" i="48"/>
  <c r="N100" i="48" s="1"/>
  <c r="E133" i="48"/>
  <c r="K138" i="48"/>
  <c r="K133" i="48" s="1"/>
  <c r="AZ143" i="48"/>
  <c r="K161" i="48"/>
  <c r="O161" i="48" s="1"/>
  <c r="AE173" i="48"/>
  <c r="AI173" i="48" s="1"/>
  <c r="AZ18" i="48"/>
  <c r="AZ20" i="48"/>
  <c r="O28" i="48"/>
  <c r="W28" i="48" s="1"/>
  <c r="AZ145" i="48"/>
  <c r="AZ160" i="48"/>
  <c r="AE161" i="48"/>
  <c r="AI161" i="48" s="1"/>
  <c r="D9" i="48"/>
  <c r="E9" i="48" s="1"/>
  <c r="AA180" i="48"/>
  <c r="AE180" i="48" s="1"/>
  <c r="AA75" i="48"/>
  <c r="AE75" i="48" s="1"/>
  <c r="AA80" i="48"/>
  <c r="AE80" i="48" s="1"/>
  <c r="AA89" i="48"/>
  <c r="K104" i="48"/>
  <c r="M104" i="48" s="1"/>
  <c r="S274" i="48"/>
  <c r="W274" i="48" s="1"/>
  <c r="K267" i="48"/>
  <c r="O267" i="48" s="1"/>
  <c r="S267" i="48" s="1"/>
  <c r="K120" i="48"/>
  <c r="M120" i="48" s="1"/>
  <c r="K125" i="48"/>
  <c r="M125" i="48" s="1"/>
  <c r="AE176" i="48"/>
  <c r="AI176" i="48" s="1"/>
  <c r="AZ17" i="48"/>
  <c r="AE157" i="48"/>
  <c r="AI157" i="48" s="1"/>
  <c r="S47" i="48"/>
  <c r="AE70" i="48"/>
  <c r="AI70" i="48" s="1"/>
  <c r="K110" i="48"/>
  <c r="O110" i="48" s="1"/>
  <c r="K173" i="48"/>
  <c r="N173" i="48" s="1"/>
  <c r="K178" i="48"/>
  <c r="N178" i="48" s="1"/>
  <c r="AZ12" i="48"/>
  <c r="AZ16" i="48"/>
  <c r="AZ22" i="48"/>
  <c r="O264" i="48"/>
  <c r="R264" i="48" s="1"/>
  <c r="K205" i="48"/>
  <c r="N205" i="48" s="1"/>
  <c r="K227" i="48"/>
  <c r="O227" i="48" s="1"/>
  <c r="S227" i="48" s="1"/>
  <c r="K252" i="48"/>
  <c r="O252" i="48" s="1"/>
  <c r="Q252" i="48" s="1"/>
  <c r="K256" i="48"/>
  <c r="M256" i="48" s="1"/>
  <c r="AA264" i="48"/>
  <c r="AC264" i="48" s="1"/>
  <c r="AQ264" i="48"/>
  <c r="AS264" i="48" s="1"/>
  <c r="AZ225" i="48"/>
  <c r="AZ254" i="48"/>
  <c r="AZ51" i="48"/>
  <c r="AZ130" i="48"/>
  <c r="AZ156" i="48"/>
  <c r="AZ169" i="48"/>
  <c r="AZ221" i="48"/>
  <c r="AZ82" i="48"/>
  <c r="AZ84" i="48"/>
  <c r="AZ89" i="48"/>
  <c r="AZ74" i="48"/>
  <c r="AZ136" i="48"/>
  <c r="AZ135" i="48"/>
  <c r="AZ144" i="48"/>
  <c r="AZ58" i="48"/>
  <c r="AZ220" i="48"/>
  <c r="AZ222" i="48"/>
  <c r="AZ47" i="48"/>
  <c r="AZ229" i="48"/>
  <c r="AZ239" i="48"/>
  <c r="AZ197" i="48"/>
  <c r="AZ230" i="48"/>
  <c r="AZ235" i="48"/>
  <c r="AZ101" i="48"/>
  <c r="AZ228" i="48"/>
  <c r="AZ253" i="48"/>
  <c r="AZ257" i="48"/>
  <c r="AZ245" i="48"/>
  <c r="AZ151" i="48"/>
  <c r="AZ107" i="48"/>
  <c r="AZ109" i="48"/>
  <c r="AZ94" i="48"/>
  <c r="AZ81" i="48"/>
  <c r="AZ77" i="48"/>
  <c r="AZ181" i="48"/>
  <c r="AZ72" i="48"/>
  <c r="AZ69" i="48"/>
  <c r="H67" i="48"/>
  <c r="AZ31" i="48"/>
  <c r="AZ46" i="48"/>
  <c r="AZ55" i="48"/>
  <c r="AZ49" i="48"/>
  <c r="AZ39" i="48"/>
  <c r="AZ52" i="48"/>
  <c r="AZ42" i="48"/>
  <c r="AZ50" i="48"/>
  <c r="AZ32" i="48"/>
  <c r="AZ61" i="48"/>
  <c r="AZ28" i="48"/>
  <c r="AZ38" i="48"/>
  <c r="O46" i="48"/>
  <c r="AA50" i="48"/>
  <c r="W31" i="48"/>
  <c r="S14" i="48"/>
  <c r="K23" i="48"/>
  <c r="S26" i="48"/>
  <c r="Q35" i="48"/>
  <c r="O75" i="48"/>
  <c r="O25" i="48"/>
  <c r="W39" i="48"/>
  <c r="S68" i="48"/>
  <c r="AA28" i="48"/>
  <c r="W55" i="48"/>
  <c r="AA39" i="48"/>
  <c r="AA55" i="48"/>
  <c r="W50" i="48"/>
  <c r="O82" i="48"/>
  <c r="O89" i="48"/>
  <c r="S93" i="48"/>
  <c r="S106" i="48"/>
  <c r="O24" i="48"/>
  <c r="L67" i="48"/>
  <c r="AZ68" i="48"/>
  <c r="AZ284" i="48"/>
  <c r="AZ85" i="48"/>
  <c r="S86" i="48"/>
  <c r="AZ70" i="48"/>
  <c r="O74" i="48"/>
  <c r="L11" i="48"/>
  <c r="E46" i="48"/>
  <c r="S51" i="48"/>
  <c r="U51" i="48" s="1"/>
  <c r="S52" i="48"/>
  <c r="U52" i="48" s="1"/>
  <c r="E67" i="48"/>
  <c r="K78" i="48"/>
  <c r="M78" i="48" s="1"/>
  <c r="P8" i="48"/>
  <c r="T8" i="48"/>
  <c r="X8" i="48"/>
  <c r="AB8" i="48"/>
  <c r="AF8" i="48"/>
  <c r="AJ8" i="48"/>
  <c r="AN8" i="48"/>
  <c r="AR8" i="48"/>
  <c r="AV8" i="48"/>
  <c r="L23" i="48"/>
  <c r="F46" i="48"/>
  <c r="K46" i="48"/>
  <c r="N46" i="48" s="1"/>
  <c r="AA38" i="48"/>
  <c r="D65" i="48"/>
  <c r="C10" i="32" s="1"/>
  <c r="K72" i="48"/>
  <c r="M72" i="48" s="1"/>
  <c r="AE72" i="48"/>
  <c r="AA79" i="48"/>
  <c r="K81" i="48"/>
  <c r="N81" i="48" s="1"/>
  <c r="K88" i="48"/>
  <c r="O88" i="48" s="1"/>
  <c r="AZ88" i="48"/>
  <c r="O13" i="48"/>
  <c r="O19" i="48"/>
  <c r="G9" i="48"/>
  <c r="S58" i="48"/>
  <c r="G67" i="48"/>
  <c r="K70" i="48"/>
  <c r="O70" i="48" s="1"/>
  <c r="K180" i="48"/>
  <c r="O180" i="48" s="1"/>
  <c r="AZ180" i="48"/>
  <c r="AA283" i="48"/>
  <c r="AZ75" i="48"/>
  <c r="K77" i="48"/>
  <c r="N77" i="48" s="1"/>
  <c r="AA78" i="48"/>
  <c r="AZ80" i="48"/>
  <c r="AZ285" i="48"/>
  <c r="AA85" i="48"/>
  <c r="AZ86" i="48"/>
  <c r="AA87" i="48"/>
  <c r="AZ87" i="48"/>
  <c r="K94" i="48"/>
  <c r="N94" i="48" s="1"/>
  <c r="AZ95" i="48"/>
  <c r="AZ98" i="48"/>
  <c r="S99" i="48"/>
  <c r="S112" i="48"/>
  <c r="AZ134" i="48"/>
  <c r="AZ162" i="48"/>
  <c r="AE177" i="48"/>
  <c r="S198" i="48"/>
  <c r="F91" i="48"/>
  <c r="K92" i="48"/>
  <c r="M92" i="48" s="1"/>
  <c r="AZ93" i="48"/>
  <c r="AZ96" i="48"/>
  <c r="K101" i="48"/>
  <c r="M101" i="48" s="1"/>
  <c r="AZ103" i="48"/>
  <c r="K107" i="48"/>
  <c r="N107" i="48" s="1"/>
  <c r="AZ274" i="48"/>
  <c r="K109" i="48"/>
  <c r="M109" i="48" s="1"/>
  <c r="K114" i="48"/>
  <c r="N114" i="48" s="1"/>
  <c r="S116" i="48"/>
  <c r="K117" i="48"/>
  <c r="N117" i="48" s="1"/>
  <c r="S128" i="48"/>
  <c r="U128" i="48" s="1"/>
  <c r="K156" i="48"/>
  <c r="O156" i="48" s="1"/>
  <c r="AZ195" i="48"/>
  <c r="O95" i="48"/>
  <c r="K98" i="48"/>
  <c r="O98" i="48" s="1"/>
  <c r="AZ99" i="48"/>
  <c r="K102" i="48"/>
  <c r="M102" i="48" s="1"/>
  <c r="K103" i="48"/>
  <c r="N103" i="48" s="1"/>
  <c r="K105" i="48"/>
  <c r="O105" i="48" s="1"/>
  <c r="AZ106" i="48"/>
  <c r="O108" i="48"/>
  <c r="K111" i="48"/>
  <c r="M111" i="48" s="1"/>
  <c r="S276" i="48"/>
  <c r="AZ114" i="48"/>
  <c r="AZ116" i="48"/>
  <c r="AZ118" i="48"/>
  <c r="S129" i="48"/>
  <c r="U129" i="48" s="1"/>
  <c r="S159" i="48"/>
  <c r="K96" i="48"/>
  <c r="N96" i="48" s="1"/>
  <c r="AZ97" i="48"/>
  <c r="AZ102" i="48"/>
  <c r="AZ104" i="48"/>
  <c r="AZ111" i="48"/>
  <c r="AZ276" i="48"/>
  <c r="K113" i="48"/>
  <c r="O113" i="48" s="1"/>
  <c r="S126" i="48"/>
  <c r="AZ137" i="48"/>
  <c r="AE162" i="48"/>
  <c r="AZ110" i="48"/>
  <c r="AZ267" i="48"/>
  <c r="O115" i="48"/>
  <c r="AZ119" i="48"/>
  <c r="K121" i="48"/>
  <c r="M121" i="48" s="1"/>
  <c r="O123" i="48"/>
  <c r="AZ124" i="48"/>
  <c r="AZ128" i="48"/>
  <c r="AE159" i="48"/>
  <c r="AE174" i="48"/>
  <c r="S175" i="48"/>
  <c r="O192" i="48"/>
  <c r="S201" i="48"/>
  <c r="AZ108" i="48"/>
  <c r="AZ117" i="48"/>
  <c r="K127" i="48"/>
  <c r="O127" i="48" s="1"/>
  <c r="AZ139" i="48"/>
  <c r="AE152" i="48"/>
  <c r="AZ121" i="48"/>
  <c r="K124" i="48"/>
  <c r="O124" i="48" s="1"/>
  <c r="AZ127" i="48"/>
  <c r="S130" i="48"/>
  <c r="U130" i="48" s="1"/>
  <c r="AZ158" i="48"/>
  <c r="AE158" i="48"/>
  <c r="S172" i="48"/>
  <c r="AZ208" i="48"/>
  <c r="O151" i="48"/>
  <c r="AZ155" i="48"/>
  <c r="AE155" i="48"/>
  <c r="AZ159" i="48"/>
  <c r="AZ170" i="48"/>
  <c r="AE170" i="48"/>
  <c r="AZ172" i="48"/>
  <c r="F191" i="48"/>
  <c r="E191" i="48"/>
  <c r="K193" i="48"/>
  <c r="N193" i="48" s="1"/>
  <c r="K199" i="48"/>
  <c r="N199" i="48" s="1"/>
  <c r="S207" i="48"/>
  <c r="AZ216" i="48"/>
  <c r="AZ126" i="48"/>
  <c r="G150" i="48"/>
  <c r="K158" i="48"/>
  <c r="O158" i="48" s="1"/>
  <c r="AI160" i="48"/>
  <c r="K167" i="48"/>
  <c r="AA166" i="48"/>
  <c r="AD166" i="48" s="1"/>
  <c r="AZ174" i="48"/>
  <c r="S176" i="48"/>
  <c r="K177" i="48"/>
  <c r="O177" i="48" s="1"/>
  <c r="S179" i="48"/>
  <c r="G191" i="48"/>
  <c r="AE195" i="48"/>
  <c r="S202" i="48"/>
  <c r="V202" i="48" s="1"/>
  <c r="AA150" i="48"/>
  <c r="AD150" i="48" s="1"/>
  <c r="K152" i="48"/>
  <c r="N152" i="48" s="1"/>
  <c r="K155" i="48"/>
  <c r="O155" i="48" s="1"/>
  <c r="S160" i="48"/>
  <c r="K162" i="48"/>
  <c r="O162" i="48" s="1"/>
  <c r="E166" i="48"/>
  <c r="AE167" i="48"/>
  <c r="AZ167" i="48"/>
  <c r="K170" i="48"/>
  <c r="O170" i="48" s="1"/>
  <c r="AI171" i="48"/>
  <c r="AE175" i="48"/>
  <c r="AZ175" i="48"/>
  <c r="AZ157" i="48"/>
  <c r="AZ161" i="48"/>
  <c r="K174" i="48"/>
  <c r="O174" i="48" s="1"/>
  <c r="AZ177" i="48"/>
  <c r="AZ192" i="48"/>
  <c r="K203" i="48"/>
  <c r="N203" i="48" s="1"/>
  <c r="AZ193" i="48"/>
  <c r="AQ195" i="48"/>
  <c r="K197" i="48"/>
  <c r="M197" i="48" s="1"/>
  <c r="AZ211" i="48"/>
  <c r="O200" i="48"/>
  <c r="AZ201" i="48"/>
  <c r="AZ173" i="48"/>
  <c r="AZ176" i="48"/>
  <c r="AZ179" i="48"/>
  <c r="AZ198" i="48"/>
  <c r="AZ200" i="48"/>
  <c r="K206" i="48"/>
  <c r="M206" i="48" s="1"/>
  <c r="O215" i="48"/>
  <c r="K217" i="48"/>
  <c r="O217" i="48" s="1"/>
  <c r="S204" i="48"/>
  <c r="AZ217" i="48"/>
  <c r="AZ204" i="48"/>
  <c r="K208" i="48"/>
  <c r="O208" i="48" s="1"/>
  <c r="K209" i="48"/>
  <c r="N209" i="48" s="1"/>
  <c r="AZ218" i="48"/>
  <c r="S246" i="48"/>
  <c r="AZ205" i="48"/>
  <c r="K211" i="48"/>
  <c r="O211" i="48" s="1"/>
  <c r="F214" i="48"/>
  <c r="AZ215" i="48"/>
  <c r="K218" i="48"/>
  <c r="O218" i="48" s="1"/>
  <c r="AZ224" i="48"/>
  <c r="AZ234" i="48"/>
  <c r="AZ223" i="48"/>
  <c r="K237" i="48"/>
  <c r="O237" i="48" s="1"/>
  <c r="K228" i="48"/>
  <c r="N228" i="48" s="1"/>
  <c r="K233" i="48"/>
  <c r="O233" i="48" s="1"/>
  <c r="AZ227" i="48"/>
  <c r="K238" i="48"/>
  <c r="M238" i="48" s="1"/>
  <c r="K229" i="48"/>
  <c r="O229" i="48" s="1"/>
  <c r="K235" i="48"/>
  <c r="N235" i="48" s="1"/>
  <c r="AZ237" i="48"/>
  <c r="K247" i="48"/>
  <c r="O247" i="48" s="1"/>
  <c r="K249" i="48"/>
  <c r="O249" i="48" s="1"/>
  <c r="AZ238" i="48"/>
  <c r="AZ247" i="48"/>
  <c r="AZ249" i="48"/>
  <c r="AZ246" i="48"/>
  <c r="AY265" i="48"/>
  <c r="G264" i="48"/>
  <c r="K239" i="48"/>
  <c r="N239" i="48" s="1"/>
  <c r="K250" i="48"/>
  <c r="N250" i="48" s="1"/>
  <c r="F264" i="48"/>
  <c r="E264" i="48"/>
  <c r="AZ265" i="48"/>
  <c r="C295" i="48"/>
  <c r="G296" i="48"/>
  <c r="AZ256" i="48"/>
  <c r="Q42" i="48" l="1"/>
  <c r="AA42" i="48"/>
  <c r="V42" i="48"/>
  <c r="I282" i="48"/>
  <c r="J282" i="48"/>
  <c r="O283" i="48"/>
  <c r="O282" i="48" s="1"/>
  <c r="K282" i="48"/>
  <c r="M282" i="48" s="1"/>
  <c r="N167" i="48"/>
  <c r="K166" i="48"/>
  <c r="N166" i="48" s="1"/>
  <c r="N255" i="48"/>
  <c r="M223" i="48"/>
  <c r="O255" i="48"/>
  <c r="Q255" i="48" s="1"/>
  <c r="O223" i="48"/>
  <c r="R223" i="48" s="1"/>
  <c r="O253" i="48"/>
  <c r="S253" i="48" s="1"/>
  <c r="AF289" i="48"/>
  <c r="AF291" i="48" s="1"/>
  <c r="AE30" i="48"/>
  <c r="AG30" i="48" s="1"/>
  <c r="AV289" i="48"/>
  <c r="AV291" i="48" s="1"/>
  <c r="P289" i="48"/>
  <c r="P291" i="48" s="1"/>
  <c r="N236" i="48"/>
  <c r="D8" i="48"/>
  <c r="C6" i="32" s="1"/>
  <c r="N234" i="48"/>
  <c r="F9" i="48"/>
  <c r="N230" i="48"/>
  <c r="S226" i="48"/>
  <c r="U226" i="48" s="1"/>
  <c r="O256" i="48"/>
  <c r="R256" i="48" s="1"/>
  <c r="AB289" i="48"/>
  <c r="AB291" i="48" s="1"/>
  <c r="N253" i="48"/>
  <c r="N171" i="48"/>
  <c r="N226" i="48"/>
  <c r="R226" i="48"/>
  <c r="R224" i="48"/>
  <c r="AA49" i="48"/>
  <c r="AC49" i="48" s="1"/>
  <c r="M224" i="48"/>
  <c r="R230" i="48"/>
  <c r="AY264" i="48"/>
  <c r="S234" i="48"/>
  <c r="V234" i="48" s="1"/>
  <c r="O104" i="48"/>
  <c r="Q104" i="48" s="1"/>
  <c r="AA32" i="48"/>
  <c r="AC32" i="48" s="1"/>
  <c r="O245" i="48"/>
  <c r="R245" i="48" s="1"/>
  <c r="O236" i="48"/>
  <c r="R236" i="48" s="1"/>
  <c r="N245" i="48"/>
  <c r="M171" i="48"/>
  <c r="M230" i="48"/>
  <c r="Q230" i="48"/>
  <c r="N233" i="48"/>
  <c r="N197" i="48"/>
  <c r="N211" i="48"/>
  <c r="N156" i="48"/>
  <c r="N113" i="48"/>
  <c r="M103" i="48"/>
  <c r="N238" i="48"/>
  <c r="N162" i="48"/>
  <c r="N109" i="48"/>
  <c r="N256" i="48"/>
  <c r="M227" i="48"/>
  <c r="M174" i="48"/>
  <c r="M107" i="48"/>
  <c r="O100" i="48"/>
  <c r="Q100" i="48" s="1"/>
  <c r="AN289" i="48"/>
  <c r="X289" i="48"/>
  <c r="AA61" i="48"/>
  <c r="AC61" i="48" s="1"/>
  <c r="AA43" i="48"/>
  <c r="AC43" i="48" s="1"/>
  <c r="O27" i="48"/>
  <c r="Q27" i="48" s="1"/>
  <c r="N224" i="48"/>
  <c r="N208" i="48"/>
  <c r="M152" i="48"/>
  <c r="N111" i="48"/>
  <c r="M100" i="48"/>
  <c r="N247" i="48"/>
  <c r="N237" i="48"/>
  <c r="M228" i="48"/>
  <c r="M226" i="48"/>
  <c r="N218" i="48"/>
  <c r="M193" i="48"/>
  <c r="M173" i="48"/>
  <c r="N161" i="48"/>
  <c r="M98" i="48"/>
  <c r="Q224" i="48"/>
  <c r="AO151" i="48"/>
  <c r="AP151" i="48"/>
  <c r="U122" i="48"/>
  <c r="V122" i="48"/>
  <c r="Z118" i="48"/>
  <c r="Y118" i="48"/>
  <c r="R247" i="48"/>
  <c r="Q247" i="48"/>
  <c r="R233" i="48"/>
  <c r="Q233" i="48"/>
  <c r="R237" i="48"/>
  <c r="Q237" i="48"/>
  <c r="R218" i="48"/>
  <c r="Q218" i="48"/>
  <c r="R211" i="48"/>
  <c r="Q211" i="48"/>
  <c r="V246" i="48"/>
  <c r="U246" i="48"/>
  <c r="Q208" i="48"/>
  <c r="R208" i="48"/>
  <c r="Y224" i="48"/>
  <c r="Z224" i="48"/>
  <c r="V204" i="48"/>
  <c r="U204" i="48"/>
  <c r="R215" i="48"/>
  <c r="Q215" i="48"/>
  <c r="Q200" i="48"/>
  <c r="R200" i="48"/>
  <c r="AP178" i="48"/>
  <c r="AO178" i="48"/>
  <c r="O178" i="48"/>
  <c r="S178" i="48" s="1"/>
  <c r="R174" i="48"/>
  <c r="Q174" i="48"/>
  <c r="O205" i="48"/>
  <c r="S205" i="48" s="1"/>
  <c r="AG175" i="48"/>
  <c r="AH175" i="48"/>
  <c r="AK171" i="48"/>
  <c r="AL171" i="48"/>
  <c r="Q162" i="48"/>
  <c r="R162" i="48"/>
  <c r="AX156" i="48"/>
  <c r="AW156" i="48"/>
  <c r="AG195" i="48"/>
  <c r="AH195" i="48"/>
  <c r="U179" i="48"/>
  <c r="V179" i="48"/>
  <c r="U176" i="48"/>
  <c r="V176" i="48"/>
  <c r="AL160" i="48"/>
  <c r="AK160" i="48"/>
  <c r="AL157" i="48"/>
  <c r="AK157" i="48"/>
  <c r="O138" i="48"/>
  <c r="S138" i="48" s="1"/>
  <c r="O125" i="48"/>
  <c r="S125" i="48" s="1"/>
  <c r="V207" i="48"/>
  <c r="U207" i="48"/>
  <c r="AG170" i="48"/>
  <c r="AH170" i="48"/>
  <c r="AH158" i="48"/>
  <c r="AG158" i="48"/>
  <c r="R192" i="48"/>
  <c r="Q192" i="48"/>
  <c r="AG174" i="48"/>
  <c r="AH174" i="48"/>
  <c r="R123" i="48"/>
  <c r="Q123" i="48"/>
  <c r="AH162" i="48"/>
  <c r="AG162" i="48"/>
  <c r="U126" i="48"/>
  <c r="V126" i="48"/>
  <c r="Q113" i="48"/>
  <c r="R113" i="48"/>
  <c r="V159" i="48"/>
  <c r="U159" i="48"/>
  <c r="Q98" i="48"/>
  <c r="R98" i="48"/>
  <c r="Q156" i="48"/>
  <c r="R156" i="48"/>
  <c r="V116" i="48"/>
  <c r="U116" i="48"/>
  <c r="K91" i="48"/>
  <c r="N91" i="48" s="1"/>
  <c r="U198" i="48"/>
  <c r="V198" i="48"/>
  <c r="V99" i="48"/>
  <c r="U99" i="48"/>
  <c r="G65" i="48"/>
  <c r="G8" i="48"/>
  <c r="O9" i="48"/>
  <c r="Q13" i="48"/>
  <c r="R13" i="48"/>
  <c r="V36" i="48"/>
  <c r="U36" i="48"/>
  <c r="M23" i="48"/>
  <c r="R24" i="48"/>
  <c r="Q24" i="48"/>
  <c r="V106" i="48"/>
  <c r="U106" i="48"/>
  <c r="V93" i="48"/>
  <c r="U93" i="48"/>
  <c r="Z50" i="48"/>
  <c r="Y50" i="48"/>
  <c r="Z36" i="48"/>
  <c r="Y36" i="48"/>
  <c r="V26" i="48"/>
  <c r="U26" i="48"/>
  <c r="U14" i="48"/>
  <c r="V14" i="48"/>
  <c r="Z31" i="48"/>
  <c r="Y31" i="48"/>
  <c r="R227" i="48"/>
  <c r="Q227" i="48"/>
  <c r="AH157" i="48"/>
  <c r="AG157" i="48"/>
  <c r="AG176" i="48"/>
  <c r="AH176" i="48"/>
  <c r="V274" i="48"/>
  <c r="U274" i="48"/>
  <c r="AH161" i="48"/>
  <c r="AG161" i="48"/>
  <c r="R28" i="48"/>
  <c r="Q28" i="48"/>
  <c r="Q161" i="48"/>
  <c r="R161" i="48"/>
  <c r="V97" i="48"/>
  <c r="U97" i="48"/>
  <c r="M233" i="48"/>
  <c r="N229" i="48"/>
  <c r="N227" i="48"/>
  <c r="M209" i="48"/>
  <c r="M208" i="48"/>
  <c r="M178" i="48"/>
  <c r="N177" i="48"/>
  <c r="N138" i="48"/>
  <c r="N121" i="48"/>
  <c r="N267" i="48"/>
  <c r="M110" i="48"/>
  <c r="M105" i="48"/>
  <c r="N104" i="48"/>
  <c r="N102" i="48"/>
  <c r="N101" i="48"/>
  <c r="M96" i="48"/>
  <c r="M94" i="48"/>
  <c r="M250" i="48"/>
  <c r="M249" i="48"/>
  <c r="M247" i="48"/>
  <c r="M239" i="48"/>
  <c r="M237" i="48"/>
  <c r="M218" i="48"/>
  <c r="M217" i="48"/>
  <c r="M211" i="48"/>
  <c r="N206" i="48"/>
  <c r="M205" i="48"/>
  <c r="N174" i="48"/>
  <c r="N170" i="48"/>
  <c r="M167" i="48"/>
  <c r="M162" i="48"/>
  <c r="M161" i="48"/>
  <c r="M158" i="48"/>
  <c r="M156" i="48"/>
  <c r="M155" i="48"/>
  <c r="N127" i="48"/>
  <c r="N125" i="48"/>
  <c r="M124" i="48"/>
  <c r="M117" i="48"/>
  <c r="M114" i="48"/>
  <c r="M113" i="48"/>
  <c r="N98" i="48"/>
  <c r="N92" i="48"/>
  <c r="J264" i="48"/>
  <c r="AD264" i="48"/>
  <c r="AT264" i="48"/>
  <c r="Q264" i="48"/>
  <c r="U224" i="48"/>
  <c r="V224" i="48"/>
  <c r="AH151" i="48"/>
  <c r="AG151" i="48"/>
  <c r="AC150" i="48"/>
  <c r="N122" i="48"/>
  <c r="M122" i="48"/>
  <c r="R35" i="48"/>
  <c r="AG179" i="48"/>
  <c r="AH179" i="48"/>
  <c r="AC166" i="48"/>
  <c r="AT156" i="48"/>
  <c r="AS156" i="48"/>
  <c r="V119" i="48"/>
  <c r="U119" i="48"/>
  <c r="Z58" i="48"/>
  <c r="Y58" i="48"/>
  <c r="R249" i="48"/>
  <c r="Q249" i="48"/>
  <c r="R229" i="48"/>
  <c r="Q229" i="48"/>
  <c r="Y230" i="48"/>
  <c r="Z230" i="48"/>
  <c r="U227" i="48"/>
  <c r="V227" i="48"/>
  <c r="R217" i="48"/>
  <c r="Q217" i="48"/>
  <c r="AS195" i="48"/>
  <c r="AT195" i="48"/>
  <c r="AK179" i="48"/>
  <c r="AL179" i="48"/>
  <c r="AK176" i="48"/>
  <c r="AL176" i="48"/>
  <c r="AK173" i="48"/>
  <c r="AL173" i="48"/>
  <c r="AK172" i="48"/>
  <c r="AL172" i="48"/>
  <c r="R170" i="48"/>
  <c r="Q170" i="48"/>
  <c r="AH167" i="48"/>
  <c r="AG167" i="48"/>
  <c r="V160" i="48"/>
  <c r="U160" i="48"/>
  <c r="Q155" i="48"/>
  <c r="R155" i="48"/>
  <c r="R177" i="48"/>
  <c r="Q177" i="48"/>
  <c r="AL161" i="48"/>
  <c r="AK161" i="48"/>
  <c r="Q158" i="48"/>
  <c r="R158" i="48"/>
  <c r="AH155" i="48"/>
  <c r="AG155" i="48"/>
  <c r="Q151" i="48"/>
  <c r="R151" i="48"/>
  <c r="U172" i="48"/>
  <c r="V172" i="48"/>
  <c r="R124" i="48"/>
  <c r="Q124" i="48"/>
  <c r="AH152" i="48"/>
  <c r="AG152" i="48"/>
  <c r="R127" i="48"/>
  <c r="Q127" i="48"/>
  <c r="V201" i="48"/>
  <c r="U201" i="48"/>
  <c r="U175" i="48"/>
  <c r="V175" i="48"/>
  <c r="AH159" i="48"/>
  <c r="AG159" i="48"/>
  <c r="Q115" i="48"/>
  <c r="R115" i="48"/>
  <c r="V267" i="48"/>
  <c r="U267" i="48"/>
  <c r="Z274" i="48"/>
  <c r="Y274" i="48"/>
  <c r="V276" i="48"/>
  <c r="U276" i="48"/>
  <c r="Q108" i="48"/>
  <c r="R108" i="48"/>
  <c r="Q105" i="48"/>
  <c r="R105" i="48"/>
  <c r="Q95" i="48"/>
  <c r="R95" i="48"/>
  <c r="AG177" i="48"/>
  <c r="AH177" i="48"/>
  <c r="V112" i="48"/>
  <c r="U112" i="48"/>
  <c r="Q19" i="48"/>
  <c r="R19" i="48"/>
  <c r="AJ289" i="48"/>
  <c r="Z119" i="48"/>
  <c r="Y119" i="48"/>
  <c r="Z97" i="48"/>
  <c r="Y97" i="48"/>
  <c r="R25" i="48"/>
  <c r="Q25" i="48"/>
  <c r="Y28" i="48"/>
  <c r="Z28" i="48"/>
  <c r="R46" i="48"/>
  <c r="Q46" i="48"/>
  <c r="S110" i="48"/>
  <c r="W110" i="48" s="1"/>
  <c r="Q110" i="48"/>
  <c r="R110" i="48"/>
  <c r="Q267" i="48"/>
  <c r="R267" i="48"/>
  <c r="AG173" i="48"/>
  <c r="AH173" i="48"/>
  <c r="AL151" i="48"/>
  <c r="AK151" i="48"/>
  <c r="R122" i="48"/>
  <c r="Q122" i="48"/>
  <c r="V118" i="48"/>
  <c r="U118" i="48"/>
  <c r="U171" i="48"/>
  <c r="V171" i="48"/>
  <c r="M252" i="48"/>
  <c r="M229" i="48"/>
  <c r="M177" i="48"/>
  <c r="M138" i="48"/>
  <c r="M267" i="48"/>
  <c r="N110" i="48"/>
  <c r="N105" i="48"/>
  <c r="N249" i="48"/>
  <c r="N217" i="48"/>
  <c r="M170" i="48"/>
  <c r="N158" i="48"/>
  <c r="N155" i="48"/>
  <c r="M127" i="48"/>
  <c r="N124" i="48"/>
  <c r="I264" i="48"/>
  <c r="AG172" i="48"/>
  <c r="AH172" i="48"/>
  <c r="R171" i="48"/>
  <c r="Q171" i="48"/>
  <c r="V230" i="48"/>
  <c r="U230" i="48"/>
  <c r="AK178" i="48"/>
  <c r="AL178" i="48"/>
  <c r="V157" i="48"/>
  <c r="U157" i="48"/>
  <c r="AR65" i="48"/>
  <c r="AR289" i="48" s="1"/>
  <c r="T65" i="48"/>
  <c r="T289" i="48" s="1"/>
  <c r="AC87" i="48"/>
  <c r="AD87" i="48"/>
  <c r="AC85" i="48"/>
  <c r="AD85" i="48"/>
  <c r="AC78" i="48"/>
  <c r="AD78" i="48"/>
  <c r="AG180" i="48"/>
  <c r="AH180" i="48"/>
  <c r="R70" i="48"/>
  <c r="Q70" i="48"/>
  <c r="U58" i="48"/>
  <c r="V58" i="48"/>
  <c r="AH81" i="48"/>
  <c r="AG81" i="48"/>
  <c r="AC79" i="48"/>
  <c r="AD79" i="48"/>
  <c r="AC42" i="48"/>
  <c r="AD42" i="48"/>
  <c r="R74" i="48"/>
  <c r="Q74" i="48"/>
  <c r="AH284" i="48"/>
  <c r="AG284" i="48"/>
  <c r="R89" i="48"/>
  <c r="Q89" i="48"/>
  <c r="AK31" i="48"/>
  <c r="AL31" i="48"/>
  <c r="AC55" i="48"/>
  <c r="AD55" i="48"/>
  <c r="AC28" i="48"/>
  <c r="AD28" i="48"/>
  <c r="Z39" i="48"/>
  <c r="Y39" i="48"/>
  <c r="Q75" i="48"/>
  <c r="R75" i="48"/>
  <c r="AH47" i="48"/>
  <c r="AG47" i="48"/>
  <c r="AH38" i="48"/>
  <c r="AG38" i="48"/>
  <c r="AC50" i="48"/>
  <c r="AD50" i="48"/>
  <c r="AH82" i="48"/>
  <c r="AG82" i="48"/>
  <c r="AG70" i="48"/>
  <c r="AH70" i="48"/>
  <c r="AC89" i="48"/>
  <c r="AD89" i="48"/>
  <c r="AC75" i="48"/>
  <c r="AD75" i="48"/>
  <c r="AI74" i="48"/>
  <c r="AM74" i="48" s="1"/>
  <c r="AG74" i="48"/>
  <c r="AH74" i="48"/>
  <c r="AE69" i="48"/>
  <c r="AI69" i="48" s="1"/>
  <c r="AM69" i="48" s="1"/>
  <c r="AD69" i="48"/>
  <c r="AC69" i="48"/>
  <c r="M81" i="48"/>
  <c r="N78" i="48"/>
  <c r="N72" i="48"/>
  <c r="N70" i="48"/>
  <c r="M88" i="48"/>
  <c r="M77" i="48"/>
  <c r="N180" i="48"/>
  <c r="M46" i="48"/>
  <c r="AC284" i="48"/>
  <c r="AD284" i="48"/>
  <c r="AC82" i="48"/>
  <c r="AD82" i="48"/>
  <c r="Z42" i="48"/>
  <c r="Y42" i="48"/>
  <c r="AH80" i="48"/>
  <c r="AG80" i="48"/>
  <c r="AH75" i="48"/>
  <c r="AG75" i="48"/>
  <c r="R180" i="48"/>
  <c r="Q180" i="48"/>
  <c r="R88" i="48"/>
  <c r="Q88" i="48"/>
  <c r="AG72" i="48"/>
  <c r="AH72" i="48"/>
  <c r="AL70" i="48"/>
  <c r="AK70" i="48"/>
  <c r="AC38" i="48"/>
  <c r="AD38" i="48"/>
  <c r="U86" i="48"/>
  <c r="V86" i="48"/>
  <c r="Q82" i="48"/>
  <c r="R82" i="48"/>
  <c r="AC39" i="48"/>
  <c r="AD39" i="48"/>
  <c r="Z55" i="48"/>
  <c r="Y55" i="48"/>
  <c r="V68" i="48"/>
  <c r="U68" i="48"/>
  <c r="AH42" i="48"/>
  <c r="AG42" i="48"/>
  <c r="AH58" i="48"/>
  <c r="AG58" i="48"/>
  <c r="AA47" i="48"/>
  <c r="U47" i="48"/>
  <c r="V47" i="48"/>
  <c r="AC80" i="48"/>
  <c r="AD80" i="48"/>
  <c r="AD180" i="48"/>
  <c r="AC180" i="48"/>
  <c r="AC81" i="48"/>
  <c r="AD81" i="48"/>
  <c r="M70" i="48"/>
  <c r="N88" i="48"/>
  <c r="M180" i="48"/>
  <c r="AD74" i="48"/>
  <c r="AC74" i="48"/>
  <c r="AC31" i="48"/>
  <c r="AD31" i="48"/>
  <c r="Z47" i="48"/>
  <c r="Y47" i="48"/>
  <c r="Z38" i="48"/>
  <c r="Y38" i="48"/>
  <c r="I191" i="48"/>
  <c r="J191" i="48"/>
  <c r="I27" i="48"/>
  <c r="J27" i="48"/>
  <c r="J67" i="48"/>
  <c r="I67" i="48"/>
  <c r="I214" i="48"/>
  <c r="J214" i="48"/>
  <c r="J166" i="48"/>
  <c r="I166" i="48"/>
  <c r="J150" i="48"/>
  <c r="I150" i="48"/>
  <c r="I91" i="48"/>
  <c r="J91" i="48"/>
  <c r="J133" i="48"/>
  <c r="I133" i="48"/>
  <c r="I35" i="48"/>
  <c r="J35" i="48"/>
  <c r="J11" i="48"/>
  <c r="I11" i="48"/>
  <c r="N133" i="48"/>
  <c r="M133" i="48"/>
  <c r="N35" i="48"/>
  <c r="M35" i="48"/>
  <c r="AZ191" i="48"/>
  <c r="AZ11" i="48"/>
  <c r="M11" i="48"/>
  <c r="N11" i="48"/>
  <c r="AZ35" i="48"/>
  <c r="N264" i="48"/>
  <c r="M264" i="48"/>
  <c r="AZ264" i="48"/>
  <c r="K191" i="48"/>
  <c r="N191" i="48" s="1"/>
  <c r="O173" i="48"/>
  <c r="O120" i="48"/>
  <c r="Q120" i="48" s="1"/>
  <c r="S161" i="48"/>
  <c r="AI82" i="48"/>
  <c r="AY252" i="48"/>
  <c r="AE89" i="48"/>
  <c r="AZ91" i="48"/>
  <c r="AZ67" i="48"/>
  <c r="H65" i="48"/>
  <c r="D10" i="32" s="1"/>
  <c r="AZ13" i="48"/>
  <c r="S218" i="48"/>
  <c r="AM176" i="48"/>
  <c r="AM173" i="48"/>
  <c r="O152" i="48"/>
  <c r="AZ150" i="48"/>
  <c r="AM161" i="48"/>
  <c r="S151" i="48"/>
  <c r="AI158" i="48"/>
  <c r="O121" i="48"/>
  <c r="AA274" i="48"/>
  <c r="S108" i="48"/>
  <c r="S156" i="48"/>
  <c r="O109" i="48"/>
  <c r="AI177" i="48"/>
  <c r="AA58" i="48"/>
  <c r="AE79" i="48"/>
  <c r="G295" i="48"/>
  <c r="G291" i="48" s="1"/>
  <c r="K296" i="48"/>
  <c r="O250" i="48"/>
  <c r="O239" i="48"/>
  <c r="S249" i="48"/>
  <c r="S247" i="48"/>
  <c r="S229" i="48"/>
  <c r="AA230" i="48"/>
  <c r="S215" i="48"/>
  <c r="S200" i="48"/>
  <c r="O197" i="48"/>
  <c r="AM179" i="48"/>
  <c r="O203" i="48"/>
  <c r="R203" i="48" s="1"/>
  <c r="AI175" i="48"/>
  <c r="AM171" i="48"/>
  <c r="AZ166" i="48"/>
  <c r="W202" i="48"/>
  <c r="Z202" i="48" s="1"/>
  <c r="AM160" i="48"/>
  <c r="S158" i="48"/>
  <c r="AI152" i="48"/>
  <c r="W122" i="48"/>
  <c r="W201" i="48"/>
  <c r="AI159" i="48"/>
  <c r="S123" i="48"/>
  <c r="S115" i="48"/>
  <c r="O96" i="48"/>
  <c r="W129" i="48"/>
  <c r="Y129" i="48" s="1"/>
  <c r="O102" i="48"/>
  <c r="S95" i="48"/>
  <c r="AA118" i="48"/>
  <c r="O117" i="48"/>
  <c r="W116" i="48"/>
  <c r="O114" i="48"/>
  <c r="O107" i="48"/>
  <c r="AZ133" i="48"/>
  <c r="W99" i="48"/>
  <c r="AE85" i="48"/>
  <c r="AI80" i="48"/>
  <c r="AE78" i="48"/>
  <c r="AI75" i="48"/>
  <c r="S13" i="48"/>
  <c r="S88" i="48"/>
  <c r="AI42" i="48"/>
  <c r="AA52" i="48"/>
  <c r="AC52" i="48" s="1"/>
  <c r="AI284" i="48"/>
  <c r="W106" i="48"/>
  <c r="AA97" i="48"/>
  <c r="AE50" i="48"/>
  <c r="W68" i="48"/>
  <c r="AE39" i="48"/>
  <c r="S25" i="48"/>
  <c r="AZ214" i="48"/>
  <c r="AA224" i="48"/>
  <c r="S217" i="48"/>
  <c r="AI167" i="48"/>
  <c r="AE166" i="48"/>
  <c r="S162" i="48"/>
  <c r="AI174" i="48"/>
  <c r="O111" i="48"/>
  <c r="AI72" i="48"/>
  <c r="C291" i="48"/>
  <c r="S233" i="48"/>
  <c r="O228" i="48"/>
  <c r="W246" i="48"/>
  <c r="S208" i="48"/>
  <c r="S170" i="48"/>
  <c r="AE150" i="48"/>
  <c r="O167" i="48"/>
  <c r="AM157" i="48"/>
  <c r="W207" i="48"/>
  <c r="K150" i="48"/>
  <c r="N150" i="48" s="1"/>
  <c r="S192" i="48"/>
  <c r="W126" i="48"/>
  <c r="S113" i="48"/>
  <c r="O103" i="48"/>
  <c r="S98" i="48"/>
  <c r="O101" i="48"/>
  <c r="W198" i="48"/>
  <c r="AE87" i="48"/>
  <c r="O77" i="48"/>
  <c r="AI180" i="48"/>
  <c r="AI81" i="48"/>
  <c r="O72" i="48"/>
  <c r="E65" i="48"/>
  <c r="F65" i="48"/>
  <c r="O78" i="48"/>
  <c r="AA51" i="48"/>
  <c r="AC51" i="48" s="1"/>
  <c r="F27" i="48"/>
  <c r="AA119" i="48"/>
  <c r="W93" i="48"/>
  <c r="AI39" i="48"/>
  <c r="AE55" i="48"/>
  <c r="AE36" i="48"/>
  <c r="AM38" i="48"/>
  <c r="AQ151" i="48"/>
  <c r="W130" i="48"/>
  <c r="Y130" i="48" s="1"/>
  <c r="W276" i="48"/>
  <c r="O81" i="48"/>
  <c r="O235" i="48"/>
  <c r="R235" i="48" s="1"/>
  <c r="O238" i="48"/>
  <c r="W227" i="48"/>
  <c r="S237" i="48"/>
  <c r="S211" i="48"/>
  <c r="O209" i="48"/>
  <c r="W204" i="48"/>
  <c r="K214" i="48"/>
  <c r="M214" i="48" s="1"/>
  <c r="O206" i="48"/>
  <c r="AU195" i="48"/>
  <c r="AQ178" i="48"/>
  <c r="S174" i="48"/>
  <c r="AM172" i="48"/>
  <c r="S155" i="48"/>
  <c r="S177" i="48"/>
  <c r="O199" i="48"/>
  <c r="R199" i="48" s="1"/>
  <c r="O193" i="48"/>
  <c r="AI170" i="48"/>
  <c r="AI155" i="48"/>
  <c r="S124" i="48"/>
  <c r="S127" i="48"/>
  <c r="AI162" i="48"/>
  <c r="W267" i="48"/>
  <c r="S105" i="48"/>
  <c r="W128" i="48"/>
  <c r="Y128" i="48" s="1"/>
  <c r="O92" i="48"/>
  <c r="W112" i="48"/>
  <c r="O94" i="48"/>
  <c r="AE283" i="48"/>
  <c r="K67" i="48"/>
  <c r="S19" i="48"/>
  <c r="AM70" i="48"/>
  <c r="AI38" i="48"/>
  <c r="K27" i="48"/>
  <c r="N27" i="48" s="1"/>
  <c r="S46" i="48"/>
  <c r="L9" i="48"/>
  <c r="L65" i="48"/>
  <c r="E10" i="32" s="1"/>
  <c r="S24" i="48"/>
  <c r="O23" i="48"/>
  <c r="Q23" i="48" s="1"/>
  <c r="AQ31" i="48"/>
  <c r="AI55" i="48"/>
  <c r="AI28" i="48"/>
  <c r="AM42" i="48"/>
  <c r="AE28" i="48"/>
  <c r="W14" i="48"/>
  <c r="AI50" i="48"/>
  <c r="W86" i="48"/>
  <c r="AM47" i="48"/>
  <c r="W26" i="48"/>
  <c r="E27" i="48"/>
  <c r="AE31" i="48"/>
  <c r="AM58" i="48"/>
  <c r="Q253" i="48" l="1"/>
  <c r="R255" i="48"/>
  <c r="R253" i="48"/>
  <c r="AM30" i="48"/>
  <c r="AO30" i="48" s="1"/>
  <c r="S255" i="48"/>
  <c r="U255" i="48" s="1"/>
  <c r="S256" i="48"/>
  <c r="W256" i="48" s="1"/>
  <c r="S223" i="48"/>
  <c r="W223" i="48" s="1"/>
  <c r="Q256" i="48"/>
  <c r="Q223" i="48"/>
  <c r="D289" i="48"/>
  <c r="D291" i="48" s="1"/>
  <c r="D292" i="48" s="1"/>
  <c r="W226" i="48"/>
  <c r="Y226" i="48" s="1"/>
  <c r="V226" i="48"/>
  <c r="F8" i="48"/>
  <c r="W234" i="48"/>
  <c r="Z234" i="48" s="1"/>
  <c r="AI49" i="48"/>
  <c r="AK49" i="48" s="1"/>
  <c r="O133" i="48"/>
  <c r="Q133" i="48" s="1"/>
  <c r="R27" i="48"/>
  <c r="S236" i="48"/>
  <c r="V236" i="48" s="1"/>
  <c r="Q236" i="48"/>
  <c r="M91" i="48"/>
  <c r="AI32" i="48"/>
  <c r="AK32" i="48" s="1"/>
  <c r="S104" i="48"/>
  <c r="U104" i="48" s="1"/>
  <c r="R104" i="48"/>
  <c r="AI61" i="48"/>
  <c r="AK61" i="48" s="1"/>
  <c r="Q245" i="48"/>
  <c r="AR291" i="48"/>
  <c r="AJ291" i="48"/>
  <c r="X291" i="48"/>
  <c r="S245" i="48"/>
  <c r="V245" i="48" s="1"/>
  <c r="T291" i="48"/>
  <c r="AN291" i="48"/>
  <c r="R100" i="48"/>
  <c r="AI43" i="48"/>
  <c r="AK43" i="48" s="1"/>
  <c r="S100" i="48"/>
  <c r="V100" i="48" s="1"/>
  <c r="Y26" i="48"/>
  <c r="Z26" i="48"/>
  <c r="AC36" i="48"/>
  <c r="AD36" i="48"/>
  <c r="U19" i="48"/>
  <c r="V19" i="48"/>
  <c r="AL162" i="48"/>
  <c r="AK162" i="48"/>
  <c r="AK170" i="48"/>
  <c r="AL170" i="48"/>
  <c r="Q209" i="48"/>
  <c r="R209" i="48"/>
  <c r="Y227" i="48"/>
  <c r="Z227" i="48"/>
  <c r="V255" i="48"/>
  <c r="Z35" i="48"/>
  <c r="Y35" i="48"/>
  <c r="Z110" i="48"/>
  <c r="Y110" i="48"/>
  <c r="Y198" i="48"/>
  <c r="Z198" i="48"/>
  <c r="Q103" i="48"/>
  <c r="R103" i="48"/>
  <c r="Y126" i="48"/>
  <c r="Z126" i="48"/>
  <c r="V208" i="48"/>
  <c r="U208" i="48"/>
  <c r="AK174" i="48"/>
  <c r="AL174" i="48"/>
  <c r="S9" i="48"/>
  <c r="U13" i="48"/>
  <c r="V13" i="48"/>
  <c r="Q114" i="48"/>
  <c r="R114" i="48"/>
  <c r="AL159" i="48"/>
  <c r="AK159" i="48"/>
  <c r="V158" i="48"/>
  <c r="U158" i="48"/>
  <c r="AP171" i="48"/>
  <c r="AO171" i="48"/>
  <c r="U178" i="48"/>
  <c r="V178" i="48"/>
  <c r="V200" i="48"/>
  <c r="U200" i="48"/>
  <c r="AD230" i="48"/>
  <c r="AC230" i="48"/>
  <c r="R239" i="48"/>
  <c r="Q239" i="48"/>
  <c r="V156" i="48"/>
  <c r="U156" i="48"/>
  <c r="AC274" i="48"/>
  <c r="AD274" i="48"/>
  <c r="AO161" i="48"/>
  <c r="AP161" i="48"/>
  <c r="O150" i="48"/>
  <c r="Q152" i="48"/>
  <c r="R152" i="48"/>
  <c r="AP176" i="48"/>
  <c r="AO176" i="48"/>
  <c r="V161" i="48"/>
  <c r="U161" i="48"/>
  <c r="R173" i="48"/>
  <c r="Q173" i="48"/>
  <c r="M150" i="48"/>
  <c r="M166" i="48"/>
  <c r="R125" i="48"/>
  <c r="Q125" i="48"/>
  <c r="Q205" i="48"/>
  <c r="R205" i="48"/>
  <c r="AH28" i="48"/>
  <c r="AG28" i="48"/>
  <c r="Z112" i="48"/>
  <c r="Y112" i="48"/>
  <c r="V105" i="48"/>
  <c r="U105" i="48"/>
  <c r="U124" i="48"/>
  <c r="V124" i="48"/>
  <c r="V155" i="48"/>
  <c r="U155" i="48"/>
  <c r="U174" i="48"/>
  <c r="V174" i="48"/>
  <c r="AY195" i="48"/>
  <c r="AW195" i="48"/>
  <c r="AX195" i="48"/>
  <c r="U211" i="48"/>
  <c r="V211" i="48"/>
  <c r="U125" i="48"/>
  <c r="V125" i="48"/>
  <c r="Z93" i="48"/>
  <c r="Y93" i="48"/>
  <c r="V98" i="48"/>
  <c r="U98" i="48"/>
  <c r="AO157" i="48"/>
  <c r="AP157" i="48"/>
  <c r="U170" i="48"/>
  <c r="V170" i="48"/>
  <c r="R228" i="48"/>
  <c r="Q228" i="48"/>
  <c r="AG166" i="48"/>
  <c r="AH166" i="48"/>
  <c r="U217" i="48"/>
  <c r="V217" i="48"/>
  <c r="V25" i="48"/>
  <c r="U25" i="48"/>
  <c r="Z106" i="48"/>
  <c r="Y106" i="48"/>
  <c r="Q117" i="48"/>
  <c r="R117" i="48"/>
  <c r="V95" i="48"/>
  <c r="U95" i="48"/>
  <c r="V115" i="48"/>
  <c r="U115" i="48"/>
  <c r="Y122" i="48"/>
  <c r="Z122" i="48"/>
  <c r="AP179" i="48"/>
  <c r="AO179" i="48"/>
  <c r="V247" i="48"/>
  <c r="U247" i="48"/>
  <c r="U253" i="48"/>
  <c r="V253" i="48"/>
  <c r="AL158" i="48"/>
  <c r="AK158" i="48"/>
  <c r="M191" i="48"/>
  <c r="N214" i="48"/>
  <c r="Q9" i="48"/>
  <c r="R9" i="48"/>
  <c r="V35" i="48"/>
  <c r="U35" i="48"/>
  <c r="Z14" i="48"/>
  <c r="Y14" i="48"/>
  <c r="V24" i="48"/>
  <c r="U24" i="48"/>
  <c r="K65" i="48"/>
  <c r="M65" i="48" s="1"/>
  <c r="Q94" i="48"/>
  <c r="R94" i="48"/>
  <c r="O91" i="48"/>
  <c r="Q92" i="48"/>
  <c r="R92" i="48"/>
  <c r="AY156" i="48"/>
  <c r="Z267" i="48"/>
  <c r="Y267" i="48"/>
  <c r="U127" i="48"/>
  <c r="V127" i="48"/>
  <c r="AL155" i="48"/>
  <c r="AK155" i="48"/>
  <c r="R193" i="48"/>
  <c r="Q193" i="48"/>
  <c r="U177" i="48"/>
  <c r="V177" i="48"/>
  <c r="AP172" i="48"/>
  <c r="AO172" i="48"/>
  <c r="AS178" i="48"/>
  <c r="AT178" i="48"/>
  <c r="Q206" i="48"/>
  <c r="R206" i="48"/>
  <c r="Z204" i="48"/>
  <c r="Y204" i="48"/>
  <c r="V237" i="48"/>
  <c r="U237" i="48"/>
  <c r="R238" i="48"/>
  <c r="Q238" i="48"/>
  <c r="Z276" i="48"/>
  <c r="Y276" i="48"/>
  <c r="AT151" i="48"/>
  <c r="AS151" i="48"/>
  <c r="AG36" i="48"/>
  <c r="AH36" i="48"/>
  <c r="AC119" i="48"/>
  <c r="AD119" i="48"/>
  <c r="E8" i="48"/>
  <c r="C289" i="48"/>
  <c r="C292" i="48" s="1"/>
  <c r="Q101" i="48"/>
  <c r="R101" i="48"/>
  <c r="V113" i="48"/>
  <c r="U113" i="48"/>
  <c r="U192" i="48"/>
  <c r="V192" i="48"/>
  <c r="Z207" i="48"/>
  <c r="Y207" i="48"/>
  <c r="Q167" i="48"/>
  <c r="R167" i="48"/>
  <c r="AG150" i="48"/>
  <c r="AH150" i="48"/>
  <c r="V205" i="48"/>
  <c r="U205" i="48"/>
  <c r="Y246" i="48"/>
  <c r="Z246" i="48"/>
  <c r="V233" i="48"/>
  <c r="U233" i="48"/>
  <c r="Q111" i="48"/>
  <c r="R111" i="48"/>
  <c r="V162" i="48"/>
  <c r="U162" i="48"/>
  <c r="AL167" i="48"/>
  <c r="AK167" i="48"/>
  <c r="AD224" i="48"/>
  <c r="AC224" i="48"/>
  <c r="AC97" i="48"/>
  <c r="AD97" i="48"/>
  <c r="Z99" i="48"/>
  <c r="Y99" i="48"/>
  <c r="Q107" i="48"/>
  <c r="R107" i="48"/>
  <c r="Z116" i="48"/>
  <c r="Y116" i="48"/>
  <c r="AC118" i="48"/>
  <c r="AD118" i="48"/>
  <c r="Q102" i="48"/>
  <c r="R102" i="48"/>
  <c r="Q96" i="48"/>
  <c r="R96" i="48"/>
  <c r="U123" i="48"/>
  <c r="V123" i="48"/>
  <c r="Z201" i="48"/>
  <c r="Y201" i="48"/>
  <c r="AL152" i="48"/>
  <c r="AK152" i="48"/>
  <c r="V138" i="48"/>
  <c r="U138" i="48"/>
  <c r="AO160" i="48"/>
  <c r="AP160" i="48"/>
  <c r="AK175" i="48"/>
  <c r="AL175" i="48"/>
  <c r="R197" i="48"/>
  <c r="Q197" i="48"/>
  <c r="U215" i="48"/>
  <c r="V215" i="48"/>
  <c r="U229" i="48"/>
  <c r="V229" i="48"/>
  <c r="V249" i="48"/>
  <c r="U249" i="48"/>
  <c r="R250" i="48"/>
  <c r="Q250" i="48"/>
  <c r="AK177" i="48"/>
  <c r="AL177" i="48"/>
  <c r="Q109" i="48"/>
  <c r="R109" i="48"/>
  <c r="V108" i="48"/>
  <c r="U108" i="48"/>
  <c r="R121" i="48"/>
  <c r="Q121" i="48"/>
  <c r="V151" i="48"/>
  <c r="U151" i="48"/>
  <c r="AP173" i="48"/>
  <c r="AO173" i="48"/>
  <c r="U218" i="48"/>
  <c r="V218" i="48"/>
  <c r="V110" i="48"/>
  <c r="U110" i="48"/>
  <c r="G289" i="48"/>
  <c r="G292" i="48" s="1"/>
  <c r="Q138" i="48"/>
  <c r="R138" i="48"/>
  <c r="R178" i="48"/>
  <c r="Q178" i="48"/>
  <c r="AP58" i="48"/>
  <c r="AO58" i="48"/>
  <c r="AP47" i="48"/>
  <c r="AO47" i="48"/>
  <c r="Z86" i="48"/>
  <c r="Y86" i="48"/>
  <c r="AK28" i="48"/>
  <c r="AL28" i="48"/>
  <c r="AS31" i="48"/>
  <c r="AT31" i="48"/>
  <c r="AP69" i="48"/>
  <c r="AO69" i="48"/>
  <c r="AP70" i="48"/>
  <c r="AO70" i="48"/>
  <c r="R72" i="48"/>
  <c r="Q72" i="48"/>
  <c r="Q77" i="48"/>
  <c r="R77" i="48"/>
  <c r="AL72" i="48"/>
  <c r="AK72" i="48"/>
  <c r="Y68" i="48"/>
  <c r="Z68" i="48"/>
  <c r="AH50" i="48"/>
  <c r="AG50" i="48"/>
  <c r="AK42" i="48"/>
  <c r="AL42" i="48"/>
  <c r="AH78" i="48"/>
  <c r="AG78" i="48"/>
  <c r="AH85" i="48"/>
  <c r="AG85" i="48"/>
  <c r="AC58" i="48"/>
  <c r="AD58" i="48"/>
  <c r="N67" i="48"/>
  <c r="M27" i="48"/>
  <c r="AG69" i="48"/>
  <c r="AH69" i="48"/>
  <c r="AH31" i="48"/>
  <c r="AG31" i="48"/>
  <c r="AK50" i="48"/>
  <c r="AL50" i="48"/>
  <c r="AP42" i="48"/>
  <c r="AO42" i="48"/>
  <c r="AK55" i="48"/>
  <c r="AL55" i="48"/>
  <c r="U46" i="48"/>
  <c r="V46" i="48"/>
  <c r="AK38" i="48"/>
  <c r="AL38" i="48"/>
  <c r="Q81" i="48"/>
  <c r="R81" i="48"/>
  <c r="AP38" i="48"/>
  <c r="AO38" i="48"/>
  <c r="AH55" i="48"/>
  <c r="AG55" i="48"/>
  <c r="AK39" i="48"/>
  <c r="AL39" i="48"/>
  <c r="Q78" i="48"/>
  <c r="R78" i="48"/>
  <c r="AK81" i="48"/>
  <c r="AL81" i="48"/>
  <c r="AL180" i="48"/>
  <c r="AK180" i="48"/>
  <c r="AH87" i="48"/>
  <c r="AG87" i="48"/>
  <c r="AH39" i="48"/>
  <c r="AG39" i="48"/>
  <c r="AP74" i="48"/>
  <c r="AO74" i="48"/>
  <c r="AK284" i="48"/>
  <c r="AL284" i="48"/>
  <c r="U88" i="48"/>
  <c r="V88" i="48"/>
  <c r="AK75" i="48"/>
  <c r="AL75" i="48"/>
  <c r="AK80" i="48"/>
  <c r="AL80" i="48"/>
  <c r="AH79" i="48"/>
  <c r="AG79" i="48"/>
  <c r="AH89" i="48"/>
  <c r="AG89" i="48"/>
  <c r="AK82" i="48"/>
  <c r="AL82" i="48"/>
  <c r="AL69" i="48"/>
  <c r="AK69" i="48"/>
  <c r="M67" i="48"/>
  <c r="AC47" i="48"/>
  <c r="AD47" i="48"/>
  <c r="AI47" i="48"/>
  <c r="AL74" i="48"/>
  <c r="AK74" i="48"/>
  <c r="E6" i="32"/>
  <c r="M9" i="48"/>
  <c r="N9" i="48"/>
  <c r="O191" i="48"/>
  <c r="S120" i="48"/>
  <c r="U120" i="48" s="1"/>
  <c r="AM82" i="48"/>
  <c r="AY82" i="48" s="1"/>
  <c r="I65" i="48"/>
  <c r="AI89" i="48"/>
  <c r="S173" i="48"/>
  <c r="AZ14" i="48"/>
  <c r="AZ19" i="48"/>
  <c r="H9" i="48"/>
  <c r="AQ50" i="48"/>
  <c r="W237" i="48"/>
  <c r="S238" i="48"/>
  <c r="AA93" i="48"/>
  <c r="AI51" i="48"/>
  <c r="AK51" i="48" s="1"/>
  <c r="AM81" i="48"/>
  <c r="AA110" i="48"/>
  <c r="S77" i="48"/>
  <c r="AQ157" i="48"/>
  <c r="AM174" i="48"/>
  <c r="W25" i="48"/>
  <c r="AM39" i="48"/>
  <c r="AA106" i="48"/>
  <c r="AA99" i="48"/>
  <c r="S107" i="48"/>
  <c r="AA116" i="48"/>
  <c r="S117" i="48"/>
  <c r="S102" i="48"/>
  <c r="W115" i="48"/>
  <c r="AM159" i="48"/>
  <c r="AA122" i="48"/>
  <c r="W215" i="48"/>
  <c r="S109" i="48"/>
  <c r="W108" i="48"/>
  <c r="S121" i="48"/>
  <c r="AQ70" i="48"/>
  <c r="AM170" i="48"/>
  <c r="S206" i="48"/>
  <c r="S209" i="48"/>
  <c r="L8" i="48"/>
  <c r="AA112" i="48"/>
  <c r="S92" i="48"/>
  <c r="AM155" i="48"/>
  <c r="S199" i="48"/>
  <c r="V199" i="48" s="1"/>
  <c r="AA204" i="48"/>
  <c r="W211" i="48"/>
  <c r="AU151" i="48"/>
  <c r="AE35" i="48"/>
  <c r="AM36" i="48"/>
  <c r="AM55" i="48"/>
  <c r="AE119" i="48"/>
  <c r="AM180" i="48"/>
  <c r="W98" i="48"/>
  <c r="W113" i="48"/>
  <c r="W205" i="48"/>
  <c r="W208" i="48"/>
  <c r="S228" i="48"/>
  <c r="AM72" i="48"/>
  <c r="W217" i="48"/>
  <c r="AE224" i="48"/>
  <c r="AA68" i="48"/>
  <c r="AM284" i="48"/>
  <c r="AI52" i="48"/>
  <c r="AK52" i="48" s="1"/>
  <c r="AQ42" i="48"/>
  <c r="W88" i="48"/>
  <c r="AI85" i="48"/>
  <c r="W95" i="48"/>
  <c r="S133" i="48"/>
  <c r="W138" i="48"/>
  <c r="S203" i="48"/>
  <c r="V203" i="48" s="1"/>
  <c r="W200" i="48"/>
  <c r="O214" i="48"/>
  <c r="W249" i="48"/>
  <c r="S239" i="48"/>
  <c r="O296" i="48"/>
  <c r="K295" i="48"/>
  <c r="W253" i="48"/>
  <c r="AI58" i="48"/>
  <c r="AQ161" i="48"/>
  <c r="AQ176" i="48"/>
  <c r="AU58" i="48"/>
  <c r="W46" i="48"/>
  <c r="S27" i="48"/>
  <c r="AM31" i="48"/>
  <c r="AQ28" i="48"/>
  <c r="AI283" i="48"/>
  <c r="W127" i="48"/>
  <c r="AU178" i="48"/>
  <c r="S101" i="48"/>
  <c r="S103" i="48"/>
  <c r="AA126" i="48"/>
  <c r="W192" i="48"/>
  <c r="AA246" i="48"/>
  <c r="W233" i="48"/>
  <c r="AQ74" i="48"/>
  <c r="AM50" i="48"/>
  <c r="AE97" i="48"/>
  <c r="O8" i="48"/>
  <c r="AI78" i="48"/>
  <c r="S96" i="48"/>
  <c r="AM152" i="48"/>
  <c r="AI150" i="48"/>
  <c r="AA202" i="48"/>
  <c r="AD202" i="48" s="1"/>
  <c r="AM175" i="48"/>
  <c r="AQ179" i="48"/>
  <c r="W247" i="48"/>
  <c r="AI79" i="48"/>
  <c r="AE274" i="48"/>
  <c r="AQ173" i="48"/>
  <c r="W218" i="48"/>
  <c r="AA86" i="48"/>
  <c r="AA14" i="48"/>
  <c r="AQ38" i="48"/>
  <c r="AA267" i="48"/>
  <c r="AQ172" i="48"/>
  <c r="AU47" i="48"/>
  <c r="AM28" i="48"/>
  <c r="W19" i="48"/>
  <c r="S94" i="48"/>
  <c r="S193" i="48"/>
  <c r="W125" i="48"/>
  <c r="O67" i="48"/>
  <c r="AQ39" i="48"/>
  <c r="AZ65" i="48"/>
  <c r="K8" i="48"/>
  <c r="AA198" i="48"/>
  <c r="AA26" i="48"/>
  <c r="AI36" i="48"/>
  <c r="AA35" i="48"/>
  <c r="AU42" i="48"/>
  <c r="AQ55" i="48"/>
  <c r="W24" i="48"/>
  <c r="S23" i="48"/>
  <c r="U23" i="48" s="1"/>
  <c r="AQ69" i="48"/>
  <c r="AA128" i="48"/>
  <c r="AC128" i="48" s="1"/>
  <c r="W105" i="48"/>
  <c r="AM162" i="48"/>
  <c r="W124" i="48"/>
  <c r="AA227" i="48"/>
  <c r="S235" i="48"/>
  <c r="V235" i="48" s="1"/>
  <c r="AA276" i="48"/>
  <c r="AA130" i="48"/>
  <c r="AC130" i="48" s="1"/>
  <c r="AU38" i="48"/>
  <c r="AI87" i="48"/>
  <c r="AA207" i="48"/>
  <c r="O166" i="48"/>
  <c r="S167" i="48"/>
  <c r="S111" i="48"/>
  <c r="AM167" i="48"/>
  <c r="AI166" i="48"/>
  <c r="J65" i="48"/>
  <c r="W13" i="48"/>
  <c r="AM75" i="48"/>
  <c r="AM80" i="48"/>
  <c r="S114" i="48"/>
  <c r="AE118" i="48"/>
  <c r="AA129" i="48"/>
  <c r="AC129" i="48" s="1"/>
  <c r="W123" i="48"/>
  <c r="AA201" i="48"/>
  <c r="AQ160" i="48"/>
  <c r="AQ171" i="48"/>
  <c r="S197" i="48"/>
  <c r="AE230" i="48"/>
  <c r="W229" i="48"/>
  <c r="S250" i="48"/>
  <c r="AM177" i="48"/>
  <c r="AM158" i="48"/>
  <c r="S152" i="48"/>
  <c r="U256" i="48" l="1"/>
  <c r="R133" i="48"/>
  <c r="V256" i="48"/>
  <c r="AU30" i="48"/>
  <c r="AW30" i="48" s="1"/>
  <c r="W255" i="48"/>
  <c r="W104" i="48"/>
  <c r="Y104" i="48" s="1"/>
  <c r="W236" i="48"/>
  <c r="AA236" i="48" s="1"/>
  <c r="V104" i="48"/>
  <c r="V223" i="48"/>
  <c r="U223" i="48"/>
  <c r="C14" i="32"/>
  <c r="AA226" i="48"/>
  <c r="AE226" i="48" s="1"/>
  <c r="AA234" i="48"/>
  <c r="AD234" i="48" s="1"/>
  <c r="AQ49" i="48"/>
  <c r="AS49" i="48" s="1"/>
  <c r="Z226" i="48"/>
  <c r="AQ32" i="48"/>
  <c r="AS32" i="48" s="1"/>
  <c r="U245" i="48"/>
  <c r="N65" i="48"/>
  <c r="W245" i="48"/>
  <c r="Y245" i="48" s="1"/>
  <c r="U236" i="48"/>
  <c r="U100" i="48"/>
  <c r="AQ43" i="48"/>
  <c r="AS43" i="48" s="1"/>
  <c r="W100" i="48"/>
  <c r="Z100" i="48" s="1"/>
  <c r="AQ61" i="48"/>
  <c r="AS61" i="48" s="1"/>
  <c r="E289" i="48"/>
  <c r="F289" i="48"/>
  <c r="V250" i="48"/>
  <c r="U250" i="48"/>
  <c r="AH230" i="48"/>
  <c r="AG230" i="48"/>
  <c r="AS171" i="48"/>
  <c r="AT171" i="48"/>
  <c r="V114" i="48"/>
  <c r="U114" i="48"/>
  <c r="AO167" i="48"/>
  <c r="AP167" i="48"/>
  <c r="V167" i="48"/>
  <c r="U167" i="48"/>
  <c r="AC207" i="48"/>
  <c r="AD207" i="48"/>
  <c r="AC276" i="48"/>
  <c r="AD276" i="48"/>
  <c r="AD227" i="48"/>
  <c r="AC227" i="48"/>
  <c r="AO162" i="48"/>
  <c r="AP162" i="48"/>
  <c r="AK36" i="48"/>
  <c r="AL36" i="48"/>
  <c r="AD198" i="48"/>
  <c r="AC198" i="48"/>
  <c r="Y125" i="48"/>
  <c r="Z125" i="48"/>
  <c r="S191" i="48"/>
  <c r="U193" i="48"/>
  <c r="V193" i="48"/>
  <c r="Z19" i="48"/>
  <c r="Y19" i="48"/>
  <c r="AS173" i="48"/>
  <c r="AT173" i="48"/>
  <c r="AK150" i="48"/>
  <c r="AL150" i="48"/>
  <c r="V96" i="48"/>
  <c r="U96" i="48"/>
  <c r="Y233" i="48"/>
  <c r="Z233" i="48"/>
  <c r="Y192" i="48"/>
  <c r="Z192" i="48"/>
  <c r="V103" i="48"/>
  <c r="U103" i="48"/>
  <c r="Y256" i="48"/>
  <c r="Z256" i="48"/>
  <c r="Y127" i="48"/>
  <c r="Z127" i="48"/>
  <c r="AS176" i="48"/>
  <c r="AT176" i="48"/>
  <c r="V239" i="48"/>
  <c r="U239" i="48"/>
  <c r="Z200" i="48"/>
  <c r="Y200" i="48"/>
  <c r="Z138" i="48"/>
  <c r="Y138" i="48"/>
  <c r="Z95" i="48"/>
  <c r="Y95" i="48"/>
  <c r="AH224" i="48"/>
  <c r="AG224" i="48"/>
  <c r="U228" i="48"/>
  <c r="V228" i="48"/>
  <c r="Z205" i="48"/>
  <c r="Y205" i="48"/>
  <c r="Z98" i="48"/>
  <c r="Y98" i="48"/>
  <c r="AH119" i="48"/>
  <c r="AG119" i="48"/>
  <c r="AO36" i="48"/>
  <c r="AP36" i="48"/>
  <c r="Y211" i="48"/>
  <c r="Z211" i="48"/>
  <c r="AC204" i="48"/>
  <c r="AD204" i="48"/>
  <c r="AO155" i="48"/>
  <c r="AP155" i="48"/>
  <c r="AC112" i="48"/>
  <c r="AD112" i="48"/>
  <c r="V209" i="48"/>
  <c r="U209" i="48"/>
  <c r="AP170" i="48"/>
  <c r="AO170" i="48"/>
  <c r="Y223" i="48"/>
  <c r="Z223" i="48"/>
  <c r="Z108" i="48"/>
  <c r="Y108" i="48"/>
  <c r="Z104" i="48"/>
  <c r="AD122" i="48"/>
  <c r="AC122" i="48"/>
  <c r="Z115" i="48"/>
  <c r="Y115" i="48"/>
  <c r="V117" i="48"/>
  <c r="U117" i="48"/>
  <c r="V107" i="48"/>
  <c r="U107" i="48"/>
  <c r="AC106" i="48"/>
  <c r="AD106" i="48"/>
  <c r="Y25" i="48"/>
  <c r="Z25" i="48"/>
  <c r="AP174" i="48"/>
  <c r="AO174" i="48"/>
  <c r="AT157" i="48"/>
  <c r="AS157" i="48"/>
  <c r="AC110" i="48"/>
  <c r="AD110" i="48"/>
  <c r="V238" i="48"/>
  <c r="U238" i="48"/>
  <c r="Q191" i="48"/>
  <c r="R191" i="48"/>
  <c r="U9" i="48"/>
  <c r="V9" i="48"/>
  <c r="S150" i="48"/>
  <c r="V152" i="48"/>
  <c r="U152" i="48"/>
  <c r="AP177" i="48"/>
  <c r="AO177" i="48"/>
  <c r="Y229" i="48"/>
  <c r="Z229" i="48"/>
  <c r="U197" i="48"/>
  <c r="V197" i="48"/>
  <c r="AT160" i="48"/>
  <c r="AS160" i="48"/>
  <c r="Y123" i="48"/>
  <c r="Z123" i="48"/>
  <c r="AH118" i="48"/>
  <c r="AG118" i="48"/>
  <c r="W9" i="48"/>
  <c r="Z13" i="48"/>
  <c r="Y13" i="48"/>
  <c r="AL166" i="48"/>
  <c r="AK166" i="48"/>
  <c r="V111" i="48"/>
  <c r="U111" i="48"/>
  <c r="R166" i="48"/>
  <c r="Q166" i="48"/>
  <c r="Y124" i="48"/>
  <c r="Z124" i="48"/>
  <c r="Z105" i="48"/>
  <c r="Y105" i="48"/>
  <c r="Y24" i="48"/>
  <c r="Z24" i="48"/>
  <c r="AC35" i="48"/>
  <c r="AD35" i="48"/>
  <c r="AC26" i="48"/>
  <c r="AD26" i="48"/>
  <c r="K289" i="48"/>
  <c r="Y255" i="48"/>
  <c r="Z255" i="48"/>
  <c r="V94" i="48"/>
  <c r="U94" i="48"/>
  <c r="AP28" i="48"/>
  <c r="AO28" i="48"/>
  <c r="AS172" i="48"/>
  <c r="AT172" i="48"/>
  <c r="AD14" i="48"/>
  <c r="AC14" i="48"/>
  <c r="Y218" i="48"/>
  <c r="Z218" i="48"/>
  <c r="AH274" i="48"/>
  <c r="AG274" i="48"/>
  <c r="Y247" i="48"/>
  <c r="Z247" i="48"/>
  <c r="AS179" i="48"/>
  <c r="AT179" i="48"/>
  <c r="AO152" i="48"/>
  <c r="AP152" i="48"/>
  <c r="AH97" i="48"/>
  <c r="AG97" i="48"/>
  <c r="AD246" i="48"/>
  <c r="AC246" i="48"/>
  <c r="AD126" i="48"/>
  <c r="AC126" i="48"/>
  <c r="V101" i="48"/>
  <c r="U101" i="48"/>
  <c r="AW178" i="48"/>
  <c r="AX178" i="48"/>
  <c r="AT161" i="48"/>
  <c r="AS161" i="48"/>
  <c r="Z253" i="48"/>
  <c r="Y253" i="48"/>
  <c r="Y249" i="48"/>
  <c r="Z249" i="48"/>
  <c r="Q214" i="48"/>
  <c r="R214" i="48"/>
  <c r="U133" i="48"/>
  <c r="V133" i="48"/>
  <c r="Y217" i="48"/>
  <c r="Z217" i="48"/>
  <c r="Z208" i="48"/>
  <c r="Y208" i="48"/>
  <c r="Z113" i="48"/>
  <c r="Y113" i="48"/>
  <c r="AG35" i="48"/>
  <c r="AH35" i="48"/>
  <c r="AY151" i="48"/>
  <c r="AX151" i="48"/>
  <c r="AW151" i="48"/>
  <c r="S91" i="48"/>
  <c r="V92" i="48"/>
  <c r="U92" i="48"/>
  <c r="V206" i="48"/>
  <c r="U206" i="48"/>
  <c r="U121" i="48"/>
  <c r="V121" i="48"/>
  <c r="V109" i="48"/>
  <c r="U109" i="48"/>
  <c r="Y215" i="48"/>
  <c r="Z215" i="48"/>
  <c r="AO159" i="48"/>
  <c r="AP159" i="48"/>
  <c r="V102" i="48"/>
  <c r="U102" i="48"/>
  <c r="AC116" i="48"/>
  <c r="AD116" i="48"/>
  <c r="AC99" i="48"/>
  <c r="AD99" i="48"/>
  <c r="AC93" i="48"/>
  <c r="AD93" i="48"/>
  <c r="Y237" i="48"/>
  <c r="Z237" i="48"/>
  <c r="AY178" i="48"/>
  <c r="U173" i="48"/>
  <c r="V173" i="48"/>
  <c r="Q91" i="48"/>
  <c r="R91" i="48"/>
  <c r="R150" i="48"/>
  <c r="Q150" i="48"/>
  <c r="AO158" i="48"/>
  <c r="AP158" i="48"/>
  <c r="AC201" i="48"/>
  <c r="AD201" i="48"/>
  <c r="AC267" i="48"/>
  <c r="AD267" i="48"/>
  <c r="AP175" i="48"/>
  <c r="AO175" i="48"/>
  <c r="AO75" i="48"/>
  <c r="AP75" i="48"/>
  <c r="AK87" i="48"/>
  <c r="AL87" i="48"/>
  <c r="AS55" i="48"/>
  <c r="AT55" i="48"/>
  <c r="O65" i="48"/>
  <c r="O289" i="48" s="1"/>
  <c r="R67" i="48"/>
  <c r="Q67" i="48"/>
  <c r="AX47" i="48"/>
  <c r="AW47" i="48"/>
  <c r="AC86" i="48"/>
  <c r="AD86" i="48"/>
  <c r="AK79" i="48"/>
  <c r="AL79" i="48"/>
  <c r="AP50" i="48"/>
  <c r="AO50" i="48"/>
  <c r="AS28" i="48"/>
  <c r="AT28" i="48"/>
  <c r="U27" i="48"/>
  <c r="V27" i="48"/>
  <c r="AK58" i="48"/>
  <c r="AL58" i="48"/>
  <c r="Z88" i="48"/>
  <c r="Y88" i="48"/>
  <c r="AO284" i="48"/>
  <c r="AP284" i="48"/>
  <c r="AP72" i="48"/>
  <c r="AO72" i="48"/>
  <c r="AS50" i="48"/>
  <c r="AT50" i="48"/>
  <c r="AK89" i="48"/>
  <c r="AL89" i="48"/>
  <c r="AK47" i="48"/>
  <c r="AL47" i="48"/>
  <c r="AQ47" i="48"/>
  <c r="AY47" i="48" s="1"/>
  <c r="AO80" i="48"/>
  <c r="AP80" i="48"/>
  <c r="AX38" i="48"/>
  <c r="AW38" i="48"/>
  <c r="AS69" i="48"/>
  <c r="AT69" i="48"/>
  <c r="AX42" i="48"/>
  <c r="AW42" i="48"/>
  <c r="AS39" i="48"/>
  <c r="AT39" i="48"/>
  <c r="AS38" i="48"/>
  <c r="AT38" i="48"/>
  <c r="AK78" i="48"/>
  <c r="AL78" i="48"/>
  <c r="AS74" i="48"/>
  <c r="AT74" i="48"/>
  <c r="AP31" i="48"/>
  <c r="AO31" i="48"/>
  <c r="Z46" i="48"/>
  <c r="Y46" i="48"/>
  <c r="AX58" i="48"/>
  <c r="AW58" i="48"/>
  <c r="AK85" i="48"/>
  <c r="AL85" i="48"/>
  <c r="AS42" i="48"/>
  <c r="AT42" i="48"/>
  <c r="AD68" i="48"/>
  <c r="AC68" i="48"/>
  <c r="AP180" i="48"/>
  <c r="AO180" i="48"/>
  <c r="AP55" i="48"/>
  <c r="AO55" i="48"/>
  <c r="AS70" i="48"/>
  <c r="AT70" i="48"/>
  <c r="AP39" i="48"/>
  <c r="AO39" i="48"/>
  <c r="U77" i="48"/>
  <c r="V77" i="48"/>
  <c r="AO81" i="48"/>
  <c r="AP81" i="48"/>
  <c r="AO82" i="48"/>
  <c r="AP82" i="48"/>
  <c r="Q8" i="48"/>
  <c r="R8" i="48"/>
  <c r="J9" i="48"/>
  <c r="I9" i="48"/>
  <c r="D6" i="32"/>
  <c r="L289" i="48"/>
  <c r="M8" i="48"/>
  <c r="N8" i="48"/>
  <c r="AM89" i="48"/>
  <c r="W120" i="48"/>
  <c r="Y120" i="48" s="1"/>
  <c r="S214" i="48"/>
  <c r="AZ9" i="48"/>
  <c r="AM166" i="48"/>
  <c r="AQ167" i="48"/>
  <c r="AE276" i="48"/>
  <c r="W235" i="48"/>
  <c r="Z235" i="48" s="1"/>
  <c r="AE26" i="48"/>
  <c r="AA19" i="48"/>
  <c r="AM79" i="48"/>
  <c r="AA253" i="48"/>
  <c r="W203" i="48"/>
  <c r="Z203" i="48" s="1"/>
  <c r="AM85" i="48"/>
  <c r="AI224" i="48"/>
  <c r="AA217" i="48"/>
  <c r="AA113" i="48"/>
  <c r="AI119" i="48"/>
  <c r="AE112" i="48"/>
  <c r="AA223" i="48"/>
  <c r="AA108" i="48"/>
  <c r="AE116" i="48"/>
  <c r="W107" i="48"/>
  <c r="AE106" i="48"/>
  <c r="AU39" i="48"/>
  <c r="AY39" i="48" s="1"/>
  <c r="AQ174" i="48"/>
  <c r="AU157" i="48"/>
  <c r="W77" i="48"/>
  <c r="AE93" i="48"/>
  <c r="W250" i="48"/>
  <c r="AI230" i="48"/>
  <c r="AQ80" i="48"/>
  <c r="S8" i="48"/>
  <c r="W111" i="48"/>
  <c r="AE207" i="48"/>
  <c r="AE130" i="48"/>
  <c r="AG130" i="48" s="1"/>
  <c r="AA124" i="48"/>
  <c r="W23" i="48"/>
  <c r="Y23" i="48" s="1"/>
  <c r="AA24" i="48"/>
  <c r="AE198" i="48"/>
  <c r="AA125" i="48"/>
  <c r="W193" i="48"/>
  <c r="AI274" i="48"/>
  <c r="AE202" i="48"/>
  <c r="AH202" i="48" s="1"/>
  <c r="AE246" i="48"/>
  <c r="AU161" i="48"/>
  <c r="O295" i="48"/>
  <c r="O291" i="48" s="1"/>
  <c r="S296" i="48"/>
  <c r="AY42" i="48"/>
  <c r="AQ284" i="48"/>
  <c r="AQ72" i="48"/>
  <c r="AA208" i="48"/>
  <c r="AA205" i="48"/>
  <c r="AA211" i="48"/>
  <c r="AQ155" i="48"/>
  <c r="W209" i="48"/>
  <c r="W206" i="48"/>
  <c r="AQ159" i="48"/>
  <c r="AQ51" i="48"/>
  <c r="AS51" i="48" s="1"/>
  <c r="AE129" i="48"/>
  <c r="AG129" i="48" s="1"/>
  <c r="AI35" i="48"/>
  <c r="AQ36" i="48"/>
  <c r="AA233" i="48"/>
  <c r="AM283" i="48"/>
  <c r="W197" i="48"/>
  <c r="AA105" i="48"/>
  <c r="W94" i="48"/>
  <c r="AU28" i="48"/>
  <c r="AU172" i="48"/>
  <c r="AY172" i="48" s="1"/>
  <c r="AE14" i="48"/>
  <c r="AU173" i="48"/>
  <c r="AU179" i="48"/>
  <c r="AQ175" i="48"/>
  <c r="AQ152" i="48"/>
  <c r="AM150" i="48"/>
  <c r="AM78" i="48"/>
  <c r="AU74" i="48"/>
  <c r="AE126" i="48"/>
  <c r="W103" i="48"/>
  <c r="AA256" i="48"/>
  <c r="AA127" i="48"/>
  <c r="AU176" i="48"/>
  <c r="AY176" i="48" s="1"/>
  <c r="AQ58" i="48"/>
  <c r="AY58" i="48" s="1"/>
  <c r="AA200" i="48"/>
  <c r="W133" i="48"/>
  <c r="AA138" i="48"/>
  <c r="AA95" i="48"/>
  <c r="AA88" i="48"/>
  <c r="AQ52" i="48"/>
  <c r="AS52" i="48" s="1"/>
  <c r="AE68" i="48"/>
  <c r="AQ180" i="48"/>
  <c r="W92" i="48"/>
  <c r="W121" i="48"/>
  <c r="AE122" i="48"/>
  <c r="W102" i="48"/>
  <c r="W117" i="48"/>
  <c r="AA25" i="48"/>
  <c r="AE110" i="48"/>
  <c r="W238" i="48"/>
  <c r="AA237" i="48"/>
  <c r="S67" i="48"/>
  <c r="W114" i="48"/>
  <c r="AU69" i="48"/>
  <c r="AU31" i="48"/>
  <c r="W239" i="48"/>
  <c r="AU55" i="48"/>
  <c r="AU36" i="48"/>
  <c r="AM35" i="48"/>
  <c r="AQ158" i="48"/>
  <c r="AU160" i="48"/>
  <c r="AI118" i="48"/>
  <c r="AY75" i="48"/>
  <c r="AA13" i="48"/>
  <c r="AA255" i="48"/>
  <c r="AQ177" i="48"/>
  <c r="AA229" i="48"/>
  <c r="AU171" i="48"/>
  <c r="AE201" i="48"/>
  <c r="AA123" i="48"/>
  <c r="S166" i="48"/>
  <c r="AM87" i="48"/>
  <c r="AY87" i="48" s="1"/>
  <c r="AE227" i="48"/>
  <c r="AQ162" i="48"/>
  <c r="AE128" i="48"/>
  <c r="AG128" i="48" s="1"/>
  <c r="AE267" i="48"/>
  <c r="AE86" i="48"/>
  <c r="AA218" i="48"/>
  <c r="AA247" i="48"/>
  <c r="W96" i="48"/>
  <c r="AI97" i="48"/>
  <c r="AU50" i="48"/>
  <c r="AA192" i="48"/>
  <c r="W101" i="48"/>
  <c r="AA46" i="48"/>
  <c r="W27" i="48"/>
  <c r="K291" i="48"/>
  <c r="AA249" i="48"/>
  <c r="E291" i="48"/>
  <c r="F291" i="48"/>
  <c r="W228" i="48"/>
  <c r="AA98" i="48"/>
  <c r="AE204" i="48"/>
  <c r="W199" i="48"/>
  <c r="Z199" i="48" s="1"/>
  <c r="AQ170" i="48"/>
  <c r="AU70" i="48"/>
  <c r="W109" i="48"/>
  <c r="AA215" i="48"/>
  <c r="AA115" i="48"/>
  <c r="AE99" i="48"/>
  <c r="AQ81" i="48"/>
  <c r="AY38" i="48"/>
  <c r="Z236" i="48" l="1"/>
  <c r="AY30" i="48"/>
  <c r="Y236" i="48"/>
  <c r="AA104" i="48"/>
  <c r="AC104" i="48" s="1"/>
  <c r="AE234" i="48"/>
  <c r="AH234" i="48" s="1"/>
  <c r="AY49" i="48"/>
  <c r="AD226" i="48"/>
  <c r="AY32" i="48"/>
  <c r="AC226" i="48"/>
  <c r="AY61" i="48"/>
  <c r="AY43" i="48"/>
  <c r="AA100" i="48"/>
  <c r="AC100" i="48" s="1"/>
  <c r="AA245" i="48"/>
  <c r="AD245" i="48" s="1"/>
  <c r="Z245" i="48"/>
  <c r="Y100" i="48"/>
  <c r="E292" i="48"/>
  <c r="Q289" i="48"/>
  <c r="R289" i="48"/>
  <c r="L291" i="48"/>
  <c r="N291" i="48" s="1"/>
  <c r="M289" i="48"/>
  <c r="N289" i="48"/>
  <c r="AC115" i="48"/>
  <c r="AD115" i="48"/>
  <c r="Z109" i="48"/>
  <c r="Y109" i="48"/>
  <c r="AS170" i="48"/>
  <c r="AT170" i="48"/>
  <c r="AH204" i="48"/>
  <c r="AG204" i="48"/>
  <c r="AC98" i="48"/>
  <c r="AD98" i="48"/>
  <c r="AD249" i="48"/>
  <c r="AC249" i="48"/>
  <c r="Z101" i="48"/>
  <c r="Y101" i="48"/>
  <c r="Z96" i="48"/>
  <c r="Y96" i="48"/>
  <c r="AD218" i="48"/>
  <c r="AC218" i="48"/>
  <c r="AH227" i="48"/>
  <c r="AG227" i="48"/>
  <c r="AD123" i="48"/>
  <c r="AC123" i="48"/>
  <c r="AW171" i="48"/>
  <c r="AX171" i="48"/>
  <c r="AS177" i="48"/>
  <c r="AT177" i="48"/>
  <c r="AA9" i="48"/>
  <c r="AD13" i="48"/>
  <c r="AC13" i="48"/>
  <c r="AL118" i="48"/>
  <c r="AK118" i="48"/>
  <c r="AT158" i="48"/>
  <c r="AS158" i="48"/>
  <c r="AX36" i="48"/>
  <c r="AW36" i="48"/>
  <c r="Y239" i="48"/>
  <c r="Z239" i="48"/>
  <c r="AD237" i="48"/>
  <c r="AC237" i="48"/>
  <c r="AH110" i="48"/>
  <c r="AG110" i="48"/>
  <c r="Z117" i="48"/>
  <c r="Y117" i="48"/>
  <c r="AG122" i="48"/>
  <c r="AH122" i="48"/>
  <c r="Y121" i="48"/>
  <c r="Z121" i="48"/>
  <c r="AC95" i="48"/>
  <c r="AD95" i="48"/>
  <c r="Y133" i="48"/>
  <c r="Z133" i="48"/>
  <c r="AD127" i="48"/>
  <c r="AC127" i="48"/>
  <c r="Z103" i="48"/>
  <c r="Y103" i="48"/>
  <c r="AP150" i="48"/>
  <c r="AO150" i="48"/>
  <c r="AS175" i="48"/>
  <c r="AT175" i="48"/>
  <c r="AH226" i="48"/>
  <c r="AG226" i="48"/>
  <c r="AG14" i="48"/>
  <c r="AH14" i="48"/>
  <c r="AC105" i="48"/>
  <c r="AD105" i="48"/>
  <c r="AT36" i="48"/>
  <c r="AS36" i="48"/>
  <c r="Z206" i="48"/>
  <c r="Y206" i="48"/>
  <c r="AT155" i="48"/>
  <c r="AS155" i="48"/>
  <c r="AC205" i="48"/>
  <c r="AD205" i="48"/>
  <c r="AY161" i="48"/>
  <c r="AX161" i="48"/>
  <c r="AW161" i="48"/>
  <c r="Y193" i="48"/>
  <c r="Z193" i="48"/>
  <c r="AD125" i="48"/>
  <c r="AC125" i="48"/>
  <c r="AC24" i="48"/>
  <c r="AD24" i="48"/>
  <c r="AD124" i="48"/>
  <c r="AC124" i="48"/>
  <c r="Z111" i="48"/>
  <c r="Y111" i="48"/>
  <c r="W214" i="48"/>
  <c r="Y250" i="48"/>
  <c r="Z250" i="48"/>
  <c r="Z107" i="48"/>
  <c r="Y107" i="48"/>
  <c r="AC108" i="48"/>
  <c r="AD108" i="48"/>
  <c r="AH112" i="48"/>
  <c r="AG112" i="48"/>
  <c r="AC113" i="48"/>
  <c r="AD113" i="48"/>
  <c r="AK224" i="48"/>
  <c r="AL224" i="48"/>
  <c r="AH26" i="48"/>
  <c r="AG26" i="48"/>
  <c r="AH276" i="48"/>
  <c r="AG276" i="48"/>
  <c r="AP166" i="48"/>
  <c r="AO166" i="48"/>
  <c r="U214" i="48"/>
  <c r="V214" i="48"/>
  <c r="AH99" i="48"/>
  <c r="AG99" i="48"/>
  <c r="AD215" i="48"/>
  <c r="AC215" i="48"/>
  <c r="Y228" i="48"/>
  <c r="Z228" i="48"/>
  <c r="AD192" i="48"/>
  <c r="AC192" i="48"/>
  <c r="AL97" i="48"/>
  <c r="AK97" i="48"/>
  <c r="AD247" i="48"/>
  <c r="AC247" i="48"/>
  <c r="AH267" i="48"/>
  <c r="AG267" i="48"/>
  <c r="AT162" i="48"/>
  <c r="AS162" i="48"/>
  <c r="V166" i="48"/>
  <c r="U166" i="48"/>
  <c r="AH201" i="48"/>
  <c r="AG201" i="48"/>
  <c r="AD229" i="48"/>
  <c r="AC229" i="48"/>
  <c r="AD255" i="48"/>
  <c r="AC255" i="48"/>
  <c r="AY160" i="48"/>
  <c r="AX160" i="48"/>
  <c r="AW160" i="48"/>
  <c r="AO35" i="48"/>
  <c r="AP35" i="48"/>
  <c r="Z114" i="48"/>
  <c r="Y114" i="48"/>
  <c r="Y238" i="48"/>
  <c r="Z238" i="48"/>
  <c r="AC25" i="48"/>
  <c r="AD25" i="48"/>
  <c r="Z102" i="48"/>
  <c r="Y102" i="48"/>
  <c r="W91" i="48"/>
  <c r="Z92" i="48"/>
  <c r="Y92" i="48"/>
  <c r="AC138" i="48"/>
  <c r="AD138" i="48"/>
  <c r="AC200" i="48"/>
  <c r="AD200" i="48"/>
  <c r="AW176" i="48"/>
  <c r="AX176" i="48"/>
  <c r="AD256" i="48"/>
  <c r="AC256" i="48"/>
  <c r="AG126" i="48"/>
  <c r="AH126" i="48"/>
  <c r="AT152" i="48"/>
  <c r="AS152" i="48"/>
  <c r="AY179" i="48"/>
  <c r="AW179" i="48"/>
  <c r="AX179" i="48"/>
  <c r="AW173" i="48"/>
  <c r="AX173" i="48"/>
  <c r="AW172" i="48"/>
  <c r="AX172" i="48"/>
  <c r="Z94" i="48"/>
  <c r="Y94" i="48"/>
  <c r="Y197" i="48"/>
  <c r="Z197" i="48"/>
  <c r="AD233" i="48"/>
  <c r="AC233" i="48"/>
  <c r="AK35" i="48"/>
  <c r="AL35" i="48"/>
  <c r="AT159" i="48"/>
  <c r="AS159" i="48"/>
  <c r="Z209" i="48"/>
  <c r="Y209" i="48"/>
  <c r="AD211" i="48"/>
  <c r="AC211" i="48"/>
  <c r="AC208" i="48"/>
  <c r="AD208" i="48"/>
  <c r="AD236" i="48"/>
  <c r="AC236" i="48"/>
  <c r="AH246" i="48"/>
  <c r="AG246" i="48"/>
  <c r="AL274" i="48"/>
  <c r="AK274" i="48"/>
  <c r="AG198" i="48"/>
  <c r="AH198" i="48"/>
  <c r="AH207" i="48"/>
  <c r="AG207" i="48"/>
  <c r="AK230" i="48"/>
  <c r="AL230" i="48"/>
  <c r="AH93" i="48"/>
  <c r="AG93" i="48"/>
  <c r="AY157" i="48"/>
  <c r="AX157" i="48"/>
  <c r="AW157" i="48"/>
  <c r="AS174" i="48"/>
  <c r="AT174" i="48"/>
  <c r="AH106" i="48"/>
  <c r="AG106" i="48"/>
  <c r="AH116" i="48"/>
  <c r="AG116" i="48"/>
  <c r="AD223" i="48"/>
  <c r="AC223" i="48"/>
  <c r="AL119" i="48"/>
  <c r="AK119" i="48"/>
  <c r="AD217" i="48"/>
  <c r="AC217" i="48"/>
  <c r="AC253" i="48"/>
  <c r="AD253" i="48"/>
  <c r="AD19" i="48"/>
  <c r="AC19" i="48"/>
  <c r="AT167" i="48"/>
  <c r="AS167" i="48"/>
  <c r="Z9" i="48"/>
  <c r="Y9" i="48"/>
  <c r="AY171" i="48"/>
  <c r="U91" i="48"/>
  <c r="V91" i="48"/>
  <c r="U150" i="48"/>
  <c r="V150" i="48"/>
  <c r="U191" i="48"/>
  <c r="V191" i="48"/>
  <c r="AX70" i="48"/>
  <c r="AW70" i="48"/>
  <c r="AC46" i="48"/>
  <c r="AD46" i="48"/>
  <c r="AH86" i="48"/>
  <c r="AG86" i="48"/>
  <c r="AY55" i="48"/>
  <c r="AX55" i="48"/>
  <c r="AW55" i="48"/>
  <c r="AX31" i="48"/>
  <c r="AW31" i="48"/>
  <c r="AG68" i="48"/>
  <c r="AH68" i="48"/>
  <c r="AC88" i="48"/>
  <c r="AD88" i="48"/>
  <c r="AS58" i="48"/>
  <c r="AT58" i="48"/>
  <c r="AO78" i="48"/>
  <c r="AP78" i="48"/>
  <c r="AT284" i="48"/>
  <c r="AS284" i="48"/>
  <c r="AO85" i="48"/>
  <c r="AP85" i="48"/>
  <c r="AY52" i="48"/>
  <c r="AS47" i="48"/>
  <c r="AT47" i="48"/>
  <c r="AT81" i="48"/>
  <c r="AS81" i="48"/>
  <c r="Z27" i="48"/>
  <c r="Y27" i="48"/>
  <c r="AX50" i="48"/>
  <c r="AW50" i="48"/>
  <c r="AO87" i="48"/>
  <c r="AP87" i="48"/>
  <c r="AX69" i="48"/>
  <c r="AW69" i="48"/>
  <c r="S65" i="48"/>
  <c r="S289" i="48" s="1"/>
  <c r="V67" i="48"/>
  <c r="U67" i="48"/>
  <c r="AS180" i="48"/>
  <c r="AT180" i="48"/>
  <c r="AX74" i="48"/>
  <c r="AW74" i="48"/>
  <c r="AX28" i="48"/>
  <c r="AW28" i="48"/>
  <c r="AS72" i="48"/>
  <c r="AT72" i="48"/>
  <c r="AT80" i="48"/>
  <c r="AS80" i="48"/>
  <c r="Z77" i="48"/>
  <c r="Y77" i="48"/>
  <c r="AX39" i="48"/>
  <c r="AW39" i="48"/>
  <c r="AO79" i="48"/>
  <c r="AP79" i="48"/>
  <c r="AO89" i="48"/>
  <c r="AP89" i="48"/>
  <c r="AY51" i="48"/>
  <c r="V8" i="48"/>
  <c r="U8" i="48"/>
  <c r="E14" i="32"/>
  <c r="AQ89" i="48"/>
  <c r="AA120" i="48"/>
  <c r="AC120" i="48" s="1"/>
  <c r="AZ27" i="48"/>
  <c r="AE98" i="48"/>
  <c r="AA101" i="48"/>
  <c r="AI227" i="48"/>
  <c r="AE255" i="48"/>
  <c r="AI110" i="48"/>
  <c r="AE25" i="48"/>
  <c r="AA92" i="48"/>
  <c r="AE88" i="48"/>
  <c r="AU81" i="48"/>
  <c r="AY81" i="48" s="1"/>
  <c r="AE115" i="48"/>
  <c r="AE215" i="48"/>
  <c r="AA109" i="48"/>
  <c r="AE249" i="48"/>
  <c r="AY50" i="48"/>
  <c r="AI128" i="48"/>
  <c r="AK128" i="48" s="1"/>
  <c r="AE123" i="48"/>
  <c r="W8" i="48"/>
  <c r="AU158" i="48"/>
  <c r="AY158" i="48" s="1"/>
  <c r="AA239" i="48"/>
  <c r="AI122" i="48"/>
  <c r="AA121" i="48"/>
  <c r="AE200" i="48"/>
  <c r="AE127" i="48"/>
  <c r="AY74" i="48"/>
  <c r="AI14" i="48"/>
  <c r="AQ35" i="48"/>
  <c r="AA206" i="48"/>
  <c r="AA209" i="48"/>
  <c r="AU155" i="48"/>
  <c r="AU72" i="48"/>
  <c r="AE236" i="48"/>
  <c r="AI202" i="48"/>
  <c r="AL202" i="48" s="1"/>
  <c r="AI198" i="48"/>
  <c r="AA23" i="48"/>
  <c r="AC23" i="48" s="1"/>
  <c r="AE24" i="48"/>
  <c r="AE124" i="48"/>
  <c r="AI130" i="48"/>
  <c r="AK130" i="48" s="1"/>
  <c r="AU80" i="48"/>
  <c r="AY80" i="48" s="1"/>
  <c r="AM230" i="48"/>
  <c r="AA77" i="48"/>
  <c r="AA67" i="48" s="1"/>
  <c r="AE113" i="48"/>
  <c r="AE19" i="48"/>
  <c r="W67" i="48"/>
  <c r="AY69" i="48"/>
  <c r="AY70" i="48"/>
  <c r="AI204" i="48"/>
  <c r="AU170" i="48"/>
  <c r="AY170" i="48" s="1"/>
  <c r="AE46" i="48"/>
  <c r="AA27" i="48"/>
  <c r="AE192" i="48"/>
  <c r="AA96" i="48"/>
  <c r="AI86" i="48"/>
  <c r="Q65" i="48"/>
  <c r="R65" i="48"/>
  <c r="AA114" i="48"/>
  <c r="AA238" i="48"/>
  <c r="AA102" i="48"/>
  <c r="AU180" i="48"/>
  <c r="AY180" i="48" s="1"/>
  <c r="AI68" i="48"/>
  <c r="AE95" i="48"/>
  <c r="AA103" i="48"/>
  <c r="AI126" i="48"/>
  <c r="AY173" i="48"/>
  <c r="AY28" i="48"/>
  <c r="AA94" i="48"/>
  <c r="AQ283" i="48"/>
  <c r="AE233" i="48"/>
  <c r="AI129" i="48"/>
  <c r="AK129" i="48" s="1"/>
  <c r="AU159" i="48"/>
  <c r="AI93" i="48"/>
  <c r="AU174" i="48"/>
  <c r="AI106" i="48"/>
  <c r="AI116" i="48"/>
  <c r="AE217" i="48"/>
  <c r="AM224" i="48"/>
  <c r="AA203" i="48"/>
  <c r="AD203" i="48" s="1"/>
  <c r="AE253" i="48"/>
  <c r="AQ79" i="48"/>
  <c r="AA199" i="48"/>
  <c r="AD199" i="48" s="1"/>
  <c r="K292" i="48"/>
  <c r="AE229" i="48"/>
  <c r="AI99" i="48"/>
  <c r="AI234" i="48"/>
  <c r="AL234" i="48" s="1"/>
  <c r="AE218" i="48"/>
  <c r="AA228" i="48"/>
  <c r="W191" i="48"/>
  <c r="AM97" i="48"/>
  <c r="AE247" i="48"/>
  <c r="AI267" i="48"/>
  <c r="AU162" i="48"/>
  <c r="AI201" i="48"/>
  <c r="AU177" i="48"/>
  <c r="AY177" i="48" s="1"/>
  <c r="AE13" i="48"/>
  <c r="AM118" i="48"/>
  <c r="AU35" i="48"/>
  <c r="AE237" i="48"/>
  <c r="AA117" i="48"/>
  <c r="AE138" i="48"/>
  <c r="AA133" i="48"/>
  <c r="AU152" i="48"/>
  <c r="AQ150" i="48"/>
  <c r="AU175" i="48"/>
  <c r="AI226" i="48"/>
  <c r="AE205" i="48"/>
  <c r="AE208" i="48"/>
  <c r="AU284" i="48"/>
  <c r="S295" i="48"/>
  <c r="W296" i="48"/>
  <c r="AI246" i="48"/>
  <c r="AI207" i="48"/>
  <c r="AI112" i="48"/>
  <c r="AQ85" i="48"/>
  <c r="AI26" i="48"/>
  <c r="AI276" i="48"/>
  <c r="AQ166" i="48"/>
  <c r="AU167" i="48"/>
  <c r="AY31" i="48"/>
  <c r="AY36" i="48"/>
  <c r="AE256" i="48"/>
  <c r="AQ78" i="48"/>
  <c r="AE105" i="48"/>
  <c r="AA197" i="48"/>
  <c r="AE211" i="48"/>
  <c r="R291" i="48"/>
  <c r="O292" i="48"/>
  <c r="Q291" i="48"/>
  <c r="AM274" i="48"/>
  <c r="AA193" i="48"/>
  <c r="AE125" i="48"/>
  <c r="AA111" i="48"/>
  <c r="AA250" i="48"/>
  <c r="AA107" i="48"/>
  <c r="AE108" i="48"/>
  <c r="AE223" i="48"/>
  <c r="AM119" i="48"/>
  <c r="AA235" i="48"/>
  <c r="AD235" i="48" s="1"/>
  <c r="AD104" i="48" l="1"/>
  <c r="AE104" i="48"/>
  <c r="AG104" i="48" s="1"/>
  <c r="L292" i="48"/>
  <c r="AE100" i="48"/>
  <c r="AG100" i="48" s="1"/>
  <c r="Q292" i="48"/>
  <c r="AC245" i="48"/>
  <c r="AD100" i="48"/>
  <c r="AE245" i="48"/>
  <c r="AG245" i="48" s="1"/>
  <c r="M291" i="48"/>
  <c r="M292" i="48" s="1"/>
  <c r="V289" i="48"/>
  <c r="U289" i="48"/>
  <c r="AO119" i="48"/>
  <c r="AP119" i="48"/>
  <c r="AD250" i="48"/>
  <c r="AC250" i="48"/>
  <c r="AD197" i="48"/>
  <c r="AC197" i="48"/>
  <c r="AL26" i="48"/>
  <c r="AK26" i="48"/>
  <c r="AL112" i="48"/>
  <c r="AK112" i="48"/>
  <c r="AH205" i="48"/>
  <c r="AG205" i="48"/>
  <c r="AX152" i="48"/>
  <c r="AW152" i="48"/>
  <c r="AX35" i="48"/>
  <c r="AW35" i="48"/>
  <c r="AL201" i="48"/>
  <c r="AK201" i="48"/>
  <c r="AH229" i="48"/>
  <c r="AG229" i="48"/>
  <c r="AL116" i="48"/>
  <c r="AK116" i="48"/>
  <c r="AG192" i="48"/>
  <c r="AH192" i="48"/>
  <c r="AG124" i="48"/>
  <c r="AH124" i="48"/>
  <c r="AC209" i="48"/>
  <c r="AD209" i="48"/>
  <c r="AH200" i="48"/>
  <c r="AG200" i="48"/>
  <c r="AH104" i="48"/>
  <c r="AD239" i="48"/>
  <c r="AC239" i="48"/>
  <c r="AC109" i="48"/>
  <c r="AD109" i="48"/>
  <c r="AH115" i="48"/>
  <c r="AG115" i="48"/>
  <c r="AL110" i="48"/>
  <c r="AK110" i="48"/>
  <c r="AK227" i="48"/>
  <c r="AL227" i="48"/>
  <c r="AH98" i="48"/>
  <c r="AG98" i="48"/>
  <c r="Y91" i="48"/>
  <c r="Z91" i="48"/>
  <c r="AH223" i="48"/>
  <c r="AG223" i="48"/>
  <c r="AC107" i="48"/>
  <c r="AD107" i="48"/>
  <c r="AC111" i="48"/>
  <c r="AD111" i="48"/>
  <c r="AG125" i="48"/>
  <c r="AH125" i="48"/>
  <c r="AO274" i="48"/>
  <c r="AP274" i="48"/>
  <c r="AH211" i="48"/>
  <c r="AG211" i="48"/>
  <c r="AH105" i="48"/>
  <c r="AG105" i="48"/>
  <c r="AH256" i="48"/>
  <c r="AG256" i="48"/>
  <c r="AX167" i="48"/>
  <c r="AW167" i="48"/>
  <c r="AL276" i="48"/>
  <c r="AK276" i="48"/>
  <c r="AL207" i="48"/>
  <c r="AK207" i="48"/>
  <c r="AK246" i="48"/>
  <c r="AL246" i="48"/>
  <c r="AG208" i="48"/>
  <c r="AH208" i="48"/>
  <c r="AK226" i="48"/>
  <c r="AL226" i="48"/>
  <c r="AS150" i="48"/>
  <c r="AT150" i="48"/>
  <c r="AD133" i="48"/>
  <c r="AC133" i="48"/>
  <c r="AH237" i="48"/>
  <c r="AG237" i="48"/>
  <c r="AO118" i="48"/>
  <c r="AP118" i="48"/>
  <c r="AW177" i="48"/>
  <c r="AX177" i="48"/>
  <c r="AX162" i="48"/>
  <c r="AW162" i="48"/>
  <c r="AH247" i="48"/>
  <c r="AG247" i="48"/>
  <c r="Z191" i="48"/>
  <c r="Y191" i="48"/>
  <c r="AH218" i="48"/>
  <c r="AG218" i="48"/>
  <c r="AL99" i="48"/>
  <c r="AK99" i="48"/>
  <c r="AH217" i="48"/>
  <c r="AG217" i="48"/>
  <c r="AL106" i="48"/>
  <c r="AK106" i="48"/>
  <c r="AL93" i="48"/>
  <c r="AK93" i="48"/>
  <c r="AK126" i="48"/>
  <c r="AL126" i="48"/>
  <c r="AH95" i="48"/>
  <c r="AG95" i="48"/>
  <c r="AC102" i="48"/>
  <c r="AD102" i="48"/>
  <c r="AC114" i="48"/>
  <c r="AD114" i="48"/>
  <c r="AC96" i="48"/>
  <c r="AD96" i="48"/>
  <c r="AW170" i="48"/>
  <c r="AX170" i="48"/>
  <c r="AH113" i="48"/>
  <c r="AG113" i="48"/>
  <c r="AP230" i="48"/>
  <c r="AO230" i="48"/>
  <c r="AH24" i="48"/>
  <c r="AG24" i="48"/>
  <c r="AK198" i="48"/>
  <c r="AL198" i="48"/>
  <c r="AH236" i="48"/>
  <c r="AG236" i="48"/>
  <c r="AX155" i="48"/>
  <c r="AW155" i="48"/>
  <c r="AC206" i="48"/>
  <c r="AD206" i="48"/>
  <c r="AK14" i="48"/>
  <c r="AL14" i="48"/>
  <c r="AG127" i="48"/>
  <c r="AH127" i="48"/>
  <c r="AD121" i="48"/>
  <c r="AC121" i="48"/>
  <c r="AK122" i="48"/>
  <c r="AL122" i="48"/>
  <c r="AX158" i="48"/>
  <c r="AW158" i="48"/>
  <c r="AG123" i="48"/>
  <c r="AH123" i="48"/>
  <c r="AH249" i="48"/>
  <c r="AG249" i="48"/>
  <c r="AH215" i="48"/>
  <c r="AG215" i="48"/>
  <c r="AH25" i="48"/>
  <c r="AG25" i="48"/>
  <c r="AH255" i="48"/>
  <c r="AG255" i="48"/>
  <c r="AC101" i="48"/>
  <c r="AD101" i="48"/>
  <c r="AH108" i="48"/>
  <c r="AG108" i="48"/>
  <c r="AD193" i="48"/>
  <c r="AC193" i="48"/>
  <c r="AS166" i="48"/>
  <c r="AT166" i="48"/>
  <c r="AW175" i="48"/>
  <c r="AX175" i="48"/>
  <c r="AH138" i="48"/>
  <c r="AG138" i="48"/>
  <c r="AC117" i="48"/>
  <c r="AD117" i="48"/>
  <c r="AE9" i="48"/>
  <c r="AG13" i="48"/>
  <c r="AH13" i="48"/>
  <c r="AL267" i="48"/>
  <c r="AK267" i="48"/>
  <c r="AO97" i="48"/>
  <c r="AP97" i="48"/>
  <c r="AD228" i="48"/>
  <c r="AC228" i="48"/>
  <c r="AG253" i="48"/>
  <c r="AH253" i="48"/>
  <c r="AP224" i="48"/>
  <c r="AO224" i="48"/>
  <c r="AW174" i="48"/>
  <c r="AX174" i="48"/>
  <c r="AX159" i="48"/>
  <c r="AW159" i="48"/>
  <c r="AH233" i="48"/>
  <c r="AG233" i="48"/>
  <c r="AC94" i="48"/>
  <c r="AD94" i="48"/>
  <c r="AC103" i="48"/>
  <c r="AD103" i="48"/>
  <c r="AD238" i="48"/>
  <c r="AC238" i="48"/>
  <c r="AL204" i="48"/>
  <c r="AK204" i="48"/>
  <c r="AG19" i="48"/>
  <c r="AH19" i="48"/>
  <c r="AT35" i="48"/>
  <c r="AS35" i="48"/>
  <c r="AA91" i="48"/>
  <c r="AC92" i="48"/>
  <c r="AD92" i="48"/>
  <c r="Z214" i="48"/>
  <c r="Y214" i="48"/>
  <c r="AD9" i="48"/>
  <c r="AC9" i="48"/>
  <c r="AT85" i="48"/>
  <c r="AS85" i="48"/>
  <c r="AD67" i="48"/>
  <c r="AC67" i="48"/>
  <c r="AT79" i="48"/>
  <c r="AS79" i="48"/>
  <c r="AC27" i="48"/>
  <c r="AD27" i="48"/>
  <c r="W65" i="48"/>
  <c r="W289" i="48" s="1"/>
  <c r="Y67" i="48"/>
  <c r="Z67" i="48"/>
  <c r="AH88" i="48"/>
  <c r="AG88" i="48"/>
  <c r="AT89" i="48"/>
  <c r="AS89" i="48"/>
  <c r="AT78" i="48"/>
  <c r="AS78" i="48"/>
  <c r="AW284" i="48"/>
  <c r="AX284" i="48"/>
  <c r="AL68" i="48"/>
  <c r="AK68" i="48"/>
  <c r="AX180" i="48"/>
  <c r="AW180" i="48"/>
  <c r="AK86" i="48"/>
  <c r="AL86" i="48"/>
  <c r="AH46" i="48"/>
  <c r="AG46" i="48"/>
  <c r="AC77" i="48"/>
  <c r="AD77" i="48"/>
  <c r="AW80" i="48"/>
  <c r="AX80" i="48"/>
  <c r="AX72" i="48"/>
  <c r="AW72" i="48"/>
  <c r="AW81" i="48"/>
  <c r="AX81" i="48"/>
  <c r="Y8" i="48"/>
  <c r="Z8" i="48"/>
  <c r="AU89" i="48"/>
  <c r="AE120" i="48"/>
  <c r="AG120" i="48" s="1"/>
  <c r="AE197" i="48"/>
  <c r="AM26" i="48"/>
  <c r="S291" i="48"/>
  <c r="AI205" i="48"/>
  <c r="AQ118" i="48"/>
  <c r="AI13" i="48"/>
  <c r="AY162" i="48"/>
  <c r="AI247" i="48"/>
  <c r="AI218" i="48"/>
  <c r="AM234" i="48"/>
  <c r="AP234" i="48" s="1"/>
  <c r="AI217" i="48"/>
  <c r="AM116" i="48"/>
  <c r="AI95" i="48"/>
  <c r="AE238" i="48"/>
  <c r="AM86" i="48"/>
  <c r="AE96" i="48"/>
  <c r="AI192" i="48"/>
  <c r="AM204" i="48"/>
  <c r="AE77" i="48"/>
  <c r="AQ230" i="48"/>
  <c r="AM130" i="48"/>
  <c r="AO130" i="48" s="1"/>
  <c r="AM202" i="48"/>
  <c r="AP202" i="48" s="1"/>
  <c r="AE209" i="48"/>
  <c r="AE206" i="48"/>
  <c r="AE121" i="48"/>
  <c r="AE239" i="48"/>
  <c r="AM128" i="48"/>
  <c r="AO128" i="48" s="1"/>
  <c r="AI25" i="48"/>
  <c r="AY35" i="48"/>
  <c r="AI125" i="48"/>
  <c r="AI256" i="48"/>
  <c r="AM267" i="48"/>
  <c r="AE228" i="48"/>
  <c r="AU79" i="48"/>
  <c r="AI253" i="48"/>
  <c r="AE102" i="48"/>
  <c r="AA191" i="48"/>
  <c r="AI19" i="48"/>
  <c r="AI24" i="48"/>
  <c r="AE23" i="48"/>
  <c r="AG23" i="48" s="1"/>
  <c r="AY72" i="48"/>
  <c r="AY155" i="48"/>
  <c r="AM122" i="48"/>
  <c r="AI123" i="48"/>
  <c r="AI249" i="48"/>
  <c r="AI88" i="48"/>
  <c r="AE92" i="48"/>
  <c r="AM276" i="48"/>
  <c r="AM112" i="48"/>
  <c r="AI108" i="48"/>
  <c r="AE111" i="48"/>
  <c r="AQ274" i="48"/>
  <c r="AU85" i="48"/>
  <c r="AU150" i="48"/>
  <c r="AY152" i="48"/>
  <c r="AA8" i="48"/>
  <c r="AQ97" i="48"/>
  <c r="AE199" i="48"/>
  <c r="AH199" i="48" s="1"/>
  <c r="AE235" i="48"/>
  <c r="AI223" i="48"/>
  <c r="AE250" i="48"/>
  <c r="AM207" i="48"/>
  <c r="AM246" i="48"/>
  <c r="AY284" i="48"/>
  <c r="AM226" i="48"/>
  <c r="AE133" i="48"/>
  <c r="AI138" i="48"/>
  <c r="AI237" i="48"/>
  <c r="U65" i="48"/>
  <c r="V65" i="48"/>
  <c r="AM99" i="48"/>
  <c r="AI229" i="48"/>
  <c r="AE203" i="48"/>
  <c r="AH203" i="48" s="1"/>
  <c r="AM106" i="48"/>
  <c r="AM93" i="48"/>
  <c r="AU283" i="48"/>
  <c r="AM126" i="48"/>
  <c r="AE103" i="48"/>
  <c r="AM68" i="48"/>
  <c r="AI124" i="48"/>
  <c r="AM198" i="48"/>
  <c r="AM14" i="48"/>
  <c r="AI215" i="48"/>
  <c r="AM110" i="48"/>
  <c r="AE101" i="48"/>
  <c r="AI98" i="48"/>
  <c r="AE193" i="48"/>
  <c r="AI211" i="48"/>
  <c r="AQ119" i="48"/>
  <c r="AE107" i="48"/>
  <c r="AY159" i="48"/>
  <c r="AI105" i="48"/>
  <c r="AU78" i="48"/>
  <c r="AU166" i="48"/>
  <c r="AY167" i="48"/>
  <c r="W295" i="48"/>
  <c r="W291" i="48" s="1"/>
  <c r="AA296" i="48"/>
  <c r="AI208" i="48"/>
  <c r="AY175" i="48"/>
  <c r="AE117" i="48"/>
  <c r="AM201" i="48"/>
  <c r="AQ224" i="48"/>
  <c r="AY174" i="48"/>
  <c r="AM129" i="48"/>
  <c r="AO129" i="48" s="1"/>
  <c r="AI233" i="48"/>
  <c r="AE94" i="48"/>
  <c r="AE114" i="48"/>
  <c r="AI46" i="48"/>
  <c r="AE27" i="48"/>
  <c r="AI113" i="48"/>
  <c r="AI236" i="48"/>
  <c r="AI127" i="48"/>
  <c r="AI200" i="48"/>
  <c r="AE109" i="48"/>
  <c r="AA214" i="48"/>
  <c r="AI115" i="48"/>
  <c r="AI255" i="48"/>
  <c r="AM227" i="48"/>
  <c r="AI104" i="48" l="1"/>
  <c r="AI245" i="48"/>
  <c r="AH245" i="48"/>
  <c r="AH100" i="48"/>
  <c r="AI100" i="48"/>
  <c r="AL100" i="48" s="1"/>
  <c r="Y289" i="48"/>
  <c r="Z289" i="48"/>
  <c r="AP227" i="48"/>
  <c r="AO227" i="48"/>
  <c r="AK127" i="48"/>
  <c r="AL127" i="48"/>
  <c r="AL208" i="48"/>
  <c r="AK208" i="48"/>
  <c r="AW166" i="48"/>
  <c r="AX166" i="48"/>
  <c r="AK211" i="48"/>
  <c r="AL211" i="48"/>
  <c r="AO110" i="48"/>
  <c r="AP110" i="48"/>
  <c r="AK124" i="48"/>
  <c r="AL124" i="48"/>
  <c r="AO106" i="48"/>
  <c r="AP106" i="48"/>
  <c r="AK229" i="48"/>
  <c r="AL229" i="48"/>
  <c r="AK237" i="48"/>
  <c r="AL237" i="48"/>
  <c r="AO207" i="48"/>
  <c r="AP207" i="48"/>
  <c r="AH250" i="48"/>
  <c r="AG250" i="48"/>
  <c r="AE214" i="48"/>
  <c r="AH235" i="48"/>
  <c r="AT97" i="48"/>
  <c r="AS97" i="48"/>
  <c r="AO112" i="48"/>
  <c r="AP112" i="48"/>
  <c r="AK19" i="48"/>
  <c r="AL19" i="48"/>
  <c r="AK125" i="48"/>
  <c r="AL125" i="48"/>
  <c r="AH239" i="48"/>
  <c r="AG239" i="48"/>
  <c r="AG121" i="48"/>
  <c r="AH121" i="48"/>
  <c r="AG209" i="48"/>
  <c r="AH209" i="48"/>
  <c r="AL95" i="48"/>
  <c r="AK95" i="48"/>
  <c r="AK217" i="48"/>
  <c r="AL217" i="48"/>
  <c r="AK218" i="48"/>
  <c r="AL218" i="48"/>
  <c r="AT118" i="48"/>
  <c r="AS118" i="48"/>
  <c r="AG197" i="48"/>
  <c r="AH197" i="48"/>
  <c r="AD91" i="48"/>
  <c r="AC91" i="48"/>
  <c r="AL115" i="48"/>
  <c r="AK115" i="48"/>
  <c r="AH109" i="48"/>
  <c r="AG109" i="48"/>
  <c r="AL113" i="48"/>
  <c r="AK113" i="48"/>
  <c r="AH94" i="48"/>
  <c r="AG94" i="48"/>
  <c r="AS224" i="48"/>
  <c r="AT224" i="48"/>
  <c r="AH117" i="48"/>
  <c r="AG117" i="48"/>
  <c r="AL105" i="48"/>
  <c r="AK105" i="48"/>
  <c r="AT119" i="48"/>
  <c r="AS119" i="48"/>
  <c r="AL98" i="48"/>
  <c r="AK98" i="48"/>
  <c r="AO14" i="48"/>
  <c r="AP14" i="48"/>
  <c r="AH103" i="48"/>
  <c r="AG103" i="48"/>
  <c r="AG133" i="48"/>
  <c r="AH133" i="48"/>
  <c r="AH111" i="48"/>
  <c r="AG111" i="48"/>
  <c r="AE91" i="48"/>
  <c r="AH92" i="48"/>
  <c r="AG92" i="48"/>
  <c r="AK249" i="48"/>
  <c r="AL249" i="48"/>
  <c r="AK123" i="48"/>
  <c r="AL123" i="48"/>
  <c r="AH102" i="48"/>
  <c r="AG102" i="48"/>
  <c r="AO267" i="48"/>
  <c r="AP267" i="48"/>
  <c r="AL25" i="48"/>
  <c r="AK25" i="48"/>
  <c r="AK192" i="48"/>
  <c r="AL192" i="48"/>
  <c r="AK255" i="48"/>
  <c r="AL255" i="48"/>
  <c r="AD214" i="48"/>
  <c r="AC214" i="48"/>
  <c r="AL200" i="48"/>
  <c r="AK200" i="48"/>
  <c r="AK236" i="48"/>
  <c r="AL236" i="48"/>
  <c r="AH114" i="48"/>
  <c r="AG114" i="48"/>
  <c r="AK233" i="48"/>
  <c r="AL233" i="48"/>
  <c r="AO201" i="48"/>
  <c r="AP201" i="48"/>
  <c r="AH107" i="48"/>
  <c r="AG107" i="48"/>
  <c r="AK245" i="48"/>
  <c r="AL245" i="48"/>
  <c r="AG193" i="48"/>
  <c r="AH193" i="48"/>
  <c r="AH101" i="48"/>
  <c r="AG101" i="48"/>
  <c r="AK215" i="48"/>
  <c r="AL215" i="48"/>
  <c r="AP198" i="48"/>
  <c r="AO198" i="48"/>
  <c r="AP126" i="48"/>
  <c r="AO126" i="48"/>
  <c r="AO93" i="48"/>
  <c r="AP93" i="48"/>
  <c r="AO99" i="48"/>
  <c r="AP99" i="48"/>
  <c r="AL138" i="48"/>
  <c r="AK138" i="48"/>
  <c r="AP226" i="48"/>
  <c r="AO226" i="48"/>
  <c r="AP246" i="48"/>
  <c r="AO246" i="48"/>
  <c r="AK223" i="48"/>
  <c r="AL223" i="48"/>
  <c r="AW150" i="48"/>
  <c r="AX150" i="48"/>
  <c r="AT274" i="48"/>
  <c r="AS274" i="48"/>
  <c r="AL108" i="48"/>
  <c r="AK108" i="48"/>
  <c r="AO276" i="48"/>
  <c r="AP276" i="48"/>
  <c r="AP122" i="48"/>
  <c r="AO122" i="48"/>
  <c r="AL24" i="48"/>
  <c r="AK24" i="48"/>
  <c r="AD191" i="48"/>
  <c r="AC191" i="48"/>
  <c r="AL253" i="48"/>
  <c r="AK253" i="48"/>
  <c r="AH228" i="48"/>
  <c r="AG228" i="48"/>
  <c r="AK256" i="48"/>
  <c r="AL256" i="48"/>
  <c r="AL104" i="48"/>
  <c r="AK104" i="48"/>
  <c r="AH206" i="48"/>
  <c r="AG206" i="48"/>
  <c r="AS230" i="48"/>
  <c r="AT230" i="48"/>
  <c r="AO204" i="48"/>
  <c r="AP204" i="48"/>
  <c r="AH96" i="48"/>
  <c r="AG96" i="48"/>
  <c r="AH238" i="48"/>
  <c r="AG238" i="48"/>
  <c r="AO116" i="48"/>
  <c r="AP116" i="48"/>
  <c r="AK247" i="48"/>
  <c r="AL247" i="48"/>
  <c r="AI9" i="48"/>
  <c r="AK13" i="48"/>
  <c r="AL13" i="48"/>
  <c r="AL205" i="48"/>
  <c r="AK205" i="48"/>
  <c r="AP26" i="48"/>
  <c r="AO26" i="48"/>
  <c r="AA65" i="48"/>
  <c r="AA289" i="48" s="1"/>
  <c r="AG9" i="48"/>
  <c r="AH9" i="48"/>
  <c r="AH27" i="48"/>
  <c r="AG27" i="48"/>
  <c r="AW78" i="48"/>
  <c r="AX78" i="48"/>
  <c r="AP68" i="48"/>
  <c r="AO68" i="48"/>
  <c r="AK88" i="48"/>
  <c r="AL88" i="48"/>
  <c r="AK46" i="48"/>
  <c r="AL46" i="48"/>
  <c r="AW85" i="48"/>
  <c r="AX85" i="48"/>
  <c r="AY79" i="48"/>
  <c r="AW79" i="48"/>
  <c r="AX79" i="48"/>
  <c r="AH77" i="48"/>
  <c r="AG77" i="48"/>
  <c r="AO86" i="48"/>
  <c r="AP86" i="48"/>
  <c r="AW89" i="48"/>
  <c r="AX89" i="48"/>
  <c r="AD8" i="48"/>
  <c r="AC8" i="48"/>
  <c r="AI120" i="48"/>
  <c r="AK120" i="48" s="1"/>
  <c r="AY89" i="48"/>
  <c r="AQ198" i="48"/>
  <c r="AI203" i="48"/>
  <c r="AL203" i="48" s="1"/>
  <c r="AQ259" i="48"/>
  <c r="AU230" i="48"/>
  <c r="AI96" i="48"/>
  <c r="AQ116" i="48"/>
  <c r="AI109" i="48"/>
  <c r="AM127" i="48"/>
  <c r="AU224" i="48"/>
  <c r="AM245" i="48"/>
  <c r="AM98" i="48"/>
  <c r="AQ14" i="48"/>
  <c r="AI133" i="48"/>
  <c r="AM138" i="48"/>
  <c r="AQ246" i="48"/>
  <c r="AM19" i="48"/>
  <c r="AM256" i="48"/>
  <c r="AM125" i="48"/>
  <c r="AI121" i="48"/>
  <c r="AI206" i="48"/>
  <c r="V291" i="48"/>
  <c r="U291" i="48"/>
  <c r="U292" i="48" s="1"/>
  <c r="S292" i="48"/>
  <c r="AQ26" i="48"/>
  <c r="AI197" i="48"/>
  <c r="AM236" i="48"/>
  <c r="AM113" i="48"/>
  <c r="AQ201" i="48"/>
  <c r="AI101" i="48"/>
  <c r="AI103" i="48"/>
  <c r="AQ93" i="48"/>
  <c r="AI250" i="48"/>
  <c r="AQ267" i="48"/>
  <c r="AM13" i="48"/>
  <c r="AE296" i="48"/>
  <c r="AA295" i="48"/>
  <c r="AM105" i="48"/>
  <c r="AQ68" i="48"/>
  <c r="AQ126" i="48"/>
  <c r="AQ99" i="48"/>
  <c r="AQ226" i="48"/>
  <c r="AU97" i="48"/>
  <c r="AY85" i="48"/>
  <c r="AI111" i="48"/>
  <c r="AM249" i="48"/>
  <c r="AM123" i="48"/>
  <c r="AQ122" i="48"/>
  <c r="AI102" i="48"/>
  <c r="AM104" i="48"/>
  <c r="AQ130" i="48"/>
  <c r="AS130" i="48" s="1"/>
  <c r="AI238" i="48"/>
  <c r="AM95" i="48"/>
  <c r="AE8" i="48"/>
  <c r="Y65" i="48"/>
  <c r="Z65" i="48"/>
  <c r="AM233" i="48"/>
  <c r="AI117" i="48"/>
  <c r="AU119" i="48"/>
  <c r="AI193" i="48"/>
  <c r="AQ106" i="48"/>
  <c r="AM229" i="48"/>
  <c r="AM237" i="48"/>
  <c r="AM253" i="48"/>
  <c r="AI228" i="48"/>
  <c r="AM25" i="48"/>
  <c r="AI209" i="48"/>
  <c r="AI77" i="48"/>
  <c r="AE67" i="48"/>
  <c r="AM192" i="48"/>
  <c r="AQ227" i="48"/>
  <c r="AI114" i="48"/>
  <c r="AM255" i="48"/>
  <c r="AM115" i="48"/>
  <c r="AM200" i="48"/>
  <c r="AM46" i="48"/>
  <c r="AI27" i="48"/>
  <c r="AI94" i="48"/>
  <c r="AQ129" i="48"/>
  <c r="AS129" i="48" s="1"/>
  <c r="AM208" i="48"/>
  <c r="W292" i="48"/>
  <c r="Z291" i="48"/>
  <c r="Y291" i="48"/>
  <c r="AI107" i="48"/>
  <c r="AM211" i="48"/>
  <c r="AQ110" i="48"/>
  <c r="AM215" i="48"/>
  <c r="AM124" i="48"/>
  <c r="AY283" i="48"/>
  <c r="AQ207" i="48"/>
  <c r="AM223" i="48"/>
  <c r="AI235" i="48"/>
  <c r="AL235" i="48" s="1"/>
  <c r="AI199" i="48"/>
  <c r="AL199" i="48" s="1"/>
  <c r="AY150" i="48"/>
  <c r="AU274" i="48"/>
  <c r="AM108" i="48"/>
  <c r="AQ112" i="48"/>
  <c r="AQ276" i="48"/>
  <c r="AI92" i="48"/>
  <c r="AM88" i="48"/>
  <c r="AM24" i="48"/>
  <c r="AI23" i="48"/>
  <c r="AK23" i="48" s="1"/>
  <c r="AQ128" i="48"/>
  <c r="AS128" i="48" s="1"/>
  <c r="AI239" i="48"/>
  <c r="AQ202" i="48"/>
  <c r="AT202" i="48" s="1"/>
  <c r="AQ204" i="48"/>
  <c r="AE191" i="48"/>
  <c r="AQ86" i="48"/>
  <c r="AM217" i="48"/>
  <c r="AQ234" i="48"/>
  <c r="AT234" i="48" s="1"/>
  <c r="AM218" i="48"/>
  <c r="AM247" i="48"/>
  <c r="AU118" i="48"/>
  <c r="AM205" i="48"/>
  <c r="AY78" i="48"/>
  <c r="AY166" i="48"/>
  <c r="AM100" i="48" l="1"/>
  <c r="AO100" i="48" s="1"/>
  <c r="AK100" i="48"/>
  <c r="Y292" i="48"/>
  <c r="AD289" i="48"/>
  <c r="AC289" i="48"/>
  <c r="AO205" i="48"/>
  <c r="AP205" i="48"/>
  <c r="AP247" i="48"/>
  <c r="AO247" i="48"/>
  <c r="AT204" i="48"/>
  <c r="AS204" i="48"/>
  <c r="AK239" i="48"/>
  <c r="AL239" i="48"/>
  <c r="AI91" i="48"/>
  <c r="AL92" i="48"/>
  <c r="AK92" i="48"/>
  <c r="AT112" i="48"/>
  <c r="AS112" i="48"/>
  <c r="AW274" i="48"/>
  <c r="AX274" i="48"/>
  <c r="AP223" i="48"/>
  <c r="AO223" i="48"/>
  <c r="AP215" i="48"/>
  <c r="AO215" i="48"/>
  <c r="AP211" i="48"/>
  <c r="AO211" i="48"/>
  <c r="AP100" i="48"/>
  <c r="AO208" i="48"/>
  <c r="AP208" i="48"/>
  <c r="AL94" i="48"/>
  <c r="AK94" i="48"/>
  <c r="AO115" i="48"/>
  <c r="AP115" i="48"/>
  <c r="AL114" i="48"/>
  <c r="AK114" i="48"/>
  <c r="AP192" i="48"/>
  <c r="AO192" i="48"/>
  <c r="AP25" i="48"/>
  <c r="AO25" i="48"/>
  <c r="AO253" i="48"/>
  <c r="AP253" i="48"/>
  <c r="AP229" i="48"/>
  <c r="AO229" i="48"/>
  <c r="AK193" i="48"/>
  <c r="AL193" i="48"/>
  <c r="AL117" i="48"/>
  <c r="AK117" i="48"/>
  <c r="AK238" i="48"/>
  <c r="AL238" i="48"/>
  <c r="AO104" i="48"/>
  <c r="AP104" i="48"/>
  <c r="AS122" i="48"/>
  <c r="AT122" i="48"/>
  <c r="AP249" i="48"/>
  <c r="AO249" i="48"/>
  <c r="AS226" i="48"/>
  <c r="AT226" i="48"/>
  <c r="AS126" i="48"/>
  <c r="AT126" i="48"/>
  <c r="AO105" i="48"/>
  <c r="AP105" i="48"/>
  <c r="AT267" i="48"/>
  <c r="AS267" i="48"/>
  <c r="AT93" i="48"/>
  <c r="AS93" i="48"/>
  <c r="AL101" i="48"/>
  <c r="AK101" i="48"/>
  <c r="AO113" i="48"/>
  <c r="AP113" i="48"/>
  <c r="AK197" i="48"/>
  <c r="AL197" i="48"/>
  <c r="AK121" i="48"/>
  <c r="AL121" i="48"/>
  <c r="AP256" i="48"/>
  <c r="AO256" i="48"/>
  <c r="AS246" i="48"/>
  <c r="AT246" i="48"/>
  <c r="AK133" i="48"/>
  <c r="AL133" i="48"/>
  <c r="AO98" i="48"/>
  <c r="AP98" i="48"/>
  <c r="AW224" i="48"/>
  <c r="AX224" i="48"/>
  <c r="AL109" i="48"/>
  <c r="AK109" i="48"/>
  <c r="AL96" i="48"/>
  <c r="AK96" i="48"/>
  <c r="AS198" i="48"/>
  <c r="AT198" i="48"/>
  <c r="AX118" i="48"/>
  <c r="AW118" i="48"/>
  <c r="AP218" i="48"/>
  <c r="AO218" i="48"/>
  <c r="AP217" i="48"/>
  <c r="AO217" i="48"/>
  <c r="AH191" i="48"/>
  <c r="AG191" i="48"/>
  <c r="AP24" i="48"/>
  <c r="AO24" i="48"/>
  <c r="AT276" i="48"/>
  <c r="AS276" i="48"/>
  <c r="AO108" i="48"/>
  <c r="AP108" i="48"/>
  <c r="AT207" i="48"/>
  <c r="AS207" i="48"/>
  <c r="AP124" i="48"/>
  <c r="AO124" i="48"/>
  <c r="AT110" i="48"/>
  <c r="AS110" i="48"/>
  <c r="AL107" i="48"/>
  <c r="AK107" i="48"/>
  <c r="AO200" i="48"/>
  <c r="AP200" i="48"/>
  <c r="AP255" i="48"/>
  <c r="AO255" i="48"/>
  <c r="AS227" i="48"/>
  <c r="AT227" i="48"/>
  <c r="AL209" i="48"/>
  <c r="AK209" i="48"/>
  <c r="AK228" i="48"/>
  <c r="AL228" i="48"/>
  <c r="AP237" i="48"/>
  <c r="AO237" i="48"/>
  <c r="AT106" i="48"/>
  <c r="AS106" i="48"/>
  <c r="AX119" i="48"/>
  <c r="AW119" i="48"/>
  <c r="AP233" i="48"/>
  <c r="AO233" i="48"/>
  <c r="AO95" i="48"/>
  <c r="AP95" i="48"/>
  <c r="AL102" i="48"/>
  <c r="AK102" i="48"/>
  <c r="AP123" i="48"/>
  <c r="AO123" i="48"/>
  <c r="AL111" i="48"/>
  <c r="AK111" i="48"/>
  <c r="AW97" i="48"/>
  <c r="AX97" i="48"/>
  <c r="AT99" i="48"/>
  <c r="AS99" i="48"/>
  <c r="AM9" i="48"/>
  <c r="AO13" i="48"/>
  <c r="AP13" i="48"/>
  <c r="AK250" i="48"/>
  <c r="AL250" i="48"/>
  <c r="AL103" i="48"/>
  <c r="AK103" i="48"/>
  <c r="AT201" i="48"/>
  <c r="AS201" i="48"/>
  <c r="AP236" i="48"/>
  <c r="AO236" i="48"/>
  <c r="AT26" i="48"/>
  <c r="AS26" i="48"/>
  <c r="AL206" i="48"/>
  <c r="AK206" i="48"/>
  <c r="AP125" i="48"/>
  <c r="AO125" i="48"/>
  <c r="AO19" i="48"/>
  <c r="AP19" i="48"/>
  <c r="AO138" i="48"/>
  <c r="AP138" i="48"/>
  <c r="AS14" i="48"/>
  <c r="AT14" i="48"/>
  <c r="AP245" i="48"/>
  <c r="AO245" i="48"/>
  <c r="AP127" i="48"/>
  <c r="AO127" i="48"/>
  <c r="AT116" i="48"/>
  <c r="AS116" i="48"/>
  <c r="AY230" i="48"/>
  <c r="AW230" i="48"/>
  <c r="AX230" i="48"/>
  <c r="AK9" i="48"/>
  <c r="AL9" i="48"/>
  <c r="AH91" i="48"/>
  <c r="AG91" i="48"/>
  <c r="AG214" i="48"/>
  <c r="AH214" i="48"/>
  <c r="AO88" i="48"/>
  <c r="AP88" i="48"/>
  <c r="AK27" i="48"/>
  <c r="AL27" i="48"/>
  <c r="AE65" i="48"/>
  <c r="AE289" i="48" s="1"/>
  <c r="AG67" i="48"/>
  <c r="AH67" i="48"/>
  <c r="AS68" i="48"/>
  <c r="AT68" i="48"/>
  <c r="AT86" i="48"/>
  <c r="AS86" i="48"/>
  <c r="AP46" i="48"/>
  <c r="AO46" i="48"/>
  <c r="AK77" i="48"/>
  <c r="AL77" i="48"/>
  <c r="AG8" i="48"/>
  <c r="AH8" i="48"/>
  <c r="AM120" i="48"/>
  <c r="AO120" i="48" s="1"/>
  <c r="AU128" i="48"/>
  <c r="AW128" i="48" s="1"/>
  <c r="AU112" i="48"/>
  <c r="AY112" i="48" s="1"/>
  <c r="AQ215" i="48"/>
  <c r="AM238" i="48"/>
  <c r="AQ104" i="48"/>
  <c r="AM121" i="48"/>
  <c r="AY224" i="48"/>
  <c r="AU116" i="48"/>
  <c r="AY116" i="48" s="1"/>
  <c r="AY118" i="48"/>
  <c r="AQ218" i="48"/>
  <c r="AM239" i="48"/>
  <c r="AC65" i="48"/>
  <c r="AD65" i="48"/>
  <c r="AQ24" i="48"/>
  <c r="AM23" i="48"/>
  <c r="AO23" i="48" s="1"/>
  <c r="AM235" i="48"/>
  <c r="AP235" i="48" s="1"/>
  <c r="AQ208" i="48"/>
  <c r="AQ46" i="48"/>
  <c r="AM27" i="48"/>
  <c r="AQ200" i="48"/>
  <c r="AQ255" i="48"/>
  <c r="AM209" i="48"/>
  <c r="AU106" i="48"/>
  <c r="AY106" i="48" s="1"/>
  <c r="AM117" i="48"/>
  <c r="AQ233" i="48"/>
  <c r="AM102" i="48"/>
  <c r="AY97" i="48"/>
  <c r="AU68" i="48"/>
  <c r="AA291" i="48"/>
  <c r="AM101" i="48"/>
  <c r="AM206" i="48"/>
  <c r="AQ125" i="48"/>
  <c r="AQ19" i="48"/>
  <c r="AM133" i="48"/>
  <c r="AQ138" i="48"/>
  <c r="AU14" i="48"/>
  <c r="AQ127" i="48"/>
  <c r="AU267" i="48"/>
  <c r="AU26" i="48"/>
  <c r="AY26" i="48" s="1"/>
  <c r="AU259" i="48"/>
  <c r="AU86" i="48"/>
  <c r="AU204" i="48"/>
  <c r="AU276" i="48"/>
  <c r="AY274" i="48"/>
  <c r="AM199" i="48"/>
  <c r="AP199" i="48" s="1"/>
  <c r="AQ223" i="48"/>
  <c r="AU207" i="48"/>
  <c r="AQ124" i="48"/>
  <c r="AQ100" i="48"/>
  <c r="AM94" i="48"/>
  <c r="AM114" i="48"/>
  <c r="AU227" i="48"/>
  <c r="AQ192" i="48"/>
  <c r="AM77" i="48"/>
  <c r="AI67" i="48"/>
  <c r="AM228" i="48"/>
  <c r="AQ253" i="48"/>
  <c r="AQ237" i="48"/>
  <c r="AQ229" i="48"/>
  <c r="AU130" i="48"/>
  <c r="AW130" i="48" s="1"/>
  <c r="AE295" i="48"/>
  <c r="AI296" i="48"/>
  <c r="AI8" i="48"/>
  <c r="AM103" i="48"/>
  <c r="AU201" i="48"/>
  <c r="AY201" i="48" s="1"/>
  <c r="AU246" i="48"/>
  <c r="AQ98" i="48"/>
  <c r="AU234" i="48"/>
  <c r="AU202" i="48"/>
  <c r="AU129" i="48"/>
  <c r="AW129" i="48" s="1"/>
  <c r="AQ115" i="48"/>
  <c r="AM193" i="48"/>
  <c r="AU122" i="48"/>
  <c r="AQ123" i="48"/>
  <c r="AQ249" i="48"/>
  <c r="AU226" i="48"/>
  <c r="AU99" i="48"/>
  <c r="AQ256" i="48"/>
  <c r="AQ245" i="48"/>
  <c r="AM109" i="48"/>
  <c r="AY122" i="48"/>
  <c r="AQ247" i="48"/>
  <c r="AQ205" i="48"/>
  <c r="AQ217" i="48"/>
  <c r="AQ88" i="48"/>
  <c r="AM92" i="48"/>
  <c r="AQ108" i="48"/>
  <c r="AI214" i="48"/>
  <c r="AU110" i="48"/>
  <c r="AQ211" i="48"/>
  <c r="AM107" i="48"/>
  <c r="AY227" i="48"/>
  <c r="AI191" i="48"/>
  <c r="AQ25" i="48"/>
  <c r="AQ95" i="48"/>
  <c r="AM111" i="48"/>
  <c r="AU126" i="48"/>
  <c r="AQ105" i="48"/>
  <c r="AQ13" i="48"/>
  <c r="AM250" i="48"/>
  <c r="AU93" i="48"/>
  <c r="AQ113" i="48"/>
  <c r="AQ236" i="48"/>
  <c r="AM197" i="48"/>
  <c r="AM96" i="48"/>
  <c r="AM203" i="48"/>
  <c r="AP203" i="48" s="1"/>
  <c r="AU198" i="48"/>
  <c r="AY119" i="48"/>
  <c r="AH289" i="48" l="1"/>
  <c r="AG289" i="48"/>
  <c r="AW198" i="48"/>
  <c r="AX198" i="48"/>
  <c r="AO96" i="48"/>
  <c r="AP96" i="48"/>
  <c r="AS236" i="48"/>
  <c r="AT236" i="48"/>
  <c r="AP250" i="48"/>
  <c r="AO250" i="48"/>
  <c r="AT105" i="48"/>
  <c r="AS105" i="48"/>
  <c r="AO111" i="48"/>
  <c r="AP111" i="48"/>
  <c r="AT25" i="48"/>
  <c r="AS25" i="48"/>
  <c r="AS211" i="48"/>
  <c r="AT211" i="48"/>
  <c r="AK214" i="48"/>
  <c r="AL214" i="48"/>
  <c r="AM91" i="48"/>
  <c r="AO92" i="48"/>
  <c r="AP92" i="48"/>
  <c r="AT205" i="48"/>
  <c r="AS205" i="48"/>
  <c r="AS245" i="48"/>
  <c r="AT245" i="48"/>
  <c r="AW99" i="48"/>
  <c r="AX99" i="48"/>
  <c r="AW226" i="48"/>
  <c r="AX226" i="48"/>
  <c r="AS123" i="48"/>
  <c r="AT123" i="48"/>
  <c r="AP193" i="48"/>
  <c r="AO193" i="48"/>
  <c r="AY234" i="48"/>
  <c r="AX234" i="48"/>
  <c r="AT98" i="48"/>
  <c r="AS98" i="48"/>
  <c r="AX201" i="48"/>
  <c r="AW201" i="48"/>
  <c r="AS237" i="48"/>
  <c r="AT237" i="48"/>
  <c r="AP228" i="48"/>
  <c r="AO228" i="48"/>
  <c r="AW227" i="48"/>
  <c r="AX227" i="48"/>
  <c r="AO94" i="48"/>
  <c r="AP94" i="48"/>
  <c r="AS124" i="48"/>
  <c r="AT124" i="48"/>
  <c r="AS223" i="48"/>
  <c r="AT223" i="48"/>
  <c r="AW276" i="48"/>
  <c r="AX276" i="48"/>
  <c r="AW267" i="48"/>
  <c r="AX267" i="48"/>
  <c r="AP133" i="48"/>
  <c r="AO133" i="48"/>
  <c r="AS125" i="48"/>
  <c r="AT125" i="48"/>
  <c r="AO101" i="48"/>
  <c r="AP101" i="48"/>
  <c r="AO102" i="48"/>
  <c r="AP102" i="48"/>
  <c r="AO117" i="48"/>
  <c r="AP117" i="48"/>
  <c r="AO209" i="48"/>
  <c r="AP209" i="48"/>
  <c r="AT200" i="48"/>
  <c r="AS200" i="48"/>
  <c r="AT24" i="48"/>
  <c r="AS24" i="48"/>
  <c r="AS218" i="48"/>
  <c r="AT218" i="48"/>
  <c r="AW116" i="48"/>
  <c r="AX116" i="48"/>
  <c r="AP121" i="48"/>
  <c r="AO121" i="48"/>
  <c r="AP238" i="48"/>
  <c r="AO238" i="48"/>
  <c r="AK91" i="48"/>
  <c r="AL91" i="48"/>
  <c r="AY267" i="48"/>
  <c r="AP197" i="48"/>
  <c r="AO197" i="48"/>
  <c r="AT113" i="48"/>
  <c r="AS113" i="48"/>
  <c r="AW93" i="48"/>
  <c r="AX93" i="48"/>
  <c r="AQ9" i="48"/>
  <c r="AS13" i="48"/>
  <c r="AT13" i="48"/>
  <c r="AW126" i="48"/>
  <c r="AX126" i="48"/>
  <c r="AT95" i="48"/>
  <c r="AS95" i="48"/>
  <c r="AL191" i="48"/>
  <c r="AK191" i="48"/>
  <c r="AO107" i="48"/>
  <c r="AP107" i="48"/>
  <c r="AW110" i="48"/>
  <c r="AX110" i="48"/>
  <c r="AT108" i="48"/>
  <c r="AS108" i="48"/>
  <c r="AS217" i="48"/>
  <c r="AT217" i="48"/>
  <c r="AS247" i="48"/>
  <c r="AT247" i="48"/>
  <c r="AO109" i="48"/>
  <c r="AP109" i="48"/>
  <c r="AS256" i="48"/>
  <c r="AT256" i="48"/>
  <c r="AY226" i="48"/>
  <c r="AS249" i="48"/>
  <c r="AT249" i="48"/>
  <c r="AW122" i="48"/>
  <c r="AX122" i="48"/>
  <c r="AT115" i="48"/>
  <c r="AS115" i="48"/>
  <c r="AY202" i="48"/>
  <c r="AX202" i="48"/>
  <c r="AW246" i="48"/>
  <c r="AX246" i="48"/>
  <c r="AO103" i="48"/>
  <c r="AP103" i="48"/>
  <c r="AS229" i="48"/>
  <c r="AT229" i="48"/>
  <c r="AT253" i="48"/>
  <c r="AS253" i="48"/>
  <c r="AS192" i="48"/>
  <c r="AT192" i="48"/>
  <c r="AO114" i="48"/>
  <c r="AP114" i="48"/>
  <c r="AT100" i="48"/>
  <c r="AS100" i="48"/>
  <c r="AY207" i="48"/>
  <c r="AX207" i="48"/>
  <c r="AW207" i="48"/>
  <c r="AY276" i="48"/>
  <c r="AY204" i="48"/>
  <c r="AX204" i="48"/>
  <c r="AW204" i="48"/>
  <c r="AW26" i="48"/>
  <c r="AX26" i="48"/>
  <c r="AS127" i="48"/>
  <c r="AT127" i="48"/>
  <c r="AT138" i="48"/>
  <c r="AS138" i="48"/>
  <c r="AS19" i="48"/>
  <c r="AT19" i="48"/>
  <c r="AO206" i="48"/>
  <c r="AP206" i="48"/>
  <c r="AS233" i="48"/>
  <c r="AT233" i="48"/>
  <c r="AW106" i="48"/>
  <c r="AX106" i="48"/>
  <c r="AS255" i="48"/>
  <c r="AT255" i="48"/>
  <c r="AT208" i="48"/>
  <c r="AS208" i="48"/>
  <c r="AP239" i="48"/>
  <c r="AO239" i="48"/>
  <c r="AT104" i="48"/>
  <c r="AS104" i="48"/>
  <c r="AS215" i="48"/>
  <c r="AT215" i="48"/>
  <c r="AW112" i="48"/>
  <c r="AX112" i="48"/>
  <c r="AO9" i="48"/>
  <c r="AP9" i="48"/>
  <c r="AO77" i="48"/>
  <c r="AP77" i="48"/>
  <c r="AW86" i="48"/>
  <c r="AX86" i="48"/>
  <c r="AW14" i="48"/>
  <c r="AX14" i="48"/>
  <c r="AX68" i="48"/>
  <c r="AW68" i="48"/>
  <c r="AS46" i="48"/>
  <c r="AT46" i="48"/>
  <c r="AT88" i="48"/>
  <c r="AS88" i="48"/>
  <c r="AI65" i="48"/>
  <c r="AI289" i="48" s="1"/>
  <c r="AL67" i="48"/>
  <c r="AK67" i="48"/>
  <c r="AP27" i="48"/>
  <c r="AO27" i="48"/>
  <c r="AL8" i="48"/>
  <c r="AK8" i="48"/>
  <c r="AY128" i="48"/>
  <c r="AQ120" i="48"/>
  <c r="AS120" i="48" s="1"/>
  <c r="AQ197" i="48"/>
  <c r="AU113" i="48"/>
  <c r="AM8" i="48"/>
  <c r="AU105" i="48"/>
  <c r="AY126" i="48"/>
  <c r="AU25" i="48"/>
  <c r="AY25" i="48" s="1"/>
  <c r="AH65" i="48"/>
  <c r="AG65" i="48"/>
  <c r="AU108" i="48"/>
  <c r="AU217" i="48"/>
  <c r="AU249" i="48"/>
  <c r="AY249" i="48" s="1"/>
  <c r="AU123" i="48"/>
  <c r="AI295" i="48"/>
  <c r="AI291" i="48" s="1"/>
  <c r="AM296" i="48"/>
  <c r="AU253" i="48"/>
  <c r="AQ228" i="48"/>
  <c r="AQ199" i="48"/>
  <c r="AT199" i="48" s="1"/>
  <c r="AC291" i="48"/>
  <c r="AC292" i="48" s="1"/>
  <c r="AA292" i="48"/>
  <c r="AD291" i="48"/>
  <c r="AU200" i="48"/>
  <c r="AY200" i="48" s="1"/>
  <c r="AU46" i="48"/>
  <c r="AQ27" i="48"/>
  <c r="AQ203" i="48"/>
  <c r="AT203" i="48" s="1"/>
  <c r="AQ96" i="48"/>
  <c r="AU236" i="48"/>
  <c r="AY236" i="48" s="1"/>
  <c r="AY93" i="48"/>
  <c r="AQ111" i="48"/>
  <c r="AQ107" i="48"/>
  <c r="AU211" i="48"/>
  <c r="AU115" i="48"/>
  <c r="AY129" i="48"/>
  <c r="AE291" i="48"/>
  <c r="AQ77" i="48"/>
  <c r="AM67" i="48"/>
  <c r="AU192" i="48"/>
  <c r="AY192" i="48" s="1"/>
  <c r="AU124" i="48"/>
  <c r="AU125" i="48"/>
  <c r="AQ206" i="48"/>
  <c r="AQ101" i="48"/>
  <c r="AQ209" i="48"/>
  <c r="AQ239" i="48"/>
  <c r="AU218" i="48"/>
  <c r="AY198" i="48"/>
  <c r="AQ250" i="48"/>
  <c r="AU13" i="48"/>
  <c r="AQ92" i="48"/>
  <c r="AU88" i="48"/>
  <c r="AU205" i="48"/>
  <c r="AQ109" i="48"/>
  <c r="AQ193" i="48"/>
  <c r="AU98" i="48"/>
  <c r="AY246" i="48"/>
  <c r="AY130" i="48"/>
  <c r="AU229" i="48"/>
  <c r="AQ114" i="48"/>
  <c r="AU223" i="48"/>
  <c r="AY86" i="48"/>
  <c r="AY14" i="48"/>
  <c r="AU19" i="48"/>
  <c r="AQ102" i="48"/>
  <c r="AU233" i="48"/>
  <c r="AQ117" i="48"/>
  <c r="AQ238" i="48"/>
  <c r="AM214" i="48"/>
  <c r="AY99" i="48"/>
  <c r="AU95" i="48"/>
  <c r="AU247" i="48"/>
  <c r="AU245" i="48"/>
  <c r="AU256" i="48"/>
  <c r="AQ103" i="48"/>
  <c r="AU237" i="48"/>
  <c r="AM191" i="48"/>
  <c r="AQ94" i="48"/>
  <c r="AU100" i="48"/>
  <c r="AU127" i="48"/>
  <c r="AU138" i="48"/>
  <c r="AQ133" i="48"/>
  <c r="AY68" i="48"/>
  <c r="AU255" i="48"/>
  <c r="AU208" i="48"/>
  <c r="AQ235" i="48"/>
  <c r="AT235" i="48" s="1"/>
  <c r="AQ23" i="48"/>
  <c r="AS23" i="48" s="1"/>
  <c r="AU24" i="48"/>
  <c r="AQ121" i="48"/>
  <c r="AU104" i="48"/>
  <c r="AU215" i="48"/>
  <c r="AY110" i="48"/>
  <c r="AL289" i="48" l="1"/>
  <c r="AK289" i="48"/>
  <c r="AY208" i="48"/>
  <c r="AX208" i="48"/>
  <c r="AW208" i="48"/>
  <c r="AX138" i="48"/>
  <c r="AW138" i="48"/>
  <c r="AW100" i="48"/>
  <c r="AX100" i="48"/>
  <c r="AO214" i="48"/>
  <c r="AP214" i="48"/>
  <c r="AW98" i="48"/>
  <c r="AX98" i="48"/>
  <c r="AT109" i="48"/>
  <c r="AS109" i="48"/>
  <c r="AS239" i="48"/>
  <c r="AT239" i="48"/>
  <c r="AT101" i="48"/>
  <c r="AS101" i="48"/>
  <c r="AW125" i="48"/>
  <c r="AX125" i="48"/>
  <c r="AW115" i="48"/>
  <c r="AX115" i="48"/>
  <c r="AY123" i="48"/>
  <c r="AW123" i="48"/>
  <c r="AX123" i="48"/>
  <c r="AS9" i="48"/>
  <c r="AT9" i="48"/>
  <c r="AP91" i="48"/>
  <c r="AO91" i="48"/>
  <c r="AW104" i="48"/>
  <c r="AX104" i="48"/>
  <c r="AY24" i="48"/>
  <c r="AW24" i="48"/>
  <c r="AX24" i="48"/>
  <c r="AY255" i="48"/>
  <c r="AW255" i="48"/>
  <c r="AX255" i="48"/>
  <c r="AS133" i="48"/>
  <c r="AT133" i="48"/>
  <c r="AY127" i="48"/>
  <c r="AW127" i="48"/>
  <c r="AX127" i="48"/>
  <c r="AT94" i="48"/>
  <c r="AS94" i="48"/>
  <c r="AW237" i="48"/>
  <c r="AX237" i="48"/>
  <c r="AW256" i="48"/>
  <c r="AX256" i="48"/>
  <c r="AW247" i="48"/>
  <c r="AX247" i="48"/>
  <c r="AS238" i="48"/>
  <c r="AT238" i="48"/>
  <c r="AW233" i="48"/>
  <c r="AX233" i="48"/>
  <c r="AT114" i="48"/>
  <c r="AS114" i="48"/>
  <c r="AY98" i="48"/>
  <c r="AS193" i="48"/>
  <c r="AT193" i="48"/>
  <c r="AX205" i="48"/>
  <c r="AW205" i="48"/>
  <c r="AQ91" i="48"/>
  <c r="AT92" i="48"/>
  <c r="AS92" i="48"/>
  <c r="AS250" i="48"/>
  <c r="AT250" i="48"/>
  <c r="AY218" i="48"/>
  <c r="AW218" i="48"/>
  <c r="AX218" i="48"/>
  <c r="AT209" i="48"/>
  <c r="AS209" i="48"/>
  <c r="AT206" i="48"/>
  <c r="AS206" i="48"/>
  <c r="AW124" i="48"/>
  <c r="AX124" i="48"/>
  <c r="AW192" i="48"/>
  <c r="AX192" i="48"/>
  <c r="AT107" i="48"/>
  <c r="AS107" i="48"/>
  <c r="AW236" i="48"/>
  <c r="AX236" i="48"/>
  <c r="AX200" i="48"/>
  <c r="AW200" i="48"/>
  <c r="AX253" i="48"/>
  <c r="AW253" i="48"/>
  <c r="AW249" i="48"/>
  <c r="AX249" i="48"/>
  <c r="AW108" i="48"/>
  <c r="AX108" i="48"/>
  <c r="AW25" i="48"/>
  <c r="AX25" i="48"/>
  <c r="AW105" i="48"/>
  <c r="AX105" i="48"/>
  <c r="AW113" i="48"/>
  <c r="AX113" i="48"/>
  <c r="AY215" i="48"/>
  <c r="AW215" i="48"/>
  <c r="AX215" i="48"/>
  <c r="AS121" i="48"/>
  <c r="AT121" i="48"/>
  <c r="AO191" i="48"/>
  <c r="AP191" i="48"/>
  <c r="AT103" i="48"/>
  <c r="AS103" i="48"/>
  <c r="AW245" i="48"/>
  <c r="AX245" i="48"/>
  <c r="AY95" i="48"/>
  <c r="AW95" i="48"/>
  <c r="AX95" i="48"/>
  <c r="AT117" i="48"/>
  <c r="AS117" i="48"/>
  <c r="AT102" i="48"/>
  <c r="AS102" i="48"/>
  <c r="AW223" i="48"/>
  <c r="AX223" i="48"/>
  <c r="AW229" i="48"/>
  <c r="AX229" i="48"/>
  <c r="AW211" i="48"/>
  <c r="AX211" i="48"/>
  <c r="AT111" i="48"/>
  <c r="AS111" i="48"/>
  <c r="AT96" i="48"/>
  <c r="AS96" i="48"/>
  <c r="AQ214" i="48"/>
  <c r="AS228" i="48"/>
  <c r="AT228" i="48"/>
  <c r="AW217" i="48"/>
  <c r="AX217" i="48"/>
  <c r="AS197" i="48"/>
  <c r="AT197" i="48"/>
  <c r="AY88" i="48"/>
  <c r="AW88" i="48"/>
  <c r="AX88" i="48"/>
  <c r="AY13" i="48"/>
  <c r="AU9" i="48"/>
  <c r="AW13" i="48"/>
  <c r="AX13" i="48"/>
  <c r="AM65" i="48"/>
  <c r="AM289" i="48" s="1"/>
  <c r="AP67" i="48"/>
  <c r="AO67" i="48"/>
  <c r="AS27" i="48"/>
  <c r="AT27" i="48"/>
  <c r="AW19" i="48"/>
  <c r="AX19" i="48"/>
  <c r="AQ67" i="48"/>
  <c r="AT77" i="48"/>
  <c r="AS77" i="48"/>
  <c r="AX46" i="48"/>
  <c r="AW46" i="48"/>
  <c r="AO8" i="48"/>
  <c r="AP8" i="48"/>
  <c r="AU120" i="48"/>
  <c r="AW120" i="48" s="1"/>
  <c r="AU250" i="48"/>
  <c r="AU121" i="48"/>
  <c r="AU103" i="48"/>
  <c r="AY233" i="48"/>
  <c r="AU102" i="48"/>
  <c r="AU193" i="48"/>
  <c r="AU109" i="48"/>
  <c r="AQ8" i="48"/>
  <c r="AU77" i="48"/>
  <c r="AY211" i="48"/>
  <c r="AU111" i="48"/>
  <c r="AY108" i="48"/>
  <c r="AY250" i="48"/>
  <c r="AY229" i="48"/>
  <c r="AU209" i="48"/>
  <c r="AY209" i="48" s="1"/>
  <c r="AU101" i="48"/>
  <c r="AH291" i="48"/>
  <c r="AE292" i="48"/>
  <c r="AG291" i="48"/>
  <c r="AG292" i="48" s="1"/>
  <c r="AY104" i="48"/>
  <c r="AY237" i="48"/>
  <c r="AY19" i="48"/>
  <c r="AY223" i="48"/>
  <c r="AU114" i="48"/>
  <c r="AK65" i="48"/>
  <c r="AL65" i="48"/>
  <c r="AY205" i="48"/>
  <c r="AU239" i="48"/>
  <c r="AU206" i="48"/>
  <c r="AU96" i="48"/>
  <c r="AU27" i="48"/>
  <c r="AM295" i="48"/>
  <c r="AQ296" i="48"/>
  <c r="AY217" i="48"/>
  <c r="AY113" i="48"/>
  <c r="AU197" i="48"/>
  <c r="AY197" i="48" s="1"/>
  <c r="AU133" i="48"/>
  <c r="AY138" i="48"/>
  <c r="AU92" i="48"/>
  <c r="AY115" i="48"/>
  <c r="AU199" i="48"/>
  <c r="AY253" i="48"/>
  <c r="AU23" i="48"/>
  <c r="AW23" i="48" s="1"/>
  <c r="AU235" i="48"/>
  <c r="AU94" i="48"/>
  <c r="AY245" i="48"/>
  <c r="AY247" i="48"/>
  <c r="AU238" i="48"/>
  <c r="AU117" i="48"/>
  <c r="AY124" i="48"/>
  <c r="AQ191" i="48"/>
  <c r="AU107" i="48"/>
  <c r="AU203" i="48"/>
  <c r="AX203" i="48" s="1"/>
  <c r="AY46" i="48"/>
  <c r="AU228" i="48"/>
  <c r="AL291" i="48"/>
  <c r="AK291" i="48"/>
  <c r="AI292" i="48"/>
  <c r="AY105" i="48"/>
  <c r="AY256" i="48"/>
  <c r="AY100" i="48"/>
  <c r="AY125" i="48"/>
  <c r="AK292" i="48" l="1"/>
  <c r="AO289" i="48"/>
  <c r="AP289" i="48"/>
  <c r="AY120" i="48"/>
  <c r="AY107" i="48"/>
  <c r="AW107" i="48"/>
  <c r="AX107" i="48"/>
  <c r="AW117" i="48"/>
  <c r="AX117" i="48"/>
  <c r="AW94" i="48"/>
  <c r="AX94" i="48"/>
  <c r="AY199" i="48"/>
  <c r="AX199" i="48"/>
  <c r="AY92" i="48"/>
  <c r="AU91" i="48"/>
  <c r="AW92" i="48"/>
  <c r="AX92" i="48"/>
  <c r="AW133" i="48"/>
  <c r="AX133" i="48"/>
  <c r="AX206" i="48"/>
  <c r="AW206" i="48"/>
  <c r="AW114" i="48"/>
  <c r="AX114" i="48"/>
  <c r="AY101" i="48"/>
  <c r="AW101" i="48"/>
  <c r="AX101" i="48"/>
  <c r="AW111" i="48"/>
  <c r="AX111" i="48"/>
  <c r="AW109" i="48"/>
  <c r="AX109" i="48"/>
  <c r="AY102" i="48"/>
  <c r="AW102" i="48"/>
  <c r="AX102" i="48"/>
  <c r="AW103" i="48"/>
  <c r="AX103" i="48"/>
  <c r="AW121" i="48"/>
  <c r="AX121" i="48"/>
  <c r="AU214" i="48"/>
  <c r="AY214" i="48" s="1"/>
  <c r="AW228" i="48"/>
  <c r="AX228" i="48"/>
  <c r="AT191" i="48"/>
  <c r="AS191" i="48"/>
  <c r="AY238" i="48"/>
  <c r="AW238" i="48"/>
  <c r="AX238" i="48"/>
  <c r="AY235" i="48"/>
  <c r="AX235" i="48"/>
  <c r="AY206" i="48"/>
  <c r="AW197" i="48"/>
  <c r="AX197" i="48"/>
  <c r="AW96" i="48"/>
  <c r="AX96" i="48"/>
  <c r="AW239" i="48"/>
  <c r="AX239" i="48"/>
  <c r="AY114" i="48"/>
  <c r="AX209" i="48"/>
  <c r="AW209" i="48"/>
  <c r="AY111" i="48"/>
  <c r="AW193" i="48"/>
  <c r="AX193" i="48"/>
  <c r="AY121" i="48"/>
  <c r="AW250" i="48"/>
  <c r="AX250" i="48"/>
  <c r="AS214" i="48"/>
  <c r="AT214" i="48"/>
  <c r="AS91" i="48"/>
  <c r="AT91" i="48"/>
  <c r="AY27" i="48"/>
  <c r="AX27" i="48"/>
  <c r="AW27" i="48"/>
  <c r="AW77" i="48"/>
  <c r="AX77" i="48"/>
  <c r="AW9" i="48"/>
  <c r="AX9" i="48"/>
  <c r="AQ65" i="48"/>
  <c r="AQ289" i="48" s="1"/>
  <c r="AS67" i="48"/>
  <c r="AT67" i="48"/>
  <c r="AS8" i="48"/>
  <c r="AT8" i="48"/>
  <c r="AY228" i="48"/>
  <c r="AU296" i="48"/>
  <c r="AQ295" i="48"/>
  <c r="AQ291" i="48" s="1"/>
  <c r="AU67" i="48"/>
  <c r="AY103" i="48"/>
  <c r="AP65" i="48"/>
  <c r="AO65" i="48"/>
  <c r="AM291" i="48"/>
  <c r="AY239" i="48"/>
  <c r="AY193" i="48"/>
  <c r="AY94" i="48"/>
  <c r="AU8" i="48"/>
  <c r="AY8" i="48" s="1"/>
  <c r="AY9" i="48"/>
  <c r="AY96" i="48"/>
  <c r="AY77" i="48"/>
  <c r="AU191" i="48"/>
  <c r="AY203" i="48"/>
  <c r="AY117" i="48"/>
  <c r="AY133" i="48"/>
  <c r="AY109" i="48"/>
  <c r="AY23" i="48"/>
  <c r="AS289" i="48" l="1"/>
  <c r="AT289" i="48"/>
  <c r="AX191" i="48"/>
  <c r="AW191" i="48"/>
  <c r="AX214" i="48"/>
  <c r="AW214" i="48"/>
  <c r="AX91" i="48"/>
  <c r="AW91" i="48"/>
  <c r="AU65" i="48"/>
  <c r="AU289" i="48" s="1"/>
  <c r="AX67" i="48"/>
  <c r="AW67" i="48"/>
  <c r="AW8" i="48"/>
  <c r="AX8" i="48"/>
  <c r="AS291" i="48"/>
  <c r="AT291" i="48"/>
  <c r="AQ292" i="48"/>
  <c r="AY67" i="48"/>
  <c r="AU295" i="48"/>
  <c r="AY296" i="48"/>
  <c r="AZ296" i="48" s="1"/>
  <c r="AY191" i="48"/>
  <c r="AM292" i="48"/>
  <c r="AP291" i="48"/>
  <c r="AO291" i="48"/>
  <c r="AO292" i="48" s="1"/>
  <c r="AY91" i="48"/>
  <c r="AS65" i="48"/>
  <c r="AT65" i="48"/>
  <c r="AS292" i="48" l="1"/>
  <c r="AY289" i="48"/>
  <c r="AW289" i="48"/>
  <c r="AX289" i="48"/>
  <c r="AU291" i="48"/>
  <c r="AY295" i="48"/>
  <c r="AZ295" i="48" s="1"/>
  <c r="AW65" i="48"/>
  <c r="AX65" i="48"/>
  <c r="AY65" i="48"/>
  <c r="AX291" i="48" l="1"/>
  <c r="AU292" i="48"/>
  <c r="AW291" i="48"/>
  <c r="AW292" i="48" s="1"/>
  <c r="AY291" i="48"/>
  <c r="AY292" i="48" s="1"/>
  <c r="H193" i="30" l="1"/>
  <c r="H162" i="30"/>
  <c r="H120" i="30"/>
  <c r="H108" i="30"/>
  <c r="H64" i="30"/>
  <c r="H41" i="30"/>
  <c r="H144" i="30" l="1"/>
  <c r="H39" i="30"/>
  <c r="E191" i="30"/>
  <c r="G191" i="30"/>
  <c r="I191" i="30" s="1"/>
  <c r="AZ34" i="30"/>
  <c r="H18" i="30"/>
  <c r="AZ35" i="30"/>
  <c r="D18" i="30"/>
  <c r="E33" i="30"/>
  <c r="AZ33" i="30"/>
  <c r="AZ32" i="30"/>
  <c r="AZ31" i="30"/>
  <c r="AZ30" i="30"/>
  <c r="AZ191" i="30" l="1"/>
  <c r="F191" i="30"/>
  <c r="K191" i="30"/>
  <c r="J191" i="30"/>
  <c r="N191" i="30" l="1"/>
  <c r="M191" i="30"/>
  <c r="O191" i="30"/>
  <c r="AZ104" i="30"/>
  <c r="AZ106" i="30"/>
  <c r="E122" i="30"/>
  <c r="AZ122" i="30"/>
  <c r="E104" i="30"/>
  <c r="G104" i="30"/>
  <c r="I104" i="30" s="1"/>
  <c r="E106" i="30"/>
  <c r="G106" i="30"/>
  <c r="I106" i="30" s="1"/>
  <c r="D120" i="30"/>
  <c r="D64" i="30"/>
  <c r="F29" i="30"/>
  <c r="E32" i="30"/>
  <c r="K32" i="30"/>
  <c r="M32" i="30" s="1"/>
  <c r="E31" i="30"/>
  <c r="K31" i="30"/>
  <c r="N31" i="30" s="1"/>
  <c r="E30" i="30"/>
  <c r="K30" i="30"/>
  <c r="N30" i="30" s="1"/>
  <c r="D8" i="30"/>
  <c r="S191" i="30" l="1"/>
  <c r="R191" i="30"/>
  <c r="Q191" i="30"/>
  <c r="K104" i="30"/>
  <c r="M104" i="30" s="1"/>
  <c r="K106" i="30"/>
  <c r="M106" i="30" s="1"/>
  <c r="S32" i="30"/>
  <c r="U32" i="30" s="1"/>
  <c r="N32" i="30"/>
  <c r="M31" i="30"/>
  <c r="S31" i="30"/>
  <c r="AA31" i="30" s="1"/>
  <c r="AI31" i="30" s="1"/>
  <c r="M30" i="30"/>
  <c r="S30" i="30"/>
  <c r="E194" i="30"/>
  <c r="AZ194" i="30"/>
  <c r="AZ189" i="30"/>
  <c r="AZ188" i="30"/>
  <c r="AZ187" i="30"/>
  <c r="AZ186" i="30"/>
  <c r="AZ185" i="30"/>
  <c r="AZ184" i="30"/>
  <c r="AZ183" i="30"/>
  <c r="AZ182" i="30"/>
  <c r="AZ181" i="30"/>
  <c r="AZ180" i="30"/>
  <c r="AZ179" i="30"/>
  <c r="AZ178" i="30"/>
  <c r="AZ177" i="30"/>
  <c r="AZ176" i="30"/>
  <c r="AZ175" i="30"/>
  <c r="AZ174" i="30"/>
  <c r="AZ173" i="30"/>
  <c r="AZ172" i="30"/>
  <c r="AZ171" i="30"/>
  <c r="AZ170" i="30"/>
  <c r="AZ169" i="30"/>
  <c r="AZ168" i="30"/>
  <c r="AZ167" i="30"/>
  <c r="AZ166" i="30"/>
  <c r="AZ165" i="30"/>
  <c r="AZ164" i="30"/>
  <c r="AZ163" i="30"/>
  <c r="AZ160" i="30"/>
  <c r="AZ159" i="30"/>
  <c r="AZ158" i="30"/>
  <c r="AZ157" i="30"/>
  <c r="AZ156" i="30"/>
  <c r="AZ155" i="30"/>
  <c r="AZ154" i="30"/>
  <c r="AZ153" i="30"/>
  <c r="AZ152" i="30"/>
  <c r="AZ151" i="30"/>
  <c r="AZ150" i="30"/>
  <c r="AZ149" i="30"/>
  <c r="AZ148" i="30"/>
  <c r="AZ147" i="30"/>
  <c r="AZ146" i="30"/>
  <c r="AZ145" i="30"/>
  <c r="AZ121" i="30"/>
  <c r="AZ142" i="30"/>
  <c r="AZ141" i="30"/>
  <c r="AZ140" i="30"/>
  <c r="AZ139" i="30"/>
  <c r="AZ138" i="30"/>
  <c r="AZ137" i="30"/>
  <c r="AZ136" i="30"/>
  <c r="AZ135" i="30"/>
  <c r="AZ134" i="30"/>
  <c r="AZ133" i="30"/>
  <c r="AZ132" i="30"/>
  <c r="AZ131" i="30"/>
  <c r="AZ130" i="30"/>
  <c r="AZ129" i="30"/>
  <c r="AZ128" i="30"/>
  <c r="AZ127" i="30"/>
  <c r="AZ126" i="30"/>
  <c r="AZ125" i="30"/>
  <c r="AZ124" i="30"/>
  <c r="AZ123" i="30"/>
  <c r="AZ118" i="30"/>
  <c r="AZ117" i="30"/>
  <c r="AZ116" i="30"/>
  <c r="AZ115" i="30"/>
  <c r="AZ114" i="30"/>
  <c r="AZ113" i="30"/>
  <c r="AZ112" i="30"/>
  <c r="AZ111" i="30"/>
  <c r="AZ110" i="30"/>
  <c r="AZ109" i="30"/>
  <c r="AZ65" i="30"/>
  <c r="AZ103" i="30"/>
  <c r="AZ102" i="30"/>
  <c r="AZ101" i="30"/>
  <c r="AZ100" i="30"/>
  <c r="AZ99" i="30"/>
  <c r="AZ98" i="30"/>
  <c r="AZ97" i="30"/>
  <c r="AZ96" i="30"/>
  <c r="AZ95" i="30"/>
  <c r="AZ94" i="30"/>
  <c r="AZ93" i="30"/>
  <c r="AZ92" i="30"/>
  <c r="AZ91" i="30"/>
  <c r="AZ90" i="30"/>
  <c r="AZ89" i="30"/>
  <c r="AZ88" i="30"/>
  <c r="AZ87" i="30"/>
  <c r="AZ86" i="30"/>
  <c r="AZ85" i="30"/>
  <c r="AZ84" i="30"/>
  <c r="AZ83" i="30"/>
  <c r="AZ82" i="30"/>
  <c r="AZ81" i="30"/>
  <c r="AZ80" i="30"/>
  <c r="AZ79" i="30"/>
  <c r="AZ78" i="30"/>
  <c r="AZ77" i="30"/>
  <c r="AZ76" i="30"/>
  <c r="AZ75" i="30"/>
  <c r="AZ74" i="30"/>
  <c r="AZ73" i="30"/>
  <c r="AZ72" i="30"/>
  <c r="AZ71" i="30"/>
  <c r="AZ70" i="30"/>
  <c r="AZ69" i="30"/>
  <c r="AZ68" i="30"/>
  <c r="AZ67" i="30"/>
  <c r="AZ66" i="30"/>
  <c r="AZ62" i="30"/>
  <c r="AZ61" i="30"/>
  <c r="AZ60" i="30"/>
  <c r="AZ59" i="30"/>
  <c r="AZ58" i="30"/>
  <c r="AZ57" i="30"/>
  <c r="AZ56" i="30"/>
  <c r="AZ55" i="30"/>
  <c r="AZ54" i="30"/>
  <c r="AZ53" i="30"/>
  <c r="AZ52" i="30"/>
  <c r="AZ51" i="30"/>
  <c r="AZ50" i="30"/>
  <c r="AZ49" i="30"/>
  <c r="AZ48" i="30"/>
  <c r="AZ47" i="30"/>
  <c r="AZ46" i="30"/>
  <c r="AZ45" i="30"/>
  <c r="AZ44" i="30"/>
  <c r="AZ43" i="30"/>
  <c r="AZ42" i="30"/>
  <c r="AZ37" i="30"/>
  <c r="AZ29" i="30"/>
  <c r="AZ28" i="30"/>
  <c r="AZ27" i="30"/>
  <c r="AZ26" i="30"/>
  <c r="AZ25" i="30"/>
  <c r="AZ24" i="30"/>
  <c r="AZ23" i="30"/>
  <c r="AZ22" i="30"/>
  <c r="AZ21" i="30"/>
  <c r="AZ20" i="30"/>
  <c r="AZ19" i="30"/>
  <c r="AZ16" i="30"/>
  <c r="AZ17" i="30"/>
  <c r="AZ15" i="30"/>
  <c r="AZ13" i="30"/>
  <c r="AZ12" i="30"/>
  <c r="AZ11" i="30"/>
  <c r="AZ10" i="30"/>
  <c r="AZ9" i="30"/>
  <c r="AV193" i="30"/>
  <c r="M65" i="31" s="1"/>
  <c r="AX164" i="30"/>
  <c r="AW164" i="30"/>
  <c r="AV162" i="30"/>
  <c r="AV144" i="30"/>
  <c r="AV120" i="30"/>
  <c r="AX118" i="30"/>
  <c r="AW118" i="30"/>
  <c r="AX117" i="30"/>
  <c r="AW117" i="30"/>
  <c r="AX116" i="30"/>
  <c r="AW116" i="30"/>
  <c r="AX115" i="30"/>
  <c r="AW115" i="30"/>
  <c r="AX114" i="30"/>
  <c r="AW114" i="30"/>
  <c r="AX112" i="30"/>
  <c r="AW112" i="30"/>
  <c r="AX111" i="30"/>
  <c r="AW111" i="30"/>
  <c r="AX110" i="30"/>
  <c r="AW110" i="30"/>
  <c r="AX109" i="30"/>
  <c r="AW109" i="30"/>
  <c r="AV108" i="30"/>
  <c r="AW75" i="30"/>
  <c r="AV64" i="30"/>
  <c r="AX60" i="30"/>
  <c r="AW60" i="30"/>
  <c r="AV41" i="30"/>
  <c r="AV36" i="30"/>
  <c r="AV18" i="30"/>
  <c r="AV14" i="30"/>
  <c r="AX10" i="30"/>
  <c r="AW10" i="30"/>
  <c r="AV8" i="30"/>
  <c r="AR193" i="30"/>
  <c r="L65" i="31" s="1"/>
  <c r="AS186" i="30"/>
  <c r="AT164" i="30"/>
  <c r="AS164" i="30"/>
  <c r="AR162" i="30"/>
  <c r="AR144" i="30"/>
  <c r="AR120" i="30"/>
  <c r="AT118" i="30"/>
  <c r="AS118" i="30"/>
  <c r="AT117" i="30"/>
  <c r="AS117" i="30"/>
  <c r="AT116" i="30"/>
  <c r="AS116" i="30"/>
  <c r="AT115" i="30"/>
  <c r="AS115" i="30"/>
  <c r="AT114" i="30"/>
  <c r="AS114" i="30"/>
  <c r="AT112" i="30"/>
  <c r="AS112" i="30"/>
  <c r="AT111" i="30"/>
  <c r="AS111" i="30"/>
  <c r="AT110" i="30"/>
  <c r="AS110" i="30"/>
  <c r="AT109" i="30"/>
  <c r="AS109" i="30"/>
  <c r="AR108" i="30"/>
  <c r="AS75" i="30"/>
  <c r="AR64" i="30"/>
  <c r="AT60" i="30"/>
  <c r="AS60" i="30"/>
  <c r="AT56" i="30"/>
  <c r="AS56" i="30"/>
  <c r="AT50" i="30"/>
  <c r="AS50" i="30"/>
  <c r="AR41" i="30"/>
  <c r="AR36" i="30"/>
  <c r="AS21" i="30"/>
  <c r="AR18" i="30"/>
  <c r="AR14" i="30"/>
  <c r="AT10" i="30"/>
  <c r="AS10" i="30"/>
  <c r="AR8" i="30"/>
  <c r="AN193" i="30"/>
  <c r="K65" i="31" s="1"/>
  <c r="AO186" i="30"/>
  <c r="AP164" i="30"/>
  <c r="AO164" i="30"/>
  <c r="AN162" i="30"/>
  <c r="AN144" i="30"/>
  <c r="AN120" i="30"/>
  <c r="AP118" i="30"/>
  <c r="AO118" i="30"/>
  <c r="AP117" i="30"/>
  <c r="AO117" i="30"/>
  <c r="AP116" i="30"/>
  <c r="AO116" i="30"/>
  <c r="AP115" i="30"/>
  <c r="AO115" i="30"/>
  <c r="AP114" i="30"/>
  <c r="AO114" i="30"/>
  <c r="AP112" i="30"/>
  <c r="AO112" i="30"/>
  <c r="AP111" i="30"/>
  <c r="AO111" i="30"/>
  <c r="AP110" i="30"/>
  <c r="AO110" i="30"/>
  <c r="AP109" i="30"/>
  <c r="AO109" i="30"/>
  <c r="AN108" i="30"/>
  <c r="AO75" i="30"/>
  <c r="AN64" i="30"/>
  <c r="AN41" i="30"/>
  <c r="AN36" i="30"/>
  <c r="AN18" i="30"/>
  <c r="AN14" i="30"/>
  <c r="AP10" i="30"/>
  <c r="AO10" i="30"/>
  <c r="AP9" i="30"/>
  <c r="AO9" i="30"/>
  <c r="AN8" i="30"/>
  <c r="AJ193" i="30"/>
  <c r="J65" i="31" s="1"/>
  <c r="AK186" i="30"/>
  <c r="AL164" i="30"/>
  <c r="AK164" i="30"/>
  <c r="AJ162" i="30"/>
  <c r="AL147" i="30"/>
  <c r="AK147" i="30"/>
  <c r="AJ144" i="30"/>
  <c r="AL130" i="30"/>
  <c r="AK130" i="30"/>
  <c r="AJ120" i="30"/>
  <c r="AL118" i="30"/>
  <c r="AK118" i="30"/>
  <c r="AL117" i="30"/>
  <c r="AK117" i="30"/>
  <c r="AL116" i="30"/>
  <c r="AK116" i="30"/>
  <c r="AL115" i="30"/>
  <c r="AK115" i="30"/>
  <c r="AL114" i="30"/>
  <c r="AK114" i="30"/>
  <c r="AL112" i="30"/>
  <c r="AK112" i="30"/>
  <c r="AL111" i="30"/>
  <c r="AK111" i="30"/>
  <c r="AL110" i="30"/>
  <c r="AK110" i="30"/>
  <c r="AL109" i="30"/>
  <c r="AK109" i="30"/>
  <c r="AJ108" i="30"/>
  <c r="AK75" i="30"/>
  <c r="AJ64" i="30"/>
  <c r="AJ41" i="30"/>
  <c r="AJ36" i="30"/>
  <c r="AJ18" i="30"/>
  <c r="AJ14" i="30"/>
  <c r="AL10" i="30"/>
  <c r="AK10" i="30"/>
  <c r="AJ8" i="30"/>
  <c r="AF193" i="30"/>
  <c r="AG186" i="30"/>
  <c r="AH164" i="30"/>
  <c r="AG164" i="30"/>
  <c r="AF162" i="30"/>
  <c r="AF144" i="30"/>
  <c r="AH130" i="30"/>
  <c r="AG130" i="30"/>
  <c r="AF120" i="30"/>
  <c r="AH118" i="30"/>
  <c r="AG118" i="30"/>
  <c r="AH117" i="30"/>
  <c r="AG117" i="30"/>
  <c r="AH116" i="30"/>
  <c r="AG116" i="30"/>
  <c r="AH115" i="30"/>
  <c r="AG115" i="30"/>
  <c r="AH114" i="30"/>
  <c r="AG114" i="30"/>
  <c r="AH112" i="30"/>
  <c r="AG112" i="30"/>
  <c r="AH111" i="30"/>
  <c r="AG111" i="30"/>
  <c r="AH110" i="30"/>
  <c r="AG110" i="30"/>
  <c r="AH109" i="30"/>
  <c r="AG109" i="30"/>
  <c r="AF108" i="30"/>
  <c r="AG75" i="30"/>
  <c r="AF64" i="30"/>
  <c r="AF41" i="30"/>
  <c r="AF36" i="30"/>
  <c r="AF18" i="30"/>
  <c r="AF14" i="30"/>
  <c r="AH10" i="30"/>
  <c r="AG10" i="30"/>
  <c r="AF8" i="30"/>
  <c r="AB193" i="30"/>
  <c r="AC186" i="30"/>
  <c r="AD164" i="30"/>
  <c r="AC164" i="30"/>
  <c r="AB162" i="30"/>
  <c r="AB144" i="30"/>
  <c r="AD130" i="30"/>
  <c r="AC130" i="30"/>
  <c r="AB120" i="30"/>
  <c r="AD118" i="30"/>
  <c r="AC118" i="30"/>
  <c r="AD117" i="30"/>
  <c r="AC117" i="30"/>
  <c r="AD116" i="30"/>
  <c r="AC116" i="30"/>
  <c r="AD115" i="30"/>
  <c r="AC115" i="30"/>
  <c r="AD114" i="30"/>
  <c r="AC114" i="30"/>
  <c r="AD112" i="30"/>
  <c r="AC112" i="30"/>
  <c r="AD111" i="30"/>
  <c r="AC111" i="30"/>
  <c r="AD110" i="30"/>
  <c r="AC110" i="30"/>
  <c r="AD109" i="30"/>
  <c r="AC109" i="30"/>
  <c r="AB108" i="30"/>
  <c r="AC75" i="30"/>
  <c r="AB64" i="30"/>
  <c r="AB41" i="30"/>
  <c r="AB36" i="30"/>
  <c r="AC21" i="30"/>
  <c r="AB18" i="30"/>
  <c r="AB14" i="30"/>
  <c r="AD10" i="30"/>
  <c r="AC10" i="30"/>
  <c r="AB8" i="30"/>
  <c r="X193" i="30"/>
  <c r="Y186" i="30"/>
  <c r="Z164" i="30"/>
  <c r="Y164" i="30"/>
  <c r="X162" i="30"/>
  <c r="X144" i="30"/>
  <c r="Z142" i="30"/>
  <c r="Y142" i="30"/>
  <c r="Z141" i="30"/>
  <c r="Y141" i="30"/>
  <c r="Z140" i="30"/>
  <c r="Y140" i="30"/>
  <c r="Z139" i="30"/>
  <c r="Y139" i="30"/>
  <c r="Z138" i="30"/>
  <c r="Y138" i="30"/>
  <c r="Z137" i="30"/>
  <c r="Y137" i="30"/>
  <c r="Z136" i="30"/>
  <c r="Y136" i="30"/>
  <c r="Z135" i="30"/>
  <c r="Y135" i="30"/>
  <c r="Z134" i="30"/>
  <c r="Y134" i="30"/>
  <c r="Z133" i="30"/>
  <c r="Y133" i="30"/>
  <c r="Z132" i="30"/>
  <c r="Y132" i="30"/>
  <c r="Z131" i="30"/>
  <c r="Y131" i="30"/>
  <c r="Z130" i="30"/>
  <c r="Y130" i="30"/>
  <c r="Z129" i="30"/>
  <c r="Y129" i="30"/>
  <c r="Z128" i="30"/>
  <c r="Y128" i="30"/>
  <c r="Z127" i="30"/>
  <c r="Y127" i="30"/>
  <c r="Z126" i="30"/>
  <c r="Y126" i="30"/>
  <c r="Z125" i="30"/>
  <c r="Y125" i="30"/>
  <c r="Z124" i="30"/>
  <c r="Y124" i="30"/>
  <c r="Z123" i="30"/>
  <c r="Y123" i="30"/>
  <c r="Z121" i="30"/>
  <c r="Y121" i="30"/>
  <c r="X120" i="30"/>
  <c r="Z118" i="30"/>
  <c r="Y118" i="30"/>
  <c r="Z117" i="30"/>
  <c r="Y117" i="30"/>
  <c r="Z116" i="30"/>
  <c r="Y116" i="30"/>
  <c r="Z115" i="30"/>
  <c r="Y115" i="30"/>
  <c r="Z114" i="30"/>
  <c r="Y114" i="30"/>
  <c r="Z112" i="30"/>
  <c r="Y112" i="30"/>
  <c r="Z111" i="30"/>
  <c r="Y111" i="30"/>
  <c r="Z110" i="30"/>
  <c r="Y110" i="30"/>
  <c r="Z109" i="30"/>
  <c r="Y109" i="30"/>
  <c r="X108" i="30"/>
  <c r="Y75" i="30"/>
  <c r="X64" i="30"/>
  <c r="X41" i="30"/>
  <c r="X36" i="30"/>
  <c r="X18" i="30"/>
  <c r="X14" i="30"/>
  <c r="Z10" i="30"/>
  <c r="Y10" i="30"/>
  <c r="X8" i="30"/>
  <c r="T193" i="30"/>
  <c r="U186" i="30"/>
  <c r="V164" i="30"/>
  <c r="U164" i="30"/>
  <c r="T162" i="30"/>
  <c r="V147" i="30"/>
  <c r="U147" i="30"/>
  <c r="T144" i="30"/>
  <c r="T120" i="30"/>
  <c r="V118" i="30"/>
  <c r="U118" i="30"/>
  <c r="V117" i="30"/>
  <c r="U117" i="30"/>
  <c r="V116" i="30"/>
  <c r="U116" i="30"/>
  <c r="V115" i="30"/>
  <c r="U115" i="30"/>
  <c r="V114" i="30"/>
  <c r="U114" i="30"/>
  <c r="V112" i="30"/>
  <c r="U112" i="30"/>
  <c r="V111" i="30"/>
  <c r="U111" i="30"/>
  <c r="V110" i="30"/>
  <c r="U110" i="30"/>
  <c r="V109" i="30"/>
  <c r="U109" i="30"/>
  <c r="T108" i="30"/>
  <c r="U75" i="30"/>
  <c r="T64" i="30"/>
  <c r="V62" i="30"/>
  <c r="U62" i="30"/>
  <c r="V60" i="30"/>
  <c r="U60" i="30"/>
  <c r="V58" i="30"/>
  <c r="U58" i="30"/>
  <c r="V57" i="30"/>
  <c r="U57" i="30"/>
  <c r="V56" i="30"/>
  <c r="U56" i="30"/>
  <c r="V55" i="30"/>
  <c r="U55" i="30"/>
  <c r="V54" i="30"/>
  <c r="U54" i="30"/>
  <c r="V53" i="30"/>
  <c r="U53" i="30"/>
  <c r="V52" i="30"/>
  <c r="U52" i="30"/>
  <c r="V50" i="30"/>
  <c r="U50" i="30"/>
  <c r="V49" i="30"/>
  <c r="U49" i="30"/>
  <c r="V48" i="30"/>
  <c r="U48" i="30"/>
  <c r="V47" i="30"/>
  <c r="U47" i="30"/>
  <c r="V45" i="30"/>
  <c r="U45" i="30"/>
  <c r="V44" i="30"/>
  <c r="U44" i="30"/>
  <c r="V43" i="30"/>
  <c r="U43" i="30"/>
  <c r="T41" i="30"/>
  <c r="T36" i="30"/>
  <c r="U21" i="30"/>
  <c r="T18" i="30"/>
  <c r="T14" i="30"/>
  <c r="V10" i="30"/>
  <c r="U10" i="30"/>
  <c r="T8" i="30"/>
  <c r="P193" i="30"/>
  <c r="R164" i="30"/>
  <c r="Q164" i="30"/>
  <c r="P162" i="30"/>
  <c r="P144" i="30"/>
  <c r="P120" i="30"/>
  <c r="R118" i="30"/>
  <c r="Q118" i="30"/>
  <c r="R117" i="30"/>
  <c r="Q117" i="30"/>
  <c r="R116" i="30"/>
  <c r="Q116" i="30"/>
  <c r="R115" i="30"/>
  <c r="Q115" i="30"/>
  <c r="R114" i="30"/>
  <c r="Q114" i="30"/>
  <c r="R112" i="30"/>
  <c r="Q112" i="30"/>
  <c r="R111" i="30"/>
  <c r="Q111" i="30"/>
  <c r="R110" i="30"/>
  <c r="Q110" i="30"/>
  <c r="R109" i="30"/>
  <c r="Q109" i="30"/>
  <c r="P108" i="30"/>
  <c r="Q75" i="30"/>
  <c r="P64" i="30"/>
  <c r="P41" i="30"/>
  <c r="P36" i="30"/>
  <c r="P18" i="30"/>
  <c r="P14" i="30"/>
  <c r="R10" i="30"/>
  <c r="Q10" i="30"/>
  <c r="R9" i="30"/>
  <c r="Q9" i="30"/>
  <c r="P8" i="30"/>
  <c r="L193" i="30"/>
  <c r="N164" i="30"/>
  <c r="M164" i="30"/>
  <c r="L162" i="30"/>
  <c r="L144" i="30"/>
  <c r="L120" i="30"/>
  <c r="N118" i="30"/>
  <c r="M118" i="30"/>
  <c r="N117" i="30"/>
  <c r="M117" i="30"/>
  <c r="N116" i="30"/>
  <c r="M116" i="30"/>
  <c r="N115" i="30"/>
  <c r="M115" i="30"/>
  <c r="N114" i="30"/>
  <c r="M114" i="30"/>
  <c r="N112" i="30"/>
  <c r="M112" i="30"/>
  <c r="N111" i="30"/>
  <c r="M111" i="30"/>
  <c r="N110" i="30"/>
  <c r="M110" i="30"/>
  <c r="N109" i="30"/>
  <c r="M109" i="30"/>
  <c r="L108" i="30"/>
  <c r="M75" i="30"/>
  <c r="L64" i="30"/>
  <c r="L41" i="30"/>
  <c r="L36" i="30"/>
  <c r="L18" i="30"/>
  <c r="L14" i="30"/>
  <c r="N10" i="30"/>
  <c r="M10" i="30"/>
  <c r="L8" i="30"/>
  <c r="J164" i="30"/>
  <c r="I164" i="30"/>
  <c r="J118" i="30"/>
  <c r="I118" i="30"/>
  <c r="J117" i="30"/>
  <c r="I117" i="30"/>
  <c r="J116" i="30"/>
  <c r="I116" i="30"/>
  <c r="J115" i="30"/>
  <c r="I115" i="30"/>
  <c r="J114" i="30"/>
  <c r="I114" i="30"/>
  <c r="J112" i="30"/>
  <c r="I112" i="30"/>
  <c r="J111" i="30"/>
  <c r="I111" i="30"/>
  <c r="J110" i="30"/>
  <c r="I110" i="30"/>
  <c r="J109" i="30"/>
  <c r="I109" i="30"/>
  <c r="I75" i="30"/>
  <c r="H36" i="30"/>
  <c r="I21" i="30"/>
  <c r="H14" i="30"/>
  <c r="J10" i="30"/>
  <c r="I10" i="30"/>
  <c r="H8" i="30"/>
  <c r="E42" i="30"/>
  <c r="D41" i="30"/>
  <c r="D108" i="30"/>
  <c r="D144" i="30"/>
  <c r="D162" i="30"/>
  <c r="D193" i="30"/>
  <c r="F194" i="30"/>
  <c r="F189" i="30"/>
  <c r="E189" i="30"/>
  <c r="F188" i="30"/>
  <c r="E188" i="30"/>
  <c r="F187" i="30"/>
  <c r="E187" i="30"/>
  <c r="E186" i="30"/>
  <c r="F185" i="30"/>
  <c r="E185" i="30"/>
  <c r="F184" i="30"/>
  <c r="E184" i="30"/>
  <c r="F183" i="30"/>
  <c r="E183" i="30"/>
  <c r="F182" i="30"/>
  <c r="E182" i="30"/>
  <c r="F181" i="30"/>
  <c r="E181" i="30"/>
  <c r="F180" i="30"/>
  <c r="E180" i="30"/>
  <c r="F179" i="30"/>
  <c r="E179" i="30"/>
  <c r="F178" i="30"/>
  <c r="E178" i="30"/>
  <c r="F177" i="30"/>
  <c r="E177" i="30"/>
  <c r="F176" i="30"/>
  <c r="E176" i="30"/>
  <c r="F175" i="30"/>
  <c r="E175" i="30"/>
  <c r="F174" i="30"/>
  <c r="E174" i="30"/>
  <c r="F173" i="30"/>
  <c r="E173" i="30"/>
  <c r="F172" i="30"/>
  <c r="E172" i="30"/>
  <c r="F171" i="30"/>
  <c r="E171" i="30"/>
  <c r="F170" i="30"/>
  <c r="E170" i="30"/>
  <c r="F169" i="30"/>
  <c r="E169" i="30"/>
  <c r="F168" i="30"/>
  <c r="E168" i="30"/>
  <c r="F167" i="30"/>
  <c r="E167" i="30"/>
  <c r="F166" i="30"/>
  <c r="E166" i="30"/>
  <c r="F165" i="30"/>
  <c r="E165" i="30"/>
  <c r="F164" i="30"/>
  <c r="E164" i="30"/>
  <c r="F163" i="30"/>
  <c r="E163" i="30"/>
  <c r="F160" i="30"/>
  <c r="E160" i="30"/>
  <c r="F159" i="30"/>
  <c r="E159" i="30"/>
  <c r="F158" i="30"/>
  <c r="E158" i="30"/>
  <c r="F157" i="30"/>
  <c r="E157" i="30"/>
  <c r="F156" i="30"/>
  <c r="E156" i="30"/>
  <c r="F155" i="30"/>
  <c r="E155" i="30"/>
  <c r="F154" i="30"/>
  <c r="E154" i="30"/>
  <c r="F153" i="30"/>
  <c r="E153" i="30"/>
  <c r="F152" i="30"/>
  <c r="E152" i="30"/>
  <c r="F151" i="30"/>
  <c r="E151" i="30"/>
  <c r="F150" i="30"/>
  <c r="E150" i="30"/>
  <c r="F149" i="30"/>
  <c r="E149" i="30"/>
  <c r="F148" i="30"/>
  <c r="E148" i="30"/>
  <c r="F147" i="30"/>
  <c r="E147" i="30"/>
  <c r="F146" i="30"/>
  <c r="E146" i="30"/>
  <c r="F145" i="30"/>
  <c r="E145" i="30"/>
  <c r="F142" i="30"/>
  <c r="E142" i="30"/>
  <c r="F141" i="30"/>
  <c r="E141" i="30"/>
  <c r="F140" i="30"/>
  <c r="E140" i="30"/>
  <c r="F139" i="30"/>
  <c r="E139" i="30"/>
  <c r="F138" i="30"/>
  <c r="E138" i="30"/>
  <c r="F137" i="30"/>
  <c r="E137" i="30"/>
  <c r="F136" i="30"/>
  <c r="E136" i="30"/>
  <c r="F135" i="30"/>
  <c r="E135" i="30"/>
  <c r="F134" i="30"/>
  <c r="E134" i="30"/>
  <c r="F133" i="30"/>
  <c r="E133" i="30"/>
  <c r="F132" i="30"/>
  <c r="E132" i="30"/>
  <c r="F131" i="30"/>
  <c r="E131" i="30"/>
  <c r="F130" i="30"/>
  <c r="E130" i="30"/>
  <c r="F129" i="30"/>
  <c r="E129" i="30"/>
  <c r="F128" i="30"/>
  <c r="E128" i="30"/>
  <c r="F127" i="30"/>
  <c r="E127" i="30"/>
  <c r="F126" i="30"/>
  <c r="E126" i="30"/>
  <c r="F125" i="30"/>
  <c r="E125" i="30"/>
  <c r="F124" i="30"/>
  <c r="E124" i="30"/>
  <c r="F123" i="30"/>
  <c r="E123" i="30"/>
  <c r="F121" i="30"/>
  <c r="E121" i="30"/>
  <c r="F118" i="30"/>
  <c r="E118" i="30"/>
  <c r="F117" i="30"/>
  <c r="E117" i="30"/>
  <c r="F116" i="30"/>
  <c r="E116" i="30"/>
  <c r="F115" i="30"/>
  <c r="E115" i="30"/>
  <c r="F114" i="30"/>
  <c r="E114" i="30"/>
  <c r="F113" i="30"/>
  <c r="E113" i="30"/>
  <c r="F112" i="30"/>
  <c r="E112" i="30"/>
  <c r="F111" i="30"/>
  <c r="E111" i="30"/>
  <c r="F110" i="30"/>
  <c r="E110" i="30"/>
  <c r="F109" i="30"/>
  <c r="E109" i="30"/>
  <c r="F103" i="30"/>
  <c r="E103" i="30"/>
  <c r="F102" i="30"/>
  <c r="E102" i="30"/>
  <c r="F101" i="30"/>
  <c r="E101" i="30"/>
  <c r="F100" i="30"/>
  <c r="E100" i="30"/>
  <c r="F99" i="30"/>
  <c r="E99" i="30"/>
  <c r="F98" i="30"/>
  <c r="E98" i="30"/>
  <c r="F97" i="30"/>
  <c r="E97" i="30"/>
  <c r="F96" i="30"/>
  <c r="E96" i="30"/>
  <c r="F95" i="30"/>
  <c r="E95" i="30"/>
  <c r="F94" i="30"/>
  <c r="E94" i="30"/>
  <c r="F93" i="30"/>
  <c r="E93" i="30"/>
  <c r="F92" i="30"/>
  <c r="E92" i="30"/>
  <c r="F91" i="30"/>
  <c r="E91" i="30"/>
  <c r="F90" i="30"/>
  <c r="E90" i="30"/>
  <c r="F89" i="30"/>
  <c r="E89" i="30"/>
  <c r="F88" i="30"/>
  <c r="E88" i="30"/>
  <c r="F87" i="30"/>
  <c r="E87" i="30"/>
  <c r="F86" i="30"/>
  <c r="E86" i="30"/>
  <c r="F85" i="30"/>
  <c r="E85" i="30"/>
  <c r="F84" i="30"/>
  <c r="E84" i="30"/>
  <c r="F83" i="30"/>
  <c r="E83" i="30"/>
  <c r="F82" i="30"/>
  <c r="E82" i="30"/>
  <c r="F81" i="30"/>
  <c r="E81" i="30"/>
  <c r="F80" i="30"/>
  <c r="E80" i="30"/>
  <c r="F79" i="30"/>
  <c r="E79" i="30"/>
  <c r="F78" i="30"/>
  <c r="E78" i="30"/>
  <c r="F77" i="30"/>
  <c r="E77" i="30"/>
  <c r="F76" i="30"/>
  <c r="E76" i="30"/>
  <c r="E75" i="30"/>
  <c r="F74" i="30"/>
  <c r="E74" i="30"/>
  <c r="F73" i="30"/>
  <c r="E73" i="30"/>
  <c r="F72" i="30"/>
  <c r="E72" i="30"/>
  <c r="F71" i="30"/>
  <c r="E71" i="30"/>
  <c r="F70" i="30"/>
  <c r="E70" i="30"/>
  <c r="F69" i="30"/>
  <c r="E69" i="30"/>
  <c r="F68" i="30"/>
  <c r="E68" i="30"/>
  <c r="F67" i="30"/>
  <c r="E67" i="30"/>
  <c r="F66" i="30"/>
  <c r="E66" i="30"/>
  <c r="F65" i="30"/>
  <c r="E65" i="30"/>
  <c r="F62" i="30"/>
  <c r="E62" i="30"/>
  <c r="F61" i="30"/>
  <c r="E61" i="30"/>
  <c r="F60" i="30"/>
  <c r="E60" i="30"/>
  <c r="F59" i="30"/>
  <c r="E59" i="30"/>
  <c r="F58" i="30"/>
  <c r="E58" i="30"/>
  <c r="F57" i="30"/>
  <c r="E57" i="30"/>
  <c r="F56" i="30"/>
  <c r="E56" i="30"/>
  <c r="F55" i="30"/>
  <c r="E55" i="30"/>
  <c r="F54" i="30"/>
  <c r="E54" i="30"/>
  <c r="F53" i="30"/>
  <c r="E53" i="30"/>
  <c r="F52" i="30"/>
  <c r="E52" i="30"/>
  <c r="F51" i="30"/>
  <c r="E51" i="30"/>
  <c r="F50" i="30"/>
  <c r="E50" i="30"/>
  <c r="F49" i="30"/>
  <c r="E49" i="30"/>
  <c r="F48" i="30"/>
  <c r="E48" i="30"/>
  <c r="F47" i="30"/>
  <c r="E47" i="30"/>
  <c r="F46" i="30"/>
  <c r="E46" i="30"/>
  <c r="F45" i="30"/>
  <c r="E45" i="30"/>
  <c r="F44" i="30"/>
  <c r="E44" i="30"/>
  <c r="F43" i="30"/>
  <c r="E43" i="30"/>
  <c r="F42" i="30"/>
  <c r="F37" i="30"/>
  <c r="F28" i="30"/>
  <c r="F27" i="30"/>
  <c r="F26" i="30"/>
  <c r="F25" i="30"/>
  <c r="F24" i="30"/>
  <c r="F23" i="30"/>
  <c r="F22" i="30"/>
  <c r="F19" i="30"/>
  <c r="F17" i="30"/>
  <c r="F16" i="30"/>
  <c r="F15" i="30"/>
  <c r="F13" i="30"/>
  <c r="F12" i="30"/>
  <c r="F11" i="30"/>
  <c r="F10" i="30"/>
  <c r="F9" i="30"/>
  <c r="E37" i="30"/>
  <c r="E29" i="30"/>
  <c r="E28" i="30"/>
  <c r="E27" i="30"/>
  <c r="E26" i="30"/>
  <c r="E25" i="30"/>
  <c r="E24" i="30"/>
  <c r="E23" i="30"/>
  <c r="E22" i="30"/>
  <c r="E21" i="30"/>
  <c r="E19" i="30"/>
  <c r="E17" i="30"/>
  <c r="E16" i="30"/>
  <c r="E15" i="30"/>
  <c r="E11" i="30"/>
  <c r="E12" i="30"/>
  <c r="E13" i="30"/>
  <c r="E10" i="30"/>
  <c r="E9" i="30"/>
  <c r="D36" i="30"/>
  <c r="D14" i="30"/>
  <c r="AY204" i="30"/>
  <c r="AZ204" i="30" s="1"/>
  <c r="C203" i="30"/>
  <c r="C202" i="30" s="1"/>
  <c r="C198" i="30" s="1"/>
  <c r="B64" i="31" s="1"/>
  <c r="C13" i="32" s="1"/>
  <c r="AU194" i="30"/>
  <c r="AW194" i="30" s="1"/>
  <c r="AQ194" i="30"/>
  <c r="AM194" i="30"/>
  <c r="AI194" i="30"/>
  <c r="AE194" i="30"/>
  <c r="AA194" i="30"/>
  <c r="W194" i="30"/>
  <c r="S194" i="30"/>
  <c r="O194" i="30"/>
  <c r="K194" i="30"/>
  <c r="G194" i="30"/>
  <c r="I194" i="30" s="1"/>
  <c r="C193" i="30"/>
  <c r="G189" i="30"/>
  <c r="G188" i="30"/>
  <c r="I188" i="30" s="1"/>
  <c r="G187" i="30"/>
  <c r="AU186" i="30"/>
  <c r="AW186" i="30" s="1"/>
  <c r="G186" i="30"/>
  <c r="K186" i="30" s="1"/>
  <c r="G185" i="30"/>
  <c r="G184" i="30"/>
  <c r="G183" i="30"/>
  <c r="G182" i="30"/>
  <c r="G181" i="30"/>
  <c r="G180" i="30"/>
  <c r="G179" i="30"/>
  <c r="G178" i="30"/>
  <c r="G177" i="30"/>
  <c r="G176" i="30"/>
  <c r="G175" i="30"/>
  <c r="G174" i="30"/>
  <c r="G173" i="30"/>
  <c r="G172" i="30"/>
  <c r="G171" i="30"/>
  <c r="G170" i="30"/>
  <c r="G169" i="30"/>
  <c r="G168" i="30"/>
  <c r="G167" i="30"/>
  <c r="I167" i="30" s="1"/>
  <c r="G166" i="30"/>
  <c r="J166" i="30" s="1"/>
  <c r="G165" i="30"/>
  <c r="I165" i="30" s="1"/>
  <c r="AY164" i="30"/>
  <c r="G163" i="30"/>
  <c r="I163" i="30" s="1"/>
  <c r="C162" i="30"/>
  <c r="G160" i="30"/>
  <c r="I160" i="30" s="1"/>
  <c r="G159" i="30"/>
  <c r="J159" i="30" s="1"/>
  <c r="G158" i="30"/>
  <c r="I158" i="30" s="1"/>
  <c r="G157" i="30"/>
  <c r="J157" i="30" s="1"/>
  <c r="G156" i="30"/>
  <c r="I156" i="30" s="1"/>
  <c r="G155" i="30"/>
  <c r="J155" i="30" s="1"/>
  <c r="G154" i="30"/>
  <c r="I154" i="30" s="1"/>
  <c r="G153" i="30"/>
  <c r="J153" i="30" s="1"/>
  <c r="G152" i="30"/>
  <c r="I152" i="30" s="1"/>
  <c r="G151" i="30"/>
  <c r="J151" i="30" s="1"/>
  <c r="G150" i="30"/>
  <c r="I150" i="30" s="1"/>
  <c r="G149" i="30"/>
  <c r="J149" i="30" s="1"/>
  <c r="G148" i="30"/>
  <c r="AM147" i="30"/>
  <c r="W147" i="30"/>
  <c r="G147" i="30"/>
  <c r="J147" i="30" s="1"/>
  <c r="G146" i="30"/>
  <c r="G145" i="30"/>
  <c r="I145" i="30" s="1"/>
  <c r="C144" i="30"/>
  <c r="AA142" i="30"/>
  <c r="G142" i="30"/>
  <c r="K142" i="30" s="1"/>
  <c r="O142" i="30" s="1"/>
  <c r="AA141" i="30"/>
  <c r="G141" i="30"/>
  <c r="AA140" i="30"/>
  <c r="G140" i="30"/>
  <c r="I140" i="30" s="1"/>
  <c r="AA139" i="30"/>
  <c r="G139" i="30"/>
  <c r="AA138" i="30"/>
  <c r="G138" i="30"/>
  <c r="K138" i="30" s="1"/>
  <c r="AA137" i="30"/>
  <c r="G137" i="30"/>
  <c r="AA136" i="30"/>
  <c r="G136" i="30"/>
  <c r="K136" i="30" s="1"/>
  <c r="AA135" i="30"/>
  <c r="G135" i="30"/>
  <c r="AA134" i="30"/>
  <c r="G134" i="30"/>
  <c r="K134" i="30" s="1"/>
  <c r="AA133" i="30"/>
  <c r="G133" i="30"/>
  <c r="AA132" i="30"/>
  <c r="AE132" i="30" s="1"/>
  <c r="G132" i="30"/>
  <c r="I132" i="30" s="1"/>
  <c r="AA131" i="30"/>
  <c r="G131" i="30"/>
  <c r="AM130" i="30"/>
  <c r="G130" i="30"/>
  <c r="K130" i="30" s="1"/>
  <c r="AA129" i="30"/>
  <c r="G129" i="30"/>
  <c r="AA128" i="30"/>
  <c r="G128" i="30"/>
  <c r="K128" i="30" s="1"/>
  <c r="AA127" i="30"/>
  <c r="G127" i="30"/>
  <c r="AA126" i="30"/>
  <c r="G126" i="30"/>
  <c r="K126" i="30" s="1"/>
  <c r="AA125" i="30"/>
  <c r="G125" i="30"/>
  <c r="AA124" i="30"/>
  <c r="G124" i="30"/>
  <c r="I124" i="30" s="1"/>
  <c r="AA123" i="30"/>
  <c r="G123" i="30"/>
  <c r="AA121" i="30"/>
  <c r="G121" i="30"/>
  <c r="K121" i="30" s="1"/>
  <c r="W120" i="30"/>
  <c r="C120" i="30"/>
  <c r="AY118" i="30"/>
  <c r="AY117" i="30"/>
  <c r="AY116" i="30"/>
  <c r="AY115" i="30"/>
  <c r="AY114" i="30"/>
  <c r="G113" i="30"/>
  <c r="G108" i="30" s="1"/>
  <c r="AY112" i="30"/>
  <c r="AY111" i="30"/>
  <c r="AY110" i="30"/>
  <c r="AY109" i="30"/>
  <c r="C108" i="30"/>
  <c r="G103" i="30"/>
  <c r="G102" i="30"/>
  <c r="G101" i="30"/>
  <c r="I101" i="30" s="1"/>
  <c r="G100" i="30"/>
  <c r="I100" i="30" s="1"/>
  <c r="G99" i="30"/>
  <c r="G98" i="30"/>
  <c r="I98" i="30" s="1"/>
  <c r="G97" i="30"/>
  <c r="I97" i="30" s="1"/>
  <c r="G96" i="30"/>
  <c r="G95" i="30"/>
  <c r="G94" i="30"/>
  <c r="G93" i="30"/>
  <c r="J93" i="30" s="1"/>
  <c r="G92" i="30"/>
  <c r="I92" i="30" s="1"/>
  <c r="G91" i="30"/>
  <c r="J91" i="30" s="1"/>
  <c r="G90" i="30"/>
  <c r="G89" i="30"/>
  <c r="G88" i="30"/>
  <c r="G87" i="30"/>
  <c r="G86" i="30"/>
  <c r="I86" i="30" s="1"/>
  <c r="G85" i="30"/>
  <c r="J85" i="30" s="1"/>
  <c r="G84" i="30"/>
  <c r="I84" i="30" s="1"/>
  <c r="G83" i="30"/>
  <c r="J83" i="30" s="1"/>
  <c r="G82" i="30"/>
  <c r="G81" i="30"/>
  <c r="I81" i="30" s="1"/>
  <c r="G80" i="30"/>
  <c r="G79" i="30"/>
  <c r="G78" i="30"/>
  <c r="I78" i="30" s="1"/>
  <c r="G77" i="30"/>
  <c r="J77" i="30" s="1"/>
  <c r="G76" i="30"/>
  <c r="I76" i="30" s="1"/>
  <c r="AY75" i="30"/>
  <c r="G74" i="30"/>
  <c r="K74" i="30" s="1"/>
  <c r="G73" i="30"/>
  <c r="G72" i="30"/>
  <c r="K72" i="30" s="1"/>
  <c r="G71" i="30"/>
  <c r="G70" i="30"/>
  <c r="K70" i="30" s="1"/>
  <c r="G69" i="30"/>
  <c r="G68" i="30"/>
  <c r="K68" i="30" s="1"/>
  <c r="G67" i="30"/>
  <c r="G66" i="30"/>
  <c r="K66" i="30" s="1"/>
  <c r="G65" i="30"/>
  <c r="C64" i="30"/>
  <c r="W62" i="30"/>
  <c r="G62" i="30"/>
  <c r="J62" i="30" s="1"/>
  <c r="G61" i="30"/>
  <c r="I61" i="30" s="1"/>
  <c r="W60" i="30"/>
  <c r="G60" i="30"/>
  <c r="G59" i="30"/>
  <c r="W58" i="30"/>
  <c r="G58" i="30"/>
  <c r="W57" i="30"/>
  <c r="G57" i="30"/>
  <c r="AU56" i="30"/>
  <c r="W56" i="30"/>
  <c r="G56" i="30"/>
  <c r="W55" i="30"/>
  <c r="G55" i="30"/>
  <c r="W54" i="30"/>
  <c r="G54" i="30"/>
  <c r="J54" i="30" s="1"/>
  <c r="W53" i="30"/>
  <c r="G53" i="30"/>
  <c r="I53" i="30" s="1"/>
  <c r="W52" i="30"/>
  <c r="G52" i="30"/>
  <c r="G51" i="30"/>
  <c r="AU50" i="30"/>
  <c r="W50" i="30"/>
  <c r="G50" i="30"/>
  <c r="J50" i="30" s="1"/>
  <c r="W49" i="30"/>
  <c r="G49" i="30"/>
  <c r="I49" i="30" s="1"/>
  <c r="W48" i="30"/>
  <c r="G48" i="30"/>
  <c r="W47" i="30"/>
  <c r="G47" i="30"/>
  <c r="G46" i="30"/>
  <c r="J46" i="30" s="1"/>
  <c r="W45" i="30"/>
  <c r="AA45" i="30" s="1"/>
  <c r="G45" i="30"/>
  <c r="I45" i="30" s="1"/>
  <c r="W44" i="30"/>
  <c r="AA44" i="30" s="1"/>
  <c r="G44" i="30"/>
  <c r="J44" i="30" s="1"/>
  <c r="W43" i="30"/>
  <c r="G43" i="30"/>
  <c r="G42" i="30"/>
  <c r="I42" i="30" s="1"/>
  <c r="C41" i="30"/>
  <c r="K37" i="30"/>
  <c r="N37" i="30" s="1"/>
  <c r="G37" i="30"/>
  <c r="J37" i="30" s="1"/>
  <c r="C36" i="30"/>
  <c r="K29" i="30"/>
  <c r="G29" i="30"/>
  <c r="J29" i="30" s="1"/>
  <c r="K28" i="30"/>
  <c r="S28" i="30" s="1"/>
  <c r="G28" i="30"/>
  <c r="K27" i="30"/>
  <c r="G27" i="30"/>
  <c r="K26" i="30"/>
  <c r="S26" i="30" s="1"/>
  <c r="G26" i="30"/>
  <c r="K25" i="30"/>
  <c r="G25" i="30"/>
  <c r="K24" i="30"/>
  <c r="S24" i="30" s="1"/>
  <c r="G24" i="30"/>
  <c r="K23" i="30"/>
  <c r="G23" i="30"/>
  <c r="J23" i="30" s="1"/>
  <c r="K22" i="30"/>
  <c r="S22" i="30" s="1"/>
  <c r="G22" i="30"/>
  <c r="AI21" i="30"/>
  <c r="AK21" i="30" s="1"/>
  <c r="O21" i="30"/>
  <c r="Q21" i="30" s="1"/>
  <c r="K21" i="30"/>
  <c r="M21" i="30" s="1"/>
  <c r="C20" i="30"/>
  <c r="G20" i="30" s="1"/>
  <c r="O20" i="30" s="1"/>
  <c r="K19" i="30"/>
  <c r="M19" i="30" s="1"/>
  <c r="G19" i="30"/>
  <c r="G17" i="30"/>
  <c r="G16" i="30"/>
  <c r="K16" i="30" s="1"/>
  <c r="G15" i="30"/>
  <c r="C14" i="30"/>
  <c r="G13" i="30"/>
  <c r="G12" i="30"/>
  <c r="J12" i="30" s="1"/>
  <c r="G11" i="30"/>
  <c r="K11" i="30" s="1"/>
  <c r="M11" i="30" s="1"/>
  <c r="AY10" i="30"/>
  <c r="I9" i="30"/>
  <c r="C8" i="30"/>
  <c r="W191" i="30" l="1"/>
  <c r="U191" i="30"/>
  <c r="V191" i="30"/>
  <c r="G18" i="30"/>
  <c r="J18" i="30" s="1"/>
  <c r="O104" i="30"/>
  <c r="S104" i="30" s="1"/>
  <c r="AF7" i="30"/>
  <c r="I18" i="31" s="1"/>
  <c r="U31" i="30"/>
  <c r="AA32" i="30"/>
  <c r="AI32" i="30" s="1"/>
  <c r="O106" i="30"/>
  <c r="Q106" i="30" s="1"/>
  <c r="AZ162" i="30"/>
  <c r="D39" i="30"/>
  <c r="AZ18" i="30"/>
  <c r="K93" i="30"/>
  <c r="O93" i="30" s="1"/>
  <c r="K100" i="30"/>
  <c r="M100" i="30" s="1"/>
  <c r="J108" i="30"/>
  <c r="AZ64" i="30"/>
  <c r="AC31" i="30"/>
  <c r="AQ31" i="30"/>
  <c r="AK31" i="30"/>
  <c r="AA30" i="30"/>
  <c r="U30" i="30"/>
  <c r="AZ193" i="30"/>
  <c r="AZ144" i="30"/>
  <c r="F41" i="30"/>
  <c r="AJ39" i="30"/>
  <c r="J42" i="31" s="1"/>
  <c r="AV7" i="30"/>
  <c r="M18" i="31" s="1"/>
  <c r="C18" i="30"/>
  <c r="E18" i="30" s="1"/>
  <c r="AZ120" i="30"/>
  <c r="AZ14" i="30"/>
  <c r="AZ108" i="30"/>
  <c r="D7" i="30"/>
  <c r="AZ8" i="30"/>
  <c r="F120" i="30"/>
  <c r="AZ41" i="30"/>
  <c r="AZ36" i="30"/>
  <c r="F36" i="30"/>
  <c r="S19" i="30"/>
  <c r="AA19" i="30" s="1"/>
  <c r="AI19" i="30" s="1"/>
  <c r="O29" i="30"/>
  <c r="R29" i="30" s="1"/>
  <c r="K61" i="30"/>
  <c r="O61" i="30" s="1"/>
  <c r="S61" i="30" s="1"/>
  <c r="F14" i="30"/>
  <c r="F162" i="30"/>
  <c r="L39" i="30"/>
  <c r="S142" i="30"/>
  <c r="R142" i="30"/>
  <c r="Q142" i="30"/>
  <c r="AI132" i="30"/>
  <c r="AG132" i="30"/>
  <c r="AH132" i="30"/>
  <c r="K13" i="30"/>
  <c r="I13" i="30"/>
  <c r="AE44" i="30"/>
  <c r="AC44" i="30"/>
  <c r="AD44" i="30"/>
  <c r="K51" i="30"/>
  <c r="O51" i="30" s="1"/>
  <c r="I51" i="30"/>
  <c r="AA55" i="30"/>
  <c r="Z55" i="30"/>
  <c r="Y55" i="30"/>
  <c r="K59" i="30"/>
  <c r="O59" i="30" s="1"/>
  <c r="I59" i="30"/>
  <c r="O68" i="30"/>
  <c r="S68" i="30" s="1"/>
  <c r="N68" i="30"/>
  <c r="K89" i="30"/>
  <c r="O89" i="30" s="1"/>
  <c r="J89" i="30"/>
  <c r="AE121" i="30"/>
  <c r="AD121" i="30"/>
  <c r="AC121" i="30"/>
  <c r="AD128" i="30"/>
  <c r="AC128" i="30"/>
  <c r="AE137" i="30"/>
  <c r="AD137" i="30"/>
  <c r="AC137" i="30"/>
  <c r="R20" i="30"/>
  <c r="Q20" i="30"/>
  <c r="S23" i="30"/>
  <c r="N23" i="30"/>
  <c r="M23" i="30"/>
  <c r="AA26" i="30"/>
  <c r="V26" i="30"/>
  <c r="U26" i="30"/>
  <c r="K48" i="30"/>
  <c r="O48" i="30" s="1"/>
  <c r="J48" i="30"/>
  <c r="AA57" i="30"/>
  <c r="Z57" i="30"/>
  <c r="Y57" i="30"/>
  <c r="K60" i="30"/>
  <c r="J60" i="30"/>
  <c r="K65" i="30"/>
  <c r="J65" i="30"/>
  <c r="I65" i="30"/>
  <c r="K76" i="30"/>
  <c r="O76" i="30" s="1"/>
  <c r="K84" i="30"/>
  <c r="O84" i="30" s="1"/>
  <c r="K92" i="30"/>
  <c r="O92" i="30" s="1"/>
  <c r="K98" i="30"/>
  <c r="K125" i="30"/>
  <c r="O125" i="30" s="1"/>
  <c r="J125" i="30"/>
  <c r="I125" i="30"/>
  <c r="AE128" i="30"/>
  <c r="O134" i="30"/>
  <c r="M134" i="30"/>
  <c r="N134" i="30"/>
  <c r="O138" i="30"/>
  <c r="S138" i="30" s="1"/>
  <c r="M138" i="30"/>
  <c r="N138" i="30"/>
  <c r="AQ147" i="30"/>
  <c r="AO147" i="30"/>
  <c r="AP147" i="30"/>
  <c r="K163" i="30"/>
  <c r="O163" i="30" s="1"/>
  <c r="K171" i="30"/>
  <c r="O171" i="30" s="1"/>
  <c r="I171" i="30"/>
  <c r="AA193" i="30"/>
  <c r="AC193" i="30" s="1"/>
  <c r="AD194" i="30"/>
  <c r="AC194" i="30"/>
  <c r="G203" i="30"/>
  <c r="G202" i="30" s="1"/>
  <c r="G198" i="30" s="1"/>
  <c r="C64" i="31" s="1"/>
  <c r="D13" i="32" s="1"/>
  <c r="K15" i="30"/>
  <c r="O15" i="30" s="1"/>
  <c r="J15" i="30"/>
  <c r="I15" i="30"/>
  <c r="J19" i="30"/>
  <c r="I19" i="30"/>
  <c r="K20" i="30"/>
  <c r="S20" i="30" s="1"/>
  <c r="O22" i="30"/>
  <c r="W22" i="30" s="1"/>
  <c r="I22" i="30"/>
  <c r="O23" i="30"/>
  <c r="O25" i="30"/>
  <c r="W25" i="30" s="1"/>
  <c r="J25" i="30"/>
  <c r="O27" i="30"/>
  <c r="J27" i="30"/>
  <c r="G36" i="30"/>
  <c r="J36" i="30" s="1"/>
  <c r="K45" i="30"/>
  <c r="K46" i="30"/>
  <c r="AA48" i="30"/>
  <c r="Y48" i="30"/>
  <c r="Z48" i="30"/>
  <c r="AA50" i="30"/>
  <c r="Y50" i="30"/>
  <c r="Z50" i="30"/>
  <c r="AA52" i="30"/>
  <c r="Y52" i="30"/>
  <c r="Z52" i="30"/>
  <c r="AA54" i="30"/>
  <c r="Y54" i="30"/>
  <c r="Z54" i="30"/>
  <c r="AA56" i="30"/>
  <c r="Y56" i="30"/>
  <c r="Z56" i="30"/>
  <c r="K58" i="30"/>
  <c r="O58" i="30" s="1"/>
  <c r="J58" i="30"/>
  <c r="AA60" i="30"/>
  <c r="Y60" i="30"/>
  <c r="Z60" i="30"/>
  <c r="K62" i="30"/>
  <c r="O62" i="30" s="1"/>
  <c r="O66" i="30"/>
  <c r="N66" i="30"/>
  <c r="O70" i="30"/>
  <c r="M70" i="30"/>
  <c r="N70" i="30"/>
  <c r="O74" i="30"/>
  <c r="M74" i="30"/>
  <c r="N74" i="30"/>
  <c r="K79" i="30"/>
  <c r="O79" i="30" s="1"/>
  <c r="J79" i="30"/>
  <c r="K87" i="30"/>
  <c r="O87" i="30" s="1"/>
  <c r="J87" i="30"/>
  <c r="K96" i="30"/>
  <c r="O96" i="30" s="1"/>
  <c r="I96" i="30"/>
  <c r="K99" i="30"/>
  <c r="O99" i="30" s="1"/>
  <c r="J99" i="30"/>
  <c r="K102" i="30"/>
  <c r="I102" i="30"/>
  <c r="J113" i="30"/>
  <c r="I113" i="30"/>
  <c r="AE123" i="30"/>
  <c r="AD123" i="30"/>
  <c r="AC123" i="30"/>
  <c r="AE125" i="30"/>
  <c r="AC125" i="30"/>
  <c r="AD125" i="30"/>
  <c r="AE127" i="30"/>
  <c r="AD127" i="30"/>
  <c r="AC127" i="30"/>
  <c r="K129" i="30"/>
  <c r="O129" i="30" s="1"/>
  <c r="S129" i="30" s="1"/>
  <c r="J129" i="30"/>
  <c r="I129" i="30"/>
  <c r="J131" i="30"/>
  <c r="I131" i="30"/>
  <c r="AE134" i="30"/>
  <c r="AD134" i="30"/>
  <c r="AC134" i="30"/>
  <c r="AE136" i="30"/>
  <c r="AD136" i="30"/>
  <c r="AC136" i="30"/>
  <c r="AE138" i="30"/>
  <c r="AD138" i="30"/>
  <c r="AC138" i="30"/>
  <c r="AE140" i="30"/>
  <c r="AD140" i="30"/>
  <c r="AC140" i="30"/>
  <c r="K146" i="30"/>
  <c r="O146" i="30" s="1"/>
  <c r="I146" i="30"/>
  <c r="K148" i="30"/>
  <c r="I148" i="30"/>
  <c r="K168" i="30"/>
  <c r="J168" i="30"/>
  <c r="K172" i="30"/>
  <c r="J172" i="30"/>
  <c r="K176" i="30"/>
  <c r="J176" i="30"/>
  <c r="K180" i="30"/>
  <c r="J180" i="30"/>
  <c r="K184" i="30"/>
  <c r="J184" i="30"/>
  <c r="J187" i="30"/>
  <c r="I187" i="30"/>
  <c r="F193" i="30"/>
  <c r="R194" i="30"/>
  <c r="Q194" i="30"/>
  <c r="AE193" i="30"/>
  <c r="AG193" i="30" s="1"/>
  <c r="AH194" i="30"/>
  <c r="AG194" i="30"/>
  <c r="AU193" i="30"/>
  <c r="AW193" i="30" s="1"/>
  <c r="AX194" i="30"/>
  <c r="E20" i="30"/>
  <c r="F20" i="30"/>
  <c r="E41" i="30"/>
  <c r="J9" i="30"/>
  <c r="J11" i="30"/>
  <c r="I16" i="30"/>
  <c r="I20" i="30"/>
  <c r="I23" i="30"/>
  <c r="I27" i="30"/>
  <c r="I46" i="30"/>
  <c r="I50" i="30"/>
  <c r="I54" i="30"/>
  <c r="I58" i="30"/>
  <c r="I62" i="30"/>
  <c r="I66" i="30"/>
  <c r="I70" i="30"/>
  <c r="I74" i="30"/>
  <c r="I77" i="30"/>
  <c r="I85" i="30"/>
  <c r="I89" i="30"/>
  <c r="I93" i="30"/>
  <c r="I108" i="30"/>
  <c r="J124" i="30"/>
  <c r="J128" i="30"/>
  <c r="J132" i="30"/>
  <c r="J136" i="30"/>
  <c r="J140" i="30"/>
  <c r="J148" i="30"/>
  <c r="J152" i="30"/>
  <c r="J156" i="30"/>
  <c r="J160" i="30"/>
  <c r="I168" i="30"/>
  <c r="I172" i="30"/>
  <c r="I176" i="30"/>
  <c r="I180" i="30"/>
  <c r="I184" i="30"/>
  <c r="J188" i="30"/>
  <c r="J194" i="30"/>
  <c r="N11" i="30"/>
  <c r="N19" i="30"/>
  <c r="M24" i="30"/>
  <c r="M28" i="30"/>
  <c r="M68" i="30"/>
  <c r="AS9" i="30"/>
  <c r="AT9" i="30"/>
  <c r="V24" i="30"/>
  <c r="U24" i="30"/>
  <c r="O28" i="30"/>
  <c r="I28" i="30"/>
  <c r="K43" i="30"/>
  <c r="O43" i="30" s="1"/>
  <c r="I43" i="30"/>
  <c r="AA47" i="30"/>
  <c r="AE47" i="30" s="1"/>
  <c r="Z47" i="30"/>
  <c r="Y47" i="30"/>
  <c r="AA53" i="30"/>
  <c r="Z53" i="30"/>
  <c r="Y53" i="30"/>
  <c r="O72" i="30"/>
  <c r="S72" i="30" s="1"/>
  <c r="M72" i="30"/>
  <c r="N72" i="30"/>
  <c r="K81" i="30"/>
  <c r="O81" i="30" s="1"/>
  <c r="J81" i="30"/>
  <c r="K94" i="30"/>
  <c r="I94" i="30"/>
  <c r="AE126" i="30"/>
  <c r="AD126" i="30"/>
  <c r="AC126" i="30"/>
  <c r="AE141" i="30"/>
  <c r="AD141" i="30"/>
  <c r="AC141" i="30"/>
  <c r="AA24" i="30"/>
  <c r="AA28" i="30"/>
  <c r="V28" i="30"/>
  <c r="U28" i="30"/>
  <c r="S37" i="30"/>
  <c r="AA37" i="30" s="1"/>
  <c r="M37" i="30"/>
  <c r="AA43" i="30"/>
  <c r="Z43" i="30"/>
  <c r="Y43" i="30"/>
  <c r="K52" i="30"/>
  <c r="J52" i="30"/>
  <c r="K56" i="30"/>
  <c r="J56" i="30"/>
  <c r="K69" i="30"/>
  <c r="O69" i="30" s="1"/>
  <c r="J69" i="30"/>
  <c r="I69" i="30"/>
  <c r="K73" i="30"/>
  <c r="O73" i="30" s="1"/>
  <c r="J73" i="30"/>
  <c r="I73" i="30"/>
  <c r="K82" i="30"/>
  <c r="I82" i="30"/>
  <c r="K86" i="30"/>
  <c r="K90" i="30"/>
  <c r="I90" i="30"/>
  <c r="K95" i="30"/>
  <c r="O95" i="30" s="1"/>
  <c r="J95" i="30"/>
  <c r="K101" i="30"/>
  <c r="O101" i="30" s="1"/>
  <c r="J101" i="30"/>
  <c r="J123" i="30"/>
  <c r="I123" i="30"/>
  <c r="J127" i="30"/>
  <c r="I127" i="30"/>
  <c r="AQ130" i="30"/>
  <c r="AP130" i="30"/>
  <c r="AO130" i="30"/>
  <c r="M136" i="30"/>
  <c r="N136" i="30"/>
  <c r="M142" i="30"/>
  <c r="N142" i="30"/>
  <c r="K179" i="30"/>
  <c r="O179" i="30" s="1"/>
  <c r="I179" i="30"/>
  <c r="K183" i="30"/>
  <c r="O183" i="30" s="1"/>
  <c r="I183" i="30"/>
  <c r="K193" i="30"/>
  <c r="M193" i="30" s="1"/>
  <c r="N194" i="30"/>
  <c r="M194" i="30"/>
  <c r="AQ193" i="30"/>
  <c r="AS193" i="30" s="1"/>
  <c r="AT194" i="30"/>
  <c r="AS194" i="30"/>
  <c r="E36" i="30"/>
  <c r="U9" i="30"/>
  <c r="V9" i="30"/>
  <c r="O16" i="30"/>
  <c r="N16" i="30"/>
  <c r="AA22" i="30"/>
  <c r="V22" i="30"/>
  <c r="U22" i="30"/>
  <c r="O24" i="30"/>
  <c r="I24" i="30"/>
  <c r="S25" i="30"/>
  <c r="N25" i="30"/>
  <c r="M25" i="30"/>
  <c r="S27" i="30"/>
  <c r="N27" i="30"/>
  <c r="M27" i="30"/>
  <c r="S29" i="30"/>
  <c r="N29" i="30"/>
  <c r="M29" i="30"/>
  <c r="K36" i="30"/>
  <c r="M36" i="30" s="1"/>
  <c r="K42" i="30"/>
  <c r="O42" i="30" s="1"/>
  <c r="J42" i="30"/>
  <c r="Y44" i="30"/>
  <c r="Z44" i="30"/>
  <c r="Z45" i="30"/>
  <c r="Y45" i="30"/>
  <c r="K47" i="30"/>
  <c r="I47" i="30"/>
  <c r="AW50" i="30"/>
  <c r="AX50" i="30"/>
  <c r="K55" i="30"/>
  <c r="I55" i="30"/>
  <c r="AW56" i="30"/>
  <c r="AX56" i="30"/>
  <c r="AA58" i="30"/>
  <c r="Y58" i="30"/>
  <c r="Z58" i="30"/>
  <c r="AA62" i="30"/>
  <c r="Y62" i="30"/>
  <c r="Z62" i="30"/>
  <c r="K67" i="30"/>
  <c r="J67" i="30"/>
  <c r="I67" i="30"/>
  <c r="K71" i="30"/>
  <c r="J71" i="30"/>
  <c r="I71" i="30"/>
  <c r="K77" i="30"/>
  <c r="O77" i="30" s="1"/>
  <c r="K80" i="30"/>
  <c r="I80" i="30"/>
  <c r="K83" i="30"/>
  <c r="O83" i="30" s="1"/>
  <c r="K85" i="30"/>
  <c r="O85" i="30" s="1"/>
  <c r="K88" i="30"/>
  <c r="I88" i="30"/>
  <c r="K91" i="30"/>
  <c r="O91" i="30" s="1"/>
  <c r="N93" i="30"/>
  <c r="K97" i="30"/>
  <c r="J97" i="30"/>
  <c r="K103" i="30"/>
  <c r="J103" i="30"/>
  <c r="K113" i="30"/>
  <c r="K108" i="30" s="1"/>
  <c r="M108" i="30" s="1"/>
  <c r="M121" i="30"/>
  <c r="N121" i="30"/>
  <c r="O126" i="30"/>
  <c r="S126" i="30" s="1"/>
  <c r="M126" i="30"/>
  <c r="N126" i="30"/>
  <c r="O128" i="30"/>
  <c r="M128" i="30"/>
  <c r="N128" i="30"/>
  <c r="AE129" i="30"/>
  <c r="AC129" i="30"/>
  <c r="AD129" i="30"/>
  <c r="AE131" i="30"/>
  <c r="AC131" i="30"/>
  <c r="AD131" i="30"/>
  <c r="K133" i="30"/>
  <c r="O133" i="30" s="1"/>
  <c r="J133" i="30"/>
  <c r="I133" i="30"/>
  <c r="J135" i="30"/>
  <c r="I135" i="30"/>
  <c r="K137" i="30"/>
  <c r="J137" i="30"/>
  <c r="I137" i="30"/>
  <c r="J139" i="30"/>
  <c r="I139" i="30"/>
  <c r="K141" i="30"/>
  <c r="O141" i="30" s="1"/>
  <c r="J141" i="30"/>
  <c r="I141" i="30"/>
  <c r="AE142" i="30"/>
  <c r="AD142" i="30"/>
  <c r="AC142" i="30"/>
  <c r="K169" i="30"/>
  <c r="O169" i="30" s="1"/>
  <c r="I169" i="30"/>
  <c r="K173" i="30"/>
  <c r="O173" i="30" s="1"/>
  <c r="I173" i="30"/>
  <c r="K177" i="30"/>
  <c r="O177" i="30" s="1"/>
  <c r="I177" i="30"/>
  <c r="K181" i="30"/>
  <c r="O181" i="30" s="1"/>
  <c r="I181" i="30"/>
  <c r="K185" i="30"/>
  <c r="O185" i="30" s="1"/>
  <c r="I185" i="30"/>
  <c r="G193" i="30"/>
  <c r="J193" i="30" s="1"/>
  <c r="V194" i="30"/>
  <c r="U194" i="30"/>
  <c r="AI193" i="30"/>
  <c r="AK193" i="30" s="1"/>
  <c r="AL194" i="30"/>
  <c r="AK194" i="30"/>
  <c r="E120" i="30"/>
  <c r="I12" i="30"/>
  <c r="J16" i="30"/>
  <c r="J20" i="30"/>
  <c r="J24" i="30"/>
  <c r="J28" i="30"/>
  <c r="I37" i="30"/>
  <c r="J43" i="30"/>
  <c r="J47" i="30"/>
  <c r="J51" i="30"/>
  <c r="J55" i="30"/>
  <c r="J59" i="30"/>
  <c r="J66" i="30"/>
  <c r="J70" i="30"/>
  <c r="J74" i="30"/>
  <c r="J78" i="30"/>
  <c r="J82" i="30"/>
  <c r="J86" i="30"/>
  <c r="J90" i="30"/>
  <c r="J94" i="30"/>
  <c r="J98" i="30"/>
  <c r="J102" i="30"/>
  <c r="I121" i="30"/>
  <c r="I126" i="30"/>
  <c r="I130" i="30"/>
  <c r="I134" i="30"/>
  <c r="I138" i="30"/>
  <c r="I142" i="30"/>
  <c r="I149" i="30"/>
  <c r="I153" i="30"/>
  <c r="I157" i="30"/>
  <c r="J165" i="30"/>
  <c r="J169" i="30"/>
  <c r="J173" i="30"/>
  <c r="J177" i="30"/>
  <c r="J181" i="30"/>
  <c r="J185" i="30"/>
  <c r="M16" i="30"/>
  <c r="N24" i="30"/>
  <c r="N28" i="30"/>
  <c r="K17" i="30"/>
  <c r="J17" i="30"/>
  <c r="I17" i="30"/>
  <c r="AA49" i="30"/>
  <c r="Z49" i="30"/>
  <c r="Y49" i="30"/>
  <c r="K57" i="30"/>
  <c r="I57" i="30"/>
  <c r="AE124" i="30"/>
  <c r="AD124" i="30"/>
  <c r="AC124" i="30"/>
  <c r="O130" i="30"/>
  <c r="M130" i="30"/>
  <c r="N130" i="30"/>
  <c r="AE133" i="30"/>
  <c r="AD133" i="30"/>
  <c r="AC133" i="30"/>
  <c r="AE135" i="30"/>
  <c r="AC135" i="30"/>
  <c r="AD135" i="30"/>
  <c r="AE139" i="30"/>
  <c r="AC139" i="30"/>
  <c r="AD139" i="30"/>
  <c r="AA147" i="30"/>
  <c r="Y147" i="30"/>
  <c r="Z147" i="30"/>
  <c r="K170" i="30"/>
  <c r="J170" i="30"/>
  <c r="K174" i="30"/>
  <c r="J174" i="30"/>
  <c r="K178" i="30"/>
  <c r="J178" i="30"/>
  <c r="K182" i="30"/>
  <c r="J182" i="30"/>
  <c r="O186" i="30"/>
  <c r="Q186" i="30" s="1"/>
  <c r="M186" i="30"/>
  <c r="J189" i="30"/>
  <c r="I189" i="30"/>
  <c r="W193" i="30"/>
  <c r="Z193" i="30" s="1"/>
  <c r="Z194" i="30"/>
  <c r="Y194" i="30"/>
  <c r="AM193" i="30"/>
  <c r="AO193" i="30" s="1"/>
  <c r="AO194" i="30"/>
  <c r="AP194" i="30"/>
  <c r="E14" i="30"/>
  <c r="F108" i="30"/>
  <c r="J13" i="30"/>
  <c r="I25" i="30"/>
  <c r="I29" i="30"/>
  <c r="I44" i="30"/>
  <c r="I48" i="30"/>
  <c r="I52" i="30"/>
  <c r="I56" i="30"/>
  <c r="I60" i="30"/>
  <c r="I68" i="30"/>
  <c r="I72" i="30"/>
  <c r="I79" i="30"/>
  <c r="I83" i="30"/>
  <c r="I87" i="30"/>
  <c r="I91" i="30"/>
  <c r="I95" i="30"/>
  <c r="I99" i="30"/>
  <c r="I103" i="30"/>
  <c r="J121" i="30"/>
  <c r="J126" i="30"/>
  <c r="J130" i="30"/>
  <c r="J134" i="30"/>
  <c r="J138" i="30"/>
  <c r="J142" i="30"/>
  <c r="J146" i="30"/>
  <c r="J150" i="30"/>
  <c r="J154" i="30"/>
  <c r="J158" i="30"/>
  <c r="J163" i="30"/>
  <c r="I166" i="30"/>
  <c r="I170" i="30"/>
  <c r="I174" i="30"/>
  <c r="I178" i="30"/>
  <c r="I182" i="30"/>
  <c r="I186" i="30"/>
  <c r="M22" i="30"/>
  <c r="M26" i="30"/>
  <c r="O26" i="30"/>
  <c r="I26" i="30"/>
  <c r="AE45" i="30"/>
  <c r="AD45" i="30"/>
  <c r="AC45" i="30"/>
  <c r="K78" i="30"/>
  <c r="AD132" i="30"/>
  <c r="AC132" i="30"/>
  <c r="K145" i="30"/>
  <c r="O145" i="30" s="1"/>
  <c r="J145" i="30"/>
  <c r="K175" i="30"/>
  <c r="O175" i="30" s="1"/>
  <c r="I175" i="30"/>
  <c r="I11" i="30"/>
  <c r="J22" i="30"/>
  <c r="J26" i="30"/>
  <c r="J45" i="30"/>
  <c r="J49" i="30"/>
  <c r="J53" i="30"/>
  <c r="J57" i="30"/>
  <c r="J61" i="30"/>
  <c r="J68" i="30"/>
  <c r="J72" i="30"/>
  <c r="J76" i="30"/>
  <c r="J80" i="30"/>
  <c r="J84" i="30"/>
  <c r="J88" i="30"/>
  <c r="J92" i="30"/>
  <c r="J96" i="30"/>
  <c r="J100" i="30"/>
  <c r="I128" i="30"/>
  <c r="I136" i="30"/>
  <c r="I147" i="30"/>
  <c r="I151" i="30"/>
  <c r="I155" i="30"/>
  <c r="I159" i="30"/>
  <c r="J167" i="30"/>
  <c r="J171" i="30"/>
  <c r="J175" i="30"/>
  <c r="J179" i="30"/>
  <c r="J183" i="30"/>
  <c r="N22" i="30"/>
  <c r="N26" i="30"/>
  <c r="M66" i="30"/>
  <c r="Y120" i="30"/>
  <c r="Z120" i="30"/>
  <c r="AR7" i="30"/>
  <c r="L18" i="31" s="1"/>
  <c r="AV39" i="30"/>
  <c r="M42" i="31" s="1"/>
  <c r="AR39" i="30"/>
  <c r="L42" i="31" s="1"/>
  <c r="AN39" i="30"/>
  <c r="K42" i="31" s="1"/>
  <c r="AN7" i="30"/>
  <c r="K18" i="31" s="1"/>
  <c r="AJ7" i="30"/>
  <c r="J18" i="31" s="1"/>
  <c r="AF39" i="30"/>
  <c r="I42" i="31" s="1"/>
  <c r="AB39" i="30"/>
  <c r="H42" i="31" s="1"/>
  <c r="AB7" i="30"/>
  <c r="H18" i="31" s="1"/>
  <c r="X39" i="30"/>
  <c r="G42" i="31" s="1"/>
  <c r="X7" i="30"/>
  <c r="G18" i="31" s="1"/>
  <c r="T39" i="30"/>
  <c r="F42" i="31" s="1"/>
  <c r="T7" i="30"/>
  <c r="F18" i="31" s="1"/>
  <c r="P39" i="30"/>
  <c r="E42" i="31" s="1"/>
  <c r="P7" i="30"/>
  <c r="E18" i="31" s="1"/>
  <c r="L7" i="30"/>
  <c r="H7" i="30"/>
  <c r="H196" i="30" s="1"/>
  <c r="H198" i="30" s="1"/>
  <c r="C39" i="30"/>
  <c r="E193" i="30"/>
  <c r="O193" i="30"/>
  <c r="Q193" i="30" s="1"/>
  <c r="AY194" i="30"/>
  <c r="F8" i="30"/>
  <c r="F144" i="30"/>
  <c r="E8" i="30"/>
  <c r="O136" i="30"/>
  <c r="F64" i="30"/>
  <c r="E108" i="30"/>
  <c r="E144" i="30"/>
  <c r="E162" i="30"/>
  <c r="E64" i="30"/>
  <c r="S193" i="30"/>
  <c r="U193" i="30" s="1"/>
  <c r="O19" i="30"/>
  <c r="G64" i="30"/>
  <c r="G14" i="30"/>
  <c r="I14" i="30" s="1"/>
  <c r="O11" i="30"/>
  <c r="G8" i="30"/>
  <c r="I8" i="30" s="1"/>
  <c r="K12" i="30"/>
  <c r="O37" i="30"/>
  <c r="K50" i="30"/>
  <c r="W21" i="30"/>
  <c r="Y21" i="30" s="1"/>
  <c r="K44" i="30"/>
  <c r="G41" i="30"/>
  <c r="J41" i="30" s="1"/>
  <c r="K54" i="30"/>
  <c r="K49" i="30"/>
  <c r="K53" i="30"/>
  <c r="K131" i="30"/>
  <c r="O121" i="30"/>
  <c r="K124" i="30"/>
  <c r="K127" i="30"/>
  <c r="K123" i="30"/>
  <c r="G120" i="30"/>
  <c r="J120" i="30" s="1"/>
  <c r="K153" i="30"/>
  <c r="AA120" i="30"/>
  <c r="AD120" i="30" s="1"/>
  <c r="K132" i="30"/>
  <c r="K135" i="30"/>
  <c r="K140" i="30"/>
  <c r="K151" i="30"/>
  <c r="K159" i="30"/>
  <c r="K157" i="30"/>
  <c r="K166" i="30"/>
  <c r="K139" i="30"/>
  <c r="G144" i="30"/>
  <c r="J144" i="30" s="1"/>
  <c r="K155" i="30"/>
  <c r="K150" i="30"/>
  <c r="K152" i="30"/>
  <c r="K154" i="30"/>
  <c r="K156" i="30"/>
  <c r="K158" i="30"/>
  <c r="K160" i="30"/>
  <c r="K147" i="30"/>
  <c r="K149" i="30"/>
  <c r="G162" i="30"/>
  <c r="I162" i="30" s="1"/>
  <c r="K165" i="30"/>
  <c r="K167" i="30"/>
  <c r="K187" i="30"/>
  <c r="K189" i="30"/>
  <c r="K188" i="30"/>
  <c r="S106" i="30" l="1"/>
  <c r="U106" i="30" s="1"/>
  <c r="Q104" i="30"/>
  <c r="I193" i="30"/>
  <c r="Y191" i="30"/>
  <c r="Z191" i="30"/>
  <c r="AA191" i="30"/>
  <c r="AX193" i="30"/>
  <c r="AP193" i="30"/>
  <c r="N36" i="30"/>
  <c r="K18" i="30"/>
  <c r="N18" i="30" s="1"/>
  <c r="W29" i="30"/>
  <c r="Z29" i="30" s="1"/>
  <c r="C9" i="32"/>
  <c r="B41" i="31"/>
  <c r="M93" i="30"/>
  <c r="D196" i="30"/>
  <c r="AC32" i="30"/>
  <c r="R61" i="30"/>
  <c r="W104" i="30"/>
  <c r="U104" i="30"/>
  <c r="C7" i="30"/>
  <c r="C196" i="30" s="1"/>
  <c r="AD193" i="30"/>
  <c r="Q29" i="30"/>
  <c r="N100" i="30"/>
  <c r="K14" i="30"/>
  <c r="M14" i="30" s="1"/>
  <c r="W106" i="30"/>
  <c r="O100" i="30"/>
  <c r="S100" i="30" s="1"/>
  <c r="F18" i="30"/>
  <c r="M61" i="30"/>
  <c r="Q61" i="30"/>
  <c r="N193" i="30"/>
  <c r="K64" i="30"/>
  <c r="N64" i="30" s="1"/>
  <c r="AQ32" i="30"/>
  <c r="AK32" i="30"/>
  <c r="AS31" i="30"/>
  <c r="AC30" i="30"/>
  <c r="AI30" i="30"/>
  <c r="N61" i="30"/>
  <c r="AY186" i="30"/>
  <c r="AH193" i="30"/>
  <c r="I36" i="30"/>
  <c r="U19" i="30"/>
  <c r="AE120" i="30"/>
  <c r="AG120" i="30" s="1"/>
  <c r="Y193" i="30"/>
  <c r="K203" i="30"/>
  <c r="K202" i="30" s="1"/>
  <c r="I18" i="30"/>
  <c r="V19" i="30"/>
  <c r="AL193" i="30"/>
  <c r="AR196" i="30"/>
  <c r="AT193" i="30"/>
  <c r="AZ39" i="30"/>
  <c r="AZ7" i="30"/>
  <c r="V129" i="30"/>
  <c r="U129" i="30"/>
  <c r="R181" i="30"/>
  <c r="Q181" i="30"/>
  <c r="N154" i="30"/>
  <c r="M154" i="30"/>
  <c r="N166" i="30"/>
  <c r="M166" i="30"/>
  <c r="S141" i="30"/>
  <c r="R141" i="30"/>
  <c r="Q141" i="30"/>
  <c r="S69" i="30"/>
  <c r="R69" i="30"/>
  <c r="Q69" i="30"/>
  <c r="R173" i="30"/>
  <c r="Q173" i="30"/>
  <c r="N160" i="30"/>
  <c r="M160" i="30"/>
  <c r="N151" i="30"/>
  <c r="M151" i="30"/>
  <c r="M132" i="30"/>
  <c r="N132" i="30"/>
  <c r="U138" i="30"/>
  <c r="V138" i="30"/>
  <c r="R121" i="30"/>
  <c r="Q121" i="30"/>
  <c r="Q91" i="30"/>
  <c r="R91" i="30"/>
  <c r="S125" i="30"/>
  <c r="R125" i="30"/>
  <c r="Q125" i="30"/>
  <c r="R58" i="30"/>
  <c r="Q58" i="30"/>
  <c r="R43" i="30"/>
  <c r="Q43" i="30"/>
  <c r="AI37" i="30"/>
  <c r="AC37" i="30"/>
  <c r="AD37" i="30"/>
  <c r="N167" i="30"/>
  <c r="M167" i="30"/>
  <c r="J198" i="30"/>
  <c r="I198" i="30"/>
  <c r="S175" i="30"/>
  <c r="R175" i="30"/>
  <c r="Q175" i="30"/>
  <c r="N157" i="30"/>
  <c r="M157" i="30"/>
  <c r="R145" i="30"/>
  <c r="Q145" i="30"/>
  <c r="R177" i="30"/>
  <c r="Q177" i="30"/>
  <c r="N153" i="30"/>
  <c r="M153" i="30"/>
  <c r="S89" i="30"/>
  <c r="Q89" i="30"/>
  <c r="R89" i="30"/>
  <c r="S133" i="30"/>
  <c r="R133" i="30"/>
  <c r="Q133" i="30"/>
  <c r="S73" i="30"/>
  <c r="R73" i="30"/>
  <c r="Q73" i="30"/>
  <c r="N49" i="30"/>
  <c r="M49" i="30"/>
  <c r="U72" i="30"/>
  <c r="V72" i="30"/>
  <c r="AA36" i="30"/>
  <c r="U20" i="30"/>
  <c r="V20" i="30"/>
  <c r="R37" i="30"/>
  <c r="Q37" i="30"/>
  <c r="N12" i="30"/>
  <c r="M12" i="30"/>
  <c r="Q19" i="30"/>
  <c r="R19" i="30"/>
  <c r="S101" i="30"/>
  <c r="Q101" i="30"/>
  <c r="R101" i="30"/>
  <c r="S163" i="30"/>
  <c r="R163" i="30"/>
  <c r="Q163" i="30"/>
  <c r="U126" i="30"/>
  <c r="V126" i="30"/>
  <c r="J8" i="30"/>
  <c r="AC120" i="30"/>
  <c r="R193" i="30"/>
  <c r="I120" i="30"/>
  <c r="AI45" i="30"/>
  <c r="AH45" i="30"/>
  <c r="AG45" i="30"/>
  <c r="O178" i="30"/>
  <c r="N178" i="30"/>
  <c r="M178" i="30"/>
  <c r="O170" i="30"/>
  <c r="N170" i="30"/>
  <c r="M170" i="30"/>
  <c r="AI133" i="30"/>
  <c r="AH133" i="30"/>
  <c r="AG133" i="30"/>
  <c r="O57" i="30"/>
  <c r="N57" i="30"/>
  <c r="M57" i="30"/>
  <c r="N181" i="30"/>
  <c r="M181" i="30"/>
  <c r="N173" i="30"/>
  <c r="M173" i="30"/>
  <c r="N141" i="30"/>
  <c r="M141" i="30"/>
  <c r="AI129" i="30"/>
  <c r="AH129" i="30"/>
  <c r="AG129" i="30"/>
  <c r="S93" i="30"/>
  <c r="Q93" i="30"/>
  <c r="R93" i="30"/>
  <c r="N85" i="30"/>
  <c r="M85" i="30"/>
  <c r="N77" i="30"/>
  <c r="M77" i="30"/>
  <c r="AE58" i="30"/>
  <c r="AC58" i="30"/>
  <c r="AD58" i="30"/>
  <c r="O55" i="30"/>
  <c r="N55" i="30"/>
  <c r="M55" i="30"/>
  <c r="O47" i="30"/>
  <c r="N47" i="30"/>
  <c r="M47" i="30"/>
  <c r="AA25" i="30"/>
  <c r="V25" i="30"/>
  <c r="U25" i="30"/>
  <c r="AU130" i="30"/>
  <c r="AT130" i="30"/>
  <c r="AS130" i="30"/>
  <c r="N95" i="30"/>
  <c r="M95" i="30"/>
  <c r="N73" i="30"/>
  <c r="M73" i="30"/>
  <c r="S36" i="30"/>
  <c r="V37" i="30"/>
  <c r="U37" i="30"/>
  <c r="AI24" i="30"/>
  <c r="AD24" i="30"/>
  <c r="AC24" i="30"/>
  <c r="O94" i="30"/>
  <c r="N94" i="30"/>
  <c r="M94" i="30"/>
  <c r="W61" i="30"/>
  <c r="V61" i="30"/>
  <c r="U61" i="30"/>
  <c r="N43" i="30"/>
  <c r="M43" i="30"/>
  <c r="O180" i="30"/>
  <c r="N180" i="30"/>
  <c r="M180" i="30"/>
  <c r="O172" i="30"/>
  <c r="N172" i="30"/>
  <c r="M172" i="30"/>
  <c r="O148" i="30"/>
  <c r="N148" i="30"/>
  <c r="M148" i="30"/>
  <c r="AI138" i="30"/>
  <c r="AG138" i="30"/>
  <c r="AH138" i="30"/>
  <c r="AI123" i="30"/>
  <c r="AH123" i="30"/>
  <c r="AG123" i="30"/>
  <c r="O102" i="30"/>
  <c r="N102" i="30"/>
  <c r="M102" i="30"/>
  <c r="N96" i="30"/>
  <c r="M96" i="30"/>
  <c r="N79" i="30"/>
  <c r="M79" i="30"/>
  <c r="S66" i="30"/>
  <c r="R66" i="30"/>
  <c r="Q66" i="30"/>
  <c r="AE60" i="30"/>
  <c r="AC60" i="30"/>
  <c r="AD60" i="30"/>
  <c r="AE54" i="30"/>
  <c r="AC54" i="30"/>
  <c r="AD54" i="30"/>
  <c r="R25" i="30"/>
  <c r="Q25" i="30"/>
  <c r="N20" i="30"/>
  <c r="M20" i="30"/>
  <c r="N171" i="30"/>
  <c r="M171" i="30"/>
  <c r="AU147" i="30"/>
  <c r="AS147" i="30"/>
  <c r="AT147" i="30"/>
  <c r="N92" i="30"/>
  <c r="M92" i="30"/>
  <c r="N48" i="30"/>
  <c r="M48" i="30"/>
  <c r="AI121" i="30"/>
  <c r="AG121" i="30"/>
  <c r="AH121" i="30"/>
  <c r="R68" i="30"/>
  <c r="Q68" i="30"/>
  <c r="S171" i="30"/>
  <c r="R171" i="30"/>
  <c r="Q171" i="30"/>
  <c r="N139" i="30"/>
  <c r="M139" i="30"/>
  <c r="N159" i="30"/>
  <c r="M159" i="30"/>
  <c r="M188" i="30"/>
  <c r="N188" i="30"/>
  <c r="N149" i="30"/>
  <c r="M149" i="30"/>
  <c r="N155" i="30"/>
  <c r="M155" i="30"/>
  <c r="R169" i="30"/>
  <c r="Q169" i="30"/>
  <c r="S81" i="30"/>
  <c r="Q81" i="30"/>
  <c r="R81" i="30"/>
  <c r="N53" i="30"/>
  <c r="M53" i="30"/>
  <c r="M9" i="30"/>
  <c r="N9" i="30"/>
  <c r="N189" i="30"/>
  <c r="M189" i="30"/>
  <c r="N147" i="30"/>
  <c r="M147" i="30"/>
  <c r="N158" i="30"/>
  <c r="M158" i="30"/>
  <c r="N150" i="30"/>
  <c r="M150" i="30"/>
  <c r="N187" i="30"/>
  <c r="M187" i="30"/>
  <c r="N165" i="30"/>
  <c r="M165" i="30"/>
  <c r="S179" i="30"/>
  <c r="R179" i="30"/>
  <c r="Q179" i="30"/>
  <c r="N156" i="30"/>
  <c r="M156" i="30"/>
  <c r="M140" i="30"/>
  <c r="N140" i="30"/>
  <c r="R185" i="30"/>
  <c r="Q185" i="30"/>
  <c r="S146" i="30"/>
  <c r="R146" i="30"/>
  <c r="Q146" i="30"/>
  <c r="N123" i="30"/>
  <c r="M123" i="30"/>
  <c r="S77" i="30"/>
  <c r="Q77" i="30"/>
  <c r="R77" i="30"/>
  <c r="R62" i="30"/>
  <c r="Q62" i="30"/>
  <c r="N127" i="30"/>
  <c r="M127" i="30"/>
  <c r="S95" i="30"/>
  <c r="Q95" i="30"/>
  <c r="R95" i="30"/>
  <c r="Q87" i="30"/>
  <c r="R87" i="30"/>
  <c r="Q79" i="30"/>
  <c r="R79" i="30"/>
  <c r="N131" i="30"/>
  <c r="M131" i="30"/>
  <c r="N54" i="30"/>
  <c r="M54" i="30"/>
  <c r="N44" i="30"/>
  <c r="M44" i="30"/>
  <c r="R15" i="30"/>
  <c r="Q15" i="30"/>
  <c r="N50" i="30"/>
  <c r="M50" i="30"/>
  <c r="AW9" i="30"/>
  <c r="AX9" i="30"/>
  <c r="AD9" i="30"/>
  <c r="AC9" i="30"/>
  <c r="S92" i="30"/>
  <c r="R92" i="30"/>
  <c r="Q92" i="30"/>
  <c r="AE25" i="30"/>
  <c r="Z25" i="30"/>
  <c r="Y25" i="30"/>
  <c r="S136" i="30"/>
  <c r="R136" i="30"/>
  <c r="Q136" i="30"/>
  <c r="F39" i="30"/>
  <c r="N108" i="30"/>
  <c r="N175" i="30"/>
  <c r="M175" i="30"/>
  <c r="AI135" i="30"/>
  <c r="AH135" i="30"/>
  <c r="AG135" i="30"/>
  <c r="AI142" i="30"/>
  <c r="AG142" i="30"/>
  <c r="AH142" i="30"/>
  <c r="O137" i="30"/>
  <c r="N137" i="30"/>
  <c r="M137" i="30"/>
  <c r="AI131" i="30"/>
  <c r="AH131" i="30"/>
  <c r="AG131" i="30"/>
  <c r="O113" i="30"/>
  <c r="N113" i="30"/>
  <c r="M113" i="30"/>
  <c r="O97" i="30"/>
  <c r="N97" i="30"/>
  <c r="M97" i="30"/>
  <c r="N91" i="30"/>
  <c r="M91" i="30"/>
  <c r="N83" i="30"/>
  <c r="M83" i="30"/>
  <c r="AE62" i="30"/>
  <c r="AC62" i="30"/>
  <c r="AD62" i="30"/>
  <c r="AA27" i="30"/>
  <c r="U27" i="30"/>
  <c r="V27" i="30"/>
  <c r="AI22" i="30"/>
  <c r="AD22" i="30"/>
  <c r="AC22" i="30"/>
  <c r="N179" i="30"/>
  <c r="M179" i="30"/>
  <c r="O82" i="30"/>
  <c r="N82" i="30"/>
  <c r="M82" i="30"/>
  <c r="O56" i="30"/>
  <c r="N56" i="30"/>
  <c r="M56" i="30"/>
  <c r="R72" i="30"/>
  <c r="Q72" i="30"/>
  <c r="AI140" i="30"/>
  <c r="AG140" i="30"/>
  <c r="AH140" i="30"/>
  <c r="AI125" i="30"/>
  <c r="AH125" i="30"/>
  <c r="AG125" i="30"/>
  <c r="N62" i="30"/>
  <c r="M62" i="30"/>
  <c r="AE56" i="30"/>
  <c r="AC56" i="30"/>
  <c r="AD56" i="30"/>
  <c r="AE48" i="30"/>
  <c r="AC48" i="30"/>
  <c r="AD48" i="30"/>
  <c r="W23" i="30"/>
  <c r="R23" i="30"/>
  <c r="Q23" i="30"/>
  <c r="N163" i="30"/>
  <c r="M163" i="30"/>
  <c r="N84" i="30"/>
  <c r="M84" i="30"/>
  <c r="O65" i="30"/>
  <c r="M65" i="30"/>
  <c r="N65" i="30"/>
  <c r="AE55" i="30"/>
  <c r="AD55" i="30"/>
  <c r="AC55" i="30"/>
  <c r="S85" i="30"/>
  <c r="Q85" i="30"/>
  <c r="R85" i="30"/>
  <c r="M124" i="30"/>
  <c r="N124" i="30"/>
  <c r="R48" i="30"/>
  <c r="Q48" i="30"/>
  <c r="R42" i="30"/>
  <c r="Q42" i="30"/>
  <c r="AL19" i="30"/>
  <c r="AK19" i="30"/>
  <c r="W68" i="30"/>
  <c r="U68" i="30"/>
  <c r="V68" i="30"/>
  <c r="AI47" i="30"/>
  <c r="AH47" i="30"/>
  <c r="AG47" i="30"/>
  <c r="R11" i="30"/>
  <c r="Q11" i="30"/>
  <c r="J64" i="30"/>
  <c r="I64" i="30"/>
  <c r="S76" i="30"/>
  <c r="R76" i="30"/>
  <c r="Q76" i="30"/>
  <c r="AE22" i="30"/>
  <c r="Y22" i="30"/>
  <c r="Z22" i="30"/>
  <c r="R129" i="30"/>
  <c r="Q129" i="30"/>
  <c r="V193" i="30"/>
  <c r="I144" i="30"/>
  <c r="J14" i="30"/>
  <c r="O78" i="30"/>
  <c r="N78" i="30"/>
  <c r="M78" i="30"/>
  <c r="W26" i="30"/>
  <c r="R26" i="30"/>
  <c r="Q26" i="30"/>
  <c r="O182" i="30"/>
  <c r="N182" i="30"/>
  <c r="M182" i="30"/>
  <c r="O174" i="30"/>
  <c r="N174" i="30"/>
  <c r="M174" i="30"/>
  <c r="AI139" i="30"/>
  <c r="AH139" i="30"/>
  <c r="AG139" i="30"/>
  <c r="AI124" i="30"/>
  <c r="AG124" i="30"/>
  <c r="AH124" i="30"/>
  <c r="O17" i="30"/>
  <c r="O14" i="30" s="1"/>
  <c r="M17" i="30"/>
  <c r="N17" i="30"/>
  <c r="J162" i="30"/>
  <c r="N185" i="30"/>
  <c r="M185" i="30"/>
  <c r="N177" i="30"/>
  <c r="M177" i="30"/>
  <c r="N169" i="30"/>
  <c r="M169" i="30"/>
  <c r="N133" i="30"/>
  <c r="M133" i="30"/>
  <c r="R126" i="30"/>
  <c r="Q126" i="30"/>
  <c r="O67" i="30"/>
  <c r="N67" i="30"/>
  <c r="M67" i="30"/>
  <c r="N42" i="30"/>
  <c r="M42" i="30"/>
  <c r="AA29" i="30"/>
  <c r="V29" i="30"/>
  <c r="U29" i="30"/>
  <c r="W24" i="30"/>
  <c r="R24" i="30"/>
  <c r="Q24" i="30"/>
  <c r="Y9" i="30"/>
  <c r="Z9" i="30"/>
  <c r="N101" i="30"/>
  <c r="M101" i="30"/>
  <c r="O90" i="30"/>
  <c r="N90" i="30"/>
  <c r="M90" i="30"/>
  <c r="AE43" i="30"/>
  <c r="AD43" i="30"/>
  <c r="AC43" i="30"/>
  <c r="AI126" i="30"/>
  <c r="AG126" i="30"/>
  <c r="AH126" i="30"/>
  <c r="N81" i="30"/>
  <c r="M81" i="30"/>
  <c r="AD47" i="30"/>
  <c r="AC47" i="30"/>
  <c r="W28" i="30"/>
  <c r="R28" i="30"/>
  <c r="Q28" i="30"/>
  <c r="O184" i="30"/>
  <c r="N184" i="30"/>
  <c r="M184" i="30"/>
  <c r="O176" i="30"/>
  <c r="N176" i="30"/>
  <c r="M176" i="30"/>
  <c r="O168" i="30"/>
  <c r="N168" i="30"/>
  <c r="M168" i="30"/>
  <c r="N146" i="30"/>
  <c r="M146" i="30"/>
  <c r="AI134" i="30"/>
  <c r="AG134" i="30"/>
  <c r="AH134" i="30"/>
  <c r="AI127" i="30"/>
  <c r="AH127" i="30"/>
  <c r="AG127" i="30"/>
  <c r="N99" i="30"/>
  <c r="M99" i="30"/>
  <c r="N87" i="30"/>
  <c r="M87" i="30"/>
  <c r="S70" i="30"/>
  <c r="R70" i="30"/>
  <c r="Q70" i="30"/>
  <c r="N58" i="30"/>
  <c r="M58" i="30"/>
  <c r="AE50" i="30"/>
  <c r="AC50" i="30"/>
  <c r="AD50" i="30"/>
  <c r="O46" i="30"/>
  <c r="N46" i="30"/>
  <c r="M46" i="30"/>
  <c r="W27" i="30"/>
  <c r="R27" i="30"/>
  <c r="Q27" i="30"/>
  <c r="M15" i="30"/>
  <c r="N15" i="30"/>
  <c r="S134" i="30"/>
  <c r="R134" i="30"/>
  <c r="Q134" i="30"/>
  <c r="N125" i="30"/>
  <c r="M125" i="30"/>
  <c r="N76" i="30"/>
  <c r="M76" i="30"/>
  <c r="AE57" i="30"/>
  <c r="AD57" i="30"/>
  <c r="AC57" i="30"/>
  <c r="AA23" i="30"/>
  <c r="U23" i="30"/>
  <c r="V23" i="30"/>
  <c r="N89" i="30"/>
  <c r="M89" i="30"/>
  <c r="N59" i="30"/>
  <c r="M59" i="30"/>
  <c r="AI44" i="30"/>
  <c r="AG44" i="30"/>
  <c r="AH44" i="30"/>
  <c r="AM132" i="30"/>
  <c r="AL132" i="30"/>
  <c r="AK132" i="30"/>
  <c r="S183" i="30"/>
  <c r="R183" i="30"/>
  <c r="Q183" i="30"/>
  <c r="N135" i="30"/>
  <c r="M135" i="30"/>
  <c r="N152" i="30"/>
  <c r="M152" i="30"/>
  <c r="Q83" i="30"/>
  <c r="R83" i="30"/>
  <c r="S99" i="30"/>
  <c r="Q99" i="30"/>
  <c r="R99" i="30"/>
  <c r="S59" i="30"/>
  <c r="R59" i="30"/>
  <c r="Q59" i="30"/>
  <c r="S51" i="30"/>
  <c r="R51" i="30"/>
  <c r="Q51" i="30"/>
  <c r="S96" i="30"/>
  <c r="R96" i="30"/>
  <c r="Q96" i="30"/>
  <c r="S84" i="30"/>
  <c r="R84" i="30"/>
  <c r="Q84" i="30"/>
  <c r="AV196" i="30"/>
  <c r="I41" i="30"/>
  <c r="N145" i="30"/>
  <c r="M145" i="30"/>
  <c r="AE147" i="30"/>
  <c r="AC147" i="30"/>
  <c r="AD147" i="30"/>
  <c r="S130" i="30"/>
  <c r="R130" i="30"/>
  <c r="Q130" i="30"/>
  <c r="AE49" i="30"/>
  <c r="AD49" i="30"/>
  <c r="AC49" i="30"/>
  <c r="M64" i="30"/>
  <c r="S128" i="30"/>
  <c r="R128" i="30"/>
  <c r="Q128" i="30"/>
  <c r="O103" i="30"/>
  <c r="N103" i="30"/>
  <c r="M103" i="30"/>
  <c r="O88" i="30"/>
  <c r="N88" i="30"/>
  <c r="M88" i="30"/>
  <c r="O80" i="30"/>
  <c r="N80" i="30"/>
  <c r="M80" i="30"/>
  <c r="O71" i="30"/>
  <c r="N71" i="30"/>
  <c r="M71" i="30"/>
  <c r="S16" i="30"/>
  <c r="R16" i="30"/>
  <c r="Q16" i="30"/>
  <c r="N183" i="30"/>
  <c r="M183" i="30"/>
  <c r="O86" i="30"/>
  <c r="N86" i="30"/>
  <c r="M86" i="30"/>
  <c r="N69" i="30"/>
  <c r="M69" i="30"/>
  <c r="O52" i="30"/>
  <c r="N52" i="30"/>
  <c r="M52" i="30"/>
  <c r="AI28" i="30"/>
  <c r="AD28" i="30"/>
  <c r="AC28" i="30"/>
  <c r="AI141" i="30"/>
  <c r="AH141" i="30"/>
  <c r="AG141" i="30"/>
  <c r="AE53" i="30"/>
  <c r="AD53" i="30"/>
  <c r="AC53" i="30"/>
  <c r="AC19" i="30"/>
  <c r="AD19" i="30"/>
  <c r="AI136" i="30"/>
  <c r="AG136" i="30"/>
  <c r="AH136" i="30"/>
  <c r="N129" i="30"/>
  <c r="M129" i="30"/>
  <c r="S74" i="30"/>
  <c r="R74" i="30"/>
  <c r="Q74" i="30"/>
  <c r="AE52" i="30"/>
  <c r="AC52" i="30"/>
  <c r="AD52" i="30"/>
  <c r="O45" i="30"/>
  <c r="N45" i="30"/>
  <c r="M45" i="30"/>
  <c r="R22" i="30"/>
  <c r="Q22" i="30"/>
  <c r="R138" i="30"/>
  <c r="Q138" i="30"/>
  <c r="AI128" i="30"/>
  <c r="AG128" i="30"/>
  <c r="AH128" i="30"/>
  <c r="O98" i="30"/>
  <c r="N98" i="30"/>
  <c r="M98" i="30"/>
  <c r="O60" i="30"/>
  <c r="N60" i="30"/>
  <c r="M60" i="30"/>
  <c r="AI26" i="30"/>
  <c r="AD26" i="30"/>
  <c r="AC26" i="30"/>
  <c r="AI137" i="30"/>
  <c r="AH137" i="30"/>
  <c r="AG137" i="30"/>
  <c r="N51" i="30"/>
  <c r="M51" i="30"/>
  <c r="O13" i="30"/>
  <c r="N13" i="30"/>
  <c r="M13" i="30"/>
  <c r="U142" i="30"/>
  <c r="V142" i="30"/>
  <c r="AN196" i="30"/>
  <c r="AJ196" i="30"/>
  <c r="AF196" i="30"/>
  <c r="I65" i="31" s="1"/>
  <c r="AB196" i="30"/>
  <c r="H65" i="31" s="1"/>
  <c r="X196" i="30"/>
  <c r="G65" i="31" s="1"/>
  <c r="T196" i="30"/>
  <c r="F65" i="31" s="1"/>
  <c r="P196" i="30"/>
  <c r="E65" i="31" s="1"/>
  <c r="L196" i="30"/>
  <c r="E39" i="30"/>
  <c r="AY193" i="30"/>
  <c r="O157" i="30"/>
  <c r="S177" i="30"/>
  <c r="O153" i="30"/>
  <c r="S91" i="30"/>
  <c r="S83" i="30"/>
  <c r="O53" i="30"/>
  <c r="O54" i="30"/>
  <c r="O44" i="30"/>
  <c r="O50" i="30"/>
  <c r="O160" i="30"/>
  <c r="O140" i="30"/>
  <c r="S185" i="30"/>
  <c r="O123" i="30"/>
  <c r="O127" i="30"/>
  <c r="S173" i="30"/>
  <c r="O167" i="30"/>
  <c r="O139" i="30"/>
  <c r="O158" i="30"/>
  <c r="O152" i="30"/>
  <c r="O155" i="30"/>
  <c r="O166" i="30"/>
  <c r="O159" i="30"/>
  <c r="O135" i="30"/>
  <c r="O124" i="30"/>
  <c r="S87" i="30"/>
  <c r="S79" i="30"/>
  <c r="O131" i="30"/>
  <c r="O49" i="30"/>
  <c r="AE21" i="30"/>
  <c r="O188" i="30"/>
  <c r="O154" i="30"/>
  <c r="O189" i="30"/>
  <c r="O149" i="30"/>
  <c r="O187" i="30"/>
  <c r="O147" i="30"/>
  <c r="S181" i="30"/>
  <c r="O156" i="30"/>
  <c r="O150" i="30"/>
  <c r="O151" i="30"/>
  <c r="O132" i="30"/>
  <c r="S169" i="30"/>
  <c r="W72" i="30"/>
  <c r="O12" i="30"/>
  <c r="W19" i="30"/>
  <c r="O18" i="30"/>
  <c r="K8" i="30"/>
  <c r="K120" i="30"/>
  <c r="G39" i="30"/>
  <c r="AQ19" i="30"/>
  <c r="O36" i="30"/>
  <c r="W37" i="30"/>
  <c r="O165" i="30"/>
  <c r="K162" i="30"/>
  <c r="S121" i="30"/>
  <c r="S15" i="30"/>
  <c r="G7" i="30"/>
  <c r="S11" i="30"/>
  <c r="S145" i="30"/>
  <c r="K144" i="30"/>
  <c r="W20" i="30"/>
  <c r="S18" i="30"/>
  <c r="S42" i="30"/>
  <c r="K41" i="30"/>
  <c r="D104" i="26"/>
  <c r="E104" i="26" s="1"/>
  <c r="F104" i="26" s="1"/>
  <c r="G104" i="26" s="1"/>
  <c r="H104" i="26" s="1"/>
  <c r="I104" i="26" s="1"/>
  <c r="J104" i="26" s="1"/>
  <c r="K104" i="26" s="1"/>
  <c r="L104" i="26" s="1"/>
  <c r="M104" i="26" s="1"/>
  <c r="N104" i="26" s="1"/>
  <c r="L198" i="30" l="1"/>
  <c r="E7" i="30"/>
  <c r="O8" i="30"/>
  <c r="Q8" i="30" s="1"/>
  <c r="AD191" i="30"/>
  <c r="AE191" i="30"/>
  <c r="AC191" i="30"/>
  <c r="M18" i="30"/>
  <c r="AE29" i="30"/>
  <c r="AG29" i="30" s="1"/>
  <c r="Q100" i="30"/>
  <c r="F7" i="30"/>
  <c r="N42" i="31"/>
  <c r="Y29" i="30"/>
  <c r="R100" i="30"/>
  <c r="N14" i="30"/>
  <c r="C5" i="32"/>
  <c r="D5" i="32" s="1"/>
  <c r="B17" i="31"/>
  <c r="D9" i="32"/>
  <c r="N18" i="31"/>
  <c r="J39" i="30"/>
  <c r="C41" i="31"/>
  <c r="C43" i="31" s="1"/>
  <c r="D198" i="30"/>
  <c r="C17" i="31"/>
  <c r="AY147" i="30"/>
  <c r="Y104" i="30"/>
  <c r="AA104" i="30"/>
  <c r="Y106" i="30"/>
  <c r="AA106" i="30"/>
  <c r="AS32" i="30"/>
  <c r="AK30" i="30"/>
  <c r="AQ30" i="30"/>
  <c r="O203" i="30"/>
  <c r="S203" i="30" s="1"/>
  <c r="AH120" i="30"/>
  <c r="O41" i="30"/>
  <c r="R41" i="30" s="1"/>
  <c r="O64" i="30"/>
  <c r="Q64" i="30" s="1"/>
  <c r="J7" i="30"/>
  <c r="G196" i="30"/>
  <c r="C199" i="30"/>
  <c r="E196" i="30"/>
  <c r="AZ196" i="30"/>
  <c r="AG9" i="30"/>
  <c r="AH9" i="30"/>
  <c r="Z20" i="30"/>
  <c r="Y20" i="30"/>
  <c r="U11" i="30"/>
  <c r="V11" i="30"/>
  <c r="R14" i="30"/>
  <c r="Q14" i="30"/>
  <c r="N144" i="30"/>
  <c r="M144" i="30"/>
  <c r="U121" i="30"/>
  <c r="V121" i="30"/>
  <c r="R36" i="30"/>
  <c r="Q36" i="30"/>
  <c r="AE19" i="30"/>
  <c r="Z19" i="30"/>
  <c r="Y19" i="30"/>
  <c r="W169" i="30"/>
  <c r="V169" i="30"/>
  <c r="U169" i="30"/>
  <c r="S156" i="30"/>
  <c r="R156" i="30"/>
  <c r="Q156" i="30"/>
  <c r="S187" i="30"/>
  <c r="R187" i="30"/>
  <c r="Q187" i="30"/>
  <c r="S188" i="30"/>
  <c r="R188" i="30"/>
  <c r="Q188" i="30"/>
  <c r="S131" i="30"/>
  <c r="R131" i="30"/>
  <c r="Q131" i="30"/>
  <c r="S155" i="30"/>
  <c r="R155" i="30"/>
  <c r="Q155" i="30"/>
  <c r="S167" i="30"/>
  <c r="R167" i="30"/>
  <c r="Q167" i="30"/>
  <c r="W185" i="30"/>
  <c r="V185" i="30"/>
  <c r="U185" i="30"/>
  <c r="R44" i="30"/>
  <c r="Q44" i="30"/>
  <c r="W91" i="30"/>
  <c r="V91" i="30"/>
  <c r="U91" i="30"/>
  <c r="I39" i="30"/>
  <c r="S13" i="30"/>
  <c r="R13" i="30"/>
  <c r="Q13" i="30"/>
  <c r="AQ26" i="30"/>
  <c r="AL26" i="30"/>
  <c r="AK26" i="30"/>
  <c r="R45" i="30"/>
  <c r="Q45" i="30"/>
  <c r="AI53" i="30"/>
  <c r="AH53" i="30"/>
  <c r="AG53" i="30"/>
  <c r="S88" i="30"/>
  <c r="R88" i="30"/>
  <c r="Q88" i="30"/>
  <c r="AG147" i="30"/>
  <c r="AH147" i="30"/>
  <c r="W96" i="30"/>
  <c r="V96" i="30"/>
  <c r="U96" i="30"/>
  <c r="AM44" i="30"/>
  <c r="AL44" i="30"/>
  <c r="AK44" i="30"/>
  <c r="AI50" i="30"/>
  <c r="AG50" i="30"/>
  <c r="AH50" i="30"/>
  <c r="AM127" i="30"/>
  <c r="AL127" i="30"/>
  <c r="AK127" i="30"/>
  <c r="S168" i="30"/>
  <c r="Q168" i="30"/>
  <c r="R168" i="30"/>
  <c r="AM126" i="30"/>
  <c r="AL126" i="30"/>
  <c r="AK126" i="30"/>
  <c r="AI29" i="30"/>
  <c r="AC29" i="30"/>
  <c r="AD29" i="30"/>
  <c r="S174" i="30"/>
  <c r="Q174" i="30"/>
  <c r="R174" i="30"/>
  <c r="AA68" i="30"/>
  <c r="Z68" i="30"/>
  <c r="Y68" i="30"/>
  <c r="W85" i="30"/>
  <c r="V85" i="30"/>
  <c r="U85" i="30"/>
  <c r="AE23" i="30"/>
  <c r="Z23" i="30"/>
  <c r="Y23" i="30"/>
  <c r="S97" i="30"/>
  <c r="Q97" i="30"/>
  <c r="R97" i="30"/>
  <c r="AM142" i="30"/>
  <c r="AL142" i="30"/>
  <c r="AK142" i="30"/>
  <c r="AM25" i="30"/>
  <c r="AG25" i="30"/>
  <c r="AH25" i="30"/>
  <c r="AL121" i="30"/>
  <c r="AK121" i="30"/>
  <c r="AI120" i="30"/>
  <c r="AM121" i="30"/>
  <c r="AI54" i="30"/>
  <c r="AG54" i="30"/>
  <c r="AH54" i="30"/>
  <c r="AM123" i="30"/>
  <c r="AL123" i="30"/>
  <c r="AK123" i="30"/>
  <c r="S180" i="30"/>
  <c r="Q180" i="30"/>
  <c r="R180" i="30"/>
  <c r="S94" i="30"/>
  <c r="R94" i="30"/>
  <c r="Q94" i="30"/>
  <c r="AI25" i="30"/>
  <c r="AC25" i="30"/>
  <c r="AD25" i="30"/>
  <c r="W93" i="30"/>
  <c r="V93" i="30"/>
  <c r="U93" i="30"/>
  <c r="R57" i="30"/>
  <c r="Q57" i="30"/>
  <c r="AM45" i="30"/>
  <c r="AL45" i="30"/>
  <c r="AK45" i="30"/>
  <c r="V133" i="30"/>
  <c r="U133" i="30"/>
  <c r="U42" i="30"/>
  <c r="V42" i="30"/>
  <c r="V145" i="30"/>
  <c r="U145" i="30"/>
  <c r="S132" i="30"/>
  <c r="R132" i="30"/>
  <c r="Q132" i="30"/>
  <c r="W181" i="30"/>
  <c r="V181" i="30"/>
  <c r="U181" i="30"/>
  <c r="R149" i="30"/>
  <c r="Q149" i="30"/>
  <c r="W79" i="30"/>
  <c r="V79" i="30"/>
  <c r="U79" i="30"/>
  <c r="S135" i="30"/>
  <c r="R135" i="30"/>
  <c r="Q135" i="30"/>
  <c r="R152" i="30"/>
  <c r="Q152" i="30"/>
  <c r="W173" i="30"/>
  <c r="V173" i="30"/>
  <c r="U173" i="30"/>
  <c r="S140" i="30"/>
  <c r="R140" i="30"/>
  <c r="Q140" i="30"/>
  <c r="R54" i="30"/>
  <c r="Q54" i="30"/>
  <c r="S153" i="30"/>
  <c r="R153" i="30"/>
  <c r="Q153" i="30"/>
  <c r="I7" i="30"/>
  <c r="AL137" i="30"/>
  <c r="AK137" i="30"/>
  <c r="AM137" i="30"/>
  <c r="AM128" i="30"/>
  <c r="AL128" i="30"/>
  <c r="AK128" i="30"/>
  <c r="R52" i="30"/>
  <c r="Q52" i="30"/>
  <c r="S80" i="30"/>
  <c r="R80" i="30"/>
  <c r="Q80" i="30"/>
  <c r="U130" i="30"/>
  <c r="V130" i="30"/>
  <c r="AY130" i="30"/>
  <c r="W84" i="30"/>
  <c r="V84" i="30"/>
  <c r="U84" i="30"/>
  <c r="W99" i="30"/>
  <c r="V99" i="30"/>
  <c r="U99" i="30"/>
  <c r="AQ132" i="30"/>
  <c r="AP132" i="30"/>
  <c r="AO132" i="30"/>
  <c r="U134" i="30"/>
  <c r="V134" i="30"/>
  <c r="S46" i="30"/>
  <c r="S41" i="30" s="1"/>
  <c r="R46" i="30"/>
  <c r="Q46" i="30"/>
  <c r="W70" i="30"/>
  <c r="U70" i="30"/>
  <c r="V70" i="30"/>
  <c r="AE28" i="30"/>
  <c r="Z28" i="30"/>
  <c r="Y28" i="30"/>
  <c r="AE24" i="30"/>
  <c r="Y24" i="30"/>
  <c r="Z24" i="30"/>
  <c r="R67" i="30"/>
  <c r="Q67" i="30"/>
  <c r="S67" i="30"/>
  <c r="AM139" i="30"/>
  <c r="AK139" i="30"/>
  <c r="AL139" i="30"/>
  <c r="S78" i="30"/>
  <c r="R78" i="30"/>
  <c r="Q78" i="30"/>
  <c r="AM47" i="30"/>
  <c r="AL47" i="30"/>
  <c r="AK47" i="30"/>
  <c r="R65" i="30"/>
  <c r="Q65" i="30"/>
  <c r="S65" i="30"/>
  <c r="AI62" i="30"/>
  <c r="AG62" i="30"/>
  <c r="AH62" i="30"/>
  <c r="S137" i="30"/>
  <c r="R137" i="30"/>
  <c r="Q137" i="30"/>
  <c r="U136" i="30"/>
  <c r="V136" i="30"/>
  <c r="W95" i="30"/>
  <c r="V95" i="30"/>
  <c r="U95" i="30"/>
  <c r="W77" i="30"/>
  <c r="V77" i="30"/>
  <c r="U77" i="30"/>
  <c r="W171" i="30"/>
  <c r="V171" i="30"/>
  <c r="U171" i="30"/>
  <c r="S102" i="30"/>
  <c r="R102" i="30"/>
  <c r="Q102" i="30"/>
  <c r="S172" i="30"/>
  <c r="Q172" i="30"/>
  <c r="R172" i="30"/>
  <c r="AA61" i="30"/>
  <c r="Z61" i="30"/>
  <c r="Y61" i="30"/>
  <c r="AX130" i="30"/>
  <c r="AW130" i="30"/>
  <c r="AI58" i="30"/>
  <c r="AG58" i="30"/>
  <c r="AH58" i="30"/>
  <c r="S178" i="30"/>
  <c r="Q178" i="30"/>
  <c r="R178" i="30"/>
  <c r="W101" i="30"/>
  <c r="V101" i="30"/>
  <c r="U101" i="30"/>
  <c r="W73" i="30"/>
  <c r="V73" i="30"/>
  <c r="U73" i="30"/>
  <c r="AI36" i="30"/>
  <c r="AL37" i="30"/>
  <c r="AK37" i="30"/>
  <c r="AQ37" i="30"/>
  <c r="V125" i="30"/>
  <c r="U125" i="30"/>
  <c r="V18" i="30"/>
  <c r="U18" i="30"/>
  <c r="V15" i="30"/>
  <c r="U15" i="30"/>
  <c r="N162" i="30"/>
  <c r="M162" i="30"/>
  <c r="AS19" i="30"/>
  <c r="AT19" i="30"/>
  <c r="S12" i="30"/>
  <c r="R12" i="30"/>
  <c r="Q12" i="30"/>
  <c r="S151" i="30"/>
  <c r="R151" i="30"/>
  <c r="Q151" i="30"/>
  <c r="S189" i="30"/>
  <c r="R189" i="30"/>
  <c r="Q189" i="30"/>
  <c r="AM21" i="30"/>
  <c r="AG21" i="30"/>
  <c r="W87" i="30"/>
  <c r="V87" i="30"/>
  <c r="U87" i="30"/>
  <c r="S159" i="30"/>
  <c r="R159" i="30"/>
  <c r="Q159" i="30"/>
  <c r="S158" i="30"/>
  <c r="R158" i="30"/>
  <c r="Q158" i="30"/>
  <c r="S127" i="30"/>
  <c r="R127" i="30"/>
  <c r="Q127" i="30"/>
  <c r="S160" i="30"/>
  <c r="R160" i="30"/>
  <c r="Q160" i="30"/>
  <c r="R53" i="30"/>
  <c r="Q53" i="30"/>
  <c r="W177" i="30"/>
  <c r="V177" i="30"/>
  <c r="U177" i="30"/>
  <c r="S98" i="30"/>
  <c r="R98" i="30"/>
  <c r="Q98" i="30"/>
  <c r="W74" i="30"/>
  <c r="U74" i="30"/>
  <c r="V74" i="30"/>
  <c r="AQ28" i="30"/>
  <c r="AL28" i="30"/>
  <c r="AK28" i="30"/>
  <c r="S86" i="30"/>
  <c r="R86" i="30"/>
  <c r="Q86" i="30"/>
  <c r="R71" i="30"/>
  <c r="Q71" i="30"/>
  <c r="S71" i="30"/>
  <c r="U128" i="30"/>
  <c r="V128" i="30"/>
  <c r="AI49" i="30"/>
  <c r="AH49" i="30"/>
  <c r="AG49" i="30"/>
  <c r="W59" i="30"/>
  <c r="V59" i="30"/>
  <c r="U59" i="30"/>
  <c r="W183" i="30"/>
  <c r="V183" i="30"/>
  <c r="U183" i="30"/>
  <c r="AI57" i="30"/>
  <c r="AH57" i="30"/>
  <c r="AG57" i="30"/>
  <c r="AE27" i="30"/>
  <c r="Z27" i="30"/>
  <c r="Y27" i="30"/>
  <c r="S184" i="30"/>
  <c r="Q184" i="30"/>
  <c r="R184" i="30"/>
  <c r="S90" i="30"/>
  <c r="R90" i="30"/>
  <c r="Q90" i="30"/>
  <c r="AM124" i="30"/>
  <c r="AL124" i="30"/>
  <c r="AK124" i="30"/>
  <c r="AE26" i="30"/>
  <c r="Z26" i="30"/>
  <c r="Y26" i="30"/>
  <c r="W76" i="30"/>
  <c r="V76" i="30"/>
  <c r="U76" i="30"/>
  <c r="AI55" i="30"/>
  <c r="AH55" i="30"/>
  <c r="AG55" i="30"/>
  <c r="AI56" i="30"/>
  <c r="AG56" i="30"/>
  <c r="AH56" i="30"/>
  <c r="AM140" i="30"/>
  <c r="AL140" i="30"/>
  <c r="AK140" i="30"/>
  <c r="S82" i="30"/>
  <c r="R82" i="30"/>
  <c r="Q82" i="30"/>
  <c r="AI27" i="30"/>
  <c r="AC27" i="30"/>
  <c r="AD27" i="30"/>
  <c r="AM131" i="30"/>
  <c r="AK131" i="30"/>
  <c r="AL131" i="30"/>
  <c r="W100" i="30"/>
  <c r="V100" i="30"/>
  <c r="U100" i="30"/>
  <c r="W146" i="30"/>
  <c r="V146" i="30"/>
  <c r="U146" i="30"/>
  <c r="W81" i="30"/>
  <c r="V81" i="30"/>
  <c r="U81" i="30"/>
  <c r="W66" i="30"/>
  <c r="U66" i="30"/>
  <c r="V66" i="30"/>
  <c r="S148" i="30"/>
  <c r="R148" i="30"/>
  <c r="Q148" i="30"/>
  <c r="U36" i="30"/>
  <c r="V36" i="30"/>
  <c r="R55" i="30"/>
  <c r="Q55" i="30"/>
  <c r="S170" i="30"/>
  <c r="Q170" i="30"/>
  <c r="R170" i="30"/>
  <c r="V163" i="30"/>
  <c r="U163" i="30"/>
  <c r="W163" i="30"/>
  <c r="AC36" i="30"/>
  <c r="AD36" i="30"/>
  <c r="W175" i="30"/>
  <c r="V175" i="30"/>
  <c r="U175" i="30"/>
  <c r="V141" i="30"/>
  <c r="U141" i="30"/>
  <c r="N41" i="30"/>
  <c r="M41" i="30"/>
  <c r="R165" i="30"/>
  <c r="Q165" i="30"/>
  <c r="Z37" i="30"/>
  <c r="Y37" i="30"/>
  <c r="N120" i="30"/>
  <c r="M120" i="30"/>
  <c r="M8" i="30"/>
  <c r="N8" i="30"/>
  <c r="R18" i="30"/>
  <c r="Q18" i="30"/>
  <c r="AA72" i="30"/>
  <c r="Z72" i="30"/>
  <c r="Y72" i="30"/>
  <c r="S150" i="30"/>
  <c r="R150" i="30"/>
  <c r="Q150" i="30"/>
  <c r="R147" i="30"/>
  <c r="Q147" i="30"/>
  <c r="S154" i="30"/>
  <c r="R154" i="30"/>
  <c r="Q154" i="30"/>
  <c r="R49" i="30"/>
  <c r="Q49" i="30"/>
  <c r="S124" i="30"/>
  <c r="R124" i="30"/>
  <c r="Q124" i="30"/>
  <c r="S166" i="30"/>
  <c r="Q166" i="30"/>
  <c r="R166" i="30"/>
  <c r="S139" i="30"/>
  <c r="R139" i="30"/>
  <c r="Q139" i="30"/>
  <c r="S123" i="30"/>
  <c r="R123" i="30"/>
  <c r="Q123" i="30"/>
  <c r="R50" i="30"/>
  <c r="Q50" i="30"/>
  <c r="W83" i="30"/>
  <c r="V83" i="30"/>
  <c r="U83" i="30"/>
  <c r="S157" i="30"/>
  <c r="R157" i="30"/>
  <c r="Q157" i="30"/>
  <c r="R60" i="30"/>
  <c r="Q60" i="30"/>
  <c r="AI52" i="30"/>
  <c r="AG52" i="30"/>
  <c r="AH52" i="30"/>
  <c r="AM136" i="30"/>
  <c r="AL136" i="30"/>
  <c r="AK136" i="30"/>
  <c r="AM141" i="30"/>
  <c r="AL141" i="30"/>
  <c r="AK141" i="30"/>
  <c r="V16" i="30"/>
  <c r="U16" i="30"/>
  <c r="W16" i="30"/>
  <c r="S103" i="30"/>
  <c r="Q103" i="30"/>
  <c r="R103" i="30"/>
  <c r="W51" i="30"/>
  <c r="V51" i="30"/>
  <c r="U51" i="30"/>
  <c r="AI23" i="30"/>
  <c r="AC23" i="30"/>
  <c r="AD23" i="30"/>
  <c r="AM134" i="30"/>
  <c r="AL134" i="30"/>
  <c r="AK134" i="30"/>
  <c r="S176" i="30"/>
  <c r="Q176" i="30"/>
  <c r="R176" i="30"/>
  <c r="AI43" i="30"/>
  <c r="AH43" i="30"/>
  <c r="AG43" i="30"/>
  <c r="S17" i="30"/>
  <c r="S14" i="30" s="1"/>
  <c r="R17" i="30"/>
  <c r="Q17" i="30"/>
  <c r="S182" i="30"/>
  <c r="Q182" i="30"/>
  <c r="R182" i="30"/>
  <c r="AM22" i="30"/>
  <c r="AH22" i="30"/>
  <c r="AG22" i="30"/>
  <c r="AI48" i="30"/>
  <c r="AG48" i="30"/>
  <c r="AH48" i="30"/>
  <c r="AM125" i="30"/>
  <c r="AK125" i="30"/>
  <c r="AL125" i="30"/>
  <c r="R56" i="30"/>
  <c r="Q56" i="30"/>
  <c r="AQ22" i="30"/>
  <c r="AL22" i="30"/>
  <c r="AK22" i="30"/>
  <c r="Q113" i="30"/>
  <c r="R113" i="30"/>
  <c r="S113" i="30"/>
  <c r="O108" i="30"/>
  <c r="AM135" i="30"/>
  <c r="AK135" i="30"/>
  <c r="AL135" i="30"/>
  <c r="W92" i="30"/>
  <c r="V92" i="30"/>
  <c r="U92" i="30"/>
  <c r="W179" i="30"/>
  <c r="V179" i="30"/>
  <c r="U179" i="30"/>
  <c r="AW147" i="30"/>
  <c r="AX147" i="30"/>
  <c r="AI60" i="30"/>
  <c r="AG60" i="30"/>
  <c r="AH60" i="30"/>
  <c r="AM138" i="30"/>
  <c r="AL138" i="30"/>
  <c r="AK138" i="30"/>
  <c r="AQ24" i="30"/>
  <c r="AL24" i="30"/>
  <c r="AK24" i="30"/>
  <c r="R47" i="30"/>
  <c r="Q47" i="30"/>
  <c r="AM129" i="30"/>
  <c r="AK129" i="30"/>
  <c r="AL129" i="30"/>
  <c r="AM133" i="30"/>
  <c r="AL133" i="30"/>
  <c r="AK133" i="30"/>
  <c r="W89" i="30"/>
  <c r="V89" i="30"/>
  <c r="U89" i="30"/>
  <c r="W69" i="30"/>
  <c r="V69" i="30"/>
  <c r="U69" i="30"/>
  <c r="O144" i="30"/>
  <c r="O120" i="30"/>
  <c r="S149" i="30"/>
  <c r="K7" i="30"/>
  <c r="D17" i="31" s="1"/>
  <c r="S152" i="30"/>
  <c r="F196" i="30"/>
  <c r="K39" i="30"/>
  <c r="D41" i="31" s="1"/>
  <c r="K198" i="30"/>
  <c r="D64" i="31" s="1"/>
  <c r="E13" i="32" s="1"/>
  <c r="AE37" i="30"/>
  <c r="W36" i="30"/>
  <c r="W42" i="30"/>
  <c r="W11" i="30"/>
  <c r="S165" i="30"/>
  <c r="O162" i="30"/>
  <c r="AA20" i="30"/>
  <c r="W18" i="30"/>
  <c r="W145" i="30"/>
  <c r="W15" i="30"/>
  <c r="C192" i="26"/>
  <c r="D192" i="26" s="1"/>
  <c r="E192" i="26" s="1"/>
  <c r="F192" i="26" s="1"/>
  <c r="G192" i="26" s="1"/>
  <c r="H192" i="26" s="1"/>
  <c r="I192" i="26" s="1"/>
  <c r="J192" i="26" s="1"/>
  <c r="K192" i="26" s="1"/>
  <c r="L192" i="26" s="1"/>
  <c r="M192" i="26" s="1"/>
  <c r="N192" i="26" s="1"/>
  <c r="O7" i="30" l="1"/>
  <c r="E17" i="31" s="1"/>
  <c r="R8" i="30"/>
  <c r="AH29" i="30"/>
  <c r="AM29" i="30"/>
  <c r="AP29" i="30" s="1"/>
  <c r="AI191" i="30"/>
  <c r="AH191" i="30"/>
  <c r="AG191" i="30"/>
  <c r="E9" i="32"/>
  <c r="O202" i="30"/>
  <c r="O198" i="30" s="1"/>
  <c r="E64" i="31" s="1"/>
  <c r="F13" i="32" s="1"/>
  <c r="AZ198" i="30"/>
  <c r="E198" i="30"/>
  <c r="E199" i="30" s="1"/>
  <c r="F198" i="30"/>
  <c r="D199" i="30"/>
  <c r="AZ199" i="30" s="1"/>
  <c r="S8" i="30"/>
  <c r="S7" i="30" s="1"/>
  <c r="F17" i="31" s="1"/>
  <c r="N65" i="31"/>
  <c r="B66" i="31"/>
  <c r="B67" i="31"/>
  <c r="B20" i="31"/>
  <c r="D43" i="31"/>
  <c r="E19" i="31"/>
  <c r="D19" i="31"/>
  <c r="G199" i="30"/>
  <c r="C20" i="31"/>
  <c r="C19" i="31"/>
  <c r="E20" i="31"/>
  <c r="D20" i="31"/>
  <c r="E5" i="32"/>
  <c r="F5" i="32" s="1"/>
  <c r="AC104" i="30"/>
  <c r="AE104" i="30"/>
  <c r="R64" i="30"/>
  <c r="AC106" i="30"/>
  <c r="AE106" i="30"/>
  <c r="Q41" i="30"/>
  <c r="AS30" i="30"/>
  <c r="J196" i="30"/>
  <c r="S120" i="30"/>
  <c r="V120" i="30" s="1"/>
  <c r="I196" i="30"/>
  <c r="I199" i="30" s="1"/>
  <c r="Q7" i="30"/>
  <c r="R7" i="30"/>
  <c r="AU29" i="30"/>
  <c r="Y11" i="30"/>
  <c r="Z11" i="30"/>
  <c r="AQ135" i="30"/>
  <c r="AP135" i="30"/>
  <c r="AO135" i="30"/>
  <c r="V123" i="30"/>
  <c r="U123" i="30"/>
  <c r="W170" i="30"/>
  <c r="V170" i="30"/>
  <c r="U170" i="30"/>
  <c r="AA81" i="30"/>
  <c r="Y81" i="30"/>
  <c r="Z81" i="30"/>
  <c r="AM57" i="30"/>
  <c r="AL57" i="30"/>
  <c r="AK57" i="30"/>
  <c r="Y18" i="30"/>
  <c r="Z18" i="30"/>
  <c r="R198" i="30"/>
  <c r="U41" i="30"/>
  <c r="V41" i="30"/>
  <c r="AG37" i="30"/>
  <c r="AH37" i="30"/>
  <c r="AY9" i="30"/>
  <c r="AK9" i="30"/>
  <c r="AL9" i="30"/>
  <c r="N7" i="30"/>
  <c r="M7" i="30"/>
  <c r="AQ129" i="30"/>
  <c r="AP129" i="30"/>
  <c r="AO129" i="30"/>
  <c r="AQ138" i="30"/>
  <c r="AP138" i="30"/>
  <c r="AO138" i="30"/>
  <c r="AA179" i="30"/>
  <c r="Z179" i="30"/>
  <c r="Y179" i="30"/>
  <c r="AA92" i="30"/>
  <c r="Z92" i="30"/>
  <c r="Y92" i="30"/>
  <c r="Q108" i="30"/>
  <c r="R108" i="30"/>
  <c r="AQ125" i="30"/>
  <c r="AP125" i="30"/>
  <c r="AO125" i="30"/>
  <c r="AM43" i="30"/>
  <c r="AL43" i="30"/>
  <c r="AK43" i="30"/>
  <c r="AA51" i="30"/>
  <c r="Z51" i="30"/>
  <c r="Y51" i="30"/>
  <c r="W103" i="30"/>
  <c r="V103" i="30"/>
  <c r="U103" i="30"/>
  <c r="AM52" i="30"/>
  <c r="AL52" i="30"/>
  <c r="AK52" i="30"/>
  <c r="U124" i="30"/>
  <c r="V124" i="30"/>
  <c r="W148" i="30"/>
  <c r="V148" i="30"/>
  <c r="U148" i="30"/>
  <c r="AA66" i="30"/>
  <c r="Z66" i="30"/>
  <c r="Y66" i="30"/>
  <c r="AQ140" i="30"/>
  <c r="AP140" i="30"/>
  <c r="AO140" i="30"/>
  <c r="V184" i="30"/>
  <c r="U184" i="30"/>
  <c r="W184" i="30"/>
  <c r="AM27" i="30"/>
  <c r="AG27" i="30"/>
  <c r="AH27" i="30"/>
  <c r="AM49" i="30"/>
  <c r="AL49" i="30"/>
  <c r="AK49" i="30"/>
  <c r="V71" i="30"/>
  <c r="U71" i="30"/>
  <c r="W71" i="30"/>
  <c r="AA177" i="30"/>
  <c r="Z177" i="30"/>
  <c r="Y177" i="30"/>
  <c r="V127" i="30"/>
  <c r="U127" i="30"/>
  <c r="W151" i="30"/>
  <c r="V151" i="30"/>
  <c r="U151" i="30"/>
  <c r="AA73" i="30"/>
  <c r="Z73" i="30"/>
  <c r="Y73" i="30"/>
  <c r="AE61" i="30"/>
  <c r="AD61" i="30"/>
  <c r="AC61" i="30"/>
  <c r="W172" i="30"/>
  <c r="V172" i="30"/>
  <c r="U172" i="30"/>
  <c r="W102" i="30"/>
  <c r="V102" i="30"/>
  <c r="U102" i="30"/>
  <c r="AQ47" i="30"/>
  <c r="AO47" i="30"/>
  <c r="AP47" i="30"/>
  <c r="W78" i="30"/>
  <c r="V78" i="30"/>
  <c r="U78" i="30"/>
  <c r="W67" i="30"/>
  <c r="V67" i="30"/>
  <c r="U67" i="30"/>
  <c r="AU132" i="30"/>
  <c r="AY132" i="30" s="1"/>
  <c r="AT132" i="30"/>
  <c r="AS132" i="30"/>
  <c r="AQ137" i="30"/>
  <c r="AP137" i="30"/>
  <c r="AO137" i="30"/>
  <c r="AQ123" i="30"/>
  <c r="AP123" i="30"/>
  <c r="AO123" i="30"/>
  <c r="AP121" i="30"/>
  <c r="AO121" i="30"/>
  <c r="AQ121" i="30"/>
  <c r="AM120" i="30"/>
  <c r="AE68" i="30"/>
  <c r="AD68" i="30"/>
  <c r="AC68" i="30"/>
  <c r="AM50" i="30"/>
  <c r="AL50" i="30"/>
  <c r="AK50" i="30"/>
  <c r="AA185" i="30"/>
  <c r="Z185" i="30"/>
  <c r="Y185" i="30"/>
  <c r="W188" i="30"/>
  <c r="U188" i="30"/>
  <c r="V188" i="30"/>
  <c r="AM19" i="30"/>
  <c r="AH19" i="30"/>
  <c r="AG19" i="30"/>
  <c r="R162" i="30"/>
  <c r="Q162" i="30"/>
  <c r="Q120" i="30"/>
  <c r="R120" i="30"/>
  <c r="V165" i="30"/>
  <c r="U165" i="30"/>
  <c r="AA69" i="30"/>
  <c r="Z69" i="30"/>
  <c r="Y69" i="30"/>
  <c r="AM60" i="30"/>
  <c r="AY60" i="30" s="1"/>
  <c r="AL60" i="30"/>
  <c r="AK60" i="30"/>
  <c r="AM48" i="30"/>
  <c r="AL48" i="30"/>
  <c r="AK48" i="30"/>
  <c r="S144" i="30"/>
  <c r="Z15" i="30"/>
  <c r="Y15" i="30"/>
  <c r="Y145" i="30"/>
  <c r="Z145" i="30"/>
  <c r="AD20" i="30"/>
  <c r="AC20" i="30"/>
  <c r="Z42" i="30"/>
  <c r="Y42" i="30"/>
  <c r="N198" i="30"/>
  <c r="M198" i="30"/>
  <c r="M39" i="30"/>
  <c r="N39" i="30"/>
  <c r="V152" i="30"/>
  <c r="U152" i="30"/>
  <c r="V149" i="30"/>
  <c r="U149" i="30"/>
  <c r="R144" i="30"/>
  <c r="Q144" i="30"/>
  <c r="AQ133" i="30"/>
  <c r="AP133" i="30"/>
  <c r="AO133" i="30"/>
  <c r="AT24" i="30"/>
  <c r="AS24" i="30"/>
  <c r="V113" i="30"/>
  <c r="U113" i="30"/>
  <c r="S108" i="30"/>
  <c r="W113" i="30"/>
  <c r="V182" i="30"/>
  <c r="U182" i="30"/>
  <c r="W182" i="30"/>
  <c r="W17" i="30"/>
  <c r="W14" i="30" s="1"/>
  <c r="V17" i="30"/>
  <c r="U17" i="30"/>
  <c r="AQ23" i="30"/>
  <c r="AK23" i="30"/>
  <c r="AL23" i="30"/>
  <c r="AA16" i="30"/>
  <c r="Z16" i="30"/>
  <c r="Y16" i="30"/>
  <c r="AQ136" i="30"/>
  <c r="AP136" i="30"/>
  <c r="AO136" i="30"/>
  <c r="AA83" i="30"/>
  <c r="Y83" i="30"/>
  <c r="Z83" i="30"/>
  <c r="W166" i="30"/>
  <c r="V166" i="30"/>
  <c r="U166" i="30"/>
  <c r="W154" i="30"/>
  <c r="V154" i="30"/>
  <c r="U154" i="30"/>
  <c r="AE72" i="30"/>
  <c r="AD72" i="30"/>
  <c r="AC72" i="30"/>
  <c r="Z163" i="30"/>
  <c r="Y163" i="30"/>
  <c r="AA163" i="30"/>
  <c r="AQ27" i="30"/>
  <c r="AK27" i="30"/>
  <c r="AL27" i="30"/>
  <c r="W82" i="30"/>
  <c r="V82" i="30"/>
  <c r="U82" i="30"/>
  <c r="AQ124" i="30"/>
  <c r="AP124" i="30"/>
  <c r="AO124" i="30"/>
  <c r="W90" i="30"/>
  <c r="V90" i="30"/>
  <c r="U90" i="30"/>
  <c r="AA59" i="30"/>
  <c r="Z59" i="30"/>
  <c r="Y59" i="30"/>
  <c r="AS28" i="30"/>
  <c r="AT28" i="30"/>
  <c r="AA74" i="30"/>
  <c r="Z74" i="30"/>
  <c r="Y74" i="30"/>
  <c r="W98" i="30"/>
  <c r="V98" i="30"/>
  <c r="U98" i="30"/>
  <c r="W160" i="30"/>
  <c r="V160" i="30"/>
  <c r="U160" i="30"/>
  <c r="AA87" i="30"/>
  <c r="Y87" i="30"/>
  <c r="Z87" i="30"/>
  <c r="AK36" i="30"/>
  <c r="AL36" i="30"/>
  <c r="AA95" i="30"/>
  <c r="Y95" i="30"/>
  <c r="Z95" i="30"/>
  <c r="W80" i="30"/>
  <c r="V80" i="30"/>
  <c r="U80" i="30"/>
  <c r="AQ25" i="30"/>
  <c r="AK25" i="30"/>
  <c r="AL25" i="30"/>
  <c r="W94" i="30"/>
  <c r="V94" i="30"/>
  <c r="U94" i="30"/>
  <c r="W180" i="30"/>
  <c r="V180" i="30"/>
  <c r="U180" i="30"/>
  <c r="AK120" i="30"/>
  <c r="AL120" i="30"/>
  <c r="AA85" i="30"/>
  <c r="Y85" i="30"/>
  <c r="Z85" i="30"/>
  <c r="AQ127" i="30"/>
  <c r="AP127" i="30"/>
  <c r="AO127" i="30"/>
  <c r="AM53" i="30"/>
  <c r="AL53" i="30"/>
  <c r="AK53" i="30"/>
  <c r="V131" i="30"/>
  <c r="U131" i="30"/>
  <c r="AA169" i="30"/>
  <c r="Z169" i="30"/>
  <c r="Y169" i="30"/>
  <c r="AA89" i="30"/>
  <c r="Y89" i="30"/>
  <c r="Z89" i="30"/>
  <c r="AS22" i="30"/>
  <c r="AT22" i="30"/>
  <c r="AU22" i="30"/>
  <c r="AO22" i="30"/>
  <c r="AP22" i="30"/>
  <c r="AQ134" i="30"/>
  <c r="AP134" i="30"/>
  <c r="AO134" i="30"/>
  <c r="AQ141" i="30"/>
  <c r="AP141" i="30"/>
  <c r="AO141" i="30"/>
  <c r="W157" i="30"/>
  <c r="V157" i="30"/>
  <c r="U157" i="30"/>
  <c r="V139" i="30"/>
  <c r="U139" i="30"/>
  <c r="W150" i="30"/>
  <c r="V150" i="30"/>
  <c r="U150" i="30"/>
  <c r="AA175" i="30"/>
  <c r="Z175" i="30"/>
  <c r="Y175" i="30"/>
  <c r="AA146" i="30"/>
  <c r="Z146" i="30"/>
  <c r="Y146" i="30"/>
  <c r="AQ131" i="30"/>
  <c r="AP131" i="30"/>
  <c r="AO131" i="30"/>
  <c r="AM55" i="30"/>
  <c r="AL55" i="30"/>
  <c r="AK55" i="30"/>
  <c r="AA76" i="30"/>
  <c r="Z76" i="30"/>
  <c r="Y76" i="30"/>
  <c r="AM26" i="30"/>
  <c r="AH26" i="30"/>
  <c r="AG26" i="30"/>
  <c r="AA183" i="30"/>
  <c r="Z183" i="30"/>
  <c r="Y183" i="30"/>
  <c r="W86" i="30"/>
  <c r="V86" i="30"/>
  <c r="U86" i="30"/>
  <c r="W159" i="30"/>
  <c r="V159" i="30"/>
  <c r="U159" i="30"/>
  <c r="W189" i="30"/>
  <c r="V189" i="30"/>
  <c r="U189" i="30"/>
  <c r="AQ36" i="30"/>
  <c r="AS37" i="30"/>
  <c r="AT37" i="30"/>
  <c r="AM58" i="30"/>
  <c r="AL58" i="30"/>
  <c r="AK58" i="30"/>
  <c r="AA77" i="30"/>
  <c r="Y77" i="30"/>
  <c r="Z77" i="30"/>
  <c r="AM62" i="30"/>
  <c r="AL62" i="30"/>
  <c r="AK62" i="30"/>
  <c r="AM24" i="30"/>
  <c r="AH24" i="30"/>
  <c r="AG24" i="30"/>
  <c r="AM28" i="30"/>
  <c r="AH28" i="30"/>
  <c r="AG28" i="30"/>
  <c r="AA70" i="30"/>
  <c r="Z70" i="30"/>
  <c r="Y70" i="30"/>
  <c r="W46" i="30"/>
  <c r="U46" i="30"/>
  <c r="V46" i="30"/>
  <c r="AA84" i="30"/>
  <c r="Z84" i="30"/>
  <c r="Y84" i="30"/>
  <c r="W153" i="30"/>
  <c r="V153" i="30"/>
  <c r="U153" i="30"/>
  <c r="AA173" i="30"/>
  <c r="Z173" i="30"/>
  <c r="Y173" i="30"/>
  <c r="AA79" i="30"/>
  <c r="Y79" i="30"/>
  <c r="Z79" i="30"/>
  <c r="U132" i="30"/>
  <c r="V132" i="30"/>
  <c r="AA93" i="30"/>
  <c r="Y93" i="30"/>
  <c r="Z93" i="30"/>
  <c r="AU25" i="30"/>
  <c r="AP25" i="30"/>
  <c r="AO25" i="30"/>
  <c r="AQ142" i="30"/>
  <c r="AP142" i="30"/>
  <c r="AO142" i="30"/>
  <c r="W97" i="30"/>
  <c r="V97" i="30"/>
  <c r="U97" i="30"/>
  <c r="AM23" i="30"/>
  <c r="AG23" i="30"/>
  <c r="AH23" i="30"/>
  <c r="V168" i="30"/>
  <c r="U168" i="30"/>
  <c r="W168" i="30"/>
  <c r="AA96" i="30"/>
  <c r="Z96" i="30"/>
  <c r="Y96" i="30"/>
  <c r="W88" i="30"/>
  <c r="V88" i="30"/>
  <c r="U88" i="30"/>
  <c r="W155" i="30"/>
  <c r="V155" i="30"/>
  <c r="U155" i="30"/>
  <c r="W156" i="30"/>
  <c r="V156" i="30"/>
  <c r="U156" i="30"/>
  <c r="V14" i="30"/>
  <c r="U14" i="30"/>
  <c r="Z36" i="30"/>
  <c r="Y36" i="30"/>
  <c r="V176" i="30"/>
  <c r="U176" i="30"/>
  <c r="W176" i="30"/>
  <c r="AA100" i="30"/>
  <c r="Z100" i="30"/>
  <c r="Y100" i="30"/>
  <c r="AM56" i="30"/>
  <c r="AL56" i="30"/>
  <c r="AK56" i="30"/>
  <c r="W158" i="30"/>
  <c r="V158" i="30"/>
  <c r="U158" i="30"/>
  <c r="AU21" i="30"/>
  <c r="AY21" i="30" s="1"/>
  <c r="AO21" i="30"/>
  <c r="W12" i="30"/>
  <c r="V12" i="30"/>
  <c r="U12" i="30"/>
  <c r="AA101" i="30"/>
  <c r="Y101" i="30"/>
  <c r="Z101" i="30"/>
  <c r="W178" i="30"/>
  <c r="V178" i="30"/>
  <c r="U178" i="30"/>
  <c r="AA171" i="30"/>
  <c r="Z171" i="30"/>
  <c r="Y171" i="30"/>
  <c r="V137" i="30"/>
  <c r="U137" i="30"/>
  <c r="V65" i="30"/>
  <c r="U65" i="30"/>
  <c r="S64" i="30"/>
  <c r="W65" i="30"/>
  <c r="AQ139" i="30"/>
  <c r="AP139" i="30"/>
  <c r="AO139" i="30"/>
  <c r="AA99" i="30"/>
  <c r="Y99" i="30"/>
  <c r="Z99" i="30"/>
  <c r="AQ128" i="30"/>
  <c r="AP128" i="30"/>
  <c r="AO128" i="30"/>
  <c r="U140" i="30"/>
  <c r="V140" i="30"/>
  <c r="V135" i="30"/>
  <c r="U135" i="30"/>
  <c r="AA181" i="30"/>
  <c r="Z181" i="30"/>
  <c r="Y181" i="30"/>
  <c r="AQ45" i="30"/>
  <c r="AO45" i="30"/>
  <c r="AP45" i="30"/>
  <c r="AM54" i="30"/>
  <c r="AL54" i="30"/>
  <c r="AK54" i="30"/>
  <c r="V174" i="30"/>
  <c r="U174" i="30"/>
  <c r="W174" i="30"/>
  <c r="AQ29" i="30"/>
  <c r="AK29" i="30"/>
  <c r="AL29" i="30"/>
  <c r="AQ126" i="30"/>
  <c r="AP126" i="30"/>
  <c r="AO126" i="30"/>
  <c r="AQ44" i="30"/>
  <c r="AP44" i="30"/>
  <c r="AO44" i="30"/>
  <c r="AT26" i="30"/>
  <c r="AS26" i="30"/>
  <c r="W13" i="30"/>
  <c r="U13" i="30"/>
  <c r="V13" i="30"/>
  <c r="AA91" i="30"/>
  <c r="Y91" i="30"/>
  <c r="Z91" i="30"/>
  <c r="W167" i="30"/>
  <c r="V167" i="30"/>
  <c r="U167" i="30"/>
  <c r="W187" i="30"/>
  <c r="V187" i="30"/>
  <c r="U187" i="30"/>
  <c r="W152" i="30"/>
  <c r="W149" i="30"/>
  <c r="K196" i="30"/>
  <c r="AA145" i="30"/>
  <c r="AE20" i="30"/>
  <c r="AA18" i="30"/>
  <c r="AA11" i="30"/>
  <c r="AE36" i="30"/>
  <c r="AM37" i="30"/>
  <c r="O39" i="30"/>
  <c r="E41" i="31" s="1"/>
  <c r="AA15" i="30"/>
  <c r="S202" i="30"/>
  <c r="S198" i="30" s="1"/>
  <c r="F64" i="31" s="1"/>
  <c r="G13" i="32" s="1"/>
  <c r="W203" i="30"/>
  <c r="W165" i="30"/>
  <c r="S162" i="30"/>
  <c r="AA42" i="30"/>
  <c r="M9" i="26"/>
  <c r="N9" i="26" s="1"/>
  <c r="J9" i="26"/>
  <c r="K9" i="26" s="1"/>
  <c r="D9" i="26"/>
  <c r="E9" i="26" s="1"/>
  <c r="D158" i="26"/>
  <c r="E158" i="26" s="1"/>
  <c r="F158" i="26" s="1"/>
  <c r="G158" i="26" s="1"/>
  <c r="H158" i="26" s="1"/>
  <c r="I158" i="26" s="1"/>
  <c r="J158" i="26" s="1"/>
  <c r="K158" i="26" s="1"/>
  <c r="L158" i="26" s="1"/>
  <c r="M158" i="26" s="1"/>
  <c r="N158" i="26" s="1"/>
  <c r="D159" i="26"/>
  <c r="E159" i="26" s="1"/>
  <c r="F159" i="26" s="1"/>
  <c r="G159" i="26" s="1"/>
  <c r="H159" i="26" s="1"/>
  <c r="I159" i="26" s="1"/>
  <c r="J159" i="26" s="1"/>
  <c r="K159" i="26" s="1"/>
  <c r="L159" i="26" s="1"/>
  <c r="M159" i="26" s="1"/>
  <c r="N159" i="26" s="1"/>
  <c r="D155" i="26"/>
  <c r="E155" i="26" s="1"/>
  <c r="F155" i="26" s="1"/>
  <c r="G155" i="26" s="1"/>
  <c r="H155" i="26" s="1"/>
  <c r="I155" i="26" s="1"/>
  <c r="J155" i="26" s="1"/>
  <c r="K155" i="26" s="1"/>
  <c r="L155" i="26" s="1"/>
  <c r="M155" i="26" s="1"/>
  <c r="N155" i="26" s="1"/>
  <c r="D157" i="26"/>
  <c r="E157" i="26" s="1"/>
  <c r="F157" i="26" s="1"/>
  <c r="G157" i="26" s="1"/>
  <c r="H157" i="26" s="1"/>
  <c r="I157" i="26" s="1"/>
  <c r="J157" i="26" s="1"/>
  <c r="K157" i="26" s="1"/>
  <c r="L157" i="26" s="1"/>
  <c r="M157" i="26" s="1"/>
  <c r="N157" i="26" s="1"/>
  <c r="D156" i="26"/>
  <c r="E156" i="26" s="1"/>
  <c r="F156" i="26" s="1"/>
  <c r="G156" i="26" s="1"/>
  <c r="H156" i="26" s="1"/>
  <c r="I156" i="26" s="1"/>
  <c r="J156" i="26" s="1"/>
  <c r="K156" i="26" s="1"/>
  <c r="L156" i="26" s="1"/>
  <c r="M156" i="26" s="1"/>
  <c r="N156" i="26" s="1"/>
  <c r="D170" i="26"/>
  <c r="D177" i="26"/>
  <c r="E177" i="26" s="1"/>
  <c r="F177" i="26" s="1"/>
  <c r="G177" i="26" s="1"/>
  <c r="H177" i="26" s="1"/>
  <c r="I177" i="26" s="1"/>
  <c r="J177" i="26" s="1"/>
  <c r="K177" i="26" s="1"/>
  <c r="L177" i="26" s="1"/>
  <c r="M177" i="26" s="1"/>
  <c r="N177" i="26" s="1"/>
  <c r="D165" i="26"/>
  <c r="E165" i="26" s="1"/>
  <c r="F165" i="26" s="1"/>
  <c r="G165" i="26" s="1"/>
  <c r="H165" i="26" s="1"/>
  <c r="I165" i="26" s="1"/>
  <c r="J165" i="26" s="1"/>
  <c r="K165" i="26" s="1"/>
  <c r="L165" i="26" s="1"/>
  <c r="M165" i="26" s="1"/>
  <c r="N165" i="26" s="1"/>
  <c r="D180" i="26"/>
  <c r="E180" i="26" s="1"/>
  <c r="F180" i="26" s="1"/>
  <c r="G180" i="26" s="1"/>
  <c r="H180" i="26" s="1"/>
  <c r="I180" i="26" s="1"/>
  <c r="J180" i="26" s="1"/>
  <c r="K180" i="26" s="1"/>
  <c r="L180" i="26" s="1"/>
  <c r="M180" i="26" s="1"/>
  <c r="N180" i="26" s="1"/>
  <c r="D172" i="26"/>
  <c r="E172" i="26" s="1"/>
  <c r="F172" i="26" s="1"/>
  <c r="G172" i="26" s="1"/>
  <c r="H172" i="26" s="1"/>
  <c r="I172" i="26" s="1"/>
  <c r="J172" i="26" s="1"/>
  <c r="K172" i="26" s="1"/>
  <c r="L172" i="26" s="1"/>
  <c r="M172" i="26" s="1"/>
  <c r="N172" i="26" s="1"/>
  <c r="D163" i="26"/>
  <c r="E163" i="26" s="1"/>
  <c r="F163" i="26" s="1"/>
  <c r="G163" i="26" s="1"/>
  <c r="H163" i="26" s="1"/>
  <c r="I163" i="26" s="1"/>
  <c r="J163" i="26" s="1"/>
  <c r="K163" i="26" s="1"/>
  <c r="L163" i="26" s="1"/>
  <c r="M163" i="26" s="1"/>
  <c r="N163" i="26" s="1"/>
  <c r="D160" i="26"/>
  <c r="E160" i="26" s="1"/>
  <c r="F160" i="26" s="1"/>
  <c r="G160" i="26" s="1"/>
  <c r="H160" i="26" s="1"/>
  <c r="I160" i="26" s="1"/>
  <c r="J160" i="26" s="1"/>
  <c r="K160" i="26" s="1"/>
  <c r="L160" i="26" s="1"/>
  <c r="M160" i="26" s="1"/>
  <c r="N160" i="26" s="1"/>
  <c r="D173" i="26"/>
  <c r="E173" i="26" s="1"/>
  <c r="F173" i="26" s="1"/>
  <c r="G173" i="26" s="1"/>
  <c r="H173" i="26" s="1"/>
  <c r="I173" i="26" s="1"/>
  <c r="J173" i="26" s="1"/>
  <c r="K173" i="26" s="1"/>
  <c r="L173" i="26" s="1"/>
  <c r="M173" i="26" s="1"/>
  <c r="N173" i="26" s="1"/>
  <c r="D171" i="26"/>
  <c r="E171" i="26" s="1"/>
  <c r="F171" i="26" s="1"/>
  <c r="G171" i="26" s="1"/>
  <c r="H171" i="26" s="1"/>
  <c r="I171" i="26" s="1"/>
  <c r="J171" i="26" s="1"/>
  <c r="K171" i="26" s="1"/>
  <c r="L171" i="26" s="1"/>
  <c r="M171" i="26" s="1"/>
  <c r="N171" i="26" s="1"/>
  <c r="D162" i="26"/>
  <c r="E162" i="26" s="1"/>
  <c r="F162" i="26" s="1"/>
  <c r="G162" i="26" s="1"/>
  <c r="H162" i="26" s="1"/>
  <c r="I162" i="26" s="1"/>
  <c r="J162" i="26" s="1"/>
  <c r="K162" i="26" s="1"/>
  <c r="L162" i="26" s="1"/>
  <c r="M162" i="26" s="1"/>
  <c r="N162" i="26" s="1"/>
  <c r="D179" i="26"/>
  <c r="E179" i="26" s="1"/>
  <c r="F179" i="26" s="1"/>
  <c r="G179" i="26" s="1"/>
  <c r="H179" i="26" s="1"/>
  <c r="I179" i="26" s="1"/>
  <c r="J179" i="26" s="1"/>
  <c r="K179" i="26" s="1"/>
  <c r="L179" i="26" s="1"/>
  <c r="M179" i="26" s="1"/>
  <c r="N179" i="26" s="1"/>
  <c r="D166" i="26"/>
  <c r="E166" i="26" s="1"/>
  <c r="F166" i="26" s="1"/>
  <c r="G166" i="26" s="1"/>
  <c r="H166" i="26" s="1"/>
  <c r="I166" i="26" s="1"/>
  <c r="J166" i="26" s="1"/>
  <c r="K166" i="26" s="1"/>
  <c r="L166" i="26" s="1"/>
  <c r="M166" i="26" s="1"/>
  <c r="N166" i="26" s="1"/>
  <c r="D167" i="26"/>
  <c r="E167" i="26" s="1"/>
  <c r="F167" i="26" s="1"/>
  <c r="G167" i="26" s="1"/>
  <c r="H167" i="26" s="1"/>
  <c r="I167" i="26" s="1"/>
  <c r="J167" i="26" s="1"/>
  <c r="K167" i="26" s="1"/>
  <c r="L167" i="26" s="1"/>
  <c r="M167" i="26" s="1"/>
  <c r="N167" i="26" s="1"/>
  <c r="D168" i="26"/>
  <c r="E168" i="26" s="1"/>
  <c r="F168" i="26" s="1"/>
  <c r="G168" i="26" s="1"/>
  <c r="H168" i="26" s="1"/>
  <c r="I168" i="26" s="1"/>
  <c r="J168" i="26" s="1"/>
  <c r="K168" i="26" s="1"/>
  <c r="L168" i="26" s="1"/>
  <c r="M168" i="26" s="1"/>
  <c r="N168" i="26" s="1"/>
  <c r="D175" i="26"/>
  <c r="E175" i="26" s="1"/>
  <c r="F175" i="26" s="1"/>
  <c r="G175" i="26" s="1"/>
  <c r="H175" i="26" s="1"/>
  <c r="I175" i="26" s="1"/>
  <c r="J175" i="26" s="1"/>
  <c r="K175" i="26" s="1"/>
  <c r="L175" i="26" s="1"/>
  <c r="M175" i="26" s="1"/>
  <c r="N175" i="26" s="1"/>
  <c r="D164" i="26"/>
  <c r="E164" i="26" s="1"/>
  <c r="F164" i="26" s="1"/>
  <c r="G164" i="26" s="1"/>
  <c r="H164" i="26" s="1"/>
  <c r="I164" i="26" s="1"/>
  <c r="J164" i="26" s="1"/>
  <c r="K164" i="26" s="1"/>
  <c r="L164" i="26" s="1"/>
  <c r="M164" i="26" s="1"/>
  <c r="N164" i="26" s="1"/>
  <c r="D153" i="26"/>
  <c r="E153" i="26" s="1"/>
  <c r="F153" i="26" s="1"/>
  <c r="G153" i="26" s="1"/>
  <c r="H153" i="26" s="1"/>
  <c r="I153" i="26" s="1"/>
  <c r="J153" i="26" s="1"/>
  <c r="K153" i="26" s="1"/>
  <c r="L153" i="26" s="1"/>
  <c r="M153" i="26" s="1"/>
  <c r="N153" i="26" s="1"/>
  <c r="D161" i="26"/>
  <c r="E161" i="26" s="1"/>
  <c r="F161" i="26" s="1"/>
  <c r="G161" i="26" s="1"/>
  <c r="H161" i="26" s="1"/>
  <c r="I161" i="26" s="1"/>
  <c r="J161" i="26" s="1"/>
  <c r="K161" i="26" s="1"/>
  <c r="L161" i="26" s="1"/>
  <c r="M161" i="26" s="1"/>
  <c r="N161" i="26" s="1"/>
  <c r="D169" i="26"/>
  <c r="E169" i="26" s="1"/>
  <c r="F169" i="26" s="1"/>
  <c r="G169" i="26" s="1"/>
  <c r="H169" i="26" s="1"/>
  <c r="I169" i="26" s="1"/>
  <c r="J169" i="26" s="1"/>
  <c r="K169" i="26" s="1"/>
  <c r="L169" i="26" s="1"/>
  <c r="M169" i="26" s="1"/>
  <c r="N169" i="26" s="1"/>
  <c r="D176" i="26"/>
  <c r="E176" i="26" s="1"/>
  <c r="F176" i="26" s="1"/>
  <c r="N176" i="26" s="1"/>
  <c r="D178" i="26"/>
  <c r="E178" i="26" s="1"/>
  <c r="F178" i="26" s="1"/>
  <c r="G178" i="26" s="1"/>
  <c r="H178" i="26" s="1"/>
  <c r="I178" i="26" s="1"/>
  <c r="J178" i="26" s="1"/>
  <c r="K178" i="26" s="1"/>
  <c r="L178" i="26" s="1"/>
  <c r="M178" i="26" s="1"/>
  <c r="N178" i="26" s="1"/>
  <c r="D135" i="26"/>
  <c r="E135" i="26" s="1"/>
  <c r="F135" i="26" s="1"/>
  <c r="G135" i="26" s="1"/>
  <c r="H135" i="26" s="1"/>
  <c r="I135" i="26" s="1"/>
  <c r="J135" i="26" s="1"/>
  <c r="K135" i="26" s="1"/>
  <c r="L135" i="26" s="1"/>
  <c r="M135" i="26" s="1"/>
  <c r="N135" i="26" s="1"/>
  <c r="D142" i="26"/>
  <c r="E142" i="26" s="1"/>
  <c r="F142" i="26" s="1"/>
  <c r="G142" i="26" s="1"/>
  <c r="H142" i="26" s="1"/>
  <c r="I142" i="26" s="1"/>
  <c r="J142" i="26" s="1"/>
  <c r="K142" i="26" s="1"/>
  <c r="L142" i="26" s="1"/>
  <c r="M142" i="26" s="1"/>
  <c r="N142" i="26" s="1"/>
  <c r="D141" i="26"/>
  <c r="E141" i="26" s="1"/>
  <c r="F141" i="26" s="1"/>
  <c r="G141" i="26" s="1"/>
  <c r="H141" i="26" s="1"/>
  <c r="I141" i="26" s="1"/>
  <c r="J141" i="26" s="1"/>
  <c r="K141" i="26" s="1"/>
  <c r="L141" i="26" s="1"/>
  <c r="M141" i="26" s="1"/>
  <c r="N141" i="26" s="1"/>
  <c r="D147" i="26"/>
  <c r="E147" i="26" s="1"/>
  <c r="F147" i="26" s="1"/>
  <c r="G147" i="26" s="1"/>
  <c r="H147" i="26" s="1"/>
  <c r="I147" i="26" s="1"/>
  <c r="J147" i="26" s="1"/>
  <c r="K147" i="26" s="1"/>
  <c r="L147" i="26" s="1"/>
  <c r="M147" i="26" s="1"/>
  <c r="N147" i="26" s="1"/>
  <c r="D148" i="26"/>
  <c r="E148" i="26" s="1"/>
  <c r="F148" i="26" s="1"/>
  <c r="G148" i="26" s="1"/>
  <c r="H148" i="26" s="1"/>
  <c r="I148" i="26" s="1"/>
  <c r="J148" i="26" s="1"/>
  <c r="K148" i="26" s="1"/>
  <c r="L148" i="26" s="1"/>
  <c r="M148" i="26" s="1"/>
  <c r="N148" i="26" s="1"/>
  <c r="D149" i="26"/>
  <c r="E149" i="26" s="1"/>
  <c r="F149" i="26" s="1"/>
  <c r="G149" i="26" s="1"/>
  <c r="H149" i="26" s="1"/>
  <c r="I149" i="26" s="1"/>
  <c r="J149" i="26" s="1"/>
  <c r="K149" i="26" s="1"/>
  <c r="L149" i="26" s="1"/>
  <c r="M149" i="26" s="1"/>
  <c r="N149" i="26" s="1"/>
  <c r="D150" i="26"/>
  <c r="E150" i="26" s="1"/>
  <c r="F150" i="26" s="1"/>
  <c r="G150" i="26" s="1"/>
  <c r="H150" i="26" s="1"/>
  <c r="I150" i="26" s="1"/>
  <c r="J150" i="26" s="1"/>
  <c r="K150" i="26" s="1"/>
  <c r="L150" i="26" s="1"/>
  <c r="M150" i="26" s="1"/>
  <c r="N150" i="26" s="1"/>
  <c r="D143" i="26"/>
  <c r="E143" i="26" s="1"/>
  <c r="F143" i="26" s="1"/>
  <c r="G143" i="26" s="1"/>
  <c r="H143" i="26" s="1"/>
  <c r="I143" i="26" s="1"/>
  <c r="J143" i="26" s="1"/>
  <c r="K143" i="26" s="1"/>
  <c r="L143" i="26" s="1"/>
  <c r="M143" i="26" s="1"/>
  <c r="N143" i="26" s="1"/>
  <c r="D144" i="26"/>
  <c r="E144" i="26" s="1"/>
  <c r="F144" i="26" s="1"/>
  <c r="G144" i="26" s="1"/>
  <c r="H144" i="26" s="1"/>
  <c r="I144" i="26" s="1"/>
  <c r="J144" i="26" s="1"/>
  <c r="K144" i="26" s="1"/>
  <c r="L144" i="26" s="1"/>
  <c r="M144" i="26" s="1"/>
  <c r="N144" i="26" s="1"/>
  <c r="D146" i="26"/>
  <c r="E146" i="26" s="1"/>
  <c r="F146" i="26" s="1"/>
  <c r="G146" i="26" s="1"/>
  <c r="H146" i="26" s="1"/>
  <c r="I146" i="26" s="1"/>
  <c r="J146" i="26" s="1"/>
  <c r="K146" i="26" s="1"/>
  <c r="L146" i="26" s="1"/>
  <c r="M146" i="26" s="1"/>
  <c r="N146" i="26" s="1"/>
  <c r="D145" i="26"/>
  <c r="E145" i="26" s="1"/>
  <c r="F145" i="26" s="1"/>
  <c r="G145" i="26" s="1"/>
  <c r="H145" i="26" s="1"/>
  <c r="I145" i="26" s="1"/>
  <c r="J145" i="26" s="1"/>
  <c r="K145" i="26" s="1"/>
  <c r="L145" i="26" s="1"/>
  <c r="M145" i="26" s="1"/>
  <c r="N145" i="26" s="1"/>
  <c r="D140" i="26"/>
  <c r="E140" i="26" s="1"/>
  <c r="F140" i="26" s="1"/>
  <c r="G140" i="26" s="1"/>
  <c r="H140" i="26" s="1"/>
  <c r="I140" i="26" s="1"/>
  <c r="J140" i="26" s="1"/>
  <c r="K140" i="26" s="1"/>
  <c r="L140" i="26" s="1"/>
  <c r="M140" i="26" s="1"/>
  <c r="N140" i="26" s="1"/>
  <c r="D136" i="26"/>
  <c r="E136" i="26" s="1"/>
  <c r="F136" i="26" s="1"/>
  <c r="G136" i="26" s="1"/>
  <c r="H136" i="26" s="1"/>
  <c r="I136" i="26" s="1"/>
  <c r="J136" i="26" s="1"/>
  <c r="K136" i="26" s="1"/>
  <c r="L136" i="26" s="1"/>
  <c r="M136" i="26" s="1"/>
  <c r="N136" i="26" s="1"/>
  <c r="D137" i="26"/>
  <c r="E137" i="26" s="1"/>
  <c r="F137" i="26" s="1"/>
  <c r="H137" i="26" s="1"/>
  <c r="I137" i="26" s="1"/>
  <c r="J137" i="26" s="1"/>
  <c r="L137" i="26" s="1"/>
  <c r="M137" i="26" s="1"/>
  <c r="N137" i="26" s="1"/>
  <c r="D139" i="26"/>
  <c r="E139" i="26" s="1"/>
  <c r="F139" i="26" s="1"/>
  <c r="G139" i="26" s="1"/>
  <c r="H139" i="26" s="1"/>
  <c r="I139" i="26" s="1"/>
  <c r="J139" i="26" s="1"/>
  <c r="K139" i="26" s="1"/>
  <c r="L139" i="26" s="1"/>
  <c r="M139" i="26" s="1"/>
  <c r="N139" i="26" s="1"/>
  <c r="D138" i="26"/>
  <c r="E138" i="26" s="1"/>
  <c r="F138" i="26" s="1"/>
  <c r="G138" i="26" s="1"/>
  <c r="H138" i="26" s="1"/>
  <c r="I138" i="26" s="1"/>
  <c r="J138" i="26" s="1"/>
  <c r="K138" i="26" s="1"/>
  <c r="L138" i="26" s="1"/>
  <c r="M138" i="26" s="1"/>
  <c r="N138" i="26" s="1"/>
  <c r="D115" i="26"/>
  <c r="E115" i="26" s="1"/>
  <c r="F115" i="26" s="1"/>
  <c r="G115" i="26" s="1"/>
  <c r="I115" i="26" s="1"/>
  <c r="J115" i="26" s="1"/>
  <c r="K115" i="26" s="1"/>
  <c r="L115" i="26" s="1"/>
  <c r="M115" i="26" s="1"/>
  <c r="N115" i="26" s="1"/>
  <c r="D112" i="26"/>
  <c r="E112" i="26" s="1"/>
  <c r="F112" i="26" s="1"/>
  <c r="G112" i="26" s="1"/>
  <c r="I112" i="26" s="1"/>
  <c r="J112" i="26" s="1"/>
  <c r="K112" i="26" s="1"/>
  <c r="L112" i="26" s="1"/>
  <c r="M112" i="26" s="1"/>
  <c r="N112" i="26" s="1"/>
  <c r="D117" i="26"/>
  <c r="E117" i="26" s="1"/>
  <c r="F117" i="26" s="1"/>
  <c r="G117" i="26" s="1"/>
  <c r="I117" i="26" s="1"/>
  <c r="J117" i="26" s="1"/>
  <c r="K117" i="26" s="1"/>
  <c r="L117" i="26" s="1"/>
  <c r="M117" i="26" s="1"/>
  <c r="N117" i="26" s="1"/>
  <c r="D120" i="26"/>
  <c r="E120" i="26" s="1"/>
  <c r="F120" i="26" s="1"/>
  <c r="G120" i="26" s="1"/>
  <c r="L120" i="26" s="1"/>
  <c r="M120" i="26" s="1"/>
  <c r="N120" i="26" s="1"/>
  <c r="D122" i="26"/>
  <c r="E122" i="26" s="1"/>
  <c r="F122" i="26" s="1"/>
  <c r="G122" i="26" s="1"/>
  <c r="I122" i="26" s="1"/>
  <c r="J122" i="26" s="1"/>
  <c r="K122" i="26" s="1"/>
  <c r="L122" i="26" s="1"/>
  <c r="M122" i="26" s="1"/>
  <c r="N122" i="26" s="1"/>
  <c r="D125" i="26"/>
  <c r="E125" i="26" s="1"/>
  <c r="F125" i="26" s="1"/>
  <c r="G125" i="26" s="1"/>
  <c r="I125" i="26" s="1"/>
  <c r="J125" i="26" s="1"/>
  <c r="K125" i="26" s="1"/>
  <c r="L125" i="26" s="1"/>
  <c r="M125" i="26" s="1"/>
  <c r="N125" i="26" s="1"/>
  <c r="D126" i="26"/>
  <c r="E126" i="26" s="1"/>
  <c r="F126" i="26" s="1"/>
  <c r="G126" i="26" s="1"/>
  <c r="I126" i="26" s="1"/>
  <c r="J126" i="26" s="1"/>
  <c r="K126" i="26" s="1"/>
  <c r="L126" i="26" s="1"/>
  <c r="M126" i="26" s="1"/>
  <c r="N126" i="26" s="1"/>
  <c r="D121" i="26"/>
  <c r="E121" i="26" s="1"/>
  <c r="F121" i="26" s="1"/>
  <c r="G121" i="26" s="1"/>
  <c r="I121" i="26" s="1"/>
  <c r="J121" i="26" s="1"/>
  <c r="K121" i="26" s="1"/>
  <c r="L121" i="26" s="1"/>
  <c r="M121" i="26" s="1"/>
  <c r="N121" i="26" s="1"/>
  <c r="D123" i="26"/>
  <c r="E123" i="26" s="1"/>
  <c r="F123" i="26" s="1"/>
  <c r="G123" i="26" s="1"/>
  <c r="I123" i="26" s="1"/>
  <c r="J123" i="26" s="1"/>
  <c r="K123" i="26" s="1"/>
  <c r="L123" i="26" s="1"/>
  <c r="M123" i="26" s="1"/>
  <c r="N123" i="26" s="1"/>
  <c r="D124" i="26"/>
  <c r="E124" i="26" s="1"/>
  <c r="F124" i="26" s="1"/>
  <c r="G124" i="26" s="1"/>
  <c r="I124" i="26" s="1"/>
  <c r="J124" i="26" s="1"/>
  <c r="K124" i="26" s="1"/>
  <c r="L124" i="26" s="1"/>
  <c r="M124" i="26" s="1"/>
  <c r="N124" i="26" s="1"/>
  <c r="D132" i="26"/>
  <c r="E132" i="26" s="1"/>
  <c r="F132" i="26" s="1"/>
  <c r="G132" i="26" s="1"/>
  <c r="I132" i="26" s="1"/>
  <c r="J132" i="26" s="1"/>
  <c r="K132" i="26" s="1"/>
  <c r="L132" i="26" s="1"/>
  <c r="M132" i="26" s="1"/>
  <c r="N132" i="26" s="1"/>
  <c r="D131" i="26"/>
  <c r="E131" i="26" s="1"/>
  <c r="F131" i="26" s="1"/>
  <c r="G131" i="26" s="1"/>
  <c r="I131" i="26" s="1"/>
  <c r="J131" i="26" s="1"/>
  <c r="K131" i="26" s="1"/>
  <c r="L131" i="26" s="1"/>
  <c r="M131" i="26" s="1"/>
  <c r="N131" i="26" s="1"/>
  <c r="D114" i="26"/>
  <c r="E114" i="26" s="1"/>
  <c r="F114" i="26" s="1"/>
  <c r="G114" i="26" s="1"/>
  <c r="I114" i="26" s="1"/>
  <c r="J114" i="26" s="1"/>
  <c r="K114" i="26" s="1"/>
  <c r="L114" i="26" s="1"/>
  <c r="M114" i="26" s="1"/>
  <c r="N114" i="26" s="1"/>
  <c r="D127" i="26"/>
  <c r="E127" i="26" s="1"/>
  <c r="F127" i="26" s="1"/>
  <c r="G127" i="26" s="1"/>
  <c r="I127" i="26" s="1"/>
  <c r="J127" i="26" s="1"/>
  <c r="K127" i="26" s="1"/>
  <c r="L127" i="26" s="1"/>
  <c r="M127" i="26" s="1"/>
  <c r="N127" i="26" s="1"/>
  <c r="D113" i="26"/>
  <c r="E113" i="26" s="1"/>
  <c r="F113" i="26" s="1"/>
  <c r="G113" i="26" s="1"/>
  <c r="I113" i="26" s="1"/>
  <c r="J113" i="26" s="1"/>
  <c r="K113" i="26" s="1"/>
  <c r="L113" i="26" s="1"/>
  <c r="M113" i="26" s="1"/>
  <c r="N113" i="26" s="1"/>
  <c r="D116" i="26"/>
  <c r="E116" i="26" s="1"/>
  <c r="F116" i="26" s="1"/>
  <c r="G116" i="26" s="1"/>
  <c r="I116" i="26" s="1"/>
  <c r="J116" i="26" s="1"/>
  <c r="K116" i="26" s="1"/>
  <c r="L116" i="26" s="1"/>
  <c r="M116" i="26" s="1"/>
  <c r="N116" i="26" s="1"/>
  <c r="D119" i="26"/>
  <c r="E119" i="26" s="1"/>
  <c r="F119" i="26" s="1"/>
  <c r="G119" i="26" s="1"/>
  <c r="I119" i="26" s="1"/>
  <c r="J119" i="26" s="1"/>
  <c r="K119" i="26" s="1"/>
  <c r="L119" i="26" s="1"/>
  <c r="M119" i="26" s="1"/>
  <c r="N119" i="26" s="1"/>
  <c r="D128" i="26"/>
  <c r="E128" i="26" s="1"/>
  <c r="F128" i="26" s="1"/>
  <c r="G128" i="26" s="1"/>
  <c r="I128" i="26" s="1"/>
  <c r="J128" i="26" s="1"/>
  <c r="K128" i="26" s="1"/>
  <c r="L128" i="26" s="1"/>
  <c r="M128" i="26" s="1"/>
  <c r="N128" i="26" s="1"/>
  <c r="D129" i="26"/>
  <c r="E129" i="26" s="1"/>
  <c r="F129" i="26" s="1"/>
  <c r="G129" i="26" s="1"/>
  <c r="I129" i="26" s="1"/>
  <c r="J129" i="26" s="1"/>
  <c r="K129" i="26" s="1"/>
  <c r="L129" i="26" s="1"/>
  <c r="M129" i="26" s="1"/>
  <c r="N129" i="26" s="1"/>
  <c r="D130" i="26"/>
  <c r="E130" i="26" s="1"/>
  <c r="F130" i="26" s="1"/>
  <c r="G130" i="26" s="1"/>
  <c r="I130" i="26" s="1"/>
  <c r="J130" i="26" s="1"/>
  <c r="K130" i="26" s="1"/>
  <c r="L130" i="26" s="1"/>
  <c r="M130" i="26" s="1"/>
  <c r="N130" i="26" s="1"/>
  <c r="D118" i="26"/>
  <c r="E118" i="26" s="1"/>
  <c r="F118" i="26" s="1"/>
  <c r="G118" i="26" s="1"/>
  <c r="I118" i="26" s="1"/>
  <c r="J118" i="26" s="1"/>
  <c r="K118" i="26" s="1"/>
  <c r="L118" i="26" s="1"/>
  <c r="M118" i="26" s="1"/>
  <c r="N118" i="26" s="1"/>
  <c r="D73" i="26"/>
  <c r="E73" i="26" s="1"/>
  <c r="F73" i="26" s="1"/>
  <c r="G73" i="26" s="1"/>
  <c r="H73" i="26" s="1"/>
  <c r="I73" i="26" s="1"/>
  <c r="J73" i="26" s="1"/>
  <c r="K73" i="26" s="1"/>
  <c r="L73" i="26" s="1"/>
  <c r="M73" i="26" s="1"/>
  <c r="N73" i="26" s="1"/>
  <c r="D74" i="26"/>
  <c r="E74" i="26" s="1"/>
  <c r="F74" i="26" s="1"/>
  <c r="G74" i="26" s="1"/>
  <c r="H74" i="26" s="1"/>
  <c r="I74" i="26" s="1"/>
  <c r="J74" i="26" s="1"/>
  <c r="K74" i="26" s="1"/>
  <c r="L74" i="26" s="1"/>
  <c r="M74" i="26" s="1"/>
  <c r="N74" i="26" s="1"/>
  <c r="D72" i="26"/>
  <c r="E72" i="26" s="1"/>
  <c r="F72" i="26" s="1"/>
  <c r="G72" i="26" s="1"/>
  <c r="H72" i="26" s="1"/>
  <c r="I72" i="26" s="1"/>
  <c r="J72" i="26" s="1"/>
  <c r="K72" i="26" s="1"/>
  <c r="L72" i="26" s="1"/>
  <c r="M72" i="26" s="1"/>
  <c r="N72" i="26" s="1"/>
  <c r="D59" i="26"/>
  <c r="E59" i="26" s="1"/>
  <c r="F59" i="26" s="1"/>
  <c r="G59" i="26" s="1"/>
  <c r="H59" i="26" s="1"/>
  <c r="I59" i="26" s="1"/>
  <c r="J59" i="26" s="1"/>
  <c r="K59" i="26" s="1"/>
  <c r="L59" i="26" s="1"/>
  <c r="M59" i="26" s="1"/>
  <c r="N59" i="26" s="1"/>
  <c r="D78" i="26"/>
  <c r="E78" i="26" s="1"/>
  <c r="F78" i="26" s="1"/>
  <c r="G78" i="26" s="1"/>
  <c r="H78" i="26" s="1"/>
  <c r="I78" i="26" s="1"/>
  <c r="J78" i="26" s="1"/>
  <c r="K78" i="26" s="1"/>
  <c r="L78" i="26" s="1"/>
  <c r="M78" i="26" s="1"/>
  <c r="N78" i="26" s="1"/>
  <c r="D82" i="26"/>
  <c r="E82" i="26" s="1"/>
  <c r="F82" i="26" s="1"/>
  <c r="G82" i="26" s="1"/>
  <c r="H82" i="26" s="1"/>
  <c r="I82" i="26" s="1"/>
  <c r="J82" i="26" s="1"/>
  <c r="K82" i="26" s="1"/>
  <c r="L82" i="26" s="1"/>
  <c r="M82" i="26" s="1"/>
  <c r="N82" i="26" s="1"/>
  <c r="D65" i="26"/>
  <c r="E65" i="26" s="1"/>
  <c r="F65" i="26" s="1"/>
  <c r="G65" i="26" s="1"/>
  <c r="H65" i="26" s="1"/>
  <c r="I65" i="26" s="1"/>
  <c r="J65" i="26" s="1"/>
  <c r="K65" i="26" s="1"/>
  <c r="L65" i="26" s="1"/>
  <c r="M65" i="26" s="1"/>
  <c r="N65" i="26" s="1"/>
  <c r="D77" i="26"/>
  <c r="E77" i="26" s="1"/>
  <c r="F77" i="26" s="1"/>
  <c r="G77" i="26" s="1"/>
  <c r="H77" i="26" s="1"/>
  <c r="I77" i="26" s="1"/>
  <c r="J77" i="26" s="1"/>
  <c r="K77" i="26" s="1"/>
  <c r="L77" i="26" s="1"/>
  <c r="M77" i="26" s="1"/>
  <c r="N77" i="26" s="1"/>
  <c r="D89" i="26"/>
  <c r="E89" i="26" s="1"/>
  <c r="F89" i="26" s="1"/>
  <c r="G89" i="26" s="1"/>
  <c r="H89" i="26" s="1"/>
  <c r="I89" i="26" s="1"/>
  <c r="J89" i="26" s="1"/>
  <c r="K89" i="26" s="1"/>
  <c r="L89" i="26" s="1"/>
  <c r="M89" i="26" s="1"/>
  <c r="N89" i="26" s="1"/>
  <c r="D92" i="26"/>
  <c r="E92" i="26" s="1"/>
  <c r="F92" i="26" s="1"/>
  <c r="G92" i="26" s="1"/>
  <c r="H92" i="26" s="1"/>
  <c r="I92" i="26" s="1"/>
  <c r="J92" i="26" s="1"/>
  <c r="K92" i="26" s="1"/>
  <c r="L92" i="26" s="1"/>
  <c r="M92" i="26" s="1"/>
  <c r="N92" i="26" s="1"/>
  <c r="D71" i="26"/>
  <c r="E71" i="26" s="1"/>
  <c r="F71" i="26" s="1"/>
  <c r="G71" i="26" s="1"/>
  <c r="H71" i="26" s="1"/>
  <c r="I71" i="26" s="1"/>
  <c r="J71" i="26" s="1"/>
  <c r="K71" i="26" s="1"/>
  <c r="L71" i="26" s="1"/>
  <c r="M71" i="26" s="1"/>
  <c r="N71" i="26" s="1"/>
  <c r="D94" i="26"/>
  <c r="E94" i="26" s="1"/>
  <c r="F94" i="26" s="1"/>
  <c r="G94" i="26" s="1"/>
  <c r="H94" i="26" s="1"/>
  <c r="I94" i="26" s="1"/>
  <c r="J94" i="26" s="1"/>
  <c r="K94" i="26" s="1"/>
  <c r="L94" i="26" s="1"/>
  <c r="M94" i="26" s="1"/>
  <c r="N94" i="26" s="1"/>
  <c r="D95" i="26"/>
  <c r="E95" i="26" s="1"/>
  <c r="F95" i="26" s="1"/>
  <c r="G95" i="26" s="1"/>
  <c r="H95" i="26" s="1"/>
  <c r="I95" i="26" s="1"/>
  <c r="J95" i="26" s="1"/>
  <c r="K95" i="26" s="1"/>
  <c r="L95" i="26" s="1"/>
  <c r="M95" i="26" s="1"/>
  <c r="N95" i="26" s="1"/>
  <c r="D67" i="26"/>
  <c r="E67" i="26" s="1"/>
  <c r="F67" i="26" s="1"/>
  <c r="G67" i="26" s="1"/>
  <c r="H67" i="26" s="1"/>
  <c r="I67" i="26" s="1"/>
  <c r="J67" i="26" s="1"/>
  <c r="K67" i="26" s="1"/>
  <c r="L67" i="26" s="1"/>
  <c r="M67" i="26" s="1"/>
  <c r="N67" i="26" s="1"/>
  <c r="D70" i="26"/>
  <c r="E70" i="26" s="1"/>
  <c r="F70" i="26" s="1"/>
  <c r="G70" i="26" s="1"/>
  <c r="H70" i="26" s="1"/>
  <c r="I70" i="26" s="1"/>
  <c r="J70" i="26" s="1"/>
  <c r="K70" i="26" s="1"/>
  <c r="L70" i="26" s="1"/>
  <c r="M70" i="26" s="1"/>
  <c r="N70" i="26" s="1"/>
  <c r="D66" i="26"/>
  <c r="E66" i="26" s="1"/>
  <c r="F66" i="26" s="1"/>
  <c r="G66" i="26" s="1"/>
  <c r="H66" i="26" s="1"/>
  <c r="I66" i="26" s="1"/>
  <c r="J66" i="26" s="1"/>
  <c r="K66" i="26" s="1"/>
  <c r="L66" i="26" s="1"/>
  <c r="M66" i="26" s="1"/>
  <c r="N66" i="26" s="1"/>
  <c r="D97" i="26"/>
  <c r="E97" i="26" s="1"/>
  <c r="F97" i="26" s="1"/>
  <c r="G97" i="26" s="1"/>
  <c r="H97" i="26" s="1"/>
  <c r="I97" i="26" s="1"/>
  <c r="J97" i="26" s="1"/>
  <c r="K97" i="26" s="1"/>
  <c r="L97" i="26" s="1"/>
  <c r="M97" i="26" s="1"/>
  <c r="N97" i="26" s="1"/>
  <c r="D61" i="26"/>
  <c r="E61" i="26" s="1"/>
  <c r="F61" i="26" s="1"/>
  <c r="G61" i="26" s="1"/>
  <c r="H61" i="26" s="1"/>
  <c r="I61" i="26" s="1"/>
  <c r="J61" i="26" s="1"/>
  <c r="K61" i="26" s="1"/>
  <c r="L61" i="26" s="1"/>
  <c r="M61" i="26" s="1"/>
  <c r="N61" i="26" s="1"/>
  <c r="D62" i="26"/>
  <c r="E62" i="26" s="1"/>
  <c r="F62" i="26" s="1"/>
  <c r="G62" i="26" s="1"/>
  <c r="H62" i="26" s="1"/>
  <c r="I62" i="26" s="1"/>
  <c r="J62" i="26" s="1"/>
  <c r="K62" i="26" s="1"/>
  <c r="L62" i="26" s="1"/>
  <c r="M62" i="26" s="1"/>
  <c r="N62" i="26" s="1"/>
  <c r="D63" i="26"/>
  <c r="E63" i="26" s="1"/>
  <c r="F63" i="26" s="1"/>
  <c r="G63" i="26" s="1"/>
  <c r="H63" i="26" s="1"/>
  <c r="I63" i="26" s="1"/>
  <c r="J63" i="26" s="1"/>
  <c r="K63" i="26" s="1"/>
  <c r="L63" i="26" s="1"/>
  <c r="M63" i="26" s="1"/>
  <c r="N63" i="26" s="1"/>
  <c r="D60" i="26"/>
  <c r="E60" i="26" s="1"/>
  <c r="F60" i="26" s="1"/>
  <c r="G60" i="26" s="1"/>
  <c r="H60" i="26" s="1"/>
  <c r="I60" i="26" s="1"/>
  <c r="J60" i="26" s="1"/>
  <c r="K60" i="26" s="1"/>
  <c r="L60" i="26" s="1"/>
  <c r="M60" i="26" s="1"/>
  <c r="N60" i="26" s="1"/>
  <c r="D76" i="26"/>
  <c r="E76" i="26" s="1"/>
  <c r="F76" i="26" s="1"/>
  <c r="G76" i="26" s="1"/>
  <c r="H76" i="26" s="1"/>
  <c r="I76" i="26" s="1"/>
  <c r="J76" i="26" s="1"/>
  <c r="K76" i="26" s="1"/>
  <c r="L76" i="26" s="1"/>
  <c r="M76" i="26" s="1"/>
  <c r="N76" i="26" s="1"/>
  <c r="D83" i="26"/>
  <c r="E83" i="26" s="1"/>
  <c r="F83" i="26" s="1"/>
  <c r="G83" i="26" s="1"/>
  <c r="H83" i="26" s="1"/>
  <c r="I83" i="26" s="1"/>
  <c r="J83" i="26" s="1"/>
  <c r="K83" i="26" s="1"/>
  <c r="L83" i="26" s="1"/>
  <c r="M83" i="26" s="1"/>
  <c r="N83" i="26" s="1"/>
  <c r="D85" i="26"/>
  <c r="E85" i="26" s="1"/>
  <c r="F85" i="26" s="1"/>
  <c r="G85" i="26" s="1"/>
  <c r="H85" i="26" s="1"/>
  <c r="I85" i="26" s="1"/>
  <c r="J85" i="26" s="1"/>
  <c r="K85" i="26" s="1"/>
  <c r="L85" i="26" s="1"/>
  <c r="M85" i="26" s="1"/>
  <c r="N85" i="26" s="1"/>
  <c r="D90" i="26"/>
  <c r="E90" i="26" s="1"/>
  <c r="F90" i="26" s="1"/>
  <c r="G90" i="26" s="1"/>
  <c r="H90" i="26" s="1"/>
  <c r="I90" i="26" s="1"/>
  <c r="J90" i="26" s="1"/>
  <c r="K90" i="26" s="1"/>
  <c r="L90" i="26" s="1"/>
  <c r="M90" i="26" s="1"/>
  <c r="N90" i="26" s="1"/>
  <c r="D87" i="26"/>
  <c r="E87" i="26" s="1"/>
  <c r="F87" i="26" s="1"/>
  <c r="G87" i="26" s="1"/>
  <c r="H87" i="26" s="1"/>
  <c r="I87" i="26" s="1"/>
  <c r="J87" i="26" s="1"/>
  <c r="K87" i="26" s="1"/>
  <c r="L87" i="26" s="1"/>
  <c r="M87" i="26" s="1"/>
  <c r="N87" i="26" s="1"/>
  <c r="D88" i="26"/>
  <c r="E88" i="26" s="1"/>
  <c r="F88" i="26" s="1"/>
  <c r="G88" i="26" s="1"/>
  <c r="H88" i="26" s="1"/>
  <c r="I88" i="26" s="1"/>
  <c r="J88" i="26" s="1"/>
  <c r="K88" i="26" s="1"/>
  <c r="L88" i="26" s="1"/>
  <c r="M88" i="26" s="1"/>
  <c r="N88" i="26" s="1"/>
  <c r="D75" i="26"/>
  <c r="E75" i="26" s="1"/>
  <c r="F75" i="26" s="1"/>
  <c r="G75" i="26" s="1"/>
  <c r="H75" i="26" s="1"/>
  <c r="I75" i="26" s="1"/>
  <c r="J75" i="26" s="1"/>
  <c r="K75" i="26" s="1"/>
  <c r="L75" i="26" s="1"/>
  <c r="M75" i="26" s="1"/>
  <c r="N75" i="26" s="1"/>
  <c r="D81" i="26"/>
  <c r="E81" i="26" s="1"/>
  <c r="F81" i="26" s="1"/>
  <c r="G81" i="26" s="1"/>
  <c r="H81" i="26" s="1"/>
  <c r="I81" i="26" s="1"/>
  <c r="J81" i="26" s="1"/>
  <c r="K81" i="26" s="1"/>
  <c r="L81" i="26" s="1"/>
  <c r="M81" i="26" s="1"/>
  <c r="N81" i="26" s="1"/>
  <c r="D64" i="26"/>
  <c r="E64" i="26" s="1"/>
  <c r="F64" i="26" s="1"/>
  <c r="G64" i="26" s="1"/>
  <c r="H64" i="26" s="1"/>
  <c r="I64" i="26" s="1"/>
  <c r="J64" i="26" s="1"/>
  <c r="K64" i="26" s="1"/>
  <c r="L64" i="26" s="1"/>
  <c r="M64" i="26" s="1"/>
  <c r="N64" i="26" s="1"/>
  <c r="D91" i="26"/>
  <c r="E91" i="26" s="1"/>
  <c r="F91" i="26" s="1"/>
  <c r="G91" i="26" s="1"/>
  <c r="H91" i="26" s="1"/>
  <c r="I91" i="26" s="1"/>
  <c r="J91" i="26" s="1"/>
  <c r="K91" i="26" s="1"/>
  <c r="L91" i="26" s="1"/>
  <c r="M91" i="26" s="1"/>
  <c r="N91" i="26" s="1"/>
  <c r="D68" i="26"/>
  <c r="E68" i="26" s="1"/>
  <c r="F68" i="26" s="1"/>
  <c r="G68" i="26" s="1"/>
  <c r="H68" i="26" s="1"/>
  <c r="I68" i="26" s="1"/>
  <c r="J68" i="26" s="1"/>
  <c r="K68" i="26" s="1"/>
  <c r="L68" i="26" s="1"/>
  <c r="M68" i="26" s="1"/>
  <c r="N68" i="26" s="1"/>
  <c r="D79" i="26"/>
  <c r="E79" i="26" s="1"/>
  <c r="F79" i="26" s="1"/>
  <c r="G79" i="26" s="1"/>
  <c r="H79" i="26" s="1"/>
  <c r="I79" i="26" s="1"/>
  <c r="J79" i="26" s="1"/>
  <c r="K79" i="26" s="1"/>
  <c r="L79" i="26" s="1"/>
  <c r="M79" i="26" s="1"/>
  <c r="N79" i="26" s="1"/>
  <c r="D80" i="26"/>
  <c r="E80" i="26" s="1"/>
  <c r="F80" i="26" s="1"/>
  <c r="G80" i="26" s="1"/>
  <c r="H80" i="26" s="1"/>
  <c r="I80" i="26" s="1"/>
  <c r="J80" i="26" s="1"/>
  <c r="K80" i="26" s="1"/>
  <c r="L80" i="26" s="1"/>
  <c r="M80" i="26" s="1"/>
  <c r="N80" i="26" s="1"/>
  <c r="D93" i="26"/>
  <c r="E93" i="26" s="1"/>
  <c r="F93" i="26" s="1"/>
  <c r="G93" i="26" s="1"/>
  <c r="H93" i="26" s="1"/>
  <c r="I93" i="26" s="1"/>
  <c r="J93" i="26" s="1"/>
  <c r="K93" i="26" s="1"/>
  <c r="L93" i="26" s="1"/>
  <c r="M93" i="26" s="1"/>
  <c r="N93" i="26" s="1"/>
  <c r="D86" i="26"/>
  <c r="E86" i="26" s="1"/>
  <c r="F86" i="26" s="1"/>
  <c r="G86" i="26" s="1"/>
  <c r="H86" i="26" s="1"/>
  <c r="I86" i="26" s="1"/>
  <c r="J86" i="26" s="1"/>
  <c r="K86" i="26" s="1"/>
  <c r="L86" i="26" s="1"/>
  <c r="M86" i="26" s="1"/>
  <c r="N86" i="26" s="1"/>
  <c r="D96" i="26"/>
  <c r="E96" i="26" s="1"/>
  <c r="F96" i="26" s="1"/>
  <c r="G96" i="26" s="1"/>
  <c r="H96" i="26" s="1"/>
  <c r="I96" i="26" s="1"/>
  <c r="J96" i="26" s="1"/>
  <c r="K96" i="26" s="1"/>
  <c r="L96" i="26" s="1"/>
  <c r="M96" i="26" s="1"/>
  <c r="N96" i="26" s="1"/>
  <c r="D174" i="26"/>
  <c r="E174" i="26" s="1"/>
  <c r="F174" i="26" s="1"/>
  <c r="G174" i="26" s="1"/>
  <c r="H174" i="26" s="1"/>
  <c r="I174" i="26" s="1"/>
  <c r="J174" i="26" s="1"/>
  <c r="K174" i="26" s="1"/>
  <c r="L174" i="26" s="1"/>
  <c r="M174" i="26" s="1"/>
  <c r="N174" i="26" s="1"/>
  <c r="D84" i="26"/>
  <c r="E84" i="26" s="1"/>
  <c r="F84" i="26" s="1"/>
  <c r="G84" i="26" s="1"/>
  <c r="H84" i="26" s="1"/>
  <c r="I84" i="26" s="1"/>
  <c r="J84" i="26" s="1"/>
  <c r="K84" i="26" s="1"/>
  <c r="L84" i="26" s="1"/>
  <c r="M84" i="26" s="1"/>
  <c r="N84" i="26" s="1"/>
  <c r="E31" i="26"/>
  <c r="G31" i="26" s="1"/>
  <c r="I31" i="26" s="1"/>
  <c r="K31" i="26" s="1"/>
  <c r="M31" i="26" s="1"/>
  <c r="M30" i="26" s="1"/>
  <c r="D31" i="26"/>
  <c r="D30" i="26" s="1"/>
  <c r="E19" i="26"/>
  <c r="G19" i="26" s="1"/>
  <c r="I19" i="26" s="1"/>
  <c r="K19" i="26" s="1"/>
  <c r="M19" i="26" s="1"/>
  <c r="E21" i="26"/>
  <c r="K21" i="26" s="1"/>
  <c r="F21" i="26"/>
  <c r="H21" i="26" s="1"/>
  <c r="J21" i="26" s="1"/>
  <c r="L21" i="26" s="1"/>
  <c r="N21" i="26" s="1"/>
  <c r="E22" i="26"/>
  <c r="G22" i="26" s="1"/>
  <c r="I22" i="26" s="1"/>
  <c r="K22" i="26" s="1"/>
  <c r="M22" i="26" s="1"/>
  <c r="E23" i="26"/>
  <c r="G23" i="26" s="1"/>
  <c r="I23" i="26" s="1"/>
  <c r="K23" i="26" s="1"/>
  <c r="M23" i="26" s="1"/>
  <c r="E24" i="26"/>
  <c r="G24" i="26" s="1"/>
  <c r="I24" i="26" s="1"/>
  <c r="K24" i="26" s="1"/>
  <c r="M24" i="26" s="1"/>
  <c r="E25" i="26"/>
  <c r="G25" i="26" s="1"/>
  <c r="I25" i="26" s="1"/>
  <c r="K25" i="26" s="1"/>
  <c r="M25" i="26" s="1"/>
  <c r="E26" i="26"/>
  <c r="G26" i="26" s="1"/>
  <c r="I26" i="26" s="1"/>
  <c r="K26" i="26" s="1"/>
  <c r="M26" i="26" s="1"/>
  <c r="E27" i="26"/>
  <c r="G27" i="26" s="1"/>
  <c r="I27" i="26" s="1"/>
  <c r="K27" i="26" s="1"/>
  <c r="M27" i="26" s="1"/>
  <c r="E28" i="26"/>
  <c r="G28" i="26" s="1"/>
  <c r="I28" i="26" s="1"/>
  <c r="K28" i="26" s="1"/>
  <c r="M28" i="26" s="1"/>
  <c r="E29" i="26"/>
  <c r="G29" i="26" s="1"/>
  <c r="I29" i="26" s="1"/>
  <c r="K29" i="26" s="1"/>
  <c r="M29" i="26" s="1"/>
  <c r="D19" i="26"/>
  <c r="F19" i="26" s="1"/>
  <c r="C14" i="26"/>
  <c r="D16" i="26"/>
  <c r="E16" i="26" s="1"/>
  <c r="F16" i="26" s="1"/>
  <c r="D17" i="26"/>
  <c r="E17" i="26" s="1"/>
  <c r="F17" i="26" s="1"/>
  <c r="G17" i="26" s="1"/>
  <c r="H17" i="26" s="1"/>
  <c r="I17" i="26" s="1"/>
  <c r="J17" i="26" s="1"/>
  <c r="K17" i="26" s="1"/>
  <c r="L17" i="26" s="1"/>
  <c r="M17" i="26" s="1"/>
  <c r="N17" i="26" s="1"/>
  <c r="D15" i="26"/>
  <c r="D13" i="26"/>
  <c r="E13" i="26" s="1"/>
  <c r="F13" i="26" s="1"/>
  <c r="G13" i="26" s="1"/>
  <c r="H13" i="26" s="1"/>
  <c r="I13" i="26" s="1"/>
  <c r="J13" i="26" s="1"/>
  <c r="K13" i="26" s="1"/>
  <c r="L13" i="26" s="1"/>
  <c r="M13" i="26" s="1"/>
  <c r="N13" i="26" s="1"/>
  <c r="D12" i="26"/>
  <c r="E12" i="26" s="1"/>
  <c r="F12" i="26" s="1"/>
  <c r="G12" i="26" s="1"/>
  <c r="H12" i="26" s="1"/>
  <c r="I12" i="26" s="1"/>
  <c r="J12" i="26" s="1"/>
  <c r="K12" i="26" s="1"/>
  <c r="L12" i="26" s="1"/>
  <c r="M12" i="26" s="1"/>
  <c r="N12" i="26" s="1"/>
  <c r="D11" i="26"/>
  <c r="E11" i="26" s="1"/>
  <c r="F11" i="26" s="1"/>
  <c r="G11" i="26" s="1"/>
  <c r="H11" i="26" s="1"/>
  <c r="I11" i="26" s="1"/>
  <c r="J11" i="26" s="1"/>
  <c r="K11" i="26" s="1"/>
  <c r="L11" i="26" s="1"/>
  <c r="M11" i="26" s="1"/>
  <c r="N11" i="26" s="1"/>
  <c r="H48" i="26"/>
  <c r="I48" i="26" s="1"/>
  <c r="J48" i="26" s="1"/>
  <c r="K48" i="26" s="1"/>
  <c r="L48" i="26" s="1"/>
  <c r="M48" i="26" s="1"/>
  <c r="N48" i="26" s="1"/>
  <c r="N44" i="26"/>
  <c r="N50" i="26"/>
  <c r="H50" i="26"/>
  <c r="I50" i="26" s="1"/>
  <c r="J50" i="26" s="1"/>
  <c r="K50" i="26" s="1"/>
  <c r="L50" i="26" s="1"/>
  <c r="H46" i="26"/>
  <c r="I46" i="26" s="1"/>
  <c r="J46" i="26" s="1"/>
  <c r="K46" i="26" s="1"/>
  <c r="L46" i="26" s="1"/>
  <c r="M46" i="26" s="1"/>
  <c r="N46" i="26" s="1"/>
  <c r="H47" i="26"/>
  <c r="I47" i="26" s="1"/>
  <c r="J47" i="26" s="1"/>
  <c r="K47" i="26" s="1"/>
  <c r="L47" i="26" s="1"/>
  <c r="M47" i="26" s="1"/>
  <c r="N47" i="26" s="1"/>
  <c r="H49" i="26"/>
  <c r="I49" i="26" s="1"/>
  <c r="J49" i="26" s="1"/>
  <c r="K49" i="26" s="1"/>
  <c r="L49" i="26" s="1"/>
  <c r="M49" i="26" s="1"/>
  <c r="N49" i="26" s="1"/>
  <c r="H44" i="26"/>
  <c r="I44" i="26" s="1"/>
  <c r="J44" i="26" s="1"/>
  <c r="K44" i="26" s="1"/>
  <c r="L44" i="26" s="1"/>
  <c r="H56" i="26"/>
  <c r="I56" i="26" s="1"/>
  <c r="J56" i="26" s="1"/>
  <c r="K56" i="26" s="1"/>
  <c r="L56" i="26" s="1"/>
  <c r="M56" i="26" s="1"/>
  <c r="N56" i="26" s="1"/>
  <c r="H37" i="26"/>
  <c r="I37" i="26" s="1"/>
  <c r="J37" i="26" s="1"/>
  <c r="K37" i="26" s="1"/>
  <c r="L37" i="26" s="1"/>
  <c r="M37" i="26" s="1"/>
  <c r="N37" i="26" s="1"/>
  <c r="H41" i="26"/>
  <c r="I41" i="26" s="1"/>
  <c r="J41" i="26" s="1"/>
  <c r="K41" i="26" s="1"/>
  <c r="L41" i="26" s="1"/>
  <c r="M41" i="26" s="1"/>
  <c r="N41" i="26" s="1"/>
  <c r="H38" i="26"/>
  <c r="I38" i="26" s="1"/>
  <c r="J38" i="26" s="1"/>
  <c r="K38" i="26" s="1"/>
  <c r="L38" i="26" s="1"/>
  <c r="M38" i="26" s="1"/>
  <c r="N38" i="26" s="1"/>
  <c r="H54" i="26"/>
  <c r="I54" i="26" s="1"/>
  <c r="J54" i="26" s="1"/>
  <c r="K54" i="26" s="1"/>
  <c r="L54" i="26" s="1"/>
  <c r="H39" i="26"/>
  <c r="I39" i="26" s="1"/>
  <c r="J39" i="26" s="1"/>
  <c r="K39" i="26" s="1"/>
  <c r="L39" i="26" s="1"/>
  <c r="M39" i="26" s="1"/>
  <c r="N39" i="26" s="1"/>
  <c r="H43" i="26"/>
  <c r="I43" i="26" s="1"/>
  <c r="J43" i="26" s="1"/>
  <c r="K43" i="26" s="1"/>
  <c r="L43" i="26" s="1"/>
  <c r="M43" i="26" s="1"/>
  <c r="N43" i="26" s="1"/>
  <c r="H51" i="26"/>
  <c r="I51" i="26" s="1"/>
  <c r="J51" i="26" s="1"/>
  <c r="K51" i="26" s="1"/>
  <c r="L51" i="26" s="1"/>
  <c r="M51" i="26" s="1"/>
  <c r="N51" i="26" s="1"/>
  <c r="H42" i="26"/>
  <c r="I42" i="26" s="1"/>
  <c r="J42" i="26" s="1"/>
  <c r="K42" i="26" s="1"/>
  <c r="L42" i="26" s="1"/>
  <c r="M42" i="26" s="1"/>
  <c r="N42" i="26" s="1"/>
  <c r="H52" i="26"/>
  <c r="I52" i="26" s="1"/>
  <c r="J52" i="26" s="1"/>
  <c r="K52" i="26" s="1"/>
  <c r="L52" i="26" s="1"/>
  <c r="M52" i="26" s="1"/>
  <c r="N52" i="26" s="1"/>
  <c r="D50" i="26"/>
  <c r="E50" i="26" s="1"/>
  <c r="F50" i="26" s="1"/>
  <c r="D36" i="26"/>
  <c r="E36" i="26" s="1"/>
  <c r="F36" i="26" s="1"/>
  <c r="G36" i="26" s="1"/>
  <c r="H36" i="26" s="1"/>
  <c r="I36" i="26" s="1"/>
  <c r="J36" i="26" s="1"/>
  <c r="K36" i="26" s="1"/>
  <c r="L36" i="26" s="1"/>
  <c r="M36" i="26" s="1"/>
  <c r="N36" i="26" s="1"/>
  <c r="D46" i="26"/>
  <c r="E46" i="26" s="1"/>
  <c r="F46" i="26" s="1"/>
  <c r="D53" i="26"/>
  <c r="E53" i="26" s="1"/>
  <c r="F53" i="26" s="1"/>
  <c r="G53" i="26" s="1"/>
  <c r="H53" i="26" s="1"/>
  <c r="I53" i="26" s="1"/>
  <c r="J53" i="26" s="1"/>
  <c r="K53" i="26" s="1"/>
  <c r="L53" i="26" s="1"/>
  <c r="M53" i="26" s="1"/>
  <c r="N53" i="26" s="1"/>
  <c r="D48" i="26"/>
  <c r="E48" i="26" s="1"/>
  <c r="F48" i="26" s="1"/>
  <c r="D47" i="26"/>
  <c r="E47" i="26" s="1"/>
  <c r="F47" i="26" s="1"/>
  <c r="D49" i="26"/>
  <c r="E49" i="26" s="1"/>
  <c r="F49" i="26" s="1"/>
  <c r="D44" i="26"/>
  <c r="E44" i="26" s="1"/>
  <c r="F44" i="26" s="1"/>
  <c r="D56" i="26"/>
  <c r="E56" i="26" s="1"/>
  <c r="F56" i="26" s="1"/>
  <c r="D55" i="26"/>
  <c r="E55" i="26" s="1"/>
  <c r="F55" i="26" s="1"/>
  <c r="G55" i="26" s="1"/>
  <c r="H55" i="26" s="1"/>
  <c r="I55" i="26" s="1"/>
  <c r="J55" i="26" s="1"/>
  <c r="K55" i="26" s="1"/>
  <c r="L55" i="26" s="1"/>
  <c r="M55" i="26" s="1"/>
  <c r="N55" i="26" s="1"/>
  <c r="D37" i="26"/>
  <c r="E37" i="26" s="1"/>
  <c r="F37" i="26" s="1"/>
  <c r="D41" i="26"/>
  <c r="E41" i="26" s="1"/>
  <c r="F41" i="26" s="1"/>
  <c r="D38" i="26"/>
  <c r="E38" i="26" s="1"/>
  <c r="F38" i="26" s="1"/>
  <c r="D45" i="26"/>
  <c r="E45" i="26" s="1"/>
  <c r="F45" i="26" s="1"/>
  <c r="G45" i="26" s="1"/>
  <c r="H45" i="26" s="1"/>
  <c r="I45" i="26" s="1"/>
  <c r="J45" i="26" s="1"/>
  <c r="K45" i="26" s="1"/>
  <c r="L45" i="26" s="1"/>
  <c r="M45" i="26" s="1"/>
  <c r="N45" i="26" s="1"/>
  <c r="D54" i="26"/>
  <c r="E54" i="26" s="1"/>
  <c r="F54" i="26" s="1"/>
  <c r="D39" i="26"/>
  <c r="E39" i="26" s="1"/>
  <c r="F39" i="26" s="1"/>
  <c r="D43" i="26"/>
  <c r="E43" i="26" s="1"/>
  <c r="F43" i="26" s="1"/>
  <c r="D51" i="26"/>
  <c r="E51" i="26" s="1"/>
  <c r="F51" i="26" s="1"/>
  <c r="D42" i="26"/>
  <c r="E42" i="26" s="1"/>
  <c r="F42" i="26" s="1"/>
  <c r="D52" i="26"/>
  <c r="E52" i="26" s="1"/>
  <c r="F52" i="26" s="1"/>
  <c r="D40" i="26"/>
  <c r="E40" i="26" s="1"/>
  <c r="F40" i="26" s="1"/>
  <c r="G40" i="26" s="1"/>
  <c r="H40" i="26" s="1"/>
  <c r="I40" i="26" s="1"/>
  <c r="J40" i="26" s="1"/>
  <c r="K40" i="26" s="1"/>
  <c r="L40" i="26" s="1"/>
  <c r="M40" i="26" s="1"/>
  <c r="N40" i="26" s="1"/>
  <c r="AO29" i="30" l="1"/>
  <c r="Q198" i="30"/>
  <c r="AM191" i="30"/>
  <c r="AK191" i="30"/>
  <c r="AL191" i="30"/>
  <c r="V8" i="30"/>
  <c r="F9" i="32"/>
  <c r="E43" i="31"/>
  <c r="U8" i="30"/>
  <c r="G5" i="32"/>
  <c r="F19" i="31"/>
  <c r="F20" i="31"/>
  <c r="D66" i="31"/>
  <c r="C66" i="31"/>
  <c r="D67" i="31"/>
  <c r="C67" i="31"/>
  <c r="U120" i="30"/>
  <c r="AI104" i="30"/>
  <c r="AG104" i="30"/>
  <c r="AI106" i="30"/>
  <c r="AG106" i="30"/>
  <c r="W8" i="30"/>
  <c r="Y8" i="30" s="1"/>
  <c r="AY25" i="30"/>
  <c r="K199" i="30"/>
  <c r="M196" i="30"/>
  <c r="M199" i="30" s="1"/>
  <c r="E170" i="26"/>
  <c r="F170" i="26" s="1"/>
  <c r="G170" i="26" s="1"/>
  <c r="H170" i="26" s="1"/>
  <c r="I170" i="26" s="1"/>
  <c r="J170" i="26" s="1"/>
  <c r="K170" i="26" s="1"/>
  <c r="L170" i="26" s="1"/>
  <c r="M170" i="26" s="1"/>
  <c r="N170" i="26" s="1"/>
  <c r="AC42" i="30"/>
  <c r="AD42" i="30"/>
  <c r="Z14" i="30"/>
  <c r="Y14" i="30"/>
  <c r="AP37" i="30"/>
  <c r="AO37" i="30"/>
  <c r="AE181" i="30"/>
  <c r="AD181" i="30"/>
  <c r="AC181" i="30"/>
  <c r="AE171" i="30"/>
  <c r="AD171" i="30"/>
  <c r="AC171" i="30"/>
  <c r="AA158" i="30"/>
  <c r="Z158" i="30"/>
  <c r="Y158" i="30"/>
  <c r="AP56" i="30"/>
  <c r="AO56" i="30"/>
  <c r="AY56" i="30"/>
  <c r="AA156" i="30"/>
  <c r="Z156" i="30"/>
  <c r="Y156" i="30"/>
  <c r="AA168" i="30"/>
  <c r="Y168" i="30"/>
  <c r="Z168" i="30"/>
  <c r="AA97" i="30"/>
  <c r="Y97" i="30"/>
  <c r="Z97" i="30"/>
  <c r="AA46" i="30"/>
  <c r="AA41" i="30" s="1"/>
  <c r="Y46" i="30"/>
  <c r="Z46" i="30"/>
  <c r="AA160" i="30"/>
  <c r="Z160" i="30"/>
  <c r="Y160" i="30"/>
  <c r="AI68" i="30"/>
  <c r="AH68" i="30"/>
  <c r="AG68" i="30"/>
  <c r="AA71" i="30"/>
  <c r="Z71" i="30"/>
  <c r="Y71" i="30"/>
  <c r="S39" i="30"/>
  <c r="F41" i="31" s="1"/>
  <c r="U162" i="30"/>
  <c r="V162" i="30"/>
  <c r="V198" i="30"/>
  <c r="U198" i="30"/>
  <c r="AD15" i="30"/>
  <c r="AC15" i="30"/>
  <c r="AH36" i="30"/>
  <c r="AG36" i="30"/>
  <c r="AH20" i="30"/>
  <c r="AG20" i="30"/>
  <c r="AA152" i="30"/>
  <c r="Z152" i="30"/>
  <c r="Y152" i="30"/>
  <c r="AA13" i="30"/>
  <c r="Y13" i="30"/>
  <c r="Z13" i="30"/>
  <c r="AS29" i="30"/>
  <c r="AT29" i="30"/>
  <c r="AU45" i="30"/>
  <c r="AY45" i="30" s="1"/>
  <c r="AS45" i="30"/>
  <c r="AT45" i="30"/>
  <c r="AU128" i="30"/>
  <c r="AY128" i="30" s="1"/>
  <c r="AT128" i="30"/>
  <c r="AS128" i="30"/>
  <c r="AE99" i="30"/>
  <c r="AC99" i="30"/>
  <c r="AD99" i="30"/>
  <c r="AU139" i="30"/>
  <c r="AY139" i="30" s="1"/>
  <c r="AT139" i="30"/>
  <c r="AS139" i="30"/>
  <c r="AW21" i="30"/>
  <c r="AU23" i="30"/>
  <c r="AP23" i="30"/>
  <c r="AO23" i="30"/>
  <c r="AE93" i="30"/>
  <c r="AC93" i="30"/>
  <c r="AD93" i="30"/>
  <c r="AA153" i="30"/>
  <c r="Y153" i="30"/>
  <c r="Z153" i="30"/>
  <c r="AE84" i="30"/>
  <c r="AD84" i="30"/>
  <c r="AC84" i="30"/>
  <c r="AU24" i="30"/>
  <c r="AY24" i="30" s="1"/>
  <c r="AO24" i="30"/>
  <c r="AP24" i="30"/>
  <c r="AQ62" i="30"/>
  <c r="AP62" i="30"/>
  <c r="AO62" i="30"/>
  <c r="AE77" i="30"/>
  <c r="AC77" i="30"/>
  <c r="AD77" i="30"/>
  <c r="AQ58" i="30"/>
  <c r="AP58" i="30"/>
  <c r="AO58" i="30"/>
  <c r="AA86" i="30"/>
  <c r="Z86" i="30"/>
  <c r="Y86" i="30"/>
  <c r="AE183" i="30"/>
  <c r="AD183" i="30"/>
  <c r="AC183" i="30"/>
  <c r="AU131" i="30"/>
  <c r="AY131" i="30" s="1"/>
  <c r="AT131" i="30"/>
  <c r="AS131" i="30"/>
  <c r="AE146" i="30"/>
  <c r="AD146" i="30"/>
  <c r="AC146" i="30"/>
  <c r="AE175" i="30"/>
  <c r="AD175" i="30"/>
  <c r="AC175" i="30"/>
  <c r="AU134" i="30"/>
  <c r="AT134" i="30"/>
  <c r="AS134" i="30"/>
  <c r="AX22" i="30"/>
  <c r="AW22" i="30"/>
  <c r="AE169" i="30"/>
  <c r="AD169" i="30"/>
  <c r="AC169" i="30"/>
  <c r="AA80" i="30"/>
  <c r="Z80" i="30"/>
  <c r="Y80" i="30"/>
  <c r="AE95" i="30"/>
  <c r="AC95" i="30"/>
  <c r="AD95" i="30"/>
  <c r="AE87" i="30"/>
  <c r="AC87" i="30"/>
  <c r="AD87" i="30"/>
  <c r="AE59" i="30"/>
  <c r="AD59" i="30"/>
  <c r="AC59" i="30"/>
  <c r="AA90" i="30"/>
  <c r="Z90" i="30"/>
  <c r="Y90" i="30"/>
  <c r="AS23" i="30"/>
  <c r="AT23" i="30"/>
  <c r="Z113" i="30"/>
  <c r="Y113" i="30"/>
  <c r="AA113" i="30"/>
  <c r="W108" i="30"/>
  <c r="V144" i="30"/>
  <c r="U144" i="30"/>
  <c r="AP60" i="30"/>
  <c r="AO60" i="30"/>
  <c r="AE69" i="30"/>
  <c r="AC69" i="30"/>
  <c r="AD69" i="30"/>
  <c r="AE185" i="30"/>
  <c r="AD185" i="30"/>
  <c r="AC185" i="30"/>
  <c r="AO120" i="30"/>
  <c r="AP120" i="30"/>
  <c r="AA78" i="30"/>
  <c r="Z78" i="30"/>
  <c r="Y78" i="30"/>
  <c r="AU47" i="30"/>
  <c r="AS47" i="30"/>
  <c r="AT47" i="30"/>
  <c r="AA151" i="30"/>
  <c r="Y151" i="30"/>
  <c r="Z151" i="30"/>
  <c r="AU27" i="30"/>
  <c r="AP27" i="30"/>
  <c r="AO27" i="30"/>
  <c r="AQ52" i="30"/>
  <c r="AP52" i="30"/>
  <c r="AO52" i="30"/>
  <c r="AE92" i="30"/>
  <c r="AD92" i="30"/>
  <c r="AC92" i="30"/>
  <c r="AE179" i="30"/>
  <c r="AD179" i="30"/>
  <c r="AC179" i="30"/>
  <c r="AU138" i="30"/>
  <c r="AT138" i="30"/>
  <c r="AS138" i="30"/>
  <c r="AU129" i="30"/>
  <c r="AY129" i="30" s="1"/>
  <c r="AT129" i="30"/>
  <c r="AS129" i="30"/>
  <c r="AQ57" i="30"/>
  <c r="AO57" i="30"/>
  <c r="AP57" i="30"/>
  <c r="AE81" i="30"/>
  <c r="AC81" i="30"/>
  <c r="AD81" i="30"/>
  <c r="AD18" i="30"/>
  <c r="AC18" i="30"/>
  <c r="Y149" i="30"/>
  <c r="Z149" i="30"/>
  <c r="AT36" i="30"/>
  <c r="AS36" i="30"/>
  <c r="AU26" i="30"/>
  <c r="AY26" i="30" s="1"/>
  <c r="AO26" i="30"/>
  <c r="AP26" i="30"/>
  <c r="AA150" i="30"/>
  <c r="Z150" i="30"/>
  <c r="Y150" i="30"/>
  <c r="AU124" i="30"/>
  <c r="AY124" i="30" s="1"/>
  <c r="AT124" i="30"/>
  <c r="AS124" i="30"/>
  <c r="AI72" i="30"/>
  <c r="AH72" i="30"/>
  <c r="AG72" i="30"/>
  <c r="AA17" i="30"/>
  <c r="AA14" i="30" s="1"/>
  <c r="Z17" i="30"/>
  <c r="Y17" i="30"/>
  <c r="AP50" i="30"/>
  <c r="AO50" i="30"/>
  <c r="AY50" i="30"/>
  <c r="AA102" i="30"/>
  <c r="Z102" i="30"/>
  <c r="Y102" i="30"/>
  <c r="V7" i="30"/>
  <c r="U7" i="30"/>
  <c r="Z165" i="30"/>
  <c r="Y165" i="30"/>
  <c r="AC145" i="30"/>
  <c r="AD145" i="30"/>
  <c r="AA167" i="30"/>
  <c r="Z167" i="30"/>
  <c r="Y167" i="30"/>
  <c r="AE91" i="30"/>
  <c r="AC91" i="30"/>
  <c r="AD91" i="30"/>
  <c r="AU126" i="30"/>
  <c r="AY126" i="30" s="1"/>
  <c r="AT126" i="30"/>
  <c r="AS126" i="30"/>
  <c r="AQ54" i="30"/>
  <c r="AP54" i="30"/>
  <c r="AO54" i="30"/>
  <c r="Z65" i="30"/>
  <c r="Y65" i="30"/>
  <c r="W64" i="30"/>
  <c r="AA65" i="30"/>
  <c r="AA12" i="30"/>
  <c r="AA8" i="30" s="1"/>
  <c r="Z12" i="30"/>
  <c r="Y12" i="30"/>
  <c r="AA176" i="30"/>
  <c r="Y176" i="30"/>
  <c r="Z176" i="30"/>
  <c r="AA88" i="30"/>
  <c r="Z88" i="30"/>
  <c r="Y88" i="30"/>
  <c r="AE96" i="30"/>
  <c r="AD96" i="30"/>
  <c r="AC96" i="30"/>
  <c r="AX25" i="30"/>
  <c r="AW25" i="30"/>
  <c r="AE173" i="30"/>
  <c r="AD173" i="30"/>
  <c r="AC173" i="30"/>
  <c r="AU28" i="30"/>
  <c r="AY28" i="30" s="1"/>
  <c r="AO28" i="30"/>
  <c r="AP28" i="30"/>
  <c r="AA159" i="30"/>
  <c r="Y159" i="30"/>
  <c r="Z159" i="30"/>
  <c r="AQ55" i="30"/>
  <c r="AO55" i="30"/>
  <c r="AP55" i="30"/>
  <c r="AA157" i="30"/>
  <c r="Y157" i="30"/>
  <c r="Z157" i="30"/>
  <c r="AU141" i="30"/>
  <c r="AT141" i="30"/>
  <c r="AS141" i="30"/>
  <c r="AU127" i="30"/>
  <c r="AY127" i="30" s="1"/>
  <c r="AT127" i="30"/>
  <c r="AS127" i="30"/>
  <c r="AE85" i="30"/>
  <c r="AC85" i="30"/>
  <c r="AD85" i="30"/>
  <c r="AA94" i="30"/>
  <c r="Z94" i="30"/>
  <c r="Y94" i="30"/>
  <c r="AS25" i="30"/>
  <c r="AT25" i="30"/>
  <c r="AE74" i="30"/>
  <c r="AD74" i="30"/>
  <c r="AC74" i="30"/>
  <c r="AS27" i="30"/>
  <c r="AT27" i="30"/>
  <c r="AA166" i="30"/>
  <c r="Y166" i="30"/>
  <c r="Z166" i="30"/>
  <c r="AE83" i="30"/>
  <c r="AC83" i="30"/>
  <c r="AD83" i="30"/>
  <c r="AU136" i="30"/>
  <c r="AT136" i="30"/>
  <c r="AS136" i="30"/>
  <c r="AE16" i="30"/>
  <c r="AD16" i="30"/>
  <c r="AC16" i="30"/>
  <c r="AA182" i="30"/>
  <c r="Y182" i="30"/>
  <c r="Z182" i="30"/>
  <c r="V108" i="30"/>
  <c r="U108" i="30"/>
  <c r="AU133" i="30"/>
  <c r="AT133" i="30"/>
  <c r="AS133" i="30"/>
  <c r="AQ48" i="30"/>
  <c r="AP48" i="30"/>
  <c r="AO48" i="30"/>
  <c r="AU19" i="30"/>
  <c r="AY19" i="30" s="1"/>
  <c r="AP19" i="30"/>
  <c r="AO19" i="30"/>
  <c r="AA188" i="30"/>
  <c r="Z188" i="30"/>
  <c r="Y188" i="30"/>
  <c r="AT121" i="30"/>
  <c r="AS121" i="30"/>
  <c r="AQ120" i="30"/>
  <c r="AU121" i="30"/>
  <c r="AX132" i="30"/>
  <c r="AW132" i="30"/>
  <c r="AA67" i="30"/>
  <c r="Z67" i="30"/>
  <c r="Y67" i="30"/>
  <c r="AI61" i="30"/>
  <c r="AH61" i="30"/>
  <c r="AG61" i="30"/>
  <c r="AE73" i="30"/>
  <c r="AC73" i="30"/>
  <c r="AD73" i="30"/>
  <c r="AQ49" i="30"/>
  <c r="AO49" i="30"/>
  <c r="AP49" i="30"/>
  <c r="AA148" i="30"/>
  <c r="Z148" i="30"/>
  <c r="Y148" i="30"/>
  <c r="AU135" i="30"/>
  <c r="AT135" i="30"/>
  <c r="AS135" i="30"/>
  <c r="AY29" i="30"/>
  <c r="W41" i="30"/>
  <c r="R39" i="30"/>
  <c r="Q39" i="30"/>
  <c r="AD11" i="30"/>
  <c r="AC11" i="30"/>
  <c r="N196" i="30"/>
  <c r="AA187" i="30"/>
  <c r="Z187" i="30"/>
  <c r="Y187" i="30"/>
  <c r="AU44" i="30"/>
  <c r="AS44" i="30"/>
  <c r="AT44" i="30"/>
  <c r="AA174" i="30"/>
  <c r="Y174" i="30"/>
  <c r="Z174" i="30"/>
  <c r="V64" i="30"/>
  <c r="U64" i="30"/>
  <c r="AA178" i="30"/>
  <c r="Y178" i="30"/>
  <c r="Z178" i="30"/>
  <c r="AE101" i="30"/>
  <c r="AC101" i="30"/>
  <c r="AD101" i="30"/>
  <c r="AE100" i="30"/>
  <c r="AD100" i="30"/>
  <c r="AC100" i="30"/>
  <c r="AA155" i="30"/>
  <c r="Y155" i="30"/>
  <c r="Z155" i="30"/>
  <c r="AU142" i="30"/>
  <c r="AT142" i="30"/>
  <c r="AS142" i="30"/>
  <c r="AE79" i="30"/>
  <c r="AC79" i="30"/>
  <c r="AD79" i="30"/>
  <c r="AE70" i="30"/>
  <c r="AD70" i="30"/>
  <c r="AC70" i="30"/>
  <c r="AA189" i="30"/>
  <c r="Z189" i="30"/>
  <c r="Y189" i="30"/>
  <c r="AE76" i="30"/>
  <c r="AD76" i="30"/>
  <c r="AC76" i="30"/>
  <c r="AE89" i="30"/>
  <c r="AC89" i="30"/>
  <c r="AD89" i="30"/>
  <c r="AQ53" i="30"/>
  <c r="AO53" i="30"/>
  <c r="AP53" i="30"/>
  <c r="AA180" i="30"/>
  <c r="Y180" i="30"/>
  <c r="Z180" i="30"/>
  <c r="AA98" i="30"/>
  <c r="Z98" i="30"/>
  <c r="Y98" i="30"/>
  <c r="AA82" i="30"/>
  <c r="Z82" i="30"/>
  <c r="Y82" i="30"/>
  <c r="AD163" i="30"/>
  <c r="AC163" i="30"/>
  <c r="AE163" i="30"/>
  <c r="AA154" i="30"/>
  <c r="Z154" i="30"/>
  <c r="Y154" i="30"/>
  <c r="AU123" i="30"/>
  <c r="AT123" i="30"/>
  <c r="AS123" i="30"/>
  <c r="AU137" i="30"/>
  <c r="AT137" i="30"/>
  <c r="AS137" i="30"/>
  <c r="AA172" i="30"/>
  <c r="Y172" i="30"/>
  <c r="Z172" i="30"/>
  <c r="AE177" i="30"/>
  <c r="AD177" i="30"/>
  <c r="AC177" i="30"/>
  <c r="AA184" i="30"/>
  <c r="Y184" i="30"/>
  <c r="Z184" i="30"/>
  <c r="AE66" i="30"/>
  <c r="AD66" i="30"/>
  <c r="AC66" i="30"/>
  <c r="AX29" i="30"/>
  <c r="AW29" i="30"/>
  <c r="AY22" i="30"/>
  <c r="AU140" i="30"/>
  <c r="AT140" i="30"/>
  <c r="AS140" i="30"/>
  <c r="AA103" i="30"/>
  <c r="Y103" i="30"/>
  <c r="Z103" i="30"/>
  <c r="AE51" i="30"/>
  <c r="AD51" i="30"/>
  <c r="AC51" i="30"/>
  <c r="AQ43" i="30"/>
  <c r="AO43" i="30"/>
  <c r="AP43" i="30"/>
  <c r="AU125" i="30"/>
  <c r="AT125" i="30"/>
  <c r="AS125" i="30"/>
  <c r="AA170" i="30"/>
  <c r="Y170" i="30"/>
  <c r="Z170" i="30"/>
  <c r="W144" i="30"/>
  <c r="AA149" i="30"/>
  <c r="AI20" i="30"/>
  <c r="AE18" i="30"/>
  <c r="AE42" i="30"/>
  <c r="W202" i="30"/>
  <c r="AA203" i="30"/>
  <c r="O196" i="30"/>
  <c r="AE11" i="30"/>
  <c r="AE145" i="30"/>
  <c r="AA165" i="30"/>
  <c r="W162" i="30"/>
  <c r="AE15" i="30"/>
  <c r="AU37" i="30"/>
  <c r="AM36" i="30"/>
  <c r="O69" i="26"/>
  <c r="D14" i="26"/>
  <c r="F31" i="26"/>
  <c r="H31" i="26" s="1"/>
  <c r="J31" i="26" s="1"/>
  <c r="L31" i="26" s="1"/>
  <c r="N31" i="26" s="1"/>
  <c r="N30" i="26" s="1"/>
  <c r="H19" i="26"/>
  <c r="J19" i="26" s="1"/>
  <c r="L19" i="26" s="1"/>
  <c r="N19" i="26" s="1"/>
  <c r="E15" i="26"/>
  <c r="F15" i="26" s="1"/>
  <c r="G15" i="26" s="1"/>
  <c r="H15" i="26" s="1"/>
  <c r="I15" i="26" s="1"/>
  <c r="J15" i="26" s="1"/>
  <c r="K15" i="26" s="1"/>
  <c r="L15" i="26" s="1"/>
  <c r="M15" i="26" s="1"/>
  <c r="N15" i="26" s="1"/>
  <c r="I30" i="26"/>
  <c r="E30" i="26"/>
  <c r="K30" i="26"/>
  <c r="G30" i="26"/>
  <c r="G16" i="26"/>
  <c r="D29" i="26"/>
  <c r="F29" i="26" s="1"/>
  <c r="H29" i="26" s="1"/>
  <c r="J29" i="26" s="1"/>
  <c r="L29" i="26" s="1"/>
  <c r="N29" i="26" s="1"/>
  <c r="D28" i="26"/>
  <c r="F28" i="26" s="1"/>
  <c r="H28" i="26" s="1"/>
  <c r="J28" i="26" s="1"/>
  <c r="L28" i="26" s="1"/>
  <c r="N28" i="26" s="1"/>
  <c r="D27" i="26"/>
  <c r="F27" i="26" s="1"/>
  <c r="H27" i="26" s="1"/>
  <c r="J27" i="26" s="1"/>
  <c r="L27" i="26" s="1"/>
  <c r="N27" i="26" s="1"/>
  <c r="D26" i="26"/>
  <c r="F26" i="26" s="1"/>
  <c r="H26" i="26" s="1"/>
  <c r="J26" i="26" s="1"/>
  <c r="L26" i="26" s="1"/>
  <c r="N26" i="26" s="1"/>
  <c r="D25" i="26"/>
  <c r="F25" i="26" s="1"/>
  <c r="H25" i="26" s="1"/>
  <c r="J25" i="26" s="1"/>
  <c r="L25" i="26" s="1"/>
  <c r="N25" i="26" s="1"/>
  <c r="D24" i="26"/>
  <c r="F24" i="26" s="1"/>
  <c r="H24" i="26" s="1"/>
  <c r="J24" i="26" s="1"/>
  <c r="L24" i="26" s="1"/>
  <c r="N24" i="26" s="1"/>
  <c r="D23" i="26"/>
  <c r="F23" i="26" s="1"/>
  <c r="H23" i="26" s="1"/>
  <c r="J23" i="26" s="1"/>
  <c r="L23" i="26" s="1"/>
  <c r="N23" i="26" s="1"/>
  <c r="D22" i="26"/>
  <c r="F22" i="26" s="1"/>
  <c r="H22" i="26" s="1"/>
  <c r="J22" i="26" s="1"/>
  <c r="L22" i="26" s="1"/>
  <c r="N22" i="26" s="1"/>
  <c r="O10" i="26"/>
  <c r="O9" i="26"/>
  <c r="O13" i="26"/>
  <c r="O11" i="26"/>
  <c r="L30" i="26" l="1"/>
  <c r="S196" i="30"/>
  <c r="S199" i="30" s="1"/>
  <c r="AO191" i="30"/>
  <c r="AP191" i="30"/>
  <c r="AQ191" i="30"/>
  <c r="G9" i="32"/>
  <c r="F43" i="31"/>
  <c r="H30" i="26"/>
  <c r="Z8" i="30"/>
  <c r="F66" i="31"/>
  <c r="E66" i="31"/>
  <c r="F67" i="31"/>
  <c r="E67" i="31"/>
  <c r="W7" i="30"/>
  <c r="Z7" i="30" s="1"/>
  <c r="AM104" i="30"/>
  <c r="AK104" i="30"/>
  <c r="AM106" i="30"/>
  <c r="AK106" i="30"/>
  <c r="U196" i="30"/>
  <c r="U199" i="30" s="1"/>
  <c r="O199" i="30"/>
  <c r="Q196" i="30"/>
  <c r="Q199" i="30" s="1"/>
  <c r="AE170" i="30"/>
  <c r="AC170" i="30"/>
  <c r="AD170" i="30"/>
  <c r="AI66" i="30"/>
  <c r="AH66" i="30"/>
  <c r="AG66" i="30"/>
  <c r="AU53" i="30"/>
  <c r="AY53" i="30" s="1"/>
  <c r="AS53" i="30"/>
  <c r="AT53" i="30"/>
  <c r="AI101" i="30"/>
  <c r="AG101" i="30"/>
  <c r="AH101" i="30"/>
  <c r="AE174" i="30"/>
  <c r="AC174" i="30"/>
  <c r="AD174" i="30"/>
  <c r="AI83" i="30"/>
  <c r="AG83" i="30"/>
  <c r="AH83" i="30"/>
  <c r="AE166" i="30"/>
  <c r="AC166" i="30"/>
  <c r="AD166" i="30"/>
  <c r="AE94" i="30"/>
  <c r="AD94" i="30"/>
  <c r="AC94" i="30"/>
  <c r="AU55" i="30"/>
  <c r="AS55" i="30"/>
  <c r="AT55" i="30"/>
  <c r="AI173" i="30"/>
  <c r="AH173" i="30"/>
  <c r="AG173" i="30"/>
  <c r="AE176" i="30"/>
  <c r="AC176" i="30"/>
  <c r="AD176" i="30"/>
  <c r="AE12" i="30"/>
  <c r="AC12" i="30"/>
  <c r="AD12" i="30"/>
  <c r="AE17" i="30"/>
  <c r="AE14" i="30" s="1"/>
  <c r="AD17" i="30"/>
  <c r="AC17" i="30"/>
  <c r="AM72" i="30"/>
  <c r="AK72" i="30"/>
  <c r="AL72" i="30"/>
  <c r="AX124" i="30"/>
  <c r="AW124" i="30"/>
  <c r="AI81" i="30"/>
  <c r="AG81" i="30"/>
  <c r="AH81" i="30"/>
  <c r="AX27" i="30"/>
  <c r="AW27" i="30"/>
  <c r="AY27" i="30"/>
  <c r="AE151" i="30"/>
  <c r="AC151" i="30"/>
  <c r="AD151" i="30"/>
  <c r="AX131" i="30"/>
  <c r="AW131" i="30"/>
  <c r="AI77" i="30"/>
  <c r="AG77" i="30"/>
  <c r="AH77" i="30"/>
  <c r="AU62" i="30"/>
  <c r="AS62" i="30"/>
  <c r="AT62" i="30"/>
  <c r="AX24" i="30"/>
  <c r="AW24" i="30"/>
  <c r="AE153" i="30"/>
  <c r="AC153" i="30"/>
  <c r="AD153" i="30"/>
  <c r="AI93" i="30"/>
  <c r="AG93" i="30"/>
  <c r="AH93" i="30"/>
  <c r="AI99" i="30"/>
  <c r="AG99" i="30"/>
  <c r="AH99" i="30"/>
  <c r="AE168" i="30"/>
  <c r="AC168" i="30"/>
  <c r="AD168" i="30"/>
  <c r="AE156" i="30"/>
  <c r="AD156" i="30"/>
  <c r="AC156" i="30"/>
  <c r="AG42" i="30"/>
  <c r="AH42" i="30"/>
  <c r="AO36" i="30"/>
  <c r="AP36" i="30"/>
  <c r="AE82" i="30"/>
  <c r="AD82" i="30"/>
  <c r="AC82" i="30"/>
  <c r="AE180" i="30"/>
  <c r="AC180" i="30"/>
  <c r="AD180" i="30"/>
  <c r="AE189" i="30"/>
  <c r="AD189" i="30"/>
  <c r="AC189" i="30"/>
  <c r="AI70" i="30"/>
  <c r="AH70" i="30"/>
  <c r="AG70" i="30"/>
  <c r="AI79" i="30"/>
  <c r="AG79" i="30"/>
  <c r="AH79" i="30"/>
  <c r="AX142" i="30"/>
  <c r="AW142" i="30"/>
  <c r="AI100" i="30"/>
  <c r="AH100" i="30"/>
  <c r="AG100" i="30"/>
  <c r="AU120" i="30"/>
  <c r="AY120" i="30" s="1"/>
  <c r="AX121" i="30"/>
  <c r="AW121" i="30"/>
  <c r="AY121" i="30"/>
  <c r="AX133" i="30"/>
  <c r="AW133" i="30"/>
  <c r="AY133" i="30"/>
  <c r="AI16" i="30"/>
  <c r="AH16" i="30"/>
  <c r="AG16" i="30"/>
  <c r="AX136" i="30"/>
  <c r="AW136" i="30"/>
  <c r="AE157" i="30"/>
  <c r="AC157" i="30"/>
  <c r="AD157" i="30"/>
  <c r="AI96" i="30"/>
  <c r="AH96" i="30"/>
  <c r="AG96" i="30"/>
  <c r="AE88" i="30"/>
  <c r="AD88" i="30"/>
  <c r="AC88" i="30"/>
  <c r="AC65" i="30"/>
  <c r="AD65" i="30"/>
  <c r="AE65" i="30"/>
  <c r="AA64" i="30"/>
  <c r="AI91" i="30"/>
  <c r="AG91" i="30"/>
  <c r="AH91" i="30"/>
  <c r="AE167" i="30"/>
  <c r="AD167" i="30"/>
  <c r="AC167" i="30"/>
  <c r="AE102" i="30"/>
  <c r="AD102" i="30"/>
  <c r="AC102" i="30"/>
  <c r="AI179" i="30"/>
  <c r="AH179" i="30"/>
  <c r="AG179" i="30"/>
  <c r="AI92" i="30"/>
  <c r="AH92" i="30"/>
  <c r="AG92" i="30"/>
  <c r="AU52" i="30"/>
  <c r="AY52" i="30" s="1"/>
  <c r="AS52" i="30"/>
  <c r="AT52" i="30"/>
  <c r="AI69" i="30"/>
  <c r="AH69" i="30"/>
  <c r="AG69" i="30"/>
  <c r="AI95" i="30"/>
  <c r="AG95" i="30"/>
  <c r="AH95" i="30"/>
  <c r="AE80" i="30"/>
  <c r="AD80" i="30"/>
  <c r="AC80" i="30"/>
  <c r="AI169" i="30"/>
  <c r="AH169" i="30"/>
  <c r="AG169" i="30"/>
  <c r="AI146" i="30"/>
  <c r="AH146" i="30"/>
  <c r="AG146" i="30"/>
  <c r="AU58" i="30"/>
  <c r="AY58" i="30" s="1"/>
  <c r="AS58" i="30"/>
  <c r="AT58" i="30"/>
  <c r="AX139" i="30"/>
  <c r="AW139" i="30"/>
  <c r="V39" i="30"/>
  <c r="U39" i="30"/>
  <c r="AM68" i="30"/>
  <c r="AK68" i="30"/>
  <c r="AL68" i="30"/>
  <c r="AE160" i="30"/>
  <c r="AD160" i="30"/>
  <c r="AC160" i="30"/>
  <c r="AE46" i="30"/>
  <c r="AE41" i="30" s="1"/>
  <c r="AC46" i="30"/>
  <c r="AD46" i="30"/>
  <c r="AE97" i="30"/>
  <c r="AC97" i="30"/>
  <c r="AD97" i="30"/>
  <c r="AI171" i="30"/>
  <c r="AH171" i="30"/>
  <c r="AG171" i="30"/>
  <c r="AI181" i="30"/>
  <c r="AH181" i="30"/>
  <c r="AG181" i="30"/>
  <c r="AH15" i="30"/>
  <c r="AG15" i="30"/>
  <c r="AU36" i="30"/>
  <c r="AY36" i="30" s="1"/>
  <c r="AW37" i="30"/>
  <c r="AX37" i="30"/>
  <c r="AD165" i="30"/>
  <c r="AC165" i="30"/>
  <c r="R196" i="30"/>
  <c r="AG18" i="30"/>
  <c r="AH18" i="30"/>
  <c r="AA144" i="30"/>
  <c r="AC149" i="30"/>
  <c r="AD149" i="30"/>
  <c r="AU43" i="30"/>
  <c r="AY43" i="30" s="1"/>
  <c r="AS43" i="30"/>
  <c r="AT43" i="30"/>
  <c r="AX140" i="30"/>
  <c r="AW140" i="30"/>
  <c r="AX137" i="30"/>
  <c r="AW137" i="30"/>
  <c r="AY137" i="30"/>
  <c r="AX123" i="30"/>
  <c r="AW123" i="30"/>
  <c r="AE154" i="30"/>
  <c r="AD154" i="30"/>
  <c r="AC154" i="30"/>
  <c r="AI76" i="30"/>
  <c r="AH76" i="30"/>
  <c r="AG76" i="30"/>
  <c r="AY142" i="30"/>
  <c r="AE155" i="30"/>
  <c r="AC155" i="30"/>
  <c r="AD155" i="30"/>
  <c r="AE187" i="30"/>
  <c r="AD187" i="30"/>
  <c r="AC187" i="30"/>
  <c r="Z41" i="30"/>
  <c r="Y41" i="30"/>
  <c r="AX135" i="30"/>
  <c r="AW135" i="30"/>
  <c r="AY135" i="30"/>
  <c r="AE67" i="30"/>
  <c r="AD67" i="30"/>
  <c r="AC67" i="30"/>
  <c r="AT120" i="30"/>
  <c r="AS120" i="30"/>
  <c r="AU48" i="30"/>
  <c r="AY48" i="30" s="1"/>
  <c r="AS48" i="30"/>
  <c r="AT48" i="30"/>
  <c r="AE182" i="30"/>
  <c r="AC182" i="30"/>
  <c r="AD182" i="30"/>
  <c r="AY136" i="30"/>
  <c r="AI74" i="30"/>
  <c r="AH74" i="30"/>
  <c r="AG74" i="30"/>
  <c r="AX141" i="30"/>
  <c r="AW141" i="30"/>
  <c r="AY141" i="30"/>
  <c r="Z64" i="30"/>
  <c r="Y64" i="30"/>
  <c r="AX126" i="30"/>
  <c r="AW126" i="30"/>
  <c r="AX26" i="30"/>
  <c r="AW26" i="30"/>
  <c r="AX138" i="30"/>
  <c r="AW138" i="30"/>
  <c r="AY138" i="30"/>
  <c r="AI185" i="30"/>
  <c r="AH185" i="30"/>
  <c r="AG185" i="30"/>
  <c r="Z108" i="30"/>
  <c r="Y108" i="30"/>
  <c r="AI59" i="30"/>
  <c r="AH59" i="30"/>
  <c r="AG59" i="30"/>
  <c r="AI87" i="30"/>
  <c r="AG87" i="30"/>
  <c r="AH87" i="30"/>
  <c r="AX134" i="30"/>
  <c r="AW134" i="30"/>
  <c r="AY134" i="30"/>
  <c r="AI175" i="30"/>
  <c r="AH175" i="30"/>
  <c r="AG175" i="30"/>
  <c r="AE86" i="30"/>
  <c r="AD86" i="30"/>
  <c r="AC86" i="30"/>
  <c r="AX45" i="30"/>
  <c r="AW45" i="30"/>
  <c r="AE152" i="30"/>
  <c r="AD152" i="30"/>
  <c r="AC152" i="30"/>
  <c r="AE71" i="30"/>
  <c r="AD71" i="30"/>
  <c r="AC71" i="30"/>
  <c r="AE158" i="30"/>
  <c r="AD158" i="30"/>
  <c r="AC158" i="30"/>
  <c r="AD8" i="30"/>
  <c r="AC8" i="30"/>
  <c r="Z144" i="30"/>
  <c r="Y144" i="30"/>
  <c r="Z162" i="30"/>
  <c r="Y162" i="30"/>
  <c r="AG11" i="30"/>
  <c r="AH11" i="30"/>
  <c r="AD41" i="30"/>
  <c r="AC41" i="30"/>
  <c r="AI51" i="30"/>
  <c r="AH51" i="30"/>
  <c r="AG51" i="30"/>
  <c r="AE103" i="30"/>
  <c r="AC103" i="30"/>
  <c r="AD103" i="30"/>
  <c r="AE98" i="30"/>
  <c r="AD98" i="30"/>
  <c r="AC98" i="30"/>
  <c r="AC14" i="30"/>
  <c r="AD14" i="30"/>
  <c r="AH145" i="30"/>
  <c r="AG145" i="30"/>
  <c r="AL20" i="30"/>
  <c r="AK20" i="30"/>
  <c r="AX125" i="30"/>
  <c r="AW125" i="30"/>
  <c r="AE184" i="30"/>
  <c r="AC184" i="30"/>
  <c r="AD184" i="30"/>
  <c r="AI177" i="30"/>
  <c r="AH177" i="30"/>
  <c r="AG177" i="30"/>
  <c r="AE172" i="30"/>
  <c r="AC172" i="30"/>
  <c r="AD172" i="30"/>
  <c r="AH163" i="30"/>
  <c r="AG163" i="30"/>
  <c r="AI163" i="30"/>
  <c r="AI89" i="30"/>
  <c r="AG89" i="30"/>
  <c r="AH89" i="30"/>
  <c r="AE178" i="30"/>
  <c r="AC178" i="30"/>
  <c r="AD178" i="30"/>
  <c r="AW44" i="30"/>
  <c r="AX44" i="30"/>
  <c r="AY44" i="30"/>
  <c r="AE148" i="30"/>
  <c r="AD148" i="30"/>
  <c r="AC148" i="30"/>
  <c r="AU49" i="30"/>
  <c r="AY49" i="30" s="1"/>
  <c r="AS49" i="30"/>
  <c r="AT49" i="30"/>
  <c r="AI73" i="30"/>
  <c r="AH73" i="30"/>
  <c r="AG73" i="30"/>
  <c r="AM61" i="30"/>
  <c r="AL61" i="30"/>
  <c r="AK61" i="30"/>
  <c r="AE188" i="30"/>
  <c r="AD188" i="30"/>
  <c r="AC188" i="30"/>
  <c r="AW19" i="30"/>
  <c r="AX19" i="30"/>
  <c r="AI85" i="30"/>
  <c r="AG85" i="30"/>
  <c r="AH85" i="30"/>
  <c r="AX127" i="30"/>
  <c r="AW127" i="30"/>
  <c r="AE159" i="30"/>
  <c r="AC159" i="30"/>
  <c r="AD159" i="30"/>
  <c r="AX28" i="30"/>
  <c r="AW28" i="30"/>
  <c r="AU54" i="30"/>
  <c r="AS54" i="30"/>
  <c r="AT54" i="30"/>
  <c r="AE150" i="30"/>
  <c r="AD150" i="30"/>
  <c r="AC150" i="30"/>
  <c r="AU57" i="30"/>
  <c r="AY57" i="30" s="1"/>
  <c r="AS57" i="30"/>
  <c r="AT57" i="30"/>
  <c r="AX129" i="30"/>
  <c r="AW129" i="30"/>
  <c r="AX47" i="30"/>
  <c r="AW47" i="30"/>
  <c r="AY47" i="30"/>
  <c r="AE78" i="30"/>
  <c r="AD78" i="30"/>
  <c r="AC78" i="30"/>
  <c r="AC113" i="30"/>
  <c r="AD113" i="30"/>
  <c r="AE113" i="30"/>
  <c r="AA108" i="30"/>
  <c r="AE90" i="30"/>
  <c r="AD90" i="30"/>
  <c r="AC90" i="30"/>
  <c r="AI183" i="30"/>
  <c r="AH183" i="30"/>
  <c r="AG183" i="30"/>
  <c r="AI84" i="30"/>
  <c r="AH84" i="30"/>
  <c r="AG84" i="30"/>
  <c r="AX23" i="30"/>
  <c r="AW23" i="30"/>
  <c r="AY23" i="30"/>
  <c r="AX128" i="30"/>
  <c r="AW128" i="30"/>
  <c r="AE13" i="30"/>
  <c r="AD13" i="30"/>
  <c r="AC13" i="30"/>
  <c r="AY140" i="30"/>
  <c r="AY125" i="30"/>
  <c r="AY123" i="30"/>
  <c r="W39" i="30"/>
  <c r="G41" i="31" s="1"/>
  <c r="G43" i="31" s="1"/>
  <c r="AE149" i="30"/>
  <c r="W198" i="30"/>
  <c r="G64" i="31" s="1"/>
  <c r="H13" i="32" s="1"/>
  <c r="AE165" i="30"/>
  <c r="AA162" i="30"/>
  <c r="AI42" i="30"/>
  <c r="AY37" i="30"/>
  <c r="AA7" i="30"/>
  <c r="H17" i="31" s="1"/>
  <c r="H19" i="31" s="1"/>
  <c r="AM20" i="30"/>
  <c r="AI18" i="30"/>
  <c r="AI15" i="30"/>
  <c r="AI145" i="30"/>
  <c r="AI11" i="30"/>
  <c r="AE203" i="30"/>
  <c r="AA202" i="30"/>
  <c r="AA198" i="30" s="1"/>
  <c r="H64" i="31" s="1"/>
  <c r="I13" i="32" s="1"/>
  <c r="F30" i="26"/>
  <c r="J30" i="26"/>
  <c r="E14" i="26"/>
  <c r="F14" i="26"/>
  <c r="G14" i="26"/>
  <c r="H16" i="26"/>
  <c r="O12" i="26"/>
  <c r="V196" i="30" l="1"/>
  <c r="AT191" i="30"/>
  <c r="AU191" i="30"/>
  <c r="AS191" i="30"/>
  <c r="H9" i="32"/>
  <c r="G17" i="31"/>
  <c r="H5" i="32"/>
  <c r="I5" i="32" s="1"/>
  <c r="Y7" i="30"/>
  <c r="AO104" i="30"/>
  <c r="AQ104" i="30"/>
  <c r="AO106" i="30"/>
  <c r="AQ106" i="30"/>
  <c r="AE144" i="30"/>
  <c r="AH144" i="30" s="1"/>
  <c r="AI78" i="30"/>
  <c r="AH78" i="30"/>
  <c r="AG78" i="30"/>
  <c r="AM85" i="30"/>
  <c r="AL85" i="30"/>
  <c r="AK85" i="30"/>
  <c r="AI13" i="30"/>
  <c r="AG13" i="30"/>
  <c r="AH13" i="30"/>
  <c r="AI90" i="30"/>
  <c r="AH90" i="30"/>
  <c r="AG90" i="30"/>
  <c r="AW54" i="30"/>
  <c r="AX54" i="30"/>
  <c r="AM59" i="30"/>
  <c r="AL59" i="30"/>
  <c r="AK59" i="30"/>
  <c r="AL145" i="30"/>
  <c r="AK145" i="30"/>
  <c r="AP20" i="30"/>
  <c r="AO20" i="30"/>
  <c r="AH41" i="30"/>
  <c r="AG41" i="30"/>
  <c r="Y198" i="30"/>
  <c r="Z198" i="30"/>
  <c r="W196" i="30"/>
  <c r="Z39" i="30"/>
  <c r="Y39" i="30"/>
  <c r="AM84" i="30"/>
  <c r="AL84" i="30"/>
  <c r="AK84" i="30"/>
  <c r="AM183" i="30"/>
  <c r="AL183" i="30"/>
  <c r="AK183" i="30"/>
  <c r="AD108" i="30"/>
  <c r="AC108" i="30"/>
  <c r="AX57" i="30"/>
  <c r="AW57" i="30"/>
  <c r="AY54" i="30"/>
  <c r="AI159" i="30"/>
  <c r="AG159" i="30"/>
  <c r="AH159" i="30"/>
  <c r="AI148" i="30"/>
  <c r="AH148" i="30"/>
  <c r="AG148" i="30"/>
  <c r="AM89" i="30"/>
  <c r="AL89" i="30"/>
  <c r="AK89" i="30"/>
  <c r="AI172" i="30"/>
  <c r="AG172" i="30"/>
  <c r="AH172" i="30"/>
  <c r="AI152" i="30"/>
  <c r="AH152" i="30"/>
  <c r="AG152" i="30"/>
  <c r="AM185" i="30"/>
  <c r="AL185" i="30"/>
  <c r="AK185" i="30"/>
  <c r="AM74" i="30"/>
  <c r="AK74" i="30"/>
  <c r="AL74" i="30"/>
  <c r="AI182" i="30"/>
  <c r="AH182" i="30"/>
  <c r="AG182" i="30"/>
  <c r="AI67" i="30"/>
  <c r="AH67" i="30"/>
  <c r="AG67" i="30"/>
  <c r="AI155" i="30"/>
  <c r="AG155" i="30"/>
  <c r="AH155" i="30"/>
  <c r="AM171" i="30"/>
  <c r="AL171" i="30"/>
  <c r="AK171" i="30"/>
  <c r="AQ68" i="30"/>
  <c r="AP68" i="30"/>
  <c r="AO68" i="30"/>
  <c r="AW58" i="30"/>
  <c r="AX58" i="30"/>
  <c r="AM146" i="30"/>
  <c r="AL146" i="30"/>
  <c r="AK146" i="30"/>
  <c r="AM92" i="30"/>
  <c r="AL92" i="30"/>
  <c r="AK92" i="30"/>
  <c r="AM179" i="30"/>
  <c r="AL179" i="30"/>
  <c r="AK179" i="30"/>
  <c r="AH65" i="30"/>
  <c r="AG65" i="30"/>
  <c r="AE64" i="30"/>
  <c r="AI65" i="30"/>
  <c r="AI157" i="30"/>
  <c r="AH157" i="30"/>
  <c r="AG157" i="30"/>
  <c r="AI180" i="30"/>
  <c r="AG180" i="30"/>
  <c r="AH180" i="30"/>
  <c r="AI168" i="30"/>
  <c r="AG168" i="30"/>
  <c r="AH168" i="30"/>
  <c r="AM99" i="30"/>
  <c r="AL99" i="30"/>
  <c r="AK99" i="30"/>
  <c r="AW62" i="30"/>
  <c r="AX62" i="30"/>
  <c r="AY62" i="30"/>
  <c r="AM77" i="30"/>
  <c r="AL77" i="30"/>
  <c r="AK77" i="30"/>
  <c r="AQ72" i="30"/>
  <c r="AP72" i="30"/>
  <c r="AO72" i="30"/>
  <c r="AX55" i="30"/>
  <c r="AW55" i="30"/>
  <c r="AY55" i="30"/>
  <c r="AM66" i="30"/>
  <c r="AK66" i="30"/>
  <c r="AL66" i="30"/>
  <c r="AI170" i="30"/>
  <c r="AH170" i="30"/>
  <c r="AG170" i="30"/>
  <c r="AH14" i="30"/>
  <c r="AG14" i="30"/>
  <c r="AA39" i="30"/>
  <c r="AD162" i="30"/>
  <c r="AC162" i="30"/>
  <c r="AH149" i="30"/>
  <c r="AG149" i="30"/>
  <c r="AI188" i="30"/>
  <c r="AG188" i="30"/>
  <c r="AH188" i="30"/>
  <c r="AC198" i="30"/>
  <c r="AD198" i="30"/>
  <c r="AL18" i="30"/>
  <c r="AK18" i="30"/>
  <c r="AH165" i="30"/>
  <c r="AG165" i="30"/>
  <c r="AI150" i="30"/>
  <c r="AH150" i="30"/>
  <c r="AG150" i="30"/>
  <c r="AI178" i="30"/>
  <c r="AH178" i="30"/>
  <c r="AG178" i="30"/>
  <c r="AE8" i="30"/>
  <c r="AE7" i="30" s="1"/>
  <c r="I17" i="31" s="1"/>
  <c r="I19" i="31" s="1"/>
  <c r="AK15" i="30"/>
  <c r="AL15" i="30"/>
  <c r="AD7" i="30"/>
  <c r="AC7" i="30"/>
  <c r="AL42" i="30"/>
  <c r="AK42" i="30"/>
  <c r="AH113" i="30"/>
  <c r="AG113" i="30"/>
  <c r="AI113" i="30"/>
  <c r="AE108" i="30"/>
  <c r="AQ61" i="30"/>
  <c r="AO61" i="30"/>
  <c r="AP61" i="30"/>
  <c r="AM73" i="30"/>
  <c r="AL73" i="30"/>
  <c r="AK73" i="30"/>
  <c r="AX49" i="30"/>
  <c r="AW49" i="30"/>
  <c r="AL163" i="30"/>
  <c r="AK163" i="30"/>
  <c r="AM163" i="30"/>
  <c r="AM51" i="30"/>
  <c r="AL51" i="30"/>
  <c r="AK51" i="30"/>
  <c r="AI158" i="30"/>
  <c r="AH158" i="30"/>
  <c r="AG158" i="30"/>
  <c r="AI71" i="30"/>
  <c r="AH71" i="30"/>
  <c r="AG71" i="30"/>
  <c r="AW48" i="30"/>
  <c r="AX48" i="30"/>
  <c r="AI187" i="30"/>
  <c r="AH187" i="30"/>
  <c r="AG187" i="30"/>
  <c r="AD144" i="30"/>
  <c r="AC144" i="30"/>
  <c r="AM181" i="30"/>
  <c r="AL181" i="30"/>
  <c r="AK181" i="30"/>
  <c r="AI160" i="30"/>
  <c r="AH160" i="30"/>
  <c r="AG160" i="30"/>
  <c r="AW52" i="30"/>
  <c r="AX52" i="30"/>
  <c r="AI88" i="30"/>
  <c r="AH88" i="30"/>
  <c r="AG88" i="30"/>
  <c r="AM96" i="30"/>
  <c r="AL96" i="30"/>
  <c r="AK96" i="30"/>
  <c r="AM100" i="30"/>
  <c r="AL100" i="30"/>
  <c r="AK100" i="30"/>
  <c r="AM70" i="30"/>
  <c r="AK70" i="30"/>
  <c r="AL70" i="30"/>
  <c r="AI189" i="30"/>
  <c r="AH189" i="30"/>
  <c r="AG189" i="30"/>
  <c r="AI156" i="30"/>
  <c r="AH156" i="30"/>
  <c r="AG156" i="30"/>
  <c r="AI151" i="30"/>
  <c r="AG151" i="30"/>
  <c r="AH151" i="30"/>
  <c r="AM173" i="30"/>
  <c r="AL173" i="30"/>
  <c r="AK173" i="30"/>
  <c r="AI174" i="30"/>
  <c r="AH174" i="30"/>
  <c r="AG174" i="30"/>
  <c r="AM101" i="30"/>
  <c r="AL101" i="30"/>
  <c r="AK101" i="30"/>
  <c r="AX53" i="30"/>
  <c r="AW53" i="30"/>
  <c r="AI184" i="30"/>
  <c r="AG184" i="30"/>
  <c r="AH184" i="30"/>
  <c r="AI98" i="30"/>
  <c r="AH98" i="30"/>
  <c r="AG98" i="30"/>
  <c r="AI103" i="30"/>
  <c r="AH103" i="30"/>
  <c r="AG103" i="30"/>
  <c r="AI86" i="30"/>
  <c r="AH86" i="30"/>
  <c r="AG86" i="30"/>
  <c r="AM175" i="30"/>
  <c r="AL175" i="30"/>
  <c r="AK175" i="30"/>
  <c r="AM87" i="30"/>
  <c r="AL87" i="30"/>
  <c r="AK87" i="30"/>
  <c r="AM76" i="30"/>
  <c r="AL76" i="30"/>
  <c r="AK76" i="30"/>
  <c r="AX43" i="30"/>
  <c r="AW43" i="30"/>
  <c r="AX36" i="30"/>
  <c r="AW36" i="30"/>
  <c r="AI46" i="30"/>
  <c r="AI41" i="30" s="1"/>
  <c r="AG46" i="30"/>
  <c r="AH46" i="30"/>
  <c r="AI80" i="30"/>
  <c r="AH80" i="30"/>
  <c r="AG80" i="30"/>
  <c r="AM95" i="30"/>
  <c r="AL95" i="30"/>
  <c r="AK95" i="30"/>
  <c r="AM69" i="30"/>
  <c r="AL69" i="30"/>
  <c r="AK69" i="30"/>
  <c r="AI167" i="30"/>
  <c r="AH167" i="30"/>
  <c r="AG167" i="30"/>
  <c r="AM91" i="30"/>
  <c r="AL91" i="30"/>
  <c r="AK91" i="30"/>
  <c r="AX120" i="30"/>
  <c r="AW120" i="30"/>
  <c r="AM79" i="30"/>
  <c r="AL79" i="30"/>
  <c r="AK79" i="30"/>
  <c r="AI153" i="30"/>
  <c r="AH153" i="30"/>
  <c r="AG153" i="30"/>
  <c r="AI12" i="30"/>
  <c r="AH12" i="30"/>
  <c r="AG12" i="30"/>
  <c r="AI176" i="30"/>
  <c r="AG176" i="30"/>
  <c r="AH176" i="30"/>
  <c r="AI166" i="30"/>
  <c r="AH166" i="30"/>
  <c r="AG166" i="30"/>
  <c r="AM83" i="30"/>
  <c r="AL83" i="30"/>
  <c r="AK83" i="30"/>
  <c r="AK11" i="30"/>
  <c r="AL11" i="30"/>
  <c r="AM177" i="30"/>
  <c r="AL177" i="30"/>
  <c r="AK177" i="30"/>
  <c r="AI154" i="30"/>
  <c r="AH154" i="30"/>
  <c r="AG154" i="30"/>
  <c r="AI97" i="30"/>
  <c r="AG97" i="30"/>
  <c r="AH97" i="30"/>
  <c r="AM169" i="30"/>
  <c r="AL169" i="30"/>
  <c r="AK169" i="30"/>
  <c r="AI102" i="30"/>
  <c r="AH102" i="30"/>
  <c r="AG102" i="30"/>
  <c r="AD64" i="30"/>
  <c r="AC64" i="30"/>
  <c r="AM16" i="30"/>
  <c r="AL16" i="30"/>
  <c r="AK16" i="30"/>
  <c r="AI82" i="30"/>
  <c r="AH82" i="30"/>
  <c r="AG82" i="30"/>
  <c r="AM93" i="30"/>
  <c r="AL93" i="30"/>
  <c r="AK93" i="30"/>
  <c r="AM81" i="30"/>
  <c r="AL81" i="30"/>
  <c r="AK81" i="30"/>
  <c r="AI17" i="30"/>
  <c r="AI14" i="30" s="1"/>
  <c r="AH17" i="30"/>
  <c r="AG17" i="30"/>
  <c r="AI94" i="30"/>
  <c r="AH94" i="30"/>
  <c r="AG94" i="30"/>
  <c r="AI149" i="30"/>
  <c r="AQ20" i="30"/>
  <c r="AM18" i="30"/>
  <c r="AI165" i="30"/>
  <c r="AE162" i="30"/>
  <c r="AM42" i="30"/>
  <c r="AI203" i="30"/>
  <c r="AE202" i="30"/>
  <c r="AE198" i="30" s="1"/>
  <c r="I64" i="31" s="1"/>
  <c r="J13" i="32" s="1"/>
  <c r="AM145" i="30"/>
  <c r="AM11" i="30"/>
  <c r="AM15" i="30"/>
  <c r="I16" i="26"/>
  <c r="H14" i="26"/>
  <c r="AX191" i="30" l="1"/>
  <c r="AW191" i="30"/>
  <c r="AY191" i="30"/>
  <c r="AI8" i="30"/>
  <c r="AL8" i="30" s="1"/>
  <c r="I9" i="32"/>
  <c r="AA196" i="30"/>
  <c r="H66" i="31" s="1"/>
  <c r="H41" i="31"/>
  <c r="J5" i="32"/>
  <c r="G66" i="31"/>
  <c r="G67" i="31"/>
  <c r="H67" i="31"/>
  <c r="G19" i="31"/>
  <c r="G20" i="31"/>
  <c r="H20" i="31"/>
  <c r="I20" i="31"/>
  <c r="AS104" i="30"/>
  <c r="AU104" i="30"/>
  <c r="AY104" i="30" s="1"/>
  <c r="AS106" i="30"/>
  <c r="AU106" i="30"/>
  <c r="AY106" i="30" s="1"/>
  <c r="AG144" i="30"/>
  <c r="W199" i="30"/>
  <c r="Y196" i="30"/>
  <c r="Y199" i="30" s="1"/>
  <c r="AL14" i="30"/>
  <c r="AK14" i="30"/>
  <c r="AG7" i="30"/>
  <c r="AH7" i="30"/>
  <c r="AM94" i="30"/>
  <c r="AL94" i="30"/>
  <c r="AK94" i="30"/>
  <c r="AQ93" i="30"/>
  <c r="AO93" i="30"/>
  <c r="AP93" i="30"/>
  <c r="AM176" i="30"/>
  <c r="AL176" i="30"/>
  <c r="AK176" i="30"/>
  <c r="AQ76" i="30"/>
  <c r="AO76" i="30"/>
  <c r="AP76" i="30"/>
  <c r="AO145" i="30"/>
  <c r="AP145" i="30"/>
  <c r="AP42" i="30"/>
  <c r="AO42" i="30"/>
  <c r="AQ177" i="30"/>
  <c r="AO177" i="30"/>
  <c r="AP177" i="30"/>
  <c r="AM80" i="30"/>
  <c r="AL80" i="30"/>
  <c r="AK80" i="30"/>
  <c r="AM160" i="30"/>
  <c r="AL160" i="30"/>
  <c r="AK160" i="30"/>
  <c r="AM178" i="30"/>
  <c r="AL178" i="30"/>
  <c r="AK178" i="30"/>
  <c r="AM170" i="30"/>
  <c r="AL170" i="30"/>
  <c r="AK170" i="30"/>
  <c r="AG198" i="30"/>
  <c r="AH198" i="30"/>
  <c r="AL165" i="30"/>
  <c r="AK165" i="30"/>
  <c r="AM149" i="30"/>
  <c r="AL149" i="30"/>
  <c r="AK149" i="30"/>
  <c r="AQ16" i="30"/>
  <c r="AP16" i="30"/>
  <c r="AO16" i="30"/>
  <c r="AQ169" i="30"/>
  <c r="AO169" i="30"/>
  <c r="AP169" i="30"/>
  <c r="AQ95" i="30"/>
  <c r="AO95" i="30"/>
  <c r="AP95" i="30"/>
  <c r="AM86" i="30"/>
  <c r="AL86" i="30"/>
  <c r="AK86" i="30"/>
  <c r="AQ101" i="30"/>
  <c r="AO101" i="30"/>
  <c r="AP101" i="30"/>
  <c r="AQ173" i="30"/>
  <c r="AO173" i="30"/>
  <c r="AP173" i="30"/>
  <c r="AM151" i="30"/>
  <c r="AK151" i="30"/>
  <c r="AL151" i="30"/>
  <c r="AM156" i="30"/>
  <c r="AL156" i="30"/>
  <c r="AK156" i="30"/>
  <c r="AM88" i="30"/>
  <c r="AL88" i="30"/>
  <c r="AK88" i="30"/>
  <c r="AM187" i="30"/>
  <c r="AL187" i="30"/>
  <c r="AK187" i="30"/>
  <c r="AQ51" i="30"/>
  <c r="AO51" i="30"/>
  <c r="AP51" i="30"/>
  <c r="AH8" i="30"/>
  <c r="AG8" i="30"/>
  <c r="AM150" i="30"/>
  <c r="AL150" i="30"/>
  <c r="AK150" i="30"/>
  <c r="AQ77" i="30"/>
  <c r="AP77" i="30"/>
  <c r="AO77" i="30"/>
  <c r="AQ179" i="30"/>
  <c r="AO179" i="30"/>
  <c r="AP179" i="30"/>
  <c r="AU68" i="30"/>
  <c r="AT68" i="30"/>
  <c r="AS68" i="30"/>
  <c r="AQ171" i="30"/>
  <c r="AO171" i="30"/>
  <c r="AP171" i="30"/>
  <c r="AQ74" i="30"/>
  <c r="AP74" i="30"/>
  <c r="AO74" i="30"/>
  <c r="AQ185" i="30"/>
  <c r="AO185" i="30"/>
  <c r="AP185" i="30"/>
  <c r="AQ89" i="30"/>
  <c r="AP89" i="30"/>
  <c r="AO89" i="30"/>
  <c r="AM148" i="30"/>
  <c r="AL148" i="30"/>
  <c r="AK148" i="30"/>
  <c r="AM159" i="30"/>
  <c r="AK159" i="30"/>
  <c r="AL159" i="30"/>
  <c r="AQ183" i="30"/>
  <c r="AO183" i="30"/>
  <c r="AP183" i="30"/>
  <c r="AO11" i="30"/>
  <c r="AP11" i="30"/>
  <c r="AT20" i="30"/>
  <c r="AS20" i="30"/>
  <c r="AQ81" i="30"/>
  <c r="AP81" i="30"/>
  <c r="AO81" i="30"/>
  <c r="AM154" i="30"/>
  <c r="AL154" i="30"/>
  <c r="AK154" i="30"/>
  <c r="AM167" i="30"/>
  <c r="AL167" i="30"/>
  <c r="AK167" i="30"/>
  <c r="AE39" i="30"/>
  <c r="AH162" i="30"/>
  <c r="AG162" i="30"/>
  <c r="AM97" i="30"/>
  <c r="AL97" i="30"/>
  <c r="AK97" i="30"/>
  <c r="AQ83" i="30"/>
  <c r="AP83" i="30"/>
  <c r="AO83" i="30"/>
  <c r="AM166" i="30"/>
  <c r="AL166" i="30"/>
  <c r="AK166" i="30"/>
  <c r="AM153" i="30"/>
  <c r="AK153" i="30"/>
  <c r="AL153" i="30"/>
  <c r="AQ91" i="30"/>
  <c r="AO91" i="30"/>
  <c r="AP91" i="30"/>
  <c r="AM103" i="30"/>
  <c r="AL103" i="30"/>
  <c r="AK103" i="30"/>
  <c r="AM174" i="30"/>
  <c r="AL174" i="30"/>
  <c r="AK174" i="30"/>
  <c r="AM189" i="30"/>
  <c r="AL189" i="30"/>
  <c r="AK189" i="30"/>
  <c r="AQ181" i="30"/>
  <c r="AO181" i="30"/>
  <c r="AP181" i="30"/>
  <c r="AK113" i="30"/>
  <c r="AL113" i="30"/>
  <c r="AI108" i="30"/>
  <c r="AM113" i="30"/>
  <c r="AP15" i="30"/>
  <c r="AO15" i="30"/>
  <c r="AP18" i="30"/>
  <c r="AO18" i="30"/>
  <c r="AM82" i="30"/>
  <c r="AL82" i="30"/>
  <c r="AK82" i="30"/>
  <c r="AM102" i="30"/>
  <c r="AL102" i="30"/>
  <c r="AK102" i="30"/>
  <c r="AQ69" i="30"/>
  <c r="AP69" i="30"/>
  <c r="AO69" i="30"/>
  <c r="AQ175" i="30"/>
  <c r="AO175" i="30"/>
  <c r="AP175" i="30"/>
  <c r="AM184" i="30"/>
  <c r="AL184" i="30"/>
  <c r="AK184" i="30"/>
  <c r="AQ96" i="30"/>
  <c r="AO96" i="30"/>
  <c r="AP96" i="30"/>
  <c r="AM71" i="30"/>
  <c r="AL71" i="30"/>
  <c r="AK71" i="30"/>
  <c r="AM158" i="30"/>
  <c r="AL158" i="30"/>
  <c r="AK158" i="30"/>
  <c r="AO163" i="30"/>
  <c r="AP163" i="30"/>
  <c r="AQ163" i="30"/>
  <c r="AQ73" i="30"/>
  <c r="AP73" i="30"/>
  <c r="AO73" i="30"/>
  <c r="AU61" i="30"/>
  <c r="AS61" i="30"/>
  <c r="AT61" i="30"/>
  <c r="AM188" i="30"/>
  <c r="AK188" i="30"/>
  <c r="AL188" i="30"/>
  <c r="AU72" i="30"/>
  <c r="AT72" i="30"/>
  <c r="AS72" i="30"/>
  <c r="AM180" i="30"/>
  <c r="AL180" i="30"/>
  <c r="AK180" i="30"/>
  <c r="AM157" i="30"/>
  <c r="AK157" i="30"/>
  <c r="AL157" i="30"/>
  <c r="AM182" i="30"/>
  <c r="AL182" i="30"/>
  <c r="AK182" i="30"/>
  <c r="AM152" i="30"/>
  <c r="AL152" i="30"/>
  <c r="AK152" i="30"/>
  <c r="AM172" i="30"/>
  <c r="AL172" i="30"/>
  <c r="AK172" i="30"/>
  <c r="AQ59" i="30"/>
  <c r="AO59" i="30"/>
  <c r="AP59" i="30"/>
  <c r="AQ79" i="30"/>
  <c r="AP79" i="30"/>
  <c r="AO79" i="30"/>
  <c r="AQ87" i="30"/>
  <c r="AP87" i="30"/>
  <c r="AO87" i="30"/>
  <c r="AQ70" i="30"/>
  <c r="AP70" i="30"/>
  <c r="AO70" i="30"/>
  <c r="AQ100" i="30"/>
  <c r="AO100" i="30"/>
  <c r="AP100" i="30"/>
  <c r="AH108" i="30"/>
  <c r="AG108" i="30"/>
  <c r="AC39" i="30"/>
  <c r="AD39" i="30"/>
  <c r="AQ66" i="30"/>
  <c r="AP66" i="30"/>
  <c r="AO66" i="30"/>
  <c r="AQ99" i="30"/>
  <c r="AO99" i="30"/>
  <c r="AP99" i="30"/>
  <c r="AM168" i="30"/>
  <c r="AL168" i="30"/>
  <c r="AK168" i="30"/>
  <c r="AL65" i="30"/>
  <c r="AK65" i="30"/>
  <c r="AM65" i="30"/>
  <c r="AI64" i="30"/>
  <c r="AQ146" i="30"/>
  <c r="AO146" i="30"/>
  <c r="AP146" i="30"/>
  <c r="AM67" i="30"/>
  <c r="AL67" i="30"/>
  <c r="AK67" i="30"/>
  <c r="Z196" i="30"/>
  <c r="AQ85" i="30"/>
  <c r="AP85" i="30"/>
  <c r="AO85" i="30"/>
  <c r="AM78" i="30"/>
  <c r="AL78" i="30"/>
  <c r="AK78" i="30"/>
  <c r="AL41" i="30"/>
  <c r="AK41" i="30"/>
  <c r="AM17" i="30"/>
  <c r="AM14" i="30" s="1"/>
  <c r="AK17" i="30"/>
  <c r="AL17" i="30"/>
  <c r="AM12" i="30"/>
  <c r="AL12" i="30"/>
  <c r="AK12" i="30"/>
  <c r="AM98" i="30"/>
  <c r="AL98" i="30"/>
  <c r="AK98" i="30"/>
  <c r="AM46" i="30"/>
  <c r="AM41" i="30" s="1"/>
  <c r="AL46" i="30"/>
  <c r="AK46" i="30"/>
  <c r="AH64" i="30"/>
  <c r="AG64" i="30"/>
  <c r="AQ92" i="30"/>
  <c r="AO92" i="30"/>
  <c r="AP92" i="30"/>
  <c r="AM155" i="30"/>
  <c r="AK155" i="30"/>
  <c r="AL155" i="30"/>
  <c r="AQ84" i="30"/>
  <c r="AO84" i="30"/>
  <c r="AP84" i="30"/>
  <c r="AM90" i="30"/>
  <c r="AL90" i="30"/>
  <c r="AK90" i="30"/>
  <c r="AM13" i="30"/>
  <c r="AK13" i="30"/>
  <c r="AL13" i="30"/>
  <c r="AI144" i="30"/>
  <c r="AQ11" i="30"/>
  <c r="AQ145" i="30"/>
  <c r="AQ15" i="30"/>
  <c r="AM203" i="30"/>
  <c r="AI202" i="30"/>
  <c r="AQ42" i="30"/>
  <c r="AM165" i="30"/>
  <c r="AI162" i="30"/>
  <c r="AU20" i="30"/>
  <c r="AQ18" i="30"/>
  <c r="J16" i="26"/>
  <c r="I14" i="26"/>
  <c r="AI7" i="30" l="1"/>
  <c r="J17" i="31" s="1"/>
  <c r="J19" i="31" s="1"/>
  <c r="AK8" i="30"/>
  <c r="AE196" i="30"/>
  <c r="I66" i="31" s="1"/>
  <c r="I41" i="31"/>
  <c r="I43" i="31" s="1"/>
  <c r="AD196" i="30"/>
  <c r="J9" i="32"/>
  <c r="AC196" i="30"/>
  <c r="AC199" i="30" s="1"/>
  <c r="AA199" i="30"/>
  <c r="H43" i="31"/>
  <c r="I67" i="31"/>
  <c r="AW104" i="30"/>
  <c r="AM8" i="30"/>
  <c r="AO8" i="30" s="1"/>
  <c r="AW106" i="30"/>
  <c r="AM144" i="30"/>
  <c r="AP144" i="30" s="1"/>
  <c r="AQ78" i="30"/>
  <c r="AO78" i="30"/>
  <c r="AP78" i="30"/>
  <c r="AU66" i="30"/>
  <c r="AY66" i="30" s="1"/>
  <c r="AT66" i="30"/>
  <c r="AS66" i="30"/>
  <c r="AK144" i="30"/>
  <c r="AL144" i="30"/>
  <c r="AQ90" i="30"/>
  <c r="AO90" i="30"/>
  <c r="AP90" i="30"/>
  <c r="AQ155" i="30"/>
  <c r="AO155" i="30"/>
  <c r="AP155" i="30"/>
  <c r="AU146" i="30"/>
  <c r="AY146" i="30" s="1"/>
  <c r="AS146" i="30"/>
  <c r="AT146" i="30"/>
  <c r="AQ182" i="30"/>
  <c r="AO182" i="30"/>
  <c r="AP182" i="30"/>
  <c r="AU69" i="30"/>
  <c r="AY69" i="30" s="1"/>
  <c r="AT69" i="30"/>
  <c r="AS69" i="30"/>
  <c r="AQ103" i="30"/>
  <c r="AO103" i="30"/>
  <c r="AP103" i="30"/>
  <c r="AO41" i="30"/>
  <c r="AP41" i="30"/>
  <c r="AQ13" i="30"/>
  <c r="AO13" i="30"/>
  <c r="AP13" i="30"/>
  <c r="AQ46" i="30"/>
  <c r="AQ41" i="30" s="1"/>
  <c r="AP46" i="30"/>
  <c r="AO46" i="30"/>
  <c r="AQ17" i="30"/>
  <c r="AQ14" i="30" s="1"/>
  <c r="AP17" i="30"/>
  <c r="AO17" i="30"/>
  <c r="AL64" i="30"/>
  <c r="AK64" i="30"/>
  <c r="AU87" i="30"/>
  <c r="AS87" i="30"/>
  <c r="AT87" i="30"/>
  <c r="AU79" i="30"/>
  <c r="AS79" i="30"/>
  <c r="AT79" i="30"/>
  <c r="AQ152" i="30"/>
  <c r="AO152" i="30"/>
  <c r="AP152" i="30"/>
  <c r="AQ188" i="30"/>
  <c r="AP188" i="30"/>
  <c r="AO188" i="30"/>
  <c r="AS163" i="30"/>
  <c r="AT163" i="30"/>
  <c r="AU163" i="30"/>
  <c r="AQ184" i="30"/>
  <c r="AO184" i="30"/>
  <c r="AP184" i="30"/>
  <c r="AU181" i="30"/>
  <c r="AT181" i="30"/>
  <c r="AS181" i="30"/>
  <c r="AQ189" i="30"/>
  <c r="AP189" i="30"/>
  <c r="AO189" i="30"/>
  <c r="AQ174" i="30"/>
  <c r="AO174" i="30"/>
  <c r="AP174" i="30"/>
  <c r="AU83" i="30"/>
  <c r="AY83" i="30" s="1"/>
  <c r="AS83" i="30"/>
  <c r="AT83" i="30"/>
  <c r="AQ154" i="30"/>
  <c r="AO154" i="30"/>
  <c r="AP154" i="30"/>
  <c r="AU183" i="30"/>
  <c r="AT183" i="30"/>
  <c r="AS183" i="30"/>
  <c r="AU171" i="30"/>
  <c r="AS171" i="30"/>
  <c r="AT171" i="30"/>
  <c r="AU173" i="30"/>
  <c r="AS173" i="30"/>
  <c r="AT173" i="30"/>
  <c r="AU101" i="30"/>
  <c r="AS101" i="30"/>
  <c r="AT101" i="30"/>
  <c r="AU169" i="30"/>
  <c r="AS169" i="30"/>
  <c r="AT169" i="30"/>
  <c r="AQ160" i="30"/>
  <c r="AO160" i="30"/>
  <c r="AP160" i="30"/>
  <c r="AQ80" i="30"/>
  <c r="AO80" i="30"/>
  <c r="AP80" i="30"/>
  <c r="AU177" i="30"/>
  <c r="AS177" i="30"/>
  <c r="AT177" i="30"/>
  <c r="AU76" i="30"/>
  <c r="AS76" i="30"/>
  <c r="AT76" i="30"/>
  <c r="AU93" i="30"/>
  <c r="AS93" i="30"/>
  <c r="AT93" i="30"/>
  <c r="AL162" i="30"/>
  <c r="AK162" i="30"/>
  <c r="AQ98" i="30"/>
  <c r="AO98" i="30"/>
  <c r="AP98" i="30"/>
  <c r="AQ168" i="30"/>
  <c r="AO168" i="30"/>
  <c r="AP168" i="30"/>
  <c r="AU59" i="30"/>
  <c r="AY59" i="30" s="1"/>
  <c r="AS59" i="30"/>
  <c r="AT59" i="30"/>
  <c r="AO165" i="30"/>
  <c r="AP165" i="30"/>
  <c r="AT15" i="30"/>
  <c r="AS15" i="30"/>
  <c r="AU84" i="30"/>
  <c r="AY84" i="30" s="1"/>
  <c r="AS84" i="30"/>
  <c r="AT84" i="30"/>
  <c r="AQ67" i="30"/>
  <c r="AP67" i="30"/>
  <c r="AO67" i="30"/>
  <c r="AX61" i="30"/>
  <c r="AW61" i="30"/>
  <c r="AY61" i="30"/>
  <c r="AU73" i="30"/>
  <c r="AT73" i="30"/>
  <c r="AS73" i="30"/>
  <c r="AU175" i="30"/>
  <c r="AS175" i="30"/>
  <c r="AT175" i="30"/>
  <c r="AU91" i="30"/>
  <c r="AY91" i="30" s="1"/>
  <c r="AS91" i="30"/>
  <c r="AT91" i="30"/>
  <c r="AQ159" i="30"/>
  <c r="AO159" i="30"/>
  <c r="AP159" i="30"/>
  <c r="AS18" i="30"/>
  <c r="AT18" i="30"/>
  <c r="AL7" i="30"/>
  <c r="AK7" i="30"/>
  <c r="AX20" i="30"/>
  <c r="AW20" i="30"/>
  <c r="AS42" i="30"/>
  <c r="AT42" i="30"/>
  <c r="AS145" i="30"/>
  <c r="AT145" i="30"/>
  <c r="AS11" i="30"/>
  <c r="AT11" i="30"/>
  <c r="AQ12" i="30"/>
  <c r="AP12" i="30"/>
  <c r="AO12" i="30"/>
  <c r="AU85" i="30"/>
  <c r="AY85" i="30" s="1"/>
  <c r="AS85" i="30"/>
  <c r="AT85" i="30"/>
  <c r="AP65" i="30"/>
  <c r="AO65" i="30"/>
  <c r="AM64" i="30"/>
  <c r="AQ65" i="30"/>
  <c r="AU100" i="30"/>
  <c r="AY100" i="30" s="1"/>
  <c r="AS100" i="30"/>
  <c r="AT100" i="30"/>
  <c r="AU70" i="30"/>
  <c r="AT70" i="30"/>
  <c r="AS70" i="30"/>
  <c r="AQ172" i="30"/>
  <c r="AO172" i="30"/>
  <c r="AP172" i="30"/>
  <c r="AX72" i="30"/>
  <c r="AW72" i="30"/>
  <c r="AY72" i="30"/>
  <c r="AQ158" i="30"/>
  <c r="AO158" i="30"/>
  <c r="AP158" i="30"/>
  <c r="AQ71" i="30"/>
  <c r="AP71" i="30"/>
  <c r="AO71" i="30"/>
  <c r="AU96" i="30"/>
  <c r="AS96" i="30"/>
  <c r="AT96" i="30"/>
  <c r="AQ82" i="30"/>
  <c r="AO82" i="30"/>
  <c r="AP82" i="30"/>
  <c r="AQ166" i="30"/>
  <c r="AO166" i="30"/>
  <c r="AP166" i="30"/>
  <c r="AQ97" i="30"/>
  <c r="AO97" i="30"/>
  <c r="AP97" i="30"/>
  <c r="AH39" i="30"/>
  <c r="AG39" i="30"/>
  <c r="AQ167" i="30"/>
  <c r="AO167" i="30"/>
  <c r="AP167" i="30"/>
  <c r="AU185" i="30"/>
  <c r="AY185" i="30" s="1"/>
  <c r="AT185" i="30"/>
  <c r="AS185" i="30"/>
  <c r="AU74" i="30"/>
  <c r="AT74" i="30"/>
  <c r="AS74" i="30"/>
  <c r="AQ150" i="30"/>
  <c r="AO150" i="30"/>
  <c r="AP150" i="30"/>
  <c r="AQ151" i="30"/>
  <c r="AO151" i="30"/>
  <c r="AP151" i="30"/>
  <c r="AQ178" i="30"/>
  <c r="AO178" i="30"/>
  <c r="AP178" i="30"/>
  <c r="AQ176" i="30"/>
  <c r="AO176" i="30"/>
  <c r="AP176" i="30"/>
  <c r="AP14" i="30"/>
  <c r="AO14" i="30"/>
  <c r="AQ157" i="30"/>
  <c r="AO157" i="30"/>
  <c r="AP157" i="30"/>
  <c r="AQ180" i="30"/>
  <c r="AO180" i="30"/>
  <c r="AP180" i="30"/>
  <c r="AQ102" i="30"/>
  <c r="AO102" i="30"/>
  <c r="AP102" i="30"/>
  <c r="AP113" i="30"/>
  <c r="AO113" i="30"/>
  <c r="AM108" i="30"/>
  <c r="AQ113" i="30"/>
  <c r="AQ153" i="30"/>
  <c r="AO153" i="30"/>
  <c r="AP153" i="30"/>
  <c r="AQ148" i="30"/>
  <c r="AO148" i="30"/>
  <c r="AP148" i="30"/>
  <c r="AU89" i="30"/>
  <c r="AS89" i="30"/>
  <c r="AT89" i="30"/>
  <c r="AU179" i="30"/>
  <c r="AS179" i="30"/>
  <c r="AT179" i="30"/>
  <c r="AU77" i="30"/>
  <c r="AS77" i="30"/>
  <c r="AT77" i="30"/>
  <c r="AU51" i="30"/>
  <c r="AY51" i="30" s="1"/>
  <c r="AS51" i="30"/>
  <c r="AT51" i="30"/>
  <c r="AQ187" i="30"/>
  <c r="AP187" i="30"/>
  <c r="AO187" i="30"/>
  <c r="AQ156" i="30"/>
  <c r="AO156" i="30"/>
  <c r="AP156" i="30"/>
  <c r="AQ149" i="30"/>
  <c r="AO149" i="30"/>
  <c r="AP149" i="30"/>
  <c r="AQ170" i="30"/>
  <c r="AO170" i="30"/>
  <c r="AP170" i="30"/>
  <c r="AU99" i="30"/>
  <c r="AS99" i="30"/>
  <c r="AT99" i="30"/>
  <c r="AU92" i="30"/>
  <c r="AS92" i="30"/>
  <c r="AT92" i="30"/>
  <c r="AL108" i="30"/>
  <c r="AK108" i="30"/>
  <c r="AU81" i="30"/>
  <c r="AS81" i="30"/>
  <c r="AT81" i="30"/>
  <c r="AX68" i="30"/>
  <c r="AW68" i="30"/>
  <c r="AY68" i="30"/>
  <c r="AQ88" i="30"/>
  <c r="AO88" i="30"/>
  <c r="AP88" i="30"/>
  <c r="AQ86" i="30"/>
  <c r="AO86" i="30"/>
  <c r="AP86" i="30"/>
  <c r="AU95" i="30"/>
  <c r="AY95" i="30" s="1"/>
  <c r="AS95" i="30"/>
  <c r="AT95" i="30"/>
  <c r="AU16" i="30"/>
  <c r="AY16" i="30" s="1"/>
  <c r="AT16" i="30"/>
  <c r="AS16" i="30"/>
  <c r="AQ94" i="30"/>
  <c r="AO94" i="30"/>
  <c r="AP94" i="30"/>
  <c r="AI39" i="30"/>
  <c r="J41" i="31" s="1"/>
  <c r="J43" i="31" s="1"/>
  <c r="AQ165" i="30"/>
  <c r="AM162" i="30"/>
  <c r="AM202" i="30"/>
  <c r="AM198" i="30" s="1"/>
  <c r="K64" i="31" s="1"/>
  <c r="AQ203" i="30"/>
  <c r="AU15" i="30"/>
  <c r="AU42" i="30"/>
  <c r="AU18" i="30"/>
  <c r="AY20" i="30"/>
  <c r="AI198" i="30"/>
  <c r="J64" i="31" s="1"/>
  <c r="K13" i="32" s="1"/>
  <c r="AU145" i="30"/>
  <c r="AU11" i="30"/>
  <c r="K16" i="26"/>
  <c r="J14" i="26"/>
  <c r="AE199" i="30" l="1"/>
  <c r="J20" i="31"/>
  <c r="K5" i="32"/>
  <c r="AH196" i="30"/>
  <c r="AG196" i="30"/>
  <c r="AG199" i="30" s="1"/>
  <c r="K9" i="32"/>
  <c r="J44" i="31"/>
  <c r="L13" i="32"/>
  <c r="AP8" i="30"/>
  <c r="AM7" i="30"/>
  <c r="K17" i="31" s="1"/>
  <c r="AO144" i="30"/>
  <c r="AQ8" i="30"/>
  <c r="AS8" i="30" s="1"/>
  <c r="AQ144" i="30"/>
  <c r="AS144" i="30" s="1"/>
  <c r="AT14" i="30"/>
  <c r="AS14" i="30"/>
  <c r="AX15" i="30"/>
  <c r="AW15" i="30"/>
  <c r="AS165" i="30"/>
  <c r="AT165" i="30"/>
  <c r="AU94" i="30"/>
  <c r="AY94" i="30" s="1"/>
  <c r="AS94" i="30"/>
  <c r="AT94" i="30"/>
  <c r="AX92" i="30"/>
  <c r="AW92" i="30"/>
  <c r="AW77" i="30"/>
  <c r="AX77" i="30"/>
  <c r="AY77" i="30"/>
  <c r="AX179" i="30"/>
  <c r="AW179" i="30"/>
  <c r="AT113" i="30"/>
  <c r="AS113" i="30"/>
  <c r="AQ108" i="30"/>
  <c r="AU113" i="30"/>
  <c r="AU167" i="30"/>
  <c r="AY167" i="30" s="1"/>
  <c r="AS167" i="30"/>
  <c r="AT167" i="30"/>
  <c r="AU166" i="30"/>
  <c r="AY166" i="30" s="1"/>
  <c r="AS166" i="30"/>
  <c r="AT166" i="30"/>
  <c r="AU172" i="30"/>
  <c r="AY172" i="30" s="1"/>
  <c r="AS172" i="30"/>
  <c r="AT172" i="30"/>
  <c r="AP64" i="30"/>
  <c r="AO64" i="30"/>
  <c r="AX175" i="30"/>
  <c r="AW175" i="30"/>
  <c r="AY175" i="30"/>
  <c r="AX76" i="30"/>
  <c r="AW76" i="30"/>
  <c r="AY76" i="30"/>
  <c r="AX169" i="30"/>
  <c r="AW169" i="30"/>
  <c r="AY169" i="30"/>
  <c r="AX173" i="30"/>
  <c r="AW173" i="30"/>
  <c r="AX171" i="30"/>
  <c r="AW171" i="30"/>
  <c r="AU189" i="30"/>
  <c r="AY189" i="30" s="1"/>
  <c r="AT189" i="30"/>
  <c r="AS189" i="30"/>
  <c r="AU184" i="30"/>
  <c r="AY184" i="30" s="1"/>
  <c r="AT184" i="30"/>
  <c r="AS184" i="30"/>
  <c r="AW87" i="30"/>
  <c r="AX87" i="30"/>
  <c r="AU155" i="30"/>
  <c r="AY155" i="30" s="1"/>
  <c r="AS155" i="30"/>
  <c r="AT155" i="30"/>
  <c r="AX66" i="30"/>
  <c r="AW66" i="30"/>
  <c r="AU78" i="30"/>
  <c r="AY78" i="30" s="1"/>
  <c r="AS78" i="30"/>
  <c r="AT78" i="30"/>
  <c r="AW145" i="30"/>
  <c r="AX145" i="30"/>
  <c r="AY18" i="30"/>
  <c r="AX18" i="30"/>
  <c r="AW18" i="30"/>
  <c r="AW42" i="30"/>
  <c r="AX42" i="30"/>
  <c r="AU88" i="30"/>
  <c r="AY88" i="30" s="1"/>
  <c r="AS88" i="30"/>
  <c r="AT88" i="30"/>
  <c r="AU187" i="30"/>
  <c r="AY187" i="30" s="1"/>
  <c r="AT187" i="30"/>
  <c r="AS187" i="30"/>
  <c r="AX51" i="30"/>
  <c r="AW51" i="30"/>
  <c r="AY179" i="30"/>
  <c r="AO108" i="30"/>
  <c r="AP108" i="30"/>
  <c r="AU180" i="30"/>
  <c r="AT180" i="30"/>
  <c r="AS180" i="30"/>
  <c r="AU157" i="30"/>
  <c r="AS157" i="30"/>
  <c r="AT157" i="30"/>
  <c r="AU176" i="30"/>
  <c r="AY176" i="30" s="1"/>
  <c r="AS176" i="30"/>
  <c r="AT176" i="30"/>
  <c r="AX74" i="30"/>
  <c r="AW74" i="30"/>
  <c r="AY74" i="30"/>
  <c r="AX185" i="30"/>
  <c r="AW185" i="30"/>
  <c r="AU97" i="30"/>
  <c r="AY97" i="30" s="1"/>
  <c r="AS97" i="30"/>
  <c r="AT97" i="30"/>
  <c r="AU71" i="30"/>
  <c r="AT71" i="30"/>
  <c r="AS71" i="30"/>
  <c r="AU158" i="30"/>
  <c r="AS158" i="30"/>
  <c r="AT158" i="30"/>
  <c r="AU12" i="30"/>
  <c r="AS12" i="30"/>
  <c r="AT12" i="30"/>
  <c r="AW91" i="30"/>
  <c r="AX91" i="30"/>
  <c r="AY87" i="30"/>
  <c r="AW93" i="30"/>
  <c r="AX93" i="30"/>
  <c r="AY93" i="30"/>
  <c r="AU160" i="30"/>
  <c r="AS160" i="30"/>
  <c r="AT160" i="30"/>
  <c r="AY173" i="30"/>
  <c r="AY171" i="30"/>
  <c r="AU174" i="30"/>
  <c r="AS174" i="30"/>
  <c r="AT174" i="30"/>
  <c r="AY163" i="30"/>
  <c r="AX163" i="30"/>
  <c r="AW163" i="30"/>
  <c r="AW79" i="30"/>
  <c r="AX79" i="30"/>
  <c r="AY79" i="30"/>
  <c r="AU46" i="30"/>
  <c r="AU41" i="30" s="1"/>
  <c r="AS46" i="30"/>
  <c r="AT46" i="30"/>
  <c r="AU13" i="30"/>
  <c r="AS13" i="30"/>
  <c r="AT13" i="30"/>
  <c r="AX146" i="30"/>
  <c r="AW146" i="30"/>
  <c r="AL198" i="30"/>
  <c r="AK198" i="30"/>
  <c r="AX16" i="30"/>
  <c r="AW16" i="30"/>
  <c r="AU170" i="30"/>
  <c r="AS170" i="30"/>
  <c r="AT170" i="30"/>
  <c r="AW11" i="30"/>
  <c r="AX11" i="30"/>
  <c r="AI196" i="30"/>
  <c r="AL39" i="30"/>
  <c r="AK39" i="30"/>
  <c r="AT41" i="30"/>
  <c r="AS41" i="30"/>
  <c r="AO198" i="30"/>
  <c r="AP198" i="30"/>
  <c r="AW95" i="30"/>
  <c r="AX95" i="30"/>
  <c r="AU86" i="30"/>
  <c r="AS86" i="30"/>
  <c r="AT86" i="30"/>
  <c r="AU149" i="30"/>
  <c r="AY149" i="30" s="1"/>
  <c r="AS149" i="30"/>
  <c r="AT149" i="30"/>
  <c r="AU156" i="30"/>
  <c r="AS156" i="30"/>
  <c r="AT156" i="30"/>
  <c r="AU102" i="30"/>
  <c r="AY102" i="30" s="1"/>
  <c r="AS102" i="30"/>
  <c r="AT102" i="30"/>
  <c r="AU178" i="30"/>
  <c r="AS178" i="30"/>
  <c r="AT178" i="30"/>
  <c r="AU151" i="30"/>
  <c r="AS151" i="30"/>
  <c r="AT151" i="30"/>
  <c r="AU150" i="30"/>
  <c r="AS150" i="30"/>
  <c r="AT150" i="30"/>
  <c r="AX96" i="30"/>
  <c r="AW96" i="30"/>
  <c r="AY96" i="30"/>
  <c r="AX100" i="30"/>
  <c r="AW100" i="30"/>
  <c r="AW85" i="30"/>
  <c r="AX85" i="30"/>
  <c r="AU159" i="30"/>
  <c r="AS159" i="30"/>
  <c r="AT159" i="30"/>
  <c r="AX84" i="30"/>
  <c r="AW84" i="30"/>
  <c r="AX59" i="30"/>
  <c r="AW59" i="30"/>
  <c r="AU168" i="30"/>
  <c r="AS168" i="30"/>
  <c r="AT168" i="30"/>
  <c r="AU98" i="30"/>
  <c r="AS98" i="30"/>
  <c r="AT98" i="30"/>
  <c r="AU80" i="30"/>
  <c r="AY80" i="30" s="1"/>
  <c r="AS80" i="30"/>
  <c r="AT80" i="30"/>
  <c r="AU154" i="30"/>
  <c r="AY154" i="30" s="1"/>
  <c r="AS154" i="30"/>
  <c r="AT154" i="30"/>
  <c r="AW83" i="30"/>
  <c r="AX83" i="30"/>
  <c r="AU188" i="30"/>
  <c r="AS188" i="30"/>
  <c r="AT188" i="30"/>
  <c r="AU152" i="30"/>
  <c r="AS152" i="30"/>
  <c r="AT152" i="30"/>
  <c r="AU17" i="30"/>
  <c r="AU14" i="30" s="1"/>
  <c r="AT17" i="30"/>
  <c r="AS17" i="30"/>
  <c r="AX69" i="30"/>
  <c r="AW69" i="30"/>
  <c r="AU182" i="30"/>
  <c r="AT182" i="30"/>
  <c r="AS182" i="30"/>
  <c r="AY92" i="30"/>
  <c r="AP162" i="30"/>
  <c r="AO162" i="30"/>
  <c r="AW81" i="30"/>
  <c r="AX81" i="30"/>
  <c r="AY81" i="30"/>
  <c r="AW99" i="30"/>
  <c r="AX99" i="30"/>
  <c r="AW89" i="30"/>
  <c r="AX89" i="30"/>
  <c r="AY89" i="30"/>
  <c r="AU148" i="30"/>
  <c r="AS148" i="30"/>
  <c r="AT148" i="30"/>
  <c r="AU153" i="30"/>
  <c r="AY153" i="30" s="1"/>
  <c r="AS153" i="30"/>
  <c r="AT153" i="30"/>
  <c r="AU82" i="30"/>
  <c r="AS82" i="30"/>
  <c r="AT82" i="30"/>
  <c r="AX70" i="30"/>
  <c r="AW70" i="30"/>
  <c r="AY70" i="30"/>
  <c r="AT65" i="30"/>
  <c r="AS65" i="30"/>
  <c r="AQ64" i="30"/>
  <c r="AU65" i="30"/>
  <c r="AX73" i="30"/>
  <c r="AW73" i="30"/>
  <c r="AU67" i="30"/>
  <c r="AT67" i="30"/>
  <c r="AS67" i="30"/>
  <c r="AX177" i="30"/>
  <c r="AW177" i="30"/>
  <c r="AY177" i="30"/>
  <c r="AW101" i="30"/>
  <c r="AX101" i="30"/>
  <c r="AY101" i="30"/>
  <c r="AX183" i="30"/>
  <c r="AW183" i="30"/>
  <c r="AY183" i="30"/>
  <c r="AX181" i="30"/>
  <c r="AW181" i="30"/>
  <c r="AY181" i="30"/>
  <c r="AU103" i="30"/>
  <c r="AY103" i="30" s="1"/>
  <c r="AS103" i="30"/>
  <c r="AT103" i="30"/>
  <c r="AU90" i="30"/>
  <c r="AY90" i="30" s="1"/>
  <c r="AS90" i="30"/>
  <c r="AT90" i="30"/>
  <c r="AY99" i="30"/>
  <c r="AY73" i="30"/>
  <c r="AY11" i="30"/>
  <c r="AY145" i="30"/>
  <c r="AM39" i="30"/>
  <c r="K41" i="31" s="1"/>
  <c r="AU165" i="30"/>
  <c r="AQ162" i="30"/>
  <c r="AY42" i="30"/>
  <c r="AY15" i="30"/>
  <c r="AU203" i="30"/>
  <c r="AQ202" i="30"/>
  <c r="L16" i="26"/>
  <c r="K14" i="26"/>
  <c r="AO7" i="30" l="1"/>
  <c r="AT8" i="30"/>
  <c r="K43" i="31"/>
  <c r="AU8" i="30"/>
  <c r="AY8" i="30" s="1"/>
  <c r="K44" i="31"/>
  <c r="L9" i="32"/>
  <c r="K19" i="31"/>
  <c r="K20" i="31"/>
  <c r="AQ7" i="30"/>
  <c r="L17" i="31" s="1"/>
  <c r="L19" i="31" s="1"/>
  <c r="AP7" i="30"/>
  <c r="L5" i="32"/>
  <c r="J66" i="31"/>
  <c r="J67" i="31"/>
  <c r="K67" i="31"/>
  <c r="AT144" i="30"/>
  <c r="AI199" i="30"/>
  <c r="AK196" i="30"/>
  <c r="AK199" i="30" s="1"/>
  <c r="AX41" i="30"/>
  <c r="AW41" i="30"/>
  <c r="AY41" i="30"/>
  <c r="AW14" i="30"/>
  <c r="AX14" i="30"/>
  <c r="AX148" i="30"/>
  <c r="AW148" i="30"/>
  <c r="AW159" i="30"/>
  <c r="AX159" i="30"/>
  <c r="AY159" i="30"/>
  <c r="AX86" i="30"/>
  <c r="AW86" i="30"/>
  <c r="AY86" i="30"/>
  <c r="AW174" i="30"/>
  <c r="AX174" i="30"/>
  <c r="AW157" i="30"/>
  <c r="AX157" i="30"/>
  <c r="AY157" i="30"/>
  <c r="AU144" i="30"/>
  <c r="AW155" i="30"/>
  <c r="AX155" i="30"/>
  <c r="AQ39" i="30"/>
  <c r="AT162" i="30"/>
  <c r="AS162" i="30"/>
  <c r="AX65" i="30"/>
  <c r="AW65" i="30"/>
  <c r="AY65" i="30"/>
  <c r="AU64" i="30"/>
  <c r="AY64" i="30" s="1"/>
  <c r="AW153" i="30"/>
  <c r="AX153" i="30"/>
  <c r="AW182" i="30"/>
  <c r="AX182" i="30"/>
  <c r="AY182" i="30"/>
  <c r="AX188" i="30"/>
  <c r="AW188" i="30"/>
  <c r="AY188" i="30"/>
  <c r="AW168" i="30"/>
  <c r="AX168" i="30"/>
  <c r="AY168" i="30"/>
  <c r="AW151" i="30"/>
  <c r="AX151" i="30"/>
  <c r="AY151" i="30"/>
  <c r="AW149" i="30"/>
  <c r="AX149" i="30"/>
  <c r="AL196" i="30"/>
  <c r="AW13" i="30"/>
  <c r="AX13" i="30"/>
  <c r="AY13" i="30"/>
  <c r="AY174" i="30"/>
  <c r="AW176" i="30"/>
  <c r="AX176" i="30"/>
  <c r="AW184" i="30"/>
  <c r="AX184" i="30"/>
  <c r="AX189" i="30"/>
  <c r="AW189" i="30"/>
  <c r="AS108" i="30"/>
  <c r="AT108" i="30"/>
  <c r="AY148" i="30"/>
  <c r="AX165" i="30"/>
  <c r="AW165" i="30"/>
  <c r="AS64" i="30"/>
  <c r="AT64" i="30"/>
  <c r="AX160" i="30"/>
  <c r="AW160" i="30"/>
  <c r="AX67" i="30"/>
  <c r="AW67" i="30"/>
  <c r="AX82" i="30"/>
  <c r="AW82" i="30"/>
  <c r="AX152" i="30"/>
  <c r="AW152" i="30"/>
  <c r="AY152" i="30"/>
  <c r="AX98" i="30"/>
  <c r="AW98" i="30"/>
  <c r="AY98" i="30"/>
  <c r="AX150" i="30"/>
  <c r="AW150" i="30"/>
  <c r="AY150" i="30"/>
  <c r="AX156" i="30"/>
  <c r="AW156" i="30"/>
  <c r="AY156" i="30"/>
  <c r="AW170" i="30"/>
  <c r="AX170" i="30"/>
  <c r="AP39" i="30"/>
  <c r="AO39" i="30"/>
  <c r="AY82" i="30"/>
  <c r="AW103" i="30"/>
  <c r="AX103" i="30"/>
  <c r="AX17" i="30"/>
  <c r="AW17" i="30"/>
  <c r="AY17" i="30"/>
  <c r="AX154" i="30"/>
  <c r="AW154" i="30"/>
  <c r="AX80" i="30"/>
  <c r="AW80" i="30"/>
  <c r="AX102" i="30"/>
  <c r="AW102" i="30"/>
  <c r="AY170" i="30"/>
  <c r="AY160" i="30"/>
  <c r="AX12" i="30"/>
  <c r="AW12" i="30"/>
  <c r="AY12" i="30"/>
  <c r="AX158" i="30"/>
  <c r="AW158" i="30"/>
  <c r="AY158" i="30"/>
  <c r="AX71" i="30"/>
  <c r="AW71" i="30"/>
  <c r="AY71" i="30"/>
  <c r="AW97" i="30"/>
  <c r="AX97" i="30"/>
  <c r="AW180" i="30"/>
  <c r="AX180" i="30"/>
  <c r="AY180" i="30"/>
  <c r="AX88" i="30"/>
  <c r="AW88" i="30"/>
  <c r="AX78" i="30"/>
  <c r="AW78" i="30"/>
  <c r="AW172" i="30"/>
  <c r="AX172" i="30"/>
  <c r="AW166" i="30"/>
  <c r="AX166" i="30"/>
  <c r="AX167" i="30"/>
  <c r="AW167" i="30"/>
  <c r="AY67" i="30"/>
  <c r="AX90" i="30"/>
  <c r="AW90" i="30"/>
  <c r="AW178" i="30"/>
  <c r="AX178" i="30"/>
  <c r="AY178" i="30"/>
  <c r="AW46" i="30"/>
  <c r="AX46" i="30"/>
  <c r="AY46" i="30"/>
  <c r="AX187" i="30"/>
  <c r="AW187" i="30"/>
  <c r="AU108" i="30"/>
  <c r="AY108" i="30" s="1"/>
  <c r="AX113" i="30"/>
  <c r="AW113" i="30"/>
  <c r="AY113" i="30"/>
  <c r="AX94" i="30"/>
  <c r="AW94" i="30"/>
  <c r="AY14" i="30"/>
  <c r="AM196" i="30"/>
  <c r="K66" i="31" s="1"/>
  <c r="AU162" i="30"/>
  <c r="AY165" i="30"/>
  <c r="AQ198" i="30"/>
  <c r="L64" i="31" s="1"/>
  <c r="M13" i="32" s="1"/>
  <c r="AU202" i="30"/>
  <c r="AU198" i="30" s="1"/>
  <c r="M64" i="31" s="1"/>
  <c r="AY203" i="30"/>
  <c r="AZ203" i="30" s="1"/>
  <c r="M16" i="26"/>
  <c r="L14" i="26"/>
  <c r="AU7" i="30" l="1"/>
  <c r="AW8" i="30"/>
  <c r="AX8" i="30"/>
  <c r="N13" i="32"/>
  <c r="AT7" i="30"/>
  <c r="M5" i="32"/>
  <c r="AQ196" i="30"/>
  <c r="L66" i="31" s="1"/>
  <c r="L41" i="31"/>
  <c r="M9" i="32"/>
  <c r="L20" i="31"/>
  <c r="AS7" i="30"/>
  <c r="AY7" i="30"/>
  <c r="M17" i="31"/>
  <c r="M19" i="31" s="1"/>
  <c r="L67" i="31"/>
  <c r="AM199" i="30"/>
  <c r="AO196" i="30"/>
  <c r="AO199" i="30" s="1"/>
  <c r="AT198" i="30"/>
  <c r="AS198" i="30"/>
  <c r="AU39" i="30"/>
  <c r="AX162" i="30"/>
  <c r="AW162" i="30"/>
  <c r="AX108" i="30"/>
  <c r="AW108" i="30"/>
  <c r="AX144" i="30"/>
  <c r="AW144" i="30"/>
  <c r="AY144" i="30"/>
  <c r="AW7" i="30"/>
  <c r="AX7" i="30"/>
  <c r="AP196" i="30"/>
  <c r="AX64" i="30"/>
  <c r="AW64" i="30"/>
  <c r="AT39" i="30"/>
  <c r="AS39" i="30"/>
  <c r="AW198" i="30"/>
  <c r="AX198" i="30"/>
  <c r="AY202" i="30"/>
  <c r="AZ202" i="30" s="1"/>
  <c r="AY198" i="30"/>
  <c r="AY162" i="30"/>
  <c r="N16" i="26"/>
  <c r="N14" i="26" s="1"/>
  <c r="M14" i="26"/>
  <c r="N5" i="32" l="1"/>
  <c r="AT196" i="30"/>
  <c r="AS196" i="30"/>
  <c r="AS199" i="30" s="1"/>
  <c r="AQ199" i="30"/>
  <c r="AY39" i="30"/>
  <c r="N9" i="32"/>
  <c r="M41" i="31"/>
  <c r="M43" i="31" s="1"/>
  <c r="M20" i="31"/>
  <c r="L43" i="31"/>
  <c r="L44" i="31"/>
  <c r="N17" i="31"/>
  <c r="AU196" i="30"/>
  <c r="AX39" i="30"/>
  <c r="AW39" i="30"/>
  <c r="O74" i="26"/>
  <c r="M44" i="31" l="1"/>
  <c r="M66" i="31"/>
  <c r="N64" i="31"/>
  <c r="M67" i="31"/>
  <c r="AU199" i="30"/>
  <c r="AW196" i="30"/>
  <c r="AW199" i="30" s="1"/>
  <c r="AY196" i="30"/>
  <c r="AY199" i="30" s="1"/>
  <c r="AX196" i="30"/>
  <c r="C8" i="26"/>
  <c r="AZ67" i="27" l="1"/>
  <c r="AZ63" i="27"/>
  <c r="AZ62" i="27"/>
  <c r="AZ61" i="27"/>
  <c r="AZ58" i="27"/>
  <c r="AZ59" i="27"/>
  <c r="AZ56" i="27"/>
  <c r="AZ57" i="27"/>
  <c r="O193" i="26" l="1"/>
  <c r="N191" i="26" l="1"/>
  <c r="N187" i="26" s="1"/>
  <c r="M191" i="26"/>
  <c r="M187" i="26" s="1"/>
  <c r="L191" i="26"/>
  <c r="L187" i="26" s="1"/>
  <c r="K191" i="26"/>
  <c r="K187" i="26" s="1"/>
  <c r="J191" i="26"/>
  <c r="J187" i="26" s="1"/>
  <c r="I191" i="26"/>
  <c r="I187" i="26" s="1"/>
  <c r="H191" i="26"/>
  <c r="H187" i="26" s="1"/>
  <c r="O59" i="26" l="1"/>
  <c r="O192" i="26"/>
  <c r="C152" i="26" l="1"/>
  <c r="N183" i="26"/>
  <c r="M183" i="26"/>
  <c r="L183" i="26"/>
  <c r="K183" i="26"/>
  <c r="J183" i="26"/>
  <c r="I183" i="26"/>
  <c r="H183" i="26"/>
  <c r="G183" i="26"/>
  <c r="F183" i="26"/>
  <c r="E183" i="26"/>
  <c r="D183" i="26"/>
  <c r="BA206" i="27"/>
  <c r="O177" i="26" l="1"/>
  <c r="D152" i="26"/>
  <c r="Z39" i="28"/>
  <c r="Y39" i="28"/>
  <c r="X39" i="28"/>
  <c r="W39" i="28"/>
  <c r="V39" i="28"/>
  <c r="U39" i="28"/>
  <c r="T38" i="28"/>
  <c r="T39" i="28"/>
  <c r="Z38" i="28"/>
  <c r="Y38" i="28"/>
  <c r="X38" i="28"/>
  <c r="W38" i="28"/>
  <c r="V38" i="28"/>
  <c r="U38" i="28"/>
  <c r="BA41" i="27" l="1"/>
  <c r="BA44" i="27"/>
  <c r="BA46" i="27"/>
  <c r="BA56" i="27"/>
  <c r="BA57" i="27"/>
  <c r="BA58" i="27"/>
  <c r="BA59" i="27"/>
  <c r="BA61" i="27"/>
  <c r="BA62" i="27"/>
  <c r="BA63" i="27"/>
  <c r="BA67" i="27"/>
  <c r="BA71" i="27"/>
  <c r="BA116" i="27"/>
  <c r="BA128" i="27"/>
  <c r="BA129" i="27"/>
  <c r="BA152" i="27"/>
  <c r="BA153" i="27"/>
  <c r="BA172" i="27"/>
  <c r="U216" i="27"/>
  <c r="U212" i="27" s="1"/>
  <c r="T216" i="27"/>
  <c r="S216" i="27"/>
  <c r="Q216" i="27"/>
  <c r="Q212" i="27" s="1"/>
  <c r="P216" i="27"/>
  <c r="O216" i="27"/>
  <c r="M216" i="27"/>
  <c r="M212" i="27" s="1"/>
  <c r="K216" i="27"/>
  <c r="I216" i="27"/>
  <c r="I212" i="27" s="1"/>
  <c r="H216" i="27"/>
  <c r="G216" i="27"/>
  <c r="E216" i="27"/>
  <c r="E212" i="27" s="1"/>
  <c r="D216" i="27"/>
  <c r="C216" i="27"/>
  <c r="C212" i="27" s="1"/>
  <c r="G212" i="27" s="1"/>
  <c r="H212" i="27"/>
  <c r="L212" i="27" s="1"/>
  <c r="AX208" i="27"/>
  <c r="AW208" i="27"/>
  <c r="AW207" i="27" s="1"/>
  <c r="AT208" i="27"/>
  <c r="AS208" i="27"/>
  <c r="AP208" i="27"/>
  <c r="AO208" i="27"/>
  <c r="AO207" i="27" s="1"/>
  <c r="AL208" i="27"/>
  <c r="AK208" i="27"/>
  <c r="AK207" i="27" s="1"/>
  <c r="AH208" i="27"/>
  <c r="AG208" i="27"/>
  <c r="AG207" i="27" s="1"/>
  <c r="AD208" i="27"/>
  <c r="AC208" i="27"/>
  <c r="AC207" i="27" s="1"/>
  <c r="Z208" i="27"/>
  <c r="Y208" i="27"/>
  <c r="Y207" i="27" s="1"/>
  <c r="S208" i="27"/>
  <c r="V208" i="27" s="1"/>
  <c r="R208" i="27"/>
  <c r="Q208" i="27"/>
  <c r="N208" i="27"/>
  <c r="M208" i="27"/>
  <c r="H208" i="27"/>
  <c r="D208" i="27"/>
  <c r="AV207" i="27"/>
  <c r="AU207" i="27"/>
  <c r="AS207" i="27"/>
  <c r="AR207" i="27"/>
  <c r="AQ207" i="27"/>
  <c r="AN207" i="27"/>
  <c r="AM207" i="27"/>
  <c r="AJ207" i="27"/>
  <c r="AI207" i="27"/>
  <c r="AF207" i="27"/>
  <c r="AH207" i="27" s="1"/>
  <c r="AE207" i="27"/>
  <c r="AB207" i="27"/>
  <c r="AA207" i="27"/>
  <c r="X207" i="27"/>
  <c r="W207" i="27"/>
  <c r="T207" i="27"/>
  <c r="P207" i="27"/>
  <c r="O207" i="27"/>
  <c r="L207" i="27"/>
  <c r="K207" i="27"/>
  <c r="G207" i="27"/>
  <c r="C207" i="27"/>
  <c r="AZ205" i="27"/>
  <c r="BA205" i="27" s="1"/>
  <c r="AY205" i="27"/>
  <c r="AW205" i="27"/>
  <c r="AS205" i="27"/>
  <c r="AO205" i="27"/>
  <c r="AK205" i="27"/>
  <c r="AG205" i="27"/>
  <c r="AC205" i="27"/>
  <c r="Y205" i="27"/>
  <c r="U205" i="27"/>
  <c r="Q205" i="27"/>
  <c r="M205" i="27"/>
  <c r="I205" i="27"/>
  <c r="E205" i="27"/>
  <c r="AZ204" i="27"/>
  <c r="BA204" i="27" s="1"/>
  <c r="AY204" i="27"/>
  <c r="AW204" i="27"/>
  <c r="AS204" i="27"/>
  <c r="AO204" i="27"/>
  <c r="AK204" i="27"/>
  <c r="AG204" i="27"/>
  <c r="AC204" i="27"/>
  <c r="Y204" i="27"/>
  <c r="U204" i="27"/>
  <c r="Q204" i="27"/>
  <c r="M204" i="27"/>
  <c r="I204" i="27"/>
  <c r="E204" i="27"/>
  <c r="AZ203" i="27"/>
  <c r="BA203" i="27" s="1"/>
  <c r="AY203" i="27"/>
  <c r="AW203" i="27"/>
  <c r="AS203" i="27"/>
  <c r="AO203" i="27"/>
  <c r="AK203" i="27"/>
  <c r="AG203" i="27"/>
  <c r="AC203" i="27"/>
  <c r="Y203" i="27"/>
  <c r="U203" i="27"/>
  <c r="Q203" i="27"/>
  <c r="M203" i="27"/>
  <c r="I203" i="27"/>
  <c r="E203" i="27"/>
  <c r="AZ202" i="27"/>
  <c r="BA202" i="27" s="1"/>
  <c r="AX202" i="27"/>
  <c r="AW202" i="27"/>
  <c r="AT202" i="27"/>
  <c r="AS202" i="27"/>
  <c r="AP202" i="27"/>
  <c r="AO202" i="27"/>
  <c r="AL202" i="27"/>
  <c r="AK202" i="27"/>
  <c r="AH202" i="27"/>
  <c r="AG202" i="27"/>
  <c r="AD202" i="27"/>
  <c r="AC202" i="27"/>
  <c r="Z202" i="27"/>
  <c r="Y202" i="27"/>
  <c r="S202" i="27"/>
  <c r="V202" i="27" s="1"/>
  <c r="R202" i="27"/>
  <c r="Q202" i="27"/>
  <c r="N202" i="27"/>
  <c r="M202" i="27"/>
  <c r="J202" i="27"/>
  <c r="I202" i="27"/>
  <c r="F202" i="27"/>
  <c r="E202" i="27"/>
  <c r="AZ201" i="27"/>
  <c r="BA201" i="27" s="1"/>
  <c r="AY201" i="27"/>
  <c r="AW201" i="27"/>
  <c r="AS201" i="27"/>
  <c r="AO201" i="27"/>
  <c r="AK201" i="27"/>
  <c r="AG201" i="27"/>
  <c r="AC201" i="27"/>
  <c r="Y201" i="27"/>
  <c r="U201" i="27"/>
  <c r="Q201" i="27"/>
  <c r="M201" i="27"/>
  <c r="I201" i="27"/>
  <c r="E201" i="27"/>
  <c r="AZ200" i="27"/>
  <c r="BA200" i="27" s="1"/>
  <c r="AY200" i="27"/>
  <c r="AX200" i="27"/>
  <c r="AW200" i="27"/>
  <c r="AT200" i="27"/>
  <c r="AS200" i="27"/>
  <c r="AP200" i="27"/>
  <c r="AO200" i="27"/>
  <c r="AL200" i="27"/>
  <c r="AK200" i="27"/>
  <c r="AH200" i="27"/>
  <c r="AG200" i="27"/>
  <c r="AD200" i="27"/>
  <c r="AC200" i="27"/>
  <c r="Y200" i="27"/>
  <c r="V200" i="27"/>
  <c r="U200" i="27"/>
  <c r="R200" i="27"/>
  <c r="Q200" i="27"/>
  <c r="N200" i="27"/>
  <c r="M200" i="27"/>
  <c r="J200" i="27"/>
  <c r="I200" i="27"/>
  <c r="F200" i="27"/>
  <c r="E200" i="27"/>
  <c r="AZ199" i="27"/>
  <c r="BA199" i="27" s="1"/>
  <c r="AY199" i="27"/>
  <c r="AX199" i="27"/>
  <c r="AW199" i="27"/>
  <c r="AT199" i="27"/>
  <c r="AS199" i="27"/>
  <c r="AP199" i="27"/>
  <c r="AO199" i="27"/>
  <c r="AL199" i="27"/>
  <c r="AK199" i="27"/>
  <c r="AH199" i="27"/>
  <c r="AG199" i="27"/>
  <c r="AD199" i="27"/>
  <c r="AC199" i="27"/>
  <c r="Z199" i="27"/>
  <c r="Y199" i="27"/>
  <c r="V199" i="27"/>
  <c r="U199" i="27"/>
  <c r="R199" i="27"/>
  <c r="Q199" i="27"/>
  <c r="N199" i="27"/>
  <c r="M199" i="27"/>
  <c r="J199" i="27"/>
  <c r="I199" i="27"/>
  <c r="F199" i="27"/>
  <c r="E199" i="27"/>
  <c r="AZ198" i="27"/>
  <c r="BA198" i="27" s="1"/>
  <c r="AY198" i="27"/>
  <c r="AX198" i="27"/>
  <c r="AW198" i="27"/>
  <c r="AT198" i="27"/>
  <c r="AS198" i="27"/>
  <c r="AP198" i="27"/>
  <c r="AO198" i="27"/>
  <c r="AL198" i="27"/>
  <c r="AK198" i="27"/>
  <c r="AH198" i="27"/>
  <c r="AG198" i="27"/>
  <c r="AD198" i="27"/>
  <c r="AC198" i="27"/>
  <c r="Z198" i="27"/>
  <c r="Y198" i="27"/>
  <c r="V198" i="27"/>
  <c r="U198" i="27"/>
  <c r="R198" i="27"/>
  <c r="Q198" i="27"/>
  <c r="N198" i="27"/>
  <c r="M198" i="27"/>
  <c r="J198" i="27"/>
  <c r="I198" i="27"/>
  <c r="F198" i="27"/>
  <c r="E198" i="27"/>
  <c r="AZ197" i="27"/>
  <c r="BA197" i="27" s="1"/>
  <c r="AY197" i="27"/>
  <c r="AX197" i="27"/>
  <c r="AW197" i="27"/>
  <c r="AT197" i="27"/>
  <c r="AS197" i="27"/>
  <c r="AP197" i="27"/>
  <c r="AO197" i="27"/>
  <c r="AL197" i="27"/>
  <c r="AK197" i="27"/>
  <c r="AH197" i="27"/>
  <c r="AG197" i="27"/>
  <c r="AD197" i="27"/>
  <c r="AC197" i="27"/>
  <c r="Z197" i="27"/>
  <c r="Y197" i="27"/>
  <c r="V197" i="27"/>
  <c r="U197" i="27"/>
  <c r="R197" i="27"/>
  <c r="Q197" i="27"/>
  <c r="N197" i="27"/>
  <c r="M197" i="27"/>
  <c r="J197" i="27"/>
  <c r="I197" i="27"/>
  <c r="F197" i="27"/>
  <c r="E197" i="27"/>
  <c r="AY196" i="27"/>
  <c r="AX196" i="27"/>
  <c r="AW196" i="27"/>
  <c r="AT196" i="27"/>
  <c r="AS196" i="27"/>
  <c r="AP196" i="27"/>
  <c r="AO196" i="27"/>
  <c r="AL196" i="27"/>
  <c r="AK196" i="27"/>
  <c r="AH196" i="27"/>
  <c r="AG196" i="27"/>
  <c r="AD196" i="27"/>
  <c r="AC196" i="27"/>
  <c r="Z196" i="27"/>
  <c r="Y196" i="27"/>
  <c r="V196" i="27"/>
  <c r="U196" i="27"/>
  <c r="R196" i="27"/>
  <c r="Q196" i="27"/>
  <c r="N196" i="27"/>
  <c r="M196" i="27"/>
  <c r="J196" i="27"/>
  <c r="I196" i="27"/>
  <c r="D196" i="27"/>
  <c r="AZ196" i="27" s="1"/>
  <c r="BA196" i="27" s="1"/>
  <c r="AZ195" i="27"/>
  <c r="BA195" i="27" s="1"/>
  <c r="AY195" i="27"/>
  <c r="AX195" i="27"/>
  <c r="AW195" i="27"/>
  <c r="AT195" i="27"/>
  <c r="AS195" i="27"/>
  <c r="AP195" i="27"/>
  <c r="AO195" i="27"/>
  <c r="AL195" i="27"/>
  <c r="AK195" i="27"/>
  <c r="AH195" i="27"/>
  <c r="AG195" i="27"/>
  <c r="AD195" i="27"/>
  <c r="AC195" i="27"/>
  <c r="Z195" i="27"/>
  <c r="Y195" i="27"/>
  <c r="V195" i="27"/>
  <c r="U195" i="27"/>
  <c r="R195" i="27"/>
  <c r="Q195" i="27"/>
  <c r="N195" i="27"/>
  <c r="M195" i="27"/>
  <c r="J195" i="27"/>
  <c r="I195" i="27"/>
  <c r="F195" i="27"/>
  <c r="E195" i="27"/>
  <c r="AZ194" i="27"/>
  <c r="BA194" i="27" s="1"/>
  <c r="AY194" i="27"/>
  <c r="AX194" i="27"/>
  <c r="AW194" i="27"/>
  <c r="AT194" i="27"/>
  <c r="AS194" i="27"/>
  <c r="AP194" i="27"/>
  <c r="AO194" i="27"/>
  <c r="AL194" i="27"/>
  <c r="AK194" i="27"/>
  <c r="AH194" i="27"/>
  <c r="AG194" i="27"/>
  <c r="AD194" i="27"/>
  <c r="AC194" i="27"/>
  <c r="Z194" i="27"/>
  <c r="Y194" i="27"/>
  <c r="V194" i="27"/>
  <c r="U194" i="27"/>
  <c r="R194" i="27"/>
  <c r="Q194" i="27"/>
  <c r="N194" i="27"/>
  <c r="M194" i="27"/>
  <c r="J194" i="27"/>
  <c r="I194" i="27"/>
  <c r="F194" i="27"/>
  <c r="E194" i="27"/>
  <c r="AZ193" i="27"/>
  <c r="BA193" i="27" s="1"/>
  <c r="AY193" i="27"/>
  <c r="AX193" i="27"/>
  <c r="AW193" i="27"/>
  <c r="AT193" i="27"/>
  <c r="AS193" i="27"/>
  <c r="AP193" i="27"/>
  <c r="AO193" i="27"/>
  <c r="AL193" i="27"/>
  <c r="AK193" i="27"/>
  <c r="AH193" i="27"/>
  <c r="AG193" i="27"/>
  <c r="AD193" i="27"/>
  <c r="AC193" i="27"/>
  <c r="Z193" i="27"/>
  <c r="Y193" i="27"/>
  <c r="V193" i="27"/>
  <c r="U193" i="27"/>
  <c r="R193" i="27"/>
  <c r="Q193" i="27"/>
  <c r="N193" i="27"/>
  <c r="M193" i="27"/>
  <c r="I193" i="27"/>
  <c r="E193" i="27"/>
  <c r="AZ192" i="27"/>
  <c r="BA192" i="27" s="1"/>
  <c r="AY192" i="27"/>
  <c r="AW192" i="27"/>
  <c r="AS192" i="27"/>
  <c r="AO192" i="27"/>
  <c r="AK192" i="27"/>
  <c r="AG192" i="27"/>
  <c r="AC192" i="27"/>
  <c r="Z192" i="27"/>
  <c r="Y192" i="27"/>
  <c r="V192" i="27"/>
  <c r="U192" i="27"/>
  <c r="R192" i="27"/>
  <c r="Q192" i="27"/>
  <c r="N192" i="27"/>
  <c r="M192" i="27"/>
  <c r="J192" i="27"/>
  <c r="I192" i="27"/>
  <c r="F192" i="27"/>
  <c r="E192" i="27"/>
  <c r="AZ191" i="27"/>
  <c r="BA191" i="27" s="1"/>
  <c r="AY191" i="27"/>
  <c r="AW191" i="27"/>
  <c r="AS191" i="27"/>
  <c r="AO191" i="27"/>
  <c r="AK191" i="27"/>
  <c r="AG191" i="27"/>
  <c r="AC191" i="27"/>
  <c r="Y191" i="27"/>
  <c r="U191" i="27"/>
  <c r="Q191" i="27"/>
  <c r="M191" i="27"/>
  <c r="I191" i="27"/>
  <c r="E191" i="27"/>
  <c r="AZ190" i="27"/>
  <c r="BA190" i="27" s="1"/>
  <c r="AY190" i="27"/>
  <c r="AX190" i="27"/>
  <c r="AW190" i="27"/>
  <c r="AT190" i="27"/>
  <c r="AS190" i="27"/>
  <c r="AP190" i="27"/>
  <c r="AO190" i="27"/>
  <c r="AL190" i="27"/>
  <c r="AK190" i="27"/>
  <c r="AH190" i="27"/>
  <c r="AG190" i="27"/>
  <c r="AD190" i="27"/>
  <c r="AC190" i="27"/>
  <c r="Z190" i="27"/>
  <c r="Y190" i="27"/>
  <c r="V190" i="27"/>
  <c r="U190" i="27"/>
  <c r="R190" i="27"/>
  <c r="Q190" i="27"/>
  <c r="N190" i="27"/>
  <c r="M190" i="27"/>
  <c r="J190" i="27"/>
  <c r="I190" i="27"/>
  <c r="F190" i="27"/>
  <c r="E190" i="27"/>
  <c r="AZ189" i="27"/>
  <c r="BA189" i="27" s="1"/>
  <c r="AY189" i="27"/>
  <c r="AX189" i="27"/>
  <c r="AW189" i="27"/>
  <c r="AT189" i="27"/>
  <c r="AS189" i="27"/>
  <c r="AP189" i="27"/>
  <c r="AO189" i="27"/>
  <c r="AL189" i="27"/>
  <c r="AK189" i="27"/>
  <c r="AH189" i="27"/>
  <c r="AG189" i="27"/>
  <c r="AD189" i="27"/>
  <c r="AC189" i="27"/>
  <c r="Z189" i="27"/>
  <c r="Y189" i="27"/>
  <c r="V189" i="27"/>
  <c r="U189" i="27"/>
  <c r="R189" i="27"/>
  <c r="Q189" i="27"/>
  <c r="N189" i="27"/>
  <c r="M189" i="27"/>
  <c r="J189" i="27"/>
  <c r="I189" i="27"/>
  <c r="F189" i="27"/>
  <c r="E189" i="27"/>
  <c r="AZ188" i="27"/>
  <c r="BA188" i="27" s="1"/>
  <c r="AY188" i="27"/>
  <c r="AX188" i="27"/>
  <c r="AW188" i="27"/>
  <c r="AT188" i="27"/>
  <c r="AS188" i="27"/>
  <c r="AP188" i="27"/>
  <c r="AO188" i="27"/>
  <c r="AL188" i="27"/>
  <c r="AK188" i="27"/>
  <c r="AH188" i="27"/>
  <c r="AG188" i="27"/>
  <c r="AD188" i="27"/>
  <c r="AC188" i="27"/>
  <c r="Z188" i="27"/>
  <c r="Y188" i="27"/>
  <c r="V188" i="27"/>
  <c r="U188" i="27"/>
  <c r="R188" i="27"/>
  <c r="Q188" i="27"/>
  <c r="N188" i="27"/>
  <c r="M188" i="27"/>
  <c r="J188" i="27"/>
  <c r="I188" i="27"/>
  <c r="F188" i="27"/>
  <c r="E188" i="27"/>
  <c r="AY187" i="27"/>
  <c r="AX187" i="27"/>
  <c r="AW187" i="27"/>
  <c r="AT187" i="27"/>
  <c r="AS187" i="27"/>
  <c r="AP187" i="27"/>
  <c r="AO187" i="27"/>
  <c r="AL187" i="27"/>
  <c r="AK187" i="27"/>
  <c r="AH187" i="27"/>
  <c r="AG187" i="27"/>
  <c r="AD187" i="27"/>
  <c r="AC187" i="27"/>
  <c r="Z187" i="27"/>
  <c r="Y187" i="27"/>
  <c r="V187" i="27"/>
  <c r="U187" i="27"/>
  <c r="R187" i="27"/>
  <c r="Q187" i="27"/>
  <c r="N187" i="27"/>
  <c r="M187" i="27"/>
  <c r="H187" i="27"/>
  <c r="D187" i="27"/>
  <c r="AZ186" i="27"/>
  <c r="BA186" i="27" s="1"/>
  <c r="AY186" i="27"/>
  <c r="AX186" i="27"/>
  <c r="AW186" i="27"/>
  <c r="AT186" i="27"/>
  <c r="AS186" i="27"/>
  <c r="AP186" i="27"/>
  <c r="AO186" i="27"/>
  <c r="AL186" i="27"/>
  <c r="AK186" i="27"/>
  <c r="AH186" i="27"/>
  <c r="AG186" i="27"/>
  <c r="AD186" i="27"/>
  <c r="AC186" i="27"/>
  <c r="Z186" i="27"/>
  <c r="Y186" i="27"/>
  <c r="V186" i="27"/>
  <c r="U186" i="27"/>
  <c r="R186" i="27"/>
  <c r="Q186" i="27"/>
  <c r="N186" i="27"/>
  <c r="M186" i="27"/>
  <c r="J186" i="27"/>
  <c r="I186" i="27"/>
  <c r="F186" i="27"/>
  <c r="E186" i="27"/>
  <c r="AZ185" i="27"/>
  <c r="BA185" i="27" s="1"/>
  <c r="AY185" i="27"/>
  <c r="AW185" i="27"/>
  <c r="AS185" i="27"/>
  <c r="AO185" i="27"/>
  <c r="AK185" i="27"/>
  <c r="AG185" i="27"/>
  <c r="AC185" i="27"/>
  <c r="Y185" i="27"/>
  <c r="U185" i="27"/>
  <c r="Q185" i="27"/>
  <c r="M185" i="27"/>
  <c r="I185" i="27"/>
  <c r="E185" i="27"/>
  <c r="AY184" i="27"/>
  <c r="AX184" i="27"/>
  <c r="AW184" i="27"/>
  <c r="AT184" i="27"/>
  <c r="AS184" i="27"/>
  <c r="AP184" i="27"/>
  <c r="AO184" i="27"/>
  <c r="AL184" i="27"/>
  <c r="AK184" i="27"/>
  <c r="AH184" i="27"/>
  <c r="AG184" i="27"/>
  <c r="AD184" i="27"/>
  <c r="AC184" i="27"/>
  <c r="Z184" i="27"/>
  <c r="Y184" i="27"/>
  <c r="V184" i="27"/>
  <c r="U184" i="27"/>
  <c r="R184" i="27"/>
  <c r="Q184" i="27"/>
  <c r="N184" i="27"/>
  <c r="M184" i="27"/>
  <c r="H184" i="27"/>
  <c r="D184" i="27"/>
  <c r="F184" i="27" s="1"/>
  <c r="AZ183" i="27"/>
  <c r="BA183" i="27" s="1"/>
  <c r="AY183" i="27"/>
  <c r="AX183" i="27"/>
  <c r="AW183" i="27"/>
  <c r="AT183" i="27"/>
  <c r="AS183" i="27"/>
  <c r="AP183" i="27"/>
  <c r="AO183" i="27"/>
  <c r="AL183" i="27"/>
  <c r="AK183" i="27"/>
  <c r="AH183" i="27"/>
  <c r="AG183" i="27"/>
  <c r="AD183" i="27"/>
  <c r="AC183" i="27"/>
  <c r="Z183" i="27"/>
  <c r="Y183" i="27"/>
  <c r="V183" i="27"/>
  <c r="U183" i="27"/>
  <c r="R183" i="27"/>
  <c r="Q183" i="27"/>
  <c r="N183" i="27"/>
  <c r="M183" i="27"/>
  <c r="J183" i="27"/>
  <c r="I183" i="27"/>
  <c r="F183" i="27"/>
  <c r="E183" i="27"/>
  <c r="AY182" i="27"/>
  <c r="AX182" i="27"/>
  <c r="AW182" i="27"/>
  <c r="AT182" i="27"/>
  <c r="AS182" i="27"/>
  <c r="AP182" i="27"/>
  <c r="AO182" i="27"/>
  <c r="AL182" i="27"/>
  <c r="AK182" i="27"/>
  <c r="AH182" i="27"/>
  <c r="AG182" i="27"/>
  <c r="AD182" i="27"/>
  <c r="AC182" i="27"/>
  <c r="Z182" i="27"/>
  <c r="Y182" i="27"/>
  <c r="V182" i="27"/>
  <c r="U182" i="27"/>
  <c r="R182" i="27"/>
  <c r="Q182" i="27"/>
  <c r="N182" i="27"/>
  <c r="M182" i="27"/>
  <c r="H182" i="27"/>
  <c r="I182" i="27" s="1"/>
  <c r="D182" i="27"/>
  <c r="AZ181" i="27"/>
  <c r="BA181" i="27" s="1"/>
  <c r="AY181" i="27"/>
  <c r="AX181" i="27"/>
  <c r="AW181" i="27"/>
  <c r="AT181" i="27"/>
  <c r="AS181" i="27"/>
  <c r="AP181" i="27"/>
  <c r="AO181" i="27"/>
  <c r="AL181" i="27"/>
  <c r="AK181" i="27"/>
  <c r="AH181" i="27"/>
  <c r="AG181" i="27"/>
  <c r="AD181" i="27"/>
  <c r="AC181" i="27"/>
  <c r="Z181" i="27"/>
  <c r="Y181" i="27"/>
  <c r="V181" i="27"/>
  <c r="U181" i="27"/>
  <c r="R181" i="27"/>
  <c r="Q181" i="27"/>
  <c r="N181" i="27"/>
  <c r="M181" i="27"/>
  <c r="J181" i="27"/>
  <c r="I181" i="27"/>
  <c r="F181" i="27"/>
  <c r="E181" i="27"/>
  <c r="AZ180" i="27"/>
  <c r="BA180" i="27" s="1"/>
  <c r="AY180" i="27"/>
  <c r="AX180" i="27"/>
  <c r="AW180" i="27"/>
  <c r="AT180" i="27"/>
  <c r="AS180" i="27"/>
  <c r="AP180" i="27"/>
  <c r="AO180" i="27"/>
  <c r="AL180" i="27"/>
  <c r="AK180" i="27"/>
  <c r="AH180" i="27"/>
  <c r="AG180" i="27"/>
  <c r="AD180" i="27"/>
  <c r="AC180" i="27"/>
  <c r="Z180" i="27"/>
  <c r="Y180" i="27"/>
  <c r="V180" i="27"/>
  <c r="U180" i="27"/>
  <c r="R180" i="27"/>
  <c r="Q180" i="27"/>
  <c r="N180" i="27"/>
  <c r="M180" i="27"/>
  <c r="J180" i="27"/>
  <c r="I180" i="27"/>
  <c r="F180" i="27"/>
  <c r="E180" i="27"/>
  <c r="AY179" i="27"/>
  <c r="AX179" i="27"/>
  <c r="AW179" i="27"/>
  <c r="AT179" i="27"/>
  <c r="AS179" i="27"/>
  <c r="AP179" i="27"/>
  <c r="AO179" i="27"/>
  <c r="AL179" i="27"/>
  <c r="AK179" i="27"/>
  <c r="AH179" i="27"/>
  <c r="AG179" i="27"/>
  <c r="AD179" i="27"/>
  <c r="AC179" i="27"/>
  <c r="Z179" i="27"/>
  <c r="Y179" i="27"/>
  <c r="T179" i="27"/>
  <c r="V179" i="27" s="1"/>
  <c r="P179" i="27"/>
  <c r="R179" i="27" s="1"/>
  <c r="N179" i="27"/>
  <c r="M179" i="27"/>
  <c r="H179" i="27"/>
  <c r="D179" i="27"/>
  <c r="F179" i="27" s="1"/>
  <c r="AY178" i="27"/>
  <c r="AX178" i="27"/>
  <c r="AW178" i="27"/>
  <c r="AT178" i="27"/>
  <c r="AS178" i="27"/>
  <c r="AP178" i="27"/>
  <c r="AO178" i="27"/>
  <c r="AL178" i="27"/>
  <c r="AK178" i="27"/>
  <c r="AH178" i="27"/>
  <c r="AG178" i="27"/>
  <c r="AD178" i="27"/>
  <c r="AC178" i="27"/>
  <c r="Z178" i="27"/>
  <c r="Y178" i="27"/>
  <c r="V178" i="27"/>
  <c r="U178" i="27"/>
  <c r="R178" i="27"/>
  <c r="Q178" i="27"/>
  <c r="N178" i="27"/>
  <c r="M178" i="27"/>
  <c r="H178" i="27"/>
  <c r="D178" i="27"/>
  <c r="F178" i="27" s="1"/>
  <c r="AY177" i="27"/>
  <c r="AW177" i="27"/>
  <c r="AS177" i="27"/>
  <c r="AO177" i="27"/>
  <c r="AK177" i="27"/>
  <c r="AG177" i="27"/>
  <c r="AC177" i="27"/>
  <c r="Y177" i="27"/>
  <c r="U177" i="27"/>
  <c r="Q177" i="27"/>
  <c r="N177" i="27"/>
  <c r="M177" i="27"/>
  <c r="J177" i="27"/>
  <c r="I177" i="27"/>
  <c r="D177" i="27"/>
  <c r="F177" i="27" s="1"/>
  <c r="AZ176" i="27"/>
  <c r="BA176" i="27" s="1"/>
  <c r="AY176" i="27"/>
  <c r="AX176" i="27"/>
  <c r="AW176" i="27"/>
  <c r="AT176" i="27"/>
  <c r="AS176" i="27"/>
  <c r="AP176" i="27"/>
  <c r="AO176" i="27"/>
  <c r="AL176" i="27"/>
  <c r="AK176" i="27"/>
  <c r="AH176" i="27"/>
  <c r="AG176" i="27"/>
  <c r="AD176" i="27"/>
  <c r="AC176" i="27"/>
  <c r="Z176" i="27"/>
  <c r="Y176" i="27"/>
  <c r="V176" i="27"/>
  <c r="U176" i="27"/>
  <c r="R176" i="27"/>
  <c r="Q176" i="27"/>
  <c r="N176" i="27"/>
  <c r="M176" i="27"/>
  <c r="J176" i="27"/>
  <c r="I176" i="27"/>
  <c r="F176" i="27"/>
  <c r="E176" i="27"/>
  <c r="AZ175" i="27"/>
  <c r="BA175" i="27" s="1"/>
  <c r="AY175" i="27"/>
  <c r="AX175" i="27"/>
  <c r="AW175" i="27"/>
  <c r="AT175" i="27"/>
  <c r="AS175" i="27"/>
  <c r="AP175" i="27"/>
  <c r="AO175" i="27"/>
  <c r="AL175" i="27"/>
  <c r="AK175" i="27"/>
  <c r="AH175" i="27"/>
  <c r="AG175" i="27"/>
  <c r="AD175" i="27"/>
  <c r="AC175" i="27"/>
  <c r="Z175" i="27"/>
  <c r="Y175" i="27"/>
  <c r="V175" i="27"/>
  <c r="U175" i="27"/>
  <c r="R175" i="27"/>
  <c r="Q175" i="27"/>
  <c r="N175" i="27"/>
  <c r="M175" i="27"/>
  <c r="J175" i="27"/>
  <c r="I175" i="27"/>
  <c r="F175" i="27"/>
  <c r="E175" i="27"/>
  <c r="AY174" i="27"/>
  <c r="AX174" i="27"/>
  <c r="AW174" i="27"/>
  <c r="AT174" i="27"/>
  <c r="AS174" i="27"/>
  <c r="AP174" i="27"/>
  <c r="AO174" i="27"/>
  <c r="AL174" i="27"/>
  <c r="AK174" i="27"/>
  <c r="AH174" i="27"/>
  <c r="AG174" i="27"/>
  <c r="AD174" i="27"/>
  <c r="AC174" i="27"/>
  <c r="Z174" i="27"/>
  <c r="Y174" i="27"/>
  <c r="V174" i="27"/>
  <c r="U174" i="27"/>
  <c r="R174" i="27"/>
  <c r="Q174" i="27"/>
  <c r="N174" i="27"/>
  <c r="M174" i="27"/>
  <c r="H174" i="27"/>
  <c r="I174" i="27" s="1"/>
  <c r="D174" i="27"/>
  <c r="AV173" i="27"/>
  <c r="AU173" i="27"/>
  <c r="AR173" i="27"/>
  <c r="AQ173" i="27"/>
  <c r="AN173" i="27"/>
  <c r="AM173" i="27"/>
  <c r="AJ173" i="27"/>
  <c r="AI173" i="27"/>
  <c r="AF173" i="27"/>
  <c r="AE173" i="27"/>
  <c r="AB173" i="27"/>
  <c r="AA173" i="27"/>
  <c r="X173" i="27"/>
  <c r="W173" i="27"/>
  <c r="O173" i="27"/>
  <c r="L173" i="27"/>
  <c r="K173" i="27"/>
  <c r="G173" i="27"/>
  <c r="C173" i="27"/>
  <c r="AZ171" i="27"/>
  <c r="BA171" i="27" s="1"/>
  <c r="AY171" i="27"/>
  <c r="AX171" i="27"/>
  <c r="AW171" i="27"/>
  <c r="AT171" i="27"/>
  <c r="AS171" i="27"/>
  <c r="AP171" i="27"/>
  <c r="AO171" i="27"/>
  <c r="AL171" i="27"/>
  <c r="AK171" i="27"/>
  <c r="AH171" i="27"/>
  <c r="AG171" i="27"/>
  <c r="AD171" i="27"/>
  <c r="AC171" i="27"/>
  <c r="Z171" i="27"/>
  <c r="Y171" i="27"/>
  <c r="V171" i="27"/>
  <c r="U171" i="27"/>
  <c r="R171" i="27"/>
  <c r="Q171" i="27"/>
  <c r="N171" i="27"/>
  <c r="M171" i="27"/>
  <c r="J171" i="27"/>
  <c r="I171" i="27"/>
  <c r="F171" i="27"/>
  <c r="E171" i="27"/>
  <c r="AZ170" i="27"/>
  <c r="BA170" i="27" s="1"/>
  <c r="AY170" i="27"/>
  <c r="AW170" i="27"/>
  <c r="AS170" i="27"/>
  <c r="AO170" i="27"/>
  <c r="AK170" i="27"/>
  <c r="AG170" i="27"/>
  <c r="AC170" i="27"/>
  <c r="Y170" i="27"/>
  <c r="U170" i="27"/>
  <c r="Q170" i="27"/>
  <c r="M170" i="27"/>
  <c r="I170" i="27"/>
  <c r="E170" i="27"/>
  <c r="AZ169" i="27"/>
  <c r="BA169" i="27" s="1"/>
  <c r="AY169" i="27"/>
  <c r="AX169" i="27"/>
  <c r="AW169" i="27"/>
  <c r="AT169" i="27"/>
  <c r="AS169" i="27"/>
  <c r="AP169" i="27"/>
  <c r="AO169" i="27"/>
  <c r="AL169" i="27"/>
  <c r="AK169" i="27"/>
  <c r="AH169" i="27"/>
  <c r="AG169" i="27"/>
  <c r="AD169" i="27"/>
  <c r="AC169" i="27"/>
  <c r="Z169" i="27"/>
  <c r="Y169" i="27"/>
  <c r="V169" i="27"/>
  <c r="U169" i="27"/>
  <c r="R169" i="27"/>
  <c r="Q169" i="27"/>
  <c r="N169" i="27"/>
  <c r="M169" i="27"/>
  <c r="J169" i="27"/>
  <c r="I169" i="27"/>
  <c r="F169" i="27"/>
  <c r="E169" i="27"/>
  <c r="AY168" i="27"/>
  <c r="AX168" i="27"/>
  <c r="AW168" i="27"/>
  <c r="AT168" i="27"/>
  <c r="AS168" i="27"/>
  <c r="AP168" i="27"/>
  <c r="AO168" i="27"/>
  <c r="AL168" i="27"/>
  <c r="AK168" i="27"/>
  <c r="AH168" i="27"/>
  <c r="AG168" i="27"/>
  <c r="AD168" i="27"/>
  <c r="AC168" i="27"/>
  <c r="Z168" i="27"/>
  <c r="Y168" i="27"/>
  <c r="V168" i="27"/>
  <c r="U168" i="27"/>
  <c r="R168" i="27"/>
  <c r="Q168" i="27"/>
  <c r="N168" i="27"/>
  <c r="M168" i="27"/>
  <c r="H168" i="27"/>
  <c r="J168" i="27" s="1"/>
  <c r="D168" i="27"/>
  <c r="AY167" i="27"/>
  <c r="AX167" i="27"/>
  <c r="AW167" i="27"/>
  <c r="AT167" i="27"/>
  <c r="AS167" i="27"/>
  <c r="AP167" i="27"/>
  <c r="AO167" i="27"/>
  <c r="AL167" i="27"/>
  <c r="AK167" i="27"/>
  <c r="AH167" i="27"/>
  <c r="AG167" i="27"/>
  <c r="AD167" i="27"/>
  <c r="AC167" i="27"/>
  <c r="Z167" i="27"/>
  <c r="Y167" i="27"/>
  <c r="V167" i="27"/>
  <c r="U167" i="27"/>
  <c r="R167" i="27"/>
  <c r="Q167" i="27"/>
  <c r="N167" i="27"/>
  <c r="M167" i="27"/>
  <c r="H167" i="27"/>
  <c r="J167" i="27" s="1"/>
  <c r="D167" i="27"/>
  <c r="E167" i="27" s="1"/>
  <c r="AZ166" i="27"/>
  <c r="BA166" i="27" s="1"/>
  <c r="AY166" i="27"/>
  <c r="AX166" i="27"/>
  <c r="AW166" i="27"/>
  <c r="AT166" i="27"/>
  <c r="AS166" i="27"/>
  <c r="AP166" i="27"/>
  <c r="AO166" i="27"/>
  <c r="AL166" i="27"/>
  <c r="AK166" i="27"/>
  <c r="AH166" i="27"/>
  <c r="AG166" i="27"/>
  <c r="AD166" i="27"/>
  <c r="AC166" i="27"/>
  <c r="Z166" i="27"/>
  <c r="Y166" i="27"/>
  <c r="V166" i="27"/>
  <c r="U166" i="27"/>
  <c r="R166" i="27"/>
  <c r="Q166" i="27"/>
  <c r="N166" i="27"/>
  <c r="M166" i="27"/>
  <c r="J166" i="27"/>
  <c r="I166" i="27"/>
  <c r="F166" i="27"/>
  <c r="E166" i="27"/>
  <c r="AZ165" i="27"/>
  <c r="BA165" i="27" s="1"/>
  <c r="AY165" i="27"/>
  <c r="AX165" i="27"/>
  <c r="AW165" i="27"/>
  <c r="AT165" i="27"/>
  <c r="AS165" i="27"/>
  <c r="AP165" i="27"/>
  <c r="AO165" i="27"/>
  <c r="AL165" i="27"/>
  <c r="AK165" i="27"/>
  <c r="AH165" i="27"/>
  <c r="AG165" i="27"/>
  <c r="AD165" i="27"/>
  <c r="AC165" i="27"/>
  <c r="Z165" i="27"/>
  <c r="Y165" i="27"/>
  <c r="V165" i="27"/>
  <c r="U165" i="27"/>
  <c r="R165" i="27"/>
  <c r="Q165" i="27"/>
  <c r="N165" i="27"/>
  <c r="M165" i="27"/>
  <c r="J165" i="27"/>
  <c r="I165" i="27"/>
  <c r="F165" i="27"/>
  <c r="E165" i="27"/>
  <c r="AZ164" i="27"/>
  <c r="BA164" i="27" s="1"/>
  <c r="AY164" i="27"/>
  <c r="AX164" i="27"/>
  <c r="AW164" i="27"/>
  <c r="AT164" i="27"/>
  <c r="AS164" i="27"/>
  <c r="AP164" i="27"/>
  <c r="AO164" i="27"/>
  <c r="AL164" i="27"/>
  <c r="AK164" i="27"/>
  <c r="AH164" i="27"/>
  <c r="AG164" i="27"/>
  <c r="AD164" i="27"/>
  <c r="AC164" i="27"/>
  <c r="Z164" i="27"/>
  <c r="Y164" i="27"/>
  <c r="V164" i="27"/>
  <c r="U164" i="27"/>
  <c r="R164" i="27"/>
  <c r="Q164" i="27"/>
  <c r="N164" i="27"/>
  <c r="M164" i="27"/>
  <c r="J164" i="27"/>
  <c r="I164" i="27"/>
  <c r="F164" i="27"/>
  <c r="E164" i="27"/>
  <c r="AZ163" i="27"/>
  <c r="BA163" i="27" s="1"/>
  <c r="AY163" i="27"/>
  <c r="AX163" i="27"/>
  <c r="AW163" i="27"/>
  <c r="AT163" i="27"/>
  <c r="AS163" i="27"/>
  <c r="AP163" i="27"/>
  <c r="AO163" i="27"/>
  <c r="AL163" i="27"/>
  <c r="AK163" i="27"/>
  <c r="AH163" i="27"/>
  <c r="AG163" i="27"/>
  <c r="AD163" i="27"/>
  <c r="AC163" i="27"/>
  <c r="Z163" i="27"/>
  <c r="Y163" i="27"/>
  <c r="V163" i="27"/>
  <c r="U163" i="27"/>
  <c r="R163" i="27"/>
  <c r="Q163" i="27"/>
  <c r="N163" i="27"/>
  <c r="M163" i="27"/>
  <c r="J163" i="27"/>
  <c r="I163" i="27"/>
  <c r="F163" i="27"/>
  <c r="E163" i="27"/>
  <c r="AZ162" i="27"/>
  <c r="BA162" i="27" s="1"/>
  <c r="AY162" i="27"/>
  <c r="AX162" i="27"/>
  <c r="AW162" i="27"/>
  <c r="AT162" i="27"/>
  <c r="AS162" i="27"/>
  <c r="AP162" i="27"/>
  <c r="AO162" i="27"/>
  <c r="AL162" i="27"/>
  <c r="AK162" i="27"/>
  <c r="AH162" i="27"/>
  <c r="AG162" i="27"/>
  <c r="AD162" i="27"/>
  <c r="AC162" i="27"/>
  <c r="Z162" i="27"/>
  <c r="Y162" i="27"/>
  <c r="V162" i="27"/>
  <c r="U162" i="27"/>
  <c r="R162" i="27"/>
  <c r="Q162" i="27"/>
  <c r="N162" i="27"/>
  <c r="M162" i="27"/>
  <c r="J162" i="27"/>
  <c r="I162" i="27"/>
  <c r="F162" i="27"/>
  <c r="E162" i="27"/>
  <c r="AZ161" i="27"/>
  <c r="BA161" i="27" s="1"/>
  <c r="AY161" i="27"/>
  <c r="AX161" i="27"/>
  <c r="AW161" i="27"/>
  <c r="AT161" i="27"/>
  <c r="AS161" i="27"/>
  <c r="AP161" i="27"/>
  <c r="AO161" i="27"/>
  <c r="AL161" i="27"/>
  <c r="AK161" i="27"/>
  <c r="AH161" i="27"/>
  <c r="AG161" i="27"/>
  <c r="AD161" i="27"/>
  <c r="AC161" i="27"/>
  <c r="Z161" i="27"/>
  <c r="Y161" i="27"/>
  <c r="V161" i="27"/>
  <c r="U161" i="27"/>
  <c r="R161" i="27"/>
  <c r="Q161" i="27"/>
  <c r="N161" i="27"/>
  <c r="M161" i="27"/>
  <c r="J161" i="27"/>
  <c r="I161" i="27"/>
  <c r="F161" i="27"/>
  <c r="E161" i="27"/>
  <c r="AY160" i="27"/>
  <c r="AX160" i="27"/>
  <c r="AW160" i="27"/>
  <c r="AT160" i="27"/>
  <c r="AS160" i="27"/>
  <c r="AP160" i="27"/>
  <c r="AO160" i="27"/>
  <c r="AL160" i="27"/>
  <c r="AK160" i="27"/>
  <c r="AH160" i="27"/>
  <c r="AG160" i="27"/>
  <c r="AD160" i="27"/>
  <c r="AC160" i="27"/>
  <c r="Z160" i="27"/>
  <c r="Y160" i="27"/>
  <c r="V160" i="27"/>
  <c r="U160" i="27"/>
  <c r="R160" i="27"/>
  <c r="Q160" i="27"/>
  <c r="N160" i="27"/>
  <c r="M160" i="27"/>
  <c r="H160" i="27"/>
  <c r="J160" i="27" s="1"/>
  <c r="D160" i="27"/>
  <c r="E160" i="27" s="1"/>
  <c r="AZ159" i="27"/>
  <c r="BA159" i="27" s="1"/>
  <c r="AY159" i="27"/>
  <c r="AX159" i="27"/>
  <c r="AW159" i="27"/>
  <c r="AT159" i="27"/>
  <c r="AS159" i="27"/>
  <c r="AP159" i="27"/>
  <c r="AO159" i="27"/>
  <c r="AL159" i="27"/>
  <c r="AK159" i="27"/>
  <c r="AH159" i="27"/>
  <c r="AG159" i="27"/>
  <c r="AD159" i="27"/>
  <c r="AC159" i="27"/>
  <c r="Z159" i="27"/>
  <c r="Y159" i="27"/>
  <c r="V159" i="27"/>
  <c r="U159" i="27"/>
  <c r="R159" i="27"/>
  <c r="Q159" i="27"/>
  <c r="N159" i="27"/>
  <c r="M159" i="27"/>
  <c r="J159" i="27"/>
  <c r="I159" i="27"/>
  <c r="F159" i="27"/>
  <c r="E159" i="27"/>
  <c r="AZ158" i="27"/>
  <c r="BA158" i="27" s="1"/>
  <c r="AY158" i="27"/>
  <c r="AX158" i="27"/>
  <c r="AW158" i="27"/>
  <c r="AT158" i="27"/>
  <c r="AS158" i="27"/>
  <c r="AP158" i="27"/>
  <c r="AO158" i="27"/>
  <c r="AL158" i="27"/>
  <c r="AK158" i="27"/>
  <c r="AH158" i="27"/>
  <c r="AG158" i="27"/>
  <c r="AD158" i="27"/>
  <c r="AC158" i="27"/>
  <c r="Z158" i="27"/>
  <c r="Y158" i="27"/>
  <c r="V158" i="27"/>
  <c r="U158" i="27"/>
  <c r="R158" i="27"/>
  <c r="Q158" i="27"/>
  <c r="N158" i="27"/>
  <c r="M158" i="27"/>
  <c r="J158" i="27"/>
  <c r="I158" i="27"/>
  <c r="F158" i="27"/>
  <c r="E158" i="27"/>
  <c r="AZ157" i="27"/>
  <c r="BA157" i="27" s="1"/>
  <c r="AY157" i="27"/>
  <c r="AX157" i="27"/>
  <c r="AW157" i="27"/>
  <c r="AT157" i="27"/>
  <c r="AS157" i="27"/>
  <c r="AP157" i="27"/>
  <c r="AO157" i="27"/>
  <c r="AL157" i="27"/>
  <c r="AK157" i="27"/>
  <c r="AH157" i="27"/>
  <c r="AG157" i="27"/>
  <c r="AD157" i="27"/>
  <c r="AC157" i="27"/>
  <c r="Z157" i="27"/>
  <c r="Y157" i="27"/>
  <c r="V157" i="27"/>
  <c r="U157" i="27"/>
  <c r="R157" i="27"/>
  <c r="Q157" i="27"/>
  <c r="N157" i="27"/>
  <c r="M157" i="27"/>
  <c r="J157" i="27"/>
  <c r="I157" i="27"/>
  <c r="F157" i="27"/>
  <c r="E157" i="27"/>
  <c r="AZ156" i="27"/>
  <c r="BA156" i="27" s="1"/>
  <c r="AY156" i="27"/>
  <c r="AX156" i="27"/>
  <c r="AW156" i="27"/>
  <c r="AT156" i="27"/>
  <c r="AS156" i="27"/>
  <c r="AP156" i="27"/>
  <c r="AO156" i="27"/>
  <c r="AL156" i="27"/>
  <c r="AK156" i="27"/>
  <c r="AH156" i="27"/>
  <c r="AG156" i="27"/>
  <c r="AD156" i="27"/>
  <c r="AC156" i="27"/>
  <c r="Z156" i="27"/>
  <c r="Y156" i="27"/>
  <c r="V156" i="27"/>
  <c r="U156" i="27"/>
  <c r="R156" i="27"/>
  <c r="Q156" i="27"/>
  <c r="N156" i="27"/>
  <c r="M156" i="27"/>
  <c r="J156" i="27"/>
  <c r="I156" i="27"/>
  <c r="F156" i="27"/>
  <c r="E156" i="27"/>
  <c r="AZ155" i="27"/>
  <c r="BA155" i="27" s="1"/>
  <c r="AY155" i="27"/>
  <c r="AX155" i="27"/>
  <c r="AW155" i="27"/>
  <c r="AT155" i="27"/>
  <c r="AS155" i="27"/>
  <c r="AP155" i="27"/>
  <c r="AO155" i="27"/>
  <c r="AL155" i="27"/>
  <c r="AK155" i="27"/>
  <c r="AH155" i="27"/>
  <c r="AG155" i="27"/>
  <c r="AD155" i="27"/>
  <c r="AC155" i="27"/>
  <c r="Z155" i="27"/>
  <c r="Y155" i="27"/>
  <c r="V155" i="27"/>
  <c r="U155" i="27"/>
  <c r="R155" i="27"/>
  <c r="Q155" i="27"/>
  <c r="N155" i="27"/>
  <c r="M155" i="27"/>
  <c r="J155" i="27"/>
  <c r="I155" i="27"/>
  <c r="F155" i="27"/>
  <c r="E155" i="27"/>
  <c r="AV154" i="27"/>
  <c r="AU154" i="27"/>
  <c r="AR154" i="27"/>
  <c r="AQ154" i="27"/>
  <c r="AN154" i="27"/>
  <c r="AM154" i="27"/>
  <c r="AJ154" i="27"/>
  <c r="AI154" i="27"/>
  <c r="AF154" i="27"/>
  <c r="AE154" i="27"/>
  <c r="AB154" i="27"/>
  <c r="AA154" i="27"/>
  <c r="X154" i="27"/>
  <c r="W154" i="27"/>
  <c r="T154" i="27"/>
  <c r="S154" i="27"/>
  <c r="P154" i="27"/>
  <c r="O154" i="27"/>
  <c r="L154" i="27"/>
  <c r="K154" i="27"/>
  <c r="G154" i="27"/>
  <c r="C154" i="27"/>
  <c r="AZ151" i="27"/>
  <c r="BA151" i="27" s="1"/>
  <c r="AY151" i="27"/>
  <c r="AX151" i="27"/>
  <c r="AW151" i="27"/>
  <c r="AT151" i="27"/>
  <c r="AS151" i="27"/>
  <c r="AP151" i="27"/>
  <c r="AO151" i="27"/>
  <c r="AL151" i="27"/>
  <c r="AK151" i="27"/>
  <c r="AH151" i="27"/>
  <c r="AG151" i="27"/>
  <c r="AD151" i="27"/>
  <c r="AC151" i="27"/>
  <c r="Z151" i="27"/>
  <c r="Y151" i="27"/>
  <c r="V151" i="27"/>
  <c r="U151" i="27"/>
  <c r="R151" i="27"/>
  <c r="Q151" i="27"/>
  <c r="N151" i="27"/>
  <c r="M151" i="27"/>
  <c r="J151" i="27"/>
  <c r="I151" i="27"/>
  <c r="F151" i="27"/>
  <c r="E151" i="27"/>
  <c r="AZ150" i="27"/>
  <c r="BA150" i="27" s="1"/>
  <c r="AY150" i="27"/>
  <c r="AX150" i="27"/>
  <c r="AW150" i="27"/>
  <c r="AT150" i="27"/>
  <c r="AS150" i="27"/>
  <c r="AP150" i="27"/>
  <c r="AO150" i="27"/>
  <c r="AL150" i="27"/>
  <c r="AK150" i="27"/>
  <c r="AH150" i="27"/>
  <c r="AG150" i="27"/>
  <c r="AD150" i="27"/>
  <c r="AC150" i="27"/>
  <c r="Z150" i="27"/>
  <c r="Y150" i="27"/>
  <c r="V150" i="27"/>
  <c r="U150" i="27"/>
  <c r="R150" i="27"/>
  <c r="Q150" i="27"/>
  <c r="N150" i="27"/>
  <c r="M150" i="27"/>
  <c r="J150" i="27"/>
  <c r="I150" i="27"/>
  <c r="F150" i="27"/>
  <c r="E150" i="27"/>
  <c r="AZ149" i="27"/>
  <c r="BA149" i="27" s="1"/>
  <c r="AY149" i="27"/>
  <c r="AX149" i="27"/>
  <c r="AW149" i="27"/>
  <c r="AT149" i="27"/>
  <c r="AS149" i="27"/>
  <c r="AP149" i="27"/>
  <c r="AO149" i="27"/>
  <c r="AL149" i="27"/>
  <c r="AK149" i="27"/>
  <c r="AH149" i="27"/>
  <c r="AG149" i="27"/>
  <c r="AD149" i="27"/>
  <c r="AC149" i="27"/>
  <c r="Z149" i="27"/>
  <c r="Y149" i="27"/>
  <c r="V149" i="27"/>
  <c r="U149" i="27"/>
  <c r="R149" i="27"/>
  <c r="Q149" i="27"/>
  <c r="N149" i="27"/>
  <c r="M149" i="27"/>
  <c r="J149" i="27"/>
  <c r="I149" i="27"/>
  <c r="F149" i="27"/>
  <c r="E149" i="27"/>
  <c r="AZ148" i="27"/>
  <c r="BA148" i="27" s="1"/>
  <c r="AY148" i="27"/>
  <c r="AX148" i="27"/>
  <c r="AW148" i="27"/>
  <c r="AT148" i="27"/>
  <c r="AS148" i="27"/>
  <c r="AP148" i="27"/>
  <c r="AO148" i="27"/>
  <c r="AL148" i="27"/>
  <c r="AK148" i="27"/>
  <c r="AH148" i="27"/>
  <c r="AG148" i="27"/>
  <c r="AD148" i="27"/>
  <c r="AC148" i="27"/>
  <c r="Z148" i="27"/>
  <c r="Y148" i="27"/>
  <c r="V148" i="27"/>
  <c r="U148" i="27"/>
  <c r="R148" i="27"/>
  <c r="Q148" i="27"/>
  <c r="N148" i="27"/>
  <c r="M148" i="27"/>
  <c r="J148" i="27"/>
  <c r="I148" i="27"/>
  <c r="F148" i="27"/>
  <c r="E148" i="27"/>
  <c r="AZ147" i="27"/>
  <c r="BA147" i="27" s="1"/>
  <c r="AY147" i="27"/>
  <c r="AW147" i="27"/>
  <c r="AS147" i="27"/>
  <c r="AO147" i="27"/>
  <c r="AK147" i="27"/>
  <c r="AG147" i="27"/>
  <c r="AC147" i="27"/>
  <c r="Y147" i="27"/>
  <c r="U147" i="27"/>
  <c r="Q147" i="27"/>
  <c r="M147" i="27"/>
  <c r="I147" i="27"/>
  <c r="E147" i="27"/>
  <c r="AY146" i="27"/>
  <c r="AX146" i="27"/>
  <c r="AW146" i="27"/>
  <c r="AT146" i="27"/>
  <c r="AS146" i="27"/>
  <c r="AP146" i="27"/>
  <c r="AO146" i="27"/>
  <c r="AL146" i="27"/>
  <c r="AK146" i="27"/>
  <c r="AH146" i="27"/>
  <c r="AG146" i="27"/>
  <c r="AD146" i="27"/>
  <c r="AC146" i="27"/>
  <c r="Z146" i="27"/>
  <c r="Y146" i="27"/>
  <c r="V146" i="27"/>
  <c r="U146" i="27"/>
  <c r="R146" i="27"/>
  <c r="Q146" i="27"/>
  <c r="N146" i="27"/>
  <c r="M146" i="27"/>
  <c r="H146" i="27"/>
  <c r="D146" i="27"/>
  <c r="F146" i="27" s="1"/>
  <c r="AZ145" i="27"/>
  <c r="BA145" i="27" s="1"/>
  <c r="AY145" i="27"/>
  <c r="AX145" i="27"/>
  <c r="AW145" i="27"/>
  <c r="AT145" i="27"/>
  <c r="AS145" i="27"/>
  <c r="AP145" i="27"/>
  <c r="AO145" i="27"/>
  <c r="AL145" i="27"/>
  <c r="AK145" i="27"/>
  <c r="AH145" i="27"/>
  <c r="AG145" i="27"/>
  <c r="AD145" i="27"/>
  <c r="AC145" i="27"/>
  <c r="Z145" i="27"/>
  <c r="Y145" i="27"/>
  <c r="V145" i="27"/>
  <c r="U145" i="27"/>
  <c r="R145" i="27"/>
  <c r="Q145" i="27"/>
  <c r="N145" i="27"/>
  <c r="M145" i="27"/>
  <c r="J145" i="27"/>
  <c r="I145" i="27"/>
  <c r="F145" i="27"/>
  <c r="E145" i="27"/>
  <c r="AZ144" i="27"/>
  <c r="BA144" i="27" s="1"/>
  <c r="AY144" i="27"/>
  <c r="AX144" i="27"/>
  <c r="AW144" i="27"/>
  <c r="AT144" i="27"/>
  <c r="AS144" i="27"/>
  <c r="AP144" i="27"/>
  <c r="AO144" i="27"/>
  <c r="AL144" i="27"/>
  <c r="AK144" i="27"/>
  <c r="AH144" i="27"/>
  <c r="AG144" i="27"/>
  <c r="AD144" i="27"/>
  <c r="AC144" i="27"/>
  <c r="Z144" i="27"/>
  <c r="Y144" i="27"/>
  <c r="V144" i="27"/>
  <c r="U144" i="27"/>
  <c r="R144" i="27"/>
  <c r="Q144" i="27"/>
  <c r="N144" i="27"/>
  <c r="M144" i="27"/>
  <c r="J144" i="27"/>
  <c r="I144" i="27"/>
  <c r="F144" i="27"/>
  <c r="E144" i="27"/>
  <c r="AZ143" i="27"/>
  <c r="BA143" i="27" s="1"/>
  <c r="AY143" i="27"/>
  <c r="AX143" i="27"/>
  <c r="AW143" i="27"/>
  <c r="AT143" i="27"/>
  <c r="AS143" i="27"/>
  <c r="AP143" i="27"/>
  <c r="AO143" i="27"/>
  <c r="AL143" i="27"/>
  <c r="AK143" i="27"/>
  <c r="AH143" i="27"/>
  <c r="AG143" i="27"/>
  <c r="AD143" i="27"/>
  <c r="AC143" i="27"/>
  <c r="Z143" i="27"/>
  <c r="Y143" i="27"/>
  <c r="V143" i="27"/>
  <c r="U143" i="27"/>
  <c r="R143" i="27"/>
  <c r="Q143" i="27"/>
  <c r="N143" i="27"/>
  <c r="M143" i="27"/>
  <c r="J143" i="27"/>
  <c r="I143" i="27"/>
  <c r="F143" i="27"/>
  <c r="E143" i="27"/>
  <c r="AZ142" i="27"/>
  <c r="BA142" i="27" s="1"/>
  <c r="AY142" i="27"/>
  <c r="AX142" i="27"/>
  <c r="AW142" i="27"/>
  <c r="AT142" i="27"/>
  <c r="AS142" i="27"/>
  <c r="AP142" i="27"/>
  <c r="AO142" i="27"/>
  <c r="AL142" i="27"/>
  <c r="AK142" i="27"/>
  <c r="AH142" i="27"/>
  <c r="AG142" i="27"/>
  <c r="AD142" i="27"/>
  <c r="AC142" i="27"/>
  <c r="Z142" i="27"/>
  <c r="Y142" i="27"/>
  <c r="V142" i="27"/>
  <c r="U142" i="27"/>
  <c r="R142" i="27"/>
  <c r="Q142" i="27"/>
  <c r="N142" i="27"/>
  <c r="M142" i="27"/>
  <c r="J142" i="27"/>
  <c r="I142" i="27"/>
  <c r="F142" i="27"/>
  <c r="E142" i="27"/>
  <c r="AZ141" i="27"/>
  <c r="BA141" i="27" s="1"/>
  <c r="AY141" i="27"/>
  <c r="AX141" i="27"/>
  <c r="AW141" i="27"/>
  <c r="AT141" i="27"/>
  <c r="AS141" i="27"/>
  <c r="AP141" i="27"/>
  <c r="AO141" i="27"/>
  <c r="AL141" i="27"/>
  <c r="AK141" i="27"/>
  <c r="AH141" i="27"/>
  <c r="AG141" i="27"/>
  <c r="AD141" i="27"/>
  <c r="AC141" i="27"/>
  <c r="Z141" i="27"/>
  <c r="Y141" i="27"/>
  <c r="V141" i="27"/>
  <c r="U141" i="27"/>
  <c r="R141" i="27"/>
  <c r="Q141" i="27"/>
  <c r="N141" i="27"/>
  <c r="M141" i="27"/>
  <c r="J141" i="27"/>
  <c r="I141" i="27"/>
  <c r="F141" i="27"/>
  <c r="E141" i="27"/>
  <c r="AZ140" i="27"/>
  <c r="BA140" i="27" s="1"/>
  <c r="AY140" i="27"/>
  <c r="AX140" i="27"/>
  <c r="AW140" i="27"/>
  <c r="AT140" i="27"/>
  <c r="AS140" i="27"/>
  <c r="AP140" i="27"/>
  <c r="AO140" i="27"/>
  <c r="AL140" i="27"/>
  <c r="AK140" i="27"/>
  <c r="AH140" i="27"/>
  <c r="AG140" i="27"/>
  <c r="AD140" i="27"/>
  <c r="AC140" i="27"/>
  <c r="Z140" i="27"/>
  <c r="Y140" i="27"/>
  <c r="V140" i="27"/>
  <c r="U140" i="27"/>
  <c r="R140" i="27"/>
  <c r="Q140" i="27"/>
  <c r="N140" i="27"/>
  <c r="M140" i="27"/>
  <c r="J140" i="27"/>
  <c r="I140" i="27"/>
  <c r="F140" i="27"/>
  <c r="E140" i="27"/>
  <c r="AZ139" i="27"/>
  <c r="BA139" i="27" s="1"/>
  <c r="AY139" i="27"/>
  <c r="AX139" i="27"/>
  <c r="AW139" i="27"/>
  <c r="AT139" i="27"/>
  <c r="AS139" i="27"/>
  <c r="AP139" i="27"/>
  <c r="AO139" i="27"/>
  <c r="AL139" i="27"/>
  <c r="AK139" i="27"/>
  <c r="AH139" i="27"/>
  <c r="AG139" i="27"/>
  <c r="AD139" i="27"/>
  <c r="AC139" i="27"/>
  <c r="Z139" i="27"/>
  <c r="Y139" i="27"/>
  <c r="V139" i="27"/>
  <c r="U139" i="27"/>
  <c r="R139" i="27"/>
  <c r="Q139" i="27"/>
  <c r="N139" i="27"/>
  <c r="M139" i="27"/>
  <c r="J139" i="27"/>
  <c r="I139" i="27"/>
  <c r="F139" i="27"/>
  <c r="E139" i="27"/>
  <c r="AZ138" i="27"/>
  <c r="BA138" i="27" s="1"/>
  <c r="AY138" i="27"/>
  <c r="AX138" i="27"/>
  <c r="AW138" i="27"/>
  <c r="AT138" i="27"/>
  <c r="AS138" i="27"/>
  <c r="AP138" i="27"/>
  <c r="AO138" i="27"/>
  <c r="AL138" i="27"/>
  <c r="AK138" i="27"/>
  <c r="AH138" i="27"/>
  <c r="AG138" i="27"/>
  <c r="AD138" i="27"/>
  <c r="AC138" i="27"/>
  <c r="Z138" i="27"/>
  <c r="Y138" i="27"/>
  <c r="V138" i="27"/>
  <c r="U138" i="27"/>
  <c r="R138" i="27"/>
  <c r="Q138" i="27"/>
  <c r="N138" i="27"/>
  <c r="M138" i="27"/>
  <c r="J138" i="27"/>
  <c r="I138" i="27"/>
  <c r="F138" i="27"/>
  <c r="E138" i="27"/>
  <c r="AZ137" i="27"/>
  <c r="BA137" i="27" s="1"/>
  <c r="AY137" i="27"/>
  <c r="AX137" i="27"/>
  <c r="AW137" i="27"/>
  <c r="AT137" i="27"/>
  <c r="AS137" i="27"/>
  <c r="AP137" i="27"/>
  <c r="AO137" i="27"/>
  <c r="AL137" i="27"/>
  <c r="AK137" i="27"/>
  <c r="AH137" i="27"/>
  <c r="AG137" i="27"/>
  <c r="AD137" i="27"/>
  <c r="AC137" i="27"/>
  <c r="Z137" i="27"/>
  <c r="Y137" i="27"/>
  <c r="V137" i="27"/>
  <c r="U137" i="27"/>
  <c r="R137" i="27"/>
  <c r="Q137" i="27"/>
  <c r="N137" i="27"/>
  <c r="M137" i="27"/>
  <c r="J137" i="27"/>
  <c r="I137" i="27"/>
  <c r="F137" i="27"/>
  <c r="E137" i="27"/>
  <c r="AZ136" i="27"/>
  <c r="BA136" i="27" s="1"/>
  <c r="AY136" i="27"/>
  <c r="AX136" i="27"/>
  <c r="AW136" i="27"/>
  <c r="AT136" i="27"/>
  <c r="AS136" i="27"/>
  <c r="AP136" i="27"/>
  <c r="AO136" i="27"/>
  <c r="AL136" i="27"/>
  <c r="AK136" i="27"/>
  <c r="AH136" i="27"/>
  <c r="AG136" i="27"/>
  <c r="AD136" i="27"/>
  <c r="AC136" i="27"/>
  <c r="Z136" i="27"/>
  <c r="Y136" i="27"/>
  <c r="V136" i="27"/>
  <c r="U136" i="27"/>
  <c r="R136" i="27"/>
  <c r="Q136" i="27"/>
  <c r="N136" i="27"/>
  <c r="M136" i="27"/>
  <c r="J136" i="27"/>
  <c r="I136" i="27"/>
  <c r="F136" i="27"/>
  <c r="E136" i="27"/>
  <c r="AZ135" i="27"/>
  <c r="BA135" i="27" s="1"/>
  <c r="AY135" i="27"/>
  <c r="AX135" i="27"/>
  <c r="AW135" i="27"/>
  <c r="AT135" i="27"/>
  <c r="AS135" i="27"/>
  <c r="AP135" i="27"/>
  <c r="AO135" i="27"/>
  <c r="AL135" i="27"/>
  <c r="AK135" i="27"/>
  <c r="AH135" i="27"/>
  <c r="AG135" i="27"/>
  <c r="AD135" i="27"/>
  <c r="AC135" i="27"/>
  <c r="Z135" i="27"/>
  <c r="Y135" i="27"/>
  <c r="V135" i="27"/>
  <c r="U135" i="27"/>
  <c r="R135" i="27"/>
  <c r="Q135" i="27"/>
  <c r="N135" i="27"/>
  <c r="M135" i="27"/>
  <c r="J135" i="27"/>
  <c r="I135" i="27"/>
  <c r="F135" i="27"/>
  <c r="E135" i="27"/>
  <c r="AZ134" i="27"/>
  <c r="BA134" i="27" s="1"/>
  <c r="AY134" i="27"/>
  <c r="AX134" i="27"/>
  <c r="AW134" i="27"/>
  <c r="AT134" i="27"/>
  <c r="AS134" i="27"/>
  <c r="AP134" i="27"/>
  <c r="AO134" i="27"/>
  <c r="AL134" i="27"/>
  <c r="AK134" i="27"/>
  <c r="AH134" i="27"/>
  <c r="AG134" i="27"/>
  <c r="AD134" i="27"/>
  <c r="AC134" i="27"/>
  <c r="Z134" i="27"/>
  <c r="Y134" i="27"/>
  <c r="V134" i="27"/>
  <c r="U134" i="27"/>
  <c r="R134" i="27"/>
  <c r="Q134" i="27"/>
  <c r="N134" i="27"/>
  <c r="M134" i="27"/>
  <c r="J134" i="27"/>
  <c r="I134" i="27"/>
  <c r="F134" i="27"/>
  <c r="E134" i="27"/>
  <c r="AY133" i="27"/>
  <c r="AX133" i="27"/>
  <c r="AW133" i="27"/>
  <c r="AT133" i="27"/>
  <c r="AS133" i="27"/>
  <c r="AP133" i="27"/>
  <c r="AO133" i="27"/>
  <c r="AL133" i="27"/>
  <c r="AK133" i="27"/>
  <c r="AH133" i="27"/>
  <c r="AG133" i="27"/>
  <c r="AD133" i="27"/>
  <c r="AC133" i="27"/>
  <c r="Z133" i="27"/>
  <c r="Y133" i="27"/>
  <c r="V133" i="27"/>
  <c r="U133" i="27"/>
  <c r="R133" i="27"/>
  <c r="Q133" i="27"/>
  <c r="N133" i="27"/>
  <c r="M133" i="27"/>
  <c r="H133" i="27"/>
  <c r="D133" i="27"/>
  <c r="F133" i="27" s="1"/>
  <c r="AZ132" i="27"/>
  <c r="BA132" i="27" s="1"/>
  <c r="AY132" i="27"/>
  <c r="AX132" i="27"/>
  <c r="AW132" i="27"/>
  <c r="AT132" i="27"/>
  <c r="AS132" i="27"/>
  <c r="AP132" i="27"/>
  <c r="AO132" i="27"/>
  <c r="AL132" i="27"/>
  <c r="AK132" i="27"/>
  <c r="AH132" i="27"/>
  <c r="AG132" i="27"/>
  <c r="AD132" i="27"/>
  <c r="AC132" i="27"/>
  <c r="Z132" i="27"/>
  <c r="Y132" i="27"/>
  <c r="V132" i="27"/>
  <c r="U132" i="27"/>
  <c r="R132" i="27"/>
  <c r="Q132" i="27"/>
  <c r="N132" i="27"/>
  <c r="M132" i="27"/>
  <c r="J132" i="27"/>
  <c r="I132" i="27"/>
  <c r="F132" i="27"/>
  <c r="E132" i="27"/>
  <c r="AZ131" i="27"/>
  <c r="BA131" i="27" s="1"/>
  <c r="AY131" i="27"/>
  <c r="AX131" i="27"/>
  <c r="AW131" i="27"/>
  <c r="AT131" i="27"/>
  <c r="AS131" i="27"/>
  <c r="AP131" i="27"/>
  <c r="AO131" i="27"/>
  <c r="AL131" i="27"/>
  <c r="AK131" i="27"/>
  <c r="AH131" i="27"/>
  <c r="AG131" i="27"/>
  <c r="AD131" i="27"/>
  <c r="AC131" i="27"/>
  <c r="Z131" i="27"/>
  <c r="Y131" i="27"/>
  <c r="V131" i="27"/>
  <c r="U131" i="27"/>
  <c r="R131" i="27"/>
  <c r="Q131" i="27"/>
  <c r="N131" i="27"/>
  <c r="M131" i="27"/>
  <c r="J131" i="27"/>
  <c r="I131" i="27"/>
  <c r="F131" i="27"/>
  <c r="E131" i="27"/>
  <c r="AV130" i="27"/>
  <c r="AU130" i="27"/>
  <c r="AR130" i="27"/>
  <c r="AQ130" i="27"/>
  <c r="AN130" i="27"/>
  <c r="AM130" i="27"/>
  <c r="AJ130" i="27"/>
  <c r="AI130" i="27"/>
  <c r="AF130" i="27"/>
  <c r="AE130" i="27"/>
  <c r="AB130" i="27"/>
  <c r="AA130" i="27"/>
  <c r="X130" i="27"/>
  <c r="W130" i="27"/>
  <c r="T130" i="27"/>
  <c r="S130" i="27"/>
  <c r="P130" i="27"/>
  <c r="O130" i="27"/>
  <c r="L130" i="27"/>
  <c r="K130" i="27"/>
  <c r="G130" i="27"/>
  <c r="C130" i="27"/>
  <c r="AZ127" i="27"/>
  <c r="BA127" i="27" s="1"/>
  <c r="AY127" i="27"/>
  <c r="AX127" i="27"/>
  <c r="AW127" i="27"/>
  <c r="AT127" i="27"/>
  <c r="AS127" i="27"/>
  <c r="AP127" i="27"/>
  <c r="AO127" i="27"/>
  <c r="AL127" i="27"/>
  <c r="AK127" i="27"/>
  <c r="AH127" i="27"/>
  <c r="AG127" i="27"/>
  <c r="AD127" i="27"/>
  <c r="AC127" i="27"/>
  <c r="Z127" i="27"/>
  <c r="Y127" i="27"/>
  <c r="V127" i="27"/>
  <c r="U127" i="27"/>
  <c r="R127" i="27"/>
  <c r="Q127" i="27"/>
  <c r="N127" i="27"/>
  <c r="M127" i="27"/>
  <c r="J127" i="27"/>
  <c r="I127" i="27"/>
  <c r="F127" i="27"/>
  <c r="E127" i="27"/>
  <c r="AZ126" i="27"/>
  <c r="BA126" i="27" s="1"/>
  <c r="AY126" i="27"/>
  <c r="AX126" i="27"/>
  <c r="AW126" i="27"/>
  <c r="AT126" i="27"/>
  <c r="AS126" i="27"/>
  <c r="AP126" i="27"/>
  <c r="AO126" i="27"/>
  <c r="AL126" i="27"/>
  <c r="AK126" i="27"/>
  <c r="AH126" i="27"/>
  <c r="AG126" i="27"/>
  <c r="AD126" i="27"/>
  <c r="AC126" i="27"/>
  <c r="Z126" i="27"/>
  <c r="Y126" i="27"/>
  <c r="V126" i="27"/>
  <c r="U126" i="27"/>
  <c r="R126" i="27"/>
  <c r="Q126" i="27"/>
  <c r="N126" i="27"/>
  <c r="M126" i="27"/>
  <c r="J126" i="27"/>
  <c r="I126" i="27"/>
  <c r="F126" i="27"/>
  <c r="E126" i="27"/>
  <c r="AZ125" i="27"/>
  <c r="BA125" i="27" s="1"/>
  <c r="AY125" i="27"/>
  <c r="AX125" i="27"/>
  <c r="AW125" i="27"/>
  <c r="AT125" i="27"/>
  <c r="AS125" i="27"/>
  <c r="AP125" i="27"/>
  <c r="AO125" i="27"/>
  <c r="AL125" i="27"/>
  <c r="AK125" i="27"/>
  <c r="AH125" i="27"/>
  <c r="AG125" i="27"/>
  <c r="AD125" i="27"/>
  <c r="AC125" i="27"/>
  <c r="Z125" i="27"/>
  <c r="Y125" i="27"/>
  <c r="V125" i="27"/>
  <c r="U125" i="27"/>
  <c r="R125" i="27"/>
  <c r="Q125" i="27"/>
  <c r="N125" i="27"/>
  <c r="M125" i="27"/>
  <c r="J125" i="27"/>
  <c r="I125" i="27"/>
  <c r="F125" i="27"/>
  <c r="E125" i="27"/>
  <c r="AZ124" i="27"/>
  <c r="BA124" i="27" s="1"/>
  <c r="AY124" i="27"/>
  <c r="AX124" i="27"/>
  <c r="AW124" i="27"/>
  <c r="AT124" i="27"/>
  <c r="AS124" i="27"/>
  <c r="AP124" i="27"/>
  <c r="AO124" i="27"/>
  <c r="AL124" i="27"/>
  <c r="AK124" i="27"/>
  <c r="AH124" i="27"/>
  <c r="AG124" i="27"/>
  <c r="AD124" i="27"/>
  <c r="AC124" i="27"/>
  <c r="Z124" i="27"/>
  <c r="Y124" i="27"/>
  <c r="V124" i="27"/>
  <c r="U124" i="27"/>
  <c r="R124" i="27"/>
  <c r="Q124" i="27"/>
  <c r="N124" i="27"/>
  <c r="M124" i="27"/>
  <c r="J124" i="27"/>
  <c r="I124" i="27"/>
  <c r="F124" i="27"/>
  <c r="E124" i="27"/>
  <c r="AZ123" i="27"/>
  <c r="BA123" i="27" s="1"/>
  <c r="AY123" i="27"/>
  <c r="AX123" i="27"/>
  <c r="AW123" i="27"/>
  <c r="AT123" i="27"/>
  <c r="AS123" i="27"/>
  <c r="AP123" i="27"/>
  <c r="AO123" i="27"/>
  <c r="AL123" i="27"/>
  <c r="AK123" i="27"/>
  <c r="AH123" i="27"/>
  <c r="AG123" i="27"/>
  <c r="AD123" i="27"/>
  <c r="AC123" i="27"/>
  <c r="Z123" i="27"/>
  <c r="Y123" i="27"/>
  <c r="V123" i="27"/>
  <c r="U123" i="27"/>
  <c r="R123" i="27"/>
  <c r="Q123" i="27"/>
  <c r="N123" i="27"/>
  <c r="M123" i="27"/>
  <c r="J123" i="27"/>
  <c r="I123" i="27"/>
  <c r="F123" i="27"/>
  <c r="E123" i="27"/>
  <c r="AY122" i="27"/>
  <c r="AX122" i="27"/>
  <c r="AW122" i="27"/>
  <c r="AT122" i="27"/>
  <c r="AS122" i="27"/>
  <c r="AP122" i="27"/>
  <c r="AO122" i="27"/>
  <c r="AL122" i="27"/>
  <c r="AK122" i="27"/>
  <c r="AH122" i="27"/>
  <c r="AG122" i="27"/>
  <c r="AD122" i="27"/>
  <c r="AC122" i="27"/>
  <c r="Z122" i="27"/>
  <c r="Y122" i="27"/>
  <c r="V122" i="27"/>
  <c r="U122" i="27"/>
  <c r="R122" i="27"/>
  <c r="Q122" i="27"/>
  <c r="N122" i="27"/>
  <c r="M122" i="27"/>
  <c r="J122" i="27"/>
  <c r="I122" i="27"/>
  <c r="D122" i="27"/>
  <c r="E122" i="27" s="1"/>
  <c r="AY121" i="27"/>
  <c r="AX121" i="27"/>
  <c r="AW121" i="27"/>
  <c r="AT121" i="27"/>
  <c r="AS121" i="27"/>
  <c r="AP121" i="27"/>
  <c r="AO121" i="27"/>
  <c r="AL121" i="27"/>
  <c r="AK121" i="27"/>
  <c r="AH121" i="27"/>
  <c r="AG121" i="27"/>
  <c r="AD121" i="27"/>
  <c r="AC121" i="27"/>
  <c r="Z121" i="27"/>
  <c r="Y121" i="27"/>
  <c r="V121" i="27"/>
  <c r="U121" i="27"/>
  <c r="R121" i="27"/>
  <c r="Q121" i="27"/>
  <c r="N121" i="27"/>
  <c r="M121" i="27"/>
  <c r="H121" i="27"/>
  <c r="J121" i="27" s="1"/>
  <c r="D121" i="27"/>
  <c r="AZ120" i="27"/>
  <c r="BA120" i="27" s="1"/>
  <c r="AY120" i="27"/>
  <c r="AX120" i="27"/>
  <c r="AW120" i="27"/>
  <c r="AT120" i="27"/>
  <c r="AS120" i="27"/>
  <c r="AP120" i="27"/>
  <c r="AO120" i="27"/>
  <c r="AL120" i="27"/>
  <c r="AK120" i="27"/>
  <c r="AH120" i="27"/>
  <c r="AG120" i="27"/>
  <c r="AD120" i="27"/>
  <c r="AC120" i="27"/>
  <c r="Z120" i="27"/>
  <c r="Y120" i="27"/>
  <c r="V120" i="27"/>
  <c r="U120" i="27"/>
  <c r="R120" i="27"/>
  <c r="Q120" i="27"/>
  <c r="N120" i="27"/>
  <c r="M120" i="27"/>
  <c r="J120" i="27"/>
  <c r="I120" i="27"/>
  <c r="F120" i="27"/>
  <c r="E120" i="27"/>
  <c r="AZ119" i="27"/>
  <c r="BA119" i="27" s="1"/>
  <c r="AY119" i="27"/>
  <c r="AX119" i="27"/>
  <c r="AW119" i="27"/>
  <c r="AT119" i="27"/>
  <c r="AS119" i="27"/>
  <c r="AP119" i="27"/>
  <c r="AO119" i="27"/>
  <c r="AL119" i="27"/>
  <c r="AK119" i="27"/>
  <c r="AH119" i="27"/>
  <c r="AG119" i="27"/>
  <c r="AD119" i="27"/>
  <c r="AC119" i="27"/>
  <c r="Z119" i="27"/>
  <c r="Y119" i="27"/>
  <c r="V119" i="27"/>
  <c r="U119" i="27"/>
  <c r="R119" i="27"/>
  <c r="Q119" i="27"/>
  <c r="N119" i="27"/>
  <c r="M119" i="27"/>
  <c r="J119" i="27"/>
  <c r="I119" i="27"/>
  <c r="F119" i="27"/>
  <c r="E119" i="27"/>
  <c r="AZ118" i="27"/>
  <c r="BA118" i="27" s="1"/>
  <c r="AY118" i="27"/>
  <c r="AX118" i="27"/>
  <c r="AW118" i="27"/>
  <c r="AT118" i="27"/>
  <c r="AS118" i="27"/>
  <c r="AP118" i="27"/>
  <c r="AO118" i="27"/>
  <c r="AL118" i="27"/>
  <c r="AK118" i="27"/>
  <c r="AH118" i="27"/>
  <c r="AG118" i="27"/>
  <c r="AD118" i="27"/>
  <c r="AC118" i="27"/>
  <c r="Z118" i="27"/>
  <c r="Y118" i="27"/>
  <c r="V118" i="27"/>
  <c r="U118" i="27"/>
  <c r="R118" i="27"/>
  <c r="Q118" i="27"/>
  <c r="N118" i="27"/>
  <c r="M118" i="27"/>
  <c r="J118" i="27"/>
  <c r="I118" i="27"/>
  <c r="F118" i="27"/>
  <c r="E118" i="27"/>
  <c r="AV117" i="27"/>
  <c r="AU117" i="27"/>
  <c r="AR117" i="27"/>
  <c r="AQ117" i="27"/>
  <c r="AN117" i="27"/>
  <c r="AM117" i="27"/>
  <c r="AJ117" i="27"/>
  <c r="AI117" i="27"/>
  <c r="AF117" i="27"/>
  <c r="AE117" i="27"/>
  <c r="AB117" i="27"/>
  <c r="AA117" i="27"/>
  <c r="X117" i="27"/>
  <c r="W117" i="27"/>
  <c r="T117" i="27"/>
  <c r="S117" i="27"/>
  <c r="U117" i="27" s="1"/>
  <c r="P117" i="27"/>
  <c r="O117" i="27"/>
  <c r="L117" i="27"/>
  <c r="K117" i="27"/>
  <c r="G117" i="27"/>
  <c r="C117" i="27"/>
  <c r="AZ115" i="27"/>
  <c r="BA115" i="27" s="1"/>
  <c r="AY115" i="27"/>
  <c r="AW115" i="27"/>
  <c r="AS115" i="27"/>
  <c r="AO115" i="27"/>
  <c r="AK115" i="27"/>
  <c r="AG115" i="27"/>
  <c r="AC115" i="27"/>
  <c r="Y115" i="27"/>
  <c r="U115" i="27"/>
  <c r="Q115" i="27"/>
  <c r="M115" i="27"/>
  <c r="I115" i="27"/>
  <c r="E115" i="27"/>
  <c r="AZ114" i="27"/>
  <c r="BA114" i="27" s="1"/>
  <c r="AY114" i="27"/>
  <c r="AW114" i="27"/>
  <c r="AS114" i="27"/>
  <c r="AO114" i="27"/>
  <c r="AK114" i="27"/>
  <c r="AG114" i="27"/>
  <c r="AC114" i="27"/>
  <c r="Y114" i="27"/>
  <c r="U114" i="27"/>
  <c r="Q114" i="27"/>
  <c r="M114" i="27"/>
  <c r="I114" i="27"/>
  <c r="E114" i="27"/>
  <c r="AZ113" i="27"/>
  <c r="BA113" i="27" s="1"/>
  <c r="AY113" i="27"/>
  <c r="AW113" i="27"/>
  <c r="AS113" i="27"/>
  <c r="AO113" i="27"/>
  <c r="AK113" i="27"/>
  <c r="AG113" i="27"/>
  <c r="AC113" i="27"/>
  <c r="Y113" i="27"/>
  <c r="U113" i="27"/>
  <c r="Q113" i="27"/>
  <c r="M113" i="27"/>
  <c r="I113" i="27"/>
  <c r="E113" i="27"/>
  <c r="AZ112" i="27"/>
  <c r="BA112" i="27" s="1"/>
  <c r="AY112" i="27"/>
  <c r="AW112" i="27"/>
  <c r="AS112" i="27"/>
  <c r="AO112" i="27"/>
  <c r="AK112" i="27"/>
  <c r="AG112" i="27"/>
  <c r="AC112" i="27"/>
  <c r="Y112" i="27"/>
  <c r="U112" i="27"/>
  <c r="Q112" i="27"/>
  <c r="M112" i="27"/>
  <c r="I112" i="27"/>
  <c r="E112" i="27"/>
  <c r="AZ111" i="27"/>
  <c r="BA111" i="27" s="1"/>
  <c r="AY111" i="27"/>
  <c r="AX111" i="27"/>
  <c r="AW111" i="27"/>
  <c r="AT111" i="27"/>
  <c r="AS111" i="27"/>
  <c r="AP111" i="27"/>
  <c r="AO111" i="27"/>
  <c r="AL111" i="27"/>
  <c r="AK111" i="27"/>
  <c r="AH111" i="27"/>
  <c r="AG111" i="27"/>
  <c r="AD111" i="27"/>
  <c r="AC111" i="27"/>
  <c r="Z111" i="27"/>
  <c r="Y111" i="27"/>
  <c r="V111" i="27"/>
  <c r="U111" i="27"/>
  <c r="R111" i="27"/>
  <c r="Q111" i="27"/>
  <c r="N111" i="27"/>
  <c r="M111" i="27"/>
  <c r="J111" i="27"/>
  <c r="I111" i="27"/>
  <c r="F111" i="27"/>
  <c r="E111" i="27"/>
  <c r="AZ110" i="27"/>
  <c r="BA110" i="27" s="1"/>
  <c r="AY110" i="27"/>
  <c r="AX110" i="27"/>
  <c r="AW110" i="27"/>
  <c r="AT110" i="27"/>
  <c r="AS110" i="27"/>
  <c r="AP110" i="27"/>
  <c r="AO110" i="27"/>
  <c r="AL110" i="27"/>
  <c r="AK110" i="27"/>
  <c r="AH110" i="27"/>
  <c r="AG110" i="27"/>
  <c r="AD110" i="27"/>
  <c r="AC110" i="27"/>
  <c r="Z110" i="27"/>
  <c r="Y110" i="27"/>
  <c r="V110" i="27"/>
  <c r="U110" i="27"/>
  <c r="R110" i="27"/>
  <c r="Q110" i="27"/>
  <c r="N110" i="27"/>
  <c r="M110" i="27"/>
  <c r="J110" i="27"/>
  <c r="I110" i="27"/>
  <c r="F110" i="27"/>
  <c r="E110" i="27"/>
  <c r="AZ109" i="27"/>
  <c r="BA109" i="27" s="1"/>
  <c r="AY109" i="27"/>
  <c r="AX109" i="27"/>
  <c r="AW109" i="27"/>
  <c r="AT109" i="27"/>
  <c r="AS109" i="27"/>
  <c r="AP109" i="27"/>
  <c r="AO109" i="27"/>
  <c r="AL109" i="27"/>
  <c r="AK109" i="27"/>
  <c r="AH109" i="27"/>
  <c r="AG109" i="27"/>
  <c r="AD109" i="27"/>
  <c r="AC109" i="27"/>
  <c r="Z109" i="27"/>
  <c r="Y109" i="27"/>
  <c r="V109" i="27"/>
  <c r="U109" i="27"/>
  <c r="R109" i="27"/>
  <c r="Q109" i="27"/>
  <c r="N109" i="27"/>
  <c r="M109" i="27"/>
  <c r="J109" i="27"/>
  <c r="I109" i="27"/>
  <c r="F109" i="27"/>
  <c r="E109" i="27"/>
  <c r="AZ108" i="27"/>
  <c r="BA108" i="27" s="1"/>
  <c r="AY108" i="27"/>
  <c r="AW108" i="27"/>
  <c r="AS108" i="27"/>
  <c r="AO108" i="27"/>
  <c r="AK108" i="27"/>
  <c r="AG108" i="27"/>
  <c r="AC108" i="27"/>
  <c r="Y108" i="27"/>
  <c r="U108" i="27"/>
  <c r="Q108" i="27"/>
  <c r="M108" i="27"/>
  <c r="I108" i="27"/>
  <c r="E108" i="27"/>
  <c r="AZ107" i="27"/>
  <c r="BA107" i="27" s="1"/>
  <c r="AY107" i="27"/>
  <c r="AX107" i="27"/>
  <c r="AW107" i="27"/>
  <c r="AT107" i="27"/>
  <c r="AS107" i="27"/>
  <c r="AP107" i="27"/>
  <c r="AO107" i="27"/>
  <c r="AL107" i="27"/>
  <c r="AK107" i="27"/>
  <c r="AH107" i="27"/>
  <c r="AG107" i="27"/>
  <c r="AD107" i="27"/>
  <c r="AC107" i="27"/>
  <c r="Z107" i="27"/>
  <c r="Y107" i="27"/>
  <c r="V107" i="27"/>
  <c r="U107" i="27"/>
  <c r="R107" i="27"/>
  <c r="Q107" i="27"/>
  <c r="N107" i="27"/>
  <c r="M107" i="27"/>
  <c r="J107" i="27"/>
  <c r="I107" i="27"/>
  <c r="F107" i="27"/>
  <c r="E107" i="27"/>
  <c r="AZ106" i="27"/>
  <c r="BA106" i="27" s="1"/>
  <c r="AY106" i="27"/>
  <c r="AX106" i="27"/>
  <c r="AW106" i="27"/>
  <c r="AT106" i="27"/>
  <c r="AS106" i="27"/>
  <c r="AP106" i="27"/>
  <c r="AO106" i="27"/>
  <c r="AL106" i="27"/>
  <c r="AK106" i="27"/>
  <c r="AH106" i="27"/>
  <c r="AG106" i="27"/>
  <c r="AD106" i="27"/>
  <c r="AC106" i="27"/>
  <c r="Z106" i="27"/>
  <c r="Y106" i="27"/>
  <c r="V106" i="27"/>
  <c r="U106" i="27"/>
  <c r="R106" i="27"/>
  <c r="Q106" i="27"/>
  <c r="N106" i="27"/>
  <c r="M106" i="27"/>
  <c r="J106" i="27"/>
  <c r="I106" i="27"/>
  <c r="F106" i="27"/>
  <c r="E106" i="27"/>
  <c r="AZ105" i="27"/>
  <c r="BA105" i="27" s="1"/>
  <c r="AY105" i="27"/>
  <c r="AW105" i="27"/>
  <c r="AS105" i="27"/>
  <c r="AO105" i="27"/>
  <c r="AK105" i="27"/>
  <c r="AG105" i="27"/>
  <c r="AC105" i="27"/>
  <c r="Y105" i="27"/>
  <c r="U105" i="27"/>
  <c r="Q105" i="27"/>
  <c r="M105" i="27"/>
  <c r="I105" i="27"/>
  <c r="E105" i="27"/>
  <c r="AZ104" i="27"/>
  <c r="BA104" i="27" s="1"/>
  <c r="AY104" i="27"/>
  <c r="AX104" i="27"/>
  <c r="AW104" i="27"/>
  <c r="AT104" i="27"/>
  <c r="AS104" i="27"/>
  <c r="AP104" i="27"/>
  <c r="AO104" i="27"/>
  <c r="AL104" i="27"/>
  <c r="AK104" i="27"/>
  <c r="AH104" i="27"/>
  <c r="AG104" i="27"/>
  <c r="AD104" i="27"/>
  <c r="AC104" i="27"/>
  <c r="Z104" i="27"/>
  <c r="Y104" i="27"/>
  <c r="V104" i="27"/>
  <c r="U104" i="27"/>
  <c r="R104" i="27"/>
  <c r="Q104" i="27"/>
  <c r="N104" i="27"/>
  <c r="M104" i="27"/>
  <c r="J104" i="27"/>
  <c r="I104" i="27"/>
  <c r="F104" i="27"/>
  <c r="E104" i="27"/>
  <c r="AZ103" i="27"/>
  <c r="BA103" i="27" s="1"/>
  <c r="AY103" i="27"/>
  <c r="AW103" i="27"/>
  <c r="AS103" i="27"/>
  <c r="AO103" i="27"/>
  <c r="AK103" i="27"/>
  <c r="AG103" i="27"/>
  <c r="AC103" i="27"/>
  <c r="Y103" i="27"/>
  <c r="U103" i="27"/>
  <c r="Q103" i="27"/>
  <c r="M103" i="27"/>
  <c r="I103" i="27"/>
  <c r="E103" i="27"/>
  <c r="AZ102" i="27"/>
  <c r="BA102" i="27" s="1"/>
  <c r="AY102" i="27"/>
  <c r="AX102" i="27"/>
  <c r="AW102" i="27"/>
  <c r="AT102" i="27"/>
  <c r="AS102" i="27"/>
  <c r="AP102" i="27"/>
  <c r="AO102" i="27"/>
  <c r="AL102" i="27"/>
  <c r="AK102" i="27"/>
  <c r="AH102" i="27"/>
  <c r="AG102" i="27"/>
  <c r="AD102" i="27"/>
  <c r="AC102" i="27"/>
  <c r="Z102" i="27"/>
  <c r="Y102" i="27"/>
  <c r="V102" i="27"/>
  <c r="U102" i="27"/>
  <c r="R102" i="27"/>
  <c r="Q102" i="27"/>
  <c r="N102" i="27"/>
  <c r="M102" i="27"/>
  <c r="J102" i="27"/>
  <c r="I102" i="27"/>
  <c r="F102" i="27"/>
  <c r="E102" i="27"/>
  <c r="AZ101" i="27"/>
  <c r="BA101" i="27" s="1"/>
  <c r="AY101" i="27"/>
  <c r="AX101" i="27"/>
  <c r="AW101" i="27"/>
  <c r="AT101" i="27"/>
  <c r="AS101" i="27"/>
  <c r="AP101" i="27"/>
  <c r="AO101" i="27"/>
  <c r="AL101" i="27"/>
  <c r="AK101" i="27"/>
  <c r="AH101" i="27"/>
  <c r="AG101" i="27"/>
  <c r="AD101" i="27"/>
  <c r="AC101" i="27"/>
  <c r="Z101" i="27"/>
  <c r="Y101" i="27"/>
  <c r="V101" i="27"/>
  <c r="U101" i="27"/>
  <c r="R101" i="27"/>
  <c r="Q101" i="27"/>
  <c r="N101" i="27"/>
  <c r="M101" i="27"/>
  <c r="J101" i="27"/>
  <c r="I101" i="27"/>
  <c r="F101" i="27"/>
  <c r="E101" i="27"/>
  <c r="AZ100" i="27"/>
  <c r="BA100" i="27" s="1"/>
  <c r="AY100" i="27"/>
  <c r="AX100" i="27"/>
  <c r="AW100" i="27"/>
  <c r="AT100" i="27"/>
  <c r="AS100" i="27"/>
  <c r="AP100" i="27"/>
  <c r="AO100" i="27"/>
  <c r="AL100" i="27"/>
  <c r="AK100" i="27"/>
  <c r="AH100" i="27"/>
  <c r="AG100" i="27"/>
  <c r="AD100" i="27"/>
  <c r="AC100" i="27"/>
  <c r="Z100" i="27"/>
  <c r="Y100" i="27"/>
  <c r="V100" i="27"/>
  <c r="U100" i="27"/>
  <c r="R100" i="27"/>
  <c r="Q100" i="27"/>
  <c r="N100" i="27"/>
  <c r="M100" i="27"/>
  <c r="J100" i="27"/>
  <c r="I100" i="27"/>
  <c r="F100" i="27"/>
  <c r="E100" i="27"/>
  <c r="AZ99" i="27"/>
  <c r="BA99" i="27" s="1"/>
  <c r="AY99" i="27"/>
  <c r="AX99" i="27"/>
  <c r="AW99" i="27"/>
  <c r="AT99" i="27"/>
  <c r="AS99" i="27"/>
  <c r="AP99" i="27"/>
  <c r="AO99" i="27"/>
  <c r="AL99" i="27"/>
  <c r="AK99" i="27"/>
  <c r="AH99" i="27"/>
  <c r="AG99" i="27"/>
  <c r="AD99" i="27"/>
  <c r="AC99" i="27"/>
  <c r="Z99" i="27"/>
  <c r="Y99" i="27"/>
  <c r="V99" i="27"/>
  <c r="U99" i="27"/>
  <c r="R99" i="27"/>
  <c r="Q99" i="27"/>
  <c r="N99" i="27"/>
  <c r="M99" i="27"/>
  <c r="J99" i="27"/>
  <c r="I99" i="27"/>
  <c r="F99" i="27"/>
  <c r="E99" i="27"/>
  <c r="AZ98" i="27"/>
  <c r="BA98" i="27" s="1"/>
  <c r="AY98" i="27"/>
  <c r="AX98" i="27"/>
  <c r="AW98" i="27"/>
  <c r="AT98" i="27"/>
  <c r="AS98" i="27"/>
  <c r="AP98" i="27"/>
  <c r="AO98" i="27"/>
  <c r="AL98" i="27"/>
  <c r="AK98" i="27"/>
  <c r="AH98" i="27"/>
  <c r="AG98" i="27"/>
  <c r="AD98" i="27"/>
  <c r="AC98" i="27"/>
  <c r="Z98" i="27"/>
  <c r="Y98" i="27"/>
  <c r="V98" i="27"/>
  <c r="U98" i="27"/>
  <c r="R98" i="27"/>
  <c r="Q98" i="27"/>
  <c r="N98" i="27"/>
  <c r="M98" i="27"/>
  <c r="J98" i="27"/>
  <c r="I98" i="27"/>
  <c r="F98" i="27"/>
  <c r="E98" i="27"/>
  <c r="AZ97" i="27"/>
  <c r="BA97" i="27" s="1"/>
  <c r="AY97" i="27"/>
  <c r="AX97" i="27"/>
  <c r="AW97" i="27"/>
  <c r="AT97" i="27"/>
  <c r="AS97" i="27"/>
  <c r="AP97" i="27"/>
  <c r="AO97" i="27"/>
  <c r="AL97" i="27"/>
  <c r="AK97" i="27"/>
  <c r="AH97" i="27"/>
  <c r="AG97" i="27"/>
  <c r="AD97" i="27"/>
  <c r="AC97" i="27"/>
  <c r="Z97" i="27"/>
  <c r="Y97" i="27"/>
  <c r="V97" i="27"/>
  <c r="U97" i="27"/>
  <c r="R97" i="27"/>
  <c r="Q97" i="27"/>
  <c r="N97" i="27"/>
  <c r="M97" i="27"/>
  <c r="J97" i="27"/>
  <c r="I97" i="27"/>
  <c r="F97" i="27"/>
  <c r="E97" i="27"/>
  <c r="AZ96" i="27"/>
  <c r="BA96" i="27" s="1"/>
  <c r="AY96" i="27"/>
  <c r="AW96" i="27"/>
  <c r="AS96" i="27"/>
  <c r="AO96" i="27"/>
  <c r="AK96" i="27"/>
  <c r="AG96" i="27"/>
  <c r="AC96" i="27"/>
  <c r="Y96" i="27"/>
  <c r="U96" i="27"/>
  <c r="Q96" i="27"/>
  <c r="M96" i="27"/>
  <c r="I96" i="27"/>
  <c r="E96" i="27"/>
  <c r="AZ95" i="27"/>
  <c r="BA95" i="27" s="1"/>
  <c r="AY95" i="27"/>
  <c r="AX95" i="27"/>
  <c r="AW95" i="27"/>
  <c r="AT95" i="27"/>
  <c r="AS95" i="27"/>
  <c r="AP95" i="27"/>
  <c r="AO95" i="27"/>
  <c r="AL95" i="27"/>
  <c r="AK95" i="27"/>
  <c r="AH95" i="27"/>
  <c r="AG95" i="27"/>
  <c r="AD95" i="27"/>
  <c r="AC95" i="27"/>
  <c r="Z95" i="27"/>
  <c r="Y95" i="27"/>
  <c r="V95" i="27"/>
  <c r="U95" i="27"/>
  <c r="R95" i="27"/>
  <c r="Q95" i="27"/>
  <c r="N95" i="27"/>
  <c r="M95" i="27"/>
  <c r="J95" i="27"/>
  <c r="I95" i="27"/>
  <c r="F95" i="27"/>
  <c r="E95" i="27"/>
  <c r="AZ94" i="27"/>
  <c r="BA94" i="27" s="1"/>
  <c r="AY94" i="27"/>
  <c r="AX94" i="27"/>
  <c r="AW94" i="27"/>
  <c r="AT94" i="27"/>
  <c r="AS94" i="27"/>
  <c r="AP94" i="27"/>
  <c r="AO94" i="27"/>
  <c r="AL94" i="27"/>
  <c r="AK94" i="27"/>
  <c r="AH94" i="27"/>
  <c r="AG94" i="27"/>
  <c r="AD94" i="27"/>
  <c r="AC94" i="27"/>
  <c r="Z94" i="27"/>
  <c r="Y94" i="27"/>
  <c r="V94" i="27"/>
  <c r="U94" i="27"/>
  <c r="R94" i="27"/>
  <c r="Q94" i="27"/>
  <c r="N94" i="27"/>
  <c r="M94" i="27"/>
  <c r="J94" i="27"/>
  <c r="I94" i="27"/>
  <c r="F94" i="27"/>
  <c r="E94" i="27"/>
  <c r="AZ93" i="27"/>
  <c r="BA93" i="27" s="1"/>
  <c r="AY93" i="27"/>
  <c r="AX93" i="27"/>
  <c r="AW93" i="27"/>
  <c r="AT93" i="27"/>
  <c r="AS93" i="27"/>
  <c r="AP93" i="27"/>
  <c r="AO93" i="27"/>
  <c r="AL93" i="27"/>
  <c r="AK93" i="27"/>
  <c r="AH93" i="27"/>
  <c r="AG93" i="27"/>
  <c r="AD93" i="27"/>
  <c r="AC93" i="27"/>
  <c r="Z93" i="27"/>
  <c r="Y93" i="27"/>
  <c r="V93" i="27"/>
  <c r="U93" i="27"/>
  <c r="R93" i="27"/>
  <c r="Q93" i="27"/>
  <c r="N93" i="27"/>
  <c r="M93" i="27"/>
  <c r="J93" i="27"/>
  <c r="I93" i="27"/>
  <c r="F93" i="27"/>
  <c r="E93" i="27"/>
  <c r="AZ92" i="27"/>
  <c r="BA92" i="27" s="1"/>
  <c r="AY92" i="27"/>
  <c r="AX92" i="27"/>
  <c r="AW92" i="27"/>
  <c r="AT92" i="27"/>
  <c r="AS92" i="27"/>
  <c r="AP92" i="27"/>
  <c r="AO92" i="27"/>
  <c r="AL92" i="27"/>
  <c r="AK92" i="27"/>
  <c r="AH92" i="27"/>
  <c r="AG92" i="27"/>
  <c r="AD92" i="27"/>
  <c r="AC92" i="27"/>
  <c r="Z92" i="27"/>
  <c r="Y92" i="27"/>
  <c r="V92" i="27"/>
  <c r="U92" i="27"/>
  <c r="R92" i="27"/>
  <c r="Q92" i="27"/>
  <c r="N92" i="27"/>
  <c r="M92" i="27"/>
  <c r="J92" i="27"/>
  <c r="I92" i="27"/>
  <c r="F92" i="27"/>
  <c r="E92" i="27"/>
  <c r="AZ91" i="27"/>
  <c r="BA91" i="27" s="1"/>
  <c r="AY91" i="27"/>
  <c r="AX91" i="27"/>
  <c r="AW91" i="27"/>
  <c r="AT91" i="27"/>
  <c r="AS91" i="27"/>
  <c r="AP91" i="27"/>
  <c r="AO91" i="27"/>
  <c r="AL91" i="27"/>
  <c r="AK91" i="27"/>
  <c r="AH91" i="27"/>
  <c r="AG91" i="27"/>
  <c r="AD91" i="27"/>
  <c r="AC91" i="27"/>
  <c r="Z91" i="27"/>
  <c r="Y91" i="27"/>
  <c r="V91" i="27"/>
  <c r="U91" i="27"/>
  <c r="R91" i="27"/>
  <c r="Q91" i="27"/>
  <c r="N91" i="27"/>
  <c r="M91" i="27"/>
  <c r="J91" i="27"/>
  <c r="I91" i="27"/>
  <c r="F91" i="27"/>
  <c r="E91" i="27"/>
  <c r="AZ90" i="27"/>
  <c r="BA90" i="27" s="1"/>
  <c r="AY90" i="27"/>
  <c r="AX90" i="27"/>
  <c r="AW90" i="27"/>
  <c r="AT90" i="27"/>
  <c r="AS90" i="27"/>
  <c r="AP90" i="27"/>
  <c r="AO90" i="27"/>
  <c r="AL90" i="27"/>
  <c r="AK90" i="27"/>
  <c r="AH90" i="27"/>
  <c r="AG90" i="27"/>
  <c r="AD90" i="27"/>
  <c r="AC90" i="27"/>
  <c r="Z90" i="27"/>
  <c r="Y90" i="27"/>
  <c r="V90" i="27"/>
  <c r="U90" i="27"/>
  <c r="R90" i="27"/>
  <c r="Q90" i="27"/>
  <c r="N90" i="27"/>
  <c r="M90" i="27"/>
  <c r="J90" i="27"/>
  <c r="I90" i="27"/>
  <c r="F90" i="27"/>
  <c r="E90" i="27"/>
  <c r="AZ89" i="27"/>
  <c r="BA89" i="27" s="1"/>
  <c r="AY89" i="27"/>
  <c r="AX89" i="27"/>
  <c r="AW89" i="27"/>
  <c r="AT89" i="27"/>
  <c r="AS89" i="27"/>
  <c r="AP89" i="27"/>
  <c r="AO89" i="27"/>
  <c r="AL89" i="27"/>
  <c r="AK89" i="27"/>
  <c r="AH89" i="27"/>
  <c r="AG89" i="27"/>
  <c r="AD89" i="27"/>
  <c r="AC89" i="27"/>
  <c r="Z89" i="27"/>
  <c r="Y89" i="27"/>
  <c r="V89" i="27"/>
  <c r="U89" i="27"/>
  <c r="R89" i="27"/>
  <c r="Q89" i="27"/>
  <c r="N89" i="27"/>
  <c r="M89" i="27"/>
  <c r="J89" i="27"/>
  <c r="I89" i="27"/>
  <c r="F89" i="27"/>
  <c r="E89" i="27"/>
  <c r="AZ88" i="27"/>
  <c r="BA88" i="27" s="1"/>
  <c r="AY88" i="27"/>
  <c r="AX88" i="27"/>
  <c r="AW88" i="27"/>
  <c r="AT88" i="27"/>
  <c r="AS88" i="27"/>
  <c r="AP88" i="27"/>
  <c r="AO88" i="27"/>
  <c r="AL88" i="27"/>
  <c r="AK88" i="27"/>
  <c r="AH88" i="27"/>
  <c r="AG88" i="27"/>
  <c r="AD88" i="27"/>
  <c r="AC88" i="27"/>
  <c r="Z88" i="27"/>
  <c r="Y88" i="27"/>
  <c r="V88" i="27"/>
  <c r="U88" i="27"/>
  <c r="R88" i="27"/>
  <c r="Q88" i="27"/>
  <c r="N88" i="27"/>
  <c r="M88" i="27"/>
  <c r="J88" i="27"/>
  <c r="I88" i="27"/>
  <c r="F88" i="27"/>
  <c r="E88" i="27"/>
  <c r="AZ87" i="27"/>
  <c r="BA87" i="27" s="1"/>
  <c r="AY87" i="27"/>
  <c r="AX87" i="27"/>
  <c r="AW87" i="27"/>
  <c r="AT87" i="27"/>
  <c r="AS87" i="27"/>
  <c r="AP87" i="27"/>
  <c r="AO87" i="27"/>
  <c r="AL87" i="27"/>
  <c r="AK87" i="27"/>
  <c r="AH87" i="27"/>
  <c r="AG87" i="27"/>
  <c r="AD87" i="27"/>
  <c r="AC87" i="27"/>
  <c r="Z87" i="27"/>
  <c r="Y87" i="27"/>
  <c r="V87" i="27"/>
  <c r="U87" i="27"/>
  <c r="R87" i="27"/>
  <c r="Q87" i="27"/>
  <c r="N87" i="27"/>
  <c r="M87" i="27"/>
  <c r="J87" i="27"/>
  <c r="I87" i="27"/>
  <c r="F87" i="27"/>
  <c r="E87" i="27"/>
  <c r="AZ86" i="27"/>
  <c r="BA86" i="27" s="1"/>
  <c r="AY86" i="27"/>
  <c r="AX86" i="27"/>
  <c r="AW86" i="27"/>
  <c r="AT86" i="27"/>
  <c r="AS86" i="27"/>
  <c r="AP86" i="27"/>
  <c r="AO86" i="27"/>
  <c r="AL86" i="27"/>
  <c r="AK86" i="27"/>
  <c r="AH86" i="27"/>
  <c r="AG86" i="27"/>
  <c r="AD86" i="27"/>
  <c r="AC86" i="27"/>
  <c r="Z86" i="27"/>
  <c r="Y86" i="27"/>
  <c r="V86" i="27"/>
  <c r="U86" i="27"/>
  <c r="R86" i="27"/>
  <c r="Q86" i="27"/>
  <c r="N86" i="27"/>
  <c r="M86" i="27"/>
  <c r="J86" i="27"/>
  <c r="I86" i="27"/>
  <c r="F86" i="27"/>
  <c r="E86" i="27"/>
  <c r="AZ85" i="27"/>
  <c r="BA85" i="27" s="1"/>
  <c r="AY85" i="27"/>
  <c r="AX85" i="27"/>
  <c r="AW85" i="27"/>
  <c r="AT85" i="27"/>
  <c r="AS85" i="27"/>
  <c r="AP85" i="27"/>
  <c r="AO85" i="27"/>
  <c r="AL85" i="27"/>
  <c r="AK85" i="27"/>
  <c r="AH85" i="27"/>
  <c r="AG85" i="27"/>
  <c r="AD85" i="27"/>
  <c r="AC85" i="27"/>
  <c r="Z85" i="27"/>
  <c r="Y85" i="27"/>
  <c r="V85" i="27"/>
  <c r="U85" i="27"/>
  <c r="R85" i="27"/>
  <c r="Q85" i="27"/>
  <c r="N85" i="27"/>
  <c r="M85" i="27"/>
  <c r="J85" i="27"/>
  <c r="I85" i="27"/>
  <c r="F85" i="27"/>
  <c r="E85" i="27"/>
  <c r="AZ84" i="27"/>
  <c r="BA84" i="27" s="1"/>
  <c r="AY84" i="27"/>
  <c r="AX84" i="27"/>
  <c r="AW84" i="27"/>
  <c r="AT84" i="27"/>
  <c r="AS84" i="27"/>
  <c r="AP84" i="27"/>
  <c r="AO84" i="27"/>
  <c r="AL84" i="27"/>
  <c r="AK84" i="27"/>
  <c r="AH84" i="27"/>
  <c r="AG84" i="27"/>
  <c r="AD84" i="27"/>
  <c r="AC84" i="27"/>
  <c r="Z84" i="27"/>
  <c r="Y84" i="27"/>
  <c r="V84" i="27"/>
  <c r="U84" i="27"/>
  <c r="R84" i="27"/>
  <c r="Q84" i="27"/>
  <c r="N84" i="27"/>
  <c r="M84" i="27"/>
  <c r="J84" i="27"/>
  <c r="I84" i="27"/>
  <c r="F84" i="27"/>
  <c r="E84" i="27"/>
  <c r="AZ83" i="27"/>
  <c r="BA83" i="27" s="1"/>
  <c r="AY83" i="27"/>
  <c r="AW83" i="27"/>
  <c r="AS83" i="27"/>
  <c r="AO83" i="27"/>
  <c r="AK83" i="27"/>
  <c r="AG83" i="27"/>
  <c r="AC83" i="27"/>
  <c r="Y83" i="27"/>
  <c r="U83" i="27"/>
  <c r="Q83" i="27"/>
  <c r="M83" i="27"/>
  <c r="I83" i="27"/>
  <c r="E83" i="27"/>
  <c r="AY82" i="27"/>
  <c r="AX82" i="27"/>
  <c r="AW82" i="27"/>
  <c r="AT82" i="27"/>
  <c r="AS82" i="27"/>
  <c r="AP82" i="27"/>
  <c r="AO82" i="27"/>
  <c r="AL82" i="27"/>
  <c r="AK82" i="27"/>
  <c r="AH82" i="27"/>
  <c r="AG82" i="27"/>
  <c r="AD82" i="27"/>
  <c r="AC82" i="27"/>
  <c r="Z82" i="27"/>
  <c r="Y82" i="27"/>
  <c r="V82" i="27"/>
  <c r="U82" i="27"/>
  <c r="R82" i="27"/>
  <c r="Q82" i="27"/>
  <c r="N82" i="27"/>
  <c r="M82" i="27"/>
  <c r="J82" i="27"/>
  <c r="I82" i="27"/>
  <c r="D82" i="27"/>
  <c r="E82" i="27" s="1"/>
  <c r="AZ81" i="27"/>
  <c r="BA81" i="27" s="1"/>
  <c r="AY81" i="27"/>
  <c r="AW81" i="27"/>
  <c r="AS81" i="27"/>
  <c r="AO81" i="27"/>
  <c r="AK81" i="27"/>
  <c r="AG81" i="27"/>
  <c r="AC81" i="27"/>
  <c r="Y81" i="27"/>
  <c r="U81" i="27"/>
  <c r="Q81" i="27"/>
  <c r="M81" i="27"/>
  <c r="I81" i="27"/>
  <c r="E81" i="27"/>
  <c r="AY80" i="27"/>
  <c r="AX80" i="27"/>
  <c r="AW80" i="27"/>
  <c r="AT80" i="27"/>
  <c r="AS80" i="27"/>
  <c r="AP80" i="27"/>
  <c r="AO80" i="27"/>
  <c r="AL80" i="27"/>
  <c r="AK80" i="27"/>
  <c r="AH80" i="27"/>
  <c r="AG80" i="27"/>
  <c r="AD80" i="27"/>
  <c r="AC80" i="27"/>
  <c r="Z80" i="27"/>
  <c r="Y80" i="27"/>
  <c r="V80" i="27"/>
  <c r="U80" i="27"/>
  <c r="R80" i="27"/>
  <c r="Q80" i="27"/>
  <c r="N80" i="27"/>
  <c r="M80" i="27"/>
  <c r="J80" i="27"/>
  <c r="I80" i="27"/>
  <c r="D80" i="27"/>
  <c r="AZ79" i="27"/>
  <c r="BA79" i="27" s="1"/>
  <c r="AY79" i="27"/>
  <c r="AX79" i="27"/>
  <c r="AW79" i="27"/>
  <c r="AT79" i="27"/>
  <c r="AS79" i="27"/>
  <c r="AP79" i="27"/>
  <c r="AO79" i="27"/>
  <c r="AL79" i="27"/>
  <c r="AK79" i="27"/>
  <c r="AH79" i="27"/>
  <c r="AG79" i="27"/>
  <c r="AD79" i="27"/>
  <c r="AC79" i="27"/>
  <c r="Z79" i="27"/>
  <c r="Y79" i="27"/>
  <c r="V79" i="27"/>
  <c r="U79" i="27"/>
  <c r="R79" i="27"/>
  <c r="Q79" i="27"/>
  <c r="N79" i="27"/>
  <c r="M79" i="27"/>
  <c r="J79" i="27"/>
  <c r="I79" i="27"/>
  <c r="F79" i="27"/>
  <c r="E79" i="27"/>
  <c r="AZ78" i="27"/>
  <c r="BA78" i="27" s="1"/>
  <c r="AY78" i="27"/>
  <c r="AX78" i="27"/>
  <c r="AW78" i="27"/>
  <c r="AT78" i="27"/>
  <c r="AS78" i="27"/>
  <c r="AP78" i="27"/>
  <c r="AO78" i="27"/>
  <c r="AL78" i="27"/>
  <c r="AK78" i="27"/>
  <c r="AH78" i="27"/>
  <c r="AG78" i="27"/>
  <c r="AD78" i="27"/>
  <c r="AC78" i="27"/>
  <c r="Z78" i="27"/>
  <c r="Y78" i="27"/>
  <c r="V78" i="27"/>
  <c r="U78" i="27"/>
  <c r="R78" i="27"/>
  <c r="Q78" i="27"/>
  <c r="N78" i="27"/>
  <c r="M78" i="27"/>
  <c r="J78" i="27"/>
  <c r="I78" i="27"/>
  <c r="F78" i="27"/>
  <c r="E78" i="27"/>
  <c r="AZ77" i="27"/>
  <c r="BA77" i="27" s="1"/>
  <c r="AY77" i="27"/>
  <c r="AX77" i="27"/>
  <c r="AW77" i="27"/>
  <c r="AT77" i="27"/>
  <c r="AS77" i="27"/>
  <c r="AP77" i="27"/>
  <c r="AO77" i="27"/>
  <c r="AL77" i="27"/>
  <c r="AK77" i="27"/>
  <c r="AH77" i="27"/>
  <c r="AG77" i="27"/>
  <c r="AD77" i="27"/>
  <c r="AC77" i="27"/>
  <c r="Z77" i="27"/>
  <c r="Y77" i="27"/>
  <c r="V77" i="27"/>
  <c r="U77" i="27"/>
  <c r="R77" i="27"/>
  <c r="Q77" i="27"/>
  <c r="N77" i="27"/>
  <c r="M77" i="27"/>
  <c r="J77" i="27"/>
  <c r="I77" i="27"/>
  <c r="F77" i="27"/>
  <c r="E77" i="27"/>
  <c r="AZ76" i="27"/>
  <c r="BA76" i="27" s="1"/>
  <c r="AY76" i="27"/>
  <c r="AX76" i="27"/>
  <c r="AW76" i="27"/>
  <c r="AT76" i="27"/>
  <c r="AS76" i="27"/>
  <c r="AP76" i="27"/>
  <c r="AO76" i="27"/>
  <c r="AL76" i="27"/>
  <c r="AK76" i="27"/>
  <c r="AH76" i="27"/>
  <c r="AG76" i="27"/>
  <c r="AD76" i="27"/>
  <c r="AC76" i="27"/>
  <c r="Z76" i="27"/>
  <c r="Y76" i="27"/>
  <c r="V76" i="27"/>
  <c r="U76" i="27"/>
  <c r="R76" i="27"/>
  <c r="Q76" i="27"/>
  <c r="N76" i="27"/>
  <c r="M76" i="27"/>
  <c r="J76" i="27"/>
  <c r="I76" i="27"/>
  <c r="F76" i="27"/>
  <c r="E76" i="27"/>
  <c r="AZ75" i="27"/>
  <c r="BA75" i="27" s="1"/>
  <c r="AY75" i="27"/>
  <c r="AX75" i="27"/>
  <c r="AW75" i="27"/>
  <c r="AT75" i="27"/>
  <c r="AS75" i="27"/>
  <c r="AP75" i="27"/>
  <c r="AO75" i="27"/>
  <c r="AL75" i="27"/>
  <c r="AK75" i="27"/>
  <c r="AH75" i="27"/>
  <c r="AG75" i="27"/>
  <c r="AD75" i="27"/>
  <c r="AC75" i="27"/>
  <c r="Z75" i="27"/>
  <c r="Y75" i="27"/>
  <c r="V75" i="27"/>
  <c r="U75" i="27"/>
  <c r="R75" i="27"/>
  <c r="Q75" i="27"/>
  <c r="N75" i="27"/>
  <c r="M75" i="27"/>
  <c r="J75" i="27"/>
  <c r="I75" i="27"/>
  <c r="F75" i="27"/>
  <c r="E75" i="27"/>
  <c r="AY74" i="27"/>
  <c r="AX74" i="27"/>
  <c r="AW74" i="27"/>
  <c r="AT74" i="27"/>
  <c r="AS74" i="27"/>
  <c r="AP74" i="27"/>
  <c r="AO74" i="27"/>
  <c r="AL74" i="27"/>
  <c r="AK74" i="27"/>
  <c r="AH74" i="27"/>
  <c r="AG74" i="27"/>
  <c r="AD74" i="27"/>
  <c r="AC74" i="27"/>
  <c r="Z74" i="27"/>
  <c r="Y74" i="27"/>
  <c r="V74" i="27"/>
  <c r="U74" i="27"/>
  <c r="R74" i="27"/>
  <c r="Q74" i="27"/>
  <c r="N74" i="27"/>
  <c r="M74" i="27"/>
  <c r="H74" i="27"/>
  <c r="D74" i="27"/>
  <c r="AZ73" i="27"/>
  <c r="BA73" i="27" s="1"/>
  <c r="AY73" i="27"/>
  <c r="AW73" i="27"/>
  <c r="AS73" i="27"/>
  <c r="AO73" i="27"/>
  <c r="AK73" i="27"/>
  <c r="AG73" i="27"/>
  <c r="AC73" i="27"/>
  <c r="Y73" i="27"/>
  <c r="U73" i="27"/>
  <c r="Q73" i="27"/>
  <c r="M73" i="27"/>
  <c r="I73" i="27"/>
  <c r="E73" i="27"/>
  <c r="AV72" i="27"/>
  <c r="AU72" i="27"/>
  <c r="AR72" i="27"/>
  <c r="AQ72" i="27"/>
  <c r="AN72" i="27"/>
  <c r="AM72" i="27"/>
  <c r="AJ72" i="27"/>
  <c r="AI72" i="27"/>
  <c r="AF72" i="27"/>
  <c r="AE72" i="27"/>
  <c r="AB72" i="27"/>
  <c r="AA72" i="27"/>
  <c r="X72" i="27"/>
  <c r="W72" i="27"/>
  <c r="T72" i="27"/>
  <c r="S72" i="27"/>
  <c r="P72" i="27"/>
  <c r="O72" i="27"/>
  <c r="L72" i="27"/>
  <c r="K72" i="27"/>
  <c r="G72" i="27"/>
  <c r="C72" i="27"/>
  <c r="AZ70" i="27"/>
  <c r="BA70" i="27" s="1"/>
  <c r="AY70" i="27"/>
  <c r="AW70" i="27"/>
  <c r="AS70" i="27"/>
  <c r="AO70" i="27"/>
  <c r="AK70" i="27"/>
  <c r="AG70" i="27"/>
  <c r="AC70" i="27"/>
  <c r="Y70" i="27"/>
  <c r="U70" i="27"/>
  <c r="Q70" i="27"/>
  <c r="M70" i="27"/>
  <c r="I70" i="27"/>
  <c r="E70" i="27"/>
  <c r="AZ69" i="27"/>
  <c r="BA69" i="27" s="1"/>
  <c r="AY69" i="27"/>
  <c r="AX69" i="27"/>
  <c r="AW69" i="27"/>
  <c r="AT69" i="27"/>
  <c r="AS69" i="27"/>
  <c r="AP69" i="27"/>
  <c r="AO69" i="27"/>
  <c r="AL69" i="27"/>
  <c r="AK69" i="27"/>
  <c r="AH69" i="27"/>
  <c r="AG69" i="27"/>
  <c r="AD69" i="27"/>
  <c r="AC69" i="27"/>
  <c r="Z69" i="27"/>
  <c r="Y69" i="27"/>
  <c r="V69" i="27"/>
  <c r="U69" i="27"/>
  <c r="R69" i="27"/>
  <c r="Q69" i="27"/>
  <c r="N69" i="27"/>
  <c r="M69" i="27"/>
  <c r="J69" i="27"/>
  <c r="I69" i="27"/>
  <c r="F69" i="27"/>
  <c r="E69" i="27"/>
  <c r="AY68" i="27"/>
  <c r="AX68" i="27"/>
  <c r="AW68" i="27"/>
  <c r="AT68" i="27"/>
  <c r="AS68" i="27"/>
  <c r="AP68" i="27"/>
  <c r="AO68" i="27"/>
  <c r="AL68" i="27"/>
  <c r="AK68" i="27"/>
  <c r="AH68" i="27"/>
  <c r="AG68" i="27"/>
  <c r="AD68" i="27"/>
  <c r="AC68" i="27"/>
  <c r="Z68" i="27"/>
  <c r="Y68" i="27"/>
  <c r="V68" i="27"/>
  <c r="U68" i="27"/>
  <c r="R68" i="27"/>
  <c r="Q68" i="27"/>
  <c r="N68" i="27"/>
  <c r="M68" i="27"/>
  <c r="J68" i="27"/>
  <c r="I68" i="27"/>
  <c r="D68" i="27"/>
  <c r="AZ68" i="27" s="1"/>
  <c r="BA68" i="27" s="1"/>
  <c r="AY67" i="27"/>
  <c r="AX67" i="27"/>
  <c r="AW67" i="27"/>
  <c r="AT67" i="27"/>
  <c r="AS67" i="27"/>
  <c r="AP67" i="27"/>
  <c r="AO67" i="27"/>
  <c r="AL67" i="27"/>
  <c r="AK67" i="27"/>
  <c r="AH67" i="27"/>
  <c r="AG67" i="27"/>
  <c r="AD67" i="27"/>
  <c r="AC67" i="27"/>
  <c r="Z67" i="27"/>
  <c r="Y67" i="27"/>
  <c r="V67" i="27"/>
  <c r="U67" i="27"/>
  <c r="R67" i="27"/>
  <c r="Q67" i="27"/>
  <c r="N67" i="27"/>
  <c r="M67" i="27"/>
  <c r="J67" i="27"/>
  <c r="I67" i="27"/>
  <c r="F67" i="27"/>
  <c r="E67" i="27"/>
  <c r="AY66" i="27"/>
  <c r="AX66" i="27"/>
  <c r="AW66" i="27"/>
  <c r="AT66" i="27"/>
  <c r="AS66" i="27"/>
  <c r="AP66" i="27"/>
  <c r="AO66" i="27"/>
  <c r="AL66" i="27"/>
  <c r="AK66" i="27"/>
  <c r="AH66" i="27"/>
  <c r="AG66" i="27"/>
  <c r="AD66" i="27"/>
  <c r="AC66" i="27"/>
  <c r="Z66" i="27"/>
  <c r="Y66" i="27"/>
  <c r="V66" i="27"/>
  <c r="U66" i="27"/>
  <c r="R66" i="27"/>
  <c r="Q66" i="27"/>
  <c r="N66" i="27"/>
  <c r="M66" i="27"/>
  <c r="H66" i="27"/>
  <c r="J66" i="27" s="1"/>
  <c r="D66" i="27"/>
  <c r="AY65" i="27"/>
  <c r="AX65" i="27"/>
  <c r="AW65" i="27"/>
  <c r="AT65" i="27"/>
  <c r="AS65" i="27"/>
  <c r="AP65" i="27"/>
  <c r="AO65" i="27"/>
  <c r="AL65" i="27"/>
  <c r="AK65" i="27"/>
  <c r="AH65" i="27"/>
  <c r="AG65" i="27"/>
  <c r="AD65" i="27"/>
  <c r="AC65" i="27"/>
  <c r="Z65" i="27"/>
  <c r="Y65" i="27"/>
  <c r="V65" i="27"/>
  <c r="U65" i="27"/>
  <c r="R65" i="27"/>
  <c r="Q65" i="27"/>
  <c r="N65" i="27"/>
  <c r="M65" i="27"/>
  <c r="H65" i="27"/>
  <c r="J65" i="27" s="1"/>
  <c r="D65" i="27"/>
  <c r="AY64" i="27"/>
  <c r="AX64" i="27"/>
  <c r="AW64" i="27"/>
  <c r="AT64" i="27"/>
  <c r="AS64" i="27"/>
  <c r="AP64" i="27"/>
  <c r="AO64" i="27"/>
  <c r="AL64" i="27"/>
  <c r="AK64" i="27"/>
  <c r="AH64" i="27"/>
  <c r="AG64" i="27"/>
  <c r="AD64" i="27"/>
  <c r="AC64" i="27"/>
  <c r="Z64" i="27"/>
  <c r="Y64" i="27"/>
  <c r="V64" i="27"/>
  <c r="U64" i="27"/>
  <c r="R64" i="27"/>
  <c r="Q64" i="27"/>
  <c r="N64" i="27"/>
  <c r="M64" i="27"/>
  <c r="H64" i="27"/>
  <c r="D64" i="27"/>
  <c r="F64" i="27" s="1"/>
  <c r="AY63" i="27"/>
  <c r="AX63" i="27"/>
  <c r="AW63" i="27"/>
  <c r="AT63" i="27"/>
  <c r="AS63" i="27"/>
  <c r="AP63" i="27"/>
  <c r="AO63" i="27"/>
  <c r="AL63" i="27"/>
  <c r="AK63" i="27"/>
  <c r="AH63" i="27"/>
  <c r="AG63" i="27"/>
  <c r="AD63" i="27"/>
  <c r="AC63" i="27"/>
  <c r="Z63" i="27"/>
  <c r="Y63" i="27"/>
  <c r="V63" i="27"/>
  <c r="U63" i="27"/>
  <c r="R63" i="27"/>
  <c r="Q63" i="27"/>
  <c r="N63" i="27"/>
  <c r="M63" i="27"/>
  <c r="J63" i="27"/>
  <c r="I63" i="27"/>
  <c r="F63" i="27"/>
  <c r="E63" i="27"/>
  <c r="AY62" i="27"/>
  <c r="AX62" i="27"/>
  <c r="AW62" i="27"/>
  <c r="AT62" i="27"/>
  <c r="AS62" i="27"/>
  <c r="AP62" i="27"/>
  <c r="AO62" i="27"/>
  <c r="AL62" i="27"/>
  <c r="AK62" i="27"/>
  <c r="AH62" i="27"/>
  <c r="AG62" i="27"/>
  <c r="AD62" i="27"/>
  <c r="AC62" i="27"/>
  <c r="Z62" i="27"/>
  <c r="Y62" i="27"/>
  <c r="V62" i="27"/>
  <c r="U62" i="27"/>
  <c r="R62" i="27"/>
  <c r="Q62" i="27"/>
  <c r="N62" i="27"/>
  <c r="M62" i="27"/>
  <c r="J62" i="27"/>
  <c r="I62" i="27"/>
  <c r="F62" i="27"/>
  <c r="E62" i="27"/>
  <c r="AY61" i="27"/>
  <c r="AX61" i="27"/>
  <c r="AW61" i="27"/>
  <c r="AT61" i="27"/>
  <c r="AS61" i="27"/>
  <c r="AO61" i="27"/>
  <c r="AL61" i="27"/>
  <c r="AK61" i="27"/>
  <c r="AH61" i="27"/>
  <c r="AG61" i="27"/>
  <c r="AD61" i="27"/>
  <c r="AC61" i="27"/>
  <c r="Z61" i="27"/>
  <c r="Y61" i="27"/>
  <c r="V61" i="27"/>
  <c r="U61" i="27"/>
  <c r="R61" i="27"/>
  <c r="Q61" i="27"/>
  <c r="N61" i="27"/>
  <c r="M61" i="27"/>
  <c r="J61" i="27"/>
  <c r="I61" i="27"/>
  <c r="F61" i="27"/>
  <c r="E61" i="27"/>
  <c r="AY60" i="27"/>
  <c r="AX60" i="27"/>
  <c r="AW60" i="27"/>
  <c r="AT60" i="27"/>
  <c r="AS60" i="27"/>
  <c r="AP60" i="27"/>
  <c r="AO60" i="27"/>
  <c r="AL60" i="27"/>
  <c r="AK60" i="27"/>
  <c r="AH60" i="27"/>
  <c r="AG60" i="27"/>
  <c r="AD60" i="27"/>
  <c r="AC60" i="27"/>
  <c r="Z60" i="27"/>
  <c r="Y60" i="27"/>
  <c r="V60" i="27"/>
  <c r="U60" i="27"/>
  <c r="R60" i="27"/>
  <c r="Q60" i="27"/>
  <c r="N60" i="27"/>
  <c r="M60" i="27"/>
  <c r="H60" i="27"/>
  <c r="D60" i="27"/>
  <c r="F60" i="27" s="1"/>
  <c r="AY59" i="27"/>
  <c r="AX59" i="27"/>
  <c r="AW59" i="27"/>
  <c r="AT59" i="27"/>
  <c r="AS59" i="27"/>
  <c r="AP59" i="27"/>
  <c r="AO59" i="27"/>
  <c r="AL59" i="27"/>
  <c r="AK59" i="27"/>
  <c r="AH59" i="27"/>
  <c r="AG59" i="27"/>
  <c r="AD59" i="27"/>
  <c r="AC59" i="27"/>
  <c r="Z59" i="27"/>
  <c r="Y59" i="27"/>
  <c r="V59" i="27"/>
  <c r="U59" i="27"/>
  <c r="R59" i="27"/>
  <c r="Q59" i="27"/>
  <c r="N59" i="27"/>
  <c r="M59" i="27"/>
  <c r="J59" i="27"/>
  <c r="I59" i="27"/>
  <c r="F59" i="27"/>
  <c r="E59" i="27"/>
  <c r="AY58" i="27"/>
  <c r="AX58" i="27"/>
  <c r="AW58" i="27"/>
  <c r="AT58" i="27"/>
  <c r="AS58" i="27"/>
  <c r="AP58" i="27"/>
  <c r="AO58" i="27"/>
  <c r="AL58" i="27"/>
  <c r="AK58" i="27"/>
  <c r="AH58" i="27"/>
  <c r="AG58" i="27"/>
  <c r="AD58" i="27"/>
  <c r="AC58" i="27"/>
  <c r="Z58" i="27"/>
  <c r="Y58" i="27"/>
  <c r="V58" i="27"/>
  <c r="U58" i="27"/>
  <c r="R58" i="27"/>
  <c r="Q58" i="27"/>
  <c r="N58" i="27"/>
  <c r="M58" i="27"/>
  <c r="J58" i="27"/>
  <c r="I58" i="27"/>
  <c r="F58" i="27"/>
  <c r="E58" i="27"/>
  <c r="AY57" i="27"/>
  <c r="AX57" i="27"/>
  <c r="AW57" i="27"/>
  <c r="AT57" i="27"/>
  <c r="AS57" i="27"/>
  <c r="AP57" i="27"/>
  <c r="AO57" i="27"/>
  <c r="AL57" i="27"/>
  <c r="AK57" i="27"/>
  <c r="AH57" i="27"/>
  <c r="AG57" i="27"/>
  <c r="AD57" i="27"/>
  <c r="AC57" i="27"/>
  <c r="Z57" i="27"/>
  <c r="Y57" i="27"/>
  <c r="V57" i="27"/>
  <c r="U57" i="27"/>
  <c r="R57" i="27"/>
  <c r="Q57" i="27"/>
  <c r="N57" i="27"/>
  <c r="M57" i="27"/>
  <c r="J57" i="27"/>
  <c r="I57" i="27"/>
  <c r="F57" i="27"/>
  <c r="E57" i="27"/>
  <c r="AY56" i="27"/>
  <c r="AX56" i="27"/>
  <c r="AW56" i="27"/>
  <c r="AT56" i="27"/>
  <c r="AS56" i="27"/>
  <c r="AP56" i="27"/>
  <c r="AO56" i="27"/>
  <c r="AL56" i="27"/>
  <c r="AK56" i="27"/>
  <c r="AH56" i="27"/>
  <c r="AG56" i="27"/>
  <c r="AD56" i="27"/>
  <c r="AC56" i="27"/>
  <c r="Z56" i="27"/>
  <c r="Y56" i="27"/>
  <c r="V56" i="27"/>
  <c r="U56" i="27"/>
  <c r="R56" i="27"/>
  <c r="Q56" i="27"/>
  <c r="N56" i="27"/>
  <c r="M56" i="27"/>
  <c r="J56" i="27"/>
  <c r="I56" i="27"/>
  <c r="F56" i="27"/>
  <c r="E56" i="27"/>
  <c r="AY55" i="27"/>
  <c r="AX55" i="27"/>
  <c r="AW55" i="27"/>
  <c r="AT55" i="27"/>
  <c r="AS55" i="27"/>
  <c r="AP55" i="27"/>
  <c r="AO55" i="27"/>
  <c r="AL55" i="27"/>
  <c r="AK55" i="27"/>
  <c r="AH55" i="27"/>
  <c r="AG55" i="27"/>
  <c r="AD55" i="27"/>
  <c r="AC55" i="27"/>
  <c r="Z55" i="27"/>
  <c r="Y55" i="27"/>
  <c r="V55" i="27"/>
  <c r="U55" i="27"/>
  <c r="R55" i="27"/>
  <c r="Q55" i="27"/>
  <c r="N55" i="27"/>
  <c r="M55" i="27"/>
  <c r="H55" i="27"/>
  <c r="D55" i="27"/>
  <c r="E55" i="27" s="1"/>
  <c r="AZ54" i="27"/>
  <c r="BA54" i="27" s="1"/>
  <c r="AY54" i="27"/>
  <c r="AX54" i="27"/>
  <c r="AW54" i="27"/>
  <c r="AT54" i="27"/>
  <c r="AS54" i="27"/>
  <c r="AP54" i="27"/>
  <c r="AO54" i="27"/>
  <c r="AL54" i="27"/>
  <c r="AK54" i="27"/>
  <c r="AH54" i="27"/>
  <c r="AG54" i="27"/>
  <c r="AD54" i="27"/>
  <c r="AC54" i="27"/>
  <c r="Z54" i="27"/>
  <c r="Y54" i="27"/>
  <c r="V54" i="27"/>
  <c r="U54" i="27"/>
  <c r="R54" i="27"/>
  <c r="Q54" i="27"/>
  <c r="N54" i="27"/>
  <c r="M54" i="27"/>
  <c r="J54" i="27"/>
  <c r="I54" i="27"/>
  <c r="F54" i="27"/>
  <c r="E54" i="27"/>
  <c r="AZ53" i="27"/>
  <c r="BA53" i="27" s="1"/>
  <c r="AY53" i="27"/>
  <c r="AX53" i="27"/>
  <c r="AW53" i="27"/>
  <c r="AT53" i="27"/>
  <c r="AS53" i="27"/>
  <c r="AP53" i="27"/>
  <c r="AO53" i="27"/>
  <c r="AL53" i="27"/>
  <c r="AK53" i="27"/>
  <c r="AH53" i="27"/>
  <c r="AG53" i="27"/>
  <c r="AD53" i="27"/>
  <c r="AC53" i="27"/>
  <c r="Z53" i="27"/>
  <c r="Y53" i="27"/>
  <c r="V53" i="27"/>
  <c r="U53" i="27"/>
  <c r="R53" i="27"/>
  <c r="Q53" i="27"/>
  <c r="N53" i="27"/>
  <c r="M53" i="27"/>
  <c r="J53" i="27"/>
  <c r="I53" i="27"/>
  <c r="F53" i="27"/>
  <c r="E53" i="27"/>
  <c r="AZ52" i="27"/>
  <c r="BA52" i="27" s="1"/>
  <c r="AY52" i="27"/>
  <c r="AX52" i="27"/>
  <c r="AW52" i="27"/>
  <c r="AT52" i="27"/>
  <c r="AS52" i="27"/>
  <c r="AP52" i="27"/>
  <c r="AO52" i="27"/>
  <c r="AL52" i="27"/>
  <c r="AK52" i="27"/>
  <c r="AH52" i="27"/>
  <c r="AG52" i="27"/>
  <c r="AD52" i="27"/>
  <c r="AC52" i="27"/>
  <c r="Z52" i="27"/>
  <c r="Y52" i="27"/>
  <c r="V52" i="27"/>
  <c r="U52" i="27"/>
  <c r="R52" i="27"/>
  <c r="Q52" i="27"/>
  <c r="N52" i="27"/>
  <c r="M52" i="27"/>
  <c r="J52" i="27"/>
  <c r="I52" i="27"/>
  <c r="F52" i="27"/>
  <c r="E52" i="27"/>
  <c r="AZ51" i="27"/>
  <c r="BA51" i="27" s="1"/>
  <c r="AY51" i="27"/>
  <c r="AX51" i="27"/>
  <c r="AW51" i="27"/>
  <c r="AT51" i="27"/>
  <c r="AS51" i="27"/>
  <c r="AP51" i="27"/>
  <c r="AO51" i="27"/>
  <c r="AL51" i="27"/>
  <c r="AK51" i="27"/>
  <c r="AH51" i="27"/>
  <c r="AG51" i="27"/>
  <c r="AD51" i="27"/>
  <c r="AC51" i="27"/>
  <c r="Z51" i="27"/>
  <c r="Y51" i="27"/>
  <c r="V51" i="27"/>
  <c r="U51" i="27"/>
  <c r="R51" i="27"/>
  <c r="Q51" i="27"/>
  <c r="N51" i="27"/>
  <c r="M51" i="27"/>
  <c r="J51" i="27"/>
  <c r="I51" i="27"/>
  <c r="F51" i="27"/>
  <c r="E51" i="27"/>
  <c r="AZ50" i="27"/>
  <c r="BA50" i="27" s="1"/>
  <c r="AY50" i="27"/>
  <c r="AX50" i="27"/>
  <c r="AW50" i="27"/>
  <c r="AT50" i="27"/>
  <c r="AS50" i="27"/>
  <c r="AP50" i="27"/>
  <c r="AO50" i="27"/>
  <c r="AL50" i="27"/>
  <c r="AK50" i="27"/>
  <c r="AH50" i="27"/>
  <c r="AG50" i="27"/>
  <c r="AD50" i="27"/>
  <c r="AC50" i="27"/>
  <c r="Z50" i="27"/>
  <c r="Y50" i="27"/>
  <c r="V50" i="27"/>
  <c r="U50" i="27"/>
  <c r="R50" i="27"/>
  <c r="Q50" i="27"/>
  <c r="N50" i="27"/>
  <c r="M50" i="27"/>
  <c r="J50" i="27"/>
  <c r="I50" i="27"/>
  <c r="F50" i="27"/>
  <c r="E50" i="27"/>
  <c r="AZ49" i="27"/>
  <c r="BA49" i="27" s="1"/>
  <c r="AY49" i="27"/>
  <c r="AX49" i="27"/>
  <c r="AW49" i="27"/>
  <c r="AT49" i="27"/>
  <c r="AS49" i="27"/>
  <c r="AP49" i="27"/>
  <c r="AO49" i="27"/>
  <c r="AL49" i="27"/>
  <c r="AK49" i="27"/>
  <c r="AH49" i="27"/>
  <c r="AG49" i="27"/>
  <c r="AD49" i="27"/>
  <c r="AC49" i="27"/>
  <c r="Z49" i="27"/>
  <c r="Y49" i="27"/>
  <c r="V49" i="27"/>
  <c r="U49" i="27"/>
  <c r="R49" i="27"/>
  <c r="Q49" i="27"/>
  <c r="N49" i="27"/>
  <c r="M49" i="27"/>
  <c r="J49" i="27"/>
  <c r="I49" i="27"/>
  <c r="F49" i="27"/>
  <c r="E49" i="27"/>
  <c r="AY48" i="27"/>
  <c r="AX48" i="27"/>
  <c r="AW48" i="27"/>
  <c r="AT48" i="27"/>
  <c r="AS48" i="27"/>
  <c r="AP48" i="27"/>
  <c r="AO48" i="27"/>
  <c r="AL48" i="27"/>
  <c r="AK48" i="27"/>
  <c r="AH48" i="27"/>
  <c r="AG48" i="27"/>
  <c r="AD48" i="27"/>
  <c r="AC48" i="27"/>
  <c r="Z48" i="27"/>
  <c r="Y48" i="27"/>
  <c r="V48" i="27"/>
  <c r="U48" i="27"/>
  <c r="R48" i="27"/>
  <c r="Q48" i="27"/>
  <c r="N48" i="27"/>
  <c r="M48" i="27"/>
  <c r="H48" i="27"/>
  <c r="D48" i="27"/>
  <c r="E48" i="27" s="1"/>
  <c r="AV47" i="27"/>
  <c r="AU47" i="27"/>
  <c r="AR47" i="27"/>
  <c r="AQ47" i="27"/>
  <c r="AN47" i="27"/>
  <c r="AM47" i="27"/>
  <c r="AJ47" i="27"/>
  <c r="AI47" i="27"/>
  <c r="AF47" i="27"/>
  <c r="AE47" i="27"/>
  <c r="AB47" i="27"/>
  <c r="AA47" i="27"/>
  <c r="X47" i="27"/>
  <c r="W47" i="27"/>
  <c r="T47" i="27"/>
  <c r="S47" i="27"/>
  <c r="P47" i="27"/>
  <c r="O47" i="27"/>
  <c r="L47" i="27"/>
  <c r="K47" i="27"/>
  <c r="G47" i="27"/>
  <c r="C47" i="27"/>
  <c r="AY43" i="27"/>
  <c r="AP43" i="27"/>
  <c r="AL43" i="27"/>
  <c r="AK43" i="27"/>
  <c r="AH43" i="27"/>
  <c r="AG43" i="27"/>
  <c r="AD43" i="27"/>
  <c r="Z43" i="27"/>
  <c r="V43" i="27"/>
  <c r="U43" i="27"/>
  <c r="R43" i="27"/>
  <c r="Q43" i="27"/>
  <c r="L43" i="27"/>
  <c r="L42" i="27" s="1"/>
  <c r="J43" i="27"/>
  <c r="I43" i="27"/>
  <c r="F43" i="27"/>
  <c r="E43" i="27"/>
  <c r="AV42" i="27"/>
  <c r="AU42" i="27"/>
  <c r="AR42" i="27"/>
  <c r="AQ42" i="27"/>
  <c r="AN42" i="27"/>
  <c r="AM42" i="27"/>
  <c r="AJ42" i="27"/>
  <c r="AI42" i="27"/>
  <c r="AF42" i="27"/>
  <c r="AE42" i="27"/>
  <c r="AB42" i="27"/>
  <c r="AA42" i="27"/>
  <c r="X42" i="27"/>
  <c r="W42" i="27"/>
  <c r="T42" i="27"/>
  <c r="S42" i="27"/>
  <c r="P42" i="27"/>
  <c r="O42" i="27"/>
  <c r="K42" i="27"/>
  <c r="H42" i="27"/>
  <c r="G42" i="27"/>
  <c r="D42" i="27"/>
  <c r="C42" i="27"/>
  <c r="AZ40" i="27"/>
  <c r="BA40" i="27" s="1"/>
  <c r="AY40" i="27"/>
  <c r="AW40" i="27"/>
  <c r="AS40" i="27"/>
  <c r="AO40" i="27"/>
  <c r="AK40" i="27"/>
  <c r="AG40" i="27"/>
  <c r="AC40" i="27"/>
  <c r="Y40" i="27"/>
  <c r="U40" i="27"/>
  <c r="Q40" i="27"/>
  <c r="M40" i="27"/>
  <c r="I40" i="27"/>
  <c r="E40" i="27"/>
  <c r="AZ39" i="27"/>
  <c r="BA39" i="27" s="1"/>
  <c r="AY39" i="27"/>
  <c r="AX39" i="27"/>
  <c r="AW39" i="27"/>
  <c r="AS39" i="27"/>
  <c r="AO39" i="27"/>
  <c r="AK39" i="27"/>
  <c r="AG39" i="27"/>
  <c r="AC39" i="27"/>
  <c r="Y39" i="27"/>
  <c r="V39" i="27"/>
  <c r="U39" i="27"/>
  <c r="Q39" i="27"/>
  <c r="M39" i="27"/>
  <c r="I39" i="27"/>
  <c r="E39" i="27"/>
  <c r="AZ38" i="27"/>
  <c r="BA38" i="27" s="1"/>
  <c r="AY38" i="27"/>
  <c r="AW38" i="27"/>
  <c r="AS38" i="27"/>
  <c r="AO38" i="27"/>
  <c r="AK38" i="27"/>
  <c r="AG38" i="27"/>
  <c r="AC38" i="27"/>
  <c r="Y38" i="27"/>
  <c r="U38" i="27"/>
  <c r="Q38" i="27"/>
  <c r="M38" i="27"/>
  <c r="I38" i="27"/>
  <c r="E38" i="27"/>
  <c r="AZ37" i="27"/>
  <c r="BA37" i="27" s="1"/>
  <c r="AY37" i="27"/>
  <c r="AX37" i="27"/>
  <c r="AW37" i="27"/>
  <c r="AT37" i="27"/>
  <c r="AS37" i="27"/>
  <c r="AO37" i="27"/>
  <c r="AL37" i="27"/>
  <c r="AK37" i="27"/>
  <c r="AG37" i="27"/>
  <c r="AC37" i="27"/>
  <c r="Z37" i="27"/>
  <c r="Y37" i="27"/>
  <c r="V37" i="27"/>
  <c r="U37" i="27"/>
  <c r="R37" i="27"/>
  <c r="Q37" i="27"/>
  <c r="N37" i="27"/>
  <c r="M37" i="27"/>
  <c r="J37" i="27"/>
  <c r="I37" i="27"/>
  <c r="F37" i="27"/>
  <c r="E37" i="27"/>
  <c r="AZ36" i="27"/>
  <c r="BA36" i="27" s="1"/>
  <c r="AY36" i="27"/>
  <c r="AW36" i="27"/>
  <c r="AS36" i="27"/>
  <c r="AO36" i="27"/>
  <c r="AK36" i="27"/>
  <c r="AG36" i="27"/>
  <c r="AC36" i="27"/>
  <c r="Y36" i="27"/>
  <c r="U36" i="27"/>
  <c r="Q36" i="27"/>
  <c r="M36" i="27"/>
  <c r="I36" i="27"/>
  <c r="E36" i="27"/>
  <c r="AZ35" i="27"/>
  <c r="BA35" i="27" s="1"/>
  <c r="AY35" i="27"/>
  <c r="AW35" i="27"/>
  <c r="AS35" i="27"/>
  <c r="AO35" i="27"/>
  <c r="AK35" i="27"/>
  <c r="AG35" i="27"/>
  <c r="AC35" i="27"/>
  <c r="Y35" i="27"/>
  <c r="U35" i="27"/>
  <c r="Q35" i="27"/>
  <c r="M35" i="27"/>
  <c r="I35" i="27"/>
  <c r="E35" i="27"/>
  <c r="AZ34" i="27"/>
  <c r="BA34" i="27" s="1"/>
  <c r="AY34" i="27"/>
  <c r="AX34" i="27"/>
  <c r="AW34" i="27"/>
  <c r="AT34" i="27"/>
  <c r="AS34" i="27"/>
  <c r="AP34" i="27"/>
  <c r="AO34" i="27"/>
  <c r="AL34" i="27"/>
  <c r="AK34" i="27"/>
  <c r="AH34" i="27"/>
  <c r="AG34" i="27"/>
  <c r="AC34" i="27"/>
  <c r="Z34" i="27"/>
  <c r="Y34" i="27"/>
  <c r="V34" i="27"/>
  <c r="U34" i="27"/>
  <c r="R34" i="27"/>
  <c r="Q34" i="27"/>
  <c r="N34" i="27"/>
  <c r="M34" i="27"/>
  <c r="J34" i="27"/>
  <c r="I34" i="27"/>
  <c r="F34" i="27"/>
  <c r="E34" i="27"/>
  <c r="AZ33" i="27"/>
  <c r="BA33" i="27" s="1"/>
  <c r="AY33" i="27"/>
  <c r="AW33" i="27"/>
  <c r="AS33" i="27"/>
  <c r="AO33" i="27"/>
  <c r="AK33" i="27"/>
  <c r="AG33" i="27"/>
  <c r="AC33" i="27"/>
  <c r="Y33" i="27"/>
  <c r="U33" i="27"/>
  <c r="Q33" i="27"/>
  <c r="M33" i="27"/>
  <c r="I33" i="27"/>
  <c r="E33" i="27"/>
  <c r="AZ32" i="27"/>
  <c r="BA32" i="27" s="1"/>
  <c r="AY32" i="27"/>
  <c r="AW32" i="27"/>
  <c r="AS32" i="27"/>
  <c r="AO32" i="27"/>
  <c r="AK32" i="27"/>
  <c r="AG32" i="27"/>
  <c r="AC32" i="27"/>
  <c r="Y32" i="27"/>
  <c r="U32" i="27"/>
  <c r="Q32" i="27"/>
  <c r="M32" i="27"/>
  <c r="I32" i="27"/>
  <c r="E32" i="27"/>
  <c r="AZ31" i="27"/>
  <c r="BA31" i="27" s="1"/>
  <c r="AY31" i="27"/>
  <c r="AX31" i="27"/>
  <c r="AW31" i="27"/>
  <c r="AT31" i="27"/>
  <c r="AS31" i="27"/>
  <c r="AP31" i="27"/>
  <c r="AO31" i="27"/>
  <c r="AL31" i="27"/>
  <c r="AK31" i="27"/>
  <c r="AH31" i="27"/>
  <c r="AG31" i="27"/>
  <c r="AC31" i="27"/>
  <c r="Z31" i="27"/>
  <c r="Y31" i="27"/>
  <c r="V31" i="27"/>
  <c r="U31" i="27"/>
  <c r="R31" i="27"/>
  <c r="Q31" i="27"/>
  <c r="N31" i="27"/>
  <c r="M31" i="27"/>
  <c r="J31" i="27"/>
  <c r="I31" i="27"/>
  <c r="F31" i="27"/>
  <c r="E31" i="27"/>
  <c r="AZ30" i="27"/>
  <c r="BA30" i="27" s="1"/>
  <c r="AY30" i="27"/>
  <c r="AX30" i="27"/>
  <c r="AW30" i="27"/>
  <c r="AT30" i="27"/>
  <c r="AS30" i="27"/>
  <c r="AP30" i="27"/>
  <c r="AO30" i="27"/>
  <c r="AL30" i="27"/>
  <c r="AK30" i="27"/>
  <c r="AH30" i="27"/>
  <c r="AG30" i="27"/>
  <c r="AD30" i="27"/>
  <c r="AC30" i="27"/>
  <c r="Z30" i="27"/>
  <c r="Y30" i="27"/>
  <c r="V30" i="27"/>
  <c r="U30" i="27"/>
  <c r="R30" i="27"/>
  <c r="Q30" i="27"/>
  <c r="N30" i="27"/>
  <c r="M30" i="27"/>
  <c r="J30" i="27"/>
  <c r="I30" i="27"/>
  <c r="F30" i="27"/>
  <c r="E30" i="27"/>
  <c r="AY29" i="27"/>
  <c r="AX29" i="27"/>
  <c r="AW29" i="27"/>
  <c r="AT29" i="27"/>
  <c r="AS29" i="27"/>
  <c r="AP29" i="27"/>
  <c r="AO29" i="27"/>
  <c r="AL29" i="27"/>
  <c r="AK29" i="27"/>
  <c r="AH29" i="27"/>
  <c r="AG29" i="27"/>
  <c r="AD29" i="27"/>
  <c r="AC29" i="27"/>
  <c r="Z29" i="27"/>
  <c r="Y29" i="27"/>
  <c r="V29" i="27"/>
  <c r="U29" i="27"/>
  <c r="R29" i="27"/>
  <c r="Q29" i="27"/>
  <c r="N29" i="27"/>
  <c r="M29" i="27"/>
  <c r="J29" i="27"/>
  <c r="I29" i="27"/>
  <c r="D29" i="27"/>
  <c r="AZ29" i="27" s="1"/>
  <c r="BA29" i="27" s="1"/>
  <c r="AZ28" i="27"/>
  <c r="BA28" i="27" s="1"/>
  <c r="AY28" i="27"/>
  <c r="AX28" i="27"/>
  <c r="AW28" i="27"/>
  <c r="AT28" i="27"/>
  <c r="AS28" i="27"/>
  <c r="AP28" i="27"/>
  <c r="AO28" i="27"/>
  <c r="AL28" i="27"/>
  <c r="AK28" i="27"/>
  <c r="AH28" i="27"/>
  <c r="AG28" i="27"/>
  <c r="AD28" i="27"/>
  <c r="AC28" i="27"/>
  <c r="Z28" i="27"/>
  <c r="Y28" i="27"/>
  <c r="V28" i="27"/>
  <c r="U28" i="27"/>
  <c r="R28" i="27"/>
  <c r="Q28" i="27"/>
  <c r="N28" i="27"/>
  <c r="M28" i="27"/>
  <c r="J28" i="27"/>
  <c r="I28" i="27"/>
  <c r="F28" i="27"/>
  <c r="E28" i="27"/>
  <c r="AZ27" i="27"/>
  <c r="BA27" i="27" s="1"/>
  <c r="AY27" i="27"/>
  <c r="AW27" i="27"/>
  <c r="AS27" i="27"/>
  <c r="AO27" i="27"/>
  <c r="AK27" i="27"/>
  <c r="AG27" i="27"/>
  <c r="AC27" i="27"/>
  <c r="Y27" i="27"/>
  <c r="U27" i="27"/>
  <c r="Q27" i="27"/>
  <c r="M27" i="27"/>
  <c r="I27" i="27"/>
  <c r="E27" i="27"/>
  <c r="AZ26" i="27"/>
  <c r="BA26" i="27" s="1"/>
  <c r="AY26" i="27"/>
  <c r="AX26" i="27"/>
  <c r="AW26" i="27"/>
  <c r="AT26" i="27"/>
  <c r="AS26" i="27"/>
  <c r="AP26" i="27"/>
  <c r="AO26" i="27"/>
  <c r="AL26" i="27"/>
  <c r="AK26" i="27"/>
  <c r="AH26" i="27"/>
  <c r="AG26" i="27"/>
  <c r="AD26" i="27"/>
  <c r="AC26" i="27"/>
  <c r="Z26" i="27"/>
  <c r="Y26" i="27"/>
  <c r="V26" i="27"/>
  <c r="U26" i="27"/>
  <c r="R26" i="27"/>
  <c r="Q26" i="27"/>
  <c r="N26" i="27"/>
  <c r="M26" i="27"/>
  <c r="J26" i="27"/>
  <c r="I26" i="27"/>
  <c r="F26" i="27"/>
  <c r="E26" i="27"/>
  <c r="AY25" i="27"/>
  <c r="AX25" i="27"/>
  <c r="AW25" i="27"/>
  <c r="AT25" i="27"/>
  <c r="AS25" i="27"/>
  <c r="AP25" i="27"/>
  <c r="AO25" i="27"/>
  <c r="AL25" i="27"/>
  <c r="AK25" i="27"/>
  <c r="AH25" i="27"/>
  <c r="AG25" i="27"/>
  <c r="AD25" i="27"/>
  <c r="AC25" i="27"/>
  <c r="Z25" i="27"/>
  <c r="Y25" i="27"/>
  <c r="V25" i="27"/>
  <c r="U25" i="27"/>
  <c r="R25" i="27"/>
  <c r="Q25" i="27"/>
  <c r="N25" i="27"/>
  <c r="M25" i="27"/>
  <c r="H25" i="27"/>
  <c r="D25" i="27"/>
  <c r="F25" i="27" s="1"/>
  <c r="AZ24" i="27"/>
  <c r="BA24" i="27" s="1"/>
  <c r="AY24" i="27"/>
  <c r="AW24" i="27"/>
  <c r="AS24" i="27"/>
  <c r="AO24" i="27"/>
  <c r="AK24" i="27"/>
  <c r="AG24" i="27"/>
  <c r="AC24" i="27"/>
  <c r="Y24" i="27"/>
  <c r="U24" i="27"/>
  <c r="Q24" i="27"/>
  <c r="M24" i="27"/>
  <c r="I24" i="27"/>
  <c r="E24" i="27"/>
  <c r="AY23" i="27"/>
  <c r="AX23" i="27"/>
  <c r="AW23" i="27"/>
  <c r="AT23" i="27"/>
  <c r="AS23" i="27"/>
  <c r="AP23" i="27"/>
  <c r="AO23" i="27"/>
  <c r="AL23" i="27"/>
  <c r="AK23" i="27"/>
  <c r="AH23" i="27"/>
  <c r="AG23" i="27"/>
  <c r="AD23" i="27"/>
  <c r="AC23" i="27"/>
  <c r="Z23" i="27"/>
  <c r="Y23" i="27"/>
  <c r="V23" i="27"/>
  <c r="U23" i="27"/>
  <c r="R23" i="27"/>
  <c r="Q23" i="27"/>
  <c r="N23" i="27"/>
  <c r="M23" i="27"/>
  <c r="J23" i="27"/>
  <c r="I23" i="27"/>
  <c r="D23" i="27"/>
  <c r="AZ22" i="27"/>
  <c r="BA22" i="27" s="1"/>
  <c r="AY22" i="27"/>
  <c r="AW22" i="27"/>
  <c r="AS22" i="27"/>
  <c r="AO22" i="27"/>
  <c r="AK22" i="27"/>
  <c r="AG22" i="27"/>
  <c r="AC22" i="27"/>
  <c r="Y22" i="27"/>
  <c r="U22" i="27"/>
  <c r="Q22" i="27"/>
  <c r="M22" i="27"/>
  <c r="I22" i="27"/>
  <c r="E22" i="27"/>
  <c r="AZ21" i="27"/>
  <c r="BA21" i="27" s="1"/>
  <c r="AY21" i="27"/>
  <c r="AX21" i="27"/>
  <c r="AW21" i="27"/>
  <c r="AT21" i="27"/>
  <c r="AS21" i="27"/>
  <c r="AP21" i="27"/>
  <c r="AO21" i="27"/>
  <c r="AL21" i="27"/>
  <c r="AK21" i="27"/>
  <c r="AH21" i="27"/>
  <c r="AG21" i="27"/>
  <c r="AD21" i="27"/>
  <c r="AC21" i="27"/>
  <c r="Z21" i="27"/>
  <c r="Y21" i="27"/>
  <c r="V21" i="27"/>
  <c r="U21" i="27"/>
  <c r="R21" i="27"/>
  <c r="Q21" i="27"/>
  <c r="N21" i="27"/>
  <c r="M21" i="27"/>
  <c r="J21" i="27"/>
  <c r="I21" i="27"/>
  <c r="F21" i="27"/>
  <c r="E21" i="27"/>
  <c r="AZ20" i="27"/>
  <c r="BA20" i="27" s="1"/>
  <c r="AY20" i="27"/>
  <c r="AX20" i="27"/>
  <c r="AW20" i="27"/>
  <c r="AT20" i="27"/>
  <c r="AS20" i="27"/>
  <c r="AP20" i="27"/>
  <c r="AO20" i="27"/>
  <c r="AL20" i="27"/>
  <c r="AK20" i="27"/>
  <c r="AH20" i="27"/>
  <c r="AG20" i="27"/>
  <c r="AD20" i="27"/>
  <c r="AC20" i="27"/>
  <c r="Z20" i="27"/>
  <c r="Y20" i="27"/>
  <c r="V20" i="27"/>
  <c r="U20" i="27"/>
  <c r="R20" i="27"/>
  <c r="Q20" i="27"/>
  <c r="N20" i="27"/>
  <c r="M20" i="27"/>
  <c r="J20" i="27"/>
  <c r="I20" i="27"/>
  <c r="F20" i="27"/>
  <c r="E20" i="27"/>
  <c r="AV19" i="27"/>
  <c r="AU19" i="27"/>
  <c r="AR19" i="27"/>
  <c r="AQ19" i="27"/>
  <c r="AN19" i="27"/>
  <c r="AM19" i="27"/>
  <c r="AJ19" i="27"/>
  <c r="AI19" i="27"/>
  <c r="AF19" i="27"/>
  <c r="AE19" i="27"/>
  <c r="AB19" i="27"/>
  <c r="AA19" i="27"/>
  <c r="X19" i="27"/>
  <c r="W19" i="27"/>
  <c r="T19" i="27"/>
  <c r="S19" i="27"/>
  <c r="P19" i="27"/>
  <c r="O19" i="27"/>
  <c r="L19" i="27"/>
  <c r="K19" i="27"/>
  <c r="G19" i="27"/>
  <c r="C19" i="27"/>
  <c r="AZ18" i="27"/>
  <c r="BA18" i="27" s="1"/>
  <c r="AY18" i="27"/>
  <c r="AX18" i="27"/>
  <c r="AW18" i="27"/>
  <c r="AT18" i="27"/>
  <c r="AS18" i="27"/>
  <c r="AP18" i="27"/>
  <c r="AO18" i="27"/>
  <c r="AL18" i="27"/>
  <c r="AK18" i="27"/>
  <c r="AH18" i="27"/>
  <c r="AG18" i="27"/>
  <c r="AD18" i="27"/>
  <c r="AC18" i="27"/>
  <c r="Z18" i="27"/>
  <c r="Y18" i="27"/>
  <c r="V18" i="27"/>
  <c r="U18" i="27"/>
  <c r="R18" i="27"/>
  <c r="Q18" i="27"/>
  <c r="N18" i="27"/>
  <c r="M18" i="27"/>
  <c r="J18" i="27"/>
  <c r="I18" i="27"/>
  <c r="F18" i="27"/>
  <c r="E18" i="27"/>
  <c r="AZ17" i="27"/>
  <c r="BA17" i="27" s="1"/>
  <c r="AY17" i="27"/>
  <c r="AX17" i="27"/>
  <c r="AW17" i="27"/>
  <c r="AT17" i="27"/>
  <c r="AS17" i="27"/>
  <c r="AP17" i="27"/>
  <c r="AO17" i="27"/>
  <c r="AL17" i="27"/>
  <c r="AK17" i="27"/>
  <c r="AH17" i="27"/>
  <c r="AG17" i="27"/>
  <c r="AD17" i="27"/>
  <c r="AC17" i="27"/>
  <c r="Z17" i="27"/>
  <c r="Y17" i="27"/>
  <c r="V17" i="27"/>
  <c r="U17" i="27"/>
  <c r="R17" i="27"/>
  <c r="Q17" i="27"/>
  <c r="N17" i="27"/>
  <c r="M17" i="27"/>
  <c r="J17" i="27"/>
  <c r="I17" i="27"/>
  <c r="F17" i="27"/>
  <c r="E17" i="27"/>
  <c r="AZ16" i="27"/>
  <c r="BA16" i="27" s="1"/>
  <c r="AY16" i="27"/>
  <c r="AX16" i="27"/>
  <c r="AW16" i="27"/>
  <c r="AT16" i="27"/>
  <c r="AS16" i="27"/>
  <c r="AP16" i="27"/>
  <c r="AO16" i="27"/>
  <c r="AL16" i="27"/>
  <c r="AK16" i="27"/>
  <c r="AH16" i="27"/>
  <c r="AG16" i="27"/>
  <c r="AD16" i="27"/>
  <c r="AC16" i="27"/>
  <c r="Z16" i="27"/>
  <c r="Y16" i="27"/>
  <c r="V16" i="27"/>
  <c r="U16" i="27"/>
  <c r="R16" i="27"/>
  <c r="Q16" i="27"/>
  <c r="N16" i="27"/>
  <c r="M16" i="27"/>
  <c r="J16" i="27"/>
  <c r="I16" i="27"/>
  <c r="F16" i="27"/>
  <c r="E16" i="27"/>
  <c r="AV15" i="27"/>
  <c r="AU15" i="27"/>
  <c r="AR15" i="27"/>
  <c r="AQ15" i="27"/>
  <c r="AN15" i="27"/>
  <c r="AM15" i="27"/>
  <c r="AJ15" i="27"/>
  <c r="AI15" i="27"/>
  <c r="AF15" i="27"/>
  <c r="AE15" i="27"/>
  <c r="AB15" i="27"/>
  <c r="AA15" i="27"/>
  <c r="X15" i="27"/>
  <c r="W15" i="27"/>
  <c r="T15" i="27"/>
  <c r="S15" i="27"/>
  <c r="P15" i="27"/>
  <c r="O15" i="27"/>
  <c r="L15" i="27"/>
  <c r="K15" i="27"/>
  <c r="H15" i="27"/>
  <c r="G15" i="27"/>
  <c r="D15" i="27"/>
  <c r="C15" i="27"/>
  <c r="AY14" i="27"/>
  <c r="AX14" i="27"/>
  <c r="AW14" i="27"/>
  <c r="AT14" i="27"/>
  <c r="AS14" i="27"/>
  <c r="AP14" i="27"/>
  <c r="AO14" i="27"/>
  <c r="AL14" i="27"/>
  <c r="AK14" i="27"/>
  <c r="AH14" i="27"/>
  <c r="AG14" i="27"/>
  <c r="AD14" i="27"/>
  <c r="AC14" i="27"/>
  <c r="Z14" i="27"/>
  <c r="Y14" i="27"/>
  <c r="T14" i="27"/>
  <c r="U14" i="27" s="1"/>
  <c r="P14" i="27"/>
  <c r="R14" i="27" s="1"/>
  <c r="L14" i="27"/>
  <c r="M14" i="27" s="1"/>
  <c r="H14" i="27"/>
  <c r="D14" i="27"/>
  <c r="E14" i="27" s="1"/>
  <c r="AZ13" i="27"/>
  <c r="BA13" i="27" s="1"/>
  <c r="AY13" i="27"/>
  <c r="AX13" i="27"/>
  <c r="AW13" i="27"/>
  <c r="AT13" i="27"/>
  <c r="AS13" i="27"/>
  <c r="AP13" i="27"/>
  <c r="AO13" i="27"/>
  <c r="AL13" i="27"/>
  <c r="AK13" i="27"/>
  <c r="AH13" i="27"/>
  <c r="AG13" i="27"/>
  <c r="AD13" i="27"/>
  <c r="AC13" i="27"/>
  <c r="Z13" i="27"/>
  <c r="Y13" i="27"/>
  <c r="V13" i="27"/>
  <c r="U13" i="27"/>
  <c r="R13" i="27"/>
  <c r="Q13" i="27"/>
  <c r="N13" i="27"/>
  <c r="M13" i="27"/>
  <c r="J13" i="27"/>
  <c r="I13" i="27"/>
  <c r="F13" i="27"/>
  <c r="E13" i="27"/>
  <c r="AY12" i="27"/>
  <c r="AX12" i="27"/>
  <c r="AW12" i="27"/>
  <c r="AT12" i="27"/>
  <c r="AS12" i="27"/>
  <c r="AP12" i="27"/>
  <c r="AO12" i="27"/>
  <c r="AL12" i="27"/>
  <c r="AK12" i="27"/>
  <c r="AH12" i="27"/>
  <c r="AG12" i="27"/>
  <c r="AD12" i="27"/>
  <c r="AC12" i="27"/>
  <c r="Z12" i="27"/>
  <c r="Y12" i="27"/>
  <c r="V12" i="27"/>
  <c r="U12" i="27"/>
  <c r="R12" i="27"/>
  <c r="Q12" i="27"/>
  <c r="N12" i="27"/>
  <c r="M12" i="27"/>
  <c r="H12" i="27"/>
  <c r="D12" i="27"/>
  <c r="AZ11" i="27"/>
  <c r="BA11" i="27" s="1"/>
  <c r="AY11" i="27"/>
  <c r="AW11" i="27"/>
  <c r="AS11" i="27"/>
  <c r="AO11" i="27"/>
  <c r="AK11" i="27"/>
  <c r="AG11" i="27"/>
  <c r="AC11" i="27"/>
  <c r="Y11" i="27"/>
  <c r="U11" i="27"/>
  <c r="M11" i="27"/>
  <c r="I11" i="27"/>
  <c r="E11" i="27"/>
  <c r="AZ10" i="27"/>
  <c r="BA10" i="27" s="1"/>
  <c r="AY10" i="27"/>
  <c r="AW10" i="27"/>
  <c r="AO10" i="27"/>
  <c r="AK10" i="27"/>
  <c r="AG10" i="27"/>
  <c r="AC10" i="27"/>
  <c r="Y10" i="27"/>
  <c r="U10" i="27"/>
  <c r="Q10" i="27"/>
  <c r="M10" i="27"/>
  <c r="I10" i="27"/>
  <c r="E10" i="27"/>
  <c r="AY9" i="27"/>
  <c r="AX9" i="27"/>
  <c r="AW9" i="27"/>
  <c r="AT9" i="27"/>
  <c r="AS9" i="27"/>
  <c r="AP9" i="27"/>
  <c r="AO9" i="27"/>
  <c r="AL9" i="27"/>
  <c r="AK9" i="27"/>
  <c r="AH9" i="27"/>
  <c r="AG9" i="27"/>
  <c r="AB9" i="27"/>
  <c r="AB8" i="27" s="1"/>
  <c r="X9" i="27"/>
  <c r="Y9" i="27" s="1"/>
  <c r="V9" i="27"/>
  <c r="U9" i="27"/>
  <c r="R9" i="27"/>
  <c r="Q9" i="27"/>
  <c r="N9" i="27"/>
  <c r="M9" i="27"/>
  <c r="H9" i="27"/>
  <c r="J9" i="27" s="1"/>
  <c r="D9" i="27"/>
  <c r="E9" i="27" s="1"/>
  <c r="AV8" i="27"/>
  <c r="AU8" i="27"/>
  <c r="AR8" i="27"/>
  <c r="AQ8" i="27"/>
  <c r="AN8" i="27"/>
  <c r="AM8" i="27"/>
  <c r="AJ8" i="27"/>
  <c r="AI8" i="27"/>
  <c r="AF8" i="27"/>
  <c r="AE8" i="27"/>
  <c r="AA8" i="27"/>
  <c r="W8" i="27"/>
  <c r="S8" i="27"/>
  <c r="O8" i="27"/>
  <c r="K8" i="27"/>
  <c r="G8" i="27"/>
  <c r="C8" i="27"/>
  <c r="U216" i="22"/>
  <c r="U212" i="22" s="1"/>
  <c r="T216" i="22"/>
  <c r="S216" i="22"/>
  <c r="Q216" i="22"/>
  <c r="Q212" i="22" s="1"/>
  <c r="P216" i="22"/>
  <c r="O216" i="22"/>
  <c r="M216" i="22"/>
  <c r="M212" i="22" s="1"/>
  <c r="K216" i="22"/>
  <c r="I216" i="22"/>
  <c r="I212" i="22" s="1"/>
  <c r="H216" i="22"/>
  <c r="G216" i="22"/>
  <c r="E216" i="22"/>
  <c r="E212" i="22" s="1"/>
  <c r="D216" i="22"/>
  <c r="C216" i="22"/>
  <c r="C212" i="22" s="1"/>
  <c r="G212" i="22" s="1"/>
  <c r="H212" i="22"/>
  <c r="AX208" i="22"/>
  <c r="AW208" i="22"/>
  <c r="AW207" i="22" s="1"/>
  <c r="AT208" i="22"/>
  <c r="AS208" i="22"/>
  <c r="AS207" i="22" s="1"/>
  <c r="AP208" i="22"/>
  <c r="AO208" i="22"/>
  <c r="AL208" i="22"/>
  <c r="AK208" i="22"/>
  <c r="AK207" i="22" s="1"/>
  <c r="AH208" i="22"/>
  <c r="AG208" i="22"/>
  <c r="AG207" i="22" s="1"/>
  <c r="AD208" i="22"/>
  <c r="AC208" i="22"/>
  <c r="AC207" i="22" s="1"/>
  <c r="Z208" i="22"/>
  <c r="Y208" i="22"/>
  <c r="Y207" i="22" s="1"/>
  <c r="S208" i="22"/>
  <c r="V208" i="22" s="1"/>
  <c r="R208" i="22"/>
  <c r="Q208" i="22"/>
  <c r="N208" i="22"/>
  <c r="M208" i="22"/>
  <c r="H208" i="22"/>
  <c r="D208" i="22"/>
  <c r="D207" i="22" s="1"/>
  <c r="AV207" i="22"/>
  <c r="AU207" i="22"/>
  <c r="AR207" i="22"/>
  <c r="AQ207" i="22"/>
  <c r="AO207" i="22"/>
  <c r="AN207" i="22"/>
  <c r="AM207" i="22"/>
  <c r="AJ207" i="22"/>
  <c r="AI207" i="22"/>
  <c r="AF207" i="22"/>
  <c r="AE207" i="22"/>
  <c r="AB207" i="22"/>
  <c r="AA207" i="22"/>
  <c r="X207" i="22"/>
  <c r="W207" i="22"/>
  <c r="T207" i="22"/>
  <c r="P207" i="22"/>
  <c r="O207" i="22"/>
  <c r="L207" i="22"/>
  <c r="K207" i="22"/>
  <c r="G207" i="22"/>
  <c r="C207" i="22"/>
  <c r="AZ205" i="22"/>
  <c r="AY205" i="22"/>
  <c r="AW205" i="22"/>
  <c r="AS205" i="22"/>
  <c r="AO205" i="22"/>
  <c r="AK205" i="22"/>
  <c r="AG205" i="22"/>
  <c r="AC205" i="22"/>
  <c r="Y205" i="22"/>
  <c r="U205" i="22"/>
  <c r="Q205" i="22"/>
  <c r="M205" i="22"/>
  <c r="I205" i="22"/>
  <c r="E205" i="22"/>
  <c r="AZ204" i="22"/>
  <c r="AY204" i="22"/>
  <c r="AW204" i="22"/>
  <c r="AS204" i="22"/>
  <c r="AO204" i="22"/>
  <c r="AK204" i="22"/>
  <c r="AG204" i="22"/>
  <c r="AC204" i="22"/>
  <c r="Y204" i="22"/>
  <c r="U204" i="22"/>
  <c r="Q204" i="22"/>
  <c r="M204" i="22"/>
  <c r="I204" i="22"/>
  <c r="E204" i="22"/>
  <c r="AZ203" i="22"/>
  <c r="AY203" i="22"/>
  <c r="AW203" i="22"/>
  <c r="AS203" i="22"/>
  <c r="AO203" i="22"/>
  <c r="AK203" i="22"/>
  <c r="AG203" i="22"/>
  <c r="AC203" i="22"/>
  <c r="Y203" i="22"/>
  <c r="U203" i="22"/>
  <c r="Q203" i="22"/>
  <c r="M203" i="22"/>
  <c r="I203" i="22"/>
  <c r="E203" i="22"/>
  <c r="AZ202" i="22"/>
  <c r="AX202" i="22"/>
  <c r="AW202" i="22"/>
  <c r="AT202" i="22"/>
  <c r="AS202" i="22"/>
  <c r="AP202" i="22"/>
  <c r="AO202" i="22"/>
  <c r="AL202" i="22"/>
  <c r="AK202" i="22"/>
  <c r="AH202" i="22"/>
  <c r="AG202" i="22"/>
  <c r="AD202" i="22"/>
  <c r="AC202" i="22"/>
  <c r="Z202" i="22"/>
  <c r="Y202" i="22"/>
  <c r="S202" i="22"/>
  <c r="V202" i="22" s="1"/>
  <c r="R202" i="22"/>
  <c r="Q202" i="22"/>
  <c r="N202" i="22"/>
  <c r="M202" i="22"/>
  <c r="J202" i="22"/>
  <c r="I202" i="22"/>
  <c r="F202" i="22"/>
  <c r="E202" i="22"/>
  <c r="AZ201" i="22"/>
  <c r="AY201" i="22"/>
  <c r="AW201" i="22"/>
  <c r="AS201" i="22"/>
  <c r="AO201" i="22"/>
  <c r="AK201" i="22"/>
  <c r="AG201" i="22"/>
  <c r="AC201" i="22"/>
  <c r="Y201" i="22"/>
  <c r="U201" i="22"/>
  <c r="Q201" i="22"/>
  <c r="M201" i="22"/>
  <c r="I201" i="22"/>
  <c r="E201" i="22"/>
  <c r="AZ200" i="22"/>
  <c r="AY200" i="22"/>
  <c r="AX200" i="22"/>
  <c r="AW200" i="22"/>
  <c r="AT200" i="22"/>
  <c r="AS200" i="22"/>
  <c r="AP200" i="22"/>
  <c r="AO200" i="22"/>
  <c r="AL200" i="22"/>
  <c r="AK200" i="22"/>
  <c r="AH200" i="22"/>
  <c r="AG200" i="22"/>
  <c r="AD200" i="22"/>
  <c r="AC200" i="22"/>
  <c r="Y200" i="22"/>
  <c r="V200" i="22"/>
  <c r="U200" i="22"/>
  <c r="R200" i="22"/>
  <c r="Q200" i="22"/>
  <c r="N200" i="22"/>
  <c r="M200" i="22"/>
  <c r="J200" i="22"/>
  <c r="I200" i="22"/>
  <c r="F200" i="22"/>
  <c r="E200" i="22"/>
  <c r="AZ199" i="22"/>
  <c r="AY199" i="22"/>
  <c r="AX199" i="22"/>
  <c r="AW199" i="22"/>
  <c r="AT199" i="22"/>
  <c r="AS199" i="22"/>
  <c r="AP199" i="22"/>
  <c r="AO199" i="22"/>
  <c r="AL199" i="22"/>
  <c r="AK199" i="22"/>
  <c r="AH199" i="22"/>
  <c r="AG199" i="22"/>
  <c r="AD199" i="22"/>
  <c r="AC199" i="22"/>
  <c r="Z199" i="22"/>
  <c r="Y199" i="22"/>
  <c r="V199" i="22"/>
  <c r="U199" i="22"/>
  <c r="R199" i="22"/>
  <c r="Q199" i="22"/>
  <c r="N199" i="22"/>
  <c r="M199" i="22"/>
  <c r="J199" i="22"/>
  <c r="I199" i="22"/>
  <c r="F199" i="22"/>
  <c r="E199" i="22"/>
  <c r="AZ198" i="22"/>
  <c r="AY198" i="22"/>
  <c r="AX198" i="22"/>
  <c r="AW198" i="22"/>
  <c r="AT198" i="22"/>
  <c r="AS198" i="22"/>
  <c r="AP198" i="22"/>
  <c r="AO198" i="22"/>
  <c r="AL198" i="22"/>
  <c r="AK198" i="22"/>
  <c r="AH198" i="22"/>
  <c r="AG198" i="22"/>
  <c r="AD198" i="22"/>
  <c r="AC198" i="22"/>
  <c r="Z198" i="22"/>
  <c r="Y198" i="22"/>
  <c r="V198" i="22"/>
  <c r="U198" i="22"/>
  <c r="R198" i="22"/>
  <c r="Q198" i="22"/>
  <c r="N198" i="22"/>
  <c r="M198" i="22"/>
  <c r="J198" i="22"/>
  <c r="I198" i="22"/>
  <c r="F198" i="22"/>
  <c r="E198" i="22"/>
  <c r="AZ197" i="22"/>
  <c r="AY197" i="22"/>
  <c r="AX197" i="22"/>
  <c r="AW197" i="22"/>
  <c r="AT197" i="22"/>
  <c r="AS197" i="22"/>
  <c r="AP197" i="22"/>
  <c r="AO197" i="22"/>
  <c r="AL197" i="22"/>
  <c r="AK197" i="22"/>
  <c r="AH197" i="22"/>
  <c r="AG197" i="22"/>
  <c r="AD197" i="22"/>
  <c r="AC197" i="22"/>
  <c r="Z197" i="22"/>
  <c r="Y197" i="22"/>
  <c r="V197" i="22"/>
  <c r="U197" i="22"/>
  <c r="R197" i="22"/>
  <c r="Q197" i="22"/>
  <c r="N197" i="22"/>
  <c r="M197" i="22"/>
  <c r="J197" i="22"/>
  <c r="I197" i="22"/>
  <c r="F197" i="22"/>
  <c r="E197" i="22"/>
  <c r="AY196" i="22"/>
  <c r="AX196" i="22"/>
  <c r="AW196" i="22"/>
  <c r="AT196" i="22"/>
  <c r="AS196" i="22"/>
  <c r="AP196" i="22"/>
  <c r="AO196" i="22"/>
  <c r="AL196" i="22"/>
  <c r="AK196" i="22"/>
  <c r="AH196" i="22"/>
  <c r="AG196" i="22"/>
  <c r="AD196" i="22"/>
  <c r="AC196" i="22"/>
  <c r="Z196" i="22"/>
  <c r="Y196" i="22"/>
  <c r="V196" i="22"/>
  <c r="U196" i="22"/>
  <c r="R196" i="22"/>
  <c r="Q196" i="22"/>
  <c r="N196" i="22"/>
  <c r="M196" i="22"/>
  <c r="J196" i="22"/>
  <c r="I196" i="22"/>
  <c r="D196" i="22"/>
  <c r="AZ196" i="22" s="1"/>
  <c r="AZ195" i="22"/>
  <c r="AY195" i="22"/>
  <c r="AX195" i="22"/>
  <c r="AW195" i="22"/>
  <c r="AT195" i="22"/>
  <c r="AS195" i="22"/>
  <c r="AP195" i="22"/>
  <c r="AO195" i="22"/>
  <c r="AL195" i="22"/>
  <c r="AK195" i="22"/>
  <c r="AH195" i="22"/>
  <c r="AG195" i="22"/>
  <c r="AD195" i="22"/>
  <c r="AC195" i="22"/>
  <c r="Z195" i="22"/>
  <c r="Y195" i="22"/>
  <c r="V195" i="22"/>
  <c r="U195" i="22"/>
  <c r="R195" i="22"/>
  <c r="Q195" i="22"/>
  <c r="N195" i="22"/>
  <c r="M195" i="22"/>
  <c r="J195" i="22"/>
  <c r="I195" i="22"/>
  <c r="F195" i="22"/>
  <c r="E195" i="22"/>
  <c r="AZ194" i="22"/>
  <c r="AY194" i="22"/>
  <c r="AX194" i="22"/>
  <c r="AW194" i="22"/>
  <c r="AT194" i="22"/>
  <c r="AS194" i="22"/>
  <c r="AP194" i="22"/>
  <c r="AO194" i="22"/>
  <c r="AL194" i="22"/>
  <c r="AK194" i="22"/>
  <c r="AH194" i="22"/>
  <c r="AG194" i="22"/>
  <c r="AD194" i="22"/>
  <c r="AC194" i="22"/>
  <c r="Z194" i="22"/>
  <c r="Y194" i="22"/>
  <c r="V194" i="22"/>
  <c r="U194" i="22"/>
  <c r="R194" i="22"/>
  <c r="Q194" i="22"/>
  <c r="N194" i="22"/>
  <c r="M194" i="22"/>
  <c r="J194" i="22"/>
  <c r="I194" i="22"/>
  <c r="F194" i="22"/>
  <c r="E194" i="22"/>
  <c r="AZ193" i="22"/>
  <c r="AY193" i="22"/>
  <c r="AX193" i="22"/>
  <c r="AW193" i="22"/>
  <c r="AT193" i="22"/>
  <c r="AS193" i="22"/>
  <c r="AP193" i="22"/>
  <c r="AO193" i="22"/>
  <c r="AL193" i="22"/>
  <c r="AK193" i="22"/>
  <c r="AH193" i="22"/>
  <c r="AG193" i="22"/>
  <c r="AD193" i="22"/>
  <c r="AC193" i="22"/>
  <c r="Z193" i="22"/>
  <c r="Y193" i="22"/>
  <c r="V193" i="22"/>
  <c r="U193" i="22"/>
  <c r="R193" i="22"/>
  <c r="Q193" i="22"/>
  <c r="N193" i="22"/>
  <c r="M193" i="22"/>
  <c r="I193" i="22"/>
  <c r="E193" i="22"/>
  <c r="AZ192" i="22"/>
  <c r="AY192" i="22"/>
  <c r="AW192" i="22"/>
  <c r="AS192" i="22"/>
  <c r="AO192" i="22"/>
  <c r="AK192" i="22"/>
  <c r="AG192" i="22"/>
  <c r="AC192" i="22"/>
  <c r="Z192" i="22"/>
  <c r="Y192" i="22"/>
  <c r="V192" i="22"/>
  <c r="U192" i="22"/>
  <c r="R192" i="22"/>
  <c r="Q192" i="22"/>
  <c r="N192" i="22"/>
  <c r="M192" i="22"/>
  <c r="J192" i="22"/>
  <c r="I192" i="22"/>
  <c r="F192" i="22"/>
  <c r="E192" i="22"/>
  <c r="AZ191" i="22"/>
  <c r="AY191" i="22"/>
  <c r="AW191" i="22"/>
  <c r="AS191" i="22"/>
  <c r="AO191" i="22"/>
  <c r="AK191" i="22"/>
  <c r="AG191" i="22"/>
  <c r="AC191" i="22"/>
  <c r="Y191" i="22"/>
  <c r="U191" i="22"/>
  <c r="Q191" i="22"/>
  <c r="M191" i="22"/>
  <c r="I191" i="22"/>
  <c r="E191" i="22"/>
  <c r="AZ190" i="22"/>
  <c r="AY190" i="22"/>
  <c r="AX190" i="22"/>
  <c r="AW190" i="22"/>
  <c r="AT190" i="22"/>
  <c r="AS190" i="22"/>
  <c r="AP190" i="22"/>
  <c r="AO190" i="22"/>
  <c r="AL190" i="22"/>
  <c r="AK190" i="22"/>
  <c r="AH190" i="22"/>
  <c r="AG190" i="22"/>
  <c r="AD190" i="22"/>
  <c r="AC190" i="22"/>
  <c r="Z190" i="22"/>
  <c r="Y190" i="22"/>
  <c r="V190" i="22"/>
  <c r="U190" i="22"/>
  <c r="R190" i="22"/>
  <c r="Q190" i="22"/>
  <c r="N190" i="22"/>
  <c r="M190" i="22"/>
  <c r="J190" i="22"/>
  <c r="I190" i="22"/>
  <c r="F190" i="22"/>
  <c r="E190" i="22"/>
  <c r="AZ189" i="22"/>
  <c r="AY189" i="22"/>
  <c r="AX189" i="22"/>
  <c r="AW189" i="22"/>
  <c r="AT189" i="22"/>
  <c r="AS189" i="22"/>
  <c r="AP189" i="22"/>
  <c r="AO189" i="22"/>
  <c r="AL189" i="22"/>
  <c r="AK189" i="22"/>
  <c r="AH189" i="22"/>
  <c r="AG189" i="22"/>
  <c r="AD189" i="22"/>
  <c r="AC189" i="22"/>
  <c r="Z189" i="22"/>
  <c r="Y189" i="22"/>
  <c r="V189" i="22"/>
  <c r="U189" i="22"/>
  <c r="R189" i="22"/>
  <c r="Q189" i="22"/>
  <c r="N189" i="22"/>
  <c r="M189" i="22"/>
  <c r="J189" i="22"/>
  <c r="I189" i="22"/>
  <c r="F189" i="22"/>
  <c r="E189" i="22"/>
  <c r="AZ188" i="22"/>
  <c r="AY188" i="22"/>
  <c r="AX188" i="22"/>
  <c r="AW188" i="22"/>
  <c r="AT188" i="22"/>
  <c r="AS188" i="22"/>
  <c r="AP188" i="22"/>
  <c r="AO188" i="22"/>
  <c r="AL188" i="22"/>
  <c r="AK188" i="22"/>
  <c r="AH188" i="22"/>
  <c r="AG188" i="22"/>
  <c r="AD188" i="22"/>
  <c r="AC188" i="22"/>
  <c r="Z188" i="22"/>
  <c r="Y188" i="22"/>
  <c r="V188" i="22"/>
  <c r="U188" i="22"/>
  <c r="R188" i="22"/>
  <c r="Q188" i="22"/>
  <c r="N188" i="22"/>
  <c r="M188" i="22"/>
  <c r="J188" i="22"/>
  <c r="I188" i="22"/>
  <c r="F188" i="22"/>
  <c r="E188" i="22"/>
  <c r="AY187" i="22"/>
  <c r="AX187" i="22"/>
  <c r="AW187" i="22"/>
  <c r="AT187" i="22"/>
  <c r="AS187" i="22"/>
  <c r="AP187" i="22"/>
  <c r="AO187" i="22"/>
  <c r="AL187" i="22"/>
  <c r="AK187" i="22"/>
  <c r="AH187" i="22"/>
  <c r="AG187" i="22"/>
  <c r="AD187" i="22"/>
  <c r="AC187" i="22"/>
  <c r="Z187" i="22"/>
  <c r="Y187" i="22"/>
  <c r="V187" i="22"/>
  <c r="U187" i="22"/>
  <c r="R187" i="22"/>
  <c r="Q187" i="22"/>
  <c r="N187" i="22"/>
  <c r="M187" i="22"/>
  <c r="H187" i="22"/>
  <c r="D187" i="22"/>
  <c r="AZ186" i="22"/>
  <c r="AY186" i="22"/>
  <c r="AX186" i="22"/>
  <c r="AW186" i="22"/>
  <c r="AT186" i="22"/>
  <c r="AS186" i="22"/>
  <c r="AP186" i="22"/>
  <c r="AO186" i="22"/>
  <c r="AL186" i="22"/>
  <c r="AK186" i="22"/>
  <c r="AH186" i="22"/>
  <c r="AG186" i="22"/>
  <c r="AD186" i="22"/>
  <c r="AC186" i="22"/>
  <c r="Z186" i="22"/>
  <c r="Y186" i="22"/>
  <c r="V186" i="22"/>
  <c r="U186" i="22"/>
  <c r="R186" i="22"/>
  <c r="Q186" i="22"/>
  <c r="N186" i="22"/>
  <c r="M186" i="22"/>
  <c r="J186" i="22"/>
  <c r="I186" i="22"/>
  <c r="F186" i="22"/>
  <c r="E186" i="22"/>
  <c r="AZ185" i="22"/>
  <c r="AY185" i="22"/>
  <c r="AW185" i="22"/>
  <c r="AS185" i="22"/>
  <c r="AO185" i="22"/>
  <c r="AK185" i="22"/>
  <c r="AG185" i="22"/>
  <c r="AC185" i="22"/>
  <c r="Y185" i="22"/>
  <c r="U185" i="22"/>
  <c r="Q185" i="22"/>
  <c r="M185" i="22"/>
  <c r="I185" i="22"/>
  <c r="E185" i="22"/>
  <c r="AY184" i="22"/>
  <c r="AX184" i="22"/>
  <c r="AW184" i="22"/>
  <c r="AT184" i="22"/>
  <c r="AS184" i="22"/>
  <c r="AP184" i="22"/>
  <c r="AO184" i="22"/>
  <c r="AL184" i="22"/>
  <c r="AK184" i="22"/>
  <c r="AH184" i="22"/>
  <c r="AG184" i="22"/>
  <c r="AD184" i="22"/>
  <c r="AC184" i="22"/>
  <c r="Z184" i="22"/>
  <c r="Y184" i="22"/>
  <c r="V184" i="22"/>
  <c r="U184" i="22"/>
  <c r="R184" i="22"/>
  <c r="Q184" i="22"/>
  <c r="N184" i="22"/>
  <c r="M184" i="22"/>
  <c r="H184" i="22"/>
  <c r="D184" i="22"/>
  <c r="F184" i="22" s="1"/>
  <c r="AZ183" i="22"/>
  <c r="AY183" i="22"/>
  <c r="AX183" i="22"/>
  <c r="AW183" i="22"/>
  <c r="AT183" i="22"/>
  <c r="AS183" i="22"/>
  <c r="AP183" i="22"/>
  <c r="AO183" i="22"/>
  <c r="AL183" i="22"/>
  <c r="AK183" i="22"/>
  <c r="AH183" i="22"/>
  <c r="AG183" i="22"/>
  <c r="AD183" i="22"/>
  <c r="AC183" i="22"/>
  <c r="Z183" i="22"/>
  <c r="Y183" i="22"/>
  <c r="V183" i="22"/>
  <c r="U183" i="22"/>
  <c r="R183" i="22"/>
  <c r="Q183" i="22"/>
  <c r="N183" i="22"/>
  <c r="M183" i="22"/>
  <c r="J183" i="22"/>
  <c r="I183" i="22"/>
  <c r="F183" i="22"/>
  <c r="E183" i="22"/>
  <c r="AY182" i="22"/>
  <c r="AX182" i="22"/>
  <c r="AW182" i="22"/>
  <c r="AT182" i="22"/>
  <c r="AS182" i="22"/>
  <c r="AP182" i="22"/>
  <c r="AO182" i="22"/>
  <c r="AL182" i="22"/>
  <c r="AK182" i="22"/>
  <c r="AH182" i="22"/>
  <c r="AG182" i="22"/>
  <c r="AD182" i="22"/>
  <c r="AC182" i="22"/>
  <c r="Z182" i="22"/>
  <c r="Y182" i="22"/>
  <c r="V182" i="22"/>
  <c r="U182" i="22"/>
  <c r="R182" i="22"/>
  <c r="Q182" i="22"/>
  <c r="N182" i="22"/>
  <c r="M182" i="22"/>
  <c r="H182" i="22"/>
  <c r="I182" i="22" s="1"/>
  <c r="D182" i="22"/>
  <c r="AZ181" i="22"/>
  <c r="AY181" i="22"/>
  <c r="AX181" i="22"/>
  <c r="AW181" i="22"/>
  <c r="AT181" i="22"/>
  <c r="AS181" i="22"/>
  <c r="AP181" i="22"/>
  <c r="AO181" i="22"/>
  <c r="AL181" i="22"/>
  <c r="AK181" i="22"/>
  <c r="AH181" i="22"/>
  <c r="AG181" i="22"/>
  <c r="AD181" i="22"/>
  <c r="AC181" i="22"/>
  <c r="Z181" i="22"/>
  <c r="Y181" i="22"/>
  <c r="V181" i="22"/>
  <c r="U181" i="22"/>
  <c r="R181" i="22"/>
  <c r="Q181" i="22"/>
  <c r="N181" i="22"/>
  <c r="M181" i="22"/>
  <c r="J181" i="22"/>
  <c r="I181" i="22"/>
  <c r="F181" i="22"/>
  <c r="E181" i="22"/>
  <c r="AZ180" i="22"/>
  <c r="AY180" i="22"/>
  <c r="AX180" i="22"/>
  <c r="AW180" i="22"/>
  <c r="AT180" i="22"/>
  <c r="AS180" i="22"/>
  <c r="AP180" i="22"/>
  <c r="AO180" i="22"/>
  <c r="AL180" i="22"/>
  <c r="AK180" i="22"/>
  <c r="AH180" i="22"/>
  <c r="AG180" i="22"/>
  <c r="AD180" i="22"/>
  <c r="AC180" i="22"/>
  <c r="Z180" i="22"/>
  <c r="Y180" i="22"/>
  <c r="V180" i="22"/>
  <c r="U180" i="22"/>
  <c r="R180" i="22"/>
  <c r="Q180" i="22"/>
  <c r="N180" i="22"/>
  <c r="M180" i="22"/>
  <c r="J180" i="22"/>
  <c r="I180" i="22"/>
  <c r="F180" i="22"/>
  <c r="E180" i="22"/>
  <c r="AY179" i="22"/>
  <c r="AX179" i="22"/>
  <c r="AW179" i="22"/>
  <c r="AT179" i="22"/>
  <c r="AS179" i="22"/>
  <c r="AP179" i="22"/>
  <c r="AO179" i="22"/>
  <c r="AL179" i="22"/>
  <c r="AK179" i="22"/>
  <c r="AH179" i="22"/>
  <c r="AG179" i="22"/>
  <c r="AD179" i="22"/>
  <c r="AC179" i="22"/>
  <c r="Z179" i="22"/>
  <c r="Y179" i="22"/>
  <c r="T179" i="22"/>
  <c r="P179" i="22"/>
  <c r="R179" i="22" s="1"/>
  <c r="N179" i="22"/>
  <c r="M179" i="22"/>
  <c r="H179" i="22"/>
  <c r="D179" i="22"/>
  <c r="F179" i="22" s="1"/>
  <c r="AY178" i="22"/>
  <c r="AX178" i="22"/>
  <c r="AW178" i="22"/>
  <c r="AT178" i="22"/>
  <c r="AS178" i="22"/>
  <c r="AP178" i="22"/>
  <c r="AO178" i="22"/>
  <c r="AL178" i="22"/>
  <c r="AK178" i="22"/>
  <c r="AH178" i="22"/>
  <c r="AG178" i="22"/>
  <c r="AD178" i="22"/>
  <c r="AC178" i="22"/>
  <c r="Z178" i="22"/>
  <c r="Y178" i="22"/>
  <c r="V178" i="22"/>
  <c r="U178" i="22"/>
  <c r="R178" i="22"/>
  <c r="Q178" i="22"/>
  <c r="N178" i="22"/>
  <c r="M178" i="22"/>
  <c r="H178" i="22"/>
  <c r="D178" i="22"/>
  <c r="F178" i="22" s="1"/>
  <c r="AY177" i="22"/>
  <c r="AW177" i="22"/>
  <c r="AS177" i="22"/>
  <c r="AO177" i="22"/>
  <c r="AK177" i="22"/>
  <c r="AG177" i="22"/>
  <c r="AC177" i="22"/>
  <c r="Y177" i="22"/>
  <c r="U177" i="22"/>
  <c r="Q177" i="22"/>
  <c r="N177" i="22"/>
  <c r="M177" i="22"/>
  <c r="J177" i="22"/>
  <c r="I177" i="22"/>
  <c r="D177" i="22"/>
  <c r="F177" i="22" s="1"/>
  <c r="AZ176" i="22"/>
  <c r="AY176" i="22"/>
  <c r="AX176" i="22"/>
  <c r="AW176" i="22"/>
  <c r="AT176" i="22"/>
  <c r="AS176" i="22"/>
  <c r="AP176" i="22"/>
  <c r="AO176" i="22"/>
  <c r="AL176" i="22"/>
  <c r="AK176" i="22"/>
  <c r="AH176" i="22"/>
  <c r="AG176" i="22"/>
  <c r="AD176" i="22"/>
  <c r="AC176" i="22"/>
  <c r="Z176" i="22"/>
  <c r="Y176" i="22"/>
  <c r="V176" i="22"/>
  <c r="U176" i="22"/>
  <c r="R176" i="22"/>
  <c r="Q176" i="22"/>
  <c r="N176" i="22"/>
  <c r="M176" i="22"/>
  <c r="J176" i="22"/>
  <c r="I176" i="22"/>
  <c r="F176" i="22"/>
  <c r="E176" i="22"/>
  <c r="AZ175" i="22"/>
  <c r="AY175" i="22"/>
  <c r="AX175" i="22"/>
  <c r="AW175" i="22"/>
  <c r="AT175" i="22"/>
  <c r="AS175" i="22"/>
  <c r="AP175" i="22"/>
  <c r="AO175" i="22"/>
  <c r="AL175" i="22"/>
  <c r="AK175" i="22"/>
  <c r="AH175" i="22"/>
  <c r="AG175" i="22"/>
  <c r="AD175" i="22"/>
  <c r="AC175" i="22"/>
  <c r="Z175" i="22"/>
  <c r="Y175" i="22"/>
  <c r="V175" i="22"/>
  <c r="U175" i="22"/>
  <c r="R175" i="22"/>
  <c r="Q175" i="22"/>
  <c r="N175" i="22"/>
  <c r="M175" i="22"/>
  <c r="J175" i="22"/>
  <c r="I175" i="22"/>
  <c r="F175" i="22"/>
  <c r="E175" i="22"/>
  <c r="AY174" i="22"/>
  <c r="AX174" i="22"/>
  <c r="AW174" i="22"/>
  <c r="AT174" i="22"/>
  <c r="AS174" i="22"/>
  <c r="AP174" i="22"/>
  <c r="AO174" i="22"/>
  <c r="AL174" i="22"/>
  <c r="AK174" i="22"/>
  <c r="AH174" i="22"/>
  <c r="AG174" i="22"/>
  <c r="AD174" i="22"/>
  <c r="AC174" i="22"/>
  <c r="Z174" i="22"/>
  <c r="Y174" i="22"/>
  <c r="V174" i="22"/>
  <c r="U174" i="22"/>
  <c r="R174" i="22"/>
  <c r="Q174" i="22"/>
  <c r="N174" i="22"/>
  <c r="M174" i="22"/>
  <c r="H174" i="22"/>
  <c r="I174" i="22" s="1"/>
  <c r="D174" i="22"/>
  <c r="F174" i="22" s="1"/>
  <c r="AV173" i="22"/>
  <c r="AU173" i="22"/>
  <c r="AR173" i="22"/>
  <c r="AQ173" i="22"/>
  <c r="AN173" i="22"/>
  <c r="AM173" i="22"/>
  <c r="AJ173" i="22"/>
  <c r="AI173" i="22"/>
  <c r="AF173" i="22"/>
  <c r="AE173" i="22"/>
  <c r="AB173" i="22"/>
  <c r="AA173" i="22"/>
  <c r="X173" i="22"/>
  <c r="W173" i="22"/>
  <c r="O173" i="22"/>
  <c r="L173" i="22"/>
  <c r="K173" i="22"/>
  <c r="G173" i="22"/>
  <c r="C173" i="22"/>
  <c r="AZ171" i="22"/>
  <c r="AY171" i="22"/>
  <c r="AX171" i="22"/>
  <c r="AW171" i="22"/>
  <c r="AT171" i="22"/>
  <c r="AS171" i="22"/>
  <c r="AP171" i="22"/>
  <c r="AO171" i="22"/>
  <c r="AL171" i="22"/>
  <c r="AK171" i="22"/>
  <c r="AH171" i="22"/>
  <c r="AG171" i="22"/>
  <c r="AD171" i="22"/>
  <c r="AC171" i="22"/>
  <c r="Z171" i="22"/>
  <c r="Y171" i="22"/>
  <c r="V171" i="22"/>
  <c r="U171" i="22"/>
  <c r="R171" i="22"/>
  <c r="Q171" i="22"/>
  <c r="N171" i="22"/>
  <c r="M171" i="22"/>
  <c r="J171" i="22"/>
  <c r="I171" i="22"/>
  <c r="F171" i="22"/>
  <c r="E171" i="22"/>
  <c r="AZ170" i="22"/>
  <c r="AY170" i="22"/>
  <c r="AW170" i="22"/>
  <c r="AS170" i="22"/>
  <c r="AO170" i="22"/>
  <c r="AK170" i="22"/>
  <c r="AG170" i="22"/>
  <c r="AC170" i="22"/>
  <c r="Y170" i="22"/>
  <c r="U170" i="22"/>
  <c r="Q170" i="22"/>
  <c r="M170" i="22"/>
  <c r="I170" i="22"/>
  <c r="E170" i="22"/>
  <c r="AZ169" i="22"/>
  <c r="AY169" i="22"/>
  <c r="AX169" i="22"/>
  <c r="AW169" i="22"/>
  <c r="AT169" i="22"/>
  <c r="AS169" i="22"/>
  <c r="AP169" i="22"/>
  <c r="AO169" i="22"/>
  <c r="AL169" i="22"/>
  <c r="AK169" i="22"/>
  <c r="AH169" i="22"/>
  <c r="AG169" i="22"/>
  <c r="AD169" i="22"/>
  <c r="AC169" i="22"/>
  <c r="Z169" i="22"/>
  <c r="Y169" i="22"/>
  <c r="V169" i="22"/>
  <c r="U169" i="22"/>
  <c r="R169" i="22"/>
  <c r="Q169" i="22"/>
  <c r="N169" i="22"/>
  <c r="M169" i="22"/>
  <c r="J169" i="22"/>
  <c r="I169" i="22"/>
  <c r="F169" i="22"/>
  <c r="E169" i="22"/>
  <c r="AY168" i="22"/>
  <c r="AX168" i="22"/>
  <c r="AW168" i="22"/>
  <c r="AT168" i="22"/>
  <c r="AS168" i="22"/>
  <c r="AP168" i="22"/>
  <c r="AO168" i="22"/>
  <c r="AL168" i="22"/>
  <c r="AK168" i="22"/>
  <c r="AH168" i="22"/>
  <c r="AG168" i="22"/>
  <c r="AD168" i="22"/>
  <c r="AC168" i="22"/>
  <c r="Z168" i="22"/>
  <c r="Y168" i="22"/>
  <c r="V168" i="22"/>
  <c r="U168" i="22"/>
  <c r="R168" i="22"/>
  <c r="Q168" i="22"/>
  <c r="N168" i="22"/>
  <c r="M168" i="22"/>
  <c r="H168" i="22"/>
  <c r="J168" i="22" s="1"/>
  <c r="D168" i="22"/>
  <c r="F168" i="22" s="1"/>
  <c r="AY167" i="22"/>
  <c r="AX167" i="22"/>
  <c r="AW167" i="22"/>
  <c r="AT167" i="22"/>
  <c r="AS167" i="22"/>
  <c r="AP167" i="22"/>
  <c r="AO167" i="22"/>
  <c r="AL167" i="22"/>
  <c r="AK167" i="22"/>
  <c r="AH167" i="22"/>
  <c r="AG167" i="22"/>
  <c r="AD167" i="22"/>
  <c r="AC167" i="22"/>
  <c r="Z167" i="22"/>
  <c r="Y167" i="22"/>
  <c r="V167" i="22"/>
  <c r="U167" i="22"/>
  <c r="R167" i="22"/>
  <c r="Q167" i="22"/>
  <c r="N167" i="22"/>
  <c r="M167" i="22"/>
  <c r="H167" i="22"/>
  <c r="J167" i="22" s="1"/>
  <c r="D167" i="22"/>
  <c r="F167" i="22" s="1"/>
  <c r="AZ166" i="22"/>
  <c r="AY166" i="22"/>
  <c r="AX166" i="22"/>
  <c r="AW166" i="22"/>
  <c r="AT166" i="22"/>
  <c r="AS166" i="22"/>
  <c r="AP166" i="22"/>
  <c r="AO166" i="22"/>
  <c r="AL166" i="22"/>
  <c r="AK166" i="22"/>
  <c r="AH166" i="22"/>
  <c r="AG166" i="22"/>
  <c r="AD166" i="22"/>
  <c r="AC166" i="22"/>
  <c r="Z166" i="22"/>
  <c r="Y166" i="22"/>
  <c r="V166" i="22"/>
  <c r="U166" i="22"/>
  <c r="R166" i="22"/>
  <c r="Q166" i="22"/>
  <c r="N166" i="22"/>
  <c r="M166" i="22"/>
  <c r="J166" i="22"/>
  <c r="I166" i="22"/>
  <c r="F166" i="22"/>
  <c r="E166" i="22"/>
  <c r="AZ165" i="22"/>
  <c r="AY165" i="22"/>
  <c r="AX165" i="22"/>
  <c r="AW165" i="22"/>
  <c r="AT165" i="22"/>
  <c r="AS165" i="22"/>
  <c r="AP165" i="22"/>
  <c r="AO165" i="22"/>
  <c r="AL165" i="22"/>
  <c r="AK165" i="22"/>
  <c r="AH165" i="22"/>
  <c r="AG165" i="22"/>
  <c r="AD165" i="22"/>
  <c r="AC165" i="22"/>
  <c r="Z165" i="22"/>
  <c r="Y165" i="22"/>
  <c r="V165" i="22"/>
  <c r="U165" i="22"/>
  <c r="R165" i="22"/>
  <c r="Q165" i="22"/>
  <c r="N165" i="22"/>
  <c r="M165" i="22"/>
  <c r="J165" i="22"/>
  <c r="I165" i="22"/>
  <c r="F165" i="22"/>
  <c r="E165" i="22"/>
  <c r="AZ164" i="22"/>
  <c r="AY164" i="22"/>
  <c r="AX164" i="22"/>
  <c r="AW164" i="22"/>
  <c r="AT164" i="22"/>
  <c r="AS164" i="22"/>
  <c r="AP164" i="22"/>
  <c r="AO164" i="22"/>
  <c r="AL164" i="22"/>
  <c r="AK164" i="22"/>
  <c r="AH164" i="22"/>
  <c r="AG164" i="22"/>
  <c r="AD164" i="22"/>
  <c r="AC164" i="22"/>
  <c r="Z164" i="22"/>
  <c r="Y164" i="22"/>
  <c r="V164" i="22"/>
  <c r="U164" i="22"/>
  <c r="R164" i="22"/>
  <c r="Q164" i="22"/>
  <c r="N164" i="22"/>
  <c r="M164" i="22"/>
  <c r="J164" i="22"/>
  <c r="I164" i="22"/>
  <c r="F164" i="22"/>
  <c r="E164" i="22"/>
  <c r="AZ163" i="22"/>
  <c r="AY163" i="22"/>
  <c r="AX163" i="22"/>
  <c r="AW163" i="22"/>
  <c r="AT163" i="22"/>
  <c r="AS163" i="22"/>
  <c r="AP163" i="22"/>
  <c r="AO163" i="22"/>
  <c r="AL163" i="22"/>
  <c r="AK163" i="22"/>
  <c r="AH163" i="22"/>
  <c r="AG163" i="22"/>
  <c r="AD163" i="22"/>
  <c r="AC163" i="22"/>
  <c r="Z163" i="22"/>
  <c r="Y163" i="22"/>
  <c r="V163" i="22"/>
  <c r="U163" i="22"/>
  <c r="R163" i="22"/>
  <c r="Q163" i="22"/>
  <c r="N163" i="22"/>
  <c r="M163" i="22"/>
  <c r="J163" i="22"/>
  <c r="I163" i="22"/>
  <c r="F163" i="22"/>
  <c r="E163" i="22"/>
  <c r="AZ162" i="22"/>
  <c r="AY162" i="22"/>
  <c r="AX162" i="22"/>
  <c r="AW162" i="22"/>
  <c r="AT162" i="22"/>
  <c r="AS162" i="22"/>
  <c r="AP162" i="22"/>
  <c r="AO162" i="22"/>
  <c r="AL162" i="22"/>
  <c r="AK162" i="22"/>
  <c r="AH162" i="22"/>
  <c r="AG162" i="22"/>
  <c r="AD162" i="22"/>
  <c r="AC162" i="22"/>
  <c r="Z162" i="22"/>
  <c r="Y162" i="22"/>
  <c r="V162" i="22"/>
  <c r="U162" i="22"/>
  <c r="R162" i="22"/>
  <c r="Q162" i="22"/>
  <c r="N162" i="22"/>
  <c r="M162" i="22"/>
  <c r="J162" i="22"/>
  <c r="I162" i="22"/>
  <c r="F162" i="22"/>
  <c r="E162" i="22"/>
  <c r="AZ161" i="22"/>
  <c r="AY161" i="22"/>
  <c r="AX161" i="22"/>
  <c r="AW161" i="22"/>
  <c r="AT161" i="22"/>
  <c r="AS161" i="22"/>
  <c r="AP161" i="22"/>
  <c r="AO161" i="22"/>
  <c r="AL161" i="22"/>
  <c r="AK161" i="22"/>
  <c r="AH161" i="22"/>
  <c r="AG161" i="22"/>
  <c r="AD161" i="22"/>
  <c r="AC161" i="22"/>
  <c r="Z161" i="22"/>
  <c r="Y161" i="22"/>
  <c r="V161" i="22"/>
  <c r="U161" i="22"/>
  <c r="R161" i="22"/>
  <c r="Q161" i="22"/>
  <c r="N161" i="22"/>
  <c r="M161" i="22"/>
  <c r="J161" i="22"/>
  <c r="I161" i="22"/>
  <c r="F161" i="22"/>
  <c r="E161" i="22"/>
  <c r="AY160" i="22"/>
  <c r="AX160" i="22"/>
  <c r="AW160" i="22"/>
  <c r="AT160" i="22"/>
  <c r="AS160" i="22"/>
  <c r="AP160" i="22"/>
  <c r="AO160" i="22"/>
  <c r="AL160" i="22"/>
  <c r="AK160" i="22"/>
  <c r="AH160" i="22"/>
  <c r="AG160" i="22"/>
  <c r="AD160" i="22"/>
  <c r="AC160" i="22"/>
  <c r="Z160" i="22"/>
  <c r="Y160" i="22"/>
  <c r="V160" i="22"/>
  <c r="U160" i="22"/>
  <c r="R160" i="22"/>
  <c r="Q160" i="22"/>
  <c r="N160" i="22"/>
  <c r="M160" i="22"/>
  <c r="H160" i="22"/>
  <c r="J160" i="22" s="1"/>
  <c r="D160" i="22"/>
  <c r="AZ159" i="22"/>
  <c r="AY159" i="22"/>
  <c r="AX159" i="22"/>
  <c r="AW159" i="22"/>
  <c r="AT159" i="22"/>
  <c r="AS159" i="22"/>
  <c r="AP159" i="22"/>
  <c r="AO159" i="22"/>
  <c r="AL159" i="22"/>
  <c r="AK159" i="22"/>
  <c r="AH159" i="22"/>
  <c r="AG159" i="22"/>
  <c r="AD159" i="22"/>
  <c r="AC159" i="22"/>
  <c r="Z159" i="22"/>
  <c r="Y159" i="22"/>
  <c r="V159" i="22"/>
  <c r="U159" i="22"/>
  <c r="R159" i="22"/>
  <c r="Q159" i="22"/>
  <c r="N159" i="22"/>
  <c r="M159" i="22"/>
  <c r="J159" i="22"/>
  <c r="I159" i="22"/>
  <c r="F159" i="22"/>
  <c r="E159" i="22"/>
  <c r="AZ158" i="22"/>
  <c r="AY158" i="22"/>
  <c r="AX158" i="22"/>
  <c r="AW158" i="22"/>
  <c r="AT158" i="22"/>
  <c r="AS158" i="22"/>
  <c r="AP158" i="22"/>
  <c r="AO158" i="22"/>
  <c r="AL158" i="22"/>
  <c r="AK158" i="22"/>
  <c r="AH158" i="22"/>
  <c r="AG158" i="22"/>
  <c r="AD158" i="22"/>
  <c r="AC158" i="22"/>
  <c r="Z158" i="22"/>
  <c r="Y158" i="22"/>
  <c r="V158" i="22"/>
  <c r="U158" i="22"/>
  <c r="R158" i="22"/>
  <c r="Q158" i="22"/>
  <c r="N158" i="22"/>
  <c r="M158" i="22"/>
  <c r="J158" i="22"/>
  <c r="I158" i="22"/>
  <c r="F158" i="22"/>
  <c r="E158" i="22"/>
  <c r="AZ157" i="22"/>
  <c r="AY157" i="22"/>
  <c r="AX157" i="22"/>
  <c r="AW157" i="22"/>
  <c r="AT157" i="22"/>
  <c r="AS157" i="22"/>
  <c r="AP157" i="22"/>
  <c r="AO157" i="22"/>
  <c r="AL157" i="22"/>
  <c r="AK157" i="22"/>
  <c r="AH157" i="22"/>
  <c r="AG157" i="22"/>
  <c r="AD157" i="22"/>
  <c r="AC157" i="22"/>
  <c r="Z157" i="22"/>
  <c r="Y157" i="22"/>
  <c r="V157" i="22"/>
  <c r="U157" i="22"/>
  <c r="R157" i="22"/>
  <c r="Q157" i="22"/>
  <c r="N157" i="22"/>
  <c r="M157" i="22"/>
  <c r="J157" i="22"/>
  <c r="I157" i="22"/>
  <c r="F157" i="22"/>
  <c r="E157" i="22"/>
  <c r="AZ156" i="22"/>
  <c r="AY156" i="22"/>
  <c r="AX156" i="22"/>
  <c r="AW156" i="22"/>
  <c r="AT156" i="22"/>
  <c r="AS156" i="22"/>
  <c r="AP156" i="22"/>
  <c r="AO156" i="22"/>
  <c r="AL156" i="22"/>
  <c r="AK156" i="22"/>
  <c r="AH156" i="22"/>
  <c r="AG156" i="22"/>
  <c r="AD156" i="22"/>
  <c r="AC156" i="22"/>
  <c r="Z156" i="22"/>
  <c r="Y156" i="22"/>
  <c r="V156" i="22"/>
  <c r="U156" i="22"/>
  <c r="R156" i="22"/>
  <c r="Q156" i="22"/>
  <c r="N156" i="22"/>
  <c r="M156" i="22"/>
  <c r="J156" i="22"/>
  <c r="I156" i="22"/>
  <c r="F156" i="22"/>
  <c r="E156" i="22"/>
  <c r="AZ155" i="22"/>
  <c r="AY155" i="22"/>
  <c r="AX155" i="22"/>
  <c r="AW155" i="22"/>
  <c r="AT155" i="22"/>
  <c r="AS155" i="22"/>
  <c r="AP155" i="22"/>
  <c r="AO155" i="22"/>
  <c r="AL155" i="22"/>
  <c r="AK155" i="22"/>
  <c r="AH155" i="22"/>
  <c r="AG155" i="22"/>
  <c r="AD155" i="22"/>
  <c r="AC155" i="22"/>
  <c r="Z155" i="22"/>
  <c r="Y155" i="22"/>
  <c r="V155" i="22"/>
  <c r="U155" i="22"/>
  <c r="R155" i="22"/>
  <c r="Q155" i="22"/>
  <c r="N155" i="22"/>
  <c r="M155" i="22"/>
  <c r="J155" i="22"/>
  <c r="I155" i="22"/>
  <c r="F155" i="22"/>
  <c r="E155" i="22"/>
  <c r="AV154" i="22"/>
  <c r="AU154" i="22"/>
  <c r="AR154" i="22"/>
  <c r="AQ154" i="22"/>
  <c r="AN154" i="22"/>
  <c r="AM154" i="22"/>
  <c r="AJ154" i="22"/>
  <c r="AI154" i="22"/>
  <c r="AF154" i="22"/>
  <c r="AE154" i="22"/>
  <c r="AB154" i="22"/>
  <c r="AA154" i="22"/>
  <c r="X154" i="22"/>
  <c r="W154" i="22"/>
  <c r="T154" i="22"/>
  <c r="S154" i="22"/>
  <c r="P154" i="22"/>
  <c r="O154" i="22"/>
  <c r="L154" i="22"/>
  <c r="K154" i="22"/>
  <c r="G154" i="22"/>
  <c r="C154" i="22"/>
  <c r="AZ151" i="22"/>
  <c r="AY151" i="22"/>
  <c r="AX151" i="22"/>
  <c r="AW151" i="22"/>
  <c r="AT151" i="22"/>
  <c r="AS151" i="22"/>
  <c r="AP151" i="22"/>
  <c r="AO151" i="22"/>
  <c r="AL151" i="22"/>
  <c r="AK151" i="22"/>
  <c r="AH151" i="22"/>
  <c r="AG151" i="22"/>
  <c r="AD151" i="22"/>
  <c r="AC151" i="22"/>
  <c r="Z151" i="22"/>
  <c r="Y151" i="22"/>
  <c r="V151" i="22"/>
  <c r="U151" i="22"/>
  <c r="R151" i="22"/>
  <c r="Q151" i="22"/>
  <c r="N151" i="22"/>
  <c r="M151" i="22"/>
  <c r="J151" i="22"/>
  <c r="I151" i="22"/>
  <c r="F151" i="22"/>
  <c r="E151" i="22"/>
  <c r="AZ150" i="22"/>
  <c r="AY150" i="22"/>
  <c r="AX150" i="22"/>
  <c r="AW150" i="22"/>
  <c r="AT150" i="22"/>
  <c r="AS150" i="22"/>
  <c r="AP150" i="22"/>
  <c r="AO150" i="22"/>
  <c r="AL150" i="22"/>
  <c r="AK150" i="22"/>
  <c r="AH150" i="22"/>
  <c r="AG150" i="22"/>
  <c r="AD150" i="22"/>
  <c r="AC150" i="22"/>
  <c r="Z150" i="22"/>
  <c r="Y150" i="22"/>
  <c r="V150" i="22"/>
  <c r="U150" i="22"/>
  <c r="R150" i="22"/>
  <c r="Q150" i="22"/>
  <c r="N150" i="22"/>
  <c r="M150" i="22"/>
  <c r="J150" i="22"/>
  <c r="I150" i="22"/>
  <c r="F150" i="22"/>
  <c r="E150" i="22"/>
  <c r="AZ149" i="22"/>
  <c r="AY149" i="22"/>
  <c r="AX149" i="22"/>
  <c r="AW149" i="22"/>
  <c r="AT149" i="22"/>
  <c r="AS149" i="22"/>
  <c r="AP149" i="22"/>
  <c r="AO149" i="22"/>
  <c r="AL149" i="22"/>
  <c r="AK149" i="22"/>
  <c r="AH149" i="22"/>
  <c r="AG149" i="22"/>
  <c r="AD149" i="22"/>
  <c r="AC149" i="22"/>
  <c r="Z149" i="22"/>
  <c r="Y149" i="22"/>
  <c r="V149" i="22"/>
  <c r="U149" i="22"/>
  <c r="R149" i="22"/>
  <c r="Q149" i="22"/>
  <c r="N149" i="22"/>
  <c r="M149" i="22"/>
  <c r="J149" i="22"/>
  <c r="I149" i="22"/>
  <c r="F149" i="22"/>
  <c r="E149" i="22"/>
  <c r="AZ148" i="22"/>
  <c r="AY148" i="22"/>
  <c r="AX148" i="22"/>
  <c r="AW148" i="22"/>
  <c r="AT148" i="22"/>
  <c r="AS148" i="22"/>
  <c r="AP148" i="22"/>
  <c r="AO148" i="22"/>
  <c r="AL148" i="22"/>
  <c r="AK148" i="22"/>
  <c r="AH148" i="22"/>
  <c r="AG148" i="22"/>
  <c r="AD148" i="22"/>
  <c r="AC148" i="22"/>
  <c r="Z148" i="22"/>
  <c r="Y148" i="22"/>
  <c r="V148" i="22"/>
  <c r="U148" i="22"/>
  <c r="R148" i="22"/>
  <c r="Q148" i="22"/>
  <c r="N148" i="22"/>
  <c r="M148" i="22"/>
  <c r="J148" i="22"/>
  <c r="I148" i="22"/>
  <c r="F148" i="22"/>
  <c r="E148" i="22"/>
  <c r="AZ147" i="22"/>
  <c r="AY147" i="22"/>
  <c r="AW147" i="22"/>
  <c r="AS147" i="22"/>
  <c r="AO147" i="22"/>
  <c r="AK147" i="22"/>
  <c r="AG147" i="22"/>
  <c r="AC147" i="22"/>
  <c r="Y147" i="22"/>
  <c r="U147" i="22"/>
  <c r="Q147" i="22"/>
  <c r="M147" i="22"/>
  <c r="I147" i="22"/>
  <c r="E147" i="22"/>
  <c r="AY146" i="22"/>
  <c r="AX146" i="22"/>
  <c r="AW146" i="22"/>
  <c r="AT146" i="22"/>
  <c r="AS146" i="22"/>
  <c r="AP146" i="22"/>
  <c r="AO146" i="22"/>
  <c r="AL146" i="22"/>
  <c r="AK146" i="22"/>
  <c r="AH146" i="22"/>
  <c r="AG146" i="22"/>
  <c r="AD146" i="22"/>
  <c r="AC146" i="22"/>
  <c r="Z146" i="22"/>
  <c r="Y146" i="22"/>
  <c r="V146" i="22"/>
  <c r="U146" i="22"/>
  <c r="R146" i="22"/>
  <c r="Q146" i="22"/>
  <c r="N146" i="22"/>
  <c r="M146" i="22"/>
  <c r="H146" i="22"/>
  <c r="D146" i="22"/>
  <c r="AZ145" i="22"/>
  <c r="AY145" i="22"/>
  <c r="AX145" i="22"/>
  <c r="AW145" i="22"/>
  <c r="AT145" i="22"/>
  <c r="AS145" i="22"/>
  <c r="AP145" i="22"/>
  <c r="AO145" i="22"/>
  <c r="AL145" i="22"/>
  <c r="AK145" i="22"/>
  <c r="AH145" i="22"/>
  <c r="AG145" i="22"/>
  <c r="AD145" i="22"/>
  <c r="AC145" i="22"/>
  <c r="Z145" i="22"/>
  <c r="Y145" i="22"/>
  <c r="V145" i="22"/>
  <c r="U145" i="22"/>
  <c r="R145" i="22"/>
  <c r="Q145" i="22"/>
  <c r="N145" i="22"/>
  <c r="M145" i="22"/>
  <c r="J145" i="22"/>
  <c r="I145" i="22"/>
  <c r="F145" i="22"/>
  <c r="E145" i="22"/>
  <c r="AZ144" i="22"/>
  <c r="AY144" i="22"/>
  <c r="AX144" i="22"/>
  <c r="AW144" i="22"/>
  <c r="AT144" i="22"/>
  <c r="AS144" i="22"/>
  <c r="AP144" i="22"/>
  <c r="AO144" i="22"/>
  <c r="AL144" i="22"/>
  <c r="AK144" i="22"/>
  <c r="AH144" i="22"/>
  <c r="AG144" i="22"/>
  <c r="AD144" i="22"/>
  <c r="AC144" i="22"/>
  <c r="Z144" i="22"/>
  <c r="Y144" i="22"/>
  <c r="V144" i="22"/>
  <c r="U144" i="22"/>
  <c r="R144" i="22"/>
  <c r="Q144" i="22"/>
  <c r="N144" i="22"/>
  <c r="M144" i="22"/>
  <c r="J144" i="22"/>
  <c r="I144" i="22"/>
  <c r="F144" i="22"/>
  <c r="E144" i="22"/>
  <c r="AZ143" i="22"/>
  <c r="AY143" i="22"/>
  <c r="AX143" i="22"/>
  <c r="AW143" i="22"/>
  <c r="AT143" i="22"/>
  <c r="AS143" i="22"/>
  <c r="AP143" i="22"/>
  <c r="AO143" i="22"/>
  <c r="AL143" i="22"/>
  <c r="AK143" i="22"/>
  <c r="AH143" i="22"/>
  <c r="AG143" i="22"/>
  <c r="AD143" i="22"/>
  <c r="AC143" i="22"/>
  <c r="Z143" i="22"/>
  <c r="Y143" i="22"/>
  <c r="V143" i="22"/>
  <c r="U143" i="22"/>
  <c r="R143" i="22"/>
  <c r="Q143" i="22"/>
  <c r="N143" i="22"/>
  <c r="M143" i="22"/>
  <c r="J143" i="22"/>
  <c r="I143" i="22"/>
  <c r="F143" i="22"/>
  <c r="E143" i="22"/>
  <c r="AZ142" i="22"/>
  <c r="AY142" i="22"/>
  <c r="AX142" i="22"/>
  <c r="AW142" i="22"/>
  <c r="AT142" i="22"/>
  <c r="AS142" i="22"/>
  <c r="AP142" i="22"/>
  <c r="AO142" i="22"/>
  <c r="AL142" i="22"/>
  <c r="AK142" i="22"/>
  <c r="AH142" i="22"/>
  <c r="AG142" i="22"/>
  <c r="AD142" i="22"/>
  <c r="AC142" i="22"/>
  <c r="Z142" i="22"/>
  <c r="Y142" i="22"/>
  <c r="V142" i="22"/>
  <c r="U142" i="22"/>
  <c r="R142" i="22"/>
  <c r="Q142" i="22"/>
  <c r="N142" i="22"/>
  <c r="M142" i="22"/>
  <c r="J142" i="22"/>
  <c r="I142" i="22"/>
  <c r="F142" i="22"/>
  <c r="E142" i="22"/>
  <c r="AZ141" i="22"/>
  <c r="AY141" i="22"/>
  <c r="AX141" i="22"/>
  <c r="AW141" i="22"/>
  <c r="AT141" i="22"/>
  <c r="AS141" i="22"/>
  <c r="AP141" i="22"/>
  <c r="AO141" i="22"/>
  <c r="AL141" i="22"/>
  <c r="AK141" i="22"/>
  <c r="AH141" i="22"/>
  <c r="AG141" i="22"/>
  <c r="AD141" i="22"/>
  <c r="AC141" i="22"/>
  <c r="Z141" i="22"/>
  <c r="Y141" i="22"/>
  <c r="V141" i="22"/>
  <c r="U141" i="22"/>
  <c r="R141" i="22"/>
  <c r="Q141" i="22"/>
  <c r="N141" i="22"/>
  <c r="M141" i="22"/>
  <c r="J141" i="22"/>
  <c r="I141" i="22"/>
  <c r="F141" i="22"/>
  <c r="E141" i="22"/>
  <c r="AZ140" i="22"/>
  <c r="AY140" i="22"/>
  <c r="AX140" i="22"/>
  <c r="AW140" i="22"/>
  <c r="AT140" i="22"/>
  <c r="AS140" i="22"/>
  <c r="AP140" i="22"/>
  <c r="AO140" i="22"/>
  <c r="AL140" i="22"/>
  <c r="AK140" i="22"/>
  <c r="AH140" i="22"/>
  <c r="AG140" i="22"/>
  <c r="AD140" i="22"/>
  <c r="AC140" i="22"/>
  <c r="Z140" i="22"/>
  <c r="Y140" i="22"/>
  <c r="V140" i="22"/>
  <c r="U140" i="22"/>
  <c r="R140" i="22"/>
  <c r="Q140" i="22"/>
  <c r="N140" i="22"/>
  <c r="M140" i="22"/>
  <c r="J140" i="22"/>
  <c r="I140" i="22"/>
  <c r="F140" i="22"/>
  <c r="E140" i="22"/>
  <c r="AZ139" i="22"/>
  <c r="AY139" i="22"/>
  <c r="AX139" i="22"/>
  <c r="AW139" i="22"/>
  <c r="AT139" i="22"/>
  <c r="AS139" i="22"/>
  <c r="AP139" i="22"/>
  <c r="AO139" i="22"/>
  <c r="AL139" i="22"/>
  <c r="AK139" i="22"/>
  <c r="AH139" i="22"/>
  <c r="AG139" i="22"/>
  <c r="AD139" i="22"/>
  <c r="AC139" i="22"/>
  <c r="Z139" i="22"/>
  <c r="Y139" i="22"/>
  <c r="V139" i="22"/>
  <c r="U139" i="22"/>
  <c r="R139" i="22"/>
  <c r="Q139" i="22"/>
  <c r="N139" i="22"/>
  <c r="M139" i="22"/>
  <c r="J139" i="22"/>
  <c r="I139" i="22"/>
  <c r="F139" i="22"/>
  <c r="E139" i="22"/>
  <c r="AZ138" i="22"/>
  <c r="AY138" i="22"/>
  <c r="AX138" i="22"/>
  <c r="AW138" i="22"/>
  <c r="AT138" i="22"/>
  <c r="AS138" i="22"/>
  <c r="AP138" i="22"/>
  <c r="AO138" i="22"/>
  <c r="AL138" i="22"/>
  <c r="AK138" i="22"/>
  <c r="AH138" i="22"/>
  <c r="AG138" i="22"/>
  <c r="AD138" i="22"/>
  <c r="AC138" i="22"/>
  <c r="Z138" i="22"/>
  <c r="Y138" i="22"/>
  <c r="V138" i="22"/>
  <c r="U138" i="22"/>
  <c r="R138" i="22"/>
  <c r="Q138" i="22"/>
  <c r="N138" i="22"/>
  <c r="M138" i="22"/>
  <c r="J138" i="22"/>
  <c r="I138" i="22"/>
  <c r="F138" i="22"/>
  <c r="E138" i="22"/>
  <c r="AZ137" i="22"/>
  <c r="AY137" i="22"/>
  <c r="AX137" i="22"/>
  <c r="AW137" i="22"/>
  <c r="AT137" i="22"/>
  <c r="AS137" i="22"/>
  <c r="AP137" i="22"/>
  <c r="AO137" i="22"/>
  <c r="AL137" i="22"/>
  <c r="AK137" i="22"/>
  <c r="AH137" i="22"/>
  <c r="AG137" i="22"/>
  <c r="AD137" i="22"/>
  <c r="AC137" i="22"/>
  <c r="Z137" i="22"/>
  <c r="Y137" i="22"/>
  <c r="V137" i="22"/>
  <c r="U137" i="22"/>
  <c r="R137" i="22"/>
  <c r="Q137" i="22"/>
  <c r="N137" i="22"/>
  <c r="M137" i="22"/>
  <c r="J137" i="22"/>
  <c r="I137" i="22"/>
  <c r="F137" i="22"/>
  <c r="E137" i="22"/>
  <c r="AZ136" i="22"/>
  <c r="AY136" i="22"/>
  <c r="AX136" i="22"/>
  <c r="AW136" i="22"/>
  <c r="AT136" i="22"/>
  <c r="AS136" i="22"/>
  <c r="AP136" i="22"/>
  <c r="AO136" i="22"/>
  <c r="AL136" i="22"/>
  <c r="AK136" i="22"/>
  <c r="AH136" i="22"/>
  <c r="AG136" i="22"/>
  <c r="AD136" i="22"/>
  <c r="AC136" i="22"/>
  <c r="Z136" i="22"/>
  <c r="Y136" i="22"/>
  <c r="V136" i="22"/>
  <c r="U136" i="22"/>
  <c r="R136" i="22"/>
  <c r="Q136" i="22"/>
  <c r="N136" i="22"/>
  <c r="M136" i="22"/>
  <c r="J136" i="22"/>
  <c r="I136" i="22"/>
  <c r="F136" i="22"/>
  <c r="E136" i="22"/>
  <c r="AZ135" i="22"/>
  <c r="AY135" i="22"/>
  <c r="AX135" i="22"/>
  <c r="AW135" i="22"/>
  <c r="AT135" i="22"/>
  <c r="AS135" i="22"/>
  <c r="AP135" i="22"/>
  <c r="AO135" i="22"/>
  <c r="AL135" i="22"/>
  <c r="AK135" i="22"/>
  <c r="AH135" i="22"/>
  <c r="AG135" i="22"/>
  <c r="AD135" i="22"/>
  <c r="AC135" i="22"/>
  <c r="Z135" i="22"/>
  <c r="Y135" i="22"/>
  <c r="V135" i="22"/>
  <c r="U135" i="22"/>
  <c r="R135" i="22"/>
  <c r="Q135" i="22"/>
  <c r="N135" i="22"/>
  <c r="M135" i="22"/>
  <c r="J135" i="22"/>
  <c r="I135" i="22"/>
  <c r="F135" i="22"/>
  <c r="E135" i="22"/>
  <c r="AZ134" i="22"/>
  <c r="AY134" i="22"/>
  <c r="AX134" i="22"/>
  <c r="AW134" i="22"/>
  <c r="AT134" i="22"/>
  <c r="AS134" i="22"/>
  <c r="AP134" i="22"/>
  <c r="AO134" i="22"/>
  <c r="AL134" i="22"/>
  <c r="AK134" i="22"/>
  <c r="AH134" i="22"/>
  <c r="AG134" i="22"/>
  <c r="AD134" i="22"/>
  <c r="AC134" i="22"/>
  <c r="Z134" i="22"/>
  <c r="Y134" i="22"/>
  <c r="V134" i="22"/>
  <c r="U134" i="22"/>
  <c r="R134" i="22"/>
  <c r="Q134" i="22"/>
  <c r="N134" i="22"/>
  <c r="M134" i="22"/>
  <c r="J134" i="22"/>
  <c r="I134" i="22"/>
  <c r="F134" i="22"/>
  <c r="E134" i="22"/>
  <c r="AY133" i="22"/>
  <c r="AX133" i="22"/>
  <c r="AW133" i="22"/>
  <c r="AT133" i="22"/>
  <c r="AS133" i="22"/>
  <c r="AP133" i="22"/>
  <c r="AO133" i="22"/>
  <c r="AL133" i="22"/>
  <c r="AK133" i="22"/>
  <c r="AH133" i="22"/>
  <c r="AG133" i="22"/>
  <c r="AD133" i="22"/>
  <c r="AC133" i="22"/>
  <c r="Z133" i="22"/>
  <c r="Y133" i="22"/>
  <c r="V133" i="22"/>
  <c r="U133" i="22"/>
  <c r="R133" i="22"/>
  <c r="Q133" i="22"/>
  <c r="N133" i="22"/>
  <c r="M133" i="22"/>
  <c r="H133" i="22"/>
  <c r="D133" i="22"/>
  <c r="AZ132" i="22"/>
  <c r="AY132" i="22"/>
  <c r="AX132" i="22"/>
  <c r="AW132" i="22"/>
  <c r="AT132" i="22"/>
  <c r="AS132" i="22"/>
  <c r="AP132" i="22"/>
  <c r="AO132" i="22"/>
  <c r="AL132" i="22"/>
  <c r="AK132" i="22"/>
  <c r="AH132" i="22"/>
  <c r="AG132" i="22"/>
  <c r="AD132" i="22"/>
  <c r="AC132" i="22"/>
  <c r="Z132" i="22"/>
  <c r="Y132" i="22"/>
  <c r="V132" i="22"/>
  <c r="U132" i="22"/>
  <c r="R132" i="22"/>
  <c r="Q132" i="22"/>
  <c r="N132" i="22"/>
  <c r="M132" i="22"/>
  <c r="J132" i="22"/>
  <c r="I132" i="22"/>
  <c r="F132" i="22"/>
  <c r="E132" i="22"/>
  <c r="AZ131" i="22"/>
  <c r="AY131" i="22"/>
  <c r="AX131" i="22"/>
  <c r="AW131" i="22"/>
  <c r="AT131" i="22"/>
  <c r="AS131" i="22"/>
  <c r="AP131" i="22"/>
  <c r="AO131" i="22"/>
  <c r="AL131" i="22"/>
  <c r="AK131" i="22"/>
  <c r="AH131" i="22"/>
  <c r="AG131" i="22"/>
  <c r="AD131" i="22"/>
  <c r="AC131" i="22"/>
  <c r="Z131" i="22"/>
  <c r="Y131" i="22"/>
  <c r="V131" i="22"/>
  <c r="U131" i="22"/>
  <c r="R131" i="22"/>
  <c r="Q131" i="22"/>
  <c r="N131" i="22"/>
  <c r="M131" i="22"/>
  <c r="J131" i="22"/>
  <c r="I131" i="22"/>
  <c r="F131" i="22"/>
  <c r="E131" i="22"/>
  <c r="AV130" i="22"/>
  <c r="AU130" i="22"/>
  <c r="AR130" i="22"/>
  <c r="AQ130" i="22"/>
  <c r="AN130" i="22"/>
  <c r="AM130" i="22"/>
  <c r="AJ130" i="22"/>
  <c r="AI130" i="22"/>
  <c r="AF130" i="22"/>
  <c r="AE130" i="22"/>
  <c r="AB130" i="22"/>
  <c r="AA130" i="22"/>
  <c r="X130" i="22"/>
  <c r="W130" i="22"/>
  <c r="T130" i="22"/>
  <c r="S130" i="22"/>
  <c r="P130" i="22"/>
  <c r="O130" i="22"/>
  <c r="L130" i="22"/>
  <c r="K130" i="22"/>
  <c r="G130" i="22"/>
  <c r="C130" i="22"/>
  <c r="AZ127" i="22"/>
  <c r="AY127" i="22"/>
  <c r="AX127" i="22"/>
  <c r="AW127" i="22"/>
  <c r="AT127" i="22"/>
  <c r="AS127" i="22"/>
  <c r="AP127" i="22"/>
  <c r="AO127" i="22"/>
  <c r="AL127" i="22"/>
  <c r="AK127" i="22"/>
  <c r="AH127" i="22"/>
  <c r="AG127" i="22"/>
  <c r="AD127" i="22"/>
  <c r="AC127" i="22"/>
  <c r="Z127" i="22"/>
  <c r="Y127" i="22"/>
  <c r="V127" i="22"/>
  <c r="U127" i="22"/>
  <c r="R127" i="22"/>
  <c r="Q127" i="22"/>
  <c r="N127" i="22"/>
  <c r="M127" i="22"/>
  <c r="J127" i="22"/>
  <c r="I127" i="22"/>
  <c r="F127" i="22"/>
  <c r="E127" i="22"/>
  <c r="AZ126" i="22"/>
  <c r="AY126" i="22"/>
  <c r="AX126" i="22"/>
  <c r="AW126" i="22"/>
  <c r="AT126" i="22"/>
  <c r="AS126" i="22"/>
  <c r="AP126" i="22"/>
  <c r="AO126" i="22"/>
  <c r="AL126" i="22"/>
  <c r="AK126" i="22"/>
  <c r="AH126" i="22"/>
  <c r="AG126" i="22"/>
  <c r="AD126" i="22"/>
  <c r="AC126" i="22"/>
  <c r="Z126" i="22"/>
  <c r="Y126" i="22"/>
  <c r="V126" i="22"/>
  <c r="U126" i="22"/>
  <c r="R126" i="22"/>
  <c r="Q126" i="22"/>
  <c r="N126" i="22"/>
  <c r="M126" i="22"/>
  <c r="J126" i="22"/>
  <c r="I126" i="22"/>
  <c r="F126" i="22"/>
  <c r="E126" i="22"/>
  <c r="AZ125" i="22"/>
  <c r="AY125" i="22"/>
  <c r="AX125" i="22"/>
  <c r="AW125" i="22"/>
  <c r="AT125" i="22"/>
  <c r="AS125" i="22"/>
  <c r="AP125" i="22"/>
  <c r="AO125" i="22"/>
  <c r="AL125" i="22"/>
  <c r="AK125" i="22"/>
  <c r="AH125" i="22"/>
  <c r="AG125" i="22"/>
  <c r="AD125" i="22"/>
  <c r="AC125" i="22"/>
  <c r="Z125" i="22"/>
  <c r="Y125" i="22"/>
  <c r="V125" i="22"/>
  <c r="U125" i="22"/>
  <c r="R125" i="22"/>
  <c r="Q125" i="22"/>
  <c r="N125" i="22"/>
  <c r="M125" i="22"/>
  <c r="J125" i="22"/>
  <c r="I125" i="22"/>
  <c r="F125" i="22"/>
  <c r="E125" i="22"/>
  <c r="AZ124" i="22"/>
  <c r="AY124" i="22"/>
  <c r="AX124" i="22"/>
  <c r="AW124" i="22"/>
  <c r="AT124" i="22"/>
  <c r="AS124" i="22"/>
  <c r="AP124" i="22"/>
  <c r="AO124" i="22"/>
  <c r="AL124" i="22"/>
  <c r="AK124" i="22"/>
  <c r="AH124" i="22"/>
  <c r="AG124" i="22"/>
  <c r="AD124" i="22"/>
  <c r="AC124" i="22"/>
  <c r="Z124" i="22"/>
  <c r="Y124" i="22"/>
  <c r="V124" i="22"/>
  <c r="U124" i="22"/>
  <c r="R124" i="22"/>
  <c r="Q124" i="22"/>
  <c r="N124" i="22"/>
  <c r="M124" i="22"/>
  <c r="J124" i="22"/>
  <c r="I124" i="22"/>
  <c r="F124" i="22"/>
  <c r="E124" i="22"/>
  <c r="AZ123" i="22"/>
  <c r="AY123" i="22"/>
  <c r="AX123" i="22"/>
  <c r="AW123" i="22"/>
  <c r="AT123" i="22"/>
  <c r="AS123" i="22"/>
  <c r="AP123" i="22"/>
  <c r="AO123" i="22"/>
  <c r="AL123" i="22"/>
  <c r="AK123" i="22"/>
  <c r="AH123" i="22"/>
  <c r="AG123" i="22"/>
  <c r="AD123" i="22"/>
  <c r="AC123" i="22"/>
  <c r="Z123" i="22"/>
  <c r="Y123" i="22"/>
  <c r="V123" i="22"/>
  <c r="U123" i="22"/>
  <c r="R123" i="22"/>
  <c r="Q123" i="22"/>
  <c r="N123" i="22"/>
  <c r="M123" i="22"/>
  <c r="J123" i="22"/>
  <c r="I123" i="22"/>
  <c r="F123" i="22"/>
  <c r="E123" i="22"/>
  <c r="AY122" i="22"/>
  <c r="AX122" i="22"/>
  <c r="AW122" i="22"/>
  <c r="AT122" i="22"/>
  <c r="AS122" i="22"/>
  <c r="AP122" i="22"/>
  <c r="AO122" i="22"/>
  <c r="AL122" i="22"/>
  <c r="AK122" i="22"/>
  <c r="AH122" i="22"/>
  <c r="AG122" i="22"/>
  <c r="AD122" i="22"/>
  <c r="AC122" i="22"/>
  <c r="Z122" i="22"/>
  <c r="Y122" i="22"/>
  <c r="V122" i="22"/>
  <c r="U122" i="22"/>
  <c r="R122" i="22"/>
  <c r="Q122" i="22"/>
  <c r="N122" i="22"/>
  <c r="M122" i="22"/>
  <c r="J122" i="22"/>
  <c r="I122" i="22"/>
  <c r="D122" i="22"/>
  <c r="AY121" i="22"/>
  <c r="AX121" i="22"/>
  <c r="AW121" i="22"/>
  <c r="AT121" i="22"/>
  <c r="AS121" i="22"/>
  <c r="AP121" i="22"/>
  <c r="AO121" i="22"/>
  <c r="AL121" i="22"/>
  <c r="AK121" i="22"/>
  <c r="AH121" i="22"/>
  <c r="AG121" i="22"/>
  <c r="AD121" i="22"/>
  <c r="AC121" i="22"/>
  <c r="Z121" i="22"/>
  <c r="Y121" i="22"/>
  <c r="V121" i="22"/>
  <c r="U121" i="22"/>
  <c r="R121" i="22"/>
  <c r="Q121" i="22"/>
  <c r="N121" i="22"/>
  <c r="M121" i="22"/>
  <c r="H121" i="22"/>
  <c r="J121" i="22" s="1"/>
  <c r="D121" i="22"/>
  <c r="E121" i="22" s="1"/>
  <c r="AZ120" i="22"/>
  <c r="AY120" i="22"/>
  <c r="AX120" i="22"/>
  <c r="AW120" i="22"/>
  <c r="AT120" i="22"/>
  <c r="AS120" i="22"/>
  <c r="AP120" i="22"/>
  <c r="AO120" i="22"/>
  <c r="AL120" i="22"/>
  <c r="AK120" i="22"/>
  <c r="AH120" i="22"/>
  <c r="AG120" i="22"/>
  <c r="AD120" i="22"/>
  <c r="AC120" i="22"/>
  <c r="Z120" i="22"/>
  <c r="Y120" i="22"/>
  <c r="V120" i="22"/>
  <c r="U120" i="22"/>
  <c r="R120" i="22"/>
  <c r="Q120" i="22"/>
  <c r="N120" i="22"/>
  <c r="M120" i="22"/>
  <c r="J120" i="22"/>
  <c r="I120" i="22"/>
  <c r="F120" i="22"/>
  <c r="E120" i="22"/>
  <c r="AZ119" i="22"/>
  <c r="AY119" i="22"/>
  <c r="AX119" i="22"/>
  <c r="AW119" i="22"/>
  <c r="AT119" i="22"/>
  <c r="AS119" i="22"/>
  <c r="AP119" i="22"/>
  <c r="AO119" i="22"/>
  <c r="AL119" i="22"/>
  <c r="AK119" i="22"/>
  <c r="AH119" i="22"/>
  <c r="AG119" i="22"/>
  <c r="AD119" i="22"/>
  <c r="AC119" i="22"/>
  <c r="Z119" i="22"/>
  <c r="Y119" i="22"/>
  <c r="V119" i="22"/>
  <c r="U119" i="22"/>
  <c r="R119" i="22"/>
  <c r="Q119" i="22"/>
  <c r="N119" i="22"/>
  <c r="M119" i="22"/>
  <c r="J119" i="22"/>
  <c r="I119" i="22"/>
  <c r="F119" i="22"/>
  <c r="E119" i="22"/>
  <c r="AZ118" i="22"/>
  <c r="AY118" i="22"/>
  <c r="AX118" i="22"/>
  <c r="AW118" i="22"/>
  <c r="AT118" i="22"/>
  <c r="AS118" i="22"/>
  <c r="AP118" i="22"/>
  <c r="AO118" i="22"/>
  <c r="AL118" i="22"/>
  <c r="AK118" i="22"/>
  <c r="AH118" i="22"/>
  <c r="AG118" i="22"/>
  <c r="AD118" i="22"/>
  <c r="AC118" i="22"/>
  <c r="Z118" i="22"/>
  <c r="Y118" i="22"/>
  <c r="V118" i="22"/>
  <c r="U118" i="22"/>
  <c r="R118" i="22"/>
  <c r="Q118" i="22"/>
  <c r="N118" i="22"/>
  <c r="M118" i="22"/>
  <c r="J118" i="22"/>
  <c r="I118" i="22"/>
  <c r="F118" i="22"/>
  <c r="E118" i="22"/>
  <c r="AV117" i="22"/>
  <c r="AU117" i="22"/>
  <c r="AR117" i="22"/>
  <c r="AQ117" i="22"/>
  <c r="AN117" i="22"/>
  <c r="AM117" i="22"/>
  <c r="AJ117" i="22"/>
  <c r="AI117" i="22"/>
  <c r="AF117" i="22"/>
  <c r="AE117" i="22"/>
  <c r="AB117" i="22"/>
  <c r="AA117" i="22"/>
  <c r="X117" i="22"/>
  <c r="W117" i="22"/>
  <c r="T117" i="22"/>
  <c r="S117" i="22"/>
  <c r="P117" i="22"/>
  <c r="O117" i="22"/>
  <c r="L117" i="22"/>
  <c r="K117" i="22"/>
  <c r="G117" i="22"/>
  <c r="C117" i="22"/>
  <c r="AZ115" i="22"/>
  <c r="AY115" i="22"/>
  <c r="AW115" i="22"/>
  <c r="AS115" i="22"/>
  <c r="AO115" i="22"/>
  <c r="AK115" i="22"/>
  <c r="AG115" i="22"/>
  <c r="AC115" i="22"/>
  <c r="Y115" i="22"/>
  <c r="U115" i="22"/>
  <c r="Q115" i="22"/>
  <c r="M115" i="22"/>
  <c r="I115" i="22"/>
  <c r="E115" i="22"/>
  <c r="AZ114" i="22"/>
  <c r="AY114" i="22"/>
  <c r="AW114" i="22"/>
  <c r="AS114" i="22"/>
  <c r="AO114" i="22"/>
  <c r="AK114" i="22"/>
  <c r="AG114" i="22"/>
  <c r="AC114" i="22"/>
  <c r="Y114" i="22"/>
  <c r="U114" i="22"/>
  <c r="Q114" i="22"/>
  <c r="M114" i="22"/>
  <c r="I114" i="22"/>
  <c r="E114" i="22"/>
  <c r="AZ113" i="22"/>
  <c r="AY113" i="22"/>
  <c r="AW113" i="22"/>
  <c r="AS113" i="22"/>
  <c r="AO113" i="22"/>
  <c r="AK113" i="22"/>
  <c r="AG113" i="22"/>
  <c r="AC113" i="22"/>
  <c r="Y113" i="22"/>
  <c r="U113" i="22"/>
  <c r="Q113" i="22"/>
  <c r="M113" i="22"/>
  <c r="I113" i="22"/>
  <c r="E113" i="22"/>
  <c r="AZ112" i="22"/>
  <c r="AY112" i="22"/>
  <c r="AW112" i="22"/>
  <c r="AS112" i="22"/>
  <c r="AO112" i="22"/>
  <c r="AK112" i="22"/>
  <c r="AG112" i="22"/>
  <c r="AC112" i="22"/>
  <c r="Y112" i="22"/>
  <c r="U112" i="22"/>
  <c r="Q112" i="22"/>
  <c r="M112" i="22"/>
  <c r="I112" i="22"/>
  <c r="E112" i="22"/>
  <c r="AZ111" i="22"/>
  <c r="AY111" i="22"/>
  <c r="AX111" i="22"/>
  <c r="AW111" i="22"/>
  <c r="AT111" i="22"/>
  <c r="AS111" i="22"/>
  <c r="AP111" i="22"/>
  <c r="AO111" i="22"/>
  <c r="AL111" i="22"/>
  <c r="AK111" i="22"/>
  <c r="AH111" i="22"/>
  <c r="AG111" i="22"/>
  <c r="AD111" i="22"/>
  <c r="AC111" i="22"/>
  <c r="Z111" i="22"/>
  <c r="Y111" i="22"/>
  <c r="V111" i="22"/>
  <c r="U111" i="22"/>
  <c r="R111" i="22"/>
  <c r="Q111" i="22"/>
  <c r="N111" i="22"/>
  <c r="M111" i="22"/>
  <c r="J111" i="22"/>
  <c r="I111" i="22"/>
  <c r="F111" i="22"/>
  <c r="E111" i="22"/>
  <c r="AZ110" i="22"/>
  <c r="AY110" i="22"/>
  <c r="AX110" i="22"/>
  <c r="AW110" i="22"/>
  <c r="AT110" i="22"/>
  <c r="AS110" i="22"/>
  <c r="AP110" i="22"/>
  <c r="AO110" i="22"/>
  <c r="AL110" i="22"/>
  <c r="AK110" i="22"/>
  <c r="AH110" i="22"/>
  <c r="AG110" i="22"/>
  <c r="AD110" i="22"/>
  <c r="AC110" i="22"/>
  <c r="Z110" i="22"/>
  <c r="Y110" i="22"/>
  <c r="V110" i="22"/>
  <c r="U110" i="22"/>
  <c r="R110" i="22"/>
  <c r="Q110" i="22"/>
  <c r="N110" i="22"/>
  <c r="M110" i="22"/>
  <c r="J110" i="22"/>
  <c r="I110" i="22"/>
  <c r="F110" i="22"/>
  <c r="E110" i="22"/>
  <c r="AZ109" i="22"/>
  <c r="AY109" i="22"/>
  <c r="AX109" i="22"/>
  <c r="AW109" i="22"/>
  <c r="AT109" i="22"/>
  <c r="AS109" i="22"/>
  <c r="AP109" i="22"/>
  <c r="AO109" i="22"/>
  <c r="AL109" i="22"/>
  <c r="AK109" i="22"/>
  <c r="AH109" i="22"/>
  <c r="AG109" i="22"/>
  <c r="AD109" i="22"/>
  <c r="AC109" i="22"/>
  <c r="Z109" i="22"/>
  <c r="Y109" i="22"/>
  <c r="V109" i="22"/>
  <c r="U109" i="22"/>
  <c r="R109" i="22"/>
  <c r="Q109" i="22"/>
  <c r="N109" i="22"/>
  <c r="M109" i="22"/>
  <c r="J109" i="22"/>
  <c r="I109" i="22"/>
  <c r="F109" i="22"/>
  <c r="E109" i="22"/>
  <c r="AZ108" i="22"/>
  <c r="AY108" i="22"/>
  <c r="AW108" i="22"/>
  <c r="AS108" i="22"/>
  <c r="AO108" i="22"/>
  <c r="AK108" i="22"/>
  <c r="AG108" i="22"/>
  <c r="AC108" i="22"/>
  <c r="Y108" i="22"/>
  <c r="U108" i="22"/>
  <c r="Q108" i="22"/>
  <c r="M108" i="22"/>
  <c r="I108" i="22"/>
  <c r="E108" i="22"/>
  <c r="AZ107" i="22"/>
  <c r="AY107" i="22"/>
  <c r="AX107" i="22"/>
  <c r="AW107" i="22"/>
  <c r="AT107" i="22"/>
  <c r="AS107" i="22"/>
  <c r="AP107" i="22"/>
  <c r="AO107" i="22"/>
  <c r="AL107" i="22"/>
  <c r="AK107" i="22"/>
  <c r="AH107" i="22"/>
  <c r="AG107" i="22"/>
  <c r="AD107" i="22"/>
  <c r="AC107" i="22"/>
  <c r="Z107" i="22"/>
  <c r="Y107" i="22"/>
  <c r="V107" i="22"/>
  <c r="U107" i="22"/>
  <c r="R107" i="22"/>
  <c r="Q107" i="22"/>
  <c r="N107" i="22"/>
  <c r="M107" i="22"/>
  <c r="J107" i="22"/>
  <c r="I107" i="22"/>
  <c r="F107" i="22"/>
  <c r="E107" i="22"/>
  <c r="AZ106" i="22"/>
  <c r="AY106" i="22"/>
  <c r="AX106" i="22"/>
  <c r="AW106" i="22"/>
  <c r="AT106" i="22"/>
  <c r="AS106" i="22"/>
  <c r="AP106" i="22"/>
  <c r="AO106" i="22"/>
  <c r="AL106" i="22"/>
  <c r="AK106" i="22"/>
  <c r="AH106" i="22"/>
  <c r="AG106" i="22"/>
  <c r="AD106" i="22"/>
  <c r="AC106" i="22"/>
  <c r="Z106" i="22"/>
  <c r="Y106" i="22"/>
  <c r="V106" i="22"/>
  <c r="U106" i="22"/>
  <c r="R106" i="22"/>
  <c r="Q106" i="22"/>
  <c r="N106" i="22"/>
  <c r="M106" i="22"/>
  <c r="J106" i="22"/>
  <c r="I106" i="22"/>
  <c r="F106" i="22"/>
  <c r="E106" i="22"/>
  <c r="AZ105" i="22"/>
  <c r="AY105" i="22"/>
  <c r="AW105" i="22"/>
  <c r="AS105" i="22"/>
  <c r="AO105" i="22"/>
  <c r="AK105" i="22"/>
  <c r="AG105" i="22"/>
  <c r="AC105" i="22"/>
  <c r="Y105" i="22"/>
  <c r="U105" i="22"/>
  <c r="Q105" i="22"/>
  <c r="M105" i="22"/>
  <c r="I105" i="22"/>
  <c r="E105" i="22"/>
  <c r="AZ104" i="22"/>
  <c r="AY104" i="22"/>
  <c r="AX104" i="22"/>
  <c r="AW104" i="22"/>
  <c r="AT104" i="22"/>
  <c r="AS104" i="22"/>
  <c r="AP104" i="22"/>
  <c r="AO104" i="22"/>
  <c r="AL104" i="22"/>
  <c r="AK104" i="22"/>
  <c r="AH104" i="22"/>
  <c r="AG104" i="22"/>
  <c r="AD104" i="22"/>
  <c r="AC104" i="22"/>
  <c r="Z104" i="22"/>
  <c r="Y104" i="22"/>
  <c r="V104" i="22"/>
  <c r="U104" i="22"/>
  <c r="R104" i="22"/>
  <c r="Q104" i="22"/>
  <c r="N104" i="22"/>
  <c r="M104" i="22"/>
  <c r="J104" i="22"/>
  <c r="I104" i="22"/>
  <c r="F104" i="22"/>
  <c r="E104" i="22"/>
  <c r="AZ103" i="22"/>
  <c r="AY103" i="22"/>
  <c r="AW103" i="22"/>
  <c r="AS103" i="22"/>
  <c r="AO103" i="22"/>
  <c r="AK103" i="22"/>
  <c r="AG103" i="22"/>
  <c r="AC103" i="22"/>
  <c r="Y103" i="22"/>
  <c r="U103" i="22"/>
  <c r="Q103" i="22"/>
  <c r="M103" i="22"/>
  <c r="I103" i="22"/>
  <c r="E103" i="22"/>
  <c r="AZ102" i="22"/>
  <c r="AY102" i="22"/>
  <c r="AX102" i="22"/>
  <c r="AW102" i="22"/>
  <c r="AT102" i="22"/>
  <c r="AS102" i="22"/>
  <c r="AP102" i="22"/>
  <c r="AO102" i="22"/>
  <c r="AL102" i="22"/>
  <c r="AK102" i="22"/>
  <c r="AH102" i="22"/>
  <c r="AG102" i="22"/>
  <c r="AD102" i="22"/>
  <c r="AC102" i="22"/>
  <c r="Z102" i="22"/>
  <c r="Y102" i="22"/>
  <c r="V102" i="22"/>
  <c r="U102" i="22"/>
  <c r="R102" i="22"/>
  <c r="Q102" i="22"/>
  <c r="N102" i="22"/>
  <c r="M102" i="22"/>
  <c r="J102" i="22"/>
  <c r="I102" i="22"/>
  <c r="F102" i="22"/>
  <c r="E102" i="22"/>
  <c r="AZ101" i="22"/>
  <c r="AY101" i="22"/>
  <c r="AX101" i="22"/>
  <c r="AW101" i="22"/>
  <c r="AT101" i="22"/>
  <c r="AS101" i="22"/>
  <c r="AP101" i="22"/>
  <c r="AO101" i="22"/>
  <c r="AL101" i="22"/>
  <c r="AK101" i="22"/>
  <c r="AH101" i="22"/>
  <c r="AG101" i="22"/>
  <c r="AD101" i="22"/>
  <c r="AC101" i="22"/>
  <c r="Z101" i="22"/>
  <c r="Y101" i="22"/>
  <c r="V101" i="22"/>
  <c r="U101" i="22"/>
  <c r="R101" i="22"/>
  <c r="Q101" i="22"/>
  <c r="N101" i="22"/>
  <c r="M101" i="22"/>
  <c r="J101" i="22"/>
  <c r="I101" i="22"/>
  <c r="F101" i="22"/>
  <c r="E101" i="22"/>
  <c r="AZ100" i="22"/>
  <c r="AY100" i="22"/>
  <c r="AX100" i="22"/>
  <c r="AW100" i="22"/>
  <c r="AT100" i="22"/>
  <c r="AS100" i="22"/>
  <c r="AP100" i="22"/>
  <c r="AO100" i="22"/>
  <c r="AL100" i="22"/>
  <c r="AK100" i="22"/>
  <c r="AH100" i="22"/>
  <c r="AG100" i="22"/>
  <c r="AD100" i="22"/>
  <c r="AC100" i="22"/>
  <c r="Z100" i="22"/>
  <c r="Y100" i="22"/>
  <c r="V100" i="22"/>
  <c r="U100" i="22"/>
  <c r="R100" i="22"/>
  <c r="Q100" i="22"/>
  <c r="N100" i="22"/>
  <c r="M100" i="22"/>
  <c r="J100" i="22"/>
  <c r="I100" i="22"/>
  <c r="F100" i="22"/>
  <c r="E100" i="22"/>
  <c r="AZ99" i="22"/>
  <c r="AY99" i="22"/>
  <c r="AX99" i="22"/>
  <c r="AW99" i="22"/>
  <c r="AT99" i="22"/>
  <c r="AS99" i="22"/>
  <c r="AP99" i="22"/>
  <c r="AO99" i="22"/>
  <c r="AL99" i="22"/>
  <c r="AK99" i="22"/>
  <c r="AH99" i="22"/>
  <c r="AG99" i="22"/>
  <c r="AD99" i="22"/>
  <c r="AC99" i="22"/>
  <c r="Z99" i="22"/>
  <c r="Y99" i="22"/>
  <c r="V99" i="22"/>
  <c r="U99" i="22"/>
  <c r="R99" i="22"/>
  <c r="Q99" i="22"/>
  <c r="N99" i="22"/>
  <c r="M99" i="22"/>
  <c r="J99" i="22"/>
  <c r="I99" i="22"/>
  <c r="F99" i="22"/>
  <c r="E99" i="22"/>
  <c r="AZ98" i="22"/>
  <c r="AY98" i="22"/>
  <c r="AX98" i="22"/>
  <c r="AW98" i="22"/>
  <c r="AT98" i="22"/>
  <c r="AS98" i="22"/>
  <c r="AP98" i="22"/>
  <c r="AO98" i="22"/>
  <c r="AL98" i="22"/>
  <c r="AK98" i="22"/>
  <c r="AH98" i="22"/>
  <c r="AG98" i="22"/>
  <c r="AD98" i="22"/>
  <c r="AC98" i="22"/>
  <c r="Z98" i="22"/>
  <c r="Y98" i="22"/>
  <c r="V98" i="22"/>
  <c r="U98" i="22"/>
  <c r="R98" i="22"/>
  <c r="Q98" i="22"/>
  <c r="N98" i="22"/>
  <c r="M98" i="22"/>
  <c r="J98" i="22"/>
  <c r="I98" i="22"/>
  <c r="F98" i="22"/>
  <c r="E98" i="22"/>
  <c r="AZ97" i="22"/>
  <c r="AY97" i="22"/>
  <c r="AX97" i="22"/>
  <c r="AW97" i="22"/>
  <c r="AT97" i="22"/>
  <c r="AS97" i="22"/>
  <c r="AP97" i="22"/>
  <c r="AO97" i="22"/>
  <c r="AL97" i="22"/>
  <c r="AK97" i="22"/>
  <c r="AH97" i="22"/>
  <c r="AG97" i="22"/>
  <c r="AD97" i="22"/>
  <c r="AC97" i="22"/>
  <c r="Z97" i="22"/>
  <c r="Y97" i="22"/>
  <c r="V97" i="22"/>
  <c r="U97" i="22"/>
  <c r="R97" i="22"/>
  <c r="Q97" i="22"/>
  <c r="N97" i="22"/>
  <c r="M97" i="22"/>
  <c r="J97" i="22"/>
  <c r="I97" i="22"/>
  <c r="F97" i="22"/>
  <c r="E97" i="22"/>
  <c r="AZ96" i="22"/>
  <c r="AY96" i="22"/>
  <c r="AW96" i="22"/>
  <c r="AS96" i="22"/>
  <c r="AO96" i="22"/>
  <c r="AK96" i="22"/>
  <c r="AG96" i="22"/>
  <c r="AC96" i="22"/>
  <c r="Y96" i="22"/>
  <c r="U96" i="22"/>
  <c r="Q96" i="22"/>
  <c r="M96" i="22"/>
  <c r="I96" i="22"/>
  <c r="E96" i="22"/>
  <c r="AZ95" i="22"/>
  <c r="AY95" i="22"/>
  <c r="AX95" i="22"/>
  <c r="AW95" i="22"/>
  <c r="AT95" i="22"/>
  <c r="AS95" i="22"/>
  <c r="AP95" i="22"/>
  <c r="AO95" i="22"/>
  <c r="AL95" i="22"/>
  <c r="AK95" i="22"/>
  <c r="AH95" i="22"/>
  <c r="AG95" i="22"/>
  <c r="AD95" i="22"/>
  <c r="AC95" i="22"/>
  <c r="Z95" i="22"/>
  <c r="Y95" i="22"/>
  <c r="V95" i="22"/>
  <c r="U95" i="22"/>
  <c r="R95" i="22"/>
  <c r="Q95" i="22"/>
  <c r="N95" i="22"/>
  <c r="M95" i="22"/>
  <c r="J95" i="22"/>
  <c r="I95" i="22"/>
  <c r="F95" i="22"/>
  <c r="E95" i="22"/>
  <c r="AZ94" i="22"/>
  <c r="AY94" i="22"/>
  <c r="AX94" i="22"/>
  <c r="AW94" i="22"/>
  <c r="AT94" i="22"/>
  <c r="AS94" i="22"/>
  <c r="AP94" i="22"/>
  <c r="AO94" i="22"/>
  <c r="AL94" i="22"/>
  <c r="AK94" i="22"/>
  <c r="AH94" i="22"/>
  <c r="AG94" i="22"/>
  <c r="AD94" i="22"/>
  <c r="AC94" i="22"/>
  <c r="Z94" i="22"/>
  <c r="Y94" i="22"/>
  <c r="V94" i="22"/>
  <c r="U94" i="22"/>
  <c r="R94" i="22"/>
  <c r="Q94" i="22"/>
  <c r="N94" i="22"/>
  <c r="M94" i="22"/>
  <c r="J94" i="22"/>
  <c r="I94" i="22"/>
  <c r="F94" i="22"/>
  <c r="E94" i="22"/>
  <c r="AZ93" i="22"/>
  <c r="AY93" i="22"/>
  <c r="AX93" i="22"/>
  <c r="AW93" i="22"/>
  <c r="AT93" i="22"/>
  <c r="AS93" i="22"/>
  <c r="AP93" i="22"/>
  <c r="AO93" i="22"/>
  <c r="AL93" i="22"/>
  <c r="AK93" i="22"/>
  <c r="AH93" i="22"/>
  <c r="AG93" i="22"/>
  <c r="AD93" i="22"/>
  <c r="AC93" i="22"/>
  <c r="Z93" i="22"/>
  <c r="Y93" i="22"/>
  <c r="V93" i="22"/>
  <c r="U93" i="22"/>
  <c r="R93" i="22"/>
  <c r="Q93" i="22"/>
  <c r="N93" i="22"/>
  <c r="M93" i="22"/>
  <c r="J93" i="22"/>
  <c r="I93" i="22"/>
  <c r="F93" i="22"/>
  <c r="E93" i="22"/>
  <c r="AZ92" i="22"/>
  <c r="AY92" i="22"/>
  <c r="AX92" i="22"/>
  <c r="AW92" i="22"/>
  <c r="AT92" i="22"/>
  <c r="AS92" i="22"/>
  <c r="AP92" i="22"/>
  <c r="AO92" i="22"/>
  <c r="AL92" i="22"/>
  <c r="AK92" i="22"/>
  <c r="AH92" i="22"/>
  <c r="AG92" i="22"/>
  <c r="AD92" i="22"/>
  <c r="AC92" i="22"/>
  <c r="Z92" i="22"/>
  <c r="Y92" i="22"/>
  <c r="V92" i="22"/>
  <c r="U92" i="22"/>
  <c r="R92" i="22"/>
  <c r="Q92" i="22"/>
  <c r="N92" i="22"/>
  <c r="M92" i="22"/>
  <c r="J92" i="22"/>
  <c r="I92" i="22"/>
  <c r="F92" i="22"/>
  <c r="E92" i="22"/>
  <c r="AZ91" i="22"/>
  <c r="AY91" i="22"/>
  <c r="AX91" i="22"/>
  <c r="AW91" i="22"/>
  <c r="AT91" i="22"/>
  <c r="AS91" i="22"/>
  <c r="AP91" i="22"/>
  <c r="AO91" i="22"/>
  <c r="AL91" i="22"/>
  <c r="AK91" i="22"/>
  <c r="AH91" i="22"/>
  <c r="AG91" i="22"/>
  <c r="AD91" i="22"/>
  <c r="AC91" i="22"/>
  <c r="Z91" i="22"/>
  <c r="Y91" i="22"/>
  <c r="V91" i="22"/>
  <c r="U91" i="22"/>
  <c r="R91" i="22"/>
  <c r="Q91" i="22"/>
  <c r="N91" i="22"/>
  <c r="M91" i="22"/>
  <c r="J91" i="22"/>
  <c r="I91" i="22"/>
  <c r="F91" i="22"/>
  <c r="E91" i="22"/>
  <c r="AZ90" i="22"/>
  <c r="AY90" i="22"/>
  <c r="AX90" i="22"/>
  <c r="AW90" i="22"/>
  <c r="AT90" i="22"/>
  <c r="AS90" i="22"/>
  <c r="AP90" i="22"/>
  <c r="AO90" i="22"/>
  <c r="AL90" i="22"/>
  <c r="AK90" i="22"/>
  <c r="AH90" i="22"/>
  <c r="AG90" i="22"/>
  <c r="AD90" i="22"/>
  <c r="AC90" i="22"/>
  <c r="Z90" i="22"/>
  <c r="Y90" i="22"/>
  <c r="V90" i="22"/>
  <c r="U90" i="22"/>
  <c r="R90" i="22"/>
  <c r="Q90" i="22"/>
  <c r="N90" i="22"/>
  <c r="M90" i="22"/>
  <c r="J90" i="22"/>
  <c r="I90" i="22"/>
  <c r="F90" i="22"/>
  <c r="E90" i="22"/>
  <c r="AZ89" i="22"/>
  <c r="AY89" i="22"/>
  <c r="AX89" i="22"/>
  <c r="AW89" i="22"/>
  <c r="AT89" i="22"/>
  <c r="AS89" i="22"/>
  <c r="AP89" i="22"/>
  <c r="AO89" i="22"/>
  <c r="AL89" i="22"/>
  <c r="AK89" i="22"/>
  <c r="AH89" i="22"/>
  <c r="AG89" i="22"/>
  <c r="AD89" i="22"/>
  <c r="AC89" i="22"/>
  <c r="Z89" i="22"/>
  <c r="Y89" i="22"/>
  <c r="V89" i="22"/>
  <c r="U89" i="22"/>
  <c r="R89" i="22"/>
  <c r="Q89" i="22"/>
  <c r="N89" i="22"/>
  <c r="M89" i="22"/>
  <c r="J89" i="22"/>
  <c r="I89" i="22"/>
  <c r="F89" i="22"/>
  <c r="E89" i="22"/>
  <c r="AZ88" i="22"/>
  <c r="AY88" i="22"/>
  <c r="AX88" i="22"/>
  <c r="AW88" i="22"/>
  <c r="AT88" i="22"/>
  <c r="AS88" i="22"/>
  <c r="AP88" i="22"/>
  <c r="AO88" i="22"/>
  <c r="AL88" i="22"/>
  <c r="AK88" i="22"/>
  <c r="AH88" i="22"/>
  <c r="AG88" i="22"/>
  <c r="AD88" i="22"/>
  <c r="AC88" i="22"/>
  <c r="Z88" i="22"/>
  <c r="Y88" i="22"/>
  <c r="V88" i="22"/>
  <c r="U88" i="22"/>
  <c r="R88" i="22"/>
  <c r="Q88" i="22"/>
  <c r="N88" i="22"/>
  <c r="M88" i="22"/>
  <c r="J88" i="22"/>
  <c r="I88" i="22"/>
  <c r="F88" i="22"/>
  <c r="E88" i="22"/>
  <c r="AZ87" i="22"/>
  <c r="AY87" i="22"/>
  <c r="AX87" i="22"/>
  <c r="AW87" i="22"/>
  <c r="AT87" i="22"/>
  <c r="AS87" i="22"/>
  <c r="AP87" i="22"/>
  <c r="AO87" i="22"/>
  <c r="AL87" i="22"/>
  <c r="AK87" i="22"/>
  <c r="AH87" i="22"/>
  <c r="AG87" i="22"/>
  <c r="AD87" i="22"/>
  <c r="AC87" i="22"/>
  <c r="Z87" i="22"/>
  <c r="Y87" i="22"/>
  <c r="V87" i="22"/>
  <c r="U87" i="22"/>
  <c r="R87" i="22"/>
  <c r="Q87" i="22"/>
  <c r="N87" i="22"/>
  <c r="M87" i="22"/>
  <c r="J87" i="22"/>
  <c r="I87" i="22"/>
  <c r="F87" i="22"/>
  <c r="E87" i="22"/>
  <c r="AZ86" i="22"/>
  <c r="AY86" i="22"/>
  <c r="AX86" i="22"/>
  <c r="AW86" i="22"/>
  <c r="AT86" i="22"/>
  <c r="AS86" i="22"/>
  <c r="AP86" i="22"/>
  <c r="AO86" i="22"/>
  <c r="AL86" i="22"/>
  <c r="AK86" i="22"/>
  <c r="AH86" i="22"/>
  <c r="AG86" i="22"/>
  <c r="AD86" i="22"/>
  <c r="AC86" i="22"/>
  <c r="Z86" i="22"/>
  <c r="Y86" i="22"/>
  <c r="V86" i="22"/>
  <c r="U86" i="22"/>
  <c r="R86" i="22"/>
  <c r="Q86" i="22"/>
  <c r="N86" i="22"/>
  <c r="M86" i="22"/>
  <c r="J86" i="22"/>
  <c r="I86" i="22"/>
  <c r="F86" i="22"/>
  <c r="E86" i="22"/>
  <c r="AZ85" i="22"/>
  <c r="AY85" i="22"/>
  <c r="AX85" i="22"/>
  <c r="AW85" i="22"/>
  <c r="AT85" i="22"/>
  <c r="AS85" i="22"/>
  <c r="AP85" i="22"/>
  <c r="AO85" i="22"/>
  <c r="AL85" i="22"/>
  <c r="AK85" i="22"/>
  <c r="AH85" i="22"/>
  <c r="AG85" i="22"/>
  <c r="AD85" i="22"/>
  <c r="AC85" i="22"/>
  <c r="Z85" i="22"/>
  <c r="Y85" i="22"/>
  <c r="V85" i="22"/>
  <c r="U85" i="22"/>
  <c r="R85" i="22"/>
  <c r="Q85" i="22"/>
  <c r="N85" i="22"/>
  <c r="M85" i="22"/>
  <c r="J85" i="22"/>
  <c r="I85" i="22"/>
  <c r="F85" i="22"/>
  <c r="E85" i="22"/>
  <c r="AZ84" i="22"/>
  <c r="AY84" i="22"/>
  <c r="AX84" i="22"/>
  <c r="AW84" i="22"/>
  <c r="AT84" i="22"/>
  <c r="AS84" i="22"/>
  <c r="AP84" i="22"/>
  <c r="AO84" i="22"/>
  <c r="AL84" i="22"/>
  <c r="AK84" i="22"/>
  <c r="AH84" i="22"/>
  <c r="AG84" i="22"/>
  <c r="AD84" i="22"/>
  <c r="AC84" i="22"/>
  <c r="Z84" i="22"/>
  <c r="Y84" i="22"/>
  <c r="V84" i="22"/>
  <c r="U84" i="22"/>
  <c r="R84" i="22"/>
  <c r="Q84" i="22"/>
  <c r="N84" i="22"/>
  <c r="M84" i="22"/>
  <c r="J84" i="22"/>
  <c r="I84" i="22"/>
  <c r="F84" i="22"/>
  <c r="E84" i="22"/>
  <c r="AZ83" i="22"/>
  <c r="AY83" i="22"/>
  <c r="AW83" i="22"/>
  <c r="AS83" i="22"/>
  <c r="AO83" i="22"/>
  <c r="AK83" i="22"/>
  <c r="AG83" i="22"/>
  <c r="AC83" i="22"/>
  <c r="Y83" i="22"/>
  <c r="U83" i="22"/>
  <c r="Q83" i="22"/>
  <c r="M83" i="22"/>
  <c r="I83" i="22"/>
  <c r="E83" i="22"/>
  <c r="AY82" i="22"/>
  <c r="AX82" i="22"/>
  <c r="AW82" i="22"/>
  <c r="AT82" i="22"/>
  <c r="AS82" i="22"/>
  <c r="AP82" i="22"/>
  <c r="AO82" i="22"/>
  <c r="AL82" i="22"/>
  <c r="AK82" i="22"/>
  <c r="AH82" i="22"/>
  <c r="AG82" i="22"/>
  <c r="AD82" i="22"/>
  <c r="AC82" i="22"/>
  <c r="Z82" i="22"/>
  <c r="Y82" i="22"/>
  <c r="V82" i="22"/>
  <c r="U82" i="22"/>
  <c r="R82" i="22"/>
  <c r="Q82" i="22"/>
  <c r="N82" i="22"/>
  <c r="M82" i="22"/>
  <c r="J82" i="22"/>
  <c r="I82" i="22"/>
  <c r="D82" i="22"/>
  <c r="E82" i="22" s="1"/>
  <c r="AZ81" i="22"/>
  <c r="AY81" i="22"/>
  <c r="AW81" i="22"/>
  <c r="AS81" i="22"/>
  <c r="AO81" i="22"/>
  <c r="AK81" i="22"/>
  <c r="AG81" i="22"/>
  <c r="AC81" i="22"/>
  <c r="Y81" i="22"/>
  <c r="U81" i="22"/>
  <c r="Q81" i="22"/>
  <c r="M81" i="22"/>
  <c r="I81" i="22"/>
  <c r="E81" i="22"/>
  <c r="AY80" i="22"/>
  <c r="AX80" i="22"/>
  <c r="AW80" i="22"/>
  <c r="AT80" i="22"/>
  <c r="AS80" i="22"/>
  <c r="AP80" i="22"/>
  <c r="AO80" i="22"/>
  <c r="AL80" i="22"/>
  <c r="AK80" i="22"/>
  <c r="AH80" i="22"/>
  <c r="AG80" i="22"/>
  <c r="AD80" i="22"/>
  <c r="AC80" i="22"/>
  <c r="Z80" i="22"/>
  <c r="Y80" i="22"/>
  <c r="V80" i="22"/>
  <c r="U80" i="22"/>
  <c r="R80" i="22"/>
  <c r="Q80" i="22"/>
  <c r="N80" i="22"/>
  <c r="M80" i="22"/>
  <c r="J80" i="22"/>
  <c r="I80" i="22"/>
  <c r="D80" i="22"/>
  <c r="E80" i="22" s="1"/>
  <c r="AZ79" i="22"/>
  <c r="AY79" i="22"/>
  <c r="AX79" i="22"/>
  <c r="AW79" i="22"/>
  <c r="AT79" i="22"/>
  <c r="AS79" i="22"/>
  <c r="AP79" i="22"/>
  <c r="AO79" i="22"/>
  <c r="AL79" i="22"/>
  <c r="AK79" i="22"/>
  <c r="AH79" i="22"/>
  <c r="AG79" i="22"/>
  <c r="AD79" i="22"/>
  <c r="AC79" i="22"/>
  <c r="Z79" i="22"/>
  <c r="Y79" i="22"/>
  <c r="V79" i="22"/>
  <c r="U79" i="22"/>
  <c r="R79" i="22"/>
  <c r="Q79" i="22"/>
  <c r="N79" i="22"/>
  <c r="M79" i="22"/>
  <c r="J79" i="22"/>
  <c r="I79" i="22"/>
  <c r="F79" i="22"/>
  <c r="E79" i="22"/>
  <c r="AZ78" i="22"/>
  <c r="AY78" i="22"/>
  <c r="AX78" i="22"/>
  <c r="AW78" i="22"/>
  <c r="AT78" i="22"/>
  <c r="AS78" i="22"/>
  <c r="AP78" i="22"/>
  <c r="AO78" i="22"/>
  <c r="AL78" i="22"/>
  <c r="AK78" i="22"/>
  <c r="AH78" i="22"/>
  <c r="AG78" i="22"/>
  <c r="AD78" i="22"/>
  <c r="AC78" i="22"/>
  <c r="Z78" i="22"/>
  <c r="Y78" i="22"/>
  <c r="V78" i="22"/>
  <c r="U78" i="22"/>
  <c r="R78" i="22"/>
  <c r="Q78" i="22"/>
  <c r="N78" i="22"/>
  <c r="M78" i="22"/>
  <c r="J78" i="22"/>
  <c r="I78" i="22"/>
  <c r="F78" i="22"/>
  <c r="E78" i="22"/>
  <c r="AZ77" i="22"/>
  <c r="AY77" i="22"/>
  <c r="AX77" i="22"/>
  <c r="AW77" i="22"/>
  <c r="AT77" i="22"/>
  <c r="AS77" i="22"/>
  <c r="AP77" i="22"/>
  <c r="AO77" i="22"/>
  <c r="AL77" i="22"/>
  <c r="AK77" i="22"/>
  <c r="AH77" i="22"/>
  <c r="AG77" i="22"/>
  <c r="AD77" i="22"/>
  <c r="AC77" i="22"/>
  <c r="Z77" i="22"/>
  <c r="Y77" i="22"/>
  <c r="V77" i="22"/>
  <c r="U77" i="22"/>
  <c r="R77" i="22"/>
  <c r="Q77" i="22"/>
  <c r="N77" i="22"/>
  <c r="M77" i="22"/>
  <c r="J77" i="22"/>
  <c r="I77" i="22"/>
  <c r="F77" i="22"/>
  <c r="E77" i="22"/>
  <c r="AZ76" i="22"/>
  <c r="AY76" i="22"/>
  <c r="AX76" i="22"/>
  <c r="AW76" i="22"/>
  <c r="AT76" i="22"/>
  <c r="AS76" i="22"/>
  <c r="AP76" i="22"/>
  <c r="AO76" i="22"/>
  <c r="AL76" i="22"/>
  <c r="AK76" i="22"/>
  <c r="AH76" i="22"/>
  <c r="AG76" i="22"/>
  <c r="AD76" i="22"/>
  <c r="AC76" i="22"/>
  <c r="Z76" i="22"/>
  <c r="Y76" i="22"/>
  <c r="V76" i="22"/>
  <c r="U76" i="22"/>
  <c r="R76" i="22"/>
  <c r="Q76" i="22"/>
  <c r="N76" i="22"/>
  <c r="M76" i="22"/>
  <c r="J76" i="22"/>
  <c r="I76" i="22"/>
  <c r="F76" i="22"/>
  <c r="E76" i="22"/>
  <c r="AZ75" i="22"/>
  <c r="AY75" i="22"/>
  <c r="AX75" i="22"/>
  <c r="AW75" i="22"/>
  <c r="AT75" i="22"/>
  <c r="AS75" i="22"/>
  <c r="AP75" i="22"/>
  <c r="AO75" i="22"/>
  <c r="AL75" i="22"/>
  <c r="AK75" i="22"/>
  <c r="AH75" i="22"/>
  <c r="AG75" i="22"/>
  <c r="AD75" i="22"/>
  <c r="AC75" i="22"/>
  <c r="Z75" i="22"/>
  <c r="Y75" i="22"/>
  <c r="V75" i="22"/>
  <c r="U75" i="22"/>
  <c r="R75" i="22"/>
  <c r="Q75" i="22"/>
  <c r="N75" i="22"/>
  <c r="M75" i="22"/>
  <c r="J75" i="22"/>
  <c r="I75" i="22"/>
  <c r="F75" i="22"/>
  <c r="E75" i="22"/>
  <c r="AY74" i="22"/>
  <c r="AX74" i="22"/>
  <c r="AW74" i="22"/>
  <c r="AT74" i="22"/>
  <c r="AS74" i="22"/>
  <c r="AP74" i="22"/>
  <c r="AO74" i="22"/>
  <c r="AL74" i="22"/>
  <c r="AK74" i="22"/>
  <c r="AH74" i="22"/>
  <c r="AG74" i="22"/>
  <c r="AD74" i="22"/>
  <c r="AC74" i="22"/>
  <c r="Z74" i="22"/>
  <c r="Y74" i="22"/>
  <c r="V74" i="22"/>
  <c r="U74" i="22"/>
  <c r="R74" i="22"/>
  <c r="Q74" i="22"/>
  <c r="N74" i="22"/>
  <c r="M74" i="22"/>
  <c r="H74" i="22"/>
  <c r="D74" i="22"/>
  <c r="AZ73" i="22"/>
  <c r="AY73" i="22"/>
  <c r="AW73" i="22"/>
  <c r="AS73" i="22"/>
  <c r="AO73" i="22"/>
  <c r="AK73" i="22"/>
  <c r="AG73" i="22"/>
  <c r="AC73" i="22"/>
  <c r="Y73" i="22"/>
  <c r="U73" i="22"/>
  <c r="Q73" i="22"/>
  <c r="M73" i="22"/>
  <c r="I73" i="22"/>
  <c r="E73" i="22"/>
  <c r="AV72" i="22"/>
  <c r="AU72" i="22"/>
  <c r="AR72" i="22"/>
  <c r="AQ72" i="22"/>
  <c r="AN72" i="22"/>
  <c r="AM72" i="22"/>
  <c r="AJ72" i="22"/>
  <c r="AI72" i="22"/>
  <c r="AF72" i="22"/>
  <c r="AE72" i="22"/>
  <c r="AB72" i="22"/>
  <c r="AA72" i="22"/>
  <c r="X72" i="22"/>
  <c r="W72" i="22"/>
  <c r="T72" i="22"/>
  <c r="S72" i="22"/>
  <c r="P72" i="22"/>
  <c r="O72" i="22"/>
  <c r="L72" i="22"/>
  <c r="K72" i="22"/>
  <c r="G72" i="22"/>
  <c r="C72" i="22"/>
  <c r="AZ70" i="22"/>
  <c r="AY70" i="22"/>
  <c r="AW70" i="22"/>
  <c r="AS70" i="22"/>
  <c r="AO70" i="22"/>
  <c r="AK70" i="22"/>
  <c r="AG70" i="22"/>
  <c r="AC70" i="22"/>
  <c r="Y70" i="22"/>
  <c r="U70" i="22"/>
  <c r="Q70" i="22"/>
  <c r="M70" i="22"/>
  <c r="I70" i="22"/>
  <c r="E70" i="22"/>
  <c r="AZ69" i="22"/>
  <c r="AY69" i="22"/>
  <c r="AX69" i="22"/>
  <c r="AW69" i="22"/>
  <c r="AT69" i="22"/>
  <c r="AS69" i="22"/>
  <c r="AP69" i="22"/>
  <c r="AO69" i="22"/>
  <c r="AL69" i="22"/>
  <c r="AK69" i="22"/>
  <c r="AH69" i="22"/>
  <c r="AG69" i="22"/>
  <c r="AD69" i="22"/>
  <c r="AC69" i="22"/>
  <c r="Z69" i="22"/>
  <c r="Y69" i="22"/>
  <c r="V69" i="22"/>
  <c r="U69" i="22"/>
  <c r="R69" i="22"/>
  <c r="Q69" i="22"/>
  <c r="N69" i="22"/>
  <c r="M69" i="22"/>
  <c r="J69" i="22"/>
  <c r="I69" i="22"/>
  <c r="F69" i="22"/>
  <c r="E69" i="22"/>
  <c r="AY68" i="22"/>
  <c r="AX68" i="22"/>
  <c r="AW68" i="22"/>
  <c r="AT68" i="22"/>
  <c r="AS68" i="22"/>
  <c r="AP68" i="22"/>
  <c r="AO68" i="22"/>
  <c r="AL68" i="22"/>
  <c r="AK68" i="22"/>
  <c r="AH68" i="22"/>
  <c r="AG68" i="22"/>
  <c r="AD68" i="22"/>
  <c r="AC68" i="22"/>
  <c r="Z68" i="22"/>
  <c r="Y68" i="22"/>
  <c r="V68" i="22"/>
  <c r="U68" i="22"/>
  <c r="R68" i="22"/>
  <c r="Q68" i="22"/>
  <c r="N68" i="22"/>
  <c r="M68" i="22"/>
  <c r="J68" i="22"/>
  <c r="I68" i="22"/>
  <c r="D68" i="22"/>
  <c r="E68" i="22" s="1"/>
  <c r="AZ67" i="22"/>
  <c r="AY67" i="22"/>
  <c r="AX67" i="22"/>
  <c r="AW67" i="22"/>
  <c r="AT67" i="22"/>
  <c r="AS67" i="22"/>
  <c r="AP67" i="22"/>
  <c r="AO67" i="22"/>
  <c r="AL67" i="22"/>
  <c r="AK67" i="22"/>
  <c r="AH67" i="22"/>
  <c r="AG67" i="22"/>
  <c r="AD67" i="22"/>
  <c r="AC67" i="22"/>
  <c r="Z67" i="22"/>
  <c r="Y67" i="22"/>
  <c r="V67" i="22"/>
  <c r="U67" i="22"/>
  <c r="R67" i="22"/>
  <c r="Q67" i="22"/>
  <c r="N67" i="22"/>
  <c r="M67" i="22"/>
  <c r="J67" i="22"/>
  <c r="I67" i="22"/>
  <c r="F67" i="22"/>
  <c r="E67" i="22"/>
  <c r="AY66" i="22"/>
  <c r="AX66" i="22"/>
  <c r="AW66" i="22"/>
  <c r="AT66" i="22"/>
  <c r="AS66" i="22"/>
  <c r="AP66" i="22"/>
  <c r="AO66" i="22"/>
  <c r="AL66" i="22"/>
  <c r="AK66" i="22"/>
  <c r="AH66" i="22"/>
  <c r="AG66" i="22"/>
  <c r="AD66" i="22"/>
  <c r="AC66" i="22"/>
  <c r="Z66" i="22"/>
  <c r="Y66" i="22"/>
  <c r="V66" i="22"/>
  <c r="U66" i="22"/>
  <c r="R66" i="22"/>
  <c r="Q66" i="22"/>
  <c r="N66" i="22"/>
  <c r="M66" i="22"/>
  <c r="H66" i="22"/>
  <c r="D66" i="22"/>
  <c r="AY65" i="22"/>
  <c r="AX65" i="22"/>
  <c r="AW65" i="22"/>
  <c r="AT65" i="22"/>
  <c r="AS65" i="22"/>
  <c r="AP65" i="22"/>
  <c r="AO65" i="22"/>
  <c r="AL65" i="22"/>
  <c r="AK65" i="22"/>
  <c r="AH65" i="22"/>
  <c r="AG65" i="22"/>
  <c r="AD65" i="22"/>
  <c r="AC65" i="22"/>
  <c r="Z65" i="22"/>
  <c r="Y65" i="22"/>
  <c r="V65" i="22"/>
  <c r="U65" i="22"/>
  <c r="R65" i="22"/>
  <c r="Q65" i="22"/>
  <c r="N65" i="22"/>
  <c r="M65" i="22"/>
  <c r="H65" i="22"/>
  <c r="D65" i="22"/>
  <c r="AY64" i="22"/>
  <c r="AX64" i="22"/>
  <c r="AW64" i="22"/>
  <c r="AT64" i="22"/>
  <c r="AS64" i="22"/>
  <c r="AP64" i="22"/>
  <c r="AO64" i="22"/>
  <c r="AL64" i="22"/>
  <c r="AK64" i="22"/>
  <c r="AH64" i="22"/>
  <c r="AG64" i="22"/>
  <c r="AD64" i="22"/>
  <c r="AC64" i="22"/>
  <c r="Z64" i="22"/>
  <c r="Y64" i="22"/>
  <c r="V64" i="22"/>
  <c r="U64" i="22"/>
  <c r="R64" i="22"/>
  <c r="Q64" i="22"/>
  <c r="N64" i="22"/>
  <c r="M64" i="22"/>
  <c r="H64" i="22"/>
  <c r="D64" i="22"/>
  <c r="AZ63" i="22"/>
  <c r="AY63" i="22"/>
  <c r="AX63" i="22"/>
  <c r="AW63" i="22"/>
  <c r="AT63" i="22"/>
  <c r="AS63" i="22"/>
  <c r="AP63" i="22"/>
  <c r="AO63" i="22"/>
  <c r="AL63" i="22"/>
  <c r="AK63" i="22"/>
  <c r="AH63" i="22"/>
  <c r="AG63" i="22"/>
  <c r="AD63" i="22"/>
  <c r="AC63" i="22"/>
  <c r="Z63" i="22"/>
  <c r="Y63" i="22"/>
  <c r="V63" i="22"/>
  <c r="U63" i="22"/>
  <c r="R63" i="22"/>
  <c r="Q63" i="22"/>
  <c r="N63" i="22"/>
  <c r="M63" i="22"/>
  <c r="J63" i="22"/>
  <c r="I63" i="22"/>
  <c r="F63" i="22"/>
  <c r="E63" i="22"/>
  <c r="AZ62" i="22"/>
  <c r="AY62" i="22"/>
  <c r="AX62" i="22"/>
  <c r="AW62" i="22"/>
  <c r="AT62" i="22"/>
  <c r="AS62" i="22"/>
  <c r="AP62" i="22"/>
  <c r="AO62" i="22"/>
  <c r="AL62" i="22"/>
  <c r="AK62" i="22"/>
  <c r="AH62" i="22"/>
  <c r="AG62" i="22"/>
  <c r="AD62" i="22"/>
  <c r="AC62" i="22"/>
  <c r="Z62" i="22"/>
  <c r="Y62" i="22"/>
  <c r="V62" i="22"/>
  <c r="U62" i="22"/>
  <c r="R62" i="22"/>
  <c r="Q62" i="22"/>
  <c r="N62" i="22"/>
  <c r="M62" i="22"/>
  <c r="J62" i="22"/>
  <c r="I62" i="22"/>
  <c r="F62" i="22"/>
  <c r="E62" i="22"/>
  <c r="AZ61" i="22"/>
  <c r="AY61" i="22"/>
  <c r="AX61" i="22"/>
  <c r="AW61" i="22"/>
  <c r="AT61" i="22"/>
  <c r="AS61" i="22"/>
  <c r="AO61" i="22"/>
  <c r="AL61" i="22"/>
  <c r="AK61" i="22"/>
  <c r="AH61" i="22"/>
  <c r="AG61" i="22"/>
  <c r="AD61" i="22"/>
  <c r="AC61" i="22"/>
  <c r="Z61" i="22"/>
  <c r="Y61" i="22"/>
  <c r="V61" i="22"/>
  <c r="U61" i="22"/>
  <c r="R61" i="22"/>
  <c r="Q61" i="22"/>
  <c r="N61" i="22"/>
  <c r="M61" i="22"/>
  <c r="J61" i="22"/>
  <c r="I61" i="22"/>
  <c r="F61" i="22"/>
  <c r="E61" i="22"/>
  <c r="AY60" i="22"/>
  <c r="AX60" i="22"/>
  <c r="AW60" i="22"/>
  <c r="AT60" i="22"/>
  <c r="AS60" i="22"/>
  <c r="AP60" i="22"/>
  <c r="AO60" i="22"/>
  <c r="AL60" i="22"/>
  <c r="AK60" i="22"/>
  <c r="AH60" i="22"/>
  <c r="AG60" i="22"/>
  <c r="AD60" i="22"/>
  <c r="AC60" i="22"/>
  <c r="Z60" i="22"/>
  <c r="Y60" i="22"/>
  <c r="V60" i="22"/>
  <c r="U60" i="22"/>
  <c r="R60" i="22"/>
  <c r="Q60" i="22"/>
  <c r="N60" i="22"/>
  <c r="M60" i="22"/>
  <c r="H60" i="22"/>
  <c r="J60" i="22" s="1"/>
  <c r="D60" i="22"/>
  <c r="F60" i="22" s="1"/>
  <c r="AZ59" i="22"/>
  <c r="AY59" i="22"/>
  <c r="AX59" i="22"/>
  <c r="AW59" i="22"/>
  <c r="AT59" i="22"/>
  <c r="AS59" i="22"/>
  <c r="AP59" i="22"/>
  <c r="AO59" i="22"/>
  <c r="AL59" i="22"/>
  <c r="AK59" i="22"/>
  <c r="AH59" i="22"/>
  <c r="AG59" i="22"/>
  <c r="AD59" i="22"/>
  <c r="AC59" i="22"/>
  <c r="Z59" i="22"/>
  <c r="Y59" i="22"/>
  <c r="V59" i="22"/>
  <c r="U59" i="22"/>
  <c r="R59" i="22"/>
  <c r="Q59" i="22"/>
  <c r="N59" i="22"/>
  <c r="M59" i="22"/>
  <c r="J59" i="22"/>
  <c r="I59" i="22"/>
  <c r="F59" i="22"/>
  <c r="E59" i="22"/>
  <c r="AZ58" i="22"/>
  <c r="AY58" i="22"/>
  <c r="AX58" i="22"/>
  <c r="AW58" i="22"/>
  <c r="AT58" i="22"/>
  <c r="AS58" i="22"/>
  <c r="AP58" i="22"/>
  <c r="AO58" i="22"/>
  <c r="AL58" i="22"/>
  <c r="AK58" i="22"/>
  <c r="AH58" i="22"/>
  <c r="AG58" i="22"/>
  <c r="AD58" i="22"/>
  <c r="AC58" i="22"/>
  <c r="Z58" i="22"/>
  <c r="Y58" i="22"/>
  <c r="V58" i="22"/>
  <c r="U58" i="22"/>
  <c r="R58" i="22"/>
  <c r="Q58" i="22"/>
  <c r="N58" i="22"/>
  <c r="M58" i="22"/>
  <c r="J58" i="22"/>
  <c r="I58" i="22"/>
  <c r="F58" i="22"/>
  <c r="E58" i="22"/>
  <c r="AZ57" i="22"/>
  <c r="AY57" i="22"/>
  <c r="AX57" i="22"/>
  <c r="AW57" i="22"/>
  <c r="AT57" i="22"/>
  <c r="AS57" i="22"/>
  <c r="AP57" i="22"/>
  <c r="AO57" i="22"/>
  <c r="AL57" i="22"/>
  <c r="AK57" i="22"/>
  <c r="AH57" i="22"/>
  <c r="AG57" i="22"/>
  <c r="AD57" i="22"/>
  <c r="AC57" i="22"/>
  <c r="Z57" i="22"/>
  <c r="Y57" i="22"/>
  <c r="V57" i="22"/>
  <c r="U57" i="22"/>
  <c r="R57" i="22"/>
  <c r="Q57" i="22"/>
  <c r="N57" i="22"/>
  <c r="M57" i="22"/>
  <c r="J57" i="22"/>
  <c r="I57" i="22"/>
  <c r="F57" i="22"/>
  <c r="E57" i="22"/>
  <c r="AZ56" i="22"/>
  <c r="AY56" i="22"/>
  <c r="AX56" i="22"/>
  <c r="AW56" i="22"/>
  <c r="AT56" i="22"/>
  <c r="AS56" i="22"/>
  <c r="AP56" i="22"/>
  <c r="AO56" i="22"/>
  <c r="AL56" i="22"/>
  <c r="AK56" i="22"/>
  <c r="AH56" i="22"/>
  <c r="AG56" i="22"/>
  <c r="AD56" i="22"/>
  <c r="AC56" i="22"/>
  <c r="Z56" i="22"/>
  <c r="Y56" i="22"/>
  <c r="V56" i="22"/>
  <c r="U56" i="22"/>
  <c r="R56" i="22"/>
  <c r="Q56" i="22"/>
  <c r="N56" i="22"/>
  <c r="M56" i="22"/>
  <c r="J56" i="22"/>
  <c r="I56" i="22"/>
  <c r="F56" i="22"/>
  <c r="E56" i="22"/>
  <c r="AY55" i="22"/>
  <c r="AX55" i="22"/>
  <c r="AW55" i="22"/>
  <c r="AT55" i="22"/>
  <c r="AS55" i="22"/>
  <c r="AP55" i="22"/>
  <c r="AO55" i="22"/>
  <c r="AL55" i="22"/>
  <c r="AK55" i="22"/>
  <c r="AH55" i="22"/>
  <c r="AG55" i="22"/>
  <c r="AD55" i="22"/>
  <c r="AC55" i="22"/>
  <c r="Z55" i="22"/>
  <c r="Y55" i="22"/>
  <c r="V55" i="22"/>
  <c r="U55" i="22"/>
  <c r="R55" i="22"/>
  <c r="Q55" i="22"/>
  <c r="N55" i="22"/>
  <c r="M55" i="22"/>
  <c r="H55" i="22"/>
  <c r="D55" i="22"/>
  <c r="F55" i="22" s="1"/>
  <c r="AZ54" i="22"/>
  <c r="AY54" i="22"/>
  <c r="AX54" i="22"/>
  <c r="AW54" i="22"/>
  <c r="AT54" i="22"/>
  <c r="AS54" i="22"/>
  <c r="AP54" i="22"/>
  <c r="AO54" i="22"/>
  <c r="AL54" i="22"/>
  <c r="AK54" i="22"/>
  <c r="AH54" i="22"/>
  <c r="AG54" i="22"/>
  <c r="AD54" i="22"/>
  <c r="AC54" i="22"/>
  <c r="Z54" i="22"/>
  <c r="Y54" i="22"/>
  <c r="V54" i="22"/>
  <c r="U54" i="22"/>
  <c r="R54" i="22"/>
  <c r="Q54" i="22"/>
  <c r="N54" i="22"/>
  <c r="M54" i="22"/>
  <c r="J54" i="22"/>
  <c r="I54" i="22"/>
  <c r="F54" i="22"/>
  <c r="E54" i="22"/>
  <c r="AZ53" i="22"/>
  <c r="AY53" i="22"/>
  <c r="AX53" i="22"/>
  <c r="AW53" i="22"/>
  <c r="AT53" i="22"/>
  <c r="AS53" i="22"/>
  <c r="AP53" i="22"/>
  <c r="AO53" i="22"/>
  <c r="AL53" i="22"/>
  <c r="AK53" i="22"/>
  <c r="AH53" i="22"/>
  <c r="AG53" i="22"/>
  <c r="AD53" i="22"/>
  <c r="AC53" i="22"/>
  <c r="Z53" i="22"/>
  <c r="Y53" i="22"/>
  <c r="V53" i="22"/>
  <c r="U53" i="22"/>
  <c r="R53" i="22"/>
  <c r="Q53" i="22"/>
  <c r="N53" i="22"/>
  <c r="M53" i="22"/>
  <c r="J53" i="22"/>
  <c r="I53" i="22"/>
  <c r="F53" i="22"/>
  <c r="E53" i="22"/>
  <c r="AZ52" i="22"/>
  <c r="AY52" i="22"/>
  <c r="AX52" i="22"/>
  <c r="AW52" i="22"/>
  <c r="AT52" i="22"/>
  <c r="AS52" i="22"/>
  <c r="AP52" i="22"/>
  <c r="AO52" i="22"/>
  <c r="AL52" i="22"/>
  <c r="AK52" i="22"/>
  <c r="AH52" i="22"/>
  <c r="AG52" i="22"/>
  <c r="AD52" i="22"/>
  <c r="AC52" i="22"/>
  <c r="Z52" i="22"/>
  <c r="Y52" i="22"/>
  <c r="V52" i="22"/>
  <c r="U52" i="22"/>
  <c r="R52" i="22"/>
  <c r="Q52" i="22"/>
  <c r="N52" i="22"/>
  <c r="M52" i="22"/>
  <c r="J52" i="22"/>
  <c r="I52" i="22"/>
  <c r="F52" i="22"/>
  <c r="E52" i="22"/>
  <c r="AZ51" i="22"/>
  <c r="AY51" i="22"/>
  <c r="AX51" i="22"/>
  <c r="AW51" i="22"/>
  <c r="AT51" i="22"/>
  <c r="AS51" i="22"/>
  <c r="AP51" i="22"/>
  <c r="AO51" i="22"/>
  <c r="AL51" i="22"/>
  <c r="AK51" i="22"/>
  <c r="AH51" i="22"/>
  <c r="AG51" i="22"/>
  <c r="AD51" i="22"/>
  <c r="AC51" i="22"/>
  <c r="Z51" i="22"/>
  <c r="Y51" i="22"/>
  <c r="V51" i="22"/>
  <c r="U51" i="22"/>
  <c r="R51" i="22"/>
  <c r="Q51" i="22"/>
  <c r="N51" i="22"/>
  <c r="M51" i="22"/>
  <c r="J51" i="22"/>
  <c r="I51" i="22"/>
  <c r="F51" i="22"/>
  <c r="E51" i="22"/>
  <c r="AZ50" i="22"/>
  <c r="AY50" i="22"/>
  <c r="AX50" i="22"/>
  <c r="AW50" i="22"/>
  <c r="AT50" i="22"/>
  <c r="AS50" i="22"/>
  <c r="AP50" i="22"/>
  <c r="AO50" i="22"/>
  <c r="AL50" i="22"/>
  <c r="AK50" i="22"/>
  <c r="AH50" i="22"/>
  <c r="AG50" i="22"/>
  <c r="AD50" i="22"/>
  <c r="AC50" i="22"/>
  <c r="Z50" i="22"/>
  <c r="Y50" i="22"/>
  <c r="V50" i="22"/>
  <c r="U50" i="22"/>
  <c r="R50" i="22"/>
  <c r="Q50" i="22"/>
  <c r="N50" i="22"/>
  <c r="M50" i="22"/>
  <c r="J50" i="22"/>
  <c r="I50" i="22"/>
  <c r="F50" i="22"/>
  <c r="E50" i="22"/>
  <c r="AZ49" i="22"/>
  <c r="AY49" i="22"/>
  <c r="AX49" i="22"/>
  <c r="AW49" i="22"/>
  <c r="AT49" i="22"/>
  <c r="AS49" i="22"/>
  <c r="AP49" i="22"/>
  <c r="AO49" i="22"/>
  <c r="AL49" i="22"/>
  <c r="AK49" i="22"/>
  <c r="AH49" i="22"/>
  <c r="AG49" i="22"/>
  <c r="AD49" i="22"/>
  <c r="AC49" i="22"/>
  <c r="Z49" i="22"/>
  <c r="Y49" i="22"/>
  <c r="V49" i="22"/>
  <c r="U49" i="22"/>
  <c r="R49" i="22"/>
  <c r="Q49" i="22"/>
  <c r="N49" i="22"/>
  <c r="M49" i="22"/>
  <c r="J49" i="22"/>
  <c r="I49" i="22"/>
  <c r="F49" i="22"/>
  <c r="E49" i="22"/>
  <c r="AY48" i="22"/>
  <c r="AX48" i="22"/>
  <c r="AW48" i="22"/>
  <c r="AT48" i="22"/>
  <c r="AS48" i="22"/>
  <c r="AP48" i="22"/>
  <c r="AO48" i="22"/>
  <c r="AL48" i="22"/>
  <c r="AK48" i="22"/>
  <c r="AH48" i="22"/>
  <c r="AG48" i="22"/>
  <c r="AD48" i="22"/>
  <c r="AC48" i="22"/>
  <c r="Z48" i="22"/>
  <c r="Y48" i="22"/>
  <c r="V48" i="22"/>
  <c r="U48" i="22"/>
  <c r="R48" i="22"/>
  <c r="Q48" i="22"/>
  <c r="N48" i="22"/>
  <c r="M48" i="22"/>
  <c r="H48" i="22"/>
  <c r="J48" i="22" s="1"/>
  <c r="D48" i="22"/>
  <c r="AV47" i="22"/>
  <c r="AU47" i="22"/>
  <c r="AR47" i="22"/>
  <c r="AQ47" i="22"/>
  <c r="AN47" i="22"/>
  <c r="AM47" i="22"/>
  <c r="AJ47" i="22"/>
  <c r="AI47" i="22"/>
  <c r="AF47" i="22"/>
  <c r="AE47" i="22"/>
  <c r="AB47" i="22"/>
  <c r="AA47" i="22"/>
  <c r="X47" i="22"/>
  <c r="W47" i="22"/>
  <c r="T47" i="22"/>
  <c r="S47" i="22"/>
  <c r="P47" i="22"/>
  <c r="O47" i="22"/>
  <c r="L47" i="22"/>
  <c r="K47" i="22"/>
  <c r="G47" i="22"/>
  <c r="C47" i="22"/>
  <c r="AY43" i="22"/>
  <c r="AP43" i="22"/>
  <c r="AL43" i="22"/>
  <c r="AK43" i="22"/>
  <c r="AH43" i="22"/>
  <c r="AG43" i="22"/>
  <c r="AD43" i="22"/>
  <c r="Z43" i="22"/>
  <c r="V43" i="22"/>
  <c r="U43" i="22"/>
  <c r="R43" i="22"/>
  <c r="Q43" i="22"/>
  <c r="L43" i="22"/>
  <c r="J43" i="22"/>
  <c r="I43" i="22"/>
  <c r="F43" i="22"/>
  <c r="E43" i="22"/>
  <c r="AV42" i="22"/>
  <c r="AU42" i="22"/>
  <c r="AR42" i="22"/>
  <c r="AQ42" i="22"/>
  <c r="AN42" i="22"/>
  <c r="AM42" i="22"/>
  <c r="AJ42" i="22"/>
  <c r="AI42" i="22"/>
  <c r="AF42" i="22"/>
  <c r="AE42" i="22"/>
  <c r="AB42" i="22"/>
  <c r="AA42" i="22"/>
  <c r="X42" i="22"/>
  <c r="W42" i="22"/>
  <c r="T42" i="22"/>
  <c r="S42" i="22"/>
  <c r="P42" i="22"/>
  <c r="O42" i="22"/>
  <c r="K42" i="22"/>
  <c r="H42" i="22"/>
  <c r="G42" i="22"/>
  <c r="D42" i="22"/>
  <c r="C42" i="22"/>
  <c r="AZ40" i="22"/>
  <c r="AY40" i="22"/>
  <c r="AW40" i="22"/>
  <c r="AS40" i="22"/>
  <c r="AO40" i="22"/>
  <c r="AK40" i="22"/>
  <c r="AG40" i="22"/>
  <c r="AC40" i="22"/>
  <c r="Y40" i="22"/>
  <c r="U40" i="22"/>
  <c r="Q40" i="22"/>
  <c r="M40" i="22"/>
  <c r="I40" i="22"/>
  <c r="E40" i="22"/>
  <c r="AZ39" i="22"/>
  <c r="AY39" i="22"/>
  <c r="AX39" i="22"/>
  <c r="AW39" i="22"/>
  <c r="AS39" i="22"/>
  <c r="AO39" i="22"/>
  <c r="AK39" i="22"/>
  <c r="AG39" i="22"/>
  <c r="AC39" i="22"/>
  <c r="Y39" i="22"/>
  <c r="V39" i="22"/>
  <c r="U39" i="22"/>
  <c r="Q39" i="22"/>
  <c r="M39" i="22"/>
  <c r="I39" i="22"/>
  <c r="E39" i="22"/>
  <c r="AZ38" i="22"/>
  <c r="AY38" i="22"/>
  <c r="AW38" i="22"/>
  <c r="AS38" i="22"/>
  <c r="AO38" i="22"/>
  <c r="AK38" i="22"/>
  <c r="AG38" i="22"/>
  <c r="AC38" i="22"/>
  <c r="Y38" i="22"/>
  <c r="U38" i="22"/>
  <c r="Q38" i="22"/>
  <c r="M38" i="22"/>
  <c r="I38" i="22"/>
  <c r="E38" i="22"/>
  <c r="AZ37" i="22"/>
  <c r="AY37" i="22"/>
  <c r="AX37" i="22"/>
  <c r="AW37" i="22"/>
  <c r="AT37" i="22"/>
  <c r="AS37" i="22"/>
  <c r="AO37" i="22"/>
  <c r="AL37" i="22"/>
  <c r="AK37" i="22"/>
  <c r="AG37" i="22"/>
  <c r="AC37" i="22"/>
  <c r="Z37" i="22"/>
  <c r="Y37" i="22"/>
  <c r="V37" i="22"/>
  <c r="U37" i="22"/>
  <c r="R37" i="22"/>
  <c r="Q37" i="22"/>
  <c r="N37" i="22"/>
  <c r="M37" i="22"/>
  <c r="J37" i="22"/>
  <c r="I37" i="22"/>
  <c r="F37" i="22"/>
  <c r="E37" i="22"/>
  <c r="AZ36" i="22"/>
  <c r="AY36" i="22"/>
  <c r="AW36" i="22"/>
  <c r="AS36" i="22"/>
  <c r="AO36" i="22"/>
  <c r="AK36" i="22"/>
  <c r="AG36" i="22"/>
  <c r="AC36" i="22"/>
  <c r="Y36" i="22"/>
  <c r="U36" i="22"/>
  <c r="Q36" i="22"/>
  <c r="M36" i="22"/>
  <c r="I36" i="22"/>
  <c r="E36" i="22"/>
  <c r="AZ35" i="22"/>
  <c r="AY35" i="22"/>
  <c r="AW35" i="22"/>
  <c r="AS35" i="22"/>
  <c r="AO35" i="22"/>
  <c r="AK35" i="22"/>
  <c r="AG35" i="22"/>
  <c r="AC35" i="22"/>
  <c r="Y35" i="22"/>
  <c r="U35" i="22"/>
  <c r="Q35" i="22"/>
  <c r="M35" i="22"/>
  <c r="I35" i="22"/>
  <c r="E35" i="22"/>
  <c r="AZ34" i="22"/>
  <c r="AY34" i="22"/>
  <c r="AX34" i="22"/>
  <c r="AW34" i="22"/>
  <c r="AT34" i="22"/>
  <c r="AS34" i="22"/>
  <c r="AP34" i="22"/>
  <c r="AO34" i="22"/>
  <c r="AL34" i="22"/>
  <c r="AK34" i="22"/>
  <c r="AH34" i="22"/>
  <c r="AG34" i="22"/>
  <c r="AC34" i="22"/>
  <c r="Z34" i="22"/>
  <c r="Y34" i="22"/>
  <c r="V34" i="22"/>
  <c r="U34" i="22"/>
  <c r="R34" i="22"/>
  <c r="Q34" i="22"/>
  <c r="N34" i="22"/>
  <c r="M34" i="22"/>
  <c r="J34" i="22"/>
  <c r="I34" i="22"/>
  <c r="F34" i="22"/>
  <c r="E34" i="22"/>
  <c r="AZ33" i="22"/>
  <c r="AY33" i="22"/>
  <c r="AW33" i="22"/>
  <c r="AS33" i="22"/>
  <c r="AO33" i="22"/>
  <c r="AK33" i="22"/>
  <c r="AG33" i="22"/>
  <c r="AC33" i="22"/>
  <c r="Y33" i="22"/>
  <c r="U33" i="22"/>
  <c r="Q33" i="22"/>
  <c r="M33" i="22"/>
  <c r="I33" i="22"/>
  <c r="E33" i="22"/>
  <c r="AZ32" i="22"/>
  <c r="AY32" i="22"/>
  <c r="AW32" i="22"/>
  <c r="AS32" i="22"/>
  <c r="AO32" i="22"/>
  <c r="AK32" i="22"/>
  <c r="AG32" i="22"/>
  <c r="AC32" i="22"/>
  <c r="Y32" i="22"/>
  <c r="U32" i="22"/>
  <c r="Q32" i="22"/>
  <c r="M32" i="22"/>
  <c r="I32" i="22"/>
  <c r="E32" i="22"/>
  <c r="AZ31" i="22"/>
  <c r="AY31" i="22"/>
  <c r="AX31" i="22"/>
  <c r="AW31" i="22"/>
  <c r="AT31" i="22"/>
  <c r="AS31" i="22"/>
  <c r="AP31" i="22"/>
  <c r="AO31" i="22"/>
  <c r="AL31" i="22"/>
  <c r="AK31" i="22"/>
  <c r="AH31" i="22"/>
  <c r="AG31" i="22"/>
  <c r="AC31" i="22"/>
  <c r="Z31" i="22"/>
  <c r="Y31" i="22"/>
  <c r="V31" i="22"/>
  <c r="U31" i="22"/>
  <c r="R31" i="22"/>
  <c r="Q31" i="22"/>
  <c r="N31" i="22"/>
  <c r="M31" i="22"/>
  <c r="J31" i="22"/>
  <c r="I31" i="22"/>
  <c r="F31" i="22"/>
  <c r="E31" i="22"/>
  <c r="AZ30" i="22"/>
  <c r="AY30" i="22"/>
  <c r="AX30" i="22"/>
  <c r="AW30" i="22"/>
  <c r="AT30" i="22"/>
  <c r="AS30" i="22"/>
  <c r="AP30" i="22"/>
  <c r="AO30" i="22"/>
  <c r="AL30" i="22"/>
  <c r="AK30" i="22"/>
  <c r="AH30" i="22"/>
  <c r="AG30" i="22"/>
  <c r="AD30" i="22"/>
  <c r="AC30" i="22"/>
  <c r="Z30" i="22"/>
  <c r="Y30" i="22"/>
  <c r="V30" i="22"/>
  <c r="U30" i="22"/>
  <c r="R30" i="22"/>
  <c r="Q30" i="22"/>
  <c r="N30" i="22"/>
  <c r="M30" i="22"/>
  <c r="J30" i="22"/>
  <c r="I30" i="22"/>
  <c r="F30" i="22"/>
  <c r="E30" i="22"/>
  <c r="AY29" i="22"/>
  <c r="AX29" i="22"/>
  <c r="AW29" i="22"/>
  <c r="AT29" i="22"/>
  <c r="AS29" i="22"/>
  <c r="AP29" i="22"/>
  <c r="AO29" i="22"/>
  <c r="AL29" i="22"/>
  <c r="AK29" i="22"/>
  <c r="AH29" i="22"/>
  <c r="AG29" i="22"/>
  <c r="AD29" i="22"/>
  <c r="AC29" i="22"/>
  <c r="Z29" i="22"/>
  <c r="Y29" i="22"/>
  <c r="V29" i="22"/>
  <c r="U29" i="22"/>
  <c r="R29" i="22"/>
  <c r="Q29" i="22"/>
  <c r="N29" i="22"/>
  <c r="M29" i="22"/>
  <c r="J29" i="22"/>
  <c r="I29" i="22"/>
  <c r="D29" i="22"/>
  <c r="AZ29" i="22" s="1"/>
  <c r="AZ28" i="22"/>
  <c r="AY28" i="22"/>
  <c r="AX28" i="22"/>
  <c r="AW28" i="22"/>
  <c r="AT28" i="22"/>
  <c r="AS28" i="22"/>
  <c r="AP28" i="22"/>
  <c r="AO28" i="22"/>
  <c r="AL28" i="22"/>
  <c r="AK28" i="22"/>
  <c r="AH28" i="22"/>
  <c r="AG28" i="22"/>
  <c r="AD28" i="22"/>
  <c r="AC28" i="22"/>
  <c r="Z28" i="22"/>
  <c r="Y28" i="22"/>
  <c r="V28" i="22"/>
  <c r="U28" i="22"/>
  <c r="R28" i="22"/>
  <c r="Q28" i="22"/>
  <c r="N28" i="22"/>
  <c r="M28" i="22"/>
  <c r="J28" i="22"/>
  <c r="I28" i="22"/>
  <c r="F28" i="22"/>
  <c r="E28" i="22"/>
  <c r="AZ27" i="22"/>
  <c r="AY27" i="22"/>
  <c r="AW27" i="22"/>
  <c r="AS27" i="22"/>
  <c r="AO27" i="22"/>
  <c r="AK27" i="22"/>
  <c r="AG27" i="22"/>
  <c r="AC27" i="22"/>
  <c r="Y27" i="22"/>
  <c r="U27" i="22"/>
  <c r="Q27" i="22"/>
  <c r="M27" i="22"/>
  <c r="I27" i="22"/>
  <c r="E27" i="22"/>
  <c r="AZ26" i="22"/>
  <c r="AY26" i="22"/>
  <c r="AX26" i="22"/>
  <c r="AW26" i="22"/>
  <c r="AT26" i="22"/>
  <c r="AS26" i="22"/>
  <c r="AP26" i="22"/>
  <c r="AO26" i="22"/>
  <c r="AL26" i="22"/>
  <c r="AK26" i="22"/>
  <c r="AH26" i="22"/>
  <c r="AG26" i="22"/>
  <c r="AD26" i="22"/>
  <c r="AC26" i="22"/>
  <c r="Z26" i="22"/>
  <c r="Y26" i="22"/>
  <c r="V26" i="22"/>
  <c r="U26" i="22"/>
  <c r="R26" i="22"/>
  <c r="Q26" i="22"/>
  <c r="N26" i="22"/>
  <c r="M26" i="22"/>
  <c r="J26" i="22"/>
  <c r="I26" i="22"/>
  <c r="F26" i="22"/>
  <c r="E26" i="22"/>
  <c r="AY25" i="22"/>
  <c r="AX25" i="22"/>
  <c r="AW25" i="22"/>
  <c r="AT25" i="22"/>
  <c r="AS25" i="22"/>
  <c r="AP25" i="22"/>
  <c r="AO25" i="22"/>
  <c r="AL25" i="22"/>
  <c r="AK25" i="22"/>
  <c r="AH25" i="22"/>
  <c r="AG25" i="22"/>
  <c r="AD25" i="22"/>
  <c r="AC25" i="22"/>
  <c r="Z25" i="22"/>
  <c r="Y25" i="22"/>
  <c r="V25" i="22"/>
  <c r="U25" i="22"/>
  <c r="R25" i="22"/>
  <c r="Q25" i="22"/>
  <c r="N25" i="22"/>
  <c r="M25" i="22"/>
  <c r="H25" i="22"/>
  <c r="J25" i="22" s="1"/>
  <c r="D25" i="22"/>
  <c r="AZ24" i="22"/>
  <c r="AY24" i="22"/>
  <c r="AW24" i="22"/>
  <c r="AS24" i="22"/>
  <c r="AO24" i="22"/>
  <c r="AK24" i="22"/>
  <c r="AG24" i="22"/>
  <c r="AC24" i="22"/>
  <c r="Y24" i="22"/>
  <c r="U24" i="22"/>
  <c r="Q24" i="22"/>
  <c r="M24" i="22"/>
  <c r="I24" i="22"/>
  <c r="E24" i="22"/>
  <c r="AY23" i="22"/>
  <c r="AX23" i="22"/>
  <c r="AW23" i="22"/>
  <c r="AT23" i="22"/>
  <c r="AS23" i="22"/>
  <c r="AP23" i="22"/>
  <c r="AO23" i="22"/>
  <c r="AL23" i="22"/>
  <c r="AK23" i="22"/>
  <c r="AH23" i="22"/>
  <c r="AG23" i="22"/>
  <c r="AD23" i="22"/>
  <c r="AC23" i="22"/>
  <c r="Z23" i="22"/>
  <c r="Y23" i="22"/>
  <c r="V23" i="22"/>
  <c r="U23" i="22"/>
  <c r="R23" i="22"/>
  <c r="Q23" i="22"/>
  <c r="N23" i="22"/>
  <c r="M23" i="22"/>
  <c r="J23" i="22"/>
  <c r="I23" i="22"/>
  <c r="D23" i="22"/>
  <c r="AZ23" i="22" s="1"/>
  <c r="AZ22" i="22"/>
  <c r="AY22" i="22"/>
  <c r="AW22" i="22"/>
  <c r="AS22" i="22"/>
  <c r="AO22" i="22"/>
  <c r="AK22" i="22"/>
  <c r="AG22" i="22"/>
  <c r="AC22" i="22"/>
  <c r="Y22" i="22"/>
  <c r="U22" i="22"/>
  <c r="Q22" i="22"/>
  <c r="M22" i="22"/>
  <c r="I22" i="22"/>
  <c r="E22" i="22"/>
  <c r="AZ21" i="22"/>
  <c r="AY21" i="22"/>
  <c r="AX21" i="22"/>
  <c r="AW21" i="22"/>
  <c r="AT21" i="22"/>
  <c r="AS21" i="22"/>
  <c r="AP21" i="22"/>
  <c r="AO21" i="22"/>
  <c r="AL21" i="22"/>
  <c r="AK21" i="22"/>
  <c r="AH21" i="22"/>
  <c r="AG21" i="22"/>
  <c r="AD21" i="22"/>
  <c r="AC21" i="22"/>
  <c r="Z21" i="22"/>
  <c r="Y21" i="22"/>
  <c r="V21" i="22"/>
  <c r="U21" i="22"/>
  <c r="R21" i="22"/>
  <c r="Q21" i="22"/>
  <c r="N21" i="22"/>
  <c r="M21" i="22"/>
  <c r="J21" i="22"/>
  <c r="I21" i="22"/>
  <c r="F21" i="22"/>
  <c r="E21" i="22"/>
  <c r="AZ20" i="22"/>
  <c r="AY20" i="22"/>
  <c r="AX20" i="22"/>
  <c r="AW20" i="22"/>
  <c r="AT20" i="22"/>
  <c r="AS20" i="22"/>
  <c r="AP20" i="22"/>
  <c r="AO20" i="22"/>
  <c r="AL20" i="22"/>
  <c r="AK20" i="22"/>
  <c r="AH20" i="22"/>
  <c r="AG20" i="22"/>
  <c r="AD20" i="22"/>
  <c r="AC20" i="22"/>
  <c r="Z20" i="22"/>
  <c r="Y20" i="22"/>
  <c r="V20" i="22"/>
  <c r="U20" i="22"/>
  <c r="R20" i="22"/>
  <c r="Q20" i="22"/>
  <c r="N20" i="22"/>
  <c r="M20" i="22"/>
  <c r="J20" i="22"/>
  <c r="I20" i="22"/>
  <c r="F20" i="22"/>
  <c r="E20" i="22"/>
  <c r="AV19" i="22"/>
  <c r="AU19" i="22"/>
  <c r="AR19" i="22"/>
  <c r="AQ19" i="22"/>
  <c r="AN19" i="22"/>
  <c r="AM19" i="22"/>
  <c r="AJ19" i="22"/>
  <c r="AI19" i="22"/>
  <c r="AF19" i="22"/>
  <c r="AE19" i="22"/>
  <c r="AB19" i="22"/>
  <c r="AA19" i="22"/>
  <c r="X19" i="22"/>
  <c r="W19" i="22"/>
  <c r="T19" i="22"/>
  <c r="S19" i="22"/>
  <c r="P19" i="22"/>
  <c r="O19" i="22"/>
  <c r="L19" i="22"/>
  <c r="K19" i="22"/>
  <c r="G19" i="22"/>
  <c r="C19" i="22"/>
  <c r="AZ18" i="22"/>
  <c r="AY18" i="22"/>
  <c r="AX18" i="22"/>
  <c r="AW18" i="22"/>
  <c r="AT18" i="22"/>
  <c r="AS18" i="22"/>
  <c r="AP18" i="22"/>
  <c r="AO18" i="22"/>
  <c r="AL18" i="22"/>
  <c r="AK18" i="22"/>
  <c r="AH18" i="22"/>
  <c r="AG18" i="22"/>
  <c r="AD18" i="22"/>
  <c r="AC18" i="22"/>
  <c r="Z18" i="22"/>
  <c r="Y18" i="22"/>
  <c r="V18" i="22"/>
  <c r="U18" i="22"/>
  <c r="R18" i="22"/>
  <c r="Q18" i="22"/>
  <c r="N18" i="22"/>
  <c r="M18" i="22"/>
  <c r="J18" i="22"/>
  <c r="I18" i="22"/>
  <c r="F18" i="22"/>
  <c r="E18" i="22"/>
  <c r="AZ17" i="22"/>
  <c r="AY17" i="22"/>
  <c r="AX17" i="22"/>
  <c r="AW17" i="22"/>
  <c r="AT17" i="22"/>
  <c r="AS17" i="22"/>
  <c r="AP17" i="22"/>
  <c r="AO17" i="22"/>
  <c r="AL17" i="22"/>
  <c r="AK17" i="22"/>
  <c r="AH17" i="22"/>
  <c r="AG17" i="22"/>
  <c r="AD17" i="22"/>
  <c r="AC17" i="22"/>
  <c r="Z17" i="22"/>
  <c r="Y17" i="22"/>
  <c r="V17" i="22"/>
  <c r="U17" i="22"/>
  <c r="R17" i="22"/>
  <c r="Q17" i="22"/>
  <c r="N17" i="22"/>
  <c r="M17" i="22"/>
  <c r="J17" i="22"/>
  <c r="I17" i="22"/>
  <c r="F17" i="22"/>
  <c r="E17" i="22"/>
  <c r="AZ16" i="22"/>
  <c r="AY16" i="22"/>
  <c r="AX16" i="22"/>
  <c r="AW16" i="22"/>
  <c r="AT16" i="22"/>
  <c r="AS16" i="22"/>
  <c r="AP16" i="22"/>
  <c r="AO16" i="22"/>
  <c r="AL16" i="22"/>
  <c r="AK16" i="22"/>
  <c r="AH16" i="22"/>
  <c r="AG16" i="22"/>
  <c r="AD16" i="22"/>
  <c r="AC16" i="22"/>
  <c r="Z16" i="22"/>
  <c r="Y16" i="22"/>
  <c r="V16" i="22"/>
  <c r="U16" i="22"/>
  <c r="R16" i="22"/>
  <c r="Q16" i="22"/>
  <c r="N16" i="22"/>
  <c r="M16" i="22"/>
  <c r="J16" i="22"/>
  <c r="I16" i="22"/>
  <c r="F16" i="22"/>
  <c r="E16" i="22"/>
  <c r="AV15" i="22"/>
  <c r="AU15" i="22"/>
  <c r="AR15" i="22"/>
  <c r="AQ15" i="22"/>
  <c r="AN15" i="22"/>
  <c r="AM15" i="22"/>
  <c r="AJ15" i="22"/>
  <c r="AI15" i="22"/>
  <c r="AF15" i="22"/>
  <c r="AE15" i="22"/>
  <c r="AB15" i="22"/>
  <c r="AA15" i="22"/>
  <c r="X15" i="22"/>
  <c r="W15" i="22"/>
  <c r="T15" i="22"/>
  <c r="S15" i="22"/>
  <c r="P15" i="22"/>
  <c r="O15" i="22"/>
  <c r="L15" i="22"/>
  <c r="K15" i="22"/>
  <c r="H15" i="22"/>
  <c r="G15" i="22"/>
  <c r="D15" i="22"/>
  <c r="C15" i="22"/>
  <c r="AY14" i="22"/>
  <c r="AX14" i="22"/>
  <c r="AW14" i="22"/>
  <c r="AT14" i="22"/>
  <c r="AS14" i="22"/>
  <c r="AP14" i="22"/>
  <c r="AO14" i="22"/>
  <c r="AL14" i="22"/>
  <c r="AK14" i="22"/>
  <c r="AH14" i="22"/>
  <c r="AG14" i="22"/>
  <c r="AD14" i="22"/>
  <c r="AC14" i="22"/>
  <c r="Z14" i="22"/>
  <c r="Y14" i="22"/>
  <c r="T14" i="22"/>
  <c r="U14" i="22" s="1"/>
  <c r="P14" i="22"/>
  <c r="L14" i="22"/>
  <c r="L8" i="22" s="1"/>
  <c r="H14" i="22"/>
  <c r="J14" i="22" s="1"/>
  <c r="D14" i="22"/>
  <c r="E14" i="22" s="1"/>
  <c r="AZ13" i="22"/>
  <c r="AY13" i="22"/>
  <c r="AX13" i="22"/>
  <c r="AW13" i="22"/>
  <c r="AT13" i="22"/>
  <c r="AS13" i="22"/>
  <c r="AP13" i="22"/>
  <c r="AO13" i="22"/>
  <c r="AL13" i="22"/>
  <c r="AK13" i="22"/>
  <c r="AH13" i="22"/>
  <c r="AG13" i="22"/>
  <c r="AD13" i="22"/>
  <c r="AC13" i="22"/>
  <c r="Z13" i="22"/>
  <c r="Y13" i="22"/>
  <c r="V13" i="22"/>
  <c r="U13" i="22"/>
  <c r="R13" i="22"/>
  <c r="Q13" i="22"/>
  <c r="N13" i="22"/>
  <c r="M13" i="22"/>
  <c r="J13" i="22"/>
  <c r="I13" i="22"/>
  <c r="F13" i="22"/>
  <c r="E13" i="22"/>
  <c r="AY12" i="22"/>
  <c r="AX12" i="22"/>
  <c r="AW12" i="22"/>
  <c r="AT12" i="22"/>
  <c r="AS12" i="22"/>
  <c r="AP12" i="22"/>
  <c r="AO12" i="22"/>
  <c r="AL12" i="22"/>
  <c r="AK12" i="22"/>
  <c r="AH12" i="22"/>
  <c r="AG12" i="22"/>
  <c r="AD12" i="22"/>
  <c r="AC12" i="22"/>
  <c r="Z12" i="22"/>
  <c r="Y12" i="22"/>
  <c r="V12" i="22"/>
  <c r="U12" i="22"/>
  <c r="R12" i="22"/>
  <c r="Q12" i="22"/>
  <c r="N12" i="22"/>
  <c r="M12" i="22"/>
  <c r="H12" i="22"/>
  <c r="J12" i="22" s="1"/>
  <c r="D12" i="22"/>
  <c r="AZ11" i="22"/>
  <c r="AY11" i="22"/>
  <c r="AW11" i="22"/>
  <c r="AS11" i="22"/>
  <c r="AO11" i="22"/>
  <c r="AK11" i="22"/>
  <c r="AG11" i="22"/>
  <c r="AC11" i="22"/>
  <c r="Y11" i="22"/>
  <c r="U11" i="22"/>
  <c r="M11" i="22"/>
  <c r="I11" i="22"/>
  <c r="E11" i="22"/>
  <c r="AZ10" i="22"/>
  <c r="AY10" i="22"/>
  <c r="AW10" i="22"/>
  <c r="AO10" i="22"/>
  <c r="AK10" i="22"/>
  <c r="AG10" i="22"/>
  <c r="AC10" i="22"/>
  <c r="Y10" i="22"/>
  <c r="U10" i="22"/>
  <c r="Q10" i="22"/>
  <c r="M10" i="22"/>
  <c r="I10" i="22"/>
  <c r="E10" i="22"/>
  <c r="AY9" i="22"/>
  <c r="AX9" i="22"/>
  <c r="AW9" i="22"/>
  <c r="AT9" i="22"/>
  <c r="AS9" i="22"/>
  <c r="AP9" i="22"/>
  <c r="AO9" i="22"/>
  <c r="AL9" i="22"/>
  <c r="AK9" i="22"/>
  <c r="AH9" i="22"/>
  <c r="AG9" i="22"/>
  <c r="AB9" i="22"/>
  <c r="X9" i="22"/>
  <c r="V9" i="22"/>
  <c r="U9" i="22"/>
  <c r="R9" i="22"/>
  <c r="Q9" i="22"/>
  <c r="N9" i="22"/>
  <c r="M9" i="22"/>
  <c r="H9" i="22"/>
  <c r="I9" i="22" s="1"/>
  <c r="D9" i="22"/>
  <c r="AV8" i="22"/>
  <c r="AU8" i="22"/>
  <c r="AR8" i="22"/>
  <c r="AQ8" i="22"/>
  <c r="AN8" i="22"/>
  <c r="AM8" i="22"/>
  <c r="AJ8" i="22"/>
  <c r="AI8" i="22"/>
  <c r="AF8" i="22"/>
  <c r="AE8" i="22"/>
  <c r="AA8" i="22"/>
  <c r="W8" i="22"/>
  <c r="S8" i="22"/>
  <c r="O8" i="22"/>
  <c r="K8" i="22"/>
  <c r="G8" i="22"/>
  <c r="C8" i="22"/>
  <c r="H173" i="27" l="1"/>
  <c r="S173" i="27"/>
  <c r="E178" i="22"/>
  <c r="N15" i="27"/>
  <c r="V15" i="27"/>
  <c r="V19" i="27"/>
  <c r="P173" i="22"/>
  <c r="D130" i="27"/>
  <c r="N15" i="22"/>
  <c r="V15" i="22"/>
  <c r="M19" i="22"/>
  <c r="U19" i="22"/>
  <c r="AJ7" i="22"/>
  <c r="Q117" i="22"/>
  <c r="AS154" i="27"/>
  <c r="T8" i="22"/>
  <c r="V8" i="22" s="1"/>
  <c r="AZ178" i="22"/>
  <c r="M43" i="27"/>
  <c r="AL154" i="27"/>
  <c r="S173" i="22"/>
  <c r="AY173" i="22" s="1"/>
  <c r="O7" i="22"/>
  <c r="O210" i="22" s="1"/>
  <c r="AL8" i="22"/>
  <c r="AG117" i="22"/>
  <c r="AW117" i="22"/>
  <c r="N130" i="27"/>
  <c r="V130" i="27"/>
  <c r="AD130" i="27"/>
  <c r="AL130" i="27"/>
  <c r="AT130" i="27"/>
  <c r="E133" i="27"/>
  <c r="K7" i="22"/>
  <c r="AE7" i="22"/>
  <c r="AT8" i="22"/>
  <c r="AT42" i="22"/>
  <c r="E207" i="22"/>
  <c r="AH207" i="22"/>
  <c r="S7" i="27"/>
  <c r="Y19" i="27"/>
  <c r="F42" i="27"/>
  <c r="J42" i="27"/>
  <c r="AZ43" i="27"/>
  <c r="BA43" i="27" s="1"/>
  <c r="D72" i="27"/>
  <c r="E72" i="27" s="1"/>
  <c r="H117" i="27"/>
  <c r="J117" i="27" s="1"/>
  <c r="AO117" i="27"/>
  <c r="R154" i="27"/>
  <c r="V154" i="27"/>
  <c r="AG154" i="27"/>
  <c r="AX154" i="27"/>
  <c r="F167" i="27"/>
  <c r="E178" i="27"/>
  <c r="G7" i="22"/>
  <c r="AG8" i="22"/>
  <c r="AM7" i="22"/>
  <c r="AU7" i="22"/>
  <c r="J9" i="22"/>
  <c r="F14" i="22"/>
  <c r="AY15" i="22"/>
  <c r="AD15" i="22"/>
  <c r="AL15" i="22"/>
  <c r="AS15" i="22"/>
  <c r="AC19" i="22"/>
  <c r="AK19" i="22"/>
  <c r="AS19" i="22"/>
  <c r="AW72" i="22"/>
  <c r="U154" i="22"/>
  <c r="AT207" i="22"/>
  <c r="AW72" i="27"/>
  <c r="M117" i="27"/>
  <c r="P173" i="27"/>
  <c r="R173" i="27" s="1"/>
  <c r="D173" i="27"/>
  <c r="F173" i="27" s="1"/>
  <c r="S207" i="27"/>
  <c r="V207" i="27" s="1"/>
  <c r="W7" i="22"/>
  <c r="AW8" i="22"/>
  <c r="AT173" i="22"/>
  <c r="K7" i="27"/>
  <c r="G45" i="27"/>
  <c r="AC117" i="27"/>
  <c r="E146" i="27"/>
  <c r="F160" i="27"/>
  <c r="AT173" i="27"/>
  <c r="AZ12" i="22"/>
  <c r="H117" i="22"/>
  <c r="I117" i="22" s="1"/>
  <c r="AD207" i="22"/>
  <c r="AX207" i="22"/>
  <c r="AE7" i="27"/>
  <c r="Y15" i="27"/>
  <c r="AG15" i="27"/>
  <c r="Q19" i="27"/>
  <c r="AY42" i="27"/>
  <c r="AS117" i="27"/>
  <c r="AH8" i="22"/>
  <c r="V154" i="22"/>
  <c r="AK154" i="22"/>
  <c r="Z173" i="22"/>
  <c r="AH173" i="22"/>
  <c r="AP173" i="22"/>
  <c r="E179" i="22"/>
  <c r="J182" i="22"/>
  <c r="W7" i="27"/>
  <c r="AC9" i="27"/>
  <c r="V14" i="27"/>
  <c r="AX15" i="27"/>
  <c r="I117" i="27"/>
  <c r="AL117" i="27"/>
  <c r="I121" i="27"/>
  <c r="F122" i="27"/>
  <c r="AZ122" i="27"/>
  <c r="BA122" i="27" s="1"/>
  <c r="AH154" i="27"/>
  <c r="AT154" i="27"/>
  <c r="AD173" i="27"/>
  <c r="E179" i="27"/>
  <c r="E184" i="27"/>
  <c r="N207" i="27"/>
  <c r="AO8" i="22"/>
  <c r="C45" i="22"/>
  <c r="AU45" i="22"/>
  <c r="F82" i="22"/>
  <c r="AZ82" i="22"/>
  <c r="F121" i="22"/>
  <c r="Z154" i="22"/>
  <c r="AL154" i="22"/>
  <c r="E168" i="22"/>
  <c r="H173" i="22"/>
  <c r="J173" i="22" s="1"/>
  <c r="R173" i="22"/>
  <c r="D173" i="22"/>
  <c r="F173" i="22" s="1"/>
  <c r="J174" i="22"/>
  <c r="E184" i="22"/>
  <c r="P8" i="27"/>
  <c r="T8" i="27"/>
  <c r="T7" i="27" s="1"/>
  <c r="U7" i="27" s="1"/>
  <c r="AD9" i="27"/>
  <c r="F14" i="27"/>
  <c r="Q14" i="27"/>
  <c r="F15" i="27"/>
  <c r="AS15" i="27"/>
  <c r="AP19" i="27"/>
  <c r="E42" i="27"/>
  <c r="I42" i="27"/>
  <c r="N47" i="27"/>
  <c r="V47" i="27"/>
  <c r="AD47" i="27"/>
  <c r="AL47" i="27"/>
  <c r="AT47" i="27"/>
  <c r="F48" i="27"/>
  <c r="F55" i="27"/>
  <c r="E60" i="27"/>
  <c r="I65" i="27"/>
  <c r="I66" i="27"/>
  <c r="Z117" i="27"/>
  <c r="N173" i="27"/>
  <c r="AZ178" i="27"/>
  <c r="BA178" i="27" s="1"/>
  <c r="U202" i="27"/>
  <c r="AY202" i="27"/>
  <c r="Q207" i="27"/>
  <c r="AX207" i="27"/>
  <c r="U208" i="27"/>
  <c r="AS8" i="22"/>
  <c r="AX8" i="22"/>
  <c r="V14" i="22"/>
  <c r="AR7" i="22"/>
  <c r="S7" i="22"/>
  <c r="AK8" i="22"/>
  <c r="AP8" i="22"/>
  <c r="J15" i="22"/>
  <c r="R15" i="22"/>
  <c r="Z15" i="22"/>
  <c r="AH15" i="22"/>
  <c r="AO15" i="22"/>
  <c r="AW15" i="22"/>
  <c r="Q19" i="22"/>
  <c r="Y19" i="22"/>
  <c r="AG19" i="22"/>
  <c r="AO19" i="22"/>
  <c r="AW19" i="22"/>
  <c r="E29" i="22"/>
  <c r="AX42" i="22"/>
  <c r="AP154" i="22"/>
  <c r="E174" i="22"/>
  <c r="M207" i="22"/>
  <c r="S207" i="22"/>
  <c r="U207" i="22" s="1"/>
  <c r="G7" i="27"/>
  <c r="G210" i="27" s="1"/>
  <c r="G213" i="27" s="1"/>
  <c r="AZ14" i="27"/>
  <c r="BA14" i="27" s="1"/>
  <c r="AC19" i="27"/>
  <c r="AK19" i="27"/>
  <c r="AZ25" i="27"/>
  <c r="BA25" i="27" s="1"/>
  <c r="D47" i="27"/>
  <c r="F47" i="27" s="1"/>
  <c r="AE45" i="27"/>
  <c r="AM45" i="27"/>
  <c r="AZ48" i="27"/>
  <c r="BA48" i="27" s="1"/>
  <c r="BB48" i="27" s="1"/>
  <c r="BC48" i="27" s="1"/>
  <c r="AZ55" i="27"/>
  <c r="BA55" i="27" s="1"/>
  <c r="V117" i="27"/>
  <c r="Y117" i="27"/>
  <c r="AP117" i="27"/>
  <c r="H154" i="27"/>
  <c r="J154" i="27" s="1"/>
  <c r="F25" i="22"/>
  <c r="E25" i="22"/>
  <c r="L42" i="22"/>
  <c r="M42" i="22" s="1"/>
  <c r="AZ43" i="22"/>
  <c r="M43" i="22"/>
  <c r="N117" i="22"/>
  <c r="M117" i="22"/>
  <c r="E122" i="22"/>
  <c r="AZ122" i="22"/>
  <c r="F122" i="22"/>
  <c r="F133" i="22"/>
  <c r="E133" i="22"/>
  <c r="D130" i="22"/>
  <c r="V42" i="22"/>
  <c r="AL42" i="22"/>
  <c r="J65" i="22"/>
  <c r="I65" i="22"/>
  <c r="AD117" i="22"/>
  <c r="AC117" i="22"/>
  <c r="Q154" i="22"/>
  <c r="R154" i="22"/>
  <c r="F187" i="22"/>
  <c r="E187" i="22"/>
  <c r="AK15" i="27"/>
  <c r="AI7" i="27"/>
  <c r="R42" i="27"/>
  <c r="Q42" i="27"/>
  <c r="Y43" i="27"/>
  <c r="Z42" i="27"/>
  <c r="Y42" i="27"/>
  <c r="AH42" i="27"/>
  <c r="AG42" i="27"/>
  <c r="AP42" i="27"/>
  <c r="AO42" i="27"/>
  <c r="AX42" i="27"/>
  <c r="AW42" i="27"/>
  <c r="J64" i="27"/>
  <c r="I64" i="27"/>
  <c r="AY8" i="22"/>
  <c r="C7" i="22"/>
  <c r="C210" i="22" s="1"/>
  <c r="C213" i="22" s="1"/>
  <c r="Z72" i="22"/>
  <c r="F42" i="22"/>
  <c r="E42" i="22"/>
  <c r="J64" i="22"/>
  <c r="I64" i="22"/>
  <c r="J74" i="22"/>
  <c r="I74" i="22"/>
  <c r="H72" i="22"/>
  <c r="AT117" i="22"/>
  <c r="AS117" i="22"/>
  <c r="AY130" i="22"/>
  <c r="J42" i="22"/>
  <c r="I42" i="22"/>
  <c r="J66" i="22"/>
  <c r="I66" i="22"/>
  <c r="AI7" i="22"/>
  <c r="AL7" i="22" s="1"/>
  <c r="AC43" i="22"/>
  <c r="AS42" i="22"/>
  <c r="R72" i="22"/>
  <c r="Q14" i="22"/>
  <c r="P8" i="22"/>
  <c r="R14" i="22"/>
  <c r="AA7" i="22"/>
  <c r="AQ7" i="22"/>
  <c r="AT7" i="22" s="1"/>
  <c r="AB8" i="22"/>
  <c r="AC9" i="22"/>
  <c r="AD9" i="22"/>
  <c r="R42" i="22"/>
  <c r="AH42" i="22"/>
  <c r="AP42" i="22"/>
  <c r="AW42" i="22"/>
  <c r="K45" i="22"/>
  <c r="AA45" i="22"/>
  <c r="AI45" i="22"/>
  <c r="AQ45" i="22"/>
  <c r="F48" i="22"/>
  <c r="E48" i="22"/>
  <c r="D47" i="22"/>
  <c r="F47" i="22" s="1"/>
  <c r="J55" i="22"/>
  <c r="H47" i="22"/>
  <c r="J47" i="22" s="1"/>
  <c r="N72" i="22"/>
  <c r="V72" i="22"/>
  <c r="AD72" i="22"/>
  <c r="AT72" i="22"/>
  <c r="AS72" i="22"/>
  <c r="F146" i="22"/>
  <c r="E146" i="22"/>
  <c r="AC15" i="22"/>
  <c r="Y43" i="22"/>
  <c r="N47" i="22"/>
  <c r="V47" i="22"/>
  <c r="AD47" i="22"/>
  <c r="AL47" i="22"/>
  <c r="AT47" i="22"/>
  <c r="AH72" i="22"/>
  <c r="J117" i="22"/>
  <c r="Z117" i="22"/>
  <c r="AP117" i="22"/>
  <c r="N130" i="22"/>
  <c r="V130" i="22"/>
  <c r="AD130" i="22"/>
  <c r="AL130" i="22"/>
  <c r="AT130" i="22"/>
  <c r="AG154" i="22"/>
  <c r="AH154" i="22"/>
  <c r="D154" i="22"/>
  <c r="E154" i="22" s="1"/>
  <c r="F160" i="22"/>
  <c r="E160" i="22"/>
  <c r="V179" i="22"/>
  <c r="T173" i="22"/>
  <c r="V173" i="22" s="1"/>
  <c r="F182" i="22"/>
  <c r="E182" i="22"/>
  <c r="H207" i="22"/>
  <c r="AZ207" i="22" s="1"/>
  <c r="I208" i="22"/>
  <c r="AD8" i="27"/>
  <c r="AC8" i="27"/>
  <c r="AB7" i="27"/>
  <c r="AL8" i="27"/>
  <c r="AK8" i="27"/>
  <c r="AJ7" i="27"/>
  <c r="AL7" i="27" s="1"/>
  <c r="AT8" i="27"/>
  <c r="AS8" i="27"/>
  <c r="AL15" i="27"/>
  <c r="E121" i="27"/>
  <c r="F121" i="27"/>
  <c r="M15" i="22"/>
  <c r="AK15" i="22"/>
  <c r="U8" i="22"/>
  <c r="Q42" i="22"/>
  <c r="U42" i="22"/>
  <c r="Y42" i="22"/>
  <c r="AC42" i="22"/>
  <c r="AG42" i="22"/>
  <c r="AK42" i="22"/>
  <c r="AO42" i="22"/>
  <c r="G45" i="22"/>
  <c r="O45" i="22"/>
  <c r="W45" i="22"/>
  <c r="AE45" i="22"/>
  <c r="AM45" i="22"/>
  <c r="AM210" i="22" s="1"/>
  <c r="E55" i="22"/>
  <c r="F68" i="22"/>
  <c r="AZ68" i="22"/>
  <c r="M72" i="22"/>
  <c r="Q72" i="22"/>
  <c r="U72" i="22"/>
  <c r="Y72" i="22"/>
  <c r="AC72" i="22"/>
  <c r="AG72" i="22"/>
  <c r="AP72" i="22"/>
  <c r="V117" i="22"/>
  <c r="Y117" i="22"/>
  <c r="AL117" i="22"/>
  <c r="AO117" i="22"/>
  <c r="I121" i="22"/>
  <c r="AZ133" i="22"/>
  <c r="AZ146" i="22"/>
  <c r="J146" i="22"/>
  <c r="AW154" i="22"/>
  <c r="AX154" i="22"/>
  <c r="Q15" i="27"/>
  <c r="R15" i="27"/>
  <c r="AL19" i="27"/>
  <c r="V42" i="27"/>
  <c r="U42" i="27"/>
  <c r="AC43" i="27"/>
  <c r="AD42" i="27"/>
  <c r="AC42" i="27"/>
  <c r="AL42" i="27"/>
  <c r="AK42" i="27"/>
  <c r="AT42" i="27"/>
  <c r="AS42" i="27"/>
  <c r="E15" i="22"/>
  <c r="U15" i="22"/>
  <c r="T7" i="22"/>
  <c r="I12" i="22"/>
  <c r="N8" i="22"/>
  <c r="AF7" i="22"/>
  <c r="AN7" i="22"/>
  <c r="AV7" i="22"/>
  <c r="M8" i="22"/>
  <c r="M14" i="22"/>
  <c r="I15" i="22"/>
  <c r="Q15" i="22"/>
  <c r="Y15" i="22"/>
  <c r="AG15" i="22"/>
  <c r="AY42" i="22"/>
  <c r="Z42" i="22"/>
  <c r="AD42" i="22"/>
  <c r="R47" i="22"/>
  <c r="Z47" i="22"/>
  <c r="AH47" i="22"/>
  <c r="AP47" i="22"/>
  <c r="AX47" i="22"/>
  <c r="E60" i="22"/>
  <c r="AZ64" i="22"/>
  <c r="AZ65" i="22"/>
  <c r="AZ66" i="22"/>
  <c r="AY72" i="22"/>
  <c r="AX72" i="22"/>
  <c r="AZ74" i="22"/>
  <c r="F80" i="22"/>
  <c r="AZ80" i="22"/>
  <c r="AY117" i="22"/>
  <c r="R117" i="22"/>
  <c r="U117" i="22"/>
  <c r="AH117" i="22"/>
  <c r="AK117" i="22"/>
  <c r="AX117" i="22"/>
  <c r="H130" i="22"/>
  <c r="J130" i="22" s="1"/>
  <c r="R130" i="22"/>
  <c r="Z130" i="22"/>
  <c r="O7" i="27"/>
  <c r="AR7" i="27"/>
  <c r="AF7" i="27"/>
  <c r="AH8" i="27"/>
  <c r="AG8" i="27"/>
  <c r="AP8" i="27"/>
  <c r="AN7" i="27"/>
  <c r="AO8" i="27"/>
  <c r="AX8" i="27"/>
  <c r="AV7" i="27"/>
  <c r="AW8" i="27"/>
  <c r="J12" i="27"/>
  <c r="I12" i="27"/>
  <c r="AY15" i="27"/>
  <c r="C7" i="27"/>
  <c r="AW19" i="27"/>
  <c r="AU7" i="27"/>
  <c r="H72" i="27"/>
  <c r="J72" i="27" s="1"/>
  <c r="J74" i="27"/>
  <c r="I74" i="27"/>
  <c r="M154" i="22"/>
  <c r="AC154" i="22"/>
  <c r="AS154" i="22"/>
  <c r="AW173" i="22"/>
  <c r="AZ177" i="22"/>
  <c r="O45" i="27"/>
  <c r="W45" i="27"/>
  <c r="AU45" i="27"/>
  <c r="AY72" i="27"/>
  <c r="N72" i="27"/>
  <c r="V72" i="27"/>
  <c r="AD72" i="27"/>
  <c r="AL72" i="27"/>
  <c r="AT72" i="27"/>
  <c r="R117" i="27"/>
  <c r="Q117" i="27"/>
  <c r="AX117" i="27"/>
  <c r="AW117" i="27"/>
  <c r="F168" i="27"/>
  <c r="D154" i="27"/>
  <c r="E154" i="27" s="1"/>
  <c r="E168" i="27"/>
  <c r="AO173" i="27"/>
  <c r="AP173" i="27"/>
  <c r="F182" i="27"/>
  <c r="E182" i="27"/>
  <c r="AH130" i="22"/>
  <c r="AP130" i="22"/>
  <c r="AX130" i="22"/>
  <c r="AY154" i="22"/>
  <c r="H154" i="22"/>
  <c r="N154" i="22"/>
  <c r="Y154" i="22"/>
  <c r="AD154" i="22"/>
  <c r="AO154" i="22"/>
  <c r="AT154" i="22"/>
  <c r="E167" i="22"/>
  <c r="N173" i="22"/>
  <c r="AD173" i="22"/>
  <c r="AL173" i="22"/>
  <c r="AS173" i="22"/>
  <c r="AX173" i="22"/>
  <c r="E177" i="22"/>
  <c r="AZ179" i="22"/>
  <c r="Q179" i="22"/>
  <c r="AZ184" i="22"/>
  <c r="Q207" i="22"/>
  <c r="Z207" i="22"/>
  <c r="AP207" i="22"/>
  <c r="I9" i="27"/>
  <c r="U15" i="27"/>
  <c r="M19" i="27"/>
  <c r="U19" i="27"/>
  <c r="AG19" i="27"/>
  <c r="AS19" i="27"/>
  <c r="H47" i="27"/>
  <c r="J47" i="27" s="1"/>
  <c r="R47" i="27"/>
  <c r="Z47" i="27"/>
  <c r="AH47" i="27"/>
  <c r="AP47" i="27"/>
  <c r="AX47" i="27"/>
  <c r="AZ65" i="27"/>
  <c r="BA65" i="27" s="1"/>
  <c r="F65" i="27"/>
  <c r="E65" i="27"/>
  <c r="AZ66" i="27"/>
  <c r="BA66" i="27" s="1"/>
  <c r="F66" i="27"/>
  <c r="F72" i="27"/>
  <c r="AY117" i="27"/>
  <c r="AK117" i="27"/>
  <c r="AZ133" i="27"/>
  <c r="BA133" i="27" s="1"/>
  <c r="H130" i="27"/>
  <c r="J130" i="27" s="1"/>
  <c r="AZ146" i="27"/>
  <c r="BA146" i="27" s="1"/>
  <c r="J146" i="27"/>
  <c r="H207" i="27"/>
  <c r="J207" i="27" s="1"/>
  <c r="I208" i="27"/>
  <c r="AZ187" i="22"/>
  <c r="AL207" i="22"/>
  <c r="AZ208" i="22"/>
  <c r="AQ7" i="27"/>
  <c r="AY8" i="27"/>
  <c r="J15" i="27"/>
  <c r="AC15" i="27"/>
  <c r="AH15" i="27"/>
  <c r="AO15" i="27"/>
  <c r="AW15" i="27"/>
  <c r="Z19" i="27"/>
  <c r="AO19" i="27"/>
  <c r="E25" i="27"/>
  <c r="E29" i="27"/>
  <c r="AZ42" i="27"/>
  <c r="BA42" i="27" s="1"/>
  <c r="AY47" i="27"/>
  <c r="K45" i="27"/>
  <c r="AA45" i="27"/>
  <c r="AI45" i="27"/>
  <c r="AQ45" i="27"/>
  <c r="E66" i="27"/>
  <c r="AZ82" i="27"/>
  <c r="BA82" i="27" s="1"/>
  <c r="F82" i="27"/>
  <c r="AH117" i="27"/>
  <c r="AG117" i="27"/>
  <c r="AC154" i="27"/>
  <c r="AD154" i="27"/>
  <c r="T173" i="27"/>
  <c r="V173" i="27" s="1"/>
  <c r="F174" i="27"/>
  <c r="E174" i="27"/>
  <c r="F187" i="27"/>
  <c r="E187" i="27"/>
  <c r="AZ64" i="27"/>
  <c r="BA64" i="27" s="1"/>
  <c r="N117" i="27"/>
  <c r="AD117" i="27"/>
  <c r="AT117" i="27"/>
  <c r="R130" i="27"/>
  <c r="Z130" i="27"/>
  <c r="AH130" i="27"/>
  <c r="AP130" i="27"/>
  <c r="AX130" i="27"/>
  <c r="AY154" i="27"/>
  <c r="Y154" i="27"/>
  <c r="AO154" i="27"/>
  <c r="AK173" i="27"/>
  <c r="AZ177" i="27"/>
  <c r="BA177" i="27" s="1"/>
  <c r="AD207" i="27"/>
  <c r="AT207" i="27"/>
  <c r="AZ60" i="27"/>
  <c r="BA60" i="27" s="1"/>
  <c r="E64" i="27"/>
  <c r="R72" i="27"/>
  <c r="Z72" i="27"/>
  <c r="AH72" i="27"/>
  <c r="AO72" i="27"/>
  <c r="AX72" i="27"/>
  <c r="AZ74" i="27"/>
  <c r="BA74" i="27" s="1"/>
  <c r="AY130" i="27"/>
  <c r="N154" i="27"/>
  <c r="U154" i="27"/>
  <c r="Z154" i="27"/>
  <c r="AK154" i="27"/>
  <c r="AW154" i="27"/>
  <c r="J173" i="27"/>
  <c r="Z173" i="27"/>
  <c r="AG173" i="27"/>
  <c r="AL173" i="27"/>
  <c r="AW173" i="27"/>
  <c r="E177" i="27"/>
  <c r="AZ179" i="27"/>
  <c r="BA179" i="27" s="1"/>
  <c r="Q179" i="27"/>
  <c r="AZ184" i="27"/>
  <c r="BA184" i="27" s="1"/>
  <c r="E196" i="27"/>
  <c r="R207" i="27"/>
  <c r="Z207" i="27"/>
  <c r="AP207" i="27"/>
  <c r="AZ208" i="27"/>
  <c r="BA208" i="27" s="1"/>
  <c r="AY208" i="27"/>
  <c r="AY173" i="27"/>
  <c r="AH173" i="27"/>
  <c r="AS173" i="27"/>
  <c r="AX173" i="27"/>
  <c r="J174" i="27"/>
  <c r="J182" i="27"/>
  <c r="AZ187" i="27"/>
  <c r="BA187" i="27" s="1"/>
  <c r="M207" i="27"/>
  <c r="U207" i="27"/>
  <c r="AL207" i="27"/>
  <c r="F208" i="27"/>
  <c r="AP154" i="27"/>
  <c r="AM7" i="27"/>
  <c r="D8" i="27"/>
  <c r="F9" i="27"/>
  <c r="J14" i="27"/>
  <c r="H8" i="27"/>
  <c r="I14" i="27"/>
  <c r="I15" i="27"/>
  <c r="AD15" i="27"/>
  <c r="AT15" i="27"/>
  <c r="R19" i="27"/>
  <c r="AH19" i="27"/>
  <c r="AX19" i="27"/>
  <c r="AZ23" i="27"/>
  <c r="BA23" i="27" s="1"/>
  <c r="F23" i="27"/>
  <c r="E23" i="27"/>
  <c r="D19" i="27"/>
  <c r="AA7" i="27"/>
  <c r="L8" i="27"/>
  <c r="N14" i="27"/>
  <c r="E15" i="27"/>
  <c r="Z15" i="27"/>
  <c r="AP15" i="27"/>
  <c r="N19" i="27"/>
  <c r="AD19" i="27"/>
  <c r="AT19" i="27"/>
  <c r="AY19" i="27"/>
  <c r="J25" i="27"/>
  <c r="I25" i="27"/>
  <c r="H19" i="27"/>
  <c r="AZ12" i="27"/>
  <c r="BA12" i="27" s="1"/>
  <c r="F12" i="27"/>
  <c r="AK7" i="27"/>
  <c r="X8" i="27"/>
  <c r="Z9" i="27"/>
  <c r="AZ9" i="27"/>
  <c r="BA9" i="27" s="1"/>
  <c r="E12" i="27"/>
  <c r="M15" i="27"/>
  <c r="N42" i="27"/>
  <c r="M42" i="27"/>
  <c r="AZ15" i="27"/>
  <c r="BA15" i="27" s="1"/>
  <c r="F29" i="27"/>
  <c r="N43" i="27"/>
  <c r="C45" i="27"/>
  <c r="E47" i="27"/>
  <c r="M47" i="27"/>
  <c r="Q47" i="27"/>
  <c r="U47" i="27"/>
  <c r="Y47" i="27"/>
  <c r="AC47" i="27"/>
  <c r="AG47" i="27"/>
  <c r="AK47" i="27"/>
  <c r="AO47" i="27"/>
  <c r="AS47" i="27"/>
  <c r="AW47" i="27"/>
  <c r="I48" i="27"/>
  <c r="I55" i="27"/>
  <c r="I60" i="27"/>
  <c r="E68" i="27"/>
  <c r="M72" i="27"/>
  <c r="Q72" i="27"/>
  <c r="U72" i="27"/>
  <c r="Y72" i="27"/>
  <c r="AC72" i="27"/>
  <c r="AG72" i="27"/>
  <c r="AK72" i="27"/>
  <c r="E74" i="27"/>
  <c r="AZ80" i="27"/>
  <c r="BA80" i="27" s="1"/>
  <c r="F80" i="27"/>
  <c r="E80" i="27"/>
  <c r="L45" i="27"/>
  <c r="X45" i="27"/>
  <c r="AB45" i="27"/>
  <c r="AF45" i="27"/>
  <c r="AJ45" i="27"/>
  <c r="AN45" i="27"/>
  <c r="AR45" i="27"/>
  <c r="AV45" i="27"/>
  <c r="J48" i="27"/>
  <c r="J55" i="27"/>
  <c r="J60" i="27"/>
  <c r="F68" i="27"/>
  <c r="F74" i="27"/>
  <c r="AP72" i="27"/>
  <c r="AS72" i="27"/>
  <c r="AZ121" i="27"/>
  <c r="BA121" i="27" s="1"/>
  <c r="E130" i="27"/>
  <c r="M130" i="27"/>
  <c r="Q130" i="27"/>
  <c r="U130" i="27"/>
  <c r="Y130" i="27"/>
  <c r="AC130" i="27"/>
  <c r="AG130" i="27"/>
  <c r="AK130" i="27"/>
  <c r="AO130" i="27"/>
  <c r="AS130" i="27"/>
  <c r="AW130" i="27"/>
  <c r="I133" i="27"/>
  <c r="I146" i="27"/>
  <c r="I154" i="27"/>
  <c r="M154" i="27"/>
  <c r="Q154" i="27"/>
  <c r="I178" i="27"/>
  <c r="I179" i="27"/>
  <c r="U179" i="27"/>
  <c r="I184" i="27"/>
  <c r="I187" i="27"/>
  <c r="E208" i="27"/>
  <c r="F130" i="27"/>
  <c r="J133" i="27"/>
  <c r="AZ160" i="27"/>
  <c r="BA160" i="27" s="1"/>
  <c r="AZ167" i="27"/>
  <c r="BA167" i="27" s="1"/>
  <c r="AZ168" i="27"/>
  <c r="BA168" i="27" s="1"/>
  <c r="AZ174" i="27"/>
  <c r="BA174" i="27" s="1"/>
  <c r="J178" i="27"/>
  <c r="J179" i="27"/>
  <c r="AZ182" i="27"/>
  <c r="BA182" i="27" s="1"/>
  <c r="J184" i="27"/>
  <c r="J187" i="27"/>
  <c r="D117" i="27"/>
  <c r="I160" i="27"/>
  <c r="I167" i="27"/>
  <c r="I168" i="27"/>
  <c r="I173" i="27"/>
  <c r="M173" i="27"/>
  <c r="Y173" i="27"/>
  <c r="AC173" i="27"/>
  <c r="F196" i="27"/>
  <c r="D207" i="27"/>
  <c r="K212" i="27"/>
  <c r="P212" i="27"/>
  <c r="X8" i="22"/>
  <c r="Y9" i="22"/>
  <c r="Z9" i="22"/>
  <c r="AX7" i="22"/>
  <c r="W210" i="22"/>
  <c r="AP7" i="22"/>
  <c r="D8" i="22"/>
  <c r="F9" i="22"/>
  <c r="E9" i="22"/>
  <c r="AZ9" i="22"/>
  <c r="AZ14" i="22"/>
  <c r="F15" i="22"/>
  <c r="AP15" i="22"/>
  <c r="AT15" i="22"/>
  <c r="AX15" i="22"/>
  <c r="N19" i="22"/>
  <c r="R19" i="22"/>
  <c r="V19" i="22"/>
  <c r="Z19" i="22"/>
  <c r="AD19" i="22"/>
  <c r="AH19" i="22"/>
  <c r="AL19" i="22"/>
  <c r="AP19" i="22"/>
  <c r="AT19" i="22"/>
  <c r="AX19" i="22"/>
  <c r="AY47" i="22"/>
  <c r="E64" i="22"/>
  <c r="E65" i="22"/>
  <c r="E66" i="22"/>
  <c r="AL72" i="22"/>
  <c r="AO72" i="22"/>
  <c r="E74" i="22"/>
  <c r="AY19" i="22"/>
  <c r="AZ47" i="22"/>
  <c r="AZ48" i="22"/>
  <c r="AZ55" i="22"/>
  <c r="AZ60" i="22"/>
  <c r="F64" i="22"/>
  <c r="F65" i="22"/>
  <c r="F66" i="22"/>
  <c r="D72" i="22"/>
  <c r="AK72" i="22"/>
  <c r="F74" i="22"/>
  <c r="F12" i="22"/>
  <c r="I14" i="22"/>
  <c r="N14" i="22"/>
  <c r="AZ15" i="22"/>
  <c r="D19" i="22"/>
  <c r="H19" i="22"/>
  <c r="E23" i="22"/>
  <c r="I25" i="22"/>
  <c r="F29" i="22"/>
  <c r="N43" i="22"/>
  <c r="E47" i="22"/>
  <c r="M47" i="22"/>
  <c r="Q47" i="22"/>
  <c r="U47" i="22"/>
  <c r="Y47" i="22"/>
  <c r="AC47" i="22"/>
  <c r="AG47" i="22"/>
  <c r="AK47" i="22"/>
  <c r="AO47" i="22"/>
  <c r="AS47" i="22"/>
  <c r="AW47" i="22"/>
  <c r="I48" i="22"/>
  <c r="I55" i="22"/>
  <c r="I60" i="22"/>
  <c r="E12" i="22"/>
  <c r="AZ25" i="22"/>
  <c r="H8" i="22"/>
  <c r="F23" i="22"/>
  <c r="L45" i="22"/>
  <c r="P45" i="22"/>
  <c r="X45" i="22"/>
  <c r="AB45" i="22"/>
  <c r="AF45" i="22"/>
  <c r="AJ45" i="22"/>
  <c r="AN45" i="22"/>
  <c r="AR45" i="22"/>
  <c r="AV45" i="22"/>
  <c r="AZ121" i="22"/>
  <c r="E130" i="22"/>
  <c r="M130" i="22"/>
  <c r="Q130" i="22"/>
  <c r="U130" i="22"/>
  <c r="Y130" i="22"/>
  <c r="AC130" i="22"/>
  <c r="AG130" i="22"/>
  <c r="AK130" i="22"/>
  <c r="AO130" i="22"/>
  <c r="AS130" i="22"/>
  <c r="AW130" i="22"/>
  <c r="I133" i="22"/>
  <c r="I146" i="22"/>
  <c r="I178" i="22"/>
  <c r="I179" i="22"/>
  <c r="U179" i="22"/>
  <c r="I184" i="22"/>
  <c r="I187" i="22"/>
  <c r="F207" i="22"/>
  <c r="N207" i="22"/>
  <c r="R207" i="22"/>
  <c r="V207" i="22"/>
  <c r="E208" i="22"/>
  <c r="F130" i="22"/>
  <c r="J133" i="22"/>
  <c r="AZ160" i="22"/>
  <c r="AZ167" i="22"/>
  <c r="AZ168" i="22"/>
  <c r="AZ174" i="22"/>
  <c r="J178" i="22"/>
  <c r="J179" i="22"/>
  <c r="AZ182" i="22"/>
  <c r="J184" i="22"/>
  <c r="J187" i="22"/>
  <c r="E196" i="22"/>
  <c r="U202" i="22"/>
  <c r="AY202" i="22"/>
  <c r="AY207" i="22"/>
  <c r="F208" i="22"/>
  <c r="U208" i="22"/>
  <c r="AY208" i="22"/>
  <c r="D117" i="22"/>
  <c r="I160" i="22"/>
  <c r="I167" i="22"/>
  <c r="I168" i="22"/>
  <c r="I173" i="22"/>
  <c r="M173" i="22"/>
  <c r="Q173" i="22"/>
  <c r="Y173" i="22"/>
  <c r="AC173" i="22"/>
  <c r="AG173" i="22"/>
  <c r="AK173" i="22"/>
  <c r="AO173" i="22"/>
  <c r="F196" i="22"/>
  <c r="K212" i="22"/>
  <c r="L212" i="22"/>
  <c r="AJ210" i="22" l="1"/>
  <c r="P45" i="27"/>
  <c r="AH7" i="27"/>
  <c r="AO7" i="22"/>
  <c r="AZ130" i="27"/>
  <c r="BA130" i="27" s="1"/>
  <c r="AV210" i="22"/>
  <c r="Q173" i="27"/>
  <c r="E173" i="22"/>
  <c r="AE210" i="27"/>
  <c r="AU210" i="22"/>
  <c r="U173" i="22"/>
  <c r="AZ173" i="22"/>
  <c r="T45" i="22"/>
  <c r="T210" i="22" s="1"/>
  <c r="I47" i="22"/>
  <c r="N42" i="22"/>
  <c r="E173" i="27"/>
  <c r="AW7" i="27"/>
  <c r="AW7" i="22"/>
  <c r="AG7" i="22"/>
  <c r="AE210" i="22"/>
  <c r="I130" i="27"/>
  <c r="AH7" i="22"/>
  <c r="AK7" i="22"/>
  <c r="H45" i="27"/>
  <c r="J45" i="27" s="1"/>
  <c r="AA210" i="27"/>
  <c r="S45" i="27"/>
  <c r="S210" i="27" s="1"/>
  <c r="AY207" i="27"/>
  <c r="W210" i="27"/>
  <c r="K210" i="27"/>
  <c r="K213" i="27" s="1"/>
  <c r="AZ154" i="27"/>
  <c r="BA154" i="27" s="1"/>
  <c r="G210" i="22"/>
  <c r="K210" i="22"/>
  <c r="K213" i="22" s="1"/>
  <c r="AX7" i="27"/>
  <c r="AT7" i="27"/>
  <c r="AX210" i="22"/>
  <c r="AZ173" i="27"/>
  <c r="BA173" i="27" s="1"/>
  <c r="F154" i="27"/>
  <c r="T45" i="27"/>
  <c r="V45" i="27" s="1"/>
  <c r="AZ72" i="27"/>
  <c r="BA72" i="27" s="1"/>
  <c r="I72" i="27"/>
  <c r="I47" i="27"/>
  <c r="I207" i="27"/>
  <c r="L7" i="22"/>
  <c r="AY7" i="22"/>
  <c r="AZ42" i="22"/>
  <c r="AS7" i="22"/>
  <c r="J207" i="22"/>
  <c r="U173" i="27"/>
  <c r="AS7" i="27"/>
  <c r="AS210" i="27" s="1"/>
  <c r="I207" i="22"/>
  <c r="I130" i="22"/>
  <c r="H45" i="22"/>
  <c r="AR210" i="27"/>
  <c r="AY45" i="27"/>
  <c r="V7" i="22"/>
  <c r="Q8" i="27"/>
  <c r="R8" i="27"/>
  <c r="U7" i="22"/>
  <c r="AN210" i="27"/>
  <c r="V7" i="27"/>
  <c r="AC7" i="27"/>
  <c r="AG7" i="27"/>
  <c r="AM210" i="27"/>
  <c r="AQ210" i="27"/>
  <c r="O210" i="27"/>
  <c r="P7" i="27"/>
  <c r="AF210" i="27"/>
  <c r="AD7" i="27"/>
  <c r="S45" i="22"/>
  <c r="S210" i="22" s="1"/>
  <c r="U8" i="27"/>
  <c r="V8" i="27"/>
  <c r="G213" i="22"/>
  <c r="AO7" i="27"/>
  <c r="I154" i="22"/>
  <c r="J154" i="22"/>
  <c r="AQ210" i="22"/>
  <c r="D45" i="22"/>
  <c r="F45" i="22" s="1"/>
  <c r="AP7" i="27"/>
  <c r="AZ154" i="22"/>
  <c r="F154" i="22"/>
  <c r="AA210" i="22"/>
  <c r="AI210" i="22"/>
  <c r="AZ47" i="27"/>
  <c r="BA47" i="27" s="1"/>
  <c r="J72" i="22"/>
  <c r="I72" i="22"/>
  <c r="AI210" i="27"/>
  <c r="AZ130" i="22"/>
  <c r="AU210" i="27"/>
  <c r="AC8" i="22"/>
  <c r="AD8" i="22"/>
  <c r="AB7" i="22"/>
  <c r="R8" i="22"/>
  <c r="Q8" i="22"/>
  <c r="P7" i="22"/>
  <c r="P210" i="22" s="1"/>
  <c r="R210" i="22" s="1"/>
  <c r="E207" i="27"/>
  <c r="AZ207" i="27"/>
  <c r="BA207" i="27" s="1"/>
  <c r="F207" i="27"/>
  <c r="E117" i="27"/>
  <c r="AZ117" i="27"/>
  <c r="BA117" i="27" s="1"/>
  <c r="F117" i="27"/>
  <c r="AL45" i="27"/>
  <c r="AK45" i="27"/>
  <c r="AK210" i="27" s="1"/>
  <c r="U45" i="27"/>
  <c r="U210" i="27" s="1"/>
  <c r="D45" i="27"/>
  <c r="AJ210" i="27"/>
  <c r="AL210" i="27" s="1"/>
  <c r="I19" i="27"/>
  <c r="J19" i="27"/>
  <c r="E19" i="27"/>
  <c r="AZ19" i="27"/>
  <c r="BA19" i="27" s="1"/>
  <c r="F19" i="27"/>
  <c r="AX45" i="27"/>
  <c r="AW45" i="27"/>
  <c r="AH45" i="27"/>
  <c r="AG45" i="27"/>
  <c r="R45" i="27"/>
  <c r="Q45" i="27"/>
  <c r="T210" i="27"/>
  <c r="V210" i="27" s="1"/>
  <c r="T212" i="27"/>
  <c r="AT45" i="27"/>
  <c r="AS45" i="27"/>
  <c r="AD45" i="27"/>
  <c r="AC45" i="27"/>
  <c r="N45" i="27"/>
  <c r="M45" i="27"/>
  <c r="Z8" i="27"/>
  <c r="X7" i="27"/>
  <c r="Y8" i="27"/>
  <c r="C210" i="27"/>
  <c r="AB210" i="27"/>
  <c r="AV210" i="27"/>
  <c r="AZ8" i="27"/>
  <c r="BA8" i="27" s="1"/>
  <c r="F8" i="27"/>
  <c r="E8" i="27"/>
  <c r="D7" i="27"/>
  <c r="P210" i="27"/>
  <c r="O212" i="27"/>
  <c r="AP45" i="27"/>
  <c r="AO45" i="27"/>
  <c r="Z45" i="27"/>
  <c r="Y45" i="27"/>
  <c r="M8" i="27"/>
  <c r="N8" i="27"/>
  <c r="L7" i="27"/>
  <c r="J8" i="27"/>
  <c r="I8" i="27"/>
  <c r="H7" i="27"/>
  <c r="AY7" i="27"/>
  <c r="O212" i="22"/>
  <c r="AP45" i="22"/>
  <c r="AO45" i="22"/>
  <c r="Z45" i="22"/>
  <c r="Y45" i="22"/>
  <c r="AL45" i="22"/>
  <c r="AK45" i="22"/>
  <c r="AK210" i="22" s="1"/>
  <c r="AO210" i="22"/>
  <c r="AX45" i="22"/>
  <c r="AW45" i="22"/>
  <c r="AW210" i="22" s="1"/>
  <c r="AH45" i="22"/>
  <c r="AG45" i="22"/>
  <c r="AG210" i="22" s="1"/>
  <c r="R45" i="22"/>
  <c r="Q45" i="22"/>
  <c r="I19" i="22"/>
  <c r="J19" i="22"/>
  <c r="AZ8" i="22"/>
  <c r="F8" i="22"/>
  <c r="D7" i="22"/>
  <c r="E8" i="22"/>
  <c r="Z8" i="22"/>
  <c r="X7" i="22"/>
  <c r="Y8" i="22"/>
  <c r="P212" i="22"/>
  <c r="E117" i="22"/>
  <c r="AZ117" i="22"/>
  <c r="F117" i="22"/>
  <c r="AT45" i="22"/>
  <c r="AS45" i="22"/>
  <c r="AD45" i="22"/>
  <c r="AC45" i="22"/>
  <c r="N45" i="22"/>
  <c r="M45" i="22"/>
  <c r="J8" i="22"/>
  <c r="H7" i="22"/>
  <c r="I8" i="22"/>
  <c r="E19" i="22"/>
  <c r="AZ19" i="22"/>
  <c r="F19" i="22"/>
  <c r="F72" i="22"/>
  <c r="E72" i="22"/>
  <c r="AZ72" i="22"/>
  <c r="AN210" i="22"/>
  <c r="AP210" i="22" s="1"/>
  <c r="AR210" i="22"/>
  <c r="AF210" i="22"/>
  <c r="L210" i="22"/>
  <c r="N210" i="22" s="1"/>
  <c r="AW210" i="27" l="1"/>
  <c r="AZ45" i="22"/>
  <c r="AH210" i="27"/>
  <c r="AL210" i="22"/>
  <c r="AH210" i="22"/>
  <c r="AS210" i="22"/>
  <c r="J45" i="22"/>
  <c r="I45" i="27"/>
  <c r="AX210" i="27"/>
  <c r="AT210" i="22"/>
  <c r="I45" i="22"/>
  <c r="AT210" i="27"/>
  <c r="AO210" i="27"/>
  <c r="R210" i="27"/>
  <c r="U45" i="22"/>
  <c r="U210" i="22" s="1"/>
  <c r="E45" i="22"/>
  <c r="AC210" i="27"/>
  <c r="V210" i="22"/>
  <c r="V45" i="22"/>
  <c r="AD210" i="27"/>
  <c r="T213" i="27"/>
  <c r="AG210" i="27"/>
  <c r="AY210" i="22"/>
  <c r="AP210" i="27"/>
  <c r="N7" i="22"/>
  <c r="M7" i="22"/>
  <c r="M210" i="22" s="1"/>
  <c r="R7" i="27"/>
  <c r="Q7" i="27"/>
  <c r="Q210" i="27" s="1"/>
  <c r="AY45" i="22"/>
  <c r="AD7" i="22"/>
  <c r="AC7" i="22"/>
  <c r="AC210" i="22" s="1"/>
  <c r="R7" i="22"/>
  <c r="Q7" i="22"/>
  <c r="Q210" i="22" s="1"/>
  <c r="AB210" i="22"/>
  <c r="AD210" i="22" s="1"/>
  <c r="L210" i="27"/>
  <c r="N7" i="27"/>
  <c r="M7" i="27"/>
  <c r="M210" i="27" s="1"/>
  <c r="AY210" i="27"/>
  <c r="C213" i="27"/>
  <c r="P213" i="27"/>
  <c r="O213" i="27"/>
  <c r="S212" i="27"/>
  <c r="S213" i="27" s="1"/>
  <c r="H210" i="27"/>
  <c r="J7" i="27"/>
  <c r="I7" i="27"/>
  <c r="X210" i="27"/>
  <c r="Z210" i="27" s="1"/>
  <c r="Y7" i="27"/>
  <c r="Y210" i="27" s="1"/>
  <c r="Z7" i="27"/>
  <c r="D210" i="27"/>
  <c r="AZ7" i="27"/>
  <c r="BA7" i="27" s="1"/>
  <c r="F7" i="27"/>
  <c r="E7" i="27"/>
  <c r="F45" i="27"/>
  <c r="E45" i="27"/>
  <c r="AZ45" i="27"/>
  <c r="BA45" i="27" s="1"/>
  <c r="X210" i="22"/>
  <c r="Z210" i="22" s="1"/>
  <c r="Z7" i="22"/>
  <c r="Y7" i="22"/>
  <c r="Y210" i="22" s="1"/>
  <c r="D210" i="22"/>
  <c r="F7" i="22"/>
  <c r="E7" i="22"/>
  <c r="AZ7" i="22"/>
  <c r="P213" i="22"/>
  <c r="T212" i="22"/>
  <c r="T213" i="22" s="1"/>
  <c r="H210" i="22"/>
  <c r="J7" i="22"/>
  <c r="I7" i="22"/>
  <c r="I210" i="22" s="1"/>
  <c r="L213" i="22"/>
  <c r="M213" i="22" s="1"/>
  <c r="O213" i="22"/>
  <c r="S212" i="22"/>
  <c r="S213" i="22" s="1"/>
  <c r="U213" i="27" l="1"/>
  <c r="I210" i="27"/>
  <c r="E210" i="22"/>
  <c r="U213" i="22"/>
  <c r="E210" i="27"/>
  <c r="F210" i="27"/>
  <c r="D213" i="27"/>
  <c r="E213" i="27" s="1"/>
  <c r="AZ210" i="27"/>
  <c r="Q213" i="27"/>
  <c r="H213" i="27"/>
  <c r="I213" i="27" s="1"/>
  <c r="J210" i="27"/>
  <c r="N210" i="27"/>
  <c r="L213" i="27"/>
  <c r="M213" i="27" s="1"/>
  <c r="J210" i="22"/>
  <c r="H213" i="22"/>
  <c r="I213" i="22" s="1"/>
  <c r="Q213" i="22"/>
  <c r="F210" i="22"/>
  <c r="D213" i="22"/>
  <c r="E213" i="22" s="1"/>
  <c r="AZ210" i="22"/>
  <c r="C134" i="26" l="1"/>
  <c r="C111" i="26"/>
  <c r="C99" i="26"/>
  <c r="O73" i="26"/>
  <c r="O72" i="26"/>
  <c r="O78" i="26"/>
  <c r="O82" i="26"/>
  <c r="O65" i="26"/>
  <c r="O77" i="26"/>
  <c r="O89" i="26"/>
  <c r="O92" i="26"/>
  <c r="O71" i="26"/>
  <c r="O94" i="26"/>
  <c r="O95" i="26"/>
  <c r="O67" i="26"/>
  <c r="O70" i="26"/>
  <c r="O66" i="26"/>
  <c r="O97" i="26"/>
  <c r="O61" i="26"/>
  <c r="O62" i="26"/>
  <c r="O63" i="26"/>
  <c r="O60" i="26"/>
  <c r="O76" i="26"/>
  <c r="O83" i="26"/>
  <c r="O85" i="26"/>
  <c r="O90" i="26"/>
  <c r="O87" i="26"/>
  <c r="O88" i="26"/>
  <c r="O75" i="26"/>
  <c r="O81" i="26"/>
  <c r="O64" i="26"/>
  <c r="O91" i="26"/>
  <c r="O68" i="26"/>
  <c r="O79" i="26"/>
  <c r="O80" i="26"/>
  <c r="O93" i="26"/>
  <c r="O86" i="26"/>
  <c r="O96" i="26"/>
  <c r="O174" i="26"/>
  <c r="O84" i="26"/>
  <c r="D58" i="26"/>
  <c r="E58" i="26"/>
  <c r="F58" i="26"/>
  <c r="G58" i="26"/>
  <c r="H58" i="26"/>
  <c r="I58" i="26"/>
  <c r="J58" i="26"/>
  <c r="K58" i="26"/>
  <c r="L58" i="26"/>
  <c r="M58" i="26"/>
  <c r="N58" i="26"/>
  <c r="C58" i="26"/>
  <c r="C35" i="26"/>
  <c r="O58" i="26" l="1"/>
  <c r="O31" i="26" l="1"/>
  <c r="O29" i="26"/>
  <c r="N152" i="26"/>
  <c r="M152" i="26"/>
  <c r="L152" i="26"/>
  <c r="K152" i="26"/>
  <c r="J152" i="26"/>
  <c r="I152" i="26"/>
  <c r="H152" i="26"/>
  <c r="G152" i="26"/>
  <c r="F152" i="26"/>
  <c r="E152" i="26"/>
  <c r="O142" i="26" l="1"/>
  <c r="O141" i="26"/>
  <c r="O147" i="26"/>
  <c r="O148" i="26"/>
  <c r="O149" i="26"/>
  <c r="O150" i="26"/>
  <c r="O143" i="26"/>
  <c r="O144" i="26"/>
  <c r="O146" i="26"/>
  <c r="O145" i="26"/>
  <c r="O140" i="26"/>
  <c r="O136" i="26"/>
  <c r="O137" i="26"/>
  <c r="O139" i="26"/>
  <c r="O138" i="26"/>
  <c r="O135" i="26"/>
  <c r="O36" i="26"/>
  <c r="O46" i="26"/>
  <c r="O53" i="26"/>
  <c r="O48" i="26"/>
  <c r="O47" i="26"/>
  <c r="O49" i="26"/>
  <c r="O44" i="26"/>
  <c r="O56" i="26"/>
  <c r="O55" i="26"/>
  <c r="O37" i="26"/>
  <c r="O41" i="26"/>
  <c r="O38" i="26"/>
  <c r="O45" i="26"/>
  <c r="O54" i="26"/>
  <c r="O39" i="26"/>
  <c r="O43" i="26"/>
  <c r="O51" i="26"/>
  <c r="O42" i="26"/>
  <c r="O52" i="26"/>
  <c r="O40" i="26"/>
  <c r="O50" i="26"/>
  <c r="O25" i="26"/>
  <c r="D42" i="28"/>
  <c r="E42" i="28"/>
  <c r="F42" i="28"/>
  <c r="G42" i="28"/>
  <c r="H42" i="28"/>
  <c r="I42" i="28"/>
  <c r="J42" i="28"/>
  <c r="K42" i="28"/>
  <c r="L42" i="28"/>
  <c r="C42" i="28"/>
  <c r="M41" i="28"/>
  <c r="N41" i="28" s="1"/>
  <c r="O41" i="28" s="1"/>
  <c r="M40" i="28"/>
  <c r="N40" i="28" s="1"/>
  <c r="O40" i="28" s="1"/>
  <c r="M39" i="28"/>
  <c r="N39" i="28" s="1"/>
  <c r="M38" i="28"/>
  <c r="N38" i="28" s="1"/>
  <c r="M37" i="28"/>
  <c r="N37" i="28" s="1"/>
  <c r="O37" i="28" s="1"/>
  <c r="M36" i="28"/>
  <c r="N36" i="28" s="1"/>
  <c r="O36" i="28" s="1"/>
  <c r="M35" i="28"/>
  <c r="N35" i="28" s="1"/>
  <c r="O35" i="28" s="1"/>
  <c r="M34" i="28"/>
  <c r="N34" i="28" s="1"/>
  <c r="O34" i="28" s="1"/>
  <c r="S34" i="28" s="1"/>
  <c r="M33" i="28"/>
  <c r="N33" i="28" s="1"/>
  <c r="O33" i="28" s="1"/>
  <c r="M32" i="28"/>
  <c r="N32" i="28" s="1"/>
  <c r="O32" i="28" s="1"/>
  <c r="M31" i="28"/>
  <c r="N31" i="28" s="1"/>
  <c r="O31" i="28" s="1"/>
  <c r="M30" i="28"/>
  <c r="N30" i="28" s="1"/>
  <c r="O30" i="28" s="1"/>
  <c r="X30" i="28" s="1"/>
  <c r="M29" i="28"/>
  <c r="N29" i="28" s="1"/>
  <c r="O29" i="28" s="1"/>
  <c r="M28" i="28"/>
  <c r="N28" i="28" s="1"/>
  <c r="O28" i="28" s="1"/>
  <c r="S28" i="28" s="1"/>
  <c r="M27" i="28"/>
  <c r="N27" i="28" s="1"/>
  <c r="O27" i="28" s="1"/>
  <c r="M26" i="28"/>
  <c r="N26" i="28" s="1"/>
  <c r="O26" i="28" s="1"/>
  <c r="M25" i="28"/>
  <c r="N25" i="28" s="1"/>
  <c r="O25" i="28" s="1"/>
  <c r="M24" i="28"/>
  <c r="N24" i="28" s="1"/>
  <c r="O24" i="28" s="1"/>
  <c r="M23" i="28"/>
  <c r="N23" i="28" s="1"/>
  <c r="O23" i="28" s="1"/>
  <c r="M22" i="28"/>
  <c r="N22" i="28" s="1"/>
  <c r="O22" i="28" s="1"/>
  <c r="M21" i="28"/>
  <c r="N21" i="28" s="1"/>
  <c r="O21" i="28" s="1"/>
  <c r="M20" i="28"/>
  <c r="N20" i="28" s="1"/>
  <c r="M19" i="28"/>
  <c r="N19" i="28" s="1"/>
  <c r="O19" i="28" s="1"/>
  <c r="S19" i="28" s="1"/>
  <c r="Z19" i="28" s="1"/>
  <c r="M18" i="28"/>
  <c r="N18" i="28" s="1"/>
  <c r="O18" i="28" s="1"/>
  <c r="M17" i="28"/>
  <c r="N17" i="28" s="1"/>
  <c r="O17" i="28" s="1"/>
  <c r="M16" i="28"/>
  <c r="N16" i="28" s="1"/>
  <c r="O16" i="28" s="1"/>
  <c r="M15" i="28"/>
  <c r="N15" i="28" s="1"/>
  <c r="O15" i="28" s="1"/>
  <c r="M14" i="28"/>
  <c r="N14" i="28" s="1"/>
  <c r="O14" i="28" s="1"/>
  <c r="M13" i="28"/>
  <c r="N13" i="28" s="1"/>
  <c r="O13" i="28" s="1"/>
  <c r="Y13" i="28" s="1"/>
  <c r="M12" i="28"/>
  <c r="N12" i="28" s="1"/>
  <c r="O12" i="28" s="1"/>
  <c r="S12" i="28" s="1"/>
  <c r="M11" i="28"/>
  <c r="N11" i="28" s="1"/>
  <c r="O11" i="28" s="1"/>
  <c r="M10" i="28"/>
  <c r="N10" i="28" s="1"/>
  <c r="O10" i="28" s="1"/>
  <c r="M9" i="28"/>
  <c r="N9" i="28" s="1"/>
  <c r="AF8" i="28"/>
  <c r="M8" i="28"/>
  <c r="N8" i="28" s="1"/>
  <c r="O8" i="28" s="1"/>
  <c r="M7" i="28"/>
  <c r="N7" i="28" s="1"/>
  <c r="O7" i="28" s="1"/>
  <c r="M6" i="28"/>
  <c r="N6" i="28" s="1"/>
  <c r="O6" i="28" s="1"/>
  <c r="M5" i="28"/>
  <c r="N5" i="28" s="1"/>
  <c r="O5" i="28" s="1"/>
  <c r="S5" i="28" s="1"/>
  <c r="AE5" i="28" s="1"/>
  <c r="M4" i="28"/>
  <c r="N4" i="28" s="1"/>
  <c r="O4" i="28" s="1"/>
  <c r="AC15" i="28" l="1"/>
  <c r="AB15" i="28"/>
  <c r="AA15" i="28"/>
  <c r="AD15" i="28"/>
  <c r="Z15" i="28"/>
  <c r="AC4" i="28"/>
  <c r="Y4" i="28"/>
  <c r="AB4" i="28"/>
  <c r="X4" i="28"/>
  <c r="AA4" i="28"/>
  <c r="Z4" i="28"/>
  <c r="AD12" i="28"/>
  <c r="AE12" i="28"/>
  <c r="AD34" i="28"/>
  <c r="AC34" i="28"/>
  <c r="AE34" i="28"/>
  <c r="Z17" i="28"/>
  <c r="V17" i="28"/>
  <c r="Y17" i="28"/>
  <c r="X17" i="28"/>
  <c r="W17" i="28"/>
  <c r="W27" i="28"/>
  <c r="S27" i="28"/>
  <c r="V27" i="28"/>
  <c r="U27" i="28"/>
  <c r="T27" i="28"/>
  <c r="Y14" i="28"/>
  <c r="X14" i="28"/>
  <c r="V21" i="28"/>
  <c r="Y21" i="28"/>
  <c r="U21" i="28"/>
  <c r="X21" i="28"/>
  <c r="T21" i="28"/>
  <c r="W21" i="28"/>
  <c r="AB25" i="28"/>
  <c r="X25" i="28"/>
  <c r="T25" i="28"/>
  <c r="AA25" i="28"/>
  <c r="W25" i="28"/>
  <c r="AD25" i="28"/>
  <c r="Z25" i="28"/>
  <c r="V25" i="28"/>
  <c r="AC25" i="28"/>
  <c r="Y25" i="28"/>
  <c r="U25" i="28"/>
  <c r="AE28" i="28"/>
  <c r="AD28" i="28"/>
  <c r="Z32" i="28"/>
  <c r="AC32" i="28"/>
  <c r="Y32" i="28"/>
  <c r="AB32" i="28"/>
  <c r="X32" i="28"/>
  <c r="AA32" i="28"/>
  <c r="V36" i="28"/>
  <c r="U36" i="28"/>
  <c r="T36" i="28"/>
  <c r="T22" i="28"/>
  <c r="W22" i="28"/>
  <c r="V22" i="28"/>
  <c r="U22" i="28"/>
  <c r="X26" i="28"/>
  <c r="T26" i="28"/>
  <c r="W26" i="28"/>
  <c r="S26" i="28"/>
  <c r="V26" i="28"/>
  <c r="U26" i="28"/>
  <c r="AD29" i="28"/>
  <c r="Z29" i="28"/>
  <c r="V29" i="28"/>
  <c r="AC29" i="28"/>
  <c r="Y29" i="28"/>
  <c r="AB29" i="28"/>
  <c r="X29" i="28"/>
  <c r="AA29" i="28"/>
  <c r="W29" i="28"/>
  <c r="AC33" i="28"/>
  <c r="Y33" i="28"/>
  <c r="AB33" i="28"/>
  <c r="AA33" i="28"/>
  <c r="AD33" i="28"/>
  <c r="Z33" i="28"/>
  <c r="AA37" i="28"/>
  <c r="W37" i="28"/>
  <c r="Z37" i="28"/>
  <c r="V37" i="28"/>
  <c r="Y37" i="28"/>
  <c r="U37" i="28"/>
  <c r="X37" i="28"/>
  <c r="T37" i="28"/>
  <c r="M42" i="28"/>
  <c r="N42" i="28" s="1"/>
  <c r="O42" i="28" s="1"/>
  <c r="T17" i="28"/>
  <c r="S36" i="28"/>
  <c r="AD36" i="28" s="1"/>
  <c r="S25" i="28"/>
  <c r="S18" i="28"/>
  <c r="T31" i="28"/>
  <c r="S37" i="28"/>
  <c r="AE37" i="28" s="1"/>
  <c r="S39" i="28"/>
  <c r="V14" i="28"/>
  <c r="Z20" i="28"/>
  <c r="S22" i="28"/>
  <c r="AB22" i="28" s="1"/>
  <c r="S24" i="28"/>
  <c r="S21" i="28"/>
  <c r="V9" i="28"/>
  <c r="X15" i="28"/>
  <c r="U30" i="28"/>
  <c r="S23" i="28"/>
  <c r="T4" i="28"/>
  <c r="X19" i="28"/>
  <c r="V19" i="28"/>
  <c r="X33" i="28"/>
  <c r="U33" i="28"/>
  <c r="U31" i="28"/>
  <c r="S38" i="28"/>
  <c r="AA38" i="28" s="1"/>
  <c r="AA28" i="28"/>
  <c r="W28" i="28"/>
  <c r="Z28" i="28"/>
  <c r="V28" i="28"/>
  <c r="Y28" i="28"/>
  <c r="X28" i="28"/>
  <c r="AC28" i="28"/>
  <c r="U28" i="28"/>
  <c r="AB28" i="28"/>
  <c r="T28" i="28"/>
  <c r="AC6" i="28"/>
  <c r="Y6" i="28"/>
  <c r="U6" i="28"/>
  <c r="AB6" i="28"/>
  <c r="X6" i="28"/>
  <c r="T6" i="28"/>
  <c r="AA6" i="28"/>
  <c r="W6" i="28"/>
  <c r="S6" i="28"/>
  <c r="AE6" i="28" s="1"/>
  <c r="AD6" i="28"/>
  <c r="Z6" i="28"/>
  <c r="V6" i="28"/>
  <c r="S7" i="28"/>
  <c r="AA11" i="28"/>
  <c r="W11" i="28"/>
  <c r="S11" i="28"/>
  <c r="Z11" i="28"/>
  <c r="V11" i="28"/>
  <c r="AC11" i="28"/>
  <c r="Y11" i="28"/>
  <c r="U11" i="28"/>
  <c r="AB11" i="28"/>
  <c r="X11" i="28"/>
  <c r="T11" i="28"/>
  <c r="AC22" i="28"/>
  <c r="AA10" i="28"/>
  <c r="W10" i="28"/>
  <c r="S10" i="28"/>
  <c r="AE10" i="28" s="1"/>
  <c r="AD10" i="28"/>
  <c r="Z10" i="28"/>
  <c r="V10" i="28"/>
  <c r="AC10" i="28"/>
  <c r="Y10" i="28"/>
  <c r="U10" i="28"/>
  <c r="AB10" i="28"/>
  <c r="X10" i="28"/>
  <c r="T10" i="28"/>
  <c r="W4" i="28"/>
  <c r="S4" i="28"/>
  <c r="V4" i="28"/>
  <c r="U4" i="28"/>
  <c r="Z12" i="28"/>
  <c r="V12" i="28"/>
  <c r="AC12" i="28"/>
  <c r="Y12" i="28"/>
  <c r="U12" i="28"/>
  <c r="AB12" i="28"/>
  <c r="X12" i="28"/>
  <c r="T12" i="28"/>
  <c r="AA12" i="28"/>
  <c r="W12" i="28"/>
  <c r="T5" i="28"/>
  <c r="X5" i="28"/>
  <c r="AB5" i="28"/>
  <c r="W9" i="28"/>
  <c r="U13" i="28"/>
  <c r="S14" i="28"/>
  <c r="W14" i="28"/>
  <c r="U15" i="28"/>
  <c r="Y15" i="28"/>
  <c r="U16" i="28"/>
  <c r="U17" i="28"/>
  <c r="U19" i="28"/>
  <c r="Y19" i="28"/>
  <c r="S20" i="28"/>
  <c r="W20" i="28"/>
  <c r="V35" i="28"/>
  <c r="U35" i="28"/>
  <c r="T35" i="28"/>
  <c r="W35" i="28"/>
  <c r="S35" i="28"/>
  <c r="U5" i="28"/>
  <c r="Y5" i="28"/>
  <c r="AC5" i="28"/>
  <c r="T9" i="28"/>
  <c r="X9" i="28"/>
  <c r="V13" i="28"/>
  <c r="T14" i="28"/>
  <c r="V15" i="28"/>
  <c r="V16" i="28"/>
  <c r="T20" i="28"/>
  <c r="X20" i="28"/>
  <c r="V5" i="28"/>
  <c r="Z5" i="28"/>
  <c r="AD5" i="28"/>
  <c r="U9" i="28"/>
  <c r="S13" i="28"/>
  <c r="W13" i="28"/>
  <c r="U14" i="28"/>
  <c r="S15" i="28"/>
  <c r="W15" i="28"/>
  <c r="S16" i="28"/>
  <c r="W16" i="28"/>
  <c r="S17" i="28"/>
  <c r="W19" i="28"/>
  <c r="U20" i="28"/>
  <c r="Y20" i="28"/>
  <c r="S29" i="28"/>
  <c r="U29" i="28"/>
  <c r="T29" i="28"/>
  <c r="AB34" i="28"/>
  <c r="X34" i="28"/>
  <c r="T34" i="28"/>
  <c r="AA34" i="28"/>
  <c r="W34" i="28"/>
  <c r="Z34" i="28"/>
  <c r="V34" i="28"/>
  <c r="Y34" i="28"/>
  <c r="U34" i="28"/>
  <c r="W5" i="28"/>
  <c r="AA5" i="28"/>
  <c r="T13" i="28"/>
  <c r="T15" i="28"/>
  <c r="T16" i="28"/>
  <c r="T19" i="28"/>
  <c r="V20" i="28"/>
  <c r="W32" i="28"/>
  <c r="S32" i="28"/>
  <c r="V32" i="28"/>
  <c r="U32" i="28"/>
  <c r="T32" i="28"/>
  <c r="V30" i="28"/>
  <c r="V31" i="28"/>
  <c r="V33" i="28"/>
  <c r="W40" i="28"/>
  <c r="AD41" i="28"/>
  <c r="Z41" i="28"/>
  <c r="V41" i="28"/>
  <c r="AC41" i="28"/>
  <c r="Y41" i="28"/>
  <c r="U41" i="28"/>
  <c r="AE41" i="28"/>
  <c r="AA41" i="28"/>
  <c r="W41" i="28"/>
  <c r="AB41" i="28"/>
  <c r="S30" i="28"/>
  <c r="W30" i="28"/>
  <c r="S31" i="28"/>
  <c r="W31" i="28"/>
  <c r="S33" i="28"/>
  <c r="W33" i="28"/>
  <c r="Y40" i="28"/>
  <c r="T30" i="28"/>
  <c r="T33" i="28"/>
  <c r="S40" i="28"/>
  <c r="V40" i="28"/>
  <c r="X40" i="28"/>
  <c r="T40" i="28"/>
  <c r="U40" i="28"/>
  <c r="Y36" i="28" l="1"/>
  <c r="AA22" i="28"/>
  <c r="AA36" i="28"/>
  <c r="AD22" i="28"/>
  <c r="W36" i="28"/>
  <c r="AE22" i="28"/>
  <c r="AC36" i="28"/>
  <c r="AB36" i="28"/>
  <c r="AE36" i="28"/>
  <c r="X22" i="28"/>
  <c r="Y16" i="28"/>
  <c r="X16" i="28"/>
  <c r="AD7" i="28"/>
  <c r="Z7" i="28"/>
  <c r="V7" i="28"/>
  <c r="AC7" i="28"/>
  <c r="Y7" i="28"/>
  <c r="U7" i="28"/>
  <c r="AB7" i="28"/>
  <c r="X7" i="28"/>
  <c r="T7" i="28"/>
  <c r="AE7" i="28"/>
  <c r="AA7" i="28"/>
  <c r="W7" i="28"/>
  <c r="AB26" i="28"/>
  <c r="AE26" i="28"/>
  <c r="AA26" i="28"/>
  <c r="AD26" i="28"/>
  <c r="Z26" i="28"/>
  <c r="AC26" i="28"/>
  <c r="Y26" i="28"/>
  <c r="AC40" i="28"/>
  <c r="AB40" i="28"/>
  <c r="AE40" i="28"/>
  <c r="AA40" i="28"/>
  <c r="AD40" i="28"/>
  <c r="Z40" i="28"/>
  <c r="AE11" i="28"/>
  <c r="AD11" i="28"/>
  <c r="AE27" i="28"/>
  <c r="AA27" i="28"/>
  <c r="AD27" i="28"/>
  <c r="Z27" i="28"/>
  <c r="AC27" i="28"/>
  <c r="Y27" i="28"/>
  <c r="AB27" i="28"/>
  <c r="X27" i="28"/>
  <c r="AE18" i="28"/>
  <c r="AA18" i="28"/>
  <c r="W18" i="28"/>
  <c r="AD18" i="28"/>
  <c r="Z18" i="28"/>
  <c r="V18" i="28"/>
  <c r="AC18" i="28"/>
  <c r="Y18" i="28"/>
  <c r="U18" i="28"/>
  <c r="AB18" i="28"/>
  <c r="X18" i="28"/>
  <c r="T18" i="28"/>
  <c r="AE39" i="28"/>
  <c r="AA39" i="28"/>
  <c r="AD39" i="28"/>
  <c r="AC39" i="28"/>
  <c r="AB39" i="28"/>
  <c r="Z36" i="28"/>
  <c r="X36" i="28"/>
  <c r="Y22" i="28"/>
  <c r="Z22" i="28"/>
  <c r="AC37" i="28"/>
  <c r="AB37" i="28"/>
  <c r="AE25" i="28"/>
  <c r="AD37" i="28"/>
  <c r="AB21" i="28"/>
  <c r="AC21" i="28"/>
  <c r="AD21" i="28"/>
  <c r="Z21" i="28"/>
  <c r="AE21" i="28"/>
  <c r="AA21" i="28"/>
  <c r="T41" i="28"/>
  <c r="X41" i="28"/>
  <c r="X13" i="28"/>
  <c r="AE38" i="28"/>
  <c r="AD38" i="28"/>
  <c r="AB38" i="28"/>
  <c r="AC38" i="28"/>
  <c r="AF28" i="28"/>
  <c r="AE33" i="28"/>
  <c r="AC30" i="28"/>
  <c r="Y30" i="28"/>
  <c r="AB30" i="28"/>
  <c r="AE30" i="28"/>
  <c r="AA30" i="28"/>
  <c r="AD30" i="28"/>
  <c r="Z30" i="28"/>
  <c r="AF34" i="28"/>
  <c r="AB17" i="28"/>
  <c r="AE17" i="28"/>
  <c r="AA17" i="28"/>
  <c r="AD17" i="28"/>
  <c r="AC17" i="28"/>
  <c r="AD9" i="28"/>
  <c r="Z9" i="28"/>
  <c r="AC9" i="28"/>
  <c r="Y9" i="28"/>
  <c r="AB9" i="28"/>
  <c r="AE9" i="28"/>
  <c r="AA9" i="28"/>
  <c r="AE32" i="28"/>
  <c r="AD32" i="28"/>
  <c r="AE29" i="28"/>
  <c r="AB16" i="28"/>
  <c r="AE16" i="28"/>
  <c r="AA16" i="28"/>
  <c r="AD16" i="28"/>
  <c r="Z16" i="28"/>
  <c r="AC16" i="28"/>
  <c r="AB13" i="28"/>
  <c r="AE13" i="28"/>
  <c r="AA13" i="28"/>
  <c r="AD13" i="28"/>
  <c r="Z13" i="28"/>
  <c r="AC13" i="28"/>
  <c r="AD35" i="28"/>
  <c r="Z35" i="28"/>
  <c r="AC35" i="28"/>
  <c r="Y35" i="28"/>
  <c r="AB35" i="28"/>
  <c r="X35" i="28"/>
  <c r="AE35" i="28"/>
  <c r="AA35" i="28"/>
  <c r="AD14" i="28"/>
  <c r="Z14" i="28"/>
  <c r="AC14" i="28"/>
  <c r="AB14" i="28"/>
  <c r="AE14" i="28"/>
  <c r="AA14" i="28"/>
  <c r="AE4" i="28"/>
  <c r="AD4" i="28"/>
  <c r="AC31" i="28"/>
  <c r="Y31" i="28"/>
  <c r="AB31" i="28"/>
  <c r="X31" i="28"/>
  <c r="AE31" i="28"/>
  <c r="AA31" i="28"/>
  <c r="AD31" i="28"/>
  <c r="Z31" i="28"/>
  <c r="AE15" i="28"/>
  <c r="AD20" i="28"/>
  <c r="AC20" i="28"/>
  <c r="AB20" i="28"/>
  <c r="AE20" i="28"/>
  <c r="AA20" i="28"/>
  <c r="AF10" i="28"/>
  <c r="AF6" i="28"/>
  <c r="AB19" i="28"/>
  <c r="AE19" i="28"/>
  <c r="AA19" i="28"/>
  <c r="AD19" i="28"/>
  <c r="AC19" i="28"/>
  <c r="AF23" i="28"/>
  <c r="AF5" i="28"/>
  <c r="AF12" i="28"/>
  <c r="C20" i="26"/>
  <c r="AF11" i="28" l="1"/>
  <c r="AF27" i="28"/>
  <c r="AF18" i="28"/>
  <c r="AF36" i="28"/>
  <c r="AF22" i="28"/>
  <c r="AF26" i="28"/>
  <c r="C18" i="26"/>
  <c r="E20" i="26"/>
  <c r="D20" i="26"/>
  <c r="AF39" i="28"/>
  <c r="AF41" i="28"/>
  <c r="AF24" i="28"/>
  <c r="AF25" i="28"/>
  <c r="T42" i="28"/>
  <c r="AF37" i="28"/>
  <c r="AF21" i="28"/>
  <c r="U42" i="28"/>
  <c r="AF33" i="28"/>
  <c r="AF38" i="28"/>
  <c r="W42" i="28"/>
  <c r="AF7" i="28"/>
  <c r="AF32" i="28"/>
  <c r="AF40" i="28"/>
  <c r="AF14" i="28"/>
  <c r="AF35" i="28"/>
  <c r="AF16" i="28"/>
  <c r="AF29" i="28"/>
  <c r="X42" i="28"/>
  <c r="Y42" i="28"/>
  <c r="AF20" i="28"/>
  <c r="AF13" i="28"/>
  <c r="AF19" i="28"/>
  <c r="AF15" i="28"/>
  <c r="AF31" i="28"/>
  <c r="AF9" i="28"/>
  <c r="V42" i="28"/>
  <c r="AF17" i="28"/>
  <c r="AF30" i="28"/>
  <c r="AA42" i="28"/>
  <c r="AF4" i="28"/>
  <c r="AC42" i="28"/>
  <c r="AE42" i="28"/>
  <c r="Z42" i="28"/>
  <c r="AB42" i="28"/>
  <c r="AD42" i="28"/>
  <c r="F20" i="26" l="1"/>
  <c r="F18" i="26" s="1"/>
  <c r="D18" i="26"/>
  <c r="G20" i="26"/>
  <c r="E18" i="26"/>
  <c r="AF42" i="28"/>
  <c r="C30" i="26"/>
  <c r="D35" i="26"/>
  <c r="E35" i="26"/>
  <c r="F35" i="26"/>
  <c r="G35" i="26"/>
  <c r="H35" i="26"/>
  <c r="I35" i="26"/>
  <c r="J35" i="26"/>
  <c r="K35" i="26"/>
  <c r="L35" i="26"/>
  <c r="M35" i="26"/>
  <c r="N35" i="26"/>
  <c r="N8" i="26"/>
  <c r="H20" i="26" l="1"/>
  <c r="G18" i="26"/>
  <c r="O30" i="26"/>
  <c r="O35" i="26"/>
  <c r="I20" i="26" l="1"/>
  <c r="I18" i="26" s="1"/>
  <c r="H18" i="26"/>
  <c r="O17" i="26"/>
  <c r="O16" i="26"/>
  <c r="O15" i="26"/>
  <c r="G191" i="26"/>
  <c r="G187" i="26" s="1"/>
  <c r="F191" i="26"/>
  <c r="F187" i="26" s="1"/>
  <c r="E191" i="26"/>
  <c r="E187" i="26" s="1"/>
  <c r="D191" i="26"/>
  <c r="D187" i="26" s="1"/>
  <c r="C191" i="26"/>
  <c r="C187" i="26" s="1"/>
  <c r="O183" i="26"/>
  <c r="N182" i="26"/>
  <c r="M182" i="26"/>
  <c r="L182" i="26"/>
  <c r="K182" i="26"/>
  <c r="J182" i="26"/>
  <c r="I182" i="26"/>
  <c r="H182" i="26"/>
  <c r="F182" i="26"/>
  <c r="E182" i="26"/>
  <c r="D182" i="26"/>
  <c r="C182" i="26"/>
  <c r="C33" i="26" s="1"/>
  <c r="N134" i="26"/>
  <c r="M134" i="26"/>
  <c r="L134" i="26"/>
  <c r="K134" i="26"/>
  <c r="J134" i="26"/>
  <c r="I134" i="26"/>
  <c r="H134" i="26"/>
  <c r="G134" i="26"/>
  <c r="F134" i="26"/>
  <c r="E134" i="26"/>
  <c r="D134" i="26"/>
  <c r="O118" i="26"/>
  <c r="O130" i="26"/>
  <c r="O129" i="26"/>
  <c r="O128" i="26"/>
  <c r="O119" i="26"/>
  <c r="O116" i="26"/>
  <c r="O113" i="26"/>
  <c r="O127" i="26"/>
  <c r="O114" i="26"/>
  <c r="O131" i="26"/>
  <c r="O132" i="26"/>
  <c r="O124" i="26"/>
  <c r="O123" i="26"/>
  <c r="O121" i="26"/>
  <c r="O126" i="26"/>
  <c r="O125" i="26"/>
  <c r="O122" i="26"/>
  <c r="O120" i="26"/>
  <c r="O117" i="26"/>
  <c r="O112" i="26"/>
  <c r="O115" i="26"/>
  <c r="N111" i="26"/>
  <c r="M111" i="26"/>
  <c r="L111" i="26"/>
  <c r="K111" i="26"/>
  <c r="J111" i="26"/>
  <c r="I111" i="26"/>
  <c r="H111" i="26"/>
  <c r="G111" i="26"/>
  <c r="F111" i="26"/>
  <c r="E111" i="26"/>
  <c r="D111" i="26"/>
  <c r="O109" i="26"/>
  <c r="O100" i="26"/>
  <c r="O108" i="26"/>
  <c r="O107" i="26"/>
  <c r="O105" i="26"/>
  <c r="O106" i="26"/>
  <c r="O104" i="26"/>
  <c r="O102" i="26"/>
  <c r="O103" i="26"/>
  <c r="O101" i="26"/>
  <c r="N99" i="26"/>
  <c r="M99" i="26"/>
  <c r="L99" i="26"/>
  <c r="K99" i="26"/>
  <c r="J99" i="26"/>
  <c r="I99" i="26"/>
  <c r="H99" i="26"/>
  <c r="G99" i="26"/>
  <c r="F99" i="26"/>
  <c r="E99" i="26"/>
  <c r="D99" i="26"/>
  <c r="O21" i="26"/>
  <c r="O28" i="26"/>
  <c r="O24" i="26"/>
  <c r="O23" i="26"/>
  <c r="O22" i="26"/>
  <c r="O26" i="26"/>
  <c r="O27" i="26"/>
  <c r="O19" i="26"/>
  <c r="C7" i="26"/>
  <c r="M8" i="26"/>
  <c r="L8" i="26"/>
  <c r="K8" i="26"/>
  <c r="J8" i="26"/>
  <c r="I8" i="26"/>
  <c r="H8" i="26"/>
  <c r="G8" i="26"/>
  <c r="F8" i="26"/>
  <c r="F7" i="26" s="1"/>
  <c r="E8" i="26"/>
  <c r="D8" i="26"/>
  <c r="J20" i="26" l="1"/>
  <c r="O8" i="26"/>
  <c r="C185" i="26"/>
  <c r="C188" i="26" s="1"/>
  <c r="O99" i="26"/>
  <c r="D33" i="26"/>
  <c r="O191" i="26"/>
  <c r="O134" i="26"/>
  <c r="I33" i="26"/>
  <c r="M33" i="26"/>
  <c r="F33" i="26"/>
  <c r="J33" i="26"/>
  <c r="N33" i="26"/>
  <c r="K33" i="26"/>
  <c r="H33" i="26"/>
  <c r="L33" i="26"/>
  <c r="E33" i="26"/>
  <c r="O14" i="26"/>
  <c r="O111" i="26"/>
  <c r="E7" i="26"/>
  <c r="G182" i="26"/>
  <c r="H7" i="26"/>
  <c r="D7" i="26"/>
  <c r="G7" i="26"/>
  <c r="I7" i="26"/>
  <c r="BC26" i="16"/>
  <c r="AM142" i="16"/>
  <c r="AI184" i="16"/>
  <c r="BA8" i="16"/>
  <c r="BB108" i="16"/>
  <c r="BB107" i="16"/>
  <c r="K20" i="26" l="1"/>
  <c r="J18" i="26"/>
  <c r="G33" i="26"/>
  <c r="E185" i="26"/>
  <c r="E188" i="26" s="1"/>
  <c r="H185" i="26"/>
  <c r="H188" i="26" s="1"/>
  <c r="F185" i="26"/>
  <c r="F188" i="26" s="1"/>
  <c r="O182" i="26"/>
  <c r="I185" i="26"/>
  <c r="I188" i="26" s="1"/>
  <c r="BA148" i="16"/>
  <c r="BA124" i="16"/>
  <c r="BA111" i="16"/>
  <c r="BA71" i="16"/>
  <c r="AZ71" i="16"/>
  <c r="BA166" i="16"/>
  <c r="BA20" i="16"/>
  <c r="BA16" i="16"/>
  <c r="AS15" i="16"/>
  <c r="BB42" i="16"/>
  <c r="J7" i="26" l="1"/>
  <c r="L20" i="26"/>
  <c r="K18" i="26"/>
  <c r="K7" i="26" s="1"/>
  <c r="K185" i="26" s="1"/>
  <c r="K188" i="26" s="1"/>
  <c r="G185" i="26"/>
  <c r="G188" i="26" s="1"/>
  <c r="J185" i="26" l="1"/>
  <c r="J188" i="26" s="1"/>
  <c r="M20" i="26"/>
  <c r="L18" i="26"/>
  <c r="BB10" i="16"/>
  <c r="BB11" i="16"/>
  <c r="L7" i="26" l="1"/>
  <c r="N20" i="26"/>
  <c r="M18" i="26"/>
  <c r="M7" i="26" s="1"/>
  <c r="M185" i="26" s="1"/>
  <c r="M188" i="26" s="1"/>
  <c r="BB188" i="16"/>
  <c r="BB198" i="16"/>
  <c r="BC198" i="16"/>
  <c r="BB199" i="16"/>
  <c r="BC199" i="16"/>
  <c r="BB201" i="16"/>
  <c r="BB185" i="16"/>
  <c r="BB186" i="16"/>
  <c r="BB187" i="16"/>
  <c r="BB189" i="16"/>
  <c r="BB190" i="16"/>
  <c r="BB191" i="16"/>
  <c r="BB192" i="16"/>
  <c r="BB193" i="16"/>
  <c r="BB194" i="16"/>
  <c r="BB195" i="16"/>
  <c r="BB196" i="16"/>
  <c r="BB197" i="16"/>
  <c r="BB141" i="16"/>
  <c r="BB106" i="16"/>
  <c r="BC106" i="16"/>
  <c r="BB109" i="16"/>
  <c r="BB72" i="16"/>
  <c r="BB23" i="16"/>
  <c r="BC23" i="16"/>
  <c r="BB24" i="16"/>
  <c r="BC24" i="16"/>
  <c r="BB25" i="16"/>
  <c r="BB26" i="16"/>
  <c r="BB27" i="16"/>
  <c r="BC27" i="16"/>
  <c r="BB28" i="16"/>
  <c r="BC28" i="16"/>
  <c r="BB29" i="16"/>
  <c r="BC29" i="16"/>
  <c r="BB30" i="16"/>
  <c r="BC30" i="16"/>
  <c r="BB31" i="16"/>
  <c r="BC31" i="16"/>
  <c r="BB32" i="16"/>
  <c r="BC32" i="16"/>
  <c r="BB33" i="16"/>
  <c r="BC33" i="16"/>
  <c r="BB34" i="16"/>
  <c r="BC34" i="16"/>
  <c r="BB35" i="16"/>
  <c r="BB36" i="16"/>
  <c r="BB37" i="16"/>
  <c r="BB38" i="16"/>
  <c r="BB39" i="16"/>
  <c r="BB40" i="16"/>
  <c r="BB41" i="16"/>
  <c r="BB43" i="16"/>
  <c r="BC21" i="16"/>
  <c r="BB14" i="16"/>
  <c r="BC14" i="16"/>
  <c r="AY186" i="16"/>
  <c r="AX186" i="16"/>
  <c r="AX141" i="16"/>
  <c r="L185" i="26" l="1"/>
  <c r="L188" i="26" s="1"/>
  <c r="O20" i="26"/>
  <c r="N18" i="26"/>
  <c r="N7" i="26" s="1"/>
  <c r="N185" i="26" s="1"/>
  <c r="N188" i="26" s="1"/>
  <c r="AX198" i="16"/>
  <c r="AY198" i="16"/>
  <c r="AY199" i="16"/>
  <c r="AX201" i="16"/>
  <c r="AX188" i="16"/>
  <c r="O18" i="26" l="1"/>
  <c r="O7" i="26"/>
  <c r="AW71" i="16"/>
  <c r="AX106" i="16"/>
  <c r="AY106" i="16"/>
  <c r="AX109" i="16"/>
  <c r="AX72" i="16"/>
  <c r="AY72" i="16"/>
  <c r="AX43" i="16"/>
  <c r="AX23" i="16"/>
  <c r="AY23" i="16"/>
  <c r="AX24" i="16"/>
  <c r="AY24" i="16"/>
  <c r="AX25" i="16"/>
  <c r="AY25" i="16"/>
  <c r="AX26" i="16"/>
  <c r="AY26" i="16"/>
  <c r="AX27" i="16"/>
  <c r="AY27" i="16"/>
  <c r="AX28" i="16"/>
  <c r="AY28" i="16"/>
  <c r="AX29" i="16"/>
  <c r="AY29" i="16"/>
  <c r="AX30" i="16"/>
  <c r="AY30" i="16"/>
  <c r="AX31" i="16"/>
  <c r="AY31" i="16"/>
  <c r="AX32" i="16"/>
  <c r="AY32" i="16"/>
  <c r="AX33" i="16"/>
  <c r="AY33" i="16"/>
  <c r="AX34" i="16"/>
  <c r="AY34" i="16"/>
  <c r="AX35" i="16"/>
  <c r="AX37" i="16"/>
  <c r="AX38" i="16"/>
  <c r="AX39" i="16"/>
  <c r="AX40" i="16"/>
  <c r="AX41" i="16"/>
  <c r="AY21" i="16"/>
  <c r="AX14" i="16"/>
  <c r="AY14" i="16"/>
  <c r="AX11" i="16"/>
  <c r="AP186" i="16" l="1"/>
  <c r="AQ186" i="16"/>
  <c r="AP141" i="16"/>
  <c r="AL141" i="16"/>
  <c r="AH141" i="16"/>
  <c r="AT72" i="16" l="1"/>
  <c r="AT15" i="16" l="1"/>
  <c r="AS166" i="16"/>
  <c r="AT141" i="16"/>
  <c r="AS71" i="16"/>
  <c r="AS20" i="16"/>
  <c r="AT14" i="16" l="1"/>
  <c r="AU14" i="16"/>
  <c r="AT106" i="16"/>
  <c r="AT109" i="16"/>
  <c r="AT186" i="16"/>
  <c r="AT198" i="16"/>
  <c r="AU198" i="16"/>
  <c r="AU199" i="16"/>
  <c r="AU186" i="16"/>
  <c r="AU106" i="16"/>
  <c r="AU23" i="16"/>
  <c r="AU24" i="16"/>
  <c r="AU26" i="16"/>
  <c r="AU27" i="16"/>
  <c r="AU28" i="16"/>
  <c r="AU29" i="16"/>
  <c r="AU30" i="16"/>
  <c r="AU31" i="16"/>
  <c r="AU32" i="16"/>
  <c r="AU33" i="16"/>
  <c r="AU34" i="16"/>
  <c r="AU21" i="16"/>
  <c r="AT38" i="16"/>
  <c r="AT39" i="16"/>
  <c r="AT40" i="16"/>
  <c r="AT41" i="16"/>
  <c r="AT43" i="16"/>
  <c r="AT26" i="16"/>
  <c r="AT27" i="16"/>
  <c r="AT28" i="16"/>
  <c r="AT29" i="16"/>
  <c r="AT30" i="16"/>
  <c r="AT31" i="16"/>
  <c r="AT32" i="16"/>
  <c r="AT33" i="16"/>
  <c r="AT34" i="16"/>
  <c r="AT35" i="16"/>
  <c r="AT23" i="16"/>
  <c r="AT24" i="16"/>
  <c r="AT25" i="16"/>
  <c r="AS16" i="16"/>
  <c r="AS8" i="16"/>
  <c r="AT201" i="16"/>
  <c r="AL72" i="16"/>
  <c r="AP41" i="16"/>
  <c r="AQ21" i="16" l="1"/>
  <c r="AP14" i="16"/>
  <c r="AQ14" i="16"/>
  <c r="AL14" i="16"/>
  <c r="AM14" i="16"/>
  <c r="AP72" i="16" l="1"/>
  <c r="AP198" i="16"/>
  <c r="AQ198" i="16"/>
  <c r="AP199" i="16"/>
  <c r="AQ199" i="16"/>
  <c r="AP201" i="16"/>
  <c r="AO71" i="16"/>
  <c r="AP109" i="16"/>
  <c r="AP106" i="16"/>
  <c r="AQ106" i="16"/>
  <c r="AP38" i="16"/>
  <c r="AP39" i="16"/>
  <c r="AP40" i="16"/>
  <c r="AP43" i="16"/>
  <c r="AP23" i="16"/>
  <c r="AQ23" i="16"/>
  <c r="AP24" i="16"/>
  <c r="AQ24" i="16"/>
  <c r="AP25" i="16"/>
  <c r="AP26" i="16"/>
  <c r="AQ26" i="16"/>
  <c r="AP27" i="16"/>
  <c r="AQ27" i="16"/>
  <c r="AP28" i="16"/>
  <c r="AQ28" i="16"/>
  <c r="AP29" i="16"/>
  <c r="AQ29" i="16"/>
  <c r="AP30" i="16"/>
  <c r="AQ30" i="16"/>
  <c r="AP31" i="16"/>
  <c r="AQ31" i="16"/>
  <c r="AP32" i="16"/>
  <c r="AQ32" i="16"/>
  <c r="AP33" i="16"/>
  <c r="AQ33" i="16"/>
  <c r="AP34" i="16"/>
  <c r="AQ34" i="16"/>
  <c r="AP35" i="16"/>
  <c r="AO16" i="16"/>
  <c r="BE17" i="16"/>
  <c r="BE18" i="16"/>
  <c r="BE19" i="16"/>
  <c r="BE11" i="16"/>
  <c r="BE14" i="16"/>
  <c r="BD22" i="16"/>
  <c r="BD23" i="16"/>
  <c r="BD25" i="16"/>
  <c r="BD27" i="16"/>
  <c r="BD29" i="16"/>
  <c r="BD30" i="16"/>
  <c r="BD31" i="16"/>
  <c r="BD32" i="16"/>
  <c r="BD33" i="16"/>
  <c r="BD34" i="16"/>
  <c r="BD35" i="16"/>
  <c r="BD37" i="16"/>
  <c r="BD38" i="16"/>
  <c r="BD39" i="16"/>
  <c r="BD40" i="16"/>
  <c r="BD41" i="16"/>
  <c r="BD43" i="16"/>
  <c r="BD21" i="16"/>
  <c r="BD18" i="16"/>
  <c r="BD19" i="16"/>
  <c r="BD17" i="16"/>
  <c r="BD11" i="16"/>
  <c r="BD14" i="16"/>
  <c r="BD168" i="16"/>
  <c r="BD169" i="16"/>
  <c r="BD173" i="16"/>
  <c r="BD174" i="16"/>
  <c r="BD176" i="16"/>
  <c r="BD178" i="16"/>
  <c r="BD181" i="16"/>
  <c r="BD182" i="16"/>
  <c r="BD183" i="16"/>
  <c r="BD184" i="16"/>
  <c r="BD185" i="16"/>
  <c r="BD186" i="16"/>
  <c r="BD187" i="16"/>
  <c r="BD189" i="16"/>
  <c r="BD190" i="16"/>
  <c r="BD192" i="16"/>
  <c r="BD193" i="16"/>
  <c r="BD194" i="16"/>
  <c r="BD195" i="16"/>
  <c r="BD196" i="16"/>
  <c r="BD197" i="16"/>
  <c r="BD199" i="16"/>
  <c r="BD201" i="16"/>
  <c r="BD150" i="16"/>
  <c r="BD151" i="16"/>
  <c r="BD152" i="16"/>
  <c r="BD153" i="16"/>
  <c r="BD155" i="16"/>
  <c r="BD156" i="16"/>
  <c r="BD157" i="16"/>
  <c r="BD158" i="16"/>
  <c r="BD159" i="16"/>
  <c r="BD160" i="16"/>
  <c r="BD163" i="16"/>
  <c r="BD164" i="16"/>
  <c r="BD149" i="16"/>
  <c r="BD126" i="16"/>
  <c r="BD128" i="16"/>
  <c r="BD129" i="16"/>
  <c r="BD130" i="16"/>
  <c r="BD131" i="16"/>
  <c r="BD132" i="16"/>
  <c r="BD133" i="16"/>
  <c r="BD134" i="16"/>
  <c r="BD135" i="16"/>
  <c r="BD136" i="16"/>
  <c r="BD137" i="16"/>
  <c r="BD138" i="16"/>
  <c r="BD139" i="16"/>
  <c r="BD142" i="16"/>
  <c r="BD143" i="16"/>
  <c r="BD144" i="16"/>
  <c r="BD145" i="16"/>
  <c r="BD125" i="16"/>
  <c r="BD113" i="16"/>
  <c r="BD114" i="16"/>
  <c r="BD117" i="16"/>
  <c r="BD118" i="16"/>
  <c r="BD119" i="16"/>
  <c r="BD120" i="16"/>
  <c r="BD121" i="16"/>
  <c r="BD112" i="16"/>
  <c r="BE74" i="16"/>
  <c r="BE75" i="16"/>
  <c r="BE76" i="16"/>
  <c r="BE77" i="16"/>
  <c r="BE78" i="16"/>
  <c r="BE80" i="16"/>
  <c r="BE82" i="16"/>
  <c r="BE83" i="16"/>
  <c r="BE84" i="16"/>
  <c r="BE85" i="16"/>
  <c r="BE86" i="16"/>
  <c r="BE87" i="16"/>
  <c r="BE88" i="16"/>
  <c r="BE89" i="16"/>
  <c r="BE90" i="16"/>
  <c r="BE92" i="16"/>
  <c r="BE93" i="16"/>
  <c r="BE94" i="16"/>
  <c r="BE95" i="16"/>
  <c r="BE96" i="16"/>
  <c r="BE97" i="16"/>
  <c r="BE98" i="16"/>
  <c r="BE99" i="16"/>
  <c r="BE100" i="16"/>
  <c r="BE101" i="16"/>
  <c r="BE102" i="16"/>
  <c r="BE103" i="16"/>
  <c r="BE104" i="16"/>
  <c r="BE105" i="16"/>
  <c r="BE106" i="16"/>
  <c r="BE109" i="16"/>
  <c r="BE72" i="16"/>
  <c r="BD75" i="16"/>
  <c r="BD76" i="16"/>
  <c r="BD77" i="16"/>
  <c r="BD78" i="16"/>
  <c r="BD80" i="16"/>
  <c r="BD82" i="16"/>
  <c r="BD83" i="16"/>
  <c r="BD84" i="16"/>
  <c r="BD85" i="16"/>
  <c r="BD86" i="16"/>
  <c r="BD87" i="16"/>
  <c r="BD88" i="16"/>
  <c r="BD89" i="16"/>
  <c r="BD90" i="16"/>
  <c r="BD92" i="16"/>
  <c r="BD93" i="16"/>
  <c r="BD94" i="16"/>
  <c r="BD95" i="16"/>
  <c r="BD96" i="16"/>
  <c r="BD97" i="16"/>
  <c r="BD98" i="16"/>
  <c r="BD99" i="16"/>
  <c r="BD100" i="16"/>
  <c r="BD101" i="16"/>
  <c r="BD102" i="16"/>
  <c r="BD103" i="16"/>
  <c r="BD104" i="16"/>
  <c r="BD105" i="16"/>
  <c r="BD106" i="16"/>
  <c r="BD109" i="16"/>
  <c r="BD74" i="16"/>
  <c r="BD72" i="16"/>
  <c r="BD52" i="16"/>
  <c r="BD56" i="16"/>
  <c r="BD57" i="16"/>
  <c r="BD58" i="16"/>
  <c r="BD59" i="16"/>
  <c r="BD61" i="16"/>
  <c r="BD62" i="16"/>
  <c r="BD63" i="16"/>
  <c r="BD67" i="16"/>
  <c r="BD69" i="16"/>
  <c r="AM199" i="16"/>
  <c r="AL201" i="16"/>
  <c r="AM198" i="16"/>
  <c r="AL198" i="16"/>
  <c r="AK71" i="16" l="1"/>
  <c r="AL106" i="16"/>
  <c r="AM106" i="16"/>
  <c r="AL109" i="16"/>
  <c r="AM24" i="16"/>
  <c r="AM26" i="16"/>
  <c r="AM27" i="16"/>
  <c r="AM28" i="16"/>
  <c r="AM29" i="16"/>
  <c r="AM30" i="16"/>
  <c r="AM31" i="16"/>
  <c r="AM32" i="16"/>
  <c r="AM33" i="16"/>
  <c r="AM34" i="16"/>
  <c r="AM23" i="16"/>
  <c r="AM22" i="16"/>
  <c r="AM21" i="16"/>
  <c r="AL37" i="16"/>
  <c r="AL38" i="16"/>
  <c r="AL39" i="16"/>
  <c r="AL40" i="16"/>
  <c r="AL41" i="16"/>
  <c r="AL43" i="16"/>
  <c r="AL23" i="16"/>
  <c r="AL24" i="16"/>
  <c r="AL25" i="16"/>
  <c r="AL26" i="16"/>
  <c r="AL27" i="16"/>
  <c r="AL28" i="16"/>
  <c r="AL29" i="16"/>
  <c r="AL30" i="16"/>
  <c r="AL31" i="16"/>
  <c r="AL32" i="16"/>
  <c r="AL33" i="16"/>
  <c r="AL34" i="16"/>
  <c r="AL35" i="16"/>
  <c r="AH72" i="16"/>
  <c r="AH109" i="16"/>
  <c r="AH106" i="16"/>
  <c r="AI14" i="16" l="1"/>
  <c r="AH14" i="16"/>
  <c r="S23" i="16"/>
  <c r="S27" i="16"/>
  <c r="S29" i="16"/>
  <c r="S30" i="16"/>
  <c r="S31" i="16"/>
  <c r="S32" i="16"/>
  <c r="S33" i="16"/>
  <c r="S34" i="16"/>
  <c r="S37" i="16"/>
  <c r="R23" i="16"/>
  <c r="R25" i="16"/>
  <c r="R27" i="16"/>
  <c r="R29" i="16"/>
  <c r="R30" i="16"/>
  <c r="R31" i="16"/>
  <c r="R32" i="16"/>
  <c r="R33" i="16"/>
  <c r="R34" i="16"/>
  <c r="R35" i="16"/>
  <c r="R37" i="16"/>
  <c r="R38" i="16"/>
  <c r="R39" i="16"/>
  <c r="R40" i="16"/>
  <c r="R41" i="16"/>
  <c r="R43" i="16"/>
  <c r="K37" i="16"/>
  <c r="AI32" i="16"/>
  <c r="AI33" i="16"/>
  <c r="AI34" i="16"/>
  <c r="AI24" i="16" l="1"/>
  <c r="AI26" i="16"/>
  <c r="AI27" i="16"/>
  <c r="AI28" i="16"/>
  <c r="AI29" i="16"/>
  <c r="AI30" i="16"/>
  <c r="AI31" i="16"/>
  <c r="Z209" i="16" l="1"/>
  <c r="Y209" i="16"/>
  <c r="X209" i="16"/>
  <c r="V209" i="16"/>
  <c r="V205" i="16" s="1"/>
  <c r="U209" i="16"/>
  <c r="T209" i="16"/>
  <c r="R209" i="16"/>
  <c r="R205" i="16" s="1"/>
  <c r="P209" i="16"/>
  <c r="N209" i="16"/>
  <c r="M209" i="16"/>
  <c r="L209" i="16"/>
  <c r="J209" i="16"/>
  <c r="J205" i="16" s="1"/>
  <c r="I209" i="16"/>
  <c r="H209" i="16"/>
  <c r="Z205" i="16"/>
  <c r="N205" i="16"/>
  <c r="M205" i="16"/>
  <c r="Q205" i="16" s="1"/>
  <c r="H205" i="16"/>
  <c r="L205" i="16" s="1"/>
  <c r="BE201" i="16"/>
  <c r="N201" i="16"/>
  <c r="J201" i="16"/>
  <c r="BE199" i="16"/>
  <c r="AX199" i="16"/>
  <c r="AT199" i="16"/>
  <c r="AL199" i="16"/>
  <c r="AH199" i="16"/>
  <c r="AE199" i="16"/>
  <c r="AD199" i="16"/>
  <c r="AA199" i="16"/>
  <c r="Z199" i="16"/>
  <c r="V199" i="16"/>
  <c r="R199" i="16"/>
  <c r="N199" i="16"/>
  <c r="J199" i="16"/>
  <c r="AH198" i="16"/>
  <c r="AE198" i="16"/>
  <c r="AD198" i="16"/>
  <c r="Y198" i="16"/>
  <c r="AA198" i="16" s="1"/>
  <c r="Q198" i="16"/>
  <c r="M198" i="16"/>
  <c r="N198" i="16" s="1"/>
  <c r="I198" i="16"/>
  <c r="BE197" i="16"/>
  <c r="AX197" i="16"/>
  <c r="AT197" i="16"/>
  <c r="AP197" i="16"/>
  <c r="AL197" i="16"/>
  <c r="AI197" i="16"/>
  <c r="AH197" i="16"/>
  <c r="AE197" i="16"/>
  <c r="AD197" i="16"/>
  <c r="AA197" i="16"/>
  <c r="Z197" i="16"/>
  <c r="W197" i="16"/>
  <c r="V197" i="16"/>
  <c r="S197" i="16"/>
  <c r="R197" i="16"/>
  <c r="O197" i="16"/>
  <c r="N197" i="16"/>
  <c r="K197" i="16"/>
  <c r="J197" i="16"/>
  <c r="BE196" i="16"/>
  <c r="AX196" i="16"/>
  <c r="AT196" i="16"/>
  <c r="AP196" i="16"/>
  <c r="AL196" i="16"/>
  <c r="AH196" i="16"/>
  <c r="AD196" i="16"/>
  <c r="Z196" i="16"/>
  <c r="V196" i="16"/>
  <c r="R196" i="16"/>
  <c r="N196" i="16"/>
  <c r="J196" i="16"/>
  <c r="BE195" i="16"/>
  <c r="BC195" i="16"/>
  <c r="AY195" i="16"/>
  <c r="AX195" i="16"/>
  <c r="AU195" i="16"/>
  <c r="AT195" i="16"/>
  <c r="AQ195" i="16"/>
  <c r="AP195" i="16"/>
  <c r="AM195" i="16"/>
  <c r="AI195" i="16"/>
  <c r="AH195" i="16"/>
  <c r="AE195" i="16"/>
  <c r="AD195" i="16"/>
  <c r="AA195" i="16"/>
  <c r="Z195" i="16"/>
  <c r="W195" i="16"/>
  <c r="V195" i="16"/>
  <c r="S195" i="16"/>
  <c r="R195" i="16"/>
  <c r="O195" i="16"/>
  <c r="N195" i="16"/>
  <c r="K195" i="16"/>
  <c r="J195" i="16"/>
  <c r="BE194" i="16"/>
  <c r="BC194" i="16"/>
  <c r="AY194" i="16"/>
  <c r="AX194" i="16"/>
  <c r="AU194" i="16"/>
  <c r="AT194" i="16"/>
  <c r="AQ194" i="16"/>
  <c r="AP194" i="16"/>
  <c r="AM194" i="16"/>
  <c r="AL194" i="16"/>
  <c r="AI194" i="16"/>
  <c r="AH194" i="16"/>
  <c r="AE194" i="16"/>
  <c r="AD194" i="16"/>
  <c r="AA194" i="16"/>
  <c r="Z194" i="16"/>
  <c r="W194" i="16"/>
  <c r="V194" i="16"/>
  <c r="S194" i="16"/>
  <c r="R194" i="16"/>
  <c r="O194" i="16"/>
  <c r="N194" i="16"/>
  <c r="K194" i="16"/>
  <c r="J194" i="16"/>
  <c r="BE193" i="16"/>
  <c r="BC193" i="16"/>
  <c r="AY193" i="16"/>
  <c r="AX193" i="16"/>
  <c r="AU193" i="16"/>
  <c r="AT193" i="16"/>
  <c r="AQ193" i="16"/>
  <c r="AP193" i="16"/>
  <c r="AM193" i="16"/>
  <c r="AL193" i="16"/>
  <c r="AI193" i="16"/>
  <c r="AH193" i="16"/>
  <c r="AE193" i="16"/>
  <c r="AD193" i="16"/>
  <c r="AA193" i="16"/>
  <c r="Z193" i="16"/>
  <c r="W193" i="16"/>
  <c r="V193" i="16"/>
  <c r="S193" i="16"/>
  <c r="R193" i="16"/>
  <c r="O193" i="16"/>
  <c r="N193" i="16"/>
  <c r="K193" i="16"/>
  <c r="J193" i="16"/>
  <c r="BE192" i="16"/>
  <c r="BC192" i="16"/>
  <c r="AY192" i="16"/>
  <c r="AX192" i="16"/>
  <c r="AU192" i="16"/>
  <c r="AT192" i="16"/>
  <c r="AQ192" i="16"/>
  <c r="AP192" i="16"/>
  <c r="AM192" i="16"/>
  <c r="AL192" i="16"/>
  <c r="AI192" i="16"/>
  <c r="AH192" i="16"/>
  <c r="AE192" i="16"/>
  <c r="AD192" i="16"/>
  <c r="AA192" i="16"/>
  <c r="Z192" i="16"/>
  <c r="W192" i="16"/>
  <c r="V192" i="16"/>
  <c r="S192" i="16"/>
  <c r="R192" i="16"/>
  <c r="O192" i="16"/>
  <c r="N192" i="16"/>
  <c r="K192" i="16"/>
  <c r="J192" i="16"/>
  <c r="BC191" i="16"/>
  <c r="AY191" i="16"/>
  <c r="AX191" i="16"/>
  <c r="AU191" i="16"/>
  <c r="AT191" i="16"/>
  <c r="AQ191" i="16"/>
  <c r="AP191" i="16"/>
  <c r="AM191" i="16"/>
  <c r="AL191" i="16"/>
  <c r="AI191" i="16"/>
  <c r="AH191" i="16"/>
  <c r="AE191" i="16"/>
  <c r="AD191" i="16"/>
  <c r="AA191" i="16"/>
  <c r="Z191" i="16"/>
  <c r="W191" i="16"/>
  <c r="V191" i="16"/>
  <c r="Q191" i="16"/>
  <c r="M191" i="16"/>
  <c r="O191" i="16" s="1"/>
  <c r="I191" i="16"/>
  <c r="BE190" i="16"/>
  <c r="BC190" i="16"/>
  <c r="AY190" i="16"/>
  <c r="AX190" i="16"/>
  <c r="AU190" i="16"/>
  <c r="AT190" i="16"/>
  <c r="AQ190" i="16"/>
  <c r="AP190" i="16"/>
  <c r="AM190" i="16"/>
  <c r="AL190" i="16"/>
  <c r="AI190" i="16"/>
  <c r="AH190" i="16"/>
  <c r="AE190" i="16"/>
  <c r="AD190" i="16"/>
  <c r="AA190" i="16"/>
  <c r="Z190" i="16"/>
  <c r="W190" i="16"/>
  <c r="V190" i="16"/>
  <c r="S190" i="16"/>
  <c r="R190" i="16"/>
  <c r="O190" i="16"/>
  <c r="N190" i="16"/>
  <c r="K190" i="16"/>
  <c r="J190" i="16"/>
  <c r="BE189" i="16"/>
  <c r="BC189" i="16"/>
  <c r="AY189" i="16"/>
  <c r="AX189" i="16"/>
  <c r="AU189" i="16"/>
  <c r="AT189" i="16"/>
  <c r="AQ189" i="16"/>
  <c r="AP189" i="16"/>
  <c r="AM189" i="16"/>
  <c r="AL189" i="16"/>
  <c r="AI189" i="16"/>
  <c r="AH189" i="16"/>
  <c r="AE189" i="16"/>
  <c r="AD189" i="16"/>
  <c r="AA189" i="16"/>
  <c r="Z189" i="16"/>
  <c r="W189" i="16"/>
  <c r="V189" i="16"/>
  <c r="S189" i="16"/>
  <c r="R189" i="16"/>
  <c r="O189" i="16"/>
  <c r="N189" i="16"/>
  <c r="H189" i="16"/>
  <c r="K189" i="16" s="1"/>
  <c r="BE187" i="16"/>
  <c r="BC187" i="16"/>
  <c r="AY187" i="16"/>
  <c r="AX187" i="16"/>
  <c r="AU187" i="16"/>
  <c r="AT187" i="16"/>
  <c r="AQ187" i="16"/>
  <c r="AP187" i="16"/>
  <c r="AM187" i="16"/>
  <c r="AL187" i="16"/>
  <c r="AI187" i="16"/>
  <c r="AH187" i="16"/>
  <c r="AE187" i="16"/>
  <c r="AD187" i="16"/>
  <c r="AA187" i="16"/>
  <c r="Z187" i="16"/>
  <c r="W187" i="16"/>
  <c r="V187" i="16"/>
  <c r="S187" i="16"/>
  <c r="R187" i="16"/>
  <c r="O187" i="16"/>
  <c r="N187" i="16"/>
  <c r="K187" i="16"/>
  <c r="J187" i="16"/>
  <c r="BE186" i="16"/>
  <c r="BC186" i="16"/>
  <c r="AI186" i="16"/>
  <c r="AH186" i="16"/>
  <c r="AE186" i="16"/>
  <c r="AD186" i="16"/>
  <c r="AA186" i="16"/>
  <c r="Z186" i="16"/>
  <c r="S186" i="16"/>
  <c r="R186" i="16"/>
  <c r="N186" i="16"/>
  <c r="J186" i="16"/>
  <c r="BE185" i="16"/>
  <c r="AX185" i="16"/>
  <c r="AT185" i="16"/>
  <c r="AP185" i="16"/>
  <c r="AL185" i="16"/>
  <c r="AH185" i="16"/>
  <c r="AD185" i="16"/>
  <c r="Z185" i="16"/>
  <c r="V185" i="16"/>
  <c r="S185" i="16"/>
  <c r="R185" i="16"/>
  <c r="O185" i="16"/>
  <c r="N185" i="16"/>
  <c r="K185" i="16"/>
  <c r="J185" i="16"/>
  <c r="BE184" i="16"/>
  <c r="BC184" i="16"/>
  <c r="BB184" i="16"/>
  <c r="AY184" i="16"/>
  <c r="AX184" i="16"/>
  <c r="AU184" i="16"/>
  <c r="AT184" i="16"/>
  <c r="AQ184" i="16"/>
  <c r="AP184" i="16"/>
  <c r="AM184" i="16"/>
  <c r="AL184" i="16"/>
  <c r="AH184" i="16"/>
  <c r="AE184" i="16"/>
  <c r="AD184" i="16"/>
  <c r="AA184" i="16"/>
  <c r="Z184" i="16"/>
  <c r="W184" i="16"/>
  <c r="V184" i="16"/>
  <c r="S184" i="16"/>
  <c r="R184" i="16"/>
  <c r="O184" i="16"/>
  <c r="N184" i="16"/>
  <c r="K184" i="16"/>
  <c r="J184" i="16"/>
  <c r="BE183" i="16"/>
  <c r="BC183" i="16"/>
  <c r="BB183" i="16"/>
  <c r="AY183" i="16"/>
  <c r="AX183" i="16"/>
  <c r="AU183" i="16"/>
  <c r="AT183" i="16"/>
  <c r="AQ183" i="16"/>
  <c r="AP183" i="16"/>
  <c r="AM183" i="16"/>
  <c r="AL183" i="16"/>
  <c r="AI183" i="16"/>
  <c r="AH183" i="16"/>
  <c r="AE183" i="16"/>
  <c r="AD183" i="16"/>
  <c r="AA183" i="16"/>
  <c r="Z183" i="16"/>
  <c r="W183" i="16"/>
  <c r="V183" i="16"/>
  <c r="S183" i="16"/>
  <c r="R183" i="16"/>
  <c r="O183" i="16"/>
  <c r="N183" i="16"/>
  <c r="K183" i="16"/>
  <c r="J183" i="16"/>
  <c r="BE182" i="16"/>
  <c r="BC182" i="16"/>
  <c r="BB182" i="16"/>
  <c r="AY182" i="16"/>
  <c r="AX182" i="16"/>
  <c r="AU182" i="16"/>
  <c r="AT182" i="16"/>
  <c r="AQ182" i="16"/>
  <c r="AP182" i="16"/>
  <c r="AM182" i="16"/>
  <c r="AL182" i="16"/>
  <c r="AI182" i="16"/>
  <c r="AH182" i="16"/>
  <c r="AE182" i="16"/>
  <c r="AD182" i="16"/>
  <c r="AA182" i="16"/>
  <c r="Z182" i="16"/>
  <c r="W182" i="16"/>
  <c r="V182" i="16"/>
  <c r="S182" i="16"/>
  <c r="R182" i="16"/>
  <c r="O182" i="16"/>
  <c r="N182" i="16"/>
  <c r="K182" i="16"/>
  <c r="J182" i="16"/>
  <c r="BE181" i="16"/>
  <c r="BC181" i="16"/>
  <c r="BB181" i="16"/>
  <c r="AY181" i="16"/>
  <c r="AX181" i="16"/>
  <c r="AU181" i="16"/>
  <c r="AT181" i="16"/>
  <c r="AQ181" i="16"/>
  <c r="AP181" i="16"/>
  <c r="AM181" i="16"/>
  <c r="AL181" i="16"/>
  <c r="AI181" i="16"/>
  <c r="AH181" i="16"/>
  <c r="AE181" i="16"/>
  <c r="AD181" i="16"/>
  <c r="AA181" i="16"/>
  <c r="Z181" i="16"/>
  <c r="W181" i="16"/>
  <c r="V181" i="16"/>
  <c r="S181" i="16"/>
  <c r="R181" i="16"/>
  <c r="O181" i="16"/>
  <c r="N181" i="16"/>
  <c r="K181" i="16"/>
  <c r="J181" i="16"/>
  <c r="BC180" i="16"/>
  <c r="BB180" i="16"/>
  <c r="AY180" i="16"/>
  <c r="AX180" i="16"/>
  <c r="AU180" i="16"/>
  <c r="AT180" i="16"/>
  <c r="AQ180" i="16"/>
  <c r="AP180" i="16"/>
  <c r="AM180" i="16"/>
  <c r="AL180" i="16"/>
  <c r="AI180" i="16"/>
  <c r="AH180" i="16"/>
  <c r="AE180" i="16"/>
  <c r="AD180" i="16"/>
  <c r="Y180" i="16"/>
  <c r="W180" i="16"/>
  <c r="V180" i="16"/>
  <c r="Q180" i="16"/>
  <c r="M180" i="16"/>
  <c r="N180" i="16" s="1"/>
  <c r="I180" i="16"/>
  <c r="K180" i="16" s="1"/>
  <c r="BC179" i="16"/>
  <c r="BB179" i="16"/>
  <c r="AY179" i="16"/>
  <c r="AX179" i="16"/>
  <c r="AU179" i="16"/>
  <c r="AT179" i="16"/>
  <c r="AQ179" i="16"/>
  <c r="AP179" i="16"/>
  <c r="AM179" i="16"/>
  <c r="AL179" i="16"/>
  <c r="AI179" i="16"/>
  <c r="AH179" i="16"/>
  <c r="AE179" i="16"/>
  <c r="AD179" i="16"/>
  <c r="AA179" i="16"/>
  <c r="Z179" i="16"/>
  <c r="W179" i="16"/>
  <c r="V179" i="16"/>
  <c r="S179" i="16"/>
  <c r="R179" i="16"/>
  <c r="M179" i="16"/>
  <c r="BD179" i="16" s="1"/>
  <c r="H179" i="16"/>
  <c r="BE178" i="16"/>
  <c r="BB178" i="16"/>
  <c r="AX178" i="16"/>
  <c r="AT178" i="16"/>
  <c r="AP178" i="16"/>
  <c r="AL178" i="16"/>
  <c r="AH178" i="16"/>
  <c r="AD178" i="16"/>
  <c r="Z178" i="16"/>
  <c r="V178" i="16"/>
  <c r="R178" i="16"/>
  <c r="N178" i="16"/>
  <c r="J178" i="16"/>
  <c r="BC177" i="16"/>
  <c r="BB177" i="16"/>
  <c r="AY177" i="16"/>
  <c r="AX177" i="16"/>
  <c r="AU177" i="16"/>
  <c r="AT177" i="16"/>
  <c r="AQ177" i="16"/>
  <c r="AP177" i="16"/>
  <c r="AM177" i="16"/>
  <c r="AL177" i="16"/>
  <c r="AI177" i="16"/>
  <c r="AH177" i="16"/>
  <c r="AE177" i="16"/>
  <c r="AD177" i="16"/>
  <c r="Y177" i="16"/>
  <c r="Z177" i="16" s="1"/>
  <c r="W177" i="16"/>
  <c r="V177" i="16"/>
  <c r="Q177" i="16"/>
  <c r="M177" i="16"/>
  <c r="N177" i="16" s="1"/>
  <c r="I177" i="16"/>
  <c r="K177" i="16" s="1"/>
  <c r="BE176" i="16"/>
  <c r="BC176" i="16"/>
  <c r="BB176" i="16"/>
  <c r="AY176" i="16"/>
  <c r="AX176" i="16"/>
  <c r="AU176" i="16"/>
  <c r="AT176" i="16"/>
  <c r="AQ176" i="16"/>
  <c r="AP176" i="16"/>
  <c r="AM176" i="16"/>
  <c r="AL176" i="16"/>
  <c r="AI176" i="16"/>
  <c r="AH176" i="16"/>
  <c r="AE176" i="16"/>
  <c r="AD176" i="16"/>
  <c r="AA176" i="16"/>
  <c r="Z176" i="16"/>
  <c r="W176" i="16"/>
  <c r="V176" i="16"/>
  <c r="S176" i="16"/>
  <c r="R176" i="16"/>
  <c r="O176" i="16"/>
  <c r="N176" i="16"/>
  <c r="K176" i="16"/>
  <c r="J176" i="16"/>
  <c r="BC175" i="16"/>
  <c r="BB175" i="16"/>
  <c r="AY175" i="16"/>
  <c r="AX175" i="16"/>
  <c r="AU175" i="16"/>
  <c r="AT175" i="16"/>
  <c r="AQ175" i="16"/>
  <c r="AP175" i="16"/>
  <c r="AM175" i="16"/>
  <c r="AL175" i="16"/>
  <c r="AI175" i="16"/>
  <c r="AH175" i="16"/>
  <c r="AE175" i="16"/>
  <c r="AD175" i="16"/>
  <c r="Y175" i="16"/>
  <c r="Z175" i="16" s="1"/>
  <c r="W175" i="16"/>
  <c r="V175" i="16"/>
  <c r="Q175" i="16"/>
  <c r="M175" i="16"/>
  <c r="N175" i="16" s="1"/>
  <c r="I175" i="16"/>
  <c r="H175" i="16"/>
  <c r="BE174" i="16"/>
  <c r="BC174" i="16"/>
  <c r="BB174" i="16"/>
  <c r="AY174" i="16"/>
  <c r="AX174" i="16"/>
  <c r="AU174" i="16"/>
  <c r="AT174" i="16"/>
  <c r="AQ174" i="16"/>
  <c r="AP174" i="16"/>
  <c r="AM174" i="16"/>
  <c r="AL174" i="16"/>
  <c r="AI174" i="16"/>
  <c r="AH174" i="16"/>
  <c r="AE174" i="16"/>
  <c r="AD174" i="16"/>
  <c r="AA174" i="16"/>
  <c r="Z174" i="16"/>
  <c r="W174" i="16"/>
  <c r="V174" i="16"/>
  <c r="S174" i="16"/>
  <c r="R174" i="16"/>
  <c r="O174" i="16"/>
  <c r="N174" i="16"/>
  <c r="K174" i="16"/>
  <c r="J174" i="16"/>
  <c r="BE173" i="16"/>
  <c r="BC173" i="16"/>
  <c r="BB173" i="16"/>
  <c r="AY173" i="16"/>
  <c r="AX173" i="16"/>
  <c r="AU173" i="16"/>
  <c r="AT173" i="16"/>
  <c r="AQ173" i="16"/>
  <c r="AP173" i="16"/>
  <c r="AM173" i="16"/>
  <c r="AL173" i="16"/>
  <c r="AI173" i="16"/>
  <c r="AH173" i="16"/>
  <c r="AE173" i="16"/>
  <c r="AD173" i="16"/>
  <c r="AA173" i="16"/>
  <c r="Z173" i="16"/>
  <c r="W173" i="16"/>
  <c r="V173" i="16"/>
  <c r="S173" i="16"/>
  <c r="R173" i="16"/>
  <c r="O173" i="16"/>
  <c r="N173" i="16"/>
  <c r="K173" i="16"/>
  <c r="J173" i="16"/>
  <c r="BC172" i="16"/>
  <c r="BB172" i="16"/>
  <c r="AY172" i="16"/>
  <c r="AX172" i="16"/>
  <c r="AU172" i="16"/>
  <c r="AT172" i="16"/>
  <c r="AQ172" i="16"/>
  <c r="AP172" i="16"/>
  <c r="AM172" i="16"/>
  <c r="AL172" i="16"/>
  <c r="AI172" i="16"/>
  <c r="AH172" i="16"/>
  <c r="AE172" i="16"/>
  <c r="AD172" i="16"/>
  <c r="Y172" i="16"/>
  <c r="AA172" i="16" s="1"/>
  <c r="W172" i="16"/>
  <c r="V172" i="16"/>
  <c r="Q172" i="16"/>
  <c r="M172" i="16"/>
  <c r="O172" i="16" s="1"/>
  <c r="I172" i="16"/>
  <c r="H172" i="16"/>
  <c r="BC171" i="16"/>
  <c r="BB171" i="16"/>
  <c r="AY171" i="16"/>
  <c r="AX171" i="16"/>
  <c r="AU171" i="16"/>
  <c r="AT171" i="16"/>
  <c r="AQ171" i="16"/>
  <c r="AP171" i="16"/>
  <c r="AM171" i="16"/>
  <c r="AL171" i="16"/>
  <c r="AI171" i="16"/>
  <c r="AH171" i="16"/>
  <c r="AE171" i="16"/>
  <c r="AD171" i="16"/>
  <c r="Y171" i="16"/>
  <c r="W171" i="16"/>
  <c r="V171" i="16"/>
  <c r="Q171" i="16"/>
  <c r="R171" i="16" s="1"/>
  <c r="M171" i="16"/>
  <c r="O171" i="16" s="1"/>
  <c r="I171" i="16"/>
  <c r="K171" i="16" s="1"/>
  <c r="BC170" i="16"/>
  <c r="BB170" i="16"/>
  <c r="AY170" i="16"/>
  <c r="AX170" i="16"/>
  <c r="AU170" i="16"/>
  <c r="AT170" i="16"/>
  <c r="AQ170" i="16"/>
  <c r="AP170" i="16"/>
  <c r="AM170" i="16"/>
  <c r="AL170" i="16"/>
  <c r="AI170" i="16"/>
  <c r="AH170" i="16"/>
  <c r="AE170" i="16"/>
  <c r="AD170" i="16"/>
  <c r="AA170" i="16"/>
  <c r="Z170" i="16"/>
  <c r="W170" i="16"/>
  <c r="V170" i="16"/>
  <c r="Q170" i="16"/>
  <c r="M170" i="16"/>
  <c r="O170" i="16" s="1"/>
  <c r="I170" i="16"/>
  <c r="J170" i="16" s="1"/>
  <c r="BE169" i="16"/>
  <c r="BC169" i="16"/>
  <c r="BB169" i="16"/>
  <c r="AY169" i="16"/>
  <c r="AX169" i="16"/>
  <c r="AU169" i="16"/>
  <c r="AT169" i="16"/>
  <c r="AQ169" i="16"/>
  <c r="AP169" i="16"/>
  <c r="AM169" i="16"/>
  <c r="AL169" i="16"/>
  <c r="AI169" i="16"/>
  <c r="AH169" i="16"/>
  <c r="AE169" i="16"/>
  <c r="AD169" i="16"/>
  <c r="AA169" i="16"/>
  <c r="Z169" i="16"/>
  <c r="W169" i="16"/>
  <c r="V169" i="16"/>
  <c r="S169" i="16"/>
  <c r="R169" i="16"/>
  <c r="O169" i="16"/>
  <c r="N169" i="16"/>
  <c r="K169" i="16"/>
  <c r="J169" i="16"/>
  <c r="BE168" i="16"/>
  <c r="BC168" i="16"/>
  <c r="BB168" i="16"/>
  <c r="AY168" i="16"/>
  <c r="AX168" i="16"/>
  <c r="AU168" i="16"/>
  <c r="AT168" i="16"/>
  <c r="AQ168" i="16"/>
  <c r="AP168" i="16"/>
  <c r="AM168" i="16"/>
  <c r="AL168" i="16"/>
  <c r="AI168" i="16"/>
  <c r="AH168" i="16"/>
  <c r="AE168" i="16"/>
  <c r="AD168" i="16"/>
  <c r="AA168" i="16"/>
  <c r="Z168" i="16"/>
  <c r="W168" i="16"/>
  <c r="V168" i="16"/>
  <c r="S168" i="16"/>
  <c r="R168" i="16"/>
  <c r="O168" i="16"/>
  <c r="N168" i="16"/>
  <c r="K168" i="16"/>
  <c r="J168" i="16"/>
  <c r="BC167" i="16"/>
  <c r="BB167" i="16"/>
  <c r="AY167" i="16"/>
  <c r="AX167" i="16"/>
  <c r="AU167" i="16"/>
  <c r="AT167" i="16"/>
  <c r="AQ167" i="16"/>
  <c r="AP167" i="16"/>
  <c r="AM167" i="16"/>
  <c r="AL167" i="16"/>
  <c r="AI167" i="16"/>
  <c r="AH167" i="16"/>
  <c r="AE167" i="16"/>
  <c r="AD167" i="16"/>
  <c r="Y167" i="16"/>
  <c r="AA167" i="16" s="1"/>
  <c r="W167" i="16"/>
  <c r="V167" i="16"/>
  <c r="Q167" i="16"/>
  <c r="M167" i="16"/>
  <c r="O167" i="16" s="1"/>
  <c r="I167" i="16"/>
  <c r="K167" i="16" s="1"/>
  <c r="AZ166" i="16"/>
  <c r="AW166" i="16"/>
  <c r="AV166" i="16"/>
  <c r="AR166" i="16"/>
  <c r="AO166" i="16"/>
  <c r="AN166" i="16"/>
  <c r="AK166" i="16"/>
  <c r="AJ166" i="16"/>
  <c r="AG166" i="16"/>
  <c r="AF166" i="16"/>
  <c r="AC166" i="16"/>
  <c r="AB166" i="16"/>
  <c r="X166" i="16"/>
  <c r="U166" i="16"/>
  <c r="T166" i="16"/>
  <c r="P166" i="16"/>
  <c r="L166" i="16"/>
  <c r="BE164" i="16"/>
  <c r="BC164" i="16"/>
  <c r="BB164" i="16"/>
  <c r="AY164" i="16"/>
  <c r="AX164" i="16"/>
  <c r="AU164" i="16"/>
  <c r="AT164" i="16"/>
  <c r="AQ164" i="16"/>
  <c r="AP164" i="16"/>
  <c r="AM164" i="16"/>
  <c r="AL164" i="16"/>
  <c r="AI164" i="16"/>
  <c r="AH164" i="16"/>
  <c r="AE164" i="16"/>
  <c r="AD164" i="16"/>
  <c r="AA164" i="16"/>
  <c r="Z164" i="16"/>
  <c r="W164" i="16"/>
  <c r="V164" i="16"/>
  <c r="S164" i="16"/>
  <c r="R164" i="16"/>
  <c r="O164" i="16"/>
  <c r="N164" i="16"/>
  <c r="K164" i="16"/>
  <c r="J164" i="16"/>
  <c r="BE163" i="16"/>
  <c r="BC163" i="16"/>
  <c r="BB163" i="16"/>
  <c r="AY163" i="16"/>
  <c r="AX163" i="16"/>
  <c r="AU163" i="16"/>
  <c r="AT163" i="16"/>
  <c r="AQ163" i="16"/>
  <c r="AP163" i="16"/>
  <c r="AM163" i="16"/>
  <c r="AL163" i="16"/>
  <c r="AI163" i="16"/>
  <c r="AH163" i="16"/>
  <c r="AE163" i="16"/>
  <c r="AD163" i="16"/>
  <c r="AA163" i="16"/>
  <c r="Z163" i="16"/>
  <c r="W163" i="16"/>
  <c r="V163" i="16"/>
  <c r="S163" i="16"/>
  <c r="R163" i="16"/>
  <c r="O163" i="16"/>
  <c r="N163" i="16"/>
  <c r="K163" i="16"/>
  <c r="J163" i="16"/>
  <c r="BC162" i="16"/>
  <c r="BB162" i="16"/>
  <c r="AY162" i="16"/>
  <c r="AX162" i="16"/>
  <c r="AU162" i="16"/>
  <c r="AT162" i="16"/>
  <c r="AQ162" i="16"/>
  <c r="AP162" i="16"/>
  <c r="AM162" i="16"/>
  <c r="AL162" i="16"/>
  <c r="AI162" i="16"/>
  <c r="AH162" i="16"/>
  <c r="AE162" i="16"/>
  <c r="AD162" i="16"/>
  <c r="Y162" i="16"/>
  <c r="AA162" i="16" s="1"/>
  <c r="W162" i="16"/>
  <c r="V162" i="16"/>
  <c r="Q162" i="16"/>
  <c r="M162" i="16"/>
  <c r="O162" i="16" s="1"/>
  <c r="I162" i="16"/>
  <c r="BC161" i="16"/>
  <c r="BB161" i="16"/>
  <c r="AY161" i="16"/>
  <c r="AX161" i="16"/>
  <c r="AU161" i="16"/>
  <c r="AT161" i="16"/>
  <c r="AQ161" i="16"/>
  <c r="AP161" i="16"/>
  <c r="AM161" i="16"/>
  <c r="AL161" i="16"/>
  <c r="AI161" i="16"/>
  <c r="AH161" i="16"/>
  <c r="AE161" i="16"/>
  <c r="AD161" i="16"/>
  <c r="Y161" i="16"/>
  <c r="AA161" i="16" s="1"/>
  <c r="W161" i="16"/>
  <c r="V161" i="16"/>
  <c r="Q161" i="16"/>
  <c r="M161" i="16"/>
  <c r="L161" i="16"/>
  <c r="I161" i="16"/>
  <c r="H161" i="16"/>
  <c r="BE160" i="16"/>
  <c r="BC160" i="16"/>
  <c r="BB160" i="16"/>
  <c r="AY160" i="16"/>
  <c r="AX160" i="16"/>
  <c r="AU160" i="16"/>
  <c r="AT160" i="16"/>
  <c r="AQ160" i="16"/>
  <c r="AP160" i="16"/>
  <c r="AM160" i="16"/>
  <c r="AL160" i="16"/>
  <c r="AI160" i="16"/>
  <c r="AH160" i="16"/>
  <c r="AE160" i="16"/>
  <c r="AD160" i="16"/>
  <c r="AA160" i="16"/>
  <c r="Z160" i="16"/>
  <c r="W160" i="16"/>
  <c r="V160" i="16"/>
  <c r="S160" i="16"/>
  <c r="R160" i="16"/>
  <c r="O160" i="16"/>
  <c r="N160" i="16"/>
  <c r="K160" i="16"/>
  <c r="J160" i="16"/>
  <c r="BE159" i="16"/>
  <c r="BC159" i="16"/>
  <c r="BB159" i="16"/>
  <c r="AY159" i="16"/>
  <c r="AX159" i="16"/>
  <c r="AU159" i="16"/>
  <c r="AT159" i="16"/>
  <c r="AQ159" i="16"/>
  <c r="AP159" i="16"/>
  <c r="AM159" i="16"/>
  <c r="AL159" i="16"/>
  <c r="AI159" i="16"/>
  <c r="AH159" i="16"/>
  <c r="AE159" i="16"/>
  <c r="AD159" i="16"/>
  <c r="AA159" i="16"/>
  <c r="Z159" i="16"/>
  <c r="W159" i="16"/>
  <c r="V159" i="16"/>
  <c r="S159" i="16"/>
  <c r="R159" i="16"/>
  <c r="O159" i="16"/>
  <c r="N159" i="16"/>
  <c r="K159" i="16"/>
  <c r="J159" i="16"/>
  <c r="BE158" i="16"/>
  <c r="BC158" i="16"/>
  <c r="BB158" i="16"/>
  <c r="AY158" i="16"/>
  <c r="AX158" i="16"/>
  <c r="AU158" i="16"/>
  <c r="AT158" i="16"/>
  <c r="AQ158" i="16"/>
  <c r="AP158" i="16"/>
  <c r="AM158" i="16"/>
  <c r="AL158" i="16"/>
  <c r="AI158" i="16"/>
  <c r="AH158" i="16"/>
  <c r="AE158" i="16"/>
  <c r="AD158" i="16"/>
  <c r="AA158" i="16"/>
  <c r="Z158" i="16"/>
  <c r="W158" i="16"/>
  <c r="V158" i="16"/>
  <c r="S158" i="16"/>
  <c r="R158" i="16"/>
  <c r="L158" i="16"/>
  <c r="O158" i="16" s="1"/>
  <c r="H158" i="16"/>
  <c r="J158" i="16" s="1"/>
  <c r="BE157" i="16"/>
  <c r="BC157" i="16"/>
  <c r="BB157" i="16"/>
  <c r="AY157" i="16"/>
  <c r="AX157" i="16"/>
  <c r="AU157" i="16"/>
  <c r="AT157" i="16"/>
  <c r="AQ157" i="16"/>
  <c r="AP157" i="16"/>
  <c r="AM157" i="16"/>
  <c r="AL157" i="16"/>
  <c r="AI157" i="16"/>
  <c r="AH157" i="16"/>
  <c r="AE157" i="16"/>
  <c r="AD157" i="16"/>
  <c r="AA157" i="16"/>
  <c r="Z157" i="16"/>
  <c r="W157" i="16"/>
  <c r="V157" i="16"/>
  <c r="S157" i="16"/>
  <c r="R157" i="16"/>
  <c r="L157" i="16"/>
  <c r="O157" i="16" s="1"/>
  <c r="H157" i="16"/>
  <c r="J157" i="16" s="1"/>
  <c r="BE156" i="16"/>
  <c r="BC156" i="16"/>
  <c r="BB156" i="16"/>
  <c r="AY156" i="16"/>
  <c r="AX156" i="16"/>
  <c r="AU156" i="16"/>
  <c r="AT156" i="16"/>
  <c r="AQ156" i="16"/>
  <c r="AP156" i="16"/>
  <c r="AM156" i="16"/>
  <c r="AL156" i="16"/>
  <c r="AI156" i="16"/>
  <c r="AH156" i="16"/>
  <c r="AE156" i="16"/>
  <c r="AD156" i="16"/>
  <c r="AA156" i="16"/>
  <c r="Z156" i="16"/>
  <c r="W156" i="16"/>
  <c r="V156" i="16"/>
  <c r="S156" i="16"/>
  <c r="R156" i="16"/>
  <c r="O156" i="16"/>
  <c r="N156" i="16"/>
  <c r="K156" i="16"/>
  <c r="J156" i="16"/>
  <c r="BE155" i="16"/>
  <c r="BC155" i="16"/>
  <c r="BB155" i="16"/>
  <c r="AY155" i="16"/>
  <c r="AX155" i="16"/>
  <c r="AU155" i="16"/>
  <c r="AT155" i="16"/>
  <c r="AQ155" i="16"/>
  <c r="AP155" i="16"/>
  <c r="AM155" i="16"/>
  <c r="AL155" i="16"/>
  <c r="AI155" i="16"/>
  <c r="AH155" i="16"/>
  <c r="AE155" i="16"/>
  <c r="AD155" i="16"/>
  <c r="AA155" i="16"/>
  <c r="Z155" i="16"/>
  <c r="W155" i="16"/>
  <c r="V155" i="16"/>
  <c r="S155" i="16"/>
  <c r="R155" i="16"/>
  <c r="O155" i="16"/>
  <c r="N155" i="16"/>
  <c r="K155" i="16"/>
  <c r="J155" i="16"/>
  <c r="BC154" i="16"/>
  <c r="BB154" i="16"/>
  <c r="AY154" i="16"/>
  <c r="AX154" i="16"/>
  <c r="AU154" i="16"/>
  <c r="AT154" i="16"/>
  <c r="AQ154" i="16"/>
  <c r="AP154" i="16"/>
  <c r="AM154" i="16"/>
  <c r="AL154" i="16"/>
  <c r="AI154" i="16"/>
  <c r="AH154" i="16"/>
  <c r="AE154" i="16"/>
  <c r="AD154" i="16"/>
  <c r="Y154" i="16"/>
  <c r="AA154" i="16" s="1"/>
  <c r="W154" i="16"/>
  <c r="V154" i="16"/>
  <c r="Q154" i="16"/>
  <c r="M154" i="16"/>
  <c r="M148" i="16" s="1"/>
  <c r="L154" i="16"/>
  <c r="I154" i="16"/>
  <c r="H154" i="16"/>
  <c r="BE153" i="16"/>
  <c r="BC153" i="16"/>
  <c r="BB153" i="16"/>
  <c r="AY153" i="16"/>
  <c r="AX153" i="16"/>
  <c r="AU153" i="16"/>
  <c r="AT153" i="16"/>
  <c r="AQ153" i="16"/>
  <c r="AP153" i="16"/>
  <c r="AM153" i="16"/>
  <c r="AL153" i="16"/>
  <c r="AI153" i="16"/>
  <c r="AH153" i="16"/>
  <c r="AE153" i="16"/>
  <c r="AD153" i="16"/>
  <c r="AA153" i="16"/>
  <c r="Z153" i="16"/>
  <c r="W153" i="16"/>
  <c r="V153" i="16"/>
  <c r="S153" i="16"/>
  <c r="R153" i="16"/>
  <c r="O153" i="16"/>
  <c r="N153" i="16"/>
  <c r="K153" i="16"/>
  <c r="J153" i="16"/>
  <c r="BE152" i="16"/>
  <c r="BC152" i="16"/>
  <c r="BB152" i="16"/>
  <c r="AY152" i="16"/>
  <c r="AX152" i="16"/>
  <c r="AU152" i="16"/>
  <c r="AT152" i="16"/>
  <c r="AQ152" i="16"/>
  <c r="AP152" i="16"/>
  <c r="AM152" i="16"/>
  <c r="AL152" i="16"/>
  <c r="AI152" i="16"/>
  <c r="AH152" i="16"/>
  <c r="AE152" i="16"/>
  <c r="AD152" i="16"/>
  <c r="AA152" i="16"/>
  <c r="Z152" i="16"/>
  <c r="W152" i="16"/>
  <c r="V152" i="16"/>
  <c r="S152" i="16"/>
  <c r="R152" i="16"/>
  <c r="O152" i="16"/>
  <c r="N152" i="16"/>
  <c r="K152" i="16"/>
  <c r="J152" i="16"/>
  <c r="BE151" i="16"/>
  <c r="BC151" i="16"/>
  <c r="BB151" i="16"/>
  <c r="AY151" i="16"/>
  <c r="AX151" i="16"/>
  <c r="AU151" i="16"/>
  <c r="AT151" i="16"/>
  <c r="AQ151" i="16"/>
  <c r="AP151" i="16"/>
  <c r="AM151" i="16"/>
  <c r="AL151" i="16"/>
  <c r="AI151" i="16"/>
  <c r="AH151" i="16"/>
  <c r="AE151" i="16"/>
  <c r="AD151" i="16"/>
  <c r="AA151" i="16"/>
  <c r="Z151" i="16"/>
  <c r="W151" i="16"/>
  <c r="V151" i="16"/>
  <c r="S151" i="16"/>
  <c r="R151" i="16"/>
  <c r="O151" i="16"/>
  <c r="N151" i="16"/>
  <c r="K151" i="16"/>
  <c r="J151" i="16"/>
  <c r="BE150" i="16"/>
  <c r="BC150" i="16"/>
  <c r="BB150" i="16"/>
  <c r="AY150" i="16"/>
  <c r="AX150" i="16"/>
  <c r="AU150" i="16"/>
  <c r="AT150" i="16"/>
  <c r="AQ150" i="16"/>
  <c r="AP150" i="16"/>
  <c r="AM150" i="16"/>
  <c r="AL150" i="16"/>
  <c r="AI150" i="16"/>
  <c r="AH150" i="16"/>
  <c r="AE150" i="16"/>
  <c r="AD150" i="16"/>
  <c r="AA150" i="16"/>
  <c r="Z150" i="16"/>
  <c r="W150" i="16"/>
  <c r="V150" i="16"/>
  <c r="S150" i="16"/>
  <c r="R150" i="16"/>
  <c r="O150" i="16"/>
  <c r="N150" i="16"/>
  <c r="K150" i="16"/>
  <c r="J150" i="16"/>
  <c r="BE149" i="16"/>
  <c r="BC149" i="16"/>
  <c r="BB149" i="16"/>
  <c r="AY149" i="16"/>
  <c r="AX149" i="16"/>
  <c r="AU149" i="16"/>
  <c r="AT149" i="16"/>
  <c r="AQ149" i="16"/>
  <c r="AP149" i="16"/>
  <c r="AM149" i="16"/>
  <c r="AL149" i="16"/>
  <c r="AI149" i="16"/>
  <c r="AH149" i="16"/>
  <c r="AE149" i="16"/>
  <c r="AD149" i="16"/>
  <c r="AA149" i="16"/>
  <c r="Z149" i="16"/>
  <c r="W149" i="16"/>
  <c r="V149" i="16"/>
  <c r="S149" i="16"/>
  <c r="R149" i="16"/>
  <c r="L149" i="16"/>
  <c r="O149" i="16" s="1"/>
  <c r="H149" i="16"/>
  <c r="AZ148" i="16"/>
  <c r="AW148" i="16"/>
  <c r="AV148" i="16"/>
  <c r="AS148" i="16"/>
  <c r="AR148" i="16"/>
  <c r="AO148" i="16"/>
  <c r="AN148" i="16"/>
  <c r="AK148" i="16"/>
  <c r="AJ148" i="16"/>
  <c r="AG148" i="16"/>
  <c r="AF148" i="16"/>
  <c r="AC148" i="16"/>
  <c r="AB148" i="16"/>
  <c r="X148" i="16"/>
  <c r="U148" i="16"/>
  <c r="T148" i="16"/>
  <c r="P148" i="16"/>
  <c r="BE145" i="16"/>
  <c r="BC145" i="16"/>
  <c r="BB145" i="16"/>
  <c r="AY145" i="16"/>
  <c r="AX145" i="16"/>
  <c r="AU145" i="16"/>
  <c r="AT145" i="16"/>
  <c r="AQ145" i="16"/>
  <c r="AP145" i="16"/>
  <c r="AM145" i="16"/>
  <c r="AL145" i="16"/>
  <c r="AI145" i="16"/>
  <c r="AH145" i="16"/>
  <c r="AE145" i="16"/>
  <c r="AD145" i="16"/>
  <c r="AA145" i="16"/>
  <c r="Z145" i="16"/>
  <c r="W145" i="16"/>
  <c r="V145" i="16"/>
  <c r="S145" i="16"/>
  <c r="R145" i="16"/>
  <c r="O145" i="16"/>
  <c r="N145" i="16"/>
  <c r="J145" i="16"/>
  <c r="BE144" i="16"/>
  <c r="BC144" i="16"/>
  <c r="BB144" i="16"/>
  <c r="AY144" i="16"/>
  <c r="AX144" i="16"/>
  <c r="AU144" i="16"/>
  <c r="AT144" i="16"/>
  <c r="AQ144" i="16"/>
  <c r="AP144" i="16"/>
  <c r="AM144" i="16"/>
  <c r="AL144" i="16"/>
  <c r="AI144" i="16"/>
  <c r="AH144" i="16"/>
  <c r="AE144" i="16"/>
  <c r="AD144" i="16"/>
  <c r="AA144" i="16"/>
  <c r="Z144" i="16"/>
  <c r="T144" i="16"/>
  <c r="W144" i="16" s="1"/>
  <c r="P144" i="16"/>
  <c r="R144" i="16" s="1"/>
  <c r="L144" i="16"/>
  <c r="O144" i="16" s="1"/>
  <c r="H144" i="16"/>
  <c r="J144" i="16" s="1"/>
  <c r="BE143" i="16"/>
  <c r="BC143" i="16"/>
  <c r="BB143" i="16"/>
  <c r="AY143" i="16"/>
  <c r="AX143" i="16"/>
  <c r="AU143" i="16"/>
  <c r="AT143" i="16"/>
  <c r="AQ143" i="16"/>
  <c r="AP143" i="16"/>
  <c r="AM143" i="16"/>
  <c r="AL143" i="16"/>
  <c r="AI143" i="16"/>
  <c r="AH143" i="16"/>
  <c r="AE143" i="16"/>
  <c r="AD143" i="16"/>
  <c r="AA143" i="16"/>
  <c r="Z143" i="16"/>
  <c r="T143" i="16"/>
  <c r="W143" i="16" s="1"/>
  <c r="P143" i="16"/>
  <c r="R143" i="16" s="1"/>
  <c r="L143" i="16"/>
  <c r="O143" i="16" s="1"/>
  <c r="H143" i="16"/>
  <c r="J143" i="16" s="1"/>
  <c r="BE142" i="16"/>
  <c r="BC142" i="16"/>
  <c r="BB142" i="16"/>
  <c r="AY142" i="16"/>
  <c r="AX142" i="16"/>
  <c r="AU142" i="16"/>
  <c r="AT142" i="16"/>
  <c r="AQ142" i="16"/>
  <c r="AP142" i="16"/>
  <c r="AL142" i="16"/>
  <c r="AI142" i="16"/>
  <c r="AH142" i="16"/>
  <c r="AE142" i="16"/>
  <c r="AD142" i="16"/>
  <c r="AA142" i="16"/>
  <c r="Z142" i="16"/>
  <c r="T142" i="16"/>
  <c r="W142" i="16" s="1"/>
  <c r="P142" i="16"/>
  <c r="R142" i="16" s="1"/>
  <c r="L142" i="16"/>
  <c r="O142" i="16" s="1"/>
  <c r="H142" i="16"/>
  <c r="J142" i="16" s="1"/>
  <c r="BC140" i="16"/>
  <c r="BB140" i="16"/>
  <c r="AY140" i="16"/>
  <c r="AX140" i="16"/>
  <c r="AU140" i="16"/>
  <c r="AT140" i="16"/>
  <c r="AQ140" i="16"/>
  <c r="AP140" i="16"/>
  <c r="AM140" i="16"/>
  <c r="AL140" i="16"/>
  <c r="AI140" i="16"/>
  <c r="AH140" i="16"/>
  <c r="AE140" i="16"/>
  <c r="AD140" i="16"/>
  <c r="Y140" i="16"/>
  <c r="Z140" i="16" s="1"/>
  <c r="T140" i="16"/>
  <c r="V140" i="16" s="1"/>
  <c r="Q140" i="16"/>
  <c r="P140" i="16"/>
  <c r="M140" i="16"/>
  <c r="L140" i="16"/>
  <c r="I140" i="16"/>
  <c r="H140" i="16"/>
  <c r="BE139" i="16"/>
  <c r="BC139" i="16"/>
  <c r="BB139" i="16"/>
  <c r="AY139" i="16"/>
  <c r="AX139" i="16"/>
  <c r="AU139" i="16"/>
  <c r="AT139" i="16"/>
  <c r="AQ139" i="16"/>
  <c r="AP139" i="16"/>
  <c r="AM139" i="16"/>
  <c r="AL139" i="16"/>
  <c r="AI139" i="16"/>
  <c r="AH139" i="16"/>
  <c r="AE139" i="16"/>
  <c r="AD139" i="16"/>
  <c r="AA139" i="16"/>
  <c r="Z139" i="16"/>
  <c r="T139" i="16"/>
  <c r="V139" i="16" s="1"/>
  <c r="P139" i="16"/>
  <c r="R139" i="16" s="1"/>
  <c r="L139" i="16"/>
  <c r="H139" i="16"/>
  <c r="BE138" i="16"/>
  <c r="BC138" i="16"/>
  <c r="BB138" i="16"/>
  <c r="AY138" i="16"/>
  <c r="AX138" i="16"/>
  <c r="AU138" i="16"/>
  <c r="AT138" i="16"/>
  <c r="AQ138" i="16"/>
  <c r="AP138" i="16"/>
  <c r="AM138" i="16"/>
  <c r="AL138" i="16"/>
  <c r="AI138" i="16"/>
  <c r="AH138" i="16"/>
  <c r="AE138" i="16"/>
  <c r="AD138" i="16"/>
  <c r="AA138" i="16"/>
  <c r="Z138" i="16"/>
  <c r="T138" i="16"/>
  <c r="V138" i="16" s="1"/>
  <c r="P138" i="16"/>
  <c r="L138" i="16"/>
  <c r="O138" i="16" s="1"/>
  <c r="H138" i="16"/>
  <c r="K138" i="16" s="1"/>
  <c r="BE137" i="16"/>
  <c r="BC137" i="16"/>
  <c r="BB137" i="16"/>
  <c r="AY137" i="16"/>
  <c r="AX137" i="16"/>
  <c r="AU137" i="16"/>
  <c r="AT137" i="16"/>
  <c r="AQ137" i="16"/>
  <c r="AP137" i="16"/>
  <c r="AM137" i="16"/>
  <c r="AL137" i="16"/>
  <c r="AI137" i="16"/>
  <c r="AH137" i="16"/>
  <c r="AE137" i="16"/>
  <c r="AD137" i="16"/>
  <c r="AA137" i="16"/>
  <c r="Z137" i="16"/>
  <c r="T137" i="16"/>
  <c r="V137" i="16" s="1"/>
  <c r="P137" i="16"/>
  <c r="S137" i="16" s="1"/>
  <c r="L137" i="16"/>
  <c r="O137" i="16" s="1"/>
  <c r="H137" i="16"/>
  <c r="K137" i="16" s="1"/>
  <c r="BE136" i="16"/>
  <c r="BC136" i="16"/>
  <c r="BB136" i="16"/>
  <c r="AY136" i="16"/>
  <c r="AX136" i="16"/>
  <c r="AU136" i="16"/>
  <c r="AT136" i="16"/>
  <c r="AQ136" i="16"/>
  <c r="AP136" i="16"/>
  <c r="AM136" i="16"/>
  <c r="AL136" i="16"/>
  <c r="AI136" i="16"/>
  <c r="AH136" i="16"/>
  <c r="AE136" i="16"/>
  <c r="AD136" i="16"/>
  <c r="AA136" i="16"/>
  <c r="Z136" i="16"/>
  <c r="T136" i="16"/>
  <c r="P136" i="16"/>
  <c r="S136" i="16" s="1"/>
  <c r="L136" i="16"/>
  <c r="N136" i="16" s="1"/>
  <c r="H136" i="16"/>
  <c r="K136" i="16" s="1"/>
  <c r="BE135" i="16"/>
  <c r="BC135" i="16"/>
  <c r="BB135" i="16"/>
  <c r="AY135" i="16"/>
  <c r="AX135" i="16"/>
  <c r="AU135" i="16"/>
  <c r="AT135" i="16"/>
  <c r="AQ135" i="16"/>
  <c r="AP135" i="16"/>
  <c r="AM135" i="16"/>
  <c r="AL135" i="16"/>
  <c r="AI135" i="16"/>
  <c r="AH135" i="16"/>
  <c r="AE135" i="16"/>
  <c r="AD135" i="16"/>
  <c r="AA135" i="16"/>
  <c r="Z135" i="16"/>
  <c r="T135" i="16"/>
  <c r="P135" i="16"/>
  <c r="S135" i="16" s="1"/>
  <c r="L135" i="16"/>
  <c r="N135" i="16" s="1"/>
  <c r="H135" i="16"/>
  <c r="K135" i="16" s="1"/>
  <c r="BE134" i="16"/>
  <c r="BC134" i="16"/>
  <c r="BB134" i="16"/>
  <c r="AY134" i="16"/>
  <c r="AX134" i="16"/>
  <c r="AU134" i="16"/>
  <c r="AT134" i="16"/>
  <c r="AQ134" i="16"/>
  <c r="AP134" i="16"/>
  <c r="AM134" i="16"/>
  <c r="AL134" i="16"/>
  <c r="AI134" i="16"/>
  <c r="AH134" i="16"/>
  <c r="AE134" i="16"/>
  <c r="AD134" i="16"/>
  <c r="AA134" i="16"/>
  <c r="Z134" i="16"/>
  <c r="T134" i="16"/>
  <c r="P134" i="16"/>
  <c r="S134" i="16" s="1"/>
  <c r="L134" i="16"/>
  <c r="N134" i="16" s="1"/>
  <c r="H134" i="16"/>
  <c r="K134" i="16" s="1"/>
  <c r="BE133" i="16"/>
  <c r="BC133" i="16"/>
  <c r="BB133" i="16"/>
  <c r="AY133" i="16"/>
  <c r="AX133" i="16"/>
  <c r="AU133" i="16"/>
  <c r="AT133" i="16"/>
  <c r="AQ133" i="16"/>
  <c r="AP133" i="16"/>
  <c r="AM133" i="16"/>
  <c r="AL133" i="16"/>
  <c r="AI133" i="16"/>
  <c r="AH133" i="16"/>
  <c r="AE133" i="16"/>
  <c r="AD133" i="16"/>
  <c r="AA133" i="16"/>
  <c r="Z133" i="16"/>
  <c r="T133" i="16"/>
  <c r="P133" i="16"/>
  <c r="S133" i="16" s="1"/>
  <c r="L133" i="16"/>
  <c r="N133" i="16" s="1"/>
  <c r="H133" i="16"/>
  <c r="K133" i="16" s="1"/>
  <c r="BE132" i="16"/>
  <c r="BC132" i="16"/>
  <c r="BB132" i="16"/>
  <c r="AY132" i="16"/>
  <c r="AX132" i="16"/>
  <c r="AU132" i="16"/>
  <c r="AT132" i="16"/>
  <c r="AQ132" i="16"/>
  <c r="AP132" i="16"/>
  <c r="AM132" i="16"/>
  <c r="AL132" i="16"/>
  <c r="AI132" i="16"/>
  <c r="AH132" i="16"/>
  <c r="AE132" i="16"/>
  <c r="AD132" i="16"/>
  <c r="AA132" i="16"/>
  <c r="Z132" i="16"/>
  <c r="T132" i="16"/>
  <c r="P132" i="16"/>
  <c r="S132" i="16" s="1"/>
  <c r="L132" i="16"/>
  <c r="N132" i="16" s="1"/>
  <c r="H132" i="16"/>
  <c r="K132" i="16" s="1"/>
  <c r="BE131" i="16"/>
  <c r="BC131" i="16"/>
  <c r="BB131" i="16"/>
  <c r="AY131" i="16"/>
  <c r="AX131" i="16"/>
  <c r="AU131" i="16"/>
  <c r="AT131" i="16"/>
  <c r="AQ131" i="16"/>
  <c r="AP131" i="16"/>
  <c r="AM131" i="16"/>
  <c r="AL131" i="16"/>
  <c r="AI131" i="16"/>
  <c r="AH131" i="16"/>
  <c r="AE131" i="16"/>
  <c r="AD131" i="16"/>
  <c r="AA131" i="16"/>
  <c r="Z131" i="16"/>
  <c r="T131" i="16"/>
  <c r="P131" i="16"/>
  <c r="S131" i="16" s="1"/>
  <c r="L131" i="16"/>
  <c r="N131" i="16" s="1"/>
  <c r="H131" i="16"/>
  <c r="K131" i="16" s="1"/>
  <c r="BE130" i="16"/>
  <c r="BC130" i="16"/>
  <c r="BB130" i="16"/>
  <c r="AY130" i="16"/>
  <c r="AX130" i="16"/>
  <c r="AU130" i="16"/>
  <c r="AT130" i="16"/>
  <c r="AQ130" i="16"/>
  <c r="AP130" i="16"/>
  <c r="AM130" i="16"/>
  <c r="AL130" i="16"/>
  <c r="AI130" i="16"/>
  <c r="AH130" i="16"/>
  <c r="AE130" i="16"/>
  <c r="AD130" i="16"/>
  <c r="AA130" i="16"/>
  <c r="Z130" i="16"/>
  <c r="T130" i="16"/>
  <c r="P130" i="16"/>
  <c r="S130" i="16" s="1"/>
  <c r="L130" i="16"/>
  <c r="N130" i="16" s="1"/>
  <c r="H130" i="16"/>
  <c r="K130" i="16" s="1"/>
  <c r="BE129" i="16"/>
  <c r="BC129" i="16"/>
  <c r="BB129" i="16"/>
  <c r="AY129" i="16"/>
  <c r="AX129" i="16"/>
  <c r="AU129" i="16"/>
  <c r="AT129" i="16"/>
  <c r="AQ129" i="16"/>
  <c r="AP129" i="16"/>
  <c r="AM129" i="16"/>
  <c r="AL129" i="16"/>
  <c r="AI129" i="16"/>
  <c r="AH129" i="16"/>
  <c r="AE129" i="16"/>
  <c r="AD129" i="16"/>
  <c r="AA129" i="16"/>
  <c r="Z129" i="16"/>
  <c r="T129" i="16"/>
  <c r="P129" i="16"/>
  <c r="S129" i="16" s="1"/>
  <c r="L129" i="16"/>
  <c r="N129" i="16" s="1"/>
  <c r="H129" i="16"/>
  <c r="K129" i="16" s="1"/>
  <c r="BE128" i="16"/>
  <c r="BC128" i="16"/>
  <c r="BB128" i="16"/>
  <c r="AY128" i="16"/>
  <c r="AX128" i="16"/>
  <c r="AU128" i="16"/>
  <c r="AT128" i="16"/>
  <c r="AQ128" i="16"/>
  <c r="AP128" i="16"/>
  <c r="AM128" i="16"/>
  <c r="AL128" i="16"/>
  <c r="AI128" i="16"/>
  <c r="AH128" i="16"/>
  <c r="AE128" i="16"/>
  <c r="AD128" i="16"/>
  <c r="AA128" i="16"/>
  <c r="Z128" i="16"/>
  <c r="T128" i="16"/>
  <c r="P128" i="16"/>
  <c r="S128" i="16" s="1"/>
  <c r="L128" i="16"/>
  <c r="H128" i="16"/>
  <c r="K128" i="16" s="1"/>
  <c r="BC127" i="16"/>
  <c r="BB127" i="16"/>
  <c r="AY127" i="16"/>
  <c r="AX127" i="16"/>
  <c r="AU127" i="16"/>
  <c r="AT127" i="16"/>
  <c r="AQ127" i="16"/>
  <c r="AP127" i="16"/>
  <c r="AM127" i="16"/>
  <c r="AL127" i="16"/>
  <c r="AI127" i="16"/>
  <c r="AH127" i="16"/>
  <c r="AE127" i="16"/>
  <c r="AD127" i="16"/>
  <c r="Y127" i="16"/>
  <c r="W127" i="16"/>
  <c r="V127" i="16"/>
  <c r="S127" i="16"/>
  <c r="R127" i="16"/>
  <c r="M127" i="16"/>
  <c r="I127" i="16"/>
  <c r="H127" i="16"/>
  <c r="BE126" i="16"/>
  <c r="BC126" i="16"/>
  <c r="BB126" i="16"/>
  <c r="AY126" i="16"/>
  <c r="AX126" i="16"/>
  <c r="AU126" i="16"/>
  <c r="AT126" i="16"/>
  <c r="AQ126" i="16"/>
  <c r="AP126" i="16"/>
  <c r="AM126" i="16"/>
  <c r="AL126" i="16"/>
  <c r="AI126" i="16"/>
  <c r="AH126" i="16"/>
  <c r="AE126" i="16"/>
  <c r="AD126" i="16"/>
  <c r="AA126" i="16"/>
  <c r="Z126" i="16"/>
  <c r="T126" i="16"/>
  <c r="W126" i="16" s="1"/>
  <c r="P126" i="16"/>
  <c r="L126" i="16"/>
  <c r="N126" i="16" s="1"/>
  <c r="H126" i="16"/>
  <c r="K126" i="16" s="1"/>
  <c r="BE125" i="16"/>
  <c r="BC125" i="16"/>
  <c r="BB125" i="16"/>
  <c r="AY125" i="16"/>
  <c r="AX125" i="16"/>
  <c r="AU125" i="16"/>
  <c r="AT125" i="16"/>
  <c r="AQ125" i="16"/>
  <c r="AP125" i="16"/>
  <c r="AM125" i="16"/>
  <c r="AL125" i="16"/>
  <c r="AI125" i="16"/>
  <c r="AH125" i="16"/>
  <c r="AE125" i="16"/>
  <c r="AD125" i="16"/>
  <c r="AA125" i="16"/>
  <c r="Z125" i="16"/>
  <c r="T125" i="16"/>
  <c r="W125" i="16" s="1"/>
  <c r="P125" i="16"/>
  <c r="L125" i="16"/>
  <c r="H125" i="16"/>
  <c r="K125" i="16" s="1"/>
  <c r="AZ124" i="16"/>
  <c r="AW124" i="16"/>
  <c r="AV124" i="16"/>
  <c r="AS124" i="16"/>
  <c r="AR124" i="16"/>
  <c r="AO124" i="16"/>
  <c r="AN124" i="16"/>
  <c r="AK124" i="16"/>
  <c r="AJ124" i="16"/>
  <c r="AG124" i="16"/>
  <c r="AF124" i="16"/>
  <c r="AC124" i="16"/>
  <c r="AB124" i="16"/>
  <c r="X124" i="16"/>
  <c r="U124" i="16"/>
  <c r="BE121" i="16"/>
  <c r="BC121" i="16"/>
  <c r="BB121" i="16"/>
  <c r="AY121" i="16"/>
  <c r="AX121" i="16"/>
  <c r="AU121" i="16"/>
  <c r="AT121" i="16"/>
  <c r="AQ121" i="16"/>
  <c r="AP121" i="16"/>
  <c r="AM121" i="16"/>
  <c r="AL121" i="16"/>
  <c r="AI121" i="16"/>
  <c r="AH121" i="16"/>
  <c r="AE121" i="16"/>
  <c r="AD121" i="16"/>
  <c r="AA121" i="16"/>
  <c r="Z121" i="16"/>
  <c r="W121" i="16"/>
  <c r="V121" i="16"/>
  <c r="S121" i="16"/>
  <c r="R121" i="16"/>
  <c r="O121" i="16"/>
  <c r="N121" i="16"/>
  <c r="K121" i="16"/>
  <c r="J121" i="16"/>
  <c r="BE120" i="16"/>
  <c r="BC120" i="16"/>
  <c r="BB120" i="16"/>
  <c r="AY120" i="16"/>
  <c r="AX120" i="16"/>
  <c r="AU120" i="16"/>
  <c r="AT120" i="16"/>
  <c r="AQ120" i="16"/>
  <c r="AP120" i="16"/>
  <c r="AM120" i="16"/>
  <c r="AL120" i="16"/>
  <c r="AI120" i="16"/>
  <c r="AH120" i="16"/>
  <c r="AE120" i="16"/>
  <c r="AD120" i="16"/>
  <c r="AA120" i="16"/>
  <c r="Z120" i="16"/>
  <c r="T120" i="16"/>
  <c r="P120" i="16"/>
  <c r="S120" i="16" s="1"/>
  <c r="L120" i="16"/>
  <c r="L111" i="16" s="1"/>
  <c r="H120" i="16"/>
  <c r="BE119" i="16"/>
  <c r="BC119" i="16"/>
  <c r="BB119" i="16"/>
  <c r="AY119" i="16"/>
  <c r="AX119" i="16"/>
  <c r="AU119" i="16"/>
  <c r="AT119" i="16"/>
  <c r="AQ119" i="16"/>
  <c r="AP119" i="16"/>
  <c r="AM119" i="16"/>
  <c r="AL119" i="16"/>
  <c r="AI119" i="16"/>
  <c r="AH119" i="16"/>
  <c r="AE119" i="16"/>
  <c r="AD119" i="16"/>
  <c r="AA119" i="16"/>
  <c r="Z119" i="16"/>
  <c r="W119" i="16"/>
  <c r="V119" i="16"/>
  <c r="S119" i="16"/>
  <c r="R119" i="16"/>
  <c r="O119" i="16"/>
  <c r="N119" i="16"/>
  <c r="K119" i="16"/>
  <c r="J119" i="16"/>
  <c r="BE118" i="16"/>
  <c r="BC118" i="16"/>
  <c r="BB118" i="16"/>
  <c r="AY118" i="16"/>
  <c r="AX118" i="16"/>
  <c r="AU118" i="16"/>
  <c r="AT118" i="16"/>
  <c r="AQ118" i="16"/>
  <c r="AP118" i="16"/>
  <c r="AM118" i="16"/>
  <c r="AL118" i="16"/>
  <c r="AI118" i="16"/>
  <c r="AH118" i="16"/>
  <c r="AE118" i="16"/>
  <c r="AD118" i="16"/>
  <c r="AA118" i="16"/>
  <c r="Z118" i="16"/>
  <c r="W118" i="16"/>
  <c r="V118" i="16"/>
  <c r="S118" i="16"/>
  <c r="R118" i="16"/>
  <c r="O118" i="16"/>
  <c r="N118" i="16"/>
  <c r="K118" i="16"/>
  <c r="J118" i="16"/>
  <c r="BE117" i="16"/>
  <c r="BC117" i="16"/>
  <c r="BB117" i="16"/>
  <c r="AY117" i="16"/>
  <c r="AX117" i="16"/>
  <c r="AU117" i="16"/>
  <c r="AT117" i="16"/>
  <c r="AQ117" i="16"/>
  <c r="AP117" i="16"/>
  <c r="AM117" i="16"/>
  <c r="AL117" i="16"/>
  <c r="AI117" i="16"/>
  <c r="AH117" i="16"/>
  <c r="AE117" i="16"/>
  <c r="AD117" i="16"/>
  <c r="AA117" i="16"/>
  <c r="Z117" i="16"/>
  <c r="W117" i="16"/>
  <c r="V117" i="16"/>
  <c r="S117" i="16"/>
  <c r="R117" i="16"/>
  <c r="O117" i="16"/>
  <c r="N117" i="16"/>
  <c r="K117" i="16"/>
  <c r="J117" i="16"/>
  <c r="BC116" i="16"/>
  <c r="BB116" i="16"/>
  <c r="AY116" i="16"/>
  <c r="AX116" i="16"/>
  <c r="AU116" i="16"/>
  <c r="AT116" i="16"/>
  <c r="AQ116" i="16"/>
  <c r="AP116" i="16"/>
  <c r="AM116" i="16"/>
  <c r="AL116" i="16"/>
  <c r="AI116" i="16"/>
  <c r="AH116" i="16"/>
  <c r="AE116" i="16"/>
  <c r="AD116" i="16"/>
  <c r="Y116" i="16"/>
  <c r="W116" i="16"/>
  <c r="V116" i="16"/>
  <c r="Q116" i="16"/>
  <c r="R116" i="16" s="1"/>
  <c r="M116" i="16"/>
  <c r="I116" i="16"/>
  <c r="K116" i="16" s="1"/>
  <c r="BC115" i="16"/>
  <c r="BB115" i="16"/>
  <c r="AY115" i="16"/>
  <c r="AX115" i="16"/>
  <c r="AU115" i="16"/>
  <c r="AT115" i="16"/>
  <c r="AQ115" i="16"/>
  <c r="AP115" i="16"/>
  <c r="AM115" i="16"/>
  <c r="AL115" i="16"/>
  <c r="AI115" i="16"/>
  <c r="AH115" i="16"/>
  <c r="AE115" i="16"/>
  <c r="AD115" i="16"/>
  <c r="Y115" i="16"/>
  <c r="W115" i="16"/>
  <c r="V115" i="16"/>
  <c r="Q115" i="16"/>
  <c r="M115" i="16"/>
  <c r="I115" i="16"/>
  <c r="K115" i="16" s="1"/>
  <c r="BE114" i="16"/>
  <c r="BC114" i="16"/>
  <c r="BB114" i="16"/>
  <c r="AY114" i="16"/>
  <c r="AX114" i="16"/>
  <c r="AU114" i="16"/>
  <c r="AT114" i="16"/>
  <c r="AQ114" i="16"/>
  <c r="AP114" i="16"/>
  <c r="AM114" i="16"/>
  <c r="AL114" i="16"/>
  <c r="AI114" i="16"/>
  <c r="AH114" i="16"/>
  <c r="AE114" i="16"/>
  <c r="AD114" i="16"/>
  <c r="AA114" i="16"/>
  <c r="Z114" i="16"/>
  <c r="W114" i="16"/>
  <c r="V114" i="16"/>
  <c r="S114" i="16"/>
  <c r="R114" i="16"/>
  <c r="O114" i="16"/>
  <c r="N114" i="16"/>
  <c r="K114" i="16"/>
  <c r="J114" i="16"/>
  <c r="BE113" i="16"/>
  <c r="BC113" i="16"/>
  <c r="BB113" i="16"/>
  <c r="AY113" i="16"/>
  <c r="AX113" i="16"/>
  <c r="AU113" i="16"/>
  <c r="AT113" i="16"/>
  <c r="AQ113" i="16"/>
  <c r="AP113" i="16"/>
  <c r="AM113" i="16"/>
  <c r="AL113" i="16"/>
  <c r="AI113" i="16"/>
  <c r="AH113" i="16"/>
  <c r="AE113" i="16"/>
  <c r="AD113" i="16"/>
  <c r="AA113" i="16"/>
  <c r="Z113" i="16"/>
  <c r="W113" i="16"/>
  <c r="V113" i="16"/>
  <c r="S113" i="16"/>
  <c r="R113" i="16"/>
  <c r="O113" i="16"/>
  <c r="N113" i="16"/>
  <c r="K113" i="16"/>
  <c r="J113" i="16"/>
  <c r="BE112" i="16"/>
  <c r="BC112" i="16"/>
  <c r="BB112" i="16"/>
  <c r="AY112" i="16"/>
  <c r="AX112" i="16"/>
  <c r="AU112" i="16"/>
  <c r="AT112" i="16"/>
  <c r="AQ112" i="16"/>
  <c r="AP112" i="16"/>
  <c r="AM112" i="16"/>
  <c r="AL112" i="16"/>
  <c r="AI112" i="16"/>
  <c r="AH112" i="16"/>
  <c r="AE112" i="16"/>
  <c r="AD112" i="16"/>
  <c r="AA112" i="16"/>
  <c r="Z112" i="16"/>
  <c r="W112" i="16"/>
  <c r="V112" i="16"/>
  <c r="S112" i="16"/>
  <c r="R112" i="16"/>
  <c r="O112" i="16"/>
  <c r="N112" i="16"/>
  <c r="K112" i="16"/>
  <c r="J112" i="16"/>
  <c r="AZ111" i="16"/>
  <c r="AW111" i="16"/>
  <c r="AV111" i="16"/>
  <c r="AS111" i="16"/>
  <c r="AR111" i="16"/>
  <c r="AO111" i="16"/>
  <c r="AN111" i="16"/>
  <c r="AK111" i="16"/>
  <c r="AJ111" i="16"/>
  <c r="AG111" i="16"/>
  <c r="AF111" i="16"/>
  <c r="AC111" i="16"/>
  <c r="AB111" i="16"/>
  <c r="X111" i="16"/>
  <c r="U111" i="16"/>
  <c r="AD109" i="16"/>
  <c r="Z109" i="16"/>
  <c r="AE106" i="16"/>
  <c r="AD106" i="16"/>
  <c r="AA106" i="16"/>
  <c r="Z106" i="16"/>
  <c r="J106" i="16"/>
  <c r="BC105" i="16"/>
  <c r="BB105" i="16"/>
  <c r="AY105" i="16"/>
  <c r="AX105" i="16"/>
  <c r="AU105" i="16"/>
  <c r="AT105" i="16"/>
  <c r="AQ105" i="16"/>
  <c r="AP105" i="16"/>
  <c r="AM105" i="16"/>
  <c r="AL105" i="16"/>
  <c r="AI105" i="16"/>
  <c r="AH105" i="16"/>
  <c r="AE105" i="16"/>
  <c r="AD105" i="16"/>
  <c r="AA105" i="16"/>
  <c r="Z105" i="16"/>
  <c r="W105" i="16"/>
  <c r="V105" i="16"/>
  <c r="S105" i="16"/>
  <c r="R105" i="16"/>
  <c r="O105" i="16"/>
  <c r="N105" i="16"/>
  <c r="H105" i="16"/>
  <c r="K105" i="16" s="1"/>
  <c r="BC104" i="16"/>
  <c r="BB104" i="16"/>
  <c r="AY104" i="16"/>
  <c r="AX104" i="16"/>
  <c r="AU104" i="16"/>
  <c r="AT104" i="16"/>
  <c r="AQ104" i="16"/>
  <c r="AP104" i="16"/>
  <c r="AM104" i="16"/>
  <c r="AL104" i="16"/>
  <c r="AI104" i="16"/>
  <c r="AH104" i="16"/>
  <c r="AE104" i="16"/>
  <c r="AD104" i="16"/>
  <c r="AA104" i="16"/>
  <c r="Z104" i="16"/>
  <c r="W104" i="16"/>
  <c r="V104" i="16"/>
  <c r="S104" i="16"/>
  <c r="R104" i="16"/>
  <c r="O104" i="16"/>
  <c r="N104" i="16"/>
  <c r="H104" i="16"/>
  <c r="K104" i="16" s="1"/>
  <c r="BC103" i="16"/>
  <c r="BB103" i="16"/>
  <c r="AY103" i="16"/>
  <c r="AX103" i="16"/>
  <c r="AU103" i="16"/>
  <c r="AT103" i="16"/>
  <c r="AQ103" i="16"/>
  <c r="AP103" i="16"/>
  <c r="AM103" i="16"/>
  <c r="AL103" i="16"/>
  <c r="AI103" i="16"/>
  <c r="AH103" i="16"/>
  <c r="AE103" i="16"/>
  <c r="AD103" i="16"/>
  <c r="AA103" i="16"/>
  <c r="Z103" i="16"/>
  <c r="W103" i="16"/>
  <c r="V103" i="16"/>
  <c r="S103" i="16"/>
  <c r="R103" i="16"/>
  <c r="O103" i="16"/>
  <c r="N103" i="16"/>
  <c r="K103" i="16"/>
  <c r="J103" i="16"/>
  <c r="BC102" i="16"/>
  <c r="BB102" i="16"/>
  <c r="AY102" i="16"/>
  <c r="AX102" i="16"/>
  <c r="AU102" i="16"/>
  <c r="AT102" i="16"/>
  <c r="AQ102" i="16"/>
  <c r="AP102" i="16"/>
  <c r="AM102" i="16"/>
  <c r="AL102" i="16"/>
  <c r="AI102" i="16"/>
  <c r="AH102" i="16"/>
  <c r="AE102" i="16"/>
  <c r="AD102" i="16"/>
  <c r="AA102" i="16"/>
  <c r="Z102" i="16"/>
  <c r="W102" i="16"/>
  <c r="V102" i="16"/>
  <c r="S102" i="16"/>
  <c r="R102" i="16"/>
  <c r="O102" i="16"/>
  <c r="N102" i="16"/>
  <c r="H102" i="16"/>
  <c r="K102" i="16" s="1"/>
  <c r="BC101" i="16"/>
  <c r="BB101" i="16"/>
  <c r="AY101" i="16"/>
  <c r="AX101" i="16"/>
  <c r="AU101" i="16"/>
  <c r="AT101" i="16"/>
  <c r="AQ101" i="16"/>
  <c r="AP101" i="16"/>
  <c r="AM101" i="16"/>
  <c r="AL101" i="16"/>
  <c r="AI101" i="16"/>
  <c r="AH101" i="16"/>
  <c r="AE101" i="16"/>
  <c r="AD101" i="16"/>
  <c r="AA101" i="16"/>
  <c r="Z101" i="16"/>
  <c r="T101" i="16"/>
  <c r="P101" i="16"/>
  <c r="S101" i="16" s="1"/>
  <c r="L101" i="16"/>
  <c r="H101" i="16"/>
  <c r="K101" i="16" s="1"/>
  <c r="BC100" i="16"/>
  <c r="BB100" i="16"/>
  <c r="AY100" i="16"/>
  <c r="AX100" i="16"/>
  <c r="AU100" i="16"/>
  <c r="AT100" i="16"/>
  <c r="AQ100" i="16"/>
  <c r="AP100" i="16"/>
  <c r="AM100" i="16"/>
  <c r="AL100" i="16"/>
  <c r="AI100" i="16"/>
  <c r="AH100" i="16"/>
  <c r="AE100" i="16"/>
  <c r="AD100" i="16"/>
  <c r="AA100" i="16"/>
  <c r="Z100" i="16"/>
  <c r="W100" i="16"/>
  <c r="V100" i="16"/>
  <c r="S100" i="16"/>
  <c r="R100" i="16"/>
  <c r="O100" i="16"/>
  <c r="N100" i="16"/>
  <c r="K100" i="16"/>
  <c r="J100" i="16"/>
  <c r="BC99" i="16"/>
  <c r="BB99" i="16"/>
  <c r="AY99" i="16"/>
  <c r="AX99" i="16"/>
  <c r="AU99" i="16"/>
  <c r="AT99" i="16"/>
  <c r="AQ99" i="16"/>
  <c r="AP99" i="16"/>
  <c r="AM99" i="16"/>
  <c r="AL99" i="16"/>
  <c r="AI99" i="16"/>
  <c r="AH99" i="16"/>
  <c r="AE99" i="16"/>
  <c r="AD99" i="16"/>
  <c r="AA99" i="16"/>
  <c r="Z99" i="16"/>
  <c r="T99" i="16"/>
  <c r="W99" i="16" s="1"/>
  <c r="P99" i="16"/>
  <c r="S99" i="16" s="1"/>
  <c r="L99" i="16"/>
  <c r="N99" i="16" s="1"/>
  <c r="H99" i="16"/>
  <c r="K99" i="16" s="1"/>
  <c r="BC98" i="16"/>
  <c r="BB98" i="16"/>
  <c r="AY98" i="16"/>
  <c r="AX98" i="16"/>
  <c r="AU98" i="16"/>
  <c r="AT98" i="16"/>
  <c r="AQ98" i="16"/>
  <c r="AP98" i="16"/>
  <c r="AM98" i="16"/>
  <c r="AL98" i="16"/>
  <c r="AI98" i="16"/>
  <c r="AH98" i="16"/>
  <c r="AE98" i="16"/>
  <c r="AD98" i="16"/>
  <c r="AA98" i="16"/>
  <c r="Z98" i="16"/>
  <c r="W98" i="16"/>
  <c r="V98" i="16"/>
  <c r="S98" i="16"/>
  <c r="R98" i="16"/>
  <c r="O98" i="16"/>
  <c r="N98" i="16"/>
  <c r="H98" i="16"/>
  <c r="BC97" i="16"/>
  <c r="BB97" i="16"/>
  <c r="AY97" i="16"/>
  <c r="AX97" i="16"/>
  <c r="AU97" i="16"/>
  <c r="AT97" i="16"/>
  <c r="AQ97" i="16"/>
  <c r="AP97" i="16"/>
  <c r="AM97" i="16"/>
  <c r="AL97" i="16"/>
  <c r="AI97" i="16"/>
  <c r="AH97" i="16"/>
  <c r="AE97" i="16"/>
  <c r="AD97" i="16"/>
  <c r="AA97" i="16"/>
  <c r="Z97" i="16"/>
  <c r="T97" i="16"/>
  <c r="W97" i="16" s="1"/>
  <c r="P97" i="16"/>
  <c r="L97" i="16"/>
  <c r="H97" i="16"/>
  <c r="J97" i="16" s="1"/>
  <c r="BC96" i="16"/>
  <c r="BB96" i="16"/>
  <c r="AY96" i="16"/>
  <c r="AX96" i="16"/>
  <c r="AU96" i="16"/>
  <c r="AT96" i="16"/>
  <c r="AQ96" i="16"/>
  <c r="AP96" i="16"/>
  <c r="AM96" i="16"/>
  <c r="AL96" i="16"/>
  <c r="AI96" i="16"/>
  <c r="AH96" i="16"/>
  <c r="AE96" i="16"/>
  <c r="AD96" i="16"/>
  <c r="AA96" i="16"/>
  <c r="Z96" i="16"/>
  <c r="W96" i="16"/>
  <c r="V96" i="16"/>
  <c r="S96" i="16"/>
  <c r="R96" i="16"/>
  <c r="O96" i="16"/>
  <c r="N96" i="16"/>
  <c r="H96" i="16"/>
  <c r="BC95" i="16"/>
  <c r="BB95" i="16"/>
  <c r="AY95" i="16"/>
  <c r="AX95" i="16"/>
  <c r="AU95" i="16"/>
  <c r="AT95" i="16"/>
  <c r="AQ95" i="16"/>
  <c r="AP95" i="16"/>
  <c r="AM95" i="16"/>
  <c r="AL95" i="16"/>
  <c r="AI95" i="16"/>
  <c r="AH95" i="16"/>
  <c r="AE95" i="16"/>
  <c r="AD95" i="16"/>
  <c r="AA95" i="16"/>
  <c r="Z95" i="16"/>
  <c r="W95" i="16"/>
  <c r="V95" i="16"/>
  <c r="S95" i="16"/>
  <c r="R95" i="16"/>
  <c r="O95" i="16"/>
  <c r="N95" i="16"/>
  <c r="H95" i="16"/>
  <c r="K95" i="16" s="1"/>
  <c r="BC94" i="16"/>
  <c r="BB94" i="16"/>
  <c r="AY94" i="16"/>
  <c r="AX94" i="16"/>
  <c r="AU94" i="16"/>
  <c r="AT94" i="16"/>
  <c r="AQ94" i="16"/>
  <c r="AP94" i="16"/>
  <c r="AM94" i="16"/>
  <c r="AL94" i="16"/>
  <c r="AI94" i="16"/>
  <c r="AH94" i="16"/>
  <c r="AE94" i="16"/>
  <c r="AD94" i="16"/>
  <c r="AA94" i="16"/>
  <c r="Z94" i="16"/>
  <c r="W94" i="16"/>
  <c r="V94" i="16"/>
  <c r="S94" i="16"/>
  <c r="R94" i="16"/>
  <c r="O94" i="16"/>
  <c r="N94" i="16"/>
  <c r="K94" i="16"/>
  <c r="J94" i="16"/>
  <c r="BC93" i="16"/>
  <c r="BB93" i="16"/>
  <c r="AY93" i="16"/>
  <c r="AX93" i="16"/>
  <c r="AU93" i="16"/>
  <c r="AT93" i="16"/>
  <c r="AQ93" i="16"/>
  <c r="AP93" i="16"/>
  <c r="AM93" i="16"/>
  <c r="AL93" i="16"/>
  <c r="AI93" i="16"/>
  <c r="AH93" i="16"/>
  <c r="AE93" i="16"/>
  <c r="AD93" i="16"/>
  <c r="AA93" i="16"/>
  <c r="Z93" i="16"/>
  <c r="T93" i="16"/>
  <c r="P93" i="16"/>
  <c r="R93" i="16" s="1"/>
  <c r="L93" i="16"/>
  <c r="O93" i="16" s="1"/>
  <c r="H93" i="16"/>
  <c r="K93" i="16" s="1"/>
  <c r="BC92" i="16"/>
  <c r="BB92" i="16"/>
  <c r="AY92" i="16"/>
  <c r="AX92" i="16"/>
  <c r="AU92" i="16"/>
  <c r="AT92" i="16"/>
  <c r="AQ92" i="16"/>
  <c r="AP92" i="16"/>
  <c r="AM92" i="16"/>
  <c r="AL92" i="16"/>
  <c r="AI92" i="16"/>
  <c r="AH92" i="16"/>
  <c r="AE92" i="16"/>
  <c r="AD92" i="16"/>
  <c r="AA92" i="16"/>
  <c r="Z92" i="16"/>
  <c r="T92" i="16"/>
  <c r="P92" i="16"/>
  <c r="R92" i="16" s="1"/>
  <c r="L92" i="16"/>
  <c r="O92" i="16" s="1"/>
  <c r="H92" i="16"/>
  <c r="K92" i="16" s="1"/>
  <c r="BC91" i="16"/>
  <c r="BB91" i="16"/>
  <c r="AY91" i="16"/>
  <c r="AX91" i="16"/>
  <c r="AU91" i="16"/>
  <c r="AT91" i="16"/>
  <c r="AQ91" i="16"/>
  <c r="AP91" i="16"/>
  <c r="AM91" i="16"/>
  <c r="AL91" i="16"/>
  <c r="AI91" i="16"/>
  <c r="AH91" i="16"/>
  <c r="AE91" i="16"/>
  <c r="AD91" i="16"/>
  <c r="AA91" i="16"/>
  <c r="Z91" i="16"/>
  <c r="T91" i="16"/>
  <c r="Q91" i="16"/>
  <c r="P91" i="16"/>
  <c r="L91" i="16"/>
  <c r="H91" i="16"/>
  <c r="BC90" i="16"/>
  <c r="BB90" i="16"/>
  <c r="AY90" i="16"/>
  <c r="AX90" i="16"/>
  <c r="AU90" i="16"/>
  <c r="AT90" i="16"/>
  <c r="AQ90" i="16"/>
  <c r="AP90" i="16"/>
  <c r="AM90" i="16"/>
  <c r="AL90" i="16"/>
  <c r="AI90" i="16"/>
  <c r="AH90" i="16"/>
  <c r="AE90" i="16"/>
  <c r="AD90" i="16"/>
  <c r="AA90" i="16"/>
  <c r="Z90" i="16"/>
  <c r="T90" i="16"/>
  <c r="V90" i="16" s="1"/>
  <c r="P90" i="16"/>
  <c r="L90" i="16"/>
  <c r="H90" i="16"/>
  <c r="K90" i="16" s="1"/>
  <c r="BC89" i="16"/>
  <c r="BB89" i="16"/>
  <c r="AY89" i="16"/>
  <c r="AX89" i="16"/>
  <c r="AU89" i="16"/>
  <c r="AT89" i="16"/>
  <c r="AQ89" i="16"/>
  <c r="AP89" i="16"/>
  <c r="AM89" i="16"/>
  <c r="AL89" i="16"/>
  <c r="AI89" i="16"/>
  <c r="AH89" i="16"/>
  <c r="AE89" i="16"/>
  <c r="AD89" i="16"/>
  <c r="AA89" i="16"/>
  <c r="Z89" i="16"/>
  <c r="W89" i="16"/>
  <c r="V89" i="16"/>
  <c r="S89" i="16"/>
  <c r="R89" i="16"/>
  <c r="O89" i="16"/>
  <c r="N89" i="16"/>
  <c r="H89" i="16"/>
  <c r="BC88" i="16"/>
  <c r="BB88" i="16"/>
  <c r="AY88" i="16"/>
  <c r="AX88" i="16"/>
  <c r="AU88" i="16"/>
  <c r="AT88" i="16"/>
  <c r="AQ88" i="16"/>
  <c r="AP88" i="16"/>
  <c r="AM88" i="16"/>
  <c r="AL88" i="16"/>
  <c r="AI88" i="16"/>
  <c r="AH88" i="16"/>
  <c r="AE88" i="16"/>
  <c r="AD88" i="16"/>
  <c r="AA88" i="16"/>
  <c r="Z88" i="16"/>
  <c r="T88" i="16"/>
  <c r="W88" i="16" s="1"/>
  <c r="P88" i="16"/>
  <c r="R88" i="16" s="1"/>
  <c r="L88" i="16"/>
  <c r="H88" i="16"/>
  <c r="J88" i="16" s="1"/>
  <c r="BC87" i="16"/>
  <c r="BB87" i="16"/>
  <c r="AY87" i="16"/>
  <c r="AX87" i="16"/>
  <c r="AU87" i="16"/>
  <c r="AT87" i="16"/>
  <c r="AQ87" i="16"/>
  <c r="AP87" i="16"/>
  <c r="AM87" i="16"/>
  <c r="AL87" i="16"/>
  <c r="AI87" i="16"/>
  <c r="AH87" i="16"/>
  <c r="AE87" i="16"/>
  <c r="AD87" i="16"/>
  <c r="AA87" i="16"/>
  <c r="Z87" i="16"/>
  <c r="T87" i="16"/>
  <c r="W87" i="16" s="1"/>
  <c r="P87" i="16"/>
  <c r="L87" i="16"/>
  <c r="H87" i="16"/>
  <c r="J87" i="16" s="1"/>
  <c r="BC86" i="16"/>
  <c r="BB86" i="16"/>
  <c r="AY86" i="16"/>
  <c r="AX86" i="16"/>
  <c r="AU86" i="16"/>
  <c r="AT86" i="16"/>
  <c r="AQ86" i="16"/>
  <c r="AP86" i="16"/>
  <c r="AM86" i="16"/>
  <c r="AL86" i="16"/>
  <c r="AI86" i="16"/>
  <c r="AH86" i="16"/>
  <c r="AE86" i="16"/>
  <c r="AD86" i="16"/>
  <c r="AA86" i="16"/>
  <c r="Z86" i="16"/>
  <c r="T86" i="16"/>
  <c r="W86" i="16" s="1"/>
  <c r="P86" i="16"/>
  <c r="S86" i="16" s="1"/>
  <c r="L86" i="16"/>
  <c r="H86" i="16"/>
  <c r="BC85" i="16"/>
  <c r="BB85" i="16"/>
  <c r="AY85" i="16"/>
  <c r="AX85" i="16"/>
  <c r="AU85" i="16"/>
  <c r="AT85" i="16"/>
  <c r="AQ85" i="16"/>
  <c r="AP85" i="16"/>
  <c r="AM85" i="16"/>
  <c r="AL85" i="16"/>
  <c r="AI85" i="16"/>
  <c r="AH85" i="16"/>
  <c r="AE85" i="16"/>
  <c r="AD85" i="16"/>
  <c r="AA85" i="16"/>
  <c r="Z85" i="16"/>
  <c r="T85" i="16"/>
  <c r="W85" i="16" s="1"/>
  <c r="P85" i="16"/>
  <c r="S85" i="16" s="1"/>
  <c r="L85" i="16"/>
  <c r="H85" i="16"/>
  <c r="K85" i="16" s="1"/>
  <c r="BC84" i="16"/>
  <c r="BB84" i="16"/>
  <c r="AY84" i="16"/>
  <c r="AX84" i="16"/>
  <c r="AU84" i="16"/>
  <c r="AT84" i="16"/>
  <c r="AQ84" i="16"/>
  <c r="AP84" i="16"/>
  <c r="AM84" i="16"/>
  <c r="AL84" i="16"/>
  <c r="AI84" i="16"/>
  <c r="AH84" i="16"/>
  <c r="AE84" i="16"/>
  <c r="AD84" i="16"/>
  <c r="AA84" i="16"/>
  <c r="Z84" i="16"/>
  <c r="T84" i="16"/>
  <c r="W84" i="16" s="1"/>
  <c r="P84" i="16"/>
  <c r="S84" i="16" s="1"/>
  <c r="L84" i="16"/>
  <c r="H84" i="16"/>
  <c r="K84" i="16" s="1"/>
  <c r="BC83" i="16"/>
  <c r="BB83" i="16"/>
  <c r="AY83" i="16"/>
  <c r="AX83" i="16"/>
  <c r="AU83" i="16"/>
  <c r="AT83" i="16"/>
  <c r="AQ83" i="16"/>
  <c r="AP83" i="16"/>
  <c r="AM83" i="16"/>
  <c r="AL83" i="16"/>
  <c r="AI83" i="16"/>
  <c r="AH83" i="16"/>
  <c r="AE83" i="16"/>
  <c r="AD83" i="16"/>
  <c r="AA83" i="16"/>
  <c r="Z83" i="16"/>
  <c r="T83" i="16"/>
  <c r="P83" i="16"/>
  <c r="S83" i="16" s="1"/>
  <c r="L83" i="16"/>
  <c r="H83" i="16"/>
  <c r="K83" i="16" s="1"/>
  <c r="BC82" i="16"/>
  <c r="BB82" i="16"/>
  <c r="AY82" i="16"/>
  <c r="AX82" i="16"/>
  <c r="AU82" i="16"/>
  <c r="AT82" i="16"/>
  <c r="AQ82" i="16"/>
  <c r="AP82" i="16"/>
  <c r="AM82" i="16"/>
  <c r="AL82" i="16"/>
  <c r="AI82" i="16"/>
  <c r="AH82" i="16"/>
  <c r="AE82" i="16"/>
  <c r="AD82" i="16"/>
  <c r="AA82" i="16"/>
  <c r="Z82" i="16"/>
  <c r="W82" i="16"/>
  <c r="V82" i="16"/>
  <c r="S82" i="16"/>
  <c r="R82" i="16"/>
  <c r="O82" i="16"/>
  <c r="N82" i="16"/>
  <c r="H82" i="16"/>
  <c r="K82" i="16" s="1"/>
  <c r="BC81" i="16"/>
  <c r="BB81" i="16"/>
  <c r="AY81" i="16"/>
  <c r="AX81" i="16"/>
  <c r="AU81" i="16"/>
  <c r="AT81" i="16"/>
  <c r="AQ81" i="16"/>
  <c r="AP81" i="16"/>
  <c r="AM81" i="16"/>
  <c r="AL81" i="16"/>
  <c r="AI81" i="16"/>
  <c r="AH81" i="16"/>
  <c r="AE81" i="16"/>
  <c r="AD81" i="16"/>
  <c r="AA81" i="16"/>
  <c r="Z81" i="16"/>
  <c r="W81" i="16"/>
  <c r="V81" i="16"/>
  <c r="Q81" i="16"/>
  <c r="M81" i="16"/>
  <c r="N81" i="16" s="1"/>
  <c r="I81" i="16"/>
  <c r="H81" i="16"/>
  <c r="BC80" i="16"/>
  <c r="BB80" i="16"/>
  <c r="AY80" i="16"/>
  <c r="AX80" i="16"/>
  <c r="AU80" i="16"/>
  <c r="AT80" i="16"/>
  <c r="AQ80" i="16"/>
  <c r="AP80" i="16"/>
  <c r="AM80" i="16"/>
  <c r="AL80" i="16"/>
  <c r="AI80" i="16"/>
  <c r="AH80" i="16"/>
  <c r="AE80" i="16"/>
  <c r="AD80" i="16"/>
  <c r="AA80" i="16"/>
  <c r="Z80" i="16"/>
  <c r="W80" i="16"/>
  <c r="V80" i="16"/>
  <c r="S80" i="16"/>
  <c r="R80" i="16"/>
  <c r="O80" i="16"/>
  <c r="N80" i="16"/>
  <c r="H80" i="16"/>
  <c r="K80" i="16" s="1"/>
  <c r="BC79" i="16"/>
  <c r="BB79" i="16"/>
  <c r="AY79" i="16"/>
  <c r="AX79" i="16"/>
  <c r="AU79" i="16"/>
  <c r="AT79" i="16"/>
  <c r="AQ79" i="16"/>
  <c r="AP79" i="16"/>
  <c r="AM79" i="16"/>
  <c r="AL79" i="16"/>
  <c r="AI79" i="16"/>
  <c r="AH79" i="16"/>
  <c r="AE79" i="16"/>
  <c r="AD79" i="16"/>
  <c r="Y79" i="16"/>
  <c r="AA79" i="16" s="1"/>
  <c r="W79" i="16"/>
  <c r="V79" i="16"/>
  <c r="Q79" i="16"/>
  <c r="M79" i="16"/>
  <c r="O79" i="16" s="1"/>
  <c r="I79" i="16"/>
  <c r="H79" i="16"/>
  <c r="BC78" i="16"/>
  <c r="BB78" i="16"/>
  <c r="AY78" i="16"/>
  <c r="AX78" i="16"/>
  <c r="AU78" i="16"/>
  <c r="AT78" i="16"/>
  <c r="AQ78" i="16"/>
  <c r="AP78" i="16"/>
  <c r="AM78" i="16"/>
  <c r="AL78" i="16"/>
  <c r="AI78" i="16"/>
  <c r="AH78" i="16"/>
  <c r="AE78" i="16"/>
  <c r="AD78" i="16"/>
  <c r="AA78" i="16"/>
  <c r="Z78" i="16"/>
  <c r="T78" i="16"/>
  <c r="W78" i="16" s="1"/>
  <c r="P78" i="16"/>
  <c r="L78" i="16"/>
  <c r="O78" i="16" s="1"/>
  <c r="H78" i="16"/>
  <c r="K78" i="16" s="1"/>
  <c r="BC77" i="16"/>
  <c r="BB77" i="16"/>
  <c r="AY77" i="16"/>
  <c r="AX77" i="16"/>
  <c r="AU77" i="16"/>
  <c r="AT77" i="16"/>
  <c r="AQ77" i="16"/>
  <c r="AP77" i="16"/>
  <c r="AM77" i="16"/>
  <c r="AL77" i="16"/>
  <c r="AI77" i="16"/>
  <c r="AH77" i="16"/>
  <c r="AE77" i="16"/>
  <c r="AD77" i="16"/>
  <c r="AA77" i="16"/>
  <c r="Z77" i="16"/>
  <c r="T77" i="16"/>
  <c r="P77" i="16"/>
  <c r="R77" i="16" s="1"/>
  <c r="L77" i="16"/>
  <c r="O77" i="16" s="1"/>
  <c r="H77" i="16"/>
  <c r="BC76" i="16"/>
  <c r="BB76" i="16"/>
  <c r="AY76" i="16"/>
  <c r="AX76" i="16"/>
  <c r="AU76" i="16"/>
  <c r="AT76" i="16"/>
  <c r="AQ76" i="16"/>
  <c r="AP76" i="16"/>
  <c r="AM76" i="16"/>
  <c r="AL76" i="16"/>
  <c r="AI76" i="16"/>
  <c r="AH76" i="16"/>
  <c r="AE76" i="16"/>
  <c r="AD76" i="16"/>
  <c r="AA76" i="16"/>
  <c r="Z76" i="16"/>
  <c r="T76" i="16"/>
  <c r="W76" i="16" s="1"/>
  <c r="P76" i="16"/>
  <c r="R76" i="16" s="1"/>
  <c r="L76" i="16"/>
  <c r="O76" i="16" s="1"/>
  <c r="H76" i="16"/>
  <c r="BC75" i="16"/>
  <c r="BB75" i="16"/>
  <c r="AY75" i="16"/>
  <c r="AX75" i="16"/>
  <c r="AU75" i="16"/>
  <c r="AT75" i="16"/>
  <c r="AQ75" i="16"/>
  <c r="AP75" i="16"/>
  <c r="AM75" i="16"/>
  <c r="AL75" i="16"/>
  <c r="AI75" i="16"/>
  <c r="AH75" i="16"/>
  <c r="AE75" i="16"/>
  <c r="AD75" i="16"/>
  <c r="AA75" i="16"/>
  <c r="Z75" i="16"/>
  <c r="W75" i="16"/>
  <c r="V75" i="16"/>
  <c r="S75" i="16"/>
  <c r="R75" i="16"/>
  <c r="O75" i="16"/>
  <c r="N75" i="16"/>
  <c r="H75" i="16"/>
  <c r="BC74" i="16"/>
  <c r="BB74" i="16"/>
  <c r="AY74" i="16"/>
  <c r="AX74" i="16"/>
  <c r="AU74" i="16"/>
  <c r="AT74" i="16"/>
  <c r="AQ74" i="16"/>
  <c r="AP74" i="16"/>
  <c r="AM74" i="16"/>
  <c r="AL74" i="16"/>
  <c r="AI74" i="16"/>
  <c r="AH74" i="16"/>
  <c r="AE74" i="16"/>
  <c r="AD74" i="16"/>
  <c r="AA74" i="16"/>
  <c r="Z74" i="16"/>
  <c r="T74" i="16"/>
  <c r="P74" i="16"/>
  <c r="S74" i="16" s="1"/>
  <c r="L74" i="16"/>
  <c r="N74" i="16" s="1"/>
  <c r="H74" i="16"/>
  <c r="K74" i="16" s="1"/>
  <c r="BC73" i="16"/>
  <c r="BB73" i="16"/>
  <c r="AY73" i="16"/>
  <c r="AX73" i="16"/>
  <c r="AU73" i="16"/>
  <c r="AT73" i="16"/>
  <c r="AQ73" i="16"/>
  <c r="AP73" i="16"/>
  <c r="AM73" i="16"/>
  <c r="AL73" i="16"/>
  <c r="AG73" i="16"/>
  <c r="AI73" i="16" s="1"/>
  <c r="AC73" i="16"/>
  <c r="Y73" i="16"/>
  <c r="Z73" i="16" s="1"/>
  <c r="W73" i="16"/>
  <c r="V73" i="16"/>
  <c r="Q73" i="16"/>
  <c r="R73" i="16" s="1"/>
  <c r="M73" i="16"/>
  <c r="K73" i="16"/>
  <c r="J73" i="16"/>
  <c r="AD72" i="16"/>
  <c r="Z72" i="16"/>
  <c r="J72" i="16"/>
  <c r="AV71" i="16"/>
  <c r="AR71" i="16"/>
  <c r="AN71" i="16"/>
  <c r="AJ71" i="16"/>
  <c r="AF71" i="16"/>
  <c r="AB71" i="16"/>
  <c r="X71" i="16"/>
  <c r="U71" i="16"/>
  <c r="BE69" i="16"/>
  <c r="BB69" i="16"/>
  <c r="AX69" i="16"/>
  <c r="AT69" i="16"/>
  <c r="AP69" i="16"/>
  <c r="AL69" i="16"/>
  <c r="AH69" i="16"/>
  <c r="AD69" i="16"/>
  <c r="Z69" i="16"/>
  <c r="V69" i="16"/>
  <c r="R69" i="16"/>
  <c r="N69" i="16"/>
  <c r="J69" i="16"/>
  <c r="BC68" i="16"/>
  <c r="BB68" i="16"/>
  <c r="AY68" i="16"/>
  <c r="AX68" i="16"/>
  <c r="AU68" i="16"/>
  <c r="AT68" i="16"/>
  <c r="AQ68" i="16"/>
  <c r="AP68" i="16"/>
  <c r="AM68" i="16"/>
  <c r="AL68" i="16"/>
  <c r="AI68" i="16"/>
  <c r="AH68" i="16"/>
  <c r="AE68" i="16"/>
  <c r="AD68" i="16"/>
  <c r="Y68" i="16"/>
  <c r="AA68" i="16" s="1"/>
  <c r="W68" i="16"/>
  <c r="V68" i="16"/>
  <c r="Q68" i="16"/>
  <c r="M68" i="16"/>
  <c r="O68" i="16" s="1"/>
  <c r="I68" i="16"/>
  <c r="BE67" i="16"/>
  <c r="BC67" i="16"/>
  <c r="BB67" i="16"/>
  <c r="AY67" i="16"/>
  <c r="AX67" i="16"/>
  <c r="AU67" i="16"/>
  <c r="AT67" i="16"/>
  <c r="AQ67" i="16"/>
  <c r="AP67" i="16"/>
  <c r="AM67" i="16"/>
  <c r="AL67" i="16"/>
  <c r="AI67" i="16"/>
  <c r="AH67" i="16"/>
  <c r="AE67" i="16"/>
  <c r="AD67" i="16"/>
  <c r="AA67" i="16"/>
  <c r="Z67" i="16"/>
  <c r="W67" i="16"/>
  <c r="V67" i="16"/>
  <c r="S67" i="16"/>
  <c r="R67" i="16"/>
  <c r="O67" i="16"/>
  <c r="N67" i="16"/>
  <c r="K67" i="16"/>
  <c r="J67" i="16"/>
  <c r="BC66" i="16"/>
  <c r="BB66" i="16"/>
  <c r="AY66" i="16"/>
  <c r="AX66" i="16"/>
  <c r="AU66" i="16"/>
  <c r="AT66" i="16"/>
  <c r="AQ66" i="16"/>
  <c r="AP66" i="16"/>
  <c r="AM66" i="16"/>
  <c r="AL66" i="16"/>
  <c r="AI66" i="16"/>
  <c r="AH66" i="16"/>
  <c r="AE66" i="16"/>
  <c r="AD66" i="16"/>
  <c r="Y66" i="16"/>
  <c r="AA66" i="16" s="1"/>
  <c r="W66" i="16"/>
  <c r="V66" i="16"/>
  <c r="Q66" i="16"/>
  <c r="M66" i="16"/>
  <c r="O66" i="16" s="1"/>
  <c r="I66" i="16"/>
  <c r="BC65" i="16"/>
  <c r="BB65" i="16"/>
  <c r="AY65" i="16"/>
  <c r="AX65" i="16"/>
  <c r="AU65" i="16"/>
  <c r="AT65" i="16"/>
  <c r="AQ65" i="16"/>
  <c r="AP65" i="16"/>
  <c r="AM65" i="16"/>
  <c r="AL65" i="16"/>
  <c r="AI65" i="16"/>
  <c r="AH65" i="16"/>
  <c r="AE65" i="16"/>
  <c r="AD65" i="16"/>
  <c r="Y65" i="16"/>
  <c r="Z65" i="16" s="1"/>
  <c r="W65" i="16"/>
  <c r="V65" i="16"/>
  <c r="Q65" i="16"/>
  <c r="M65" i="16"/>
  <c r="N65" i="16" s="1"/>
  <c r="I65" i="16"/>
  <c r="BC64" i="16"/>
  <c r="BB64" i="16"/>
  <c r="AY64" i="16"/>
  <c r="AX64" i="16"/>
  <c r="AU64" i="16"/>
  <c r="AT64" i="16"/>
  <c r="AQ64" i="16"/>
  <c r="AP64" i="16"/>
  <c r="AM64" i="16"/>
  <c r="AL64" i="16"/>
  <c r="AI64" i="16"/>
  <c r="AH64" i="16"/>
  <c r="AE64" i="16"/>
  <c r="AD64" i="16"/>
  <c r="Y64" i="16"/>
  <c r="AA64" i="16" s="1"/>
  <c r="W64" i="16"/>
  <c r="V64" i="16"/>
  <c r="Q64" i="16"/>
  <c r="M64" i="16"/>
  <c r="O64" i="16" s="1"/>
  <c r="I64" i="16"/>
  <c r="BE63" i="16"/>
  <c r="BC63" i="16"/>
  <c r="BB63" i="16"/>
  <c r="AY63" i="16"/>
  <c r="AX63" i="16"/>
  <c r="AU63" i="16"/>
  <c r="AT63" i="16"/>
  <c r="AQ63" i="16"/>
  <c r="AP63" i="16"/>
  <c r="AM63" i="16"/>
  <c r="AL63" i="16"/>
  <c r="AI63" i="16"/>
  <c r="AH63" i="16"/>
  <c r="AE63" i="16"/>
  <c r="AD63" i="16"/>
  <c r="AA63" i="16"/>
  <c r="Z63" i="16"/>
  <c r="W63" i="16"/>
  <c r="V63" i="16"/>
  <c r="S63" i="16"/>
  <c r="R63" i="16"/>
  <c r="O63" i="16"/>
  <c r="N63" i="16"/>
  <c r="K63" i="16"/>
  <c r="J63" i="16"/>
  <c r="BE62" i="16"/>
  <c r="BC62" i="16"/>
  <c r="BB62" i="16"/>
  <c r="AY62" i="16"/>
  <c r="AX62" i="16"/>
  <c r="AU62" i="16"/>
  <c r="AT62" i="16"/>
  <c r="AQ62" i="16"/>
  <c r="AP62" i="16"/>
  <c r="AM62" i="16"/>
  <c r="AL62" i="16"/>
  <c r="AI62" i="16"/>
  <c r="AH62" i="16"/>
  <c r="AE62" i="16"/>
  <c r="AD62" i="16"/>
  <c r="AA62" i="16"/>
  <c r="Z62" i="16"/>
  <c r="W62" i="16"/>
  <c r="V62" i="16"/>
  <c r="S62" i="16"/>
  <c r="R62" i="16"/>
  <c r="O62" i="16"/>
  <c r="N62" i="16"/>
  <c r="K62" i="16"/>
  <c r="J62" i="16"/>
  <c r="BE61" i="16"/>
  <c r="BB61" i="16"/>
  <c r="AX61" i="16"/>
  <c r="AT61" i="16"/>
  <c r="AP61" i="16"/>
  <c r="AL61" i="16"/>
  <c r="AH61" i="16"/>
  <c r="AD61" i="16"/>
  <c r="Z61" i="16"/>
  <c r="W61" i="16"/>
  <c r="V61" i="16"/>
  <c r="S61" i="16"/>
  <c r="R61" i="16"/>
  <c r="O61" i="16"/>
  <c r="N61" i="16"/>
  <c r="K61" i="16"/>
  <c r="J61" i="16"/>
  <c r="BC60" i="16"/>
  <c r="BB60" i="16"/>
  <c r="AY60" i="16"/>
  <c r="AX60" i="16"/>
  <c r="AU60" i="16"/>
  <c r="AT60" i="16"/>
  <c r="AQ60" i="16"/>
  <c r="AP60" i="16"/>
  <c r="AM60" i="16"/>
  <c r="AL60" i="16"/>
  <c r="AI60" i="16"/>
  <c r="AH60" i="16"/>
  <c r="AE60" i="16"/>
  <c r="AD60" i="16"/>
  <c r="Y60" i="16"/>
  <c r="AA60" i="16" s="1"/>
  <c r="W60" i="16"/>
  <c r="V60" i="16"/>
  <c r="S60" i="16"/>
  <c r="R60" i="16"/>
  <c r="M60" i="16"/>
  <c r="I60" i="16"/>
  <c r="BE59" i="16"/>
  <c r="BC59" i="16"/>
  <c r="BB59" i="16"/>
  <c r="AY59" i="16"/>
  <c r="AX59" i="16"/>
  <c r="AU59" i="16"/>
  <c r="AT59" i="16"/>
  <c r="AQ59" i="16"/>
  <c r="AP59" i="16"/>
  <c r="AM59" i="16"/>
  <c r="AL59" i="16"/>
  <c r="AI59" i="16"/>
  <c r="AH59" i="16"/>
  <c r="AE59" i="16"/>
  <c r="AD59" i="16"/>
  <c r="AA59" i="16"/>
  <c r="Z59" i="16"/>
  <c r="W59" i="16"/>
  <c r="V59" i="16"/>
  <c r="S59" i="16"/>
  <c r="R59" i="16"/>
  <c r="O59" i="16"/>
  <c r="N59" i="16"/>
  <c r="K59" i="16"/>
  <c r="J59" i="16"/>
  <c r="BE58" i="16"/>
  <c r="BC58" i="16"/>
  <c r="BB58" i="16"/>
  <c r="AY58" i="16"/>
  <c r="AX58" i="16"/>
  <c r="AU58" i="16"/>
  <c r="AT58" i="16"/>
  <c r="AQ58" i="16"/>
  <c r="AP58" i="16"/>
  <c r="AM58" i="16"/>
  <c r="AL58" i="16"/>
  <c r="AI58" i="16"/>
  <c r="AH58" i="16"/>
  <c r="AE58" i="16"/>
  <c r="AD58" i="16"/>
  <c r="AA58" i="16"/>
  <c r="Z58" i="16"/>
  <c r="W58" i="16"/>
  <c r="V58" i="16"/>
  <c r="S58" i="16"/>
  <c r="R58" i="16"/>
  <c r="O58" i="16"/>
  <c r="N58" i="16"/>
  <c r="K58" i="16"/>
  <c r="J58" i="16"/>
  <c r="BE57" i="16"/>
  <c r="BC57" i="16"/>
  <c r="BB57" i="16"/>
  <c r="AY57" i="16"/>
  <c r="AX57" i="16"/>
  <c r="AU57" i="16"/>
  <c r="AT57" i="16"/>
  <c r="AQ57" i="16"/>
  <c r="AP57" i="16"/>
  <c r="AM57" i="16"/>
  <c r="AL57" i="16"/>
  <c r="AI57" i="16"/>
  <c r="AH57" i="16"/>
  <c r="AE57" i="16"/>
  <c r="AD57" i="16"/>
  <c r="AA57" i="16"/>
  <c r="Z57" i="16"/>
  <c r="W57" i="16"/>
  <c r="V57" i="16"/>
  <c r="S57" i="16"/>
  <c r="R57" i="16"/>
  <c r="O57" i="16"/>
  <c r="N57" i="16"/>
  <c r="K57" i="16"/>
  <c r="J57" i="16"/>
  <c r="BE56" i="16"/>
  <c r="BC56" i="16"/>
  <c r="BB56" i="16"/>
  <c r="AY56" i="16"/>
  <c r="AX56" i="16"/>
  <c r="AU56" i="16"/>
  <c r="AT56" i="16"/>
  <c r="AQ56" i="16"/>
  <c r="AP56" i="16"/>
  <c r="AM56" i="16"/>
  <c r="AL56" i="16"/>
  <c r="AI56" i="16"/>
  <c r="AH56" i="16"/>
  <c r="AE56" i="16"/>
  <c r="AD56" i="16"/>
  <c r="AA56" i="16"/>
  <c r="Z56" i="16"/>
  <c r="W56" i="16"/>
  <c r="V56" i="16"/>
  <c r="S56" i="16"/>
  <c r="R56" i="16"/>
  <c r="O56" i="16"/>
  <c r="N56" i="16"/>
  <c r="K56" i="16"/>
  <c r="J56" i="16"/>
  <c r="BC55" i="16"/>
  <c r="BB55" i="16"/>
  <c r="AY55" i="16"/>
  <c r="AX55" i="16"/>
  <c r="AU55" i="16"/>
  <c r="AT55" i="16"/>
  <c r="AQ55" i="16"/>
  <c r="AP55" i="16"/>
  <c r="AM55" i="16"/>
  <c r="AL55" i="16"/>
  <c r="AI55" i="16"/>
  <c r="AH55" i="16"/>
  <c r="AE55" i="16"/>
  <c r="AD55" i="16"/>
  <c r="Y55" i="16"/>
  <c r="W55" i="16"/>
  <c r="V55" i="16"/>
  <c r="Q55" i="16"/>
  <c r="M55" i="16"/>
  <c r="O55" i="16" s="1"/>
  <c r="I55" i="16"/>
  <c r="BC54" i="16"/>
  <c r="BB54" i="16"/>
  <c r="AY54" i="16"/>
  <c r="AX54" i="16"/>
  <c r="AU54" i="16"/>
  <c r="AT54" i="16"/>
  <c r="AQ54" i="16"/>
  <c r="AP54" i="16"/>
  <c r="AM54" i="16"/>
  <c r="AL54" i="16"/>
  <c r="AI54" i="16"/>
  <c r="AH54" i="16"/>
  <c r="AE54" i="16"/>
  <c r="AD54" i="16"/>
  <c r="AA54" i="16"/>
  <c r="Z54" i="16"/>
  <c r="W54" i="16"/>
  <c r="V54" i="16"/>
  <c r="Q54" i="16"/>
  <c r="BD54" i="16" s="1"/>
  <c r="O54" i="16"/>
  <c r="N54" i="16"/>
  <c r="K54" i="16"/>
  <c r="J54" i="16"/>
  <c r="BC53" i="16"/>
  <c r="BB53" i="16"/>
  <c r="AY53" i="16"/>
  <c r="AX53" i="16"/>
  <c r="AU53" i="16"/>
  <c r="AT53" i="16"/>
  <c r="AQ53" i="16"/>
  <c r="AP53" i="16"/>
  <c r="AM53" i="16"/>
  <c r="AL53" i="16"/>
  <c r="AI53" i="16"/>
  <c r="AH53" i="16"/>
  <c r="AE53" i="16"/>
  <c r="AD53" i="16"/>
  <c r="AA53" i="16"/>
  <c r="Z53" i="16"/>
  <c r="W53" i="16"/>
  <c r="V53" i="16"/>
  <c r="Q53" i="16"/>
  <c r="O53" i="16"/>
  <c r="N53" i="16"/>
  <c r="K53" i="16"/>
  <c r="J53" i="16"/>
  <c r="BE52" i="16"/>
  <c r="BC52" i="16"/>
  <c r="BB52" i="16"/>
  <c r="AY52" i="16"/>
  <c r="AX52" i="16"/>
  <c r="AU52" i="16"/>
  <c r="AT52" i="16"/>
  <c r="AQ52" i="16"/>
  <c r="AP52" i="16"/>
  <c r="AM52" i="16"/>
  <c r="AL52" i="16"/>
  <c r="AI52" i="16"/>
  <c r="AH52" i="16"/>
  <c r="AE52" i="16"/>
  <c r="AD52" i="16"/>
  <c r="AA52" i="16"/>
  <c r="Z52" i="16"/>
  <c r="W52" i="16"/>
  <c r="V52" i="16"/>
  <c r="S52" i="16"/>
  <c r="R52" i="16"/>
  <c r="O52" i="16"/>
  <c r="N52" i="16"/>
  <c r="K52" i="16"/>
  <c r="J52" i="16"/>
  <c r="BC51" i="16"/>
  <c r="BB51" i="16"/>
  <c r="AY51" i="16"/>
  <c r="AX51" i="16"/>
  <c r="AU51" i="16"/>
  <c r="AT51" i="16"/>
  <c r="AQ51" i="16"/>
  <c r="AP51" i="16"/>
  <c r="AM51" i="16"/>
  <c r="AL51" i="16"/>
  <c r="AI51" i="16"/>
  <c r="AH51" i="16"/>
  <c r="AE51" i="16"/>
  <c r="AD51" i="16"/>
  <c r="AA51" i="16"/>
  <c r="Z51" i="16"/>
  <c r="W51" i="16"/>
  <c r="V51" i="16"/>
  <c r="Q51" i="16"/>
  <c r="BD51" i="16" s="1"/>
  <c r="O51" i="16"/>
  <c r="N51" i="16"/>
  <c r="K51" i="16"/>
  <c r="J51" i="16"/>
  <c r="BC50" i="16"/>
  <c r="BB50" i="16"/>
  <c r="AY50" i="16"/>
  <c r="AX50" i="16"/>
  <c r="AU50" i="16"/>
  <c r="AT50" i="16"/>
  <c r="AQ50" i="16"/>
  <c r="AP50" i="16"/>
  <c r="AM50" i="16"/>
  <c r="AL50" i="16"/>
  <c r="AI50" i="16"/>
  <c r="AH50" i="16"/>
  <c r="AE50" i="16"/>
  <c r="AD50" i="16"/>
  <c r="AA50" i="16"/>
  <c r="Z50" i="16"/>
  <c r="W50" i="16"/>
  <c r="V50" i="16"/>
  <c r="Q50" i="16"/>
  <c r="BD50" i="16" s="1"/>
  <c r="O50" i="16"/>
  <c r="N50" i="16"/>
  <c r="K50" i="16"/>
  <c r="J50" i="16"/>
  <c r="BC49" i="16"/>
  <c r="BB49" i="16"/>
  <c r="AY49" i="16"/>
  <c r="AX49" i="16"/>
  <c r="AU49" i="16"/>
  <c r="AT49" i="16"/>
  <c r="AQ49" i="16"/>
  <c r="AP49" i="16"/>
  <c r="AM49" i="16"/>
  <c r="AL49" i="16"/>
  <c r="AI49" i="16"/>
  <c r="AH49" i="16"/>
  <c r="AE49" i="16"/>
  <c r="AD49" i="16"/>
  <c r="AA49" i="16"/>
  <c r="Z49" i="16"/>
  <c r="W49" i="16"/>
  <c r="V49" i="16"/>
  <c r="Q49" i="16"/>
  <c r="O49" i="16"/>
  <c r="N49" i="16"/>
  <c r="K49" i="16"/>
  <c r="J49" i="16"/>
  <c r="BC48" i="16"/>
  <c r="BB48" i="16"/>
  <c r="AY48" i="16"/>
  <c r="AX48" i="16"/>
  <c r="AU48" i="16"/>
  <c r="AT48" i="16"/>
  <c r="AQ48" i="16"/>
  <c r="AP48" i="16"/>
  <c r="AM48" i="16"/>
  <c r="AL48" i="16"/>
  <c r="AI48" i="16"/>
  <c r="AH48" i="16"/>
  <c r="AE48" i="16"/>
  <c r="AD48" i="16"/>
  <c r="Y48" i="16"/>
  <c r="W48" i="16"/>
  <c r="V48" i="16"/>
  <c r="Q48" i="16"/>
  <c r="M48" i="16"/>
  <c r="N48" i="16" s="1"/>
  <c r="I48" i="16"/>
  <c r="H48" i="16"/>
  <c r="H47" i="16" s="1"/>
  <c r="BA47" i="16"/>
  <c r="BA45" i="16" s="1"/>
  <c r="AZ47" i="16"/>
  <c r="AW47" i="16"/>
  <c r="AV47" i="16"/>
  <c r="AS47" i="16"/>
  <c r="AR47" i="16"/>
  <c r="AO47" i="16"/>
  <c r="AN47" i="16"/>
  <c r="AK47" i="16"/>
  <c r="AJ47" i="16"/>
  <c r="AG47" i="16"/>
  <c r="AF47" i="16"/>
  <c r="AC47" i="16"/>
  <c r="AB47" i="16"/>
  <c r="X47" i="16"/>
  <c r="U47" i="16"/>
  <c r="T47" i="16"/>
  <c r="P47" i="16"/>
  <c r="L47" i="16"/>
  <c r="G45" i="16"/>
  <c r="BE43" i="16"/>
  <c r="AH43" i="16"/>
  <c r="AD43" i="16"/>
  <c r="V43" i="16"/>
  <c r="N43" i="16"/>
  <c r="J43" i="16"/>
  <c r="BE41" i="16"/>
  <c r="AH41" i="16"/>
  <c r="AD41" i="16"/>
  <c r="V41" i="16"/>
  <c r="N41" i="16"/>
  <c r="J41" i="16"/>
  <c r="AH40" i="16"/>
  <c r="AD40" i="16"/>
  <c r="BE39" i="16"/>
  <c r="AH39" i="16"/>
  <c r="AD39" i="16"/>
  <c r="V39" i="16"/>
  <c r="N39" i="16"/>
  <c r="J39" i="16"/>
  <c r="BE38" i="16"/>
  <c r="AH38" i="16"/>
  <c r="AD38" i="16"/>
  <c r="V38" i="16"/>
  <c r="N38" i="16"/>
  <c r="J38" i="16"/>
  <c r="BE37" i="16"/>
  <c r="AT37" i="16"/>
  <c r="AP37" i="16"/>
  <c r="AM37" i="16"/>
  <c r="AI37" i="16"/>
  <c r="AH37" i="16"/>
  <c r="AE37" i="16"/>
  <c r="AD37" i="16"/>
  <c r="AA37" i="16"/>
  <c r="Z37" i="16"/>
  <c r="W37" i="16"/>
  <c r="V37" i="16"/>
  <c r="O37" i="16"/>
  <c r="N37" i="16"/>
  <c r="J37" i="16"/>
  <c r="BE35" i="16"/>
  <c r="AH35" i="16"/>
  <c r="AD35" i="16"/>
  <c r="V35" i="16"/>
  <c r="N35" i="16"/>
  <c r="J35" i="16"/>
  <c r="BE34" i="16"/>
  <c r="AH34" i="16"/>
  <c r="AD34" i="16"/>
  <c r="V34" i="16"/>
  <c r="N34" i="16"/>
  <c r="K34" i="16"/>
  <c r="J34" i="16"/>
  <c r="BE33" i="16"/>
  <c r="AH33" i="16"/>
  <c r="AD33" i="16"/>
  <c r="V33" i="16"/>
  <c r="N33" i="16"/>
  <c r="K33" i="16"/>
  <c r="J33" i="16"/>
  <c r="BE32" i="16"/>
  <c r="AH32" i="16"/>
  <c r="AD32" i="16"/>
  <c r="V32" i="16"/>
  <c r="N32" i="16"/>
  <c r="K32" i="16"/>
  <c r="J32" i="16"/>
  <c r="BE31" i="16"/>
  <c r="AH31" i="16"/>
  <c r="AD31" i="16"/>
  <c r="V31" i="16"/>
  <c r="N31" i="16"/>
  <c r="K31" i="16"/>
  <c r="J31" i="16"/>
  <c r="BE30" i="16"/>
  <c r="AH30" i="16"/>
  <c r="AD30" i="16"/>
  <c r="V30" i="16"/>
  <c r="N30" i="16"/>
  <c r="K30" i="16"/>
  <c r="J30" i="16"/>
  <c r="BE29" i="16"/>
  <c r="AH29" i="16"/>
  <c r="AD29" i="16"/>
  <c r="V29" i="16"/>
  <c r="N29" i="16"/>
  <c r="K29" i="16"/>
  <c r="J29" i="16"/>
  <c r="AH28" i="16"/>
  <c r="AD28" i="16"/>
  <c r="Y28" i="16"/>
  <c r="T28" i="16"/>
  <c r="Q28" i="16"/>
  <c r="P28" i="16"/>
  <c r="M28" i="16"/>
  <c r="L28" i="16"/>
  <c r="H28" i="16"/>
  <c r="BE27" i="16"/>
  <c r="AH27" i="16"/>
  <c r="AD27" i="16"/>
  <c r="V27" i="16"/>
  <c r="N27" i="16"/>
  <c r="K27" i="16"/>
  <c r="J27" i="16"/>
  <c r="AH26" i="16"/>
  <c r="AD26" i="16"/>
  <c r="Y26" i="16"/>
  <c r="Y20" i="16" s="1"/>
  <c r="T26" i="16"/>
  <c r="V26" i="16" s="1"/>
  <c r="Q26" i="16"/>
  <c r="P26" i="16"/>
  <c r="M26" i="16"/>
  <c r="M20" i="16" s="1"/>
  <c r="L26" i="16"/>
  <c r="H26" i="16"/>
  <c r="K26" i="16" s="1"/>
  <c r="BE25" i="16"/>
  <c r="AH25" i="16"/>
  <c r="AD25" i="16"/>
  <c r="V25" i="16"/>
  <c r="N25" i="16"/>
  <c r="J25" i="16"/>
  <c r="AH24" i="16"/>
  <c r="AE24" i="16"/>
  <c r="AD24" i="16"/>
  <c r="AA24" i="16"/>
  <c r="Z24" i="16"/>
  <c r="V24" i="16"/>
  <c r="Q24" i="16"/>
  <c r="BD24" i="16" s="1"/>
  <c r="N24" i="16"/>
  <c r="K24" i="16"/>
  <c r="J24" i="16"/>
  <c r="BE23" i="16"/>
  <c r="AI23" i="16"/>
  <c r="AH23" i="16"/>
  <c r="AE23" i="16"/>
  <c r="AD23" i="16"/>
  <c r="AA23" i="16"/>
  <c r="Z23" i="16"/>
  <c r="V23" i="16"/>
  <c r="N23" i="16"/>
  <c r="K23" i="16"/>
  <c r="J23" i="16"/>
  <c r="BE22" i="16"/>
  <c r="BC22" i="16"/>
  <c r="BB22" i="16"/>
  <c r="AY22" i="16"/>
  <c r="AX22" i="16"/>
  <c r="AU22" i="16"/>
  <c r="AT22" i="16"/>
  <c r="AQ22" i="16"/>
  <c r="AP22" i="16"/>
  <c r="AL22" i="16"/>
  <c r="AI22" i="16"/>
  <c r="AH22" i="16"/>
  <c r="AE22" i="16"/>
  <c r="AD22" i="16"/>
  <c r="AA22" i="16"/>
  <c r="Z22" i="16"/>
  <c r="W22" i="16"/>
  <c r="V22" i="16"/>
  <c r="S22" i="16"/>
  <c r="R22" i="16"/>
  <c r="O22" i="16"/>
  <c r="N22" i="16"/>
  <c r="K22" i="16"/>
  <c r="J22" i="16"/>
  <c r="BE21" i="16"/>
  <c r="BB21" i="16"/>
  <c r="AX21" i="16"/>
  <c r="AT21" i="16"/>
  <c r="AP21" i="16"/>
  <c r="AL21" i="16"/>
  <c r="AI21" i="16"/>
  <c r="AH21" i="16"/>
  <c r="AD21" i="16"/>
  <c r="Z21" i="16"/>
  <c r="V21" i="16"/>
  <c r="R21" i="16"/>
  <c r="N21" i="16"/>
  <c r="K21" i="16"/>
  <c r="J21" i="16"/>
  <c r="AZ20" i="16"/>
  <c r="AW20" i="16"/>
  <c r="AV20" i="16"/>
  <c r="AR20" i="16"/>
  <c r="AO20" i="16"/>
  <c r="AN20" i="16"/>
  <c r="AK20" i="16"/>
  <c r="AJ20" i="16"/>
  <c r="AG20" i="16"/>
  <c r="AF20" i="16"/>
  <c r="AC20" i="16"/>
  <c r="AB20" i="16"/>
  <c r="X20" i="16"/>
  <c r="U20" i="16"/>
  <c r="I20" i="16"/>
  <c r="BC19" i="16"/>
  <c r="BB19" i="16"/>
  <c r="AY19" i="16"/>
  <c r="AX19" i="16"/>
  <c r="AU19" i="16"/>
  <c r="AT19" i="16"/>
  <c r="AQ19" i="16"/>
  <c r="AP19" i="16"/>
  <c r="AM19" i="16"/>
  <c r="AL19" i="16"/>
  <c r="AI19" i="16"/>
  <c r="AH19" i="16"/>
  <c r="AE19" i="16"/>
  <c r="AD19" i="16"/>
  <c r="AA19" i="16"/>
  <c r="Z19" i="16"/>
  <c r="W19" i="16"/>
  <c r="V19" i="16"/>
  <c r="S19" i="16"/>
  <c r="R19" i="16"/>
  <c r="O19" i="16"/>
  <c r="N19" i="16"/>
  <c r="K19" i="16"/>
  <c r="J19" i="16"/>
  <c r="BC18" i="16"/>
  <c r="BB18" i="16"/>
  <c r="AY18" i="16"/>
  <c r="AX18" i="16"/>
  <c r="AU18" i="16"/>
  <c r="AT18" i="16"/>
  <c r="AQ18" i="16"/>
  <c r="AP18" i="16"/>
  <c r="AM18" i="16"/>
  <c r="AL18" i="16"/>
  <c r="AI18" i="16"/>
  <c r="AH18" i="16"/>
  <c r="AE18" i="16"/>
  <c r="AD18" i="16"/>
  <c r="AA18" i="16"/>
  <c r="Z18" i="16"/>
  <c r="W18" i="16"/>
  <c r="V18" i="16"/>
  <c r="S18" i="16"/>
  <c r="R18" i="16"/>
  <c r="O18" i="16"/>
  <c r="N18" i="16"/>
  <c r="K18" i="16"/>
  <c r="J18" i="16"/>
  <c r="BC17" i="16"/>
  <c r="BB17" i="16"/>
  <c r="AY17" i="16"/>
  <c r="AX17" i="16"/>
  <c r="AU17" i="16"/>
  <c r="AT17" i="16"/>
  <c r="AQ17" i="16"/>
  <c r="AP17" i="16"/>
  <c r="AM17" i="16"/>
  <c r="AL17" i="16"/>
  <c r="AI17" i="16"/>
  <c r="AH17" i="16"/>
  <c r="AE17" i="16"/>
  <c r="AD17" i="16"/>
  <c r="AA17" i="16"/>
  <c r="Z17" i="16"/>
  <c r="W17" i="16"/>
  <c r="V17" i="16"/>
  <c r="S17" i="16"/>
  <c r="R17" i="16"/>
  <c r="O17" i="16"/>
  <c r="N17" i="16"/>
  <c r="K17" i="16"/>
  <c r="J17" i="16"/>
  <c r="AZ16" i="16"/>
  <c r="AW16" i="16"/>
  <c r="AV16" i="16"/>
  <c r="AR16" i="16"/>
  <c r="AN16" i="16"/>
  <c r="AQ16" i="16" s="1"/>
  <c r="AK16" i="16"/>
  <c r="AJ16" i="16"/>
  <c r="AG16" i="16"/>
  <c r="AF16" i="16"/>
  <c r="AC16" i="16"/>
  <c r="AB16" i="16"/>
  <c r="Y16" i="16"/>
  <c r="X16" i="16"/>
  <c r="U16" i="16"/>
  <c r="T16" i="16"/>
  <c r="Q16" i="16"/>
  <c r="P16" i="16"/>
  <c r="M16" i="16"/>
  <c r="L16" i="16"/>
  <c r="I16" i="16"/>
  <c r="H16" i="16"/>
  <c r="BC15" i="16"/>
  <c r="BB15" i="16"/>
  <c r="AY15" i="16"/>
  <c r="AX15" i="16"/>
  <c r="AU15" i="16"/>
  <c r="AQ15" i="16"/>
  <c r="AP15" i="16"/>
  <c r="AM15" i="16"/>
  <c r="AL15" i="16"/>
  <c r="AI15" i="16"/>
  <c r="AH15" i="16"/>
  <c r="AE15" i="16"/>
  <c r="AD15" i="16"/>
  <c r="Y15" i="16"/>
  <c r="AA15" i="16" s="1"/>
  <c r="W15" i="16"/>
  <c r="V15" i="16"/>
  <c r="Q15" i="16"/>
  <c r="R15" i="16" s="1"/>
  <c r="M15" i="16"/>
  <c r="I15" i="16"/>
  <c r="AE14" i="16"/>
  <c r="AD14" i="16"/>
  <c r="BC13" i="16"/>
  <c r="BB13" i="16"/>
  <c r="AY13" i="16"/>
  <c r="AX13" i="16"/>
  <c r="AU13" i="16"/>
  <c r="AT13" i="16"/>
  <c r="AQ13" i="16"/>
  <c r="AP13" i="16"/>
  <c r="AM13" i="16"/>
  <c r="AL13" i="16"/>
  <c r="AI13" i="16"/>
  <c r="AH13" i="16"/>
  <c r="AE13" i="16"/>
  <c r="AD13" i="16"/>
  <c r="AA13" i="16"/>
  <c r="Z13" i="16"/>
  <c r="W13" i="16"/>
  <c r="V13" i="16"/>
  <c r="Q13" i="16"/>
  <c r="O13" i="16"/>
  <c r="N13" i="16"/>
  <c r="K13" i="16"/>
  <c r="J13" i="16"/>
  <c r="BC12" i="16"/>
  <c r="BB12" i="16"/>
  <c r="AY12" i="16"/>
  <c r="AX12" i="16"/>
  <c r="AU12" i="16"/>
  <c r="AT12" i="16"/>
  <c r="AQ12" i="16"/>
  <c r="AP12" i="16"/>
  <c r="AM12" i="16"/>
  <c r="AL12" i="16"/>
  <c r="AI12" i="16"/>
  <c r="AH12" i="16"/>
  <c r="AE12" i="16"/>
  <c r="AD12" i="16"/>
  <c r="Y12" i="16"/>
  <c r="W12" i="16"/>
  <c r="V12" i="16"/>
  <c r="Q12" i="16"/>
  <c r="M12" i="16"/>
  <c r="I12" i="16"/>
  <c r="K12" i="16" s="1"/>
  <c r="BC9" i="16"/>
  <c r="BB9" i="16"/>
  <c r="AY9" i="16"/>
  <c r="AX9" i="16"/>
  <c r="AU9" i="16"/>
  <c r="AT9" i="16"/>
  <c r="AQ9" i="16"/>
  <c r="AP9" i="16"/>
  <c r="AM9" i="16"/>
  <c r="AL9" i="16"/>
  <c r="AI9" i="16"/>
  <c r="AH9" i="16"/>
  <c r="AE9" i="16"/>
  <c r="AD9" i="16"/>
  <c r="Y9" i="16"/>
  <c r="AA9" i="16" s="1"/>
  <c r="W9" i="16"/>
  <c r="V9" i="16"/>
  <c r="Q9" i="16"/>
  <c r="S9" i="16" s="1"/>
  <c r="M9" i="16"/>
  <c r="O9" i="16" s="1"/>
  <c r="I9" i="16"/>
  <c r="AZ8" i="16"/>
  <c r="AW8" i="16"/>
  <c r="AV8" i="16"/>
  <c r="AR8" i="16"/>
  <c r="AU8" i="16" s="1"/>
  <c r="AO8" i="16"/>
  <c r="AN8" i="16"/>
  <c r="AK8" i="16"/>
  <c r="AJ8" i="16"/>
  <c r="AG8" i="16"/>
  <c r="AF8" i="16"/>
  <c r="AC8" i="16"/>
  <c r="AB8" i="16"/>
  <c r="X8" i="16"/>
  <c r="U8" i="16"/>
  <c r="T8" i="16"/>
  <c r="P8" i="16"/>
  <c r="L8" i="16"/>
  <c r="H8" i="16"/>
  <c r="G7" i="16"/>
  <c r="H209" i="19"/>
  <c r="H212" i="19" s="1"/>
  <c r="Z202" i="19"/>
  <c r="Z198" i="19" s="1"/>
  <c r="Y202" i="19"/>
  <c r="X202" i="19"/>
  <c r="V202" i="19"/>
  <c r="V198" i="19" s="1"/>
  <c r="U202" i="19"/>
  <c r="T202" i="19"/>
  <c r="R202" i="19"/>
  <c r="P202" i="19"/>
  <c r="N202" i="19"/>
  <c r="N198" i="19" s="1"/>
  <c r="M202" i="19"/>
  <c r="L202" i="19"/>
  <c r="J202" i="19"/>
  <c r="J198" i="19" s="1"/>
  <c r="I202" i="19"/>
  <c r="H202" i="19"/>
  <c r="H198" i="19" s="1"/>
  <c r="R198" i="19"/>
  <c r="M198" i="19"/>
  <c r="BH194" i="19"/>
  <c r="BG194" i="19"/>
  <c r="BD194" i="19"/>
  <c r="AZ194" i="19"/>
  <c r="AV194" i="19"/>
  <c r="AR194" i="19"/>
  <c r="AN194" i="19"/>
  <c r="AJ194" i="19"/>
  <c r="AF194" i="19"/>
  <c r="AD194" i="19"/>
  <c r="X194" i="19"/>
  <c r="AA194" i="19" s="1"/>
  <c r="V194" i="19"/>
  <c r="R194" i="19"/>
  <c r="N194" i="19"/>
  <c r="J194" i="19"/>
  <c r="BC193" i="19"/>
  <c r="AY193" i="19"/>
  <c r="AU193" i="19"/>
  <c r="AQ193" i="19"/>
  <c r="AM193" i="19"/>
  <c r="AI193" i="19"/>
  <c r="AJ193" i="19" s="1"/>
  <c r="AC193" i="19"/>
  <c r="Y193" i="19"/>
  <c r="U193" i="19"/>
  <c r="Q193" i="19"/>
  <c r="R193" i="19" s="1"/>
  <c r="M193" i="19"/>
  <c r="I193" i="19"/>
  <c r="BH192" i="19"/>
  <c r="BB192" i="19"/>
  <c r="AX192" i="19"/>
  <c r="AT192" i="19"/>
  <c r="AP192" i="19"/>
  <c r="AR192" i="19" s="1"/>
  <c r="AL192" i="19"/>
  <c r="AH192" i="19"/>
  <c r="AC192" i="19"/>
  <c r="AB192" i="19"/>
  <c r="X192" i="19"/>
  <c r="T192" i="19"/>
  <c r="P192" i="19"/>
  <c r="R192" i="19" s="1"/>
  <c r="L192" i="19"/>
  <c r="O192" i="19" s="1"/>
  <c r="H192" i="19"/>
  <c r="BH191" i="19"/>
  <c r="BG191" i="19"/>
  <c r="BB191" i="19"/>
  <c r="BD191" i="19" s="1"/>
  <c r="AX191" i="19"/>
  <c r="AZ191" i="19" s="1"/>
  <c r="AT191" i="19"/>
  <c r="AP191" i="19"/>
  <c r="AL191" i="19"/>
  <c r="AN191" i="19" s="1"/>
  <c r="AH191" i="19"/>
  <c r="AF191" i="19"/>
  <c r="AB191" i="19"/>
  <c r="AD191" i="19" s="1"/>
  <c r="X191" i="19"/>
  <c r="T191" i="19"/>
  <c r="P191" i="19"/>
  <c r="L191" i="19"/>
  <c r="H191" i="19"/>
  <c r="BH190" i="19"/>
  <c r="BG190" i="19"/>
  <c r="BB190" i="19"/>
  <c r="AX190" i="19"/>
  <c r="AZ190" i="19" s="1"/>
  <c r="AT190" i="19"/>
  <c r="AV190" i="19" s="1"/>
  <c r="AP190" i="19"/>
  <c r="AL190" i="19"/>
  <c r="AH190" i="19"/>
  <c r="AJ190" i="19" s="1"/>
  <c r="AF190" i="19"/>
  <c r="AB190" i="19"/>
  <c r="X190" i="19"/>
  <c r="T190" i="19"/>
  <c r="P190" i="19"/>
  <c r="L190" i="19"/>
  <c r="H190" i="19"/>
  <c r="BH189" i="19"/>
  <c r="BG189" i="19"/>
  <c r="BB189" i="19"/>
  <c r="AX189" i="19"/>
  <c r="AT189" i="19"/>
  <c r="AP189" i="19"/>
  <c r="AS189" i="19" s="1"/>
  <c r="AL189" i="19"/>
  <c r="AH189" i="19"/>
  <c r="AF189" i="19"/>
  <c r="AG189" i="19" s="1"/>
  <c r="AB189" i="19"/>
  <c r="X189" i="19"/>
  <c r="T189" i="19"/>
  <c r="P189" i="19"/>
  <c r="S189" i="19" s="1"/>
  <c r="L189" i="19"/>
  <c r="O189" i="19" s="1"/>
  <c r="H189" i="19"/>
  <c r="BH188" i="19"/>
  <c r="BG188" i="19"/>
  <c r="BB188" i="19"/>
  <c r="AX188" i="19"/>
  <c r="BA188" i="19" s="1"/>
  <c r="AT188" i="19"/>
  <c r="AP188" i="19"/>
  <c r="AL188" i="19"/>
  <c r="AH188" i="19"/>
  <c r="AF188" i="19"/>
  <c r="AG188" i="19" s="1"/>
  <c r="AB188" i="19"/>
  <c r="AD188" i="19" s="1"/>
  <c r="X188" i="19"/>
  <c r="T188" i="19"/>
  <c r="P188" i="19"/>
  <c r="L188" i="19"/>
  <c r="H188" i="19"/>
  <c r="BH187" i="19"/>
  <c r="BG187" i="19"/>
  <c r="BB187" i="19"/>
  <c r="AX187" i="19"/>
  <c r="AT187" i="19"/>
  <c r="AP187" i="19"/>
  <c r="AL187" i="19"/>
  <c r="AN187" i="19" s="1"/>
  <c r="AH187" i="19"/>
  <c r="AF187" i="19"/>
  <c r="AB187" i="19"/>
  <c r="AD187" i="19" s="1"/>
  <c r="X187" i="19"/>
  <c r="T187" i="19"/>
  <c r="P187" i="19"/>
  <c r="L187" i="19"/>
  <c r="H187" i="19"/>
  <c r="J187" i="19" s="1"/>
  <c r="BC186" i="19"/>
  <c r="BB186" i="19"/>
  <c r="AY186" i="19"/>
  <c r="AX186" i="19"/>
  <c r="AU186" i="19"/>
  <c r="AT186" i="19"/>
  <c r="AQ186" i="19"/>
  <c r="AP186" i="19"/>
  <c r="AM186" i="19"/>
  <c r="AL186" i="19"/>
  <c r="AI186" i="19"/>
  <c r="AH186" i="19"/>
  <c r="AC186" i="19"/>
  <c r="AB186" i="19"/>
  <c r="Y186" i="19"/>
  <c r="X186" i="19"/>
  <c r="U186" i="19"/>
  <c r="T186" i="19"/>
  <c r="P186" i="19"/>
  <c r="S186" i="19" s="1"/>
  <c r="M186" i="19"/>
  <c r="L186" i="19"/>
  <c r="H186" i="19"/>
  <c r="BH185" i="19"/>
  <c r="BG185" i="19"/>
  <c r="BB185" i="19"/>
  <c r="AX185" i="19"/>
  <c r="AZ185" i="19" s="1"/>
  <c r="AT185" i="19"/>
  <c r="AP185" i="19"/>
  <c r="AL185" i="19"/>
  <c r="AN185" i="19" s="1"/>
  <c r="AH185" i="19"/>
  <c r="AJ185" i="19" s="1"/>
  <c r="AF185" i="19"/>
  <c r="AB185" i="19"/>
  <c r="AD185" i="19" s="1"/>
  <c r="X185" i="19"/>
  <c r="Z185" i="19" s="1"/>
  <c r="T185" i="19"/>
  <c r="P185" i="19"/>
  <c r="L185" i="19"/>
  <c r="H185" i="19"/>
  <c r="K185" i="19" s="1"/>
  <c r="BB184" i="19"/>
  <c r="AX184" i="19"/>
  <c r="AZ184" i="19" s="1"/>
  <c r="AT184" i="19"/>
  <c r="AP184" i="19"/>
  <c r="AL184" i="19"/>
  <c r="AH184" i="19"/>
  <c r="AB184" i="19"/>
  <c r="X184" i="19"/>
  <c r="T184" i="19"/>
  <c r="V184" i="19" s="1"/>
  <c r="P184" i="19"/>
  <c r="S184" i="19" s="1"/>
  <c r="L184" i="19"/>
  <c r="I184" i="19"/>
  <c r="AF184" i="19" s="1"/>
  <c r="AG184" i="19" s="1"/>
  <c r="H184" i="19"/>
  <c r="BH183" i="19"/>
  <c r="BG183" i="19"/>
  <c r="BB183" i="19"/>
  <c r="AX183" i="19"/>
  <c r="AT183" i="19"/>
  <c r="AP183" i="19"/>
  <c r="AL183" i="19"/>
  <c r="AH183" i="19"/>
  <c r="AF183" i="19"/>
  <c r="AG183" i="19" s="1"/>
  <c r="AB183" i="19"/>
  <c r="X183" i="19"/>
  <c r="T183" i="19"/>
  <c r="P183" i="19"/>
  <c r="L183" i="19"/>
  <c r="N183" i="19" s="1"/>
  <c r="H183" i="19"/>
  <c r="BH182" i="19"/>
  <c r="BG182" i="19"/>
  <c r="BE182" i="19"/>
  <c r="BD182" i="19"/>
  <c r="AF182" i="19"/>
  <c r="N182" i="19"/>
  <c r="J182" i="19"/>
  <c r="BH181" i="19"/>
  <c r="BG181" i="19"/>
  <c r="BB181" i="19"/>
  <c r="AX181" i="19"/>
  <c r="AT181" i="19"/>
  <c r="AW181" i="19" s="1"/>
  <c r="AP181" i="19"/>
  <c r="AL181" i="19"/>
  <c r="AO181" i="19" s="1"/>
  <c r="AH181" i="19"/>
  <c r="AJ181" i="19" s="1"/>
  <c r="AF181" i="19"/>
  <c r="AG181" i="19" s="1"/>
  <c r="AB181" i="19"/>
  <c r="AE181" i="19" s="1"/>
  <c r="X181" i="19"/>
  <c r="Z181" i="19" s="1"/>
  <c r="T181" i="19"/>
  <c r="V181" i="19" s="1"/>
  <c r="P181" i="19"/>
  <c r="L181" i="19"/>
  <c r="O181" i="19" s="1"/>
  <c r="H181" i="19"/>
  <c r="J181" i="19" s="1"/>
  <c r="BH180" i="19"/>
  <c r="BG180" i="19"/>
  <c r="BB180" i="19"/>
  <c r="AX180" i="19"/>
  <c r="AT180" i="19"/>
  <c r="AV180" i="19" s="1"/>
  <c r="AP180" i="19"/>
  <c r="AL180" i="19"/>
  <c r="AH180" i="19"/>
  <c r="AK180" i="19" s="1"/>
  <c r="AF180" i="19"/>
  <c r="AG180" i="19" s="1"/>
  <c r="AB180" i="19"/>
  <c r="AD180" i="19" s="1"/>
  <c r="X180" i="19"/>
  <c r="AA180" i="19" s="1"/>
  <c r="T180" i="19"/>
  <c r="V180" i="19" s="1"/>
  <c r="P180" i="19"/>
  <c r="L180" i="19"/>
  <c r="H180" i="19"/>
  <c r="K180" i="19" s="1"/>
  <c r="BH179" i="19"/>
  <c r="BG179" i="19"/>
  <c r="BB179" i="19"/>
  <c r="BE179" i="19" s="1"/>
  <c r="AX179" i="19"/>
  <c r="AT179" i="19"/>
  <c r="AP179" i="19"/>
  <c r="AL179" i="19"/>
  <c r="AH179" i="19"/>
  <c r="AJ179" i="19" s="1"/>
  <c r="AF179" i="19"/>
  <c r="AG179" i="19" s="1"/>
  <c r="AB179" i="19"/>
  <c r="X179" i="19"/>
  <c r="AA179" i="19" s="1"/>
  <c r="T179" i="19"/>
  <c r="W179" i="19" s="1"/>
  <c r="P179" i="19"/>
  <c r="R179" i="19" s="1"/>
  <c r="L179" i="19"/>
  <c r="H179" i="19"/>
  <c r="BH178" i="19"/>
  <c r="BG178" i="19"/>
  <c r="BB178" i="19"/>
  <c r="AX178" i="19"/>
  <c r="BA178" i="19" s="1"/>
  <c r="AT178" i="19"/>
  <c r="AP178" i="19"/>
  <c r="AL178" i="19"/>
  <c r="AH178" i="19"/>
  <c r="AJ178" i="19" s="1"/>
  <c r="AF178" i="19"/>
  <c r="AB178" i="19"/>
  <c r="AD178" i="19" s="1"/>
  <c r="X178" i="19"/>
  <c r="T178" i="19"/>
  <c r="V178" i="19" s="1"/>
  <c r="P178" i="19"/>
  <c r="L178" i="19"/>
  <c r="N178" i="19" s="1"/>
  <c r="H178" i="19"/>
  <c r="J178" i="19" s="1"/>
  <c r="BH177" i="19"/>
  <c r="BG177" i="19"/>
  <c r="BB177" i="19"/>
  <c r="BE177" i="19" s="1"/>
  <c r="AX177" i="19"/>
  <c r="AZ177" i="19" s="1"/>
  <c r="AT177" i="19"/>
  <c r="AP177" i="19"/>
  <c r="AL177" i="19"/>
  <c r="AH177" i="19"/>
  <c r="AJ177" i="19" s="1"/>
  <c r="AF177" i="19"/>
  <c r="AB177" i="19"/>
  <c r="AE177" i="19" s="1"/>
  <c r="X177" i="19"/>
  <c r="Z177" i="19" s="1"/>
  <c r="T177" i="19"/>
  <c r="P177" i="19"/>
  <c r="L177" i="19"/>
  <c r="O177" i="19" s="1"/>
  <c r="H177" i="19"/>
  <c r="J177" i="19" s="1"/>
  <c r="BC176" i="19"/>
  <c r="BB176" i="19"/>
  <c r="AY176" i="19"/>
  <c r="AX176" i="19"/>
  <c r="AU176" i="19"/>
  <c r="AT176" i="19"/>
  <c r="AQ176" i="19"/>
  <c r="AP176" i="19"/>
  <c r="AM176" i="19"/>
  <c r="AL176" i="19"/>
  <c r="AI176" i="19"/>
  <c r="AH176" i="19"/>
  <c r="AC176" i="19"/>
  <c r="AB176" i="19"/>
  <c r="Y176" i="19"/>
  <c r="X176" i="19"/>
  <c r="U176" i="19"/>
  <c r="T176" i="19"/>
  <c r="P176" i="19"/>
  <c r="L176" i="19"/>
  <c r="O176" i="19" s="1"/>
  <c r="I176" i="19"/>
  <c r="BH176" i="19" s="1"/>
  <c r="H176" i="19"/>
  <c r="BH175" i="19"/>
  <c r="AM175" i="19"/>
  <c r="AL175" i="19"/>
  <c r="AP175" i="19" s="1"/>
  <c r="AK175" i="19"/>
  <c r="AJ175" i="19"/>
  <c r="AF175" i="19"/>
  <c r="AG175" i="19" s="1"/>
  <c r="AB175" i="19"/>
  <c r="X175" i="19"/>
  <c r="T175" i="19"/>
  <c r="V175" i="19" s="1"/>
  <c r="P175" i="19"/>
  <c r="S175" i="19" s="1"/>
  <c r="L175" i="19"/>
  <c r="H175" i="19"/>
  <c r="BH174" i="19"/>
  <c r="BG174" i="19"/>
  <c r="BB174" i="19"/>
  <c r="BD174" i="19" s="1"/>
  <c r="AX174" i="19"/>
  <c r="AT174" i="19"/>
  <c r="AP174" i="19"/>
  <c r="AL174" i="19"/>
  <c r="AH174" i="19"/>
  <c r="AF174" i="19"/>
  <c r="AG174" i="19" s="1"/>
  <c r="AB174" i="19"/>
  <c r="AE174" i="19" s="1"/>
  <c r="X174" i="19"/>
  <c r="T174" i="19"/>
  <c r="V174" i="19" s="1"/>
  <c r="P174" i="19"/>
  <c r="L174" i="19"/>
  <c r="O174" i="19" s="1"/>
  <c r="H174" i="19"/>
  <c r="K174" i="19" s="1"/>
  <c r="BC173" i="19"/>
  <c r="BB173" i="19"/>
  <c r="AY173" i="19"/>
  <c r="AX173" i="19"/>
  <c r="AU173" i="19"/>
  <c r="AT173" i="19"/>
  <c r="AQ173" i="19"/>
  <c r="AP173" i="19"/>
  <c r="AM173" i="19"/>
  <c r="AL173" i="19"/>
  <c r="AI173" i="19"/>
  <c r="AH173" i="19"/>
  <c r="AC173" i="19"/>
  <c r="AB173" i="19"/>
  <c r="Y173" i="19"/>
  <c r="X173" i="19"/>
  <c r="U173" i="19"/>
  <c r="T173" i="19"/>
  <c r="Q173" i="19"/>
  <c r="P173" i="19"/>
  <c r="M173" i="19"/>
  <c r="L173" i="19"/>
  <c r="I173" i="19"/>
  <c r="H173" i="19"/>
  <c r="BH172" i="19"/>
  <c r="BG172" i="19"/>
  <c r="BB172" i="19"/>
  <c r="AX172" i="19"/>
  <c r="AT172" i="19"/>
  <c r="AW172" i="19" s="1"/>
  <c r="AP172" i="19"/>
  <c r="AL172" i="19"/>
  <c r="AN172" i="19" s="1"/>
  <c r="AK172" i="19"/>
  <c r="AJ172" i="19"/>
  <c r="AF172" i="19"/>
  <c r="AG172" i="19" s="1"/>
  <c r="AB172" i="19"/>
  <c r="X172" i="19"/>
  <c r="T172" i="19"/>
  <c r="W172" i="19" s="1"/>
  <c r="P172" i="19"/>
  <c r="L172" i="19"/>
  <c r="N172" i="19" s="1"/>
  <c r="H172" i="19"/>
  <c r="BC171" i="19"/>
  <c r="BB171" i="19"/>
  <c r="AY171" i="19"/>
  <c r="AX171" i="19"/>
  <c r="AU171" i="19"/>
  <c r="AT171" i="19"/>
  <c r="AQ171" i="19"/>
  <c r="AP171" i="19"/>
  <c r="AM171" i="19"/>
  <c r="AL171" i="19"/>
  <c r="AI171" i="19"/>
  <c r="AC171" i="19"/>
  <c r="AB171" i="19"/>
  <c r="Y171" i="19"/>
  <c r="X171" i="19"/>
  <c r="U171" i="19"/>
  <c r="T171" i="19"/>
  <c r="Q171" i="19"/>
  <c r="P171" i="19"/>
  <c r="M171" i="19"/>
  <c r="L171" i="19"/>
  <c r="I171" i="19"/>
  <c r="H171" i="19"/>
  <c r="BH170" i="19"/>
  <c r="BG170" i="19"/>
  <c r="BB170" i="19"/>
  <c r="BD170" i="19" s="1"/>
  <c r="AX170" i="19"/>
  <c r="AT170" i="19"/>
  <c r="AP170" i="19"/>
  <c r="AS170" i="19" s="1"/>
  <c r="AL170" i="19"/>
  <c r="AH170" i="19"/>
  <c r="AF170" i="19"/>
  <c r="AB170" i="19"/>
  <c r="AD170" i="19" s="1"/>
  <c r="X170" i="19"/>
  <c r="T170" i="19"/>
  <c r="V170" i="19" s="1"/>
  <c r="P170" i="19"/>
  <c r="S170" i="19" s="1"/>
  <c r="L170" i="19"/>
  <c r="H170" i="19"/>
  <c r="BH169" i="19"/>
  <c r="BG169" i="19"/>
  <c r="BB169" i="19"/>
  <c r="AX169" i="19"/>
  <c r="AZ169" i="19" s="1"/>
  <c r="AT169" i="19"/>
  <c r="AP169" i="19"/>
  <c r="AL169" i="19"/>
  <c r="AO169" i="19" s="1"/>
  <c r="AK169" i="19"/>
  <c r="AJ169" i="19"/>
  <c r="AF169" i="19"/>
  <c r="AG169" i="19" s="1"/>
  <c r="AB169" i="19"/>
  <c r="X169" i="19"/>
  <c r="AA169" i="19" s="1"/>
  <c r="T169" i="19"/>
  <c r="W169" i="19" s="1"/>
  <c r="P169" i="19"/>
  <c r="L169" i="19"/>
  <c r="H169" i="19"/>
  <c r="J169" i="19" s="1"/>
  <c r="BC168" i="19"/>
  <c r="BB168" i="19"/>
  <c r="AY168" i="19"/>
  <c r="AX168" i="19"/>
  <c r="AU168" i="19"/>
  <c r="AT168" i="19"/>
  <c r="AQ168" i="19"/>
  <c r="AP168" i="19"/>
  <c r="AM168" i="19"/>
  <c r="AL168" i="19"/>
  <c r="AI168" i="19"/>
  <c r="AH168" i="19"/>
  <c r="AC168" i="19"/>
  <c r="AB168" i="19"/>
  <c r="Y168" i="19"/>
  <c r="X168" i="19"/>
  <c r="U168" i="19"/>
  <c r="T168" i="19"/>
  <c r="Q168" i="19"/>
  <c r="P168" i="19"/>
  <c r="M168" i="19"/>
  <c r="L168" i="19"/>
  <c r="I168" i="19"/>
  <c r="H168" i="19"/>
  <c r="BC167" i="19"/>
  <c r="BB167" i="19"/>
  <c r="AY167" i="19"/>
  <c r="AX167" i="19"/>
  <c r="AU167" i="19"/>
  <c r="AT167" i="19"/>
  <c r="AQ167" i="19"/>
  <c r="AP167" i="19"/>
  <c r="AM167" i="19"/>
  <c r="AL167" i="19"/>
  <c r="AI167" i="19"/>
  <c r="AH167" i="19"/>
  <c r="AC167" i="19"/>
  <c r="AB167" i="19"/>
  <c r="Y167" i="19"/>
  <c r="X167" i="19"/>
  <c r="U167" i="19"/>
  <c r="T167" i="19"/>
  <c r="Q167" i="19"/>
  <c r="P167" i="19"/>
  <c r="M167" i="19"/>
  <c r="L167" i="19"/>
  <c r="I167" i="19"/>
  <c r="H167" i="19"/>
  <c r="BC166" i="19"/>
  <c r="BB166" i="19"/>
  <c r="AY166" i="19"/>
  <c r="AX166" i="19"/>
  <c r="AU166" i="19"/>
  <c r="AT166" i="19"/>
  <c r="AQ166" i="19"/>
  <c r="AP166" i="19"/>
  <c r="AM166" i="19"/>
  <c r="AL166" i="19"/>
  <c r="AI166" i="19"/>
  <c r="AH166" i="19"/>
  <c r="AC166" i="19"/>
  <c r="AB166" i="19"/>
  <c r="Y166" i="19"/>
  <c r="X166" i="19"/>
  <c r="U166" i="19"/>
  <c r="T166" i="19"/>
  <c r="Q166" i="19"/>
  <c r="P166" i="19"/>
  <c r="M166" i="19"/>
  <c r="L166" i="19"/>
  <c r="I166" i="19"/>
  <c r="H166" i="19"/>
  <c r="BH165" i="19"/>
  <c r="BG165" i="19"/>
  <c r="AF165" i="19"/>
  <c r="AG165" i="19" s="1"/>
  <c r="H165" i="19"/>
  <c r="AB165" i="19" s="1"/>
  <c r="BH164" i="19"/>
  <c r="BG164" i="19"/>
  <c r="AF164" i="19"/>
  <c r="AG164" i="19" s="1"/>
  <c r="H164" i="19"/>
  <c r="BC163" i="19"/>
  <c r="AY163" i="19"/>
  <c r="AU163" i="19"/>
  <c r="AQ163" i="19"/>
  <c r="AM163" i="19"/>
  <c r="AI163" i="19"/>
  <c r="AJ163" i="19" s="1"/>
  <c r="AC163" i="19"/>
  <c r="Y163" i="19"/>
  <c r="U163" i="19"/>
  <c r="Q163" i="19"/>
  <c r="M163" i="19"/>
  <c r="I163" i="19"/>
  <c r="H163" i="19"/>
  <c r="G162" i="19"/>
  <c r="BG160" i="19"/>
  <c r="AL160" i="19"/>
  <c r="AO160" i="19" s="1"/>
  <c r="AK160" i="19"/>
  <c r="AJ160" i="19"/>
  <c r="AF160" i="19"/>
  <c r="AB160" i="19"/>
  <c r="X160" i="19"/>
  <c r="Z160" i="19" s="1"/>
  <c r="T160" i="19"/>
  <c r="P160" i="19"/>
  <c r="S160" i="19" s="1"/>
  <c r="L160" i="19"/>
  <c r="N160" i="19" s="1"/>
  <c r="K160" i="19"/>
  <c r="J160" i="19"/>
  <c r="BG159" i="19"/>
  <c r="AL159" i="19"/>
  <c r="AN159" i="19" s="1"/>
  <c r="AK159" i="19"/>
  <c r="AJ159" i="19"/>
  <c r="AF159" i="19"/>
  <c r="AG159" i="19" s="1"/>
  <c r="AB159" i="19"/>
  <c r="X159" i="19"/>
  <c r="AA159" i="19" s="1"/>
  <c r="T159" i="19"/>
  <c r="P159" i="19"/>
  <c r="R159" i="19" s="1"/>
  <c r="L159" i="19"/>
  <c r="K159" i="19"/>
  <c r="J159" i="19"/>
  <c r="BC158" i="19"/>
  <c r="AY158" i="19"/>
  <c r="AU158" i="19"/>
  <c r="AQ158" i="19"/>
  <c r="AM158" i="19"/>
  <c r="AL158" i="19"/>
  <c r="AP158" i="19" s="1"/>
  <c r="AT158" i="19" s="1"/>
  <c r="AX158" i="19" s="1"/>
  <c r="BB158" i="19" s="1"/>
  <c r="AI158" i="19"/>
  <c r="AK158" i="19" s="1"/>
  <c r="AC158" i="19"/>
  <c r="AB158" i="19"/>
  <c r="Y158" i="19"/>
  <c r="X158" i="19"/>
  <c r="U158" i="19"/>
  <c r="T158" i="19"/>
  <c r="Q158" i="19"/>
  <c r="P158" i="19"/>
  <c r="M158" i="19"/>
  <c r="L158" i="19"/>
  <c r="I158" i="19"/>
  <c r="BC157" i="19"/>
  <c r="AY157" i="19"/>
  <c r="AU157" i="19"/>
  <c r="AQ157" i="19"/>
  <c r="AM157" i="19"/>
  <c r="AL157" i="19"/>
  <c r="AP157" i="19" s="1"/>
  <c r="AI157" i="19"/>
  <c r="AC157" i="19"/>
  <c r="AB157" i="19"/>
  <c r="Y157" i="19"/>
  <c r="X157" i="19"/>
  <c r="U157" i="19"/>
  <c r="T157" i="19"/>
  <c r="Q157" i="19"/>
  <c r="P157" i="19"/>
  <c r="M157" i="19"/>
  <c r="L157" i="19"/>
  <c r="I157" i="19"/>
  <c r="K157" i="19" s="1"/>
  <c r="BG156" i="19"/>
  <c r="AL156" i="19"/>
  <c r="AP156" i="19" s="1"/>
  <c r="AK156" i="19"/>
  <c r="AJ156" i="19"/>
  <c r="AF156" i="19"/>
  <c r="AB156" i="19"/>
  <c r="X156" i="19"/>
  <c r="T156" i="19"/>
  <c r="W156" i="19" s="1"/>
  <c r="P156" i="19"/>
  <c r="L156" i="19"/>
  <c r="N156" i="19" s="1"/>
  <c r="K156" i="19"/>
  <c r="J156" i="19"/>
  <c r="BG155" i="19"/>
  <c r="BF155" i="19"/>
  <c r="BE155" i="19"/>
  <c r="BD155" i="19"/>
  <c r="BA155" i="19"/>
  <c r="AZ155" i="19"/>
  <c r="AW155" i="19"/>
  <c r="AV155" i="19"/>
  <c r="AS155" i="19"/>
  <c r="AR155" i="19"/>
  <c r="BG154" i="19"/>
  <c r="AL154" i="19"/>
  <c r="AK154" i="19"/>
  <c r="AJ154" i="19"/>
  <c r="AF154" i="19"/>
  <c r="AG154" i="19" s="1"/>
  <c r="AB154" i="19"/>
  <c r="X154" i="19"/>
  <c r="AA154" i="19" s="1"/>
  <c r="T154" i="19"/>
  <c r="W154" i="19" s="1"/>
  <c r="P154" i="19"/>
  <c r="L154" i="19"/>
  <c r="K154" i="19"/>
  <c r="J154" i="19"/>
  <c r="BG153" i="19"/>
  <c r="AL153" i="19"/>
  <c r="AK153" i="19"/>
  <c r="AJ153" i="19"/>
  <c r="AF153" i="19"/>
  <c r="AG153" i="19" s="1"/>
  <c r="AB153" i="19"/>
  <c r="X153" i="19"/>
  <c r="T153" i="19"/>
  <c r="P153" i="19"/>
  <c r="L153" i="19"/>
  <c r="O153" i="19" s="1"/>
  <c r="K153" i="19"/>
  <c r="J153" i="19"/>
  <c r="BG152" i="19"/>
  <c r="AP152" i="19"/>
  <c r="AO152" i="19"/>
  <c r="AN152" i="19"/>
  <c r="AH152" i="19"/>
  <c r="AJ152" i="19" s="1"/>
  <c r="AF152" i="19"/>
  <c r="AG152" i="19" s="1"/>
  <c r="AB152" i="19"/>
  <c r="AD152" i="19" s="1"/>
  <c r="X152" i="19"/>
  <c r="AA152" i="19" s="1"/>
  <c r="T152" i="19"/>
  <c r="W152" i="19" s="1"/>
  <c r="P152" i="19"/>
  <c r="L152" i="19"/>
  <c r="N152" i="19" s="1"/>
  <c r="K152" i="19"/>
  <c r="J152" i="19"/>
  <c r="BG151" i="19"/>
  <c r="AH151" i="19"/>
  <c r="AJ151" i="19" s="1"/>
  <c r="AF151" i="19"/>
  <c r="AG151" i="19" s="1"/>
  <c r="AB151" i="19"/>
  <c r="AE151" i="19" s="1"/>
  <c r="X151" i="19"/>
  <c r="AA151" i="19" s="1"/>
  <c r="T151" i="19"/>
  <c r="P151" i="19"/>
  <c r="R151" i="19" s="1"/>
  <c r="L151" i="19"/>
  <c r="N151" i="19" s="1"/>
  <c r="K151" i="19"/>
  <c r="J151" i="19"/>
  <c r="BG150" i="19"/>
  <c r="AL150" i="19"/>
  <c r="AK150" i="19"/>
  <c r="AJ150" i="19"/>
  <c r="AF150" i="19"/>
  <c r="AB150" i="19"/>
  <c r="X150" i="19"/>
  <c r="AA150" i="19" s="1"/>
  <c r="T150" i="19"/>
  <c r="W150" i="19" s="1"/>
  <c r="P150" i="19"/>
  <c r="L150" i="19"/>
  <c r="K150" i="19"/>
  <c r="J150" i="19"/>
  <c r="AL149" i="19"/>
  <c r="AK149" i="19"/>
  <c r="AJ149" i="19"/>
  <c r="AB149" i="19"/>
  <c r="X149" i="19"/>
  <c r="U149" i="19"/>
  <c r="T149" i="19"/>
  <c r="P149" i="19"/>
  <c r="L149" i="19"/>
  <c r="N149" i="19" s="1"/>
  <c r="K149" i="19"/>
  <c r="J149" i="19"/>
  <c r="BC148" i="19"/>
  <c r="AY148" i="19"/>
  <c r="AU148" i="19"/>
  <c r="AQ148" i="19"/>
  <c r="AM148" i="19"/>
  <c r="AL148" i="19"/>
  <c r="AP148" i="19" s="1"/>
  <c r="AI148" i="19"/>
  <c r="AK148" i="19" s="1"/>
  <c r="AC148" i="19"/>
  <c r="AB148" i="19"/>
  <c r="Y148" i="19"/>
  <c r="X148" i="19"/>
  <c r="U148" i="19"/>
  <c r="T148" i="19"/>
  <c r="Q148" i="19"/>
  <c r="P148" i="19"/>
  <c r="M148" i="19"/>
  <c r="L148" i="19"/>
  <c r="I148" i="19"/>
  <c r="K148" i="19" s="1"/>
  <c r="BG147" i="19"/>
  <c r="AL147" i="19"/>
  <c r="AK147" i="19"/>
  <c r="AJ147" i="19"/>
  <c r="AF147" i="19"/>
  <c r="AG147" i="19" s="1"/>
  <c r="AB147" i="19"/>
  <c r="X147" i="19"/>
  <c r="AA147" i="19" s="1"/>
  <c r="T147" i="19"/>
  <c r="W147" i="19" s="1"/>
  <c r="P147" i="19"/>
  <c r="L147" i="19"/>
  <c r="K147" i="19"/>
  <c r="J147" i="19"/>
  <c r="BG146" i="19"/>
  <c r="AL146" i="19"/>
  <c r="AP146" i="19" s="1"/>
  <c r="AR146" i="19" s="1"/>
  <c r="AK146" i="19"/>
  <c r="AJ146" i="19"/>
  <c r="AF146" i="19"/>
  <c r="AG146" i="19" s="1"/>
  <c r="AB146" i="19"/>
  <c r="X146" i="19"/>
  <c r="T146" i="19"/>
  <c r="P146" i="19"/>
  <c r="L146" i="19"/>
  <c r="O146" i="19" s="1"/>
  <c r="K146" i="19"/>
  <c r="J146" i="19"/>
  <c r="BG145" i="19"/>
  <c r="AL145" i="19"/>
  <c r="AK145" i="19"/>
  <c r="AJ145" i="19"/>
  <c r="AF145" i="19"/>
  <c r="AG145" i="19" s="1"/>
  <c r="AB145" i="19"/>
  <c r="X145" i="19"/>
  <c r="AA145" i="19" s="1"/>
  <c r="T145" i="19"/>
  <c r="W145" i="19" s="1"/>
  <c r="P145" i="19"/>
  <c r="L145" i="19"/>
  <c r="N145" i="19" s="1"/>
  <c r="K145" i="19"/>
  <c r="J145" i="19"/>
  <c r="BG144" i="19"/>
  <c r="AL144" i="19"/>
  <c r="AK144" i="19"/>
  <c r="AJ144" i="19"/>
  <c r="AF144" i="19"/>
  <c r="AG144" i="19" s="1"/>
  <c r="AB144" i="19"/>
  <c r="AE144" i="19" s="1"/>
  <c r="X144" i="19"/>
  <c r="T144" i="19"/>
  <c r="P144" i="19"/>
  <c r="R144" i="19" s="1"/>
  <c r="L144" i="19"/>
  <c r="O144" i="19" s="1"/>
  <c r="K144" i="19"/>
  <c r="J144" i="19"/>
  <c r="BG143" i="19"/>
  <c r="AL143" i="19"/>
  <c r="AP143" i="19" s="1"/>
  <c r="AK143" i="19"/>
  <c r="AJ143" i="19"/>
  <c r="AF143" i="19"/>
  <c r="AB143" i="19"/>
  <c r="AE143" i="19" s="1"/>
  <c r="X143" i="19"/>
  <c r="T143" i="19"/>
  <c r="P143" i="19"/>
  <c r="L143" i="19"/>
  <c r="K143" i="19"/>
  <c r="J143" i="19"/>
  <c r="H142" i="19"/>
  <c r="G142" i="19"/>
  <c r="BH140" i="19"/>
  <c r="BG140" i="19"/>
  <c r="AL140" i="19"/>
  <c r="AN140" i="19" s="1"/>
  <c r="AK140" i="19"/>
  <c r="AJ140" i="19"/>
  <c r="AF140" i="19"/>
  <c r="AG140" i="19" s="1"/>
  <c r="AB140" i="19"/>
  <c r="AD140" i="19" s="1"/>
  <c r="X140" i="19"/>
  <c r="T140" i="19"/>
  <c r="P140" i="19"/>
  <c r="L140" i="19"/>
  <c r="K140" i="19"/>
  <c r="J140" i="19"/>
  <c r="BH139" i="19"/>
  <c r="BG139" i="19"/>
  <c r="AL139" i="19"/>
  <c r="AN139" i="19" s="1"/>
  <c r="AK139" i="19"/>
  <c r="AJ139" i="19"/>
  <c r="AF139" i="19"/>
  <c r="AG139" i="19" s="1"/>
  <c r="AB139" i="19"/>
  <c r="AE139" i="19" s="1"/>
  <c r="X139" i="19"/>
  <c r="AA139" i="19" s="1"/>
  <c r="T139" i="19"/>
  <c r="V139" i="19" s="1"/>
  <c r="P139" i="19"/>
  <c r="L139" i="19"/>
  <c r="O139" i="19" s="1"/>
  <c r="K139" i="19"/>
  <c r="J139" i="19"/>
  <c r="BH138" i="19"/>
  <c r="BG138" i="19"/>
  <c r="AL138" i="19"/>
  <c r="AK138" i="19"/>
  <c r="AJ138" i="19"/>
  <c r="AF138" i="19"/>
  <c r="AG138" i="19" s="1"/>
  <c r="H138" i="19"/>
  <c r="L138" i="19" s="1"/>
  <c r="BC137" i="19"/>
  <c r="AY137" i="19"/>
  <c r="AU137" i="19"/>
  <c r="AQ137" i="19"/>
  <c r="AM137" i="19"/>
  <c r="AL137" i="19"/>
  <c r="AP137" i="19" s="1"/>
  <c r="AT137" i="19" s="1"/>
  <c r="AI137" i="19"/>
  <c r="AK137" i="19" s="1"/>
  <c r="AC137" i="19"/>
  <c r="AB137" i="19"/>
  <c r="Y137" i="19"/>
  <c r="U137" i="19"/>
  <c r="V137" i="19" s="1"/>
  <c r="Q137" i="19"/>
  <c r="R137" i="19" s="1"/>
  <c r="M137" i="19"/>
  <c r="N137" i="19" s="1"/>
  <c r="I137" i="19"/>
  <c r="BH136" i="19"/>
  <c r="BG136" i="19"/>
  <c r="AL136" i="19"/>
  <c r="AO136" i="19" s="1"/>
  <c r="AK136" i="19"/>
  <c r="AJ136" i="19"/>
  <c r="AF136" i="19"/>
  <c r="AG136" i="19" s="1"/>
  <c r="AB136" i="19"/>
  <c r="X136" i="19"/>
  <c r="Z136" i="19" s="1"/>
  <c r="T136" i="19"/>
  <c r="V136" i="19" s="1"/>
  <c r="P136" i="19"/>
  <c r="R136" i="19" s="1"/>
  <c r="N136" i="19"/>
  <c r="K136" i="19"/>
  <c r="J136" i="19"/>
  <c r="BH135" i="19"/>
  <c r="BG135" i="19"/>
  <c r="AL135" i="19"/>
  <c r="AP135" i="19" s="1"/>
  <c r="AK135" i="19"/>
  <c r="AJ135" i="19"/>
  <c r="AF135" i="19"/>
  <c r="AG135" i="19" s="1"/>
  <c r="AB135" i="19"/>
  <c r="AE135" i="19" s="1"/>
  <c r="X135" i="19"/>
  <c r="AA135" i="19" s="1"/>
  <c r="T135" i="19"/>
  <c r="V135" i="19" s="1"/>
  <c r="P135" i="19"/>
  <c r="L135" i="19"/>
  <c r="K135" i="19"/>
  <c r="J135" i="19"/>
  <c r="BH134" i="19"/>
  <c r="BG134" i="19"/>
  <c r="AL134" i="19"/>
  <c r="AK134" i="19"/>
  <c r="AJ134" i="19"/>
  <c r="AF134" i="19"/>
  <c r="AG134" i="19" s="1"/>
  <c r="AB134" i="19"/>
  <c r="AE134" i="19" s="1"/>
  <c r="X134" i="19"/>
  <c r="T134" i="19"/>
  <c r="P134" i="19"/>
  <c r="S134" i="19" s="1"/>
  <c r="L134" i="19"/>
  <c r="K134" i="19"/>
  <c r="J134" i="19"/>
  <c r="BH133" i="19"/>
  <c r="BG133" i="19"/>
  <c r="AL133" i="19"/>
  <c r="AO133" i="19" s="1"/>
  <c r="AK133" i="19"/>
  <c r="AJ133" i="19"/>
  <c r="AF133" i="19"/>
  <c r="AG133" i="19" s="1"/>
  <c r="AB133" i="19"/>
  <c r="AD133" i="19" s="1"/>
  <c r="X133" i="19"/>
  <c r="T133" i="19"/>
  <c r="P133" i="19"/>
  <c r="S133" i="19" s="1"/>
  <c r="L133" i="19"/>
  <c r="K133" i="19"/>
  <c r="J133" i="19"/>
  <c r="BH132" i="19"/>
  <c r="BG132" i="19"/>
  <c r="AL132" i="19"/>
  <c r="AN132" i="19" s="1"/>
  <c r="AK132" i="19"/>
  <c r="AJ132" i="19"/>
  <c r="AF132" i="19"/>
  <c r="AB132" i="19"/>
  <c r="X132" i="19"/>
  <c r="AA132" i="19" s="1"/>
  <c r="T132" i="19"/>
  <c r="P132" i="19"/>
  <c r="R132" i="19" s="1"/>
  <c r="L132" i="19"/>
  <c r="O132" i="19" s="1"/>
  <c r="K132" i="19"/>
  <c r="J132" i="19"/>
  <c r="BH131" i="19"/>
  <c r="BG131" i="19"/>
  <c r="AL131" i="19"/>
  <c r="AP131" i="19" s="1"/>
  <c r="AR131" i="19" s="1"/>
  <c r="AK131" i="19"/>
  <c r="AJ131" i="19"/>
  <c r="AF131" i="19"/>
  <c r="AG131" i="19" s="1"/>
  <c r="AB131" i="19"/>
  <c r="X131" i="19"/>
  <c r="AA131" i="19" s="1"/>
  <c r="T131" i="19"/>
  <c r="V131" i="19" s="1"/>
  <c r="P131" i="19"/>
  <c r="R131" i="19" s="1"/>
  <c r="L131" i="19"/>
  <c r="O131" i="19" s="1"/>
  <c r="K131" i="19"/>
  <c r="J131" i="19"/>
  <c r="BH130" i="19"/>
  <c r="BG130" i="19"/>
  <c r="AL130" i="19"/>
  <c r="AP130" i="19" s="1"/>
  <c r="AT130" i="19" s="1"/>
  <c r="AX130" i="19" s="1"/>
  <c r="AK130" i="19"/>
  <c r="AJ130" i="19"/>
  <c r="AF130" i="19"/>
  <c r="AB130" i="19"/>
  <c r="X130" i="19"/>
  <c r="Z130" i="19" s="1"/>
  <c r="T130" i="19"/>
  <c r="V130" i="19" s="1"/>
  <c r="P130" i="19"/>
  <c r="S130" i="19" s="1"/>
  <c r="L130" i="19"/>
  <c r="O130" i="19" s="1"/>
  <c r="K130" i="19"/>
  <c r="J130" i="19"/>
  <c r="BH129" i="19"/>
  <c r="BG129" i="19"/>
  <c r="AL129" i="19"/>
  <c r="AO129" i="19" s="1"/>
  <c r="AK129" i="19"/>
  <c r="AJ129" i="19"/>
  <c r="AF129" i="19"/>
  <c r="AG129" i="19" s="1"/>
  <c r="AB129" i="19"/>
  <c r="X129" i="19"/>
  <c r="AA129" i="19" s="1"/>
  <c r="T129" i="19"/>
  <c r="W129" i="19" s="1"/>
  <c r="P129" i="19"/>
  <c r="L129" i="19"/>
  <c r="N129" i="19" s="1"/>
  <c r="K129" i="19"/>
  <c r="J129" i="19"/>
  <c r="BH128" i="19"/>
  <c r="BG128" i="19"/>
  <c r="AL128" i="19"/>
  <c r="AN128" i="19" s="1"/>
  <c r="AK128" i="19"/>
  <c r="AJ128" i="19"/>
  <c r="AF128" i="19"/>
  <c r="AG128" i="19" s="1"/>
  <c r="AB128" i="19"/>
  <c r="AD128" i="19" s="1"/>
  <c r="X128" i="19"/>
  <c r="T128" i="19"/>
  <c r="W128" i="19" s="1"/>
  <c r="P128" i="19"/>
  <c r="L128" i="19"/>
  <c r="N128" i="19" s="1"/>
  <c r="K128" i="19"/>
  <c r="J128" i="19"/>
  <c r="BH127" i="19"/>
  <c r="BG127" i="19"/>
  <c r="AL127" i="19"/>
  <c r="AO127" i="19" s="1"/>
  <c r="AK127" i="19"/>
  <c r="AJ127" i="19"/>
  <c r="AF127" i="19"/>
  <c r="AG127" i="19" s="1"/>
  <c r="AB127" i="19"/>
  <c r="AE127" i="19" s="1"/>
  <c r="X127" i="19"/>
  <c r="T127" i="19"/>
  <c r="V127" i="19" s="1"/>
  <c r="P127" i="19"/>
  <c r="R127" i="19" s="1"/>
  <c r="L127" i="19"/>
  <c r="K127" i="19"/>
  <c r="J127" i="19"/>
  <c r="BH126" i="19"/>
  <c r="BG126" i="19"/>
  <c r="AL126" i="19"/>
  <c r="AO126" i="19" s="1"/>
  <c r="AK126" i="19"/>
  <c r="AJ126" i="19"/>
  <c r="AF126" i="19"/>
  <c r="AG126" i="19" s="1"/>
  <c r="AB126" i="19"/>
  <c r="X126" i="19"/>
  <c r="T126" i="19"/>
  <c r="P126" i="19"/>
  <c r="S126" i="19" s="1"/>
  <c r="L126" i="19"/>
  <c r="K126" i="19"/>
  <c r="J126" i="19"/>
  <c r="BH125" i="19"/>
  <c r="BG125" i="19"/>
  <c r="AL125" i="19"/>
  <c r="AP125" i="19" s="1"/>
  <c r="AK125" i="19"/>
  <c r="AJ125" i="19"/>
  <c r="AF125" i="19"/>
  <c r="AG125" i="19" s="1"/>
  <c r="AB125" i="19"/>
  <c r="X125" i="19"/>
  <c r="T125" i="19"/>
  <c r="V125" i="19" s="1"/>
  <c r="P125" i="19"/>
  <c r="L125" i="19"/>
  <c r="K125" i="19"/>
  <c r="J125" i="19"/>
  <c r="BC124" i="19"/>
  <c r="AY124" i="19"/>
  <c r="AU124" i="19"/>
  <c r="AQ124" i="19"/>
  <c r="AM124" i="19"/>
  <c r="AL124" i="19"/>
  <c r="AK124" i="19"/>
  <c r="AJ124" i="19"/>
  <c r="AC124" i="19"/>
  <c r="AB124" i="19"/>
  <c r="Y124" i="19"/>
  <c r="X124" i="19"/>
  <c r="U124" i="19"/>
  <c r="T124" i="19"/>
  <c r="Q124" i="19"/>
  <c r="P124" i="19"/>
  <c r="M124" i="19"/>
  <c r="L124" i="19"/>
  <c r="K124" i="19"/>
  <c r="J124" i="19"/>
  <c r="BH123" i="19"/>
  <c r="BG123" i="19"/>
  <c r="AL123" i="19"/>
  <c r="AO123" i="19" s="1"/>
  <c r="AK123" i="19"/>
  <c r="AJ123" i="19"/>
  <c r="AF123" i="19"/>
  <c r="AG123" i="19" s="1"/>
  <c r="AB123" i="19"/>
  <c r="AD123" i="19" s="1"/>
  <c r="X123" i="19"/>
  <c r="Z123" i="19" s="1"/>
  <c r="T123" i="19"/>
  <c r="W123" i="19" s="1"/>
  <c r="P123" i="19"/>
  <c r="S123" i="19" s="1"/>
  <c r="L123" i="19"/>
  <c r="N123" i="19" s="1"/>
  <c r="K123" i="19"/>
  <c r="J123" i="19"/>
  <c r="AL122" i="19"/>
  <c r="AK122" i="19"/>
  <c r="AJ122" i="19"/>
  <c r="I122" i="19"/>
  <c r="BG122" i="19" s="1"/>
  <c r="H122" i="19"/>
  <c r="AH121" i="19"/>
  <c r="G121" i="19"/>
  <c r="BG119" i="19"/>
  <c r="BB119" i="19"/>
  <c r="BD119" i="19" s="1"/>
  <c r="AX119" i="19"/>
  <c r="AZ119" i="19" s="1"/>
  <c r="AT119" i="19"/>
  <c r="AW119" i="19" s="1"/>
  <c r="AP119" i="19"/>
  <c r="AR119" i="19" s="1"/>
  <c r="AL119" i="19"/>
  <c r="AN119" i="19" s="1"/>
  <c r="AK119" i="19"/>
  <c r="AJ119" i="19"/>
  <c r="AF119" i="19"/>
  <c r="AG119" i="19" s="1"/>
  <c r="AB119" i="19"/>
  <c r="AD119" i="19" s="1"/>
  <c r="X119" i="19"/>
  <c r="T119" i="19"/>
  <c r="V119" i="19" s="1"/>
  <c r="P119" i="19"/>
  <c r="L119" i="19"/>
  <c r="K119" i="19"/>
  <c r="J119" i="19"/>
  <c r="BG118" i="19"/>
  <c r="AK118" i="19"/>
  <c r="AJ118" i="19"/>
  <c r="AF118" i="19"/>
  <c r="H118" i="19"/>
  <c r="BG117" i="19"/>
  <c r="AK117" i="19"/>
  <c r="AJ117" i="19"/>
  <c r="AF117" i="19"/>
  <c r="H117" i="19"/>
  <c r="AT117" i="19" s="1"/>
  <c r="BG116" i="19"/>
  <c r="AL116" i="19"/>
  <c r="AN116" i="19" s="1"/>
  <c r="AK116" i="19"/>
  <c r="AJ116" i="19"/>
  <c r="AF116" i="19"/>
  <c r="AG116" i="19" s="1"/>
  <c r="AB116" i="19"/>
  <c r="X116" i="19"/>
  <c r="AA116" i="19" s="1"/>
  <c r="T116" i="19"/>
  <c r="P116" i="19"/>
  <c r="S116" i="19" s="1"/>
  <c r="L116" i="19"/>
  <c r="K116" i="19"/>
  <c r="J116" i="19"/>
  <c r="BC115" i="19"/>
  <c r="BB115" i="19"/>
  <c r="AY115" i="19"/>
  <c r="AX115" i="19"/>
  <c r="AU115" i="19"/>
  <c r="AT115" i="19"/>
  <c r="AQ115" i="19"/>
  <c r="AP115" i="19"/>
  <c r="AM115" i="19"/>
  <c r="AL115" i="19"/>
  <c r="AI115" i="19"/>
  <c r="AK115" i="19" s="1"/>
  <c r="AC115" i="19"/>
  <c r="AB115" i="19"/>
  <c r="Y115" i="19"/>
  <c r="X115" i="19"/>
  <c r="U115" i="19"/>
  <c r="T115" i="19"/>
  <c r="Q115" i="19"/>
  <c r="P115" i="19"/>
  <c r="M115" i="19"/>
  <c r="L115" i="19"/>
  <c r="I115" i="19"/>
  <c r="BC114" i="19"/>
  <c r="BB114" i="19"/>
  <c r="AY114" i="19"/>
  <c r="AU114" i="19"/>
  <c r="AT114" i="19"/>
  <c r="AQ114" i="19"/>
  <c r="AM114" i="19"/>
  <c r="AL114" i="19"/>
  <c r="AI114" i="19"/>
  <c r="AJ114" i="19" s="1"/>
  <c r="AC114" i="19"/>
  <c r="AB114" i="19"/>
  <c r="Y114" i="19"/>
  <c r="AA114" i="19" s="1"/>
  <c r="U114" i="19"/>
  <c r="T114" i="19"/>
  <c r="Q114" i="19"/>
  <c r="P114" i="19"/>
  <c r="M114" i="19"/>
  <c r="L114" i="19"/>
  <c r="I114" i="19"/>
  <c r="J114" i="19" s="1"/>
  <c r="BG113" i="19"/>
  <c r="BE113" i="19"/>
  <c r="BD113" i="19"/>
  <c r="BA113" i="19"/>
  <c r="AZ113" i="19"/>
  <c r="AW113" i="19"/>
  <c r="AV113" i="19"/>
  <c r="AS113" i="19"/>
  <c r="AR113" i="19"/>
  <c r="AO113" i="19"/>
  <c r="AN113" i="19"/>
  <c r="AH113" i="19"/>
  <c r="AF113" i="19"/>
  <c r="AB113" i="19"/>
  <c r="AD113" i="19" s="1"/>
  <c r="X113" i="19"/>
  <c r="Z113" i="19" s="1"/>
  <c r="T113" i="19"/>
  <c r="W113" i="19" s="1"/>
  <c r="P113" i="19"/>
  <c r="R113" i="19" s="1"/>
  <c r="L113" i="19"/>
  <c r="K113" i="19"/>
  <c r="J113" i="19"/>
  <c r="BG112" i="19"/>
  <c r="BB112" i="19"/>
  <c r="BD112" i="19" s="1"/>
  <c r="AX112" i="19"/>
  <c r="BA112" i="19" s="1"/>
  <c r="AT112" i="19"/>
  <c r="AV112" i="19" s="1"/>
  <c r="AP112" i="19"/>
  <c r="AS112" i="19" s="1"/>
  <c r="AL112" i="19"/>
  <c r="AN112" i="19" s="1"/>
  <c r="AK112" i="19"/>
  <c r="AJ112" i="19"/>
  <c r="AF112" i="19"/>
  <c r="AB112" i="19"/>
  <c r="AE112" i="19" s="1"/>
  <c r="X112" i="19"/>
  <c r="Z112" i="19" s="1"/>
  <c r="T112" i="19"/>
  <c r="V112" i="19" s="1"/>
  <c r="P112" i="19"/>
  <c r="R112" i="19" s="1"/>
  <c r="L112" i="19"/>
  <c r="O112" i="19" s="1"/>
  <c r="K112" i="19"/>
  <c r="J112" i="19"/>
  <c r="BB111" i="19"/>
  <c r="BD111" i="19" s="1"/>
  <c r="AX111" i="19"/>
  <c r="AT111" i="19"/>
  <c r="AV111" i="19" s="1"/>
  <c r="AP111" i="19"/>
  <c r="AS111" i="19" s="1"/>
  <c r="AL111" i="19"/>
  <c r="AN111" i="19" s="1"/>
  <c r="AK111" i="19"/>
  <c r="AJ111" i="19"/>
  <c r="AB111" i="19"/>
  <c r="X111" i="19"/>
  <c r="Z111" i="19" s="1"/>
  <c r="T111" i="19"/>
  <c r="W111" i="19" s="1"/>
  <c r="P111" i="19"/>
  <c r="R111" i="19" s="1"/>
  <c r="L111" i="19"/>
  <c r="I111" i="19"/>
  <c r="G110" i="19"/>
  <c r="BH108" i="19"/>
  <c r="AT108" i="19"/>
  <c r="AV108" i="19" s="1"/>
  <c r="AR108" i="19"/>
  <c r="BH107" i="19"/>
  <c r="BG107" i="19"/>
  <c r="AT107" i="19"/>
  <c r="AV107" i="19" s="1"/>
  <c r="AR107" i="19"/>
  <c r="AH107" i="19"/>
  <c r="AF107" i="19"/>
  <c r="BH106" i="19"/>
  <c r="BG106" i="19"/>
  <c r="AL106" i="19"/>
  <c r="AP106" i="19" s="1"/>
  <c r="AS106" i="19" s="1"/>
  <c r="AK106" i="19"/>
  <c r="AJ106" i="19"/>
  <c r="AF106" i="19"/>
  <c r="AG106" i="19" s="1"/>
  <c r="BH105" i="19"/>
  <c r="BG105" i="19"/>
  <c r="AL105" i="19"/>
  <c r="AK105" i="19"/>
  <c r="AJ105" i="19"/>
  <c r="AF105" i="19"/>
  <c r="AG105" i="19" s="1"/>
  <c r="BH104" i="19"/>
  <c r="BG104" i="19"/>
  <c r="AF104" i="19"/>
  <c r="H104" i="19"/>
  <c r="BH103" i="19"/>
  <c r="BG103" i="19"/>
  <c r="AH103" i="19"/>
  <c r="AF103" i="19"/>
  <c r="AB103" i="19"/>
  <c r="X103" i="19"/>
  <c r="T103" i="19"/>
  <c r="P103" i="19"/>
  <c r="L103" i="19"/>
  <c r="K103" i="19"/>
  <c r="J103" i="19"/>
  <c r="BH102" i="19"/>
  <c r="BG102" i="19"/>
  <c r="AL102" i="19"/>
  <c r="AK102" i="19"/>
  <c r="AJ102" i="19"/>
  <c r="AF102" i="19"/>
  <c r="AB102" i="19"/>
  <c r="X102" i="19"/>
  <c r="AA102" i="19" s="1"/>
  <c r="T102" i="19"/>
  <c r="P102" i="19"/>
  <c r="L102" i="19"/>
  <c r="K102" i="19"/>
  <c r="J102" i="19"/>
  <c r="BH101" i="19"/>
  <c r="BG101" i="19"/>
  <c r="AL101" i="19"/>
  <c r="AK101" i="19"/>
  <c r="AJ101" i="19"/>
  <c r="AF101" i="19"/>
  <c r="AG101" i="19" s="1"/>
  <c r="H101" i="19"/>
  <c r="K101" i="19" s="1"/>
  <c r="BH100" i="19"/>
  <c r="BG100" i="19"/>
  <c r="AH100" i="19"/>
  <c r="AJ100" i="19" s="1"/>
  <c r="AF100" i="19"/>
  <c r="AG100" i="19" s="1"/>
  <c r="AB100" i="19"/>
  <c r="X100" i="19"/>
  <c r="AA100" i="19" s="1"/>
  <c r="T100" i="19"/>
  <c r="V100" i="19" s="1"/>
  <c r="P100" i="19"/>
  <c r="L100" i="19"/>
  <c r="K100" i="19"/>
  <c r="J100" i="19"/>
  <c r="BH99" i="19"/>
  <c r="BG99" i="19"/>
  <c r="AH99" i="19"/>
  <c r="AF99" i="19"/>
  <c r="AG99" i="19" s="1"/>
  <c r="AB99" i="19"/>
  <c r="AD99" i="19" s="1"/>
  <c r="X99" i="19"/>
  <c r="Z99" i="19" s="1"/>
  <c r="T99" i="19"/>
  <c r="W99" i="19" s="1"/>
  <c r="P99" i="19"/>
  <c r="L99" i="19"/>
  <c r="N99" i="19" s="1"/>
  <c r="K99" i="19"/>
  <c r="J99" i="19"/>
  <c r="BH98" i="19"/>
  <c r="BG98" i="19"/>
  <c r="AH98" i="19"/>
  <c r="AJ98" i="19" s="1"/>
  <c r="AF98" i="19"/>
  <c r="AG98" i="19" s="1"/>
  <c r="AB98" i="19"/>
  <c r="X98" i="19"/>
  <c r="AA98" i="19" s="1"/>
  <c r="T98" i="19"/>
  <c r="P98" i="19"/>
  <c r="L98" i="19"/>
  <c r="K98" i="19"/>
  <c r="J98" i="19"/>
  <c r="BH97" i="19"/>
  <c r="BG97" i="19"/>
  <c r="AL97" i="19"/>
  <c r="AK97" i="19"/>
  <c r="AJ97" i="19"/>
  <c r="AF97" i="19"/>
  <c r="AG97" i="19" s="1"/>
  <c r="AB97" i="19"/>
  <c r="AE97" i="19" s="1"/>
  <c r="X97" i="19"/>
  <c r="T97" i="19"/>
  <c r="W97" i="19" s="1"/>
  <c r="P97" i="19"/>
  <c r="R97" i="19" s="1"/>
  <c r="L97" i="19"/>
  <c r="K97" i="19"/>
  <c r="J97" i="19"/>
  <c r="BH96" i="19"/>
  <c r="BG96" i="19"/>
  <c r="AL96" i="19"/>
  <c r="AN96" i="19" s="1"/>
  <c r="AK96" i="19"/>
  <c r="AJ96" i="19"/>
  <c r="AF96" i="19"/>
  <c r="AG96" i="19" s="1"/>
  <c r="AB96" i="19"/>
  <c r="AD96" i="19" s="1"/>
  <c r="X96" i="19"/>
  <c r="T96" i="19"/>
  <c r="P96" i="19"/>
  <c r="R96" i="19" s="1"/>
  <c r="L96" i="19"/>
  <c r="K96" i="19"/>
  <c r="J96" i="19"/>
  <c r="BH95" i="19"/>
  <c r="BG95" i="19"/>
  <c r="AL95" i="19"/>
  <c r="AK95" i="19"/>
  <c r="AJ95" i="19"/>
  <c r="AF95" i="19"/>
  <c r="H95" i="19"/>
  <c r="L95" i="19" s="1"/>
  <c r="O95" i="19" s="1"/>
  <c r="BH94" i="19"/>
  <c r="BG94" i="19"/>
  <c r="AL94" i="19"/>
  <c r="AK94" i="19"/>
  <c r="AJ94" i="19"/>
  <c r="AF94" i="19"/>
  <c r="AG94" i="19" s="1"/>
  <c r="AB94" i="19"/>
  <c r="AE94" i="19" s="1"/>
  <c r="X94" i="19"/>
  <c r="Z94" i="19" s="1"/>
  <c r="T94" i="19"/>
  <c r="P94" i="19"/>
  <c r="S94" i="19" s="1"/>
  <c r="L94" i="19"/>
  <c r="O94" i="19" s="1"/>
  <c r="K94" i="19"/>
  <c r="J94" i="19"/>
  <c r="BH93" i="19"/>
  <c r="BG93" i="19"/>
  <c r="AL93" i="19"/>
  <c r="AO93" i="19" s="1"/>
  <c r="AK93" i="19"/>
  <c r="AJ93" i="19"/>
  <c r="AF93" i="19"/>
  <c r="AG93" i="19" s="1"/>
  <c r="AB93" i="19"/>
  <c r="AD93" i="19" s="1"/>
  <c r="X93" i="19"/>
  <c r="T93" i="19"/>
  <c r="V93" i="19" s="1"/>
  <c r="P93" i="19"/>
  <c r="S93" i="19" s="1"/>
  <c r="L93" i="19"/>
  <c r="N93" i="19" s="1"/>
  <c r="K93" i="19"/>
  <c r="J93" i="19"/>
  <c r="BH92" i="19"/>
  <c r="BG92" i="19"/>
  <c r="AL92" i="19"/>
  <c r="AN92" i="19" s="1"/>
  <c r="AK92" i="19"/>
  <c r="AJ92" i="19"/>
  <c r="AF92" i="19"/>
  <c r="AG92" i="19" s="1"/>
  <c r="AB92" i="19"/>
  <c r="X92" i="19"/>
  <c r="Z92" i="19" s="1"/>
  <c r="T92" i="19"/>
  <c r="P92" i="19"/>
  <c r="L92" i="19"/>
  <c r="N92" i="19" s="1"/>
  <c r="K92" i="19"/>
  <c r="J92" i="19"/>
  <c r="BH91" i="19"/>
  <c r="BG91" i="19"/>
  <c r="AH91" i="19"/>
  <c r="AF91" i="19"/>
  <c r="AG91" i="19" s="1"/>
  <c r="AB91" i="19"/>
  <c r="X91" i="19"/>
  <c r="AA91" i="19" s="1"/>
  <c r="T91" i="19"/>
  <c r="W91" i="19" s="1"/>
  <c r="P91" i="19"/>
  <c r="R91" i="19" s="1"/>
  <c r="L91" i="19"/>
  <c r="O91" i="19" s="1"/>
  <c r="K91" i="19"/>
  <c r="J91" i="19"/>
  <c r="BH90" i="19"/>
  <c r="BG90" i="19"/>
  <c r="AL90" i="19"/>
  <c r="AO90" i="19" s="1"/>
  <c r="AK90" i="19"/>
  <c r="AJ90" i="19"/>
  <c r="AF90" i="19"/>
  <c r="AG90" i="19" s="1"/>
  <c r="AB90" i="19"/>
  <c r="AD90" i="19" s="1"/>
  <c r="X90" i="19"/>
  <c r="T90" i="19"/>
  <c r="P90" i="19"/>
  <c r="R90" i="19" s="1"/>
  <c r="L90" i="19"/>
  <c r="N90" i="19" s="1"/>
  <c r="K90" i="19"/>
  <c r="J90" i="19"/>
  <c r="BH89" i="19"/>
  <c r="BG89" i="19"/>
  <c r="AL89" i="19"/>
  <c r="AO89" i="19" s="1"/>
  <c r="AK89" i="19"/>
  <c r="AJ89" i="19"/>
  <c r="AF89" i="19"/>
  <c r="AB89" i="19"/>
  <c r="X89" i="19"/>
  <c r="T89" i="19"/>
  <c r="V89" i="19" s="1"/>
  <c r="P89" i="19"/>
  <c r="R89" i="19" s="1"/>
  <c r="L89" i="19"/>
  <c r="K89" i="19"/>
  <c r="J89" i="19"/>
  <c r="BH88" i="19"/>
  <c r="BG88" i="19"/>
  <c r="AL88" i="19"/>
  <c r="AK88" i="19"/>
  <c r="AJ88" i="19"/>
  <c r="AF88" i="19"/>
  <c r="AB88" i="19"/>
  <c r="X88" i="19"/>
  <c r="Z88" i="19" s="1"/>
  <c r="T88" i="19"/>
  <c r="V88" i="19" s="1"/>
  <c r="P88" i="19"/>
  <c r="L88" i="19"/>
  <c r="K88" i="19"/>
  <c r="J88" i="19"/>
  <c r="BH87" i="19"/>
  <c r="BG87" i="19"/>
  <c r="AL87" i="19"/>
  <c r="AP87" i="19" s="1"/>
  <c r="AK87" i="19"/>
  <c r="AJ87" i="19"/>
  <c r="AF87" i="19"/>
  <c r="AG87" i="19" s="1"/>
  <c r="H87" i="19"/>
  <c r="X87" i="19" s="1"/>
  <c r="BH86" i="19"/>
  <c r="BG86" i="19"/>
  <c r="AH86" i="19"/>
  <c r="AK86" i="19" s="1"/>
  <c r="AF86" i="19"/>
  <c r="AG86" i="19" s="1"/>
  <c r="AB86" i="19"/>
  <c r="X86" i="19"/>
  <c r="Z86" i="19" s="1"/>
  <c r="T86" i="19"/>
  <c r="P86" i="19"/>
  <c r="L86" i="19"/>
  <c r="K86" i="19"/>
  <c r="J86" i="19"/>
  <c r="BH85" i="19"/>
  <c r="BG85" i="19"/>
  <c r="AF85" i="19"/>
  <c r="AG85" i="19" s="1"/>
  <c r="H85" i="19"/>
  <c r="AH85" i="19" s="1"/>
  <c r="AK85" i="19" s="1"/>
  <c r="BC84" i="19"/>
  <c r="AY84" i="19"/>
  <c r="AU84" i="19"/>
  <c r="AQ84" i="19"/>
  <c r="Y84" i="19"/>
  <c r="U84" i="19"/>
  <c r="M84" i="19"/>
  <c r="H84" i="19"/>
  <c r="AB84" i="19" s="1"/>
  <c r="AE84" i="19" s="1"/>
  <c r="BH83" i="19"/>
  <c r="BC83" i="19"/>
  <c r="BG83" i="19" s="1"/>
  <c r="AH83" i="19"/>
  <c r="AL83" i="19" s="1"/>
  <c r="AF83" i="19"/>
  <c r="AG83" i="19" s="1"/>
  <c r="AB83" i="19"/>
  <c r="AD83" i="19" s="1"/>
  <c r="X83" i="19"/>
  <c r="Z83" i="19" s="1"/>
  <c r="T83" i="19"/>
  <c r="V83" i="19" s="1"/>
  <c r="P83" i="19"/>
  <c r="S83" i="19" s="1"/>
  <c r="L83" i="19"/>
  <c r="N83" i="19" s="1"/>
  <c r="K83" i="19"/>
  <c r="J83" i="19"/>
  <c r="AY82" i="19"/>
  <c r="AU82" i="19"/>
  <c r="AQ82" i="19"/>
  <c r="AM82" i="19"/>
  <c r="AM72" i="19" s="1"/>
  <c r="AL82" i="19"/>
  <c r="AI82" i="19"/>
  <c r="AK82" i="19" s="1"/>
  <c r="AC82" i="19"/>
  <c r="AC72" i="19" s="1"/>
  <c r="Y82" i="19"/>
  <c r="U82" i="19"/>
  <c r="Q82" i="19"/>
  <c r="M82" i="19"/>
  <c r="H82" i="19"/>
  <c r="K82" i="19" s="1"/>
  <c r="BH81" i="19"/>
  <c r="BG81" i="19"/>
  <c r="AL81" i="19"/>
  <c r="AO81" i="19" s="1"/>
  <c r="AK81" i="19"/>
  <c r="AJ81" i="19"/>
  <c r="AF81" i="19"/>
  <c r="AB81" i="19"/>
  <c r="AE81" i="19" s="1"/>
  <c r="X81" i="19"/>
  <c r="T81" i="19"/>
  <c r="W81" i="19" s="1"/>
  <c r="P81" i="19"/>
  <c r="R81" i="19" s="1"/>
  <c r="L81" i="19"/>
  <c r="O81" i="19" s="1"/>
  <c r="K81" i="19"/>
  <c r="J81" i="19"/>
  <c r="BH80" i="19"/>
  <c r="AH80" i="19"/>
  <c r="AB80" i="19"/>
  <c r="Y80" i="19"/>
  <c r="X80" i="19"/>
  <c r="T80" i="19"/>
  <c r="P80" i="19"/>
  <c r="R80" i="19" s="1"/>
  <c r="L80" i="19"/>
  <c r="N80" i="19" s="1"/>
  <c r="K80" i="19"/>
  <c r="J80" i="19"/>
  <c r="BH79" i="19"/>
  <c r="BG79" i="19"/>
  <c r="AF79" i="19"/>
  <c r="AG79" i="19" s="1"/>
  <c r="H79" i="19"/>
  <c r="L79" i="19" s="1"/>
  <c r="BH78" i="19"/>
  <c r="BG78" i="19"/>
  <c r="AH78" i="19"/>
  <c r="AL78" i="19" s="1"/>
  <c r="AF78" i="19"/>
  <c r="AB78" i="19"/>
  <c r="AD78" i="19" s="1"/>
  <c r="X78" i="19"/>
  <c r="Z78" i="19" s="1"/>
  <c r="T78" i="19"/>
  <c r="P78" i="19"/>
  <c r="R78" i="19" s="1"/>
  <c r="L78" i="19"/>
  <c r="N78" i="19" s="1"/>
  <c r="K78" i="19"/>
  <c r="J78" i="19"/>
  <c r="BH77" i="19"/>
  <c r="BG77" i="19"/>
  <c r="AH77" i="19"/>
  <c r="AF77" i="19"/>
  <c r="AG77" i="19" s="1"/>
  <c r="AB77" i="19"/>
  <c r="AE77" i="19" s="1"/>
  <c r="X77" i="19"/>
  <c r="AA77" i="19" s="1"/>
  <c r="T77" i="19"/>
  <c r="W77" i="19" s="1"/>
  <c r="P77" i="19"/>
  <c r="R77" i="19" s="1"/>
  <c r="L77" i="19"/>
  <c r="K77" i="19"/>
  <c r="J77" i="19"/>
  <c r="AS76" i="19"/>
  <c r="AD76" i="19"/>
  <c r="Z76" i="19"/>
  <c r="V76" i="19"/>
  <c r="R76" i="19"/>
  <c r="N76" i="19"/>
  <c r="J76" i="19"/>
  <c r="AS75" i="19"/>
  <c r="AD75" i="19"/>
  <c r="AA75" i="19"/>
  <c r="Z75" i="19"/>
  <c r="W75" i="19"/>
  <c r="V75" i="19"/>
  <c r="S75" i="19"/>
  <c r="R75" i="19"/>
  <c r="O75" i="19"/>
  <c r="N75" i="19"/>
  <c r="K75" i="19"/>
  <c r="J75" i="19"/>
  <c r="BG74" i="19"/>
  <c r="AL74" i="19"/>
  <c r="AK74" i="19"/>
  <c r="AJ74" i="19"/>
  <c r="AF74" i="19"/>
  <c r="J74" i="19"/>
  <c r="BG73" i="19"/>
  <c r="AH73" i="19"/>
  <c r="AF73" i="19"/>
  <c r="AG73" i="19" s="1"/>
  <c r="AB73" i="19"/>
  <c r="X73" i="19"/>
  <c r="W73" i="19"/>
  <c r="V73" i="19"/>
  <c r="H73" i="19"/>
  <c r="I72" i="19"/>
  <c r="G72" i="19"/>
  <c r="BC70" i="19"/>
  <c r="AY70" i="19"/>
  <c r="AU70" i="19"/>
  <c r="AQ70" i="19"/>
  <c r="AM70" i="19"/>
  <c r="AL70" i="19"/>
  <c r="AI70" i="19"/>
  <c r="AB70" i="19"/>
  <c r="AD70" i="19" s="1"/>
  <c r="Y70" i="19"/>
  <c r="X70" i="19"/>
  <c r="U70" i="19"/>
  <c r="T70" i="19"/>
  <c r="Q70" i="19"/>
  <c r="P70" i="19"/>
  <c r="M70" i="19"/>
  <c r="L70" i="19"/>
  <c r="I70" i="19"/>
  <c r="BG69" i="19"/>
  <c r="AL69" i="19"/>
  <c r="AN69" i="19" s="1"/>
  <c r="AK69" i="19"/>
  <c r="AJ69" i="19"/>
  <c r="AF69" i="19"/>
  <c r="AB69" i="19"/>
  <c r="AE69" i="19" s="1"/>
  <c r="X69" i="19"/>
  <c r="Z69" i="19" s="1"/>
  <c r="T69" i="19"/>
  <c r="P69" i="19"/>
  <c r="R69" i="19" s="1"/>
  <c r="L69" i="19"/>
  <c r="N69" i="19" s="1"/>
  <c r="K69" i="19"/>
  <c r="J69" i="19"/>
  <c r="BC68" i="19"/>
  <c r="AY68" i="19"/>
  <c r="AU68" i="19"/>
  <c r="AQ68" i="19"/>
  <c r="AM68" i="19"/>
  <c r="AI68" i="19"/>
  <c r="AH68" i="19"/>
  <c r="AL68" i="19" s="1"/>
  <c r="AP68" i="19" s="1"/>
  <c r="AT68" i="19" s="1"/>
  <c r="AX68" i="19" s="1"/>
  <c r="BB68" i="19" s="1"/>
  <c r="AC68" i="19"/>
  <c r="AB68" i="19"/>
  <c r="Y68" i="19"/>
  <c r="X68" i="19"/>
  <c r="U68" i="19"/>
  <c r="T68" i="19"/>
  <c r="Q68" i="19"/>
  <c r="P68" i="19"/>
  <c r="M68" i="19"/>
  <c r="L68" i="19"/>
  <c r="I68" i="19"/>
  <c r="J68" i="19" s="1"/>
  <c r="AT67" i="19"/>
  <c r="AR67" i="19"/>
  <c r="AH67" i="19"/>
  <c r="AK67" i="19" s="1"/>
  <c r="AC67" i="19"/>
  <c r="AB67" i="19"/>
  <c r="X67" i="19"/>
  <c r="Z67" i="19" s="1"/>
  <c r="T67" i="19"/>
  <c r="W67" i="19" s="1"/>
  <c r="Q67" i="19"/>
  <c r="P67" i="19"/>
  <c r="L67" i="19"/>
  <c r="O67" i="19" s="1"/>
  <c r="I67" i="19"/>
  <c r="K67" i="19" s="1"/>
  <c r="BC66" i="19"/>
  <c r="AY66" i="19"/>
  <c r="AU66" i="19"/>
  <c r="AQ66" i="19"/>
  <c r="AM66" i="19"/>
  <c r="AI66" i="19"/>
  <c r="AH66" i="19"/>
  <c r="AL66" i="19" s="1"/>
  <c r="AP66" i="19" s="1"/>
  <c r="AT66" i="19" s="1"/>
  <c r="AX66" i="19" s="1"/>
  <c r="BB66" i="19" s="1"/>
  <c r="AC66" i="19"/>
  <c r="AB66" i="19"/>
  <c r="Y66" i="19"/>
  <c r="X66" i="19"/>
  <c r="U66" i="19"/>
  <c r="T66" i="19"/>
  <c r="Q66" i="19"/>
  <c r="P66" i="19"/>
  <c r="M66" i="19"/>
  <c r="L66" i="19"/>
  <c r="I66" i="19"/>
  <c r="BC65" i="19"/>
  <c r="AY65" i="19"/>
  <c r="AU65" i="19"/>
  <c r="AQ65" i="19"/>
  <c r="AM65" i="19"/>
  <c r="AI65" i="19"/>
  <c r="AH65" i="19"/>
  <c r="AC65" i="19"/>
  <c r="AB65" i="19"/>
  <c r="Y65" i="19"/>
  <c r="X65" i="19"/>
  <c r="U65" i="19"/>
  <c r="T65" i="19"/>
  <c r="Q65" i="19"/>
  <c r="P65" i="19"/>
  <c r="M65" i="19"/>
  <c r="L65" i="19"/>
  <c r="I65" i="19"/>
  <c r="K65" i="19" s="1"/>
  <c r="BG64" i="19"/>
  <c r="AL64" i="19"/>
  <c r="AN64" i="19" s="1"/>
  <c r="AK64" i="19"/>
  <c r="AJ64" i="19"/>
  <c r="AF64" i="19"/>
  <c r="H64" i="19"/>
  <c r="BG63" i="19"/>
  <c r="AL63" i="19"/>
  <c r="AK63" i="19"/>
  <c r="AJ63" i="19"/>
  <c r="AF63" i="19"/>
  <c r="AG63" i="19" s="1"/>
  <c r="AB63" i="19"/>
  <c r="AE63" i="19" s="1"/>
  <c r="X63" i="19"/>
  <c r="AA63" i="19" s="1"/>
  <c r="T63" i="19"/>
  <c r="V63" i="19" s="1"/>
  <c r="P63" i="19"/>
  <c r="L63" i="19"/>
  <c r="N63" i="19" s="1"/>
  <c r="K63" i="19"/>
  <c r="J63" i="19"/>
  <c r="BG62" i="19"/>
  <c r="AL62" i="19"/>
  <c r="AK62" i="19"/>
  <c r="AJ62" i="19"/>
  <c r="AF62" i="19"/>
  <c r="AB62" i="19"/>
  <c r="AD62" i="19" s="1"/>
  <c r="AA62" i="19"/>
  <c r="Z62" i="19"/>
  <c r="T62" i="19"/>
  <c r="W62" i="19" s="1"/>
  <c r="P62" i="19"/>
  <c r="L62" i="19"/>
  <c r="N62" i="19" s="1"/>
  <c r="H62" i="19"/>
  <c r="J62" i="19" s="1"/>
  <c r="BC61" i="19"/>
  <c r="AY61" i="19"/>
  <c r="AU61" i="19"/>
  <c r="AQ61" i="19"/>
  <c r="AM61" i="19"/>
  <c r="AL61" i="19"/>
  <c r="AI61" i="19"/>
  <c r="AJ61" i="19" s="1"/>
  <c r="AB61" i="19"/>
  <c r="AD61" i="19" s="1"/>
  <c r="AA61" i="19"/>
  <c r="Z61" i="19"/>
  <c r="U61" i="19"/>
  <c r="T61" i="19"/>
  <c r="Q61" i="19"/>
  <c r="P61" i="19"/>
  <c r="M61" i="19"/>
  <c r="L61" i="19"/>
  <c r="I61" i="19"/>
  <c r="H61" i="19"/>
  <c r="BG60" i="19"/>
  <c r="AL60" i="19"/>
  <c r="AO60" i="19" s="1"/>
  <c r="AK60" i="19"/>
  <c r="AJ60" i="19"/>
  <c r="AF60" i="19"/>
  <c r="AG60" i="19" s="1"/>
  <c r="H60" i="19"/>
  <c r="BG59" i="19"/>
  <c r="AL59" i="19"/>
  <c r="AK59" i="19"/>
  <c r="AJ59" i="19"/>
  <c r="AF59" i="19"/>
  <c r="AG59" i="19" s="1"/>
  <c r="AB59" i="19"/>
  <c r="AA59" i="19"/>
  <c r="Z59" i="19"/>
  <c r="T59" i="19"/>
  <c r="W59" i="19" s="1"/>
  <c r="P59" i="19"/>
  <c r="L59" i="19"/>
  <c r="O59" i="19" s="1"/>
  <c r="H59" i="19"/>
  <c r="J59" i="19" s="1"/>
  <c r="BG58" i="19"/>
  <c r="AL58" i="19"/>
  <c r="AO58" i="19" s="1"/>
  <c r="AK58" i="19"/>
  <c r="AJ58" i="19"/>
  <c r="AF58" i="19"/>
  <c r="AG58" i="19" s="1"/>
  <c r="H58" i="19"/>
  <c r="X58" i="19" s="1"/>
  <c r="AA58" i="19" s="1"/>
  <c r="BG57" i="19"/>
  <c r="AL57" i="19"/>
  <c r="AN57" i="19" s="1"/>
  <c r="AK57" i="19"/>
  <c r="AJ57" i="19"/>
  <c r="AF57" i="19"/>
  <c r="AG57" i="19" s="1"/>
  <c r="AB57" i="19"/>
  <c r="AE57" i="19" s="1"/>
  <c r="X57" i="19"/>
  <c r="T57" i="19"/>
  <c r="W57" i="19" s="1"/>
  <c r="P57" i="19"/>
  <c r="R57" i="19" s="1"/>
  <c r="O57" i="19"/>
  <c r="N57" i="19"/>
  <c r="K57" i="19"/>
  <c r="J57" i="19"/>
  <c r="BG56" i="19"/>
  <c r="AL56" i="19"/>
  <c r="AO56" i="19" s="1"/>
  <c r="AK56" i="19"/>
  <c r="AJ56" i="19"/>
  <c r="AF56" i="19"/>
  <c r="AG56" i="19" s="1"/>
  <c r="AB56" i="19"/>
  <c r="AD56" i="19" s="1"/>
  <c r="X56" i="19"/>
  <c r="W56" i="19"/>
  <c r="V56" i="19"/>
  <c r="P56" i="19"/>
  <c r="L56" i="19"/>
  <c r="N56" i="19" s="1"/>
  <c r="K56" i="19"/>
  <c r="J56" i="19"/>
  <c r="BC55" i="19"/>
  <c r="AY55" i="19"/>
  <c r="AU55" i="19"/>
  <c r="AQ55" i="19"/>
  <c r="AM55" i="19"/>
  <c r="AI55" i="19"/>
  <c r="AH55" i="19"/>
  <c r="AL55" i="19" s="1"/>
  <c r="AP55" i="19" s="1"/>
  <c r="AT55" i="19" s="1"/>
  <c r="AX55" i="19" s="1"/>
  <c r="BB55" i="19" s="1"/>
  <c r="AC55" i="19"/>
  <c r="AB55" i="19"/>
  <c r="Y55" i="19"/>
  <c r="Z55" i="19" s="1"/>
  <c r="U55" i="19"/>
  <c r="T55" i="19"/>
  <c r="Q55" i="19"/>
  <c r="P55" i="19"/>
  <c r="M55" i="19"/>
  <c r="L55" i="19"/>
  <c r="I55" i="19"/>
  <c r="H55" i="19"/>
  <c r="BG54" i="19"/>
  <c r="AL54" i="19"/>
  <c r="AO54" i="19" s="1"/>
  <c r="AK54" i="19"/>
  <c r="AJ54" i="19"/>
  <c r="AF54" i="19"/>
  <c r="AG54" i="19" s="1"/>
  <c r="AB54" i="19"/>
  <c r="AD54" i="19" s="1"/>
  <c r="AA54" i="19"/>
  <c r="Z54" i="19"/>
  <c r="T54" i="19"/>
  <c r="W54" i="19" s="1"/>
  <c r="P54" i="19"/>
  <c r="L54" i="19"/>
  <c r="H54" i="19"/>
  <c r="BG53" i="19"/>
  <c r="AL53" i="19"/>
  <c r="AN53" i="19" s="1"/>
  <c r="AK53" i="19"/>
  <c r="AJ53" i="19"/>
  <c r="AF53" i="19"/>
  <c r="AG53" i="19" s="1"/>
  <c r="AB53" i="19"/>
  <c r="AA53" i="19"/>
  <c r="Z53" i="19"/>
  <c r="T53" i="19"/>
  <c r="P53" i="19"/>
  <c r="L53" i="19"/>
  <c r="O53" i="19" s="1"/>
  <c r="H53" i="19"/>
  <c r="J53" i="19" s="1"/>
  <c r="BG52" i="19"/>
  <c r="AL52" i="19"/>
  <c r="AO52" i="19" s="1"/>
  <c r="AK52" i="19"/>
  <c r="AJ52" i="19"/>
  <c r="AF52" i="19"/>
  <c r="AG52" i="19" s="1"/>
  <c r="AB52" i="19"/>
  <c r="AD52" i="19" s="1"/>
  <c r="X52" i="19"/>
  <c r="Z52" i="19" s="1"/>
  <c r="T52" i="19"/>
  <c r="P52" i="19"/>
  <c r="S52" i="19" s="1"/>
  <c r="L52" i="19"/>
  <c r="N52" i="19" s="1"/>
  <c r="H52" i="19"/>
  <c r="J52" i="19" s="1"/>
  <c r="BG51" i="19"/>
  <c r="AL51" i="19"/>
  <c r="AN51" i="19" s="1"/>
  <c r="AK51" i="19"/>
  <c r="AJ51" i="19"/>
  <c r="AF51" i="19"/>
  <c r="AG51" i="19" s="1"/>
  <c r="AB51" i="19"/>
  <c r="AA51" i="19"/>
  <c r="Z51" i="19"/>
  <c r="T51" i="19"/>
  <c r="P51" i="19"/>
  <c r="R51" i="19" s="1"/>
  <c r="L51" i="19"/>
  <c r="H51" i="19"/>
  <c r="K51" i="19" s="1"/>
  <c r="BG50" i="19"/>
  <c r="AL50" i="19"/>
  <c r="AK50" i="19"/>
  <c r="AJ50" i="19"/>
  <c r="AF50" i="19"/>
  <c r="X50" i="19"/>
  <c r="Z50" i="19" s="1"/>
  <c r="T50" i="19"/>
  <c r="L50" i="19"/>
  <c r="O50" i="19" s="1"/>
  <c r="H50" i="19"/>
  <c r="J50" i="19" s="1"/>
  <c r="BG49" i="19"/>
  <c r="AL49" i="19"/>
  <c r="AO49" i="19" s="1"/>
  <c r="AK49" i="19"/>
  <c r="AJ49" i="19"/>
  <c r="AF49" i="19"/>
  <c r="AG49" i="19" s="1"/>
  <c r="AB49" i="19"/>
  <c r="AD49" i="19" s="1"/>
  <c r="AA49" i="19"/>
  <c r="Z49" i="19"/>
  <c r="T49" i="19"/>
  <c r="W49" i="19" s="1"/>
  <c r="L49" i="19"/>
  <c r="O49" i="19" s="1"/>
  <c r="H49" i="19"/>
  <c r="BC48" i="19"/>
  <c r="AY48" i="19"/>
  <c r="AU48" i="19"/>
  <c r="AQ48" i="19"/>
  <c r="AM48" i="19"/>
  <c r="AI48" i="19"/>
  <c r="AH48" i="19"/>
  <c r="AC48" i="19"/>
  <c r="AB48" i="19"/>
  <c r="Y48" i="19"/>
  <c r="AA48" i="19" s="1"/>
  <c r="U48" i="19"/>
  <c r="Q48" i="19"/>
  <c r="M48" i="19"/>
  <c r="L48" i="19"/>
  <c r="I48" i="19"/>
  <c r="H48" i="19"/>
  <c r="G47" i="19"/>
  <c r="AG44" i="19"/>
  <c r="BG43" i="19"/>
  <c r="AF43" i="19"/>
  <c r="BF43" i="19" s="1"/>
  <c r="N43" i="19"/>
  <c r="J43" i="19"/>
  <c r="BG42" i="19"/>
  <c r="AF42" i="19"/>
  <c r="AG42" i="19" s="1"/>
  <c r="N42" i="19"/>
  <c r="J42" i="19"/>
  <c r="BG41" i="19"/>
  <c r="AF41" i="19"/>
  <c r="BF41" i="19" s="1"/>
  <c r="N41" i="19"/>
  <c r="J41" i="19"/>
  <c r="BG40" i="19"/>
  <c r="AF40" i="19"/>
  <c r="N40" i="19"/>
  <c r="J40" i="19"/>
  <c r="BB39" i="19"/>
  <c r="AX39" i="19"/>
  <c r="BA39" i="19" s="1"/>
  <c r="AT39" i="19"/>
  <c r="AV39" i="19" s="1"/>
  <c r="AP39" i="19"/>
  <c r="AR39" i="19" s="1"/>
  <c r="AL39" i="19"/>
  <c r="AH39" i="19"/>
  <c r="AK39" i="19" s="1"/>
  <c r="AB39" i="19"/>
  <c r="X39" i="19"/>
  <c r="T39" i="19"/>
  <c r="V39" i="19" s="1"/>
  <c r="P39" i="19"/>
  <c r="S39" i="19" s="1"/>
  <c r="O39" i="19"/>
  <c r="N39" i="19"/>
  <c r="I39" i="19"/>
  <c r="H39" i="19"/>
  <c r="BG38" i="19"/>
  <c r="AF38" i="19"/>
  <c r="BF38" i="19" s="1"/>
  <c r="N38" i="19"/>
  <c r="J38" i="19"/>
  <c r="BG37" i="19"/>
  <c r="AF37" i="19"/>
  <c r="N37" i="19"/>
  <c r="J37" i="19"/>
  <c r="BG36" i="19"/>
  <c r="AF36" i="19"/>
  <c r="BF36" i="19" s="1"/>
  <c r="N36" i="19"/>
  <c r="J36" i="19"/>
  <c r="BG35" i="19"/>
  <c r="AF35" i="19"/>
  <c r="AG35" i="19" s="1"/>
  <c r="N35" i="19"/>
  <c r="J35" i="19"/>
  <c r="BG34" i="19"/>
  <c r="AF34" i="19"/>
  <c r="BF34" i="19" s="1"/>
  <c r="N34" i="19"/>
  <c r="J34" i="19"/>
  <c r="N33" i="19"/>
  <c r="I33" i="19"/>
  <c r="N32" i="19"/>
  <c r="I32" i="19"/>
  <c r="BG32" i="19" s="1"/>
  <c r="AM31" i="19"/>
  <c r="N31" i="19"/>
  <c r="I31" i="19"/>
  <c r="BC30" i="19"/>
  <c r="AY30" i="19"/>
  <c r="AQ30" i="19"/>
  <c r="AM30" i="19"/>
  <c r="AI30" i="19"/>
  <c r="AC30" i="19"/>
  <c r="Y30" i="19"/>
  <c r="U30" i="19"/>
  <c r="Q30" i="19"/>
  <c r="M30" i="19"/>
  <c r="N30" i="19" s="1"/>
  <c r="I30" i="19"/>
  <c r="BG29" i="19"/>
  <c r="AF29" i="19"/>
  <c r="N29" i="19"/>
  <c r="J29" i="19"/>
  <c r="BC28" i="19"/>
  <c r="AY28" i="19"/>
  <c r="AQ28" i="19"/>
  <c r="AM28" i="19"/>
  <c r="AI28" i="19"/>
  <c r="AC28" i="19"/>
  <c r="Y28" i="19"/>
  <c r="U28" i="19"/>
  <c r="Q28" i="19"/>
  <c r="M28" i="19"/>
  <c r="N28" i="19" s="1"/>
  <c r="I28" i="19"/>
  <c r="J28" i="19" s="1"/>
  <c r="BG27" i="19"/>
  <c r="AF27" i="19"/>
  <c r="BF27" i="19" s="1"/>
  <c r="N27" i="19"/>
  <c r="J27" i="19"/>
  <c r="BC26" i="19"/>
  <c r="AY26" i="19"/>
  <c r="AQ26" i="19"/>
  <c r="AM26" i="19"/>
  <c r="AI26" i="19"/>
  <c r="AC26" i="19"/>
  <c r="Y26" i="19"/>
  <c r="U26" i="19"/>
  <c r="Q26" i="19"/>
  <c r="M26" i="19"/>
  <c r="I26" i="19"/>
  <c r="J26" i="19" s="1"/>
  <c r="BG25" i="19"/>
  <c r="AF25" i="19"/>
  <c r="AG25" i="19" s="1"/>
  <c r="N25" i="19"/>
  <c r="J25" i="19"/>
  <c r="BG24" i="19"/>
  <c r="AF24" i="19"/>
  <c r="N24" i="19"/>
  <c r="J24" i="19"/>
  <c r="BG23" i="19"/>
  <c r="AF23" i="19"/>
  <c r="AG23" i="19" s="1"/>
  <c r="N23" i="19"/>
  <c r="J23" i="19"/>
  <c r="BG22" i="19"/>
  <c r="AF22" i="19"/>
  <c r="N22" i="19"/>
  <c r="J22" i="19"/>
  <c r="BG21" i="19"/>
  <c r="AL21" i="19"/>
  <c r="AO21" i="19" s="1"/>
  <c r="AK21" i="19"/>
  <c r="AJ21" i="19"/>
  <c r="AF21" i="19"/>
  <c r="AG21" i="19" s="1"/>
  <c r="AB21" i="19"/>
  <c r="X21" i="19"/>
  <c r="AA21" i="19" s="1"/>
  <c r="T21" i="19"/>
  <c r="P21" i="19"/>
  <c r="S21" i="19" s="1"/>
  <c r="L21" i="19"/>
  <c r="N21" i="19" s="1"/>
  <c r="H21" i="19"/>
  <c r="J21" i="19" s="1"/>
  <c r="BG20" i="19"/>
  <c r="AF20" i="19"/>
  <c r="AG20" i="19" s="1"/>
  <c r="N20" i="19"/>
  <c r="J20" i="19"/>
  <c r="AU19" i="19"/>
  <c r="BG18" i="19"/>
  <c r="BB18" i="19"/>
  <c r="BE18" i="19" s="1"/>
  <c r="AX18" i="19"/>
  <c r="AT18" i="19"/>
  <c r="AV18" i="19" s="1"/>
  <c r="AP18" i="19"/>
  <c r="AR18" i="19" s="1"/>
  <c r="AL18" i="19"/>
  <c r="AO18" i="19" s="1"/>
  <c r="AH18" i="19"/>
  <c r="AF18" i="19"/>
  <c r="AG18" i="19" s="1"/>
  <c r="AB18" i="19"/>
  <c r="AE18" i="19" s="1"/>
  <c r="X18" i="19"/>
  <c r="T18" i="19"/>
  <c r="V18" i="19" s="1"/>
  <c r="P18" i="19"/>
  <c r="R18" i="19" s="1"/>
  <c r="L18" i="19"/>
  <c r="O18" i="19" s="1"/>
  <c r="H18" i="19"/>
  <c r="BG17" i="19"/>
  <c r="BB17" i="19"/>
  <c r="BE17" i="19" s="1"/>
  <c r="AX17" i="19"/>
  <c r="AT17" i="19"/>
  <c r="AV17" i="19" s="1"/>
  <c r="AP17" i="19"/>
  <c r="AR17" i="19" s="1"/>
  <c r="AL17" i="19"/>
  <c r="AO17" i="19" s="1"/>
  <c r="AH17" i="19"/>
  <c r="AF17" i="19"/>
  <c r="AG17" i="19" s="1"/>
  <c r="AB17" i="19"/>
  <c r="AE17" i="19" s="1"/>
  <c r="X17" i="19"/>
  <c r="T17" i="19"/>
  <c r="V17" i="19" s="1"/>
  <c r="P17" i="19"/>
  <c r="S17" i="19" s="1"/>
  <c r="L17" i="19"/>
  <c r="O17" i="19" s="1"/>
  <c r="H17" i="19"/>
  <c r="BG16" i="19"/>
  <c r="BB16" i="19"/>
  <c r="AX16" i="19"/>
  <c r="AT16" i="19"/>
  <c r="AV16" i="19" s="1"/>
  <c r="AP16" i="19"/>
  <c r="AS16" i="19" s="1"/>
  <c r="AL16" i="19"/>
  <c r="AH16" i="19"/>
  <c r="AF16" i="19"/>
  <c r="AG16" i="19" s="1"/>
  <c r="AB16" i="19"/>
  <c r="X16" i="19"/>
  <c r="T16" i="19"/>
  <c r="V16" i="19" s="1"/>
  <c r="P16" i="19"/>
  <c r="R16" i="19" s="1"/>
  <c r="L16" i="19"/>
  <c r="H16" i="19"/>
  <c r="BC15" i="19"/>
  <c r="AY15" i="19"/>
  <c r="AU15" i="19"/>
  <c r="AQ15" i="19"/>
  <c r="AM15" i="19"/>
  <c r="AI15" i="19"/>
  <c r="AC15" i="19"/>
  <c r="Y15" i="19"/>
  <c r="U15" i="19"/>
  <c r="Q15" i="19"/>
  <c r="M15" i="19"/>
  <c r="I15" i="19"/>
  <c r="BG14" i="19"/>
  <c r="AL14" i="19"/>
  <c r="AK14" i="19"/>
  <c r="AJ14" i="19"/>
  <c r="AF14" i="19"/>
  <c r="X14" i="19"/>
  <c r="Z14" i="19" s="1"/>
  <c r="W14" i="19"/>
  <c r="V14" i="19"/>
  <c r="BC13" i="19"/>
  <c r="AY13" i="19"/>
  <c r="AU13" i="19"/>
  <c r="AQ13" i="19"/>
  <c r="AM13" i="19"/>
  <c r="AI13" i="19"/>
  <c r="AH13" i="19"/>
  <c r="AC13" i="19"/>
  <c r="Y13" i="19"/>
  <c r="U13" i="19"/>
  <c r="T13" i="19"/>
  <c r="AB13" i="19" s="1"/>
  <c r="Q13" i="19"/>
  <c r="M13" i="19"/>
  <c r="L13" i="19"/>
  <c r="I13" i="19"/>
  <c r="H13" i="19"/>
  <c r="P13" i="19" s="1"/>
  <c r="R13" i="19" s="1"/>
  <c r="AQ12" i="19"/>
  <c r="BG12" i="19" s="1"/>
  <c r="AL12" i="19"/>
  <c r="AK12" i="19"/>
  <c r="AJ12" i="19"/>
  <c r="AF12" i="19"/>
  <c r="AG12" i="19" s="1"/>
  <c r="AB12" i="19"/>
  <c r="X12" i="19"/>
  <c r="Z12" i="19" s="1"/>
  <c r="T12" i="19"/>
  <c r="P12" i="19"/>
  <c r="S12" i="19" s="1"/>
  <c r="L12" i="19"/>
  <c r="H12" i="19"/>
  <c r="J12" i="19" s="1"/>
  <c r="BC11" i="19"/>
  <c r="AY11" i="19"/>
  <c r="AQ11" i="19"/>
  <c r="AM11" i="19"/>
  <c r="AL11" i="19"/>
  <c r="AI11" i="19"/>
  <c r="AJ11" i="19" s="1"/>
  <c r="AC11" i="19"/>
  <c r="AB11" i="19"/>
  <c r="Y11" i="19"/>
  <c r="X11" i="19"/>
  <c r="U11" i="19"/>
  <c r="T11" i="19"/>
  <c r="Q11" i="19"/>
  <c r="P11" i="19"/>
  <c r="M11" i="19"/>
  <c r="L11" i="19"/>
  <c r="I11" i="19"/>
  <c r="H11" i="19"/>
  <c r="BG10" i="19"/>
  <c r="AF10" i="19"/>
  <c r="BF10" i="19" s="1"/>
  <c r="BC9" i="19"/>
  <c r="AY9" i="19"/>
  <c r="AX9" i="19"/>
  <c r="BB9" i="19" s="1"/>
  <c r="AT9" i="19"/>
  <c r="AV9" i="19" s="1"/>
  <c r="AQ9" i="19"/>
  <c r="AP9" i="19"/>
  <c r="AM9" i="19"/>
  <c r="AL9" i="19"/>
  <c r="AI9" i="19"/>
  <c r="AB9" i="19"/>
  <c r="X9" i="19"/>
  <c r="T9" i="19"/>
  <c r="P9" i="19"/>
  <c r="L9" i="19"/>
  <c r="I9" i="19"/>
  <c r="G7" i="19"/>
  <c r="O77" i="7"/>
  <c r="AI70" i="7"/>
  <c r="N63" i="7"/>
  <c r="M63" i="7"/>
  <c r="L63" i="7"/>
  <c r="K63" i="7"/>
  <c r="J63" i="7"/>
  <c r="I63" i="7"/>
  <c r="H63" i="7"/>
  <c r="G63" i="7"/>
  <c r="F63" i="7"/>
  <c r="E63" i="7"/>
  <c r="D63" i="7"/>
  <c r="C63" i="7"/>
  <c r="R62" i="7"/>
  <c r="O62" i="7"/>
  <c r="P62" i="7" s="1"/>
  <c r="AG62" i="7" s="1"/>
  <c r="R61" i="7"/>
  <c r="O61" i="7"/>
  <c r="P61" i="7" s="1"/>
  <c r="AA61" i="7" s="1"/>
  <c r="R60" i="7"/>
  <c r="O60" i="7"/>
  <c r="P60" i="7" s="1"/>
  <c r="V60" i="7" s="1"/>
  <c r="AI59" i="7"/>
  <c r="R59" i="7"/>
  <c r="O59" i="7"/>
  <c r="P59" i="7" s="1"/>
  <c r="R58" i="7"/>
  <c r="O58" i="7"/>
  <c r="P58" i="7" s="1"/>
  <c r="AC58" i="7" s="1"/>
  <c r="R57" i="7"/>
  <c r="O57" i="7"/>
  <c r="P57" i="7" s="1"/>
  <c r="W57" i="7" s="1"/>
  <c r="AI56" i="7"/>
  <c r="R56" i="7"/>
  <c r="O56" i="7"/>
  <c r="P56" i="7" s="1"/>
  <c r="R55" i="7"/>
  <c r="O55" i="7"/>
  <c r="P55" i="7" s="1"/>
  <c r="R54" i="7"/>
  <c r="O54" i="7"/>
  <c r="P54" i="7" s="1"/>
  <c r="R53" i="7"/>
  <c r="O53" i="7"/>
  <c r="P53" i="7" s="1"/>
  <c r="V53" i="7" s="1"/>
  <c r="AH53" i="7" s="1"/>
  <c r="R52" i="7"/>
  <c r="O52" i="7"/>
  <c r="P52" i="7" s="1"/>
  <c r="R51" i="7"/>
  <c r="O51" i="7"/>
  <c r="P51" i="7" s="1"/>
  <c r="R50" i="7"/>
  <c r="O50" i="7"/>
  <c r="P50" i="7" s="1"/>
  <c r="R49" i="7"/>
  <c r="O49" i="7"/>
  <c r="P49" i="7" s="1"/>
  <c r="AD49" i="7" s="1"/>
  <c r="AI48" i="7"/>
  <c r="R48" i="7"/>
  <c r="O48" i="7"/>
  <c r="P48" i="7" s="1"/>
  <c r="R47" i="7"/>
  <c r="O47" i="7"/>
  <c r="P47" i="7" s="1"/>
  <c r="AF47" i="7" s="1"/>
  <c r="R46" i="7"/>
  <c r="O46" i="7"/>
  <c r="P46" i="7" s="1"/>
  <c r="AI45" i="7"/>
  <c r="R45" i="7"/>
  <c r="O45" i="7"/>
  <c r="P45" i="7" s="1"/>
  <c r="V45" i="7" s="1"/>
  <c r="R44" i="7"/>
  <c r="O44" i="7"/>
  <c r="P44" i="7" s="1"/>
  <c r="R43" i="7"/>
  <c r="O43" i="7"/>
  <c r="P43" i="7" s="1"/>
  <c r="V43" i="7" s="1"/>
  <c r="AF43" i="7" s="1"/>
  <c r="R42" i="7"/>
  <c r="O42" i="7"/>
  <c r="P42" i="7" s="1"/>
  <c r="R41" i="7"/>
  <c r="O41" i="7"/>
  <c r="P41" i="7" s="1"/>
  <c r="X41" i="7" s="1"/>
  <c r="R40" i="7"/>
  <c r="O40" i="7"/>
  <c r="P40" i="7" s="1"/>
  <c r="R39" i="7"/>
  <c r="O39" i="7"/>
  <c r="P39" i="7" s="1"/>
  <c r="W39" i="7" s="1"/>
  <c r="R38" i="7"/>
  <c r="O38" i="7"/>
  <c r="P38" i="7" s="1"/>
  <c r="Y38" i="7" s="1"/>
  <c r="R37" i="7"/>
  <c r="O37" i="7"/>
  <c r="P37" i="7" s="1"/>
  <c r="W37" i="7" s="1"/>
  <c r="R36" i="7"/>
  <c r="O36" i="7"/>
  <c r="P36" i="7" s="1"/>
  <c r="Y36" i="7" s="1"/>
  <c r="R35" i="7"/>
  <c r="O35" i="7"/>
  <c r="P35" i="7" s="1"/>
  <c r="W35" i="7" s="1"/>
  <c r="R34" i="7"/>
  <c r="O34" i="7"/>
  <c r="P34" i="7" s="1"/>
  <c r="R33" i="7"/>
  <c r="O33" i="7"/>
  <c r="P33" i="7" s="1"/>
  <c r="R32" i="7"/>
  <c r="O32" i="7"/>
  <c r="P32" i="7" s="1"/>
  <c r="AI31" i="7"/>
  <c r="R31" i="7"/>
  <c r="O31" i="7"/>
  <c r="P31" i="7" s="1"/>
  <c r="R30" i="7"/>
  <c r="O30" i="7"/>
  <c r="P30" i="7" s="1"/>
  <c r="V30" i="7" s="1"/>
  <c r="R29" i="7"/>
  <c r="O29" i="7"/>
  <c r="P29" i="7" s="1"/>
  <c r="R28" i="7"/>
  <c r="O28" i="7"/>
  <c r="P28" i="7" s="1"/>
  <c r="V28" i="7" s="1"/>
  <c r="W28" i="7" s="1"/>
  <c r="R27" i="7"/>
  <c r="O27" i="7"/>
  <c r="P27" i="7" s="1"/>
  <c r="V27" i="7" s="1"/>
  <c r="AG27" i="7" s="1"/>
  <c r="R26" i="7"/>
  <c r="O26" i="7"/>
  <c r="P26" i="7" s="1"/>
  <c r="V26" i="7" s="1"/>
  <c r="R25" i="7"/>
  <c r="O25" i="7"/>
  <c r="P25" i="7" s="1"/>
  <c r="Y25" i="7" s="1"/>
  <c r="R24" i="7"/>
  <c r="O24" i="7"/>
  <c r="P24" i="7" s="1"/>
  <c r="AI23" i="7"/>
  <c r="R23" i="7"/>
  <c r="O23" i="7"/>
  <c r="P23" i="7" s="1"/>
  <c r="V23" i="7" s="1"/>
  <c r="R22" i="7"/>
  <c r="O22" i="7"/>
  <c r="P22" i="7" s="1"/>
  <c r="R21" i="7"/>
  <c r="O21" i="7"/>
  <c r="P21" i="7" s="1"/>
  <c r="V21" i="7" s="1"/>
  <c r="AH21" i="7" s="1"/>
  <c r="R20" i="7"/>
  <c r="O20" i="7"/>
  <c r="P20" i="7" s="1"/>
  <c r="R19" i="7"/>
  <c r="O19" i="7"/>
  <c r="P19" i="7" s="1"/>
  <c r="Y19" i="7" s="1"/>
  <c r="R18" i="7"/>
  <c r="O18" i="7"/>
  <c r="P18" i="7" s="1"/>
  <c r="R17" i="7"/>
  <c r="O17" i="7"/>
  <c r="P17" i="7" s="1"/>
  <c r="V17" i="7" s="1"/>
  <c r="R16" i="7"/>
  <c r="O16" i="7"/>
  <c r="P16" i="7" s="1"/>
  <c r="X16" i="7" s="1"/>
  <c r="R15" i="7"/>
  <c r="O15" i="7"/>
  <c r="P15" i="7" s="1"/>
  <c r="Y15" i="7" s="1"/>
  <c r="R14" i="7"/>
  <c r="O14" i="7"/>
  <c r="P14" i="7" s="1"/>
  <c r="Z14" i="7" s="1"/>
  <c r="R13" i="7"/>
  <c r="O13" i="7"/>
  <c r="P13" i="7" s="1"/>
  <c r="V13" i="7" s="1"/>
  <c r="AC13" i="7" s="1"/>
  <c r="R12" i="7"/>
  <c r="O12" i="7"/>
  <c r="P12" i="7" s="1"/>
  <c r="Z12" i="7" s="1"/>
  <c r="AI11" i="7"/>
  <c r="R11" i="7"/>
  <c r="O11" i="7"/>
  <c r="P11" i="7" s="1"/>
  <c r="R10" i="7"/>
  <c r="O10" i="7"/>
  <c r="P10" i="7" s="1"/>
  <c r="Y10" i="7" s="1"/>
  <c r="AI9" i="7"/>
  <c r="R9" i="7"/>
  <c r="O9" i="7"/>
  <c r="P9" i="7" s="1"/>
  <c r="R8" i="7"/>
  <c r="O8" i="7"/>
  <c r="P8" i="7" s="1"/>
  <c r="R7" i="7"/>
  <c r="O7" i="7"/>
  <c r="P7" i="7" s="1"/>
  <c r="V7" i="7" s="1"/>
  <c r="W7" i="7" s="1"/>
  <c r="R6" i="7"/>
  <c r="O6" i="7"/>
  <c r="P6" i="7" s="1"/>
  <c r="R5" i="7"/>
  <c r="O5" i="7"/>
  <c r="P5" i="7" s="1"/>
  <c r="Z5" i="7" s="1"/>
  <c r="R4" i="7"/>
  <c r="O4" i="7"/>
  <c r="P4" i="7" s="1"/>
  <c r="V4" i="7" s="1"/>
  <c r="Q4" i="7" l="1"/>
  <c r="M71" i="16"/>
  <c r="BD115" i="19"/>
  <c r="AU121" i="19"/>
  <c r="AN60" i="19"/>
  <c r="N91" i="19"/>
  <c r="AP60" i="19"/>
  <c r="AR60" i="19" s="1"/>
  <c r="AZ188" i="19"/>
  <c r="AQ121" i="19"/>
  <c r="L58" i="19"/>
  <c r="N58" i="19" s="1"/>
  <c r="O115" i="19"/>
  <c r="W115" i="19"/>
  <c r="O123" i="19"/>
  <c r="AP127" i="19"/>
  <c r="AT127" i="19" s="1"/>
  <c r="AW127" i="19" s="1"/>
  <c r="AY142" i="19"/>
  <c r="AQ72" i="19"/>
  <c r="O152" i="19"/>
  <c r="K169" i="19"/>
  <c r="V169" i="19"/>
  <c r="S13" i="19"/>
  <c r="AP132" i="19"/>
  <c r="AS132" i="19" s="1"/>
  <c r="AO135" i="19"/>
  <c r="AO166" i="19"/>
  <c r="BE166" i="19"/>
  <c r="O167" i="19"/>
  <c r="P111" i="16"/>
  <c r="Z162" i="16"/>
  <c r="AA177" i="16"/>
  <c r="Q11" i="7"/>
  <c r="AO69" i="19"/>
  <c r="V111" i="19"/>
  <c r="AR115" i="19"/>
  <c r="W16" i="19"/>
  <c r="AR16" i="19"/>
  <c r="AG34" i="19"/>
  <c r="AI72" i="19"/>
  <c r="N94" i="19"/>
  <c r="Z129" i="19"/>
  <c r="R130" i="19"/>
  <c r="AR130" i="19"/>
  <c r="W131" i="19"/>
  <c r="S144" i="19"/>
  <c r="AD144" i="19"/>
  <c r="AM142" i="19"/>
  <c r="S157" i="19"/>
  <c r="S159" i="19"/>
  <c r="AP159" i="19"/>
  <c r="AA160" i="19"/>
  <c r="W168" i="19"/>
  <c r="N174" i="19"/>
  <c r="W181" i="19"/>
  <c r="AV181" i="19"/>
  <c r="W184" i="19"/>
  <c r="AG71" i="16"/>
  <c r="AG45" i="16" s="1"/>
  <c r="AA73" i="16"/>
  <c r="I124" i="16"/>
  <c r="K142" i="16"/>
  <c r="AX148" i="16"/>
  <c r="U47" i="19"/>
  <c r="V147" i="19"/>
  <c r="BA191" i="19"/>
  <c r="V49" i="7"/>
  <c r="AE49" i="7" s="1"/>
  <c r="O63" i="19"/>
  <c r="Z63" i="19"/>
  <c r="AF65" i="19"/>
  <c r="AG65" i="19" s="1"/>
  <c r="AD77" i="19"/>
  <c r="AE78" i="19"/>
  <c r="L85" i="19"/>
  <c r="N85" i="19" s="1"/>
  <c r="W89" i="19"/>
  <c r="AA99" i="19"/>
  <c r="AB138" i="19"/>
  <c r="AE138" i="19" s="1"/>
  <c r="M142" i="19"/>
  <c r="W148" i="19"/>
  <c r="AC142" i="19"/>
  <c r="V154" i="19"/>
  <c r="V172" i="19"/>
  <c r="N173" i="19"/>
  <c r="Y148" i="16"/>
  <c r="AA148" i="16" s="1"/>
  <c r="AF39" i="19"/>
  <c r="BF39" i="19" s="1"/>
  <c r="BG39" i="19"/>
  <c r="R54" i="19"/>
  <c r="S54" i="19"/>
  <c r="AG37" i="19"/>
  <c r="BF37" i="19"/>
  <c r="V53" i="19"/>
  <c r="W53" i="19"/>
  <c r="BF40" i="19"/>
  <c r="AG40" i="19"/>
  <c r="AP59" i="19"/>
  <c r="AS59" i="19" s="1"/>
  <c r="AN59" i="19"/>
  <c r="R67" i="19"/>
  <c r="S90" i="19"/>
  <c r="AP90" i="19"/>
  <c r="AT90" i="19" s="1"/>
  <c r="AW90" i="19" s="1"/>
  <c r="R93" i="19"/>
  <c r="AE93" i="19"/>
  <c r="AX107" i="19"/>
  <c r="BB107" i="19" s="1"/>
  <c r="BE107" i="19" s="1"/>
  <c r="BA115" i="19"/>
  <c r="AO119" i="19"/>
  <c r="AY121" i="19"/>
  <c r="N132" i="19"/>
  <c r="Z132" i="19"/>
  <c r="AO146" i="19"/>
  <c r="V150" i="19"/>
  <c r="S151" i="19"/>
  <c r="Z154" i="19"/>
  <c r="N157" i="19"/>
  <c r="AE157" i="19"/>
  <c r="AP160" i="19"/>
  <c r="AR160" i="19" s="1"/>
  <c r="N166" i="19"/>
  <c r="R175" i="19"/>
  <c r="BD179" i="19"/>
  <c r="N192" i="19"/>
  <c r="Q56" i="7"/>
  <c r="AZ9" i="19"/>
  <c r="AY19" i="19"/>
  <c r="AM19" i="19"/>
  <c r="BG31" i="19"/>
  <c r="AC47" i="19"/>
  <c r="O66" i="19"/>
  <c r="AE66" i="19"/>
  <c r="O69" i="19"/>
  <c r="AA69" i="19"/>
  <c r="AN70" i="19"/>
  <c r="AO82" i="19"/>
  <c r="AE83" i="19"/>
  <c r="AN106" i="19"/>
  <c r="BE119" i="19"/>
  <c r="AI121" i="19"/>
  <c r="AJ121" i="19" s="1"/>
  <c r="AF124" i="19"/>
  <c r="U121" i="19"/>
  <c r="AM121" i="19"/>
  <c r="BC121" i="19"/>
  <c r="O128" i="19"/>
  <c r="Z135" i="19"/>
  <c r="AE140" i="19"/>
  <c r="AD143" i="19"/>
  <c r="Z147" i="19"/>
  <c r="L165" i="19"/>
  <c r="O165" i="19" s="1"/>
  <c r="AS166" i="19"/>
  <c r="AO168" i="19"/>
  <c r="BE168" i="19"/>
  <c r="Z169" i="19"/>
  <c r="J171" i="19"/>
  <c r="AW171" i="19"/>
  <c r="J174" i="19"/>
  <c r="AE185" i="19"/>
  <c r="AO185" i="19"/>
  <c r="BA185" i="19"/>
  <c r="V186" i="19"/>
  <c r="AE187" i="19"/>
  <c r="N189" i="19"/>
  <c r="J84" i="16"/>
  <c r="V85" i="16"/>
  <c r="S92" i="16"/>
  <c r="N93" i="16"/>
  <c r="BE9" i="19"/>
  <c r="S55" i="19"/>
  <c r="BE66" i="19"/>
  <c r="BE114" i="19"/>
  <c r="S63" i="19"/>
  <c r="R63" i="19"/>
  <c r="AO78" i="19"/>
  <c r="AN78" i="19"/>
  <c r="O111" i="19"/>
  <c r="N111" i="19"/>
  <c r="O134" i="19"/>
  <c r="N134" i="19"/>
  <c r="O140" i="19"/>
  <c r="N140" i="19"/>
  <c r="AD149" i="19"/>
  <c r="AE149" i="19"/>
  <c r="AP153" i="19"/>
  <c r="AR153" i="19" s="1"/>
  <c r="AO153" i="19"/>
  <c r="AS174" i="19"/>
  <c r="AR174" i="19"/>
  <c r="AV177" i="19"/>
  <c r="AW177" i="19"/>
  <c r="AO179" i="19"/>
  <c r="AN179" i="19"/>
  <c r="AD183" i="19"/>
  <c r="AE183" i="19"/>
  <c r="AJ187" i="19"/>
  <c r="AK187" i="19"/>
  <c r="Q35" i="7"/>
  <c r="N13" i="19"/>
  <c r="AE13" i="19"/>
  <c r="AP21" i="19"/>
  <c r="AT21" i="19" s="1"/>
  <c r="BF42" i="19"/>
  <c r="Z48" i="19"/>
  <c r="AI47" i="19"/>
  <c r="AP49" i="19"/>
  <c r="AR49" i="19" s="1"/>
  <c r="J55" i="19"/>
  <c r="N77" i="19"/>
  <c r="O77" i="19"/>
  <c r="AY72" i="19"/>
  <c r="AE92" i="19"/>
  <c r="AD92" i="19"/>
  <c r="O126" i="19"/>
  <c r="N126" i="19"/>
  <c r="O147" i="19"/>
  <c r="N147" i="19"/>
  <c r="W177" i="19"/>
  <c r="V177" i="19"/>
  <c r="AA178" i="19"/>
  <c r="Z178" i="19"/>
  <c r="R183" i="19"/>
  <c r="S183" i="19"/>
  <c r="M124" i="16"/>
  <c r="O139" i="16"/>
  <c r="N139" i="16"/>
  <c r="Q28" i="7"/>
  <c r="Q30" i="7"/>
  <c r="Q39" i="7"/>
  <c r="Q41" i="7"/>
  <c r="Y49" i="7"/>
  <c r="Y62" i="7"/>
  <c r="AN9" i="19"/>
  <c r="AW9" i="19"/>
  <c r="O13" i="19"/>
  <c r="S18" i="19"/>
  <c r="AS18" i="19"/>
  <c r="AF31" i="19"/>
  <c r="BF31" i="19" s="1"/>
  <c r="O52" i="19"/>
  <c r="AN54" i="19"/>
  <c r="O55" i="19"/>
  <c r="AE56" i="19"/>
  <c r="V57" i="19"/>
  <c r="J61" i="19"/>
  <c r="AE80" i="19"/>
  <c r="AD80" i="19"/>
  <c r="Z97" i="19"/>
  <c r="AA97" i="19"/>
  <c r="W140" i="19"/>
  <c r="V140" i="19"/>
  <c r="W146" i="19"/>
  <c r="V146" i="19"/>
  <c r="AJ157" i="19"/>
  <c r="AK157" i="19"/>
  <c r="AA170" i="19"/>
  <c r="Z170" i="19"/>
  <c r="BA174" i="19"/>
  <c r="AZ174" i="19"/>
  <c r="AE189" i="19"/>
  <c r="AD189" i="19"/>
  <c r="AV192" i="19"/>
  <c r="AW192" i="19"/>
  <c r="N125" i="16"/>
  <c r="O125" i="16"/>
  <c r="AE7" i="7"/>
  <c r="Y53" i="7"/>
  <c r="K13" i="19"/>
  <c r="P19" i="19"/>
  <c r="O21" i="19"/>
  <c r="Z21" i="19"/>
  <c r="Y19" i="19"/>
  <c r="AQ19" i="19"/>
  <c r="N97" i="19"/>
  <c r="O97" i="19"/>
  <c r="V116" i="19"/>
  <c r="W116" i="19"/>
  <c r="AA125" i="19"/>
  <c r="Z125" i="19"/>
  <c r="W126" i="19"/>
  <c r="V126" i="19"/>
  <c r="Z137" i="19"/>
  <c r="Y121" i="19"/>
  <c r="AO149" i="19"/>
  <c r="AP149" i="19"/>
  <c r="AT149" i="19" s="1"/>
  <c r="AV149" i="19" s="1"/>
  <c r="AN149" i="19"/>
  <c r="Y142" i="19"/>
  <c r="AA174" i="19"/>
  <c r="Z174" i="19"/>
  <c r="AW178" i="19"/>
  <c r="AV178" i="19"/>
  <c r="K183" i="19"/>
  <c r="J183" i="19"/>
  <c r="AO183" i="19"/>
  <c r="AN183" i="19"/>
  <c r="W190" i="19"/>
  <c r="V190" i="19"/>
  <c r="J191" i="19"/>
  <c r="K191" i="19"/>
  <c r="AN66" i="19"/>
  <c r="AB85" i="19"/>
  <c r="AD85" i="19" s="1"/>
  <c r="AR106" i="19"/>
  <c r="AN114" i="19"/>
  <c r="AE115" i="19"/>
  <c r="AJ166" i="19"/>
  <c r="AZ166" i="19"/>
  <c r="R167" i="19"/>
  <c r="AJ167" i="19"/>
  <c r="AZ167" i="19"/>
  <c r="K168" i="19"/>
  <c r="BA173" i="19"/>
  <c r="AA186" i="19"/>
  <c r="BF190" i="19"/>
  <c r="BA7" i="16"/>
  <c r="AI111" i="16"/>
  <c r="AY111" i="16"/>
  <c r="BD68" i="19"/>
  <c r="AJ7" i="16"/>
  <c r="J67" i="19"/>
  <c r="AK68" i="19"/>
  <c r="O80" i="19"/>
  <c r="AA80" i="19"/>
  <c r="AK83" i="19"/>
  <c r="M72" i="19"/>
  <c r="AU72" i="19"/>
  <c r="J85" i="19"/>
  <c r="AL85" i="19"/>
  <c r="AN85" i="19" s="1"/>
  <c r="AL86" i="19"/>
  <c r="AN86" i="19" s="1"/>
  <c r="V91" i="19"/>
  <c r="AO96" i="19"/>
  <c r="Z98" i="19"/>
  <c r="AK100" i="19"/>
  <c r="Z102" i="19"/>
  <c r="AR111" i="19"/>
  <c r="S112" i="19"/>
  <c r="S114" i="19"/>
  <c r="AK114" i="19"/>
  <c r="R116" i="19"/>
  <c r="AV119" i="19"/>
  <c r="AN123" i="19"/>
  <c r="W125" i="19"/>
  <c r="R126" i="19"/>
  <c r="AN127" i="19"/>
  <c r="V128" i="19"/>
  <c r="K138" i="19"/>
  <c r="AE152" i="19"/>
  <c r="AA157" i="19"/>
  <c r="AN157" i="19"/>
  <c r="BC142" i="19"/>
  <c r="AU142" i="19"/>
  <c r="AD166" i="19"/>
  <c r="AO173" i="19"/>
  <c r="W174" i="19"/>
  <c r="AD174" i="19"/>
  <c r="K178" i="19"/>
  <c r="W178" i="19"/>
  <c r="AE178" i="19"/>
  <c r="AZ178" i="19"/>
  <c r="AK179" i="19"/>
  <c r="AE180" i="19"/>
  <c r="AJ180" i="19"/>
  <c r="AW180" i="19"/>
  <c r="O183" i="19"/>
  <c r="BG184" i="19"/>
  <c r="AO187" i="19"/>
  <c r="AR189" i="19"/>
  <c r="AK190" i="19"/>
  <c r="AW190" i="19"/>
  <c r="AE191" i="19"/>
  <c r="AO191" i="19"/>
  <c r="AS192" i="19"/>
  <c r="Z9" i="16"/>
  <c r="Q71" i="16"/>
  <c r="R120" i="16"/>
  <c r="BC8" i="16"/>
  <c r="AD124" i="16"/>
  <c r="AW45" i="16"/>
  <c r="AE8" i="16"/>
  <c r="AM8" i="16"/>
  <c r="AV7" i="16"/>
  <c r="AT124" i="16"/>
  <c r="AB122" i="19"/>
  <c r="P122" i="19"/>
  <c r="S122" i="19" s="1"/>
  <c r="H121" i="19"/>
  <c r="K122" i="19"/>
  <c r="O127" i="19"/>
  <c r="N127" i="19"/>
  <c r="AD136" i="19"/>
  <c r="AE136" i="19"/>
  <c r="Z134" i="19"/>
  <c r="AA134" i="19"/>
  <c r="K137" i="19"/>
  <c r="J137" i="19"/>
  <c r="I121" i="19"/>
  <c r="AP138" i="19"/>
  <c r="AR138" i="19" s="1"/>
  <c r="AN138" i="19"/>
  <c r="Q48" i="7"/>
  <c r="V51" i="19"/>
  <c r="W51" i="19"/>
  <c r="T64" i="19"/>
  <c r="V64" i="19" s="1"/>
  <c r="K64" i="19"/>
  <c r="AD67" i="19"/>
  <c r="AF67" i="19"/>
  <c r="AG67" i="19" s="1"/>
  <c r="AA93" i="19"/>
  <c r="Z93" i="19"/>
  <c r="AP94" i="19"/>
  <c r="AT94" i="19" s="1"/>
  <c r="AO94" i="19"/>
  <c r="AN94" i="19"/>
  <c r="N96" i="19"/>
  <c r="O96" i="19"/>
  <c r="AH104" i="19"/>
  <c r="AK104" i="19" s="1"/>
  <c r="AB104" i="19"/>
  <c r="AE104" i="19" s="1"/>
  <c r="K104" i="19"/>
  <c r="AE111" i="19"/>
  <c r="AD111" i="19"/>
  <c r="N113" i="19"/>
  <c r="O113" i="19"/>
  <c r="AT118" i="19"/>
  <c r="AW118" i="19" s="1"/>
  <c r="H110" i="19"/>
  <c r="S119" i="19"/>
  <c r="R119" i="19"/>
  <c r="W51" i="7"/>
  <c r="V51" i="7"/>
  <c r="AF51" i="7" s="1"/>
  <c r="V12" i="19"/>
  <c r="W12" i="19"/>
  <c r="AD21" i="19"/>
  <c r="AE21" i="19"/>
  <c r="AA39" i="19"/>
  <c r="Z39" i="19"/>
  <c r="X19" i="19"/>
  <c r="AA56" i="19"/>
  <c r="Z56" i="19"/>
  <c r="AK73" i="19"/>
  <c r="AJ73" i="19"/>
  <c r="AJ99" i="19"/>
  <c r="AL99" i="19"/>
  <c r="AP99" i="19" s="1"/>
  <c r="AK99" i="19"/>
  <c r="W103" i="19"/>
  <c r="V103" i="19"/>
  <c r="AD116" i="19"/>
  <c r="AE116" i="19"/>
  <c r="Q13" i="7"/>
  <c r="Z40" i="7"/>
  <c r="AH40" i="7"/>
  <c r="Q43" i="7"/>
  <c r="Y55" i="7"/>
  <c r="V55" i="7"/>
  <c r="AD55" i="7" s="1"/>
  <c r="V13" i="19"/>
  <c r="W13" i="19"/>
  <c r="AY47" i="19"/>
  <c r="W50" i="19"/>
  <c r="V50" i="19"/>
  <c r="AM47" i="19"/>
  <c r="R56" i="19"/>
  <c r="S56" i="19"/>
  <c r="AP63" i="19"/>
  <c r="AS63" i="19" s="1"/>
  <c r="AO63" i="19"/>
  <c r="AN63" i="19"/>
  <c r="W94" i="19"/>
  <c r="V94" i="19"/>
  <c r="S99" i="19"/>
  <c r="R99" i="19"/>
  <c r="AA119" i="19"/>
  <c r="Z119" i="19"/>
  <c r="AA133" i="19"/>
  <c r="Z133" i="19"/>
  <c r="R139" i="19"/>
  <c r="S139" i="19"/>
  <c r="AP144" i="19"/>
  <c r="AT144" i="19" s="1"/>
  <c r="AN144" i="19"/>
  <c r="AO144" i="19"/>
  <c r="AD145" i="19"/>
  <c r="AE145" i="19"/>
  <c r="W153" i="19"/>
  <c r="V153" i="19"/>
  <c r="AW166" i="19"/>
  <c r="AV166" i="19"/>
  <c r="Q8" i="7"/>
  <c r="T48" i="19"/>
  <c r="V48" i="19" s="1"/>
  <c r="K48" i="19"/>
  <c r="AE51" i="19"/>
  <c r="AD51" i="19"/>
  <c r="O54" i="19"/>
  <c r="N54" i="19"/>
  <c r="AK70" i="19"/>
  <c r="AJ70" i="19"/>
  <c r="J73" i="19"/>
  <c r="G14" i="19"/>
  <c r="H14" i="19" s="1"/>
  <c r="AE73" i="19"/>
  <c r="AD73" i="19"/>
  <c r="AE91" i="19"/>
  <c r="AD91" i="19"/>
  <c r="BA111" i="19"/>
  <c r="AZ111" i="19"/>
  <c r="Q121" i="19"/>
  <c r="S135" i="19"/>
  <c r="R135" i="19"/>
  <c r="W144" i="19"/>
  <c r="V144" i="19"/>
  <c r="J170" i="19"/>
  <c r="K170" i="19"/>
  <c r="AR177" i="19"/>
  <c r="AS177" i="19"/>
  <c r="BD187" i="19"/>
  <c r="BE187" i="19"/>
  <c r="AO188" i="19"/>
  <c r="AN188" i="19"/>
  <c r="V189" i="19"/>
  <c r="W189" i="19"/>
  <c r="Q45" i="7"/>
  <c r="V55" i="19"/>
  <c r="AE55" i="19"/>
  <c r="P58" i="19"/>
  <c r="W61" i="19"/>
  <c r="O65" i="19"/>
  <c r="W65" i="19"/>
  <c r="AE65" i="19"/>
  <c r="BG70" i="19"/>
  <c r="R70" i="19"/>
  <c r="Z70" i="19"/>
  <c r="AP96" i="19"/>
  <c r="AT96" i="19" s="1"/>
  <c r="AW96" i="19" s="1"/>
  <c r="V114" i="19"/>
  <c r="AO114" i="19"/>
  <c r="BD114" i="19"/>
  <c r="AD115" i="19"/>
  <c r="AN115" i="19"/>
  <c r="AV115" i="19"/>
  <c r="N133" i="19"/>
  <c r="O133" i="19"/>
  <c r="AO139" i="19"/>
  <c r="AP139" i="19"/>
  <c r="AR139" i="19" s="1"/>
  <c r="AD154" i="19"/>
  <c r="AE154" i="19"/>
  <c r="AD165" i="19"/>
  <c r="AE165" i="19"/>
  <c r="AJ170" i="19"/>
  <c r="AK170" i="19"/>
  <c r="BA170" i="19"/>
  <c r="AZ170" i="19"/>
  <c r="BA172" i="19"/>
  <c r="AZ172" i="19"/>
  <c r="AW179" i="19"/>
  <c r="AV179" i="19"/>
  <c r="K187" i="19"/>
  <c r="R188" i="19"/>
  <c r="S188" i="19"/>
  <c r="AE188" i="19"/>
  <c r="AR188" i="19"/>
  <c r="AS188" i="19"/>
  <c r="BF194" i="19"/>
  <c r="AG194" i="19"/>
  <c r="N90" i="16"/>
  <c r="O90" i="16"/>
  <c r="Q37" i="7"/>
  <c r="Q58" i="7"/>
  <c r="AF13" i="19"/>
  <c r="AG13" i="19" s="1"/>
  <c r="AF15" i="19"/>
  <c r="AG15" i="19" s="1"/>
  <c r="BG30" i="19"/>
  <c r="J58" i="19"/>
  <c r="BD66" i="19"/>
  <c r="Z143" i="19"/>
  <c r="AA143" i="19"/>
  <c r="R146" i="19"/>
  <c r="S146" i="19"/>
  <c r="AD147" i="19"/>
  <c r="AE147" i="19"/>
  <c r="Z156" i="19"/>
  <c r="AA156" i="19"/>
  <c r="BH163" i="19"/>
  <c r="K163" i="19"/>
  <c r="AN170" i="19"/>
  <c r="AO170" i="19"/>
  <c r="AD172" i="19"/>
  <c r="AE172" i="19"/>
  <c r="AJ173" i="19"/>
  <c r="AK173" i="19"/>
  <c r="J175" i="19"/>
  <c r="K175" i="19"/>
  <c r="AD179" i="19"/>
  <c r="AE179" i="19"/>
  <c r="AV184" i="19"/>
  <c r="AW184" i="19"/>
  <c r="BA9" i="19"/>
  <c r="H8" i="19"/>
  <c r="J13" i="19"/>
  <c r="AW17" i="19"/>
  <c r="L19" i="19"/>
  <c r="J32" i="19"/>
  <c r="AW39" i="19"/>
  <c r="G45" i="19"/>
  <c r="AE52" i="19"/>
  <c r="N53" i="19"/>
  <c r="AP54" i="19"/>
  <c r="AS54" i="19" s="1"/>
  <c r="R55" i="19"/>
  <c r="AA55" i="19"/>
  <c r="AO57" i="19"/>
  <c r="K58" i="19"/>
  <c r="T58" i="19"/>
  <c r="V58" i="19" s="1"/>
  <c r="N59" i="19"/>
  <c r="AO59" i="19"/>
  <c r="R61" i="19"/>
  <c r="AO61" i="19"/>
  <c r="S65" i="19"/>
  <c r="AA65" i="19"/>
  <c r="W66" i="19"/>
  <c r="AW66" i="19"/>
  <c r="S67" i="19"/>
  <c r="AL67" i="19"/>
  <c r="AN67" i="19" s="1"/>
  <c r="O68" i="19"/>
  <c r="W68" i="19"/>
  <c r="AP69" i="19"/>
  <c r="AS69" i="19" s="1"/>
  <c r="N70" i="19"/>
  <c r="V70" i="19"/>
  <c r="AE70" i="19"/>
  <c r="BC72" i="19"/>
  <c r="V77" i="19"/>
  <c r="AJ78" i="19"/>
  <c r="S81" i="19"/>
  <c r="AJ83" i="19"/>
  <c r="X95" i="19"/>
  <c r="Z95" i="19" s="1"/>
  <c r="AL100" i="19"/>
  <c r="AN100" i="19" s="1"/>
  <c r="J101" i="19"/>
  <c r="AZ112" i="19"/>
  <c r="AS115" i="19"/>
  <c r="V123" i="19"/>
  <c r="AE128" i="19"/>
  <c r="AO131" i="19"/>
  <c r="AN131" i="19"/>
  <c r="AN133" i="19"/>
  <c r="V134" i="19"/>
  <c r="W134" i="19"/>
  <c r="X138" i="19"/>
  <c r="Z138" i="19" s="1"/>
  <c r="N139" i="19"/>
  <c r="O143" i="19"/>
  <c r="N143" i="19"/>
  <c r="O145" i="19"/>
  <c r="Z145" i="19"/>
  <c r="AN148" i="19"/>
  <c r="AO148" i="19"/>
  <c r="O149" i="19"/>
  <c r="O151" i="19"/>
  <c r="AK152" i="19"/>
  <c r="R153" i="19"/>
  <c r="S153" i="19"/>
  <c r="O154" i="19"/>
  <c r="N154" i="19"/>
  <c r="AD156" i="19"/>
  <c r="AE156" i="19"/>
  <c r="P164" i="19"/>
  <c r="S164" i="19" s="1"/>
  <c r="X164" i="19"/>
  <c r="Z164" i="19" s="1"/>
  <c r="J165" i="19"/>
  <c r="AT165" i="19"/>
  <c r="AW165" i="19" s="1"/>
  <c r="P165" i="19"/>
  <c r="S165" i="19" s="1"/>
  <c r="H162" i="19"/>
  <c r="R176" i="19"/>
  <c r="S176" i="19"/>
  <c r="AO177" i="19"/>
  <c r="AN177" i="19"/>
  <c r="AK178" i="19"/>
  <c r="BD180" i="19"/>
  <c r="BE180" i="19"/>
  <c r="N185" i="19"/>
  <c r="O185" i="19"/>
  <c r="AA185" i="19"/>
  <c r="AE186" i="19"/>
  <c r="AD186" i="19"/>
  <c r="AK188" i="19"/>
  <c r="AJ188" i="19"/>
  <c r="AK191" i="19"/>
  <c r="AJ191" i="19"/>
  <c r="AQ142" i="19"/>
  <c r="AK166" i="19"/>
  <c r="V168" i="19"/>
  <c r="V171" i="19"/>
  <c r="Z173" i="19"/>
  <c r="AV173" i="19"/>
  <c r="BE173" i="19"/>
  <c r="W186" i="19"/>
  <c r="AU71" i="16"/>
  <c r="AD111" i="16"/>
  <c r="AL111" i="16"/>
  <c r="AT111" i="16"/>
  <c r="BB111" i="16"/>
  <c r="K172" i="16"/>
  <c r="BE12" i="16"/>
  <c r="BE16" i="16"/>
  <c r="AE20" i="16"/>
  <c r="AU20" i="16"/>
  <c r="BC20" i="16"/>
  <c r="BD26" i="16"/>
  <c r="BD28" i="16"/>
  <c r="N66" i="16"/>
  <c r="Y71" i="16"/>
  <c r="AA71" i="16" s="1"/>
  <c r="AX71" i="16"/>
  <c r="N77" i="16"/>
  <c r="BE81" i="16"/>
  <c r="O99" i="16"/>
  <c r="J101" i="16"/>
  <c r="O126" i="16"/>
  <c r="W137" i="16"/>
  <c r="N143" i="16"/>
  <c r="N149" i="16"/>
  <c r="N161" i="16"/>
  <c r="O175" i="16"/>
  <c r="AF148" i="19"/>
  <c r="AG148" i="19" s="1"/>
  <c r="Z148" i="19"/>
  <c r="AI142" i="19"/>
  <c r="U142" i="19"/>
  <c r="V157" i="19"/>
  <c r="BA166" i="19"/>
  <c r="R168" i="19"/>
  <c r="AA168" i="19"/>
  <c r="AJ168" i="19"/>
  <c r="AZ173" i="19"/>
  <c r="BE191" i="19"/>
  <c r="S192" i="19"/>
  <c r="V8" i="16"/>
  <c r="AB7" i="16"/>
  <c r="AZ7" i="16"/>
  <c r="X7" i="16"/>
  <c r="AN7" i="16"/>
  <c r="AX20" i="16"/>
  <c r="U45" i="16"/>
  <c r="AF45" i="16"/>
  <c r="AV45" i="16"/>
  <c r="AQ124" i="16"/>
  <c r="AQ111" i="16"/>
  <c r="AA8" i="7"/>
  <c r="Y8" i="7"/>
  <c r="X8" i="7"/>
  <c r="AB8" i="7"/>
  <c r="AA24" i="7"/>
  <c r="W24" i="7"/>
  <c r="AB24" i="7"/>
  <c r="Q24" i="7"/>
  <c r="AE26" i="7"/>
  <c r="AB26" i="7"/>
  <c r="AA26" i="7"/>
  <c r="W26" i="7"/>
  <c r="Q26" i="7"/>
  <c r="AB30" i="7"/>
  <c r="AA30" i="7"/>
  <c r="W30" i="7"/>
  <c r="AE30" i="7"/>
  <c r="W4" i="7"/>
  <c r="AA4" i="7"/>
  <c r="AE6" i="7"/>
  <c r="AB6" i="7"/>
  <c r="Q6" i="7"/>
  <c r="AG6" i="7"/>
  <c r="Y6" i="7"/>
  <c r="AF6" i="7"/>
  <c r="X6" i="7"/>
  <c r="AC6" i="7"/>
  <c r="AH5" i="7"/>
  <c r="AF13" i="7"/>
  <c r="AD15" i="7"/>
  <c r="Y17" i="7"/>
  <c r="AD19" i="7"/>
  <c r="Y21" i="7"/>
  <c r="AA28" i="7"/>
  <c r="AA39" i="7"/>
  <c r="Z87" i="19"/>
  <c r="AA87" i="19"/>
  <c r="AG15" i="7"/>
  <c r="AG19" i="7"/>
  <c r="AD21" i="7"/>
  <c r="AB28" i="7"/>
  <c r="X43" i="7"/>
  <c r="AD53" i="7"/>
  <c r="X58" i="7"/>
  <c r="J9" i="19"/>
  <c r="K9" i="19"/>
  <c r="I8" i="19"/>
  <c r="AO11" i="19"/>
  <c r="AP11" i="19"/>
  <c r="AS11" i="19" s="1"/>
  <c r="AL13" i="19"/>
  <c r="AP13" i="19" s="1"/>
  <c r="AT13" i="19" s="1"/>
  <c r="AX13" i="19" s="1"/>
  <c r="BB13" i="19" s="1"/>
  <c r="BD13" i="19" s="1"/>
  <c r="AH8" i="19"/>
  <c r="X13" i="7"/>
  <c r="Q15" i="7"/>
  <c r="V19" i="7"/>
  <c r="AH19" i="7" s="1"/>
  <c r="AG21" i="7"/>
  <c r="AE28" i="7"/>
  <c r="AC43" i="7"/>
  <c r="X47" i="7"/>
  <c r="AG53" i="7"/>
  <c r="AB58" i="7"/>
  <c r="AF60" i="7"/>
  <c r="X60" i="7"/>
  <c r="BD9" i="19"/>
  <c r="AA12" i="19"/>
  <c r="AA14" i="19"/>
  <c r="S16" i="19"/>
  <c r="R17" i="19"/>
  <c r="AS17" i="19"/>
  <c r="W18" i="19"/>
  <c r="AW18" i="19"/>
  <c r="T19" i="19"/>
  <c r="BF20" i="19"/>
  <c r="K21" i="19"/>
  <c r="BF25" i="19"/>
  <c r="AI19" i="19"/>
  <c r="BC19" i="19"/>
  <c r="AG27" i="19"/>
  <c r="J31" i="19"/>
  <c r="AF32" i="19"/>
  <c r="AG32" i="19" s="1"/>
  <c r="BF35" i="19"/>
  <c r="AG38" i="19"/>
  <c r="K39" i="19"/>
  <c r="R39" i="19"/>
  <c r="AJ39" i="19"/>
  <c r="AS39" i="19"/>
  <c r="AZ39" i="19"/>
  <c r="AG41" i="19"/>
  <c r="N48" i="19"/>
  <c r="AE48" i="19"/>
  <c r="AJ48" i="19"/>
  <c r="N49" i="19"/>
  <c r="P50" i="19"/>
  <c r="R50" i="19" s="1"/>
  <c r="J51" i="19"/>
  <c r="S51" i="19"/>
  <c r="AO51" i="19"/>
  <c r="K52" i="19"/>
  <c r="R52" i="19"/>
  <c r="AA52" i="19"/>
  <c r="AN52" i="19"/>
  <c r="K53" i="19"/>
  <c r="AO53" i="19"/>
  <c r="K55" i="19"/>
  <c r="O56" i="19"/>
  <c r="AP56" i="19"/>
  <c r="AT56" i="19" s="1"/>
  <c r="AD57" i="19"/>
  <c r="O58" i="19"/>
  <c r="AB58" i="19"/>
  <c r="AP58" i="19"/>
  <c r="AS58" i="19" s="1"/>
  <c r="V59" i="19"/>
  <c r="AS60" i="19"/>
  <c r="AK61" i="19"/>
  <c r="O62" i="19"/>
  <c r="W63" i="19"/>
  <c r="AD63" i="19"/>
  <c r="AP64" i="19"/>
  <c r="AT64" i="19" s="1"/>
  <c r="J65" i="19"/>
  <c r="N65" i="19"/>
  <c r="R65" i="19"/>
  <c r="V65" i="19"/>
  <c r="Z65" i="19"/>
  <c r="AD65" i="19"/>
  <c r="AR66" i="19"/>
  <c r="V67" i="19"/>
  <c r="AJ67" i="19"/>
  <c r="AE68" i="19"/>
  <c r="BE68" i="19"/>
  <c r="AD69" i="19"/>
  <c r="K70" i="19"/>
  <c r="O70" i="19"/>
  <c r="S70" i="19"/>
  <c r="W70" i="19"/>
  <c r="AA70" i="19"/>
  <c r="H72" i="19"/>
  <c r="K72" i="19" s="1"/>
  <c r="L73" i="19"/>
  <c r="S77" i="19"/>
  <c r="Z77" i="19"/>
  <c r="O78" i="19"/>
  <c r="AA78" i="19"/>
  <c r="AP78" i="19"/>
  <c r="AS78" i="19" s="1"/>
  <c r="S80" i="19"/>
  <c r="N81" i="19"/>
  <c r="V81" i="19"/>
  <c r="AD81" i="19"/>
  <c r="AJ82" i="19"/>
  <c r="AP82" i="19"/>
  <c r="AT82" i="19" s="1"/>
  <c r="R83" i="19"/>
  <c r="AA83" i="19"/>
  <c r="J84" i="19"/>
  <c r="P84" i="19"/>
  <c r="R84" i="19" s="1"/>
  <c r="AH84" i="19"/>
  <c r="AJ84" i="19" s="1"/>
  <c r="AA86" i="19"/>
  <c r="AJ86" i="19"/>
  <c r="K87" i="19"/>
  <c r="AA88" i="19"/>
  <c r="S89" i="19"/>
  <c r="O90" i="19"/>
  <c r="AN90" i="19"/>
  <c r="S91" i="19"/>
  <c r="Z91" i="19"/>
  <c r="O92" i="19"/>
  <c r="AP92" i="19"/>
  <c r="AT92" i="19" s="1"/>
  <c r="W93" i="19"/>
  <c r="AP93" i="19"/>
  <c r="AS93" i="19" s="1"/>
  <c r="R94" i="19"/>
  <c r="K95" i="19"/>
  <c r="S96" i="19"/>
  <c r="AD97" i="19"/>
  <c r="AK98" i="19"/>
  <c r="O99" i="19"/>
  <c r="V99" i="19"/>
  <c r="Z100" i="19"/>
  <c r="T101" i="19"/>
  <c r="W101" i="19" s="1"/>
  <c r="S111" i="19"/>
  <c r="AA111" i="19"/>
  <c r="W112" i="19"/>
  <c r="AO112" i="19"/>
  <c r="V113" i="19"/>
  <c r="AE113" i="19"/>
  <c r="K114" i="19"/>
  <c r="AJ115" i="19"/>
  <c r="AO116" i="19"/>
  <c r="X117" i="19"/>
  <c r="Z117" i="19" s="1"/>
  <c r="BB117" i="19"/>
  <c r="BE117" i="19" s="1"/>
  <c r="K118" i="19"/>
  <c r="T118" i="19"/>
  <c r="V118" i="19" s="1"/>
  <c r="AG118" i="19"/>
  <c r="BB118" i="19"/>
  <c r="AA123" i="19"/>
  <c r="AT125" i="19"/>
  <c r="AR125" i="19"/>
  <c r="AA127" i="19"/>
  <c r="Z127" i="19"/>
  <c r="AS127" i="19"/>
  <c r="S129" i="19"/>
  <c r="R129" i="19"/>
  <c r="AD129" i="19"/>
  <c r="AE129" i="19"/>
  <c r="AP134" i="19"/>
  <c r="AO134" i="19"/>
  <c r="AN134" i="19"/>
  <c r="AK11" i="19"/>
  <c r="K12" i="19"/>
  <c r="AB14" i="19"/>
  <c r="AE14" i="19" s="1"/>
  <c r="P15" i="19"/>
  <c r="S15" i="19" s="1"/>
  <c r="AW16" i="19"/>
  <c r="H19" i="19"/>
  <c r="U19" i="19"/>
  <c r="AC19" i="19"/>
  <c r="Q19" i="19"/>
  <c r="AG36" i="19"/>
  <c r="BG48" i="19"/>
  <c r="O48" i="19"/>
  <c r="AF48" i="19"/>
  <c r="AG48" i="19" s="1"/>
  <c r="AN49" i="19"/>
  <c r="K50" i="19"/>
  <c r="AA50" i="19"/>
  <c r="AP52" i="19"/>
  <c r="AR52" i="19" s="1"/>
  <c r="AP53" i="19"/>
  <c r="AT53" i="19" s="1"/>
  <c r="N55" i="19"/>
  <c r="W55" i="19"/>
  <c r="AN61" i="19"/>
  <c r="K62" i="19"/>
  <c r="AS66" i="19"/>
  <c r="AO68" i="19"/>
  <c r="AV68" i="19"/>
  <c r="L84" i="19"/>
  <c r="N84" i="19" s="1"/>
  <c r="T85" i="19"/>
  <c r="V85" i="19" s="1"/>
  <c r="P87" i="19"/>
  <c r="S87" i="19" s="1"/>
  <c r="W88" i="19"/>
  <c r="AA94" i="19"/>
  <c r="N95" i="19"/>
  <c r="S97" i="19"/>
  <c r="AL98" i="19"/>
  <c r="AP98" i="19" s="1"/>
  <c r="AE99" i="19"/>
  <c r="X101" i="19"/>
  <c r="Z101" i="19" s="1"/>
  <c r="J104" i="19"/>
  <c r="P104" i="19"/>
  <c r="W114" i="19"/>
  <c r="AZ115" i="19"/>
  <c r="AP116" i="19"/>
  <c r="AS116" i="19" s="1"/>
  <c r="L118" i="19"/>
  <c r="N118" i="19" s="1"/>
  <c r="AB118" i="19"/>
  <c r="AP118" i="19"/>
  <c r="N125" i="19"/>
  <c r="O125" i="19"/>
  <c r="W130" i="19"/>
  <c r="O135" i="19"/>
  <c r="N135" i="19"/>
  <c r="AN68" i="19"/>
  <c r="AZ68" i="19"/>
  <c r="Y72" i="19"/>
  <c r="T87" i="19"/>
  <c r="W87" i="19" s="1"/>
  <c r="AR112" i="19"/>
  <c r="P118" i="19"/>
  <c r="AE123" i="19"/>
  <c r="S125" i="19"/>
  <c r="R125" i="19"/>
  <c r="Z126" i="19"/>
  <c r="AA126" i="19"/>
  <c r="S127" i="19"/>
  <c r="AE132" i="19"/>
  <c r="AD132" i="19"/>
  <c r="T8" i="19"/>
  <c r="T15" i="19"/>
  <c r="W15" i="19" s="1"/>
  <c r="AP15" i="19"/>
  <c r="AS15" i="19" s="1"/>
  <c r="W17" i="19"/>
  <c r="BF18" i="19"/>
  <c r="AN18" i="19"/>
  <c r="BD18" i="19"/>
  <c r="BF23" i="19"/>
  <c r="W39" i="19"/>
  <c r="AG43" i="19"/>
  <c r="V49" i="19"/>
  <c r="AE49" i="19"/>
  <c r="N50" i="19"/>
  <c r="V54" i="19"/>
  <c r="AE54" i="19"/>
  <c r="AD55" i="19"/>
  <c r="AN56" i="19"/>
  <c r="S57" i="19"/>
  <c r="AN58" i="19"/>
  <c r="K59" i="19"/>
  <c r="AO64" i="19"/>
  <c r="R66" i="19"/>
  <c r="AO66" i="19"/>
  <c r="AV66" i="19"/>
  <c r="N67" i="19"/>
  <c r="AA67" i="19"/>
  <c r="Z68" i="19"/>
  <c r="AJ68" i="19"/>
  <c r="BA68" i="19"/>
  <c r="J70" i="19"/>
  <c r="AF70" i="19"/>
  <c r="AG70" i="19" s="1"/>
  <c r="AD84" i="19"/>
  <c r="J87" i="19"/>
  <c r="AO92" i="19"/>
  <c r="O93" i="19"/>
  <c r="AN93" i="19"/>
  <c r="AD94" i="19"/>
  <c r="AB95" i="19"/>
  <c r="AE95" i="19" s="1"/>
  <c r="V97" i="19"/>
  <c r="P101" i="19"/>
  <c r="R101" i="19" s="1"/>
  <c r="L104" i="19"/>
  <c r="T104" i="19"/>
  <c r="AT106" i="19"/>
  <c r="AV106" i="19" s="1"/>
  <c r="AX108" i="19"/>
  <c r="BB108" i="19" s="1"/>
  <c r="BE108" i="19" s="1"/>
  <c r="AO111" i="19"/>
  <c r="AW111" i="19"/>
  <c r="N112" i="19"/>
  <c r="AD112" i="19"/>
  <c r="Z115" i="19"/>
  <c r="Z116" i="19"/>
  <c r="J118" i="19"/>
  <c r="AL118" i="19"/>
  <c r="AX118" i="19"/>
  <c r="BA118" i="19" s="1"/>
  <c r="W119" i="19"/>
  <c r="AE119" i="19"/>
  <c r="X122" i="19"/>
  <c r="AA122" i="19" s="1"/>
  <c r="R123" i="19"/>
  <c r="S124" i="19"/>
  <c r="AA124" i="19"/>
  <c r="AD125" i="19"/>
  <c r="AE125" i="19"/>
  <c r="AO125" i="19"/>
  <c r="AN125" i="19"/>
  <c r="AE126" i="19"/>
  <c r="AD126" i="19"/>
  <c r="AP126" i="19"/>
  <c r="AN126" i="19"/>
  <c r="AE130" i="19"/>
  <c r="AD130" i="19"/>
  <c r="S131" i="19"/>
  <c r="AE131" i="19"/>
  <c r="AD131" i="19"/>
  <c r="W133" i="19"/>
  <c r="V133" i="19"/>
  <c r="AR135" i="19"/>
  <c r="AS135" i="19"/>
  <c r="AT135" i="19"/>
  <c r="AW135" i="19" s="1"/>
  <c r="S132" i="19"/>
  <c r="AO132" i="19"/>
  <c r="AN135" i="19"/>
  <c r="AO137" i="19"/>
  <c r="Z139" i="19"/>
  <c r="AN146" i="19"/>
  <c r="J148" i="19"/>
  <c r="AD148" i="19"/>
  <c r="AJ148" i="19"/>
  <c r="Z151" i="19"/>
  <c r="V152" i="19"/>
  <c r="AN153" i="19"/>
  <c r="O156" i="19"/>
  <c r="R157" i="19"/>
  <c r="W157" i="19"/>
  <c r="AO157" i="19"/>
  <c r="AO159" i="19"/>
  <c r="O160" i="19"/>
  <c r="J163" i="19"/>
  <c r="BG163" i="19"/>
  <c r="AK163" i="19"/>
  <c r="AN166" i="19"/>
  <c r="BD166" i="19"/>
  <c r="R170" i="19"/>
  <c r="W175" i="19"/>
  <c r="N176" i="19"/>
  <c r="O180" i="19"/>
  <c r="N180" i="19"/>
  <c r="Z184" i="19"/>
  <c r="AA184" i="19"/>
  <c r="BA184" i="19"/>
  <c r="J185" i="19"/>
  <c r="AK185" i="19"/>
  <c r="AW185" i="19"/>
  <c r="AV185" i="19"/>
  <c r="Z186" i="19"/>
  <c r="AW187" i="19"/>
  <c r="AV187" i="19"/>
  <c r="R189" i="19"/>
  <c r="AV189" i="19"/>
  <c r="AW189" i="19"/>
  <c r="AF137" i="19"/>
  <c r="AG137" i="19" s="1"/>
  <c r="BG137" i="19"/>
  <c r="V159" i="19"/>
  <c r="W159" i="19"/>
  <c r="AR159" i="19"/>
  <c r="AT159" i="19"/>
  <c r="AV159" i="19" s="1"/>
  <c r="AV167" i="19"/>
  <c r="AW167" i="19"/>
  <c r="AV170" i="19"/>
  <c r="AW170" i="19"/>
  <c r="R174" i="19"/>
  <c r="S174" i="19"/>
  <c r="R180" i="19"/>
  <c r="S180" i="19"/>
  <c r="AZ181" i="19"/>
  <c r="BA181" i="19"/>
  <c r="AZ187" i="19"/>
  <c r="BA187" i="19"/>
  <c r="BE188" i="19"/>
  <c r="BD188" i="19"/>
  <c r="AW191" i="19"/>
  <c r="AV191" i="19"/>
  <c r="S66" i="16"/>
  <c r="R66" i="16"/>
  <c r="BE79" i="16"/>
  <c r="I71" i="16"/>
  <c r="AP133" i="19"/>
  <c r="AT133" i="19" s="1"/>
  <c r="AW133" i="19" s="1"/>
  <c r="AO138" i="19"/>
  <c r="I142" i="19"/>
  <c r="J142" i="19" s="1"/>
  <c r="N144" i="19"/>
  <c r="N146" i="19"/>
  <c r="AS146" i="19"/>
  <c r="N148" i="19"/>
  <c r="V148" i="19"/>
  <c r="Z150" i="19"/>
  <c r="AD151" i="19"/>
  <c r="Z152" i="19"/>
  <c r="N153" i="19"/>
  <c r="BG157" i="19"/>
  <c r="O157" i="19"/>
  <c r="Z157" i="19"/>
  <c r="AO158" i="19"/>
  <c r="AS159" i="19"/>
  <c r="BH167" i="19"/>
  <c r="S168" i="19"/>
  <c r="AD168" i="19"/>
  <c r="AE168" i="19"/>
  <c r="AW169" i="19"/>
  <c r="AV169" i="19"/>
  <c r="O172" i="19"/>
  <c r="AA172" i="19"/>
  <c r="Z172" i="19"/>
  <c r="AW173" i="19"/>
  <c r="J179" i="19"/>
  <c r="K179" i="19"/>
  <c r="BD183" i="19"/>
  <c r="BE183" i="19"/>
  <c r="R186" i="19"/>
  <c r="Z187" i="19"/>
  <c r="AA187" i="19"/>
  <c r="AG190" i="19"/>
  <c r="BA190" i="19"/>
  <c r="Z194" i="19"/>
  <c r="K65" i="16"/>
  <c r="BD65" i="16"/>
  <c r="J65" i="16"/>
  <c r="AA148" i="19"/>
  <c r="BG148" i="19"/>
  <c r="AF157" i="19"/>
  <c r="AG157" i="19" s="1"/>
  <c r="AF163" i="19"/>
  <c r="AG163" i="19" s="1"/>
  <c r="AR166" i="19"/>
  <c r="N168" i="19"/>
  <c r="O168" i="19"/>
  <c r="AF168" i="19"/>
  <c r="AG168" i="19" s="1"/>
  <c r="R172" i="19"/>
  <c r="S172" i="19"/>
  <c r="AR173" i="19"/>
  <c r="AS173" i="19"/>
  <c r="R177" i="19"/>
  <c r="S177" i="19"/>
  <c r="N179" i="19"/>
  <c r="O179" i="19"/>
  <c r="AR180" i="19"/>
  <c r="AS180" i="19"/>
  <c r="AG182" i="19"/>
  <c r="BF182" i="19"/>
  <c r="AA183" i="19"/>
  <c r="Z183" i="19"/>
  <c r="BD185" i="19"/>
  <c r="BE185" i="19"/>
  <c r="N188" i="19"/>
  <c r="O188" i="19"/>
  <c r="S190" i="19"/>
  <c r="R190" i="19"/>
  <c r="AE175" i="19"/>
  <c r="AD175" i="19"/>
  <c r="BF181" i="19"/>
  <c r="AJ184" i="19"/>
  <c r="AK184" i="19"/>
  <c r="J190" i="19"/>
  <c r="K190" i="19"/>
  <c r="N191" i="19"/>
  <c r="O191" i="19"/>
  <c r="AO192" i="19"/>
  <c r="AN192" i="19"/>
  <c r="S48" i="16"/>
  <c r="R48" i="16"/>
  <c r="R55" i="16"/>
  <c r="S55" i="16"/>
  <c r="AE73" i="16"/>
  <c r="AC71" i="16"/>
  <c r="AC45" i="16" s="1"/>
  <c r="K75" i="16"/>
  <c r="J75" i="16"/>
  <c r="N91" i="16"/>
  <c r="O91" i="16"/>
  <c r="K139" i="16"/>
  <c r="J139" i="16"/>
  <c r="J60" i="16"/>
  <c r="BD60" i="16"/>
  <c r="S68" i="16"/>
  <c r="R68" i="16"/>
  <c r="AD157" i="19"/>
  <c r="AD160" i="19"/>
  <c r="AE160" i="19"/>
  <c r="AX165" i="19"/>
  <c r="AL165" i="19"/>
  <c r="AN165" i="19" s="1"/>
  <c r="K165" i="19"/>
  <c r="T165" i="19"/>
  <c r="AP165" i="19"/>
  <c r="BB165" i="19"/>
  <c r="BD165" i="19" s="1"/>
  <c r="W167" i="19"/>
  <c r="BH168" i="19"/>
  <c r="J168" i="19"/>
  <c r="Z168" i="19"/>
  <c r="Z171" i="19"/>
  <c r="AR171" i="19"/>
  <c r="AA173" i="19"/>
  <c r="AN173" i="19"/>
  <c r="BD173" i="19"/>
  <c r="AD176" i="19"/>
  <c r="BF178" i="19"/>
  <c r="AN178" i="19"/>
  <c r="AO178" i="19"/>
  <c r="AR183" i="19"/>
  <c r="AS183" i="19"/>
  <c r="N187" i="19"/>
  <c r="O187" i="19"/>
  <c r="Z190" i="19"/>
  <c r="AA190" i="19"/>
  <c r="BD13" i="16"/>
  <c r="BE13" i="16"/>
  <c r="AS45" i="16"/>
  <c r="AA55" i="16"/>
  <c r="Z55" i="16"/>
  <c r="S64" i="16"/>
  <c r="R64" i="16"/>
  <c r="R78" i="16"/>
  <c r="S78" i="16"/>
  <c r="N115" i="16"/>
  <c r="O115" i="16"/>
  <c r="Z127" i="16"/>
  <c r="Y124" i="16"/>
  <c r="AA124" i="16" s="1"/>
  <c r="N128" i="16"/>
  <c r="L124" i="16"/>
  <c r="S138" i="16"/>
  <c r="R138" i="16"/>
  <c r="AR168" i="19"/>
  <c r="W171" i="19"/>
  <c r="AD173" i="19"/>
  <c r="BF180" i="19"/>
  <c r="K184" i="19"/>
  <c r="AA191" i="19"/>
  <c r="Z191" i="19"/>
  <c r="BE192" i="19"/>
  <c r="BD192" i="19"/>
  <c r="AR7" i="16"/>
  <c r="R9" i="16"/>
  <c r="BD9" i="16"/>
  <c r="S15" i="16"/>
  <c r="BD15" i="16"/>
  <c r="BE49" i="16"/>
  <c r="BD49" i="16"/>
  <c r="BD68" i="16"/>
  <c r="K76" i="16"/>
  <c r="J76" i="16"/>
  <c r="K86" i="16"/>
  <c r="J86" i="16"/>
  <c r="BD91" i="16"/>
  <c r="BE91" i="16"/>
  <c r="S126" i="16"/>
  <c r="R126" i="16"/>
  <c r="BD198" i="16"/>
  <c r="R198" i="16"/>
  <c r="W83" i="16"/>
  <c r="V83" i="16"/>
  <c r="S125" i="16"/>
  <c r="P124" i="16"/>
  <c r="R125" i="16"/>
  <c r="J149" i="16"/>
  <c r="H148" i="16"/>
  <c r="K149" i="16"/>
  <c r="S180" i="16"/>
  <c r="BD180" i="16"/>
  <c r="W8" i="16"/>
  <c r="BE9" i="16"/>
  <c r="K15" i="16"/>
  <c r="BE15" i="16"/>
  <c r="W16" i="16"/>
  <c r="AM16" i="16"/>
  <c r="BC16" i="16"/>
  <c r="AA20" i="16"/>
  <c r="AQ20" i="16"/>
  <c r="AY20" i="16"/>
  <c r="X45" i="16"/>
  <c r="BD48" i="16"/>
  <c r="R53" i="16"/>
  <c r="BD53" i="16"/>
  <c r="BE53" i="16"/>
  <c r="BE55" i="16"/>
  <c r="BD55" i="16"/>
  <c r="BD66" i="16"/>
  <c r="N73" i="16"/>
  <c r="BE73" i="16"/>
  <c r="AQ148" i="16"/>
  <c r="BD154" i="16"/>
  <c r="BD167" i="16"/>
  <c r="R170" i="16"/>
  <c r="BD170" i="16"/>
  <c r="R172" i="16"/>
  <c r="BD172" i="16"/>
  <c r="S175" i="16"/>
  <c r="BD175" i="16"/>
  <c r="BD191" i="16"/>
  <c r="AF7" i="16"/>
  <c r="AI8" i="16"/>
  <c r="AQ8" i="16"/>
  <c r="AY8" i="16"/>
  <c r="S12" i="16"/>
  <c r="BD12" i="16"/>
  <c r="BD16" i="16"/>
  <c r="AT20" i="16"/>
  <c r="BB20" i="16"/>
  <c r="S53" i="16"/>
  <c r="BD64" i="16"/>
  <c r="AA65" i="16"/>
  <c r="N68" i="16"/>
  <c r="S73" i="16"/>
  <c r="BD73" i="16"/>
  <c r="S79" i="16"/>
  <c r="BD79" i="16"/>
  <c r="S81" i="16"/>
  <c r="BD81" i="16"/>
  <c r="V88" i="16"/>
  <c r="K97" i="16"/>
  <c r="R101" i="16"/>
  <c r="BD115" i="16"/>
  <c r="S116" i="16"/>
  <c r="BD116" i="16"/>
  <c r="N120" i="16"/>
  <c r="R140" i="16"/>
  <c r="BD140" i="16"/>
  <c r="N142" i="16"/>
  <c r="N144" i="16"/>
  <c r="V148" i="16"/>
  <c r="AD148" i="16"/>
  <c r="AT148" i="16"/>
  <c r="BB148" i="16"/>
  <c r="S154" i="16"/>
  <c r="Z154" i="16"/>
  <c r="W166" i="16"/>
  <c r="BB166" i="16"/>
  <c r="S167" i="16"/>
  <c r="Z167" i="16"/>
  <c r="R175" i="16"/>
  <c r="J180" i="16"/>
  <c r="J189" i="16"/>
  <c r="BE198" i="16"/>
  <c r="O127" i="16"/>
  <c r="BD127" i="16"/>
  <c r="O140" i="16"/>
  <c r="J161" i="16"/>
  <c r="R161" i="16"/>
  <c r="BD161" i="16"/>
  <c r="BD162" i="16"/>
  <c r="AI166" i="16"/>
  <c r="AQ166" i="16"/>
  <c r="AY166" i="16"/>
  <c r="S171" i="16"/>
  <c r="BD171" i="16"/>
  <c r="S177" i="16"/>
  <c r="BD177" i="16"/>
  <c r="AL166" i="16"/>
  <c r="AK45" i="16"/>
  <c r="AL148" i="16"/>
  <c r="U7" i="16"/>
  <c r="AO7" i="16"/>
  <c r="AS7" i="16"/>
  <c r="AD8" i="16"/>
  <c r="AP8" i="16"/>
  <c r="AT8" i="16"/>
  <c r="AX8" i="16"/>
  <c r="BB8" i="16"/>
  <c r="N9" i="16"/>
  <c r="R12" i="16"/>
  <c r="Z15" i="16"/>
  <c r="V16" i="16"/>
  <c r="AA16" i="16"/>
  <c r="BB16" i="16"/>
  <c r="Z20" i="16"/>
  <c r="AD20" i="16"/>
  <c r="AP20" i="16"/>
  <c r="J26" i="16"/>
  <c r="R49" i="16"/>
  <c r="N55" i="16"/>
  <c r="K60" i="16"/>
  <c r="Z64" i="16"/>
  <c r="O65" i="16"/>
  <c r="Z68" i="16"/>
  <c r="AT71" i="16"/>
  <c r="AH73" i="16"/>
  <c r="J74" i="16"/>
  <c r="R74" i="16"/>
  <c r="N76" i="16"/>
  <c r="V76" i="16"/>
  <c r="S77" i="16"/>
  <c r="N78" i="16"/>
  <c r="R79" i="16"/>
  <c r="R81" i="16"/>
  <c r="J83" i="16"/>
  <c r="V84" i="16"/>
  <c r="J85" i="16"/>
  <c r="V86" i="16"/>
  <c r="K87" i="16"/>
  <c r="V87" i="16"/>
  <c r="K88" i="16"/>
  <c r="K89" i="16"/>
  <c r="J90" i="16"/>
  <c r="J91" i="16"/>
  <c r="S91" i="16"/>
  <c r="J92" i="16"/>
  <c r="N92" i="16"/>
  <c r="S93" i="16"/>
  <c r="J95" i="16"/>
  <c r="R97" i="16"/>
  <c r="V97" i="16"/>
  <c r="J99" i="16"/>
  <c r="V99" i="16"/>
  <c r="J102" i="16"/>
  <c r="J105" i="16"/>
  <c r="I111" i="16"/>
  <c r="AE111" i="16"/>
  <c r="AH111" i="16"/>
  <c r="AM111" i="16"/>
  <c r="AP111" i="16"/>
  <c r="AU111" i="16"/>
  <c r="AX111" i="16"/>
  <c r="BC111" i="16"/>
  <c r="J115" i="16"/>
  <c r="J116" i="16"/>
  <c r="H124" i="16"/>
  <c r="AE124" i="16"/>
  <c r="AH124" i="16"/>
  <c r="AP124" i="16"/>
  <c r="AU124" i="16"/>
  <c r="AX124" i="16"/>
  <c r="J125" i="16"/>
  <c r="J126" i="16"/>
  <c r="N127" i="16"/>
  <c r="J128" i="16"/>
  <c r="R128" i="16"/>
  <c r="J129" i="16"/>
  <c r="R129" i="16"/>
  <c r="J130" i="16"/>
  <c r="R130" i="16"/>
  <c r="J131" i="16"/>
  <c r="R131" i="16"/>
  <c r="J132" i="16"/>
  <c r="R132" i="16"/>
  <c r="J133" i="16"/>
  <c r="R133" i="16"/>
  <c r="J134" i="16"/>
  <c r="R134" i="16"/>
  <c r="J135" i="16"/>
  <c r="R135" i="16"/>
  <c r="J136" i="16"/>
  <c r="R136" i="16"/>
  <c r="J137" i="16"/>
  <c r="N137" i="16"/>
  <c r="R137" i="16"/>
  <c r="J138" i="16"/>
  <c r="N138" i="16"/>
  <c r="W138" i="16"/>
  <c r="N140" i="16"/>
  <c r="S142" i="16"/>
  <c r="V142" i="16"/>
  <c r="S143" i="16"/>
  <c r="V143" i="16"/>
  <c r="S144" i="16"/>
  <c r="V144" i="16"/>
  <c r="W148" i="16"/>
  <c r="AM148" i="16"/>
  <c r="AP148" i="16"/>
  <c r="BC148" i="16"/>
  <c r="K154" i="16"/>
  <c r="N157" i="16"/>
  <c r="K158" i="16"/>
  <c r="N158" i="16"/>
  <c r="S161" i="16"/>
  <c r="Z161" i="16"/>
  <c r="N162" i="16"/>
  <c r="AM166" i="16"/>
  <c r="BC166" i="16"/>
  <c r="N167" i="16"/>
  <c r="N170" i="16"/>
  <c r="J171" i="16"/>
  <c r="N172" i="16"/>
  <c r="S172" i="16"/>
  <c r="Z172" i="16"/>
  <c r="AA175" i="16"/>
  <c r="J177" i="16"/>
  <c r="O177" i="16"/>
  <c r="R177" i="16"/>
  <c r="J179" i="16"/>
  <c r="R180" i="16"/>
  <c r="N191" i="16"/>
  <c r="J198" i="16"/>
  <c r="Q20" i="16"/>
  <c r="BD20" i="16" s="1"/>
  <c r="S24" i="16"/>
  <c r="R24" i="16"/>
  <c r="BE26" i="16"/>
  <c r="S26" i="16"/>
  <c r="R26" i="16"/>
  <c r="BE28" i="16"/>
  <c r="S28" i="16"/>
  <c r="R28" i="16"/>
  <c r="AH16" i="16"/>
  <c r="S49" i="16"/>
  <c r="J79" i="16"/>
  <c r="K81" i="16"/>
  <c r="K91" i="16"/>
  <c r="V166" i="16"/>
  <c r="AH166" i="16"/>
  <c r="AX166" i="16"/>
  <c r="AL20" i="16"/>
  <c r="AM20" i="16"/>
  <c r="AL16" i="16"/>
  <c r="AK7" i="16"/>
  <c r="AL8" i="16"/>
  <c r="AI20" i="16"/>
  <c r="AH8" i="16"/>
  <c r="AH20" i="16"/>
  <c r="V90" i="19"/>
  <c r="W90" i="19"/>
  <c r="Z18" i="7"/>
  <c r="V18" i="7"/>
  <c r="Y18" i="7"/>
  <c r="W18" i="7"/>
  <c r="AB18" i="7"/>
  <c r="AA18" i="7"/>
  <c r="Q18" i="7"/>
  <c r="V22" i="7"/>
  <c r="W22" i="7"/>
  <c r="Q22" i="7"/>
  <c r="AE32" i="7"/>
  <c r="AA32" i="7"/>
  <c r="AH32" i="7"/>
  <c r="AD32" i="7"/>
  <c r="Z32" i="7"/>
  <c r="AB32" i="7"/>
  <c r="AG32" i="7"/>
  <c r="AF32" i="7"/>
  <c r="Q32" i="7"/>
  <c r="AH33" i="7"/>
  <c r="AD33" i="7"/>
  <c r="Z33" i="7"/>
  <c r="AG33" i="7"/>
  <c r="AC33" i="7"/>
  <c r="Y33" i="7"/>
  <c r="Q33" i="7"/>
  <c r="AF33" i="7"/>
  <c r="X33" i="7"/>
  <c r="AE33" i="7"/>
  <c r="W33" i="7"/>
  <c r="AB33" i="7"/>
  <c r="AF49" i="7"/>
  <c r="AH49" i="7"/>
  <c r="Z50" i="7"/>
  <c r="V50" i="7"/>
  <c r="Y50" i="7"/>
  <c r="W50" i="7"/>
  <c r="AA50" i="7"/>
  <c r="Q50" i="7"/>
  <c r="AG12" i="7"/>
  <c r="AC12" i="7"/>
  <c r="Y12" i="7"/>
  <c r="AF12" i="7"/>
  <c r="AB12" i="7"/>
  <c r="X12" i="7"/>
  <c r="AE12" i="7"/>
  <c r="W12" i="7"/>
  <c r="AD12" i="7"/>
  <c r="V12" i="7"/>
  <c r="AH12" i="7" s="1"/>
  <c r="AA12" i="7"/>
  <c r="Q42" i="7"/>
  <c r="V42" i="7"/>
  <c r="V54" i="7"/>
  <c r="W54" i="7"/>
  <c r="Q54" i="7"/>
  <c r="AK9" i="19"/>
  <c r="AI8" i="19"/>
  <c r="AJ9" i="19"/>
  <c r="AE16" i="19"/>
  <c r="AD16" i="19"/>
  <c r="AB15" i="19"/>
  <c r="AE15" i="19" s="1"/>
  <c r="AA17" i="19"/>
  <c r="Z17" i="19"/>
  <c r="X15" i="19"/>
  <c r="AA15" i="19" s="1"/>
  <c r="AD104" i="19"/>
  <c r="Z16" i="7"/>
  <c r="V16" i="7"/>
  <c r="Y16" i="7"/>
  <c r="W16" i="7"/>
  <c r="AA16" i="7"/>
  <c r="Q16" i="7"/>
  <c r="AF17" i="7"/>
  <c r="AB17" i="7"/>
  <c r="AE17" i="7"/>
  <c r="AA17" i="7"/>
  <c r="AC17" i="7"/>
  <c r="AH17" i="7"/>
  <c r="AG17" i="7"/>
  <c r="AG14" i="7"/>
  <c r="AC14" i="7"/>
  <c r="Y14" i="7"/>
  <c r="AF14" i="7"/>
  <c r="AB14" i="7"/>
  <c r="X14" i="7"/>
  <c r="Q14" i="7"/>
  <c r="AE14" i="7"/>
  <c r="W14" i="7"/>
  <c r="AD14" i="7"/>
  <c r="V14" i="7"/>
  <c r="AH14" i="7" s="1"/>
  <c r="AA14" i="7"/>
  <c r="AD17" i="7"/>
  <c r="X18" i="7"/>
  <c r="X22" i="7"/>
  <c r="AC32" i="7"/>
  <c r="AA33" i="7"/>
  <c r="Q44" i="7"/>
  <c r="V44" i="7"/>
  <c r="X50" i="7"/>
  <c r="Y61" i="7"/>
  <c r="X61" i="7"/>
  <c r="Q61" i="7"/>
  <c r="Z61" i="7"/>
  <c r="W61" i="7"/>
  <c r="V61" i="7"/>
  <c r="AW55" i="19"/>
  <c r="AV55" i="19"/>
  <c r="AU47" i="19"/>
  <c r="AL65" i="19"/>
  <c r="AP65" i="19" s="1"/>
  <c r="AS65" i="19" s="1"/>
  <c r="AJ65" i="19"/>
  <c r="AG69" i="19"/>
  <c r="Z20" i="7"/>
  <c r="V20" i="7"/>
  <c r="Y20" i="7"/>
  <c r="W20" i="7"/>
  <c r="AB20" i="7"/>
  <c r="AA20" i="7"/>
  <c r="Q20" i="7"/>
  <c r="AF27" i="7"/>
  <c r="AB27" i="7"/>
  <c r="X27" i="7"/>
  <c r="AE27" i="7"/>
  <c r="AA27" i="7"/>
  <c r="W27" i="7"/>
  <c r="AD27" i="7"/>
  <c r="AC27" i="7"/>
  <c r="AH27" i="7"/>
  <c r="Z27" i="7"/>
  <c r="AC46" i="7"/>
  <c r="Y46" i="7"/>
  <c r="AB46" i="7"/>
  <c r="X46" i="7"/>
  <c r="Q46" i="7"/>
  <c r="Z46" i="7"/>
  <c r="W46" i="7"/>
  <c r="AD46" i="7"/>
  <c r="V46" i="7"/>
  <c r="Q59" i="7"/>
  <c r="V59" i="7"/>
  <c r="O11" i="19"/>
  <c r="M9" i="19"/>
  <c r="N11" i="19"/>
  <c r="BG11" i="19"/>
  <c r="AF11" i="19"/>
  <c r="W11" i="19"/>
  <c r="U9" i="19"/>
  <c r="V11" i="19"/>
  <c r="AE11" i="19"/>
  <c r="AC9" i="19"/>
  <c r="AD11" i="19"/>
  <c r="AE12" i="19"/>
  <c r="AD12" i="19"/>
  <c r="AU8" i="19"/>
  <c r="O16" i="19"/>
  <c r="N16" i="19"/>
  <c r="L15" i="19"/>
  <c r="O15" i="19" s="1"/>
  <c r="K17" i="19"/>
  <c r="J17" i="19"/>
  <c r="H15" i="19"/>
  <c r="K15" i="19" s="1"/>
  <c r="I19" i="19"/>
  <c r="J30" i="19"/>
  <c r="AF30" i="19"/>
  <c r="AS68" i="19"/>
  <c r="AR68" i="19"/>
  <c r="AQ47" i="19"/>
  <c r="O12" i="19"/>
  <c r="N12" i="19"/>
  <c r="BA16" i="19"/>
  <c r="AX15" i="19"/>
  <c r="BA15" i="19" s="1"/>
  <c r="AZ16" i="19"/>
  <c r="K54" i="19"/>
  <c r="J54" i="19"/>
  <c r="AL77" i="19"/>
  <c r="AK77" i="19"/>
  <c r="AJ77" i="19"/>
  <c r="BH84" i="19"/>
  <c r="U72" i="19"/>
  <c r="AF84" i="19"/>
  <c r="V102" i="19"/>
  <c r="W102" i="19"/>
  <c r="AG7" i="7"/>
  <c r="AC7" i="7"/>
  <c r="Y7" i="7"/>
  <c r="AF7" i="7"/>
  <c r="AB7" i="7"/>
  <c r="X7" i="7"/>
  <c r="AD7" i="7"/>
  <c r="AA7" i="7"/>
  <c r="AH7" i="7"/>
  <c r="Z7" i="7"/>
  <c r="X20" i="7"/>
  <c r="Y27" i="7"/>
  <c r="AA46" i="7"/>
  <c r="V52" i="7"/>
  <c r="W52" i="7"/>
  <c r="Q52" i="7"/>
  <c r="AC57" i="7"/>
  <c r="Y57" i="7"/>
  <c r="AB57" i="7"/>
  <c r="X57" i="7"/>
  <c r="Q57" i="7"/>
  <c r="V57" i="7"/>
  <c r="AA57" i="7"/>
  <c r="Z57" i="7"/>
  <c r="AK16" i="19"/>
  <c r="AH15" i="19"/>
  <c r="AJ16" i="19"/>
  <c r="AT49" i="19"/>
  <c r="AS49" i="19"/>
  <c r="W52" i="19"/>
  <c r="V52" i="19"/>
  <c r="S59" i="19"/>
  <c r="R59" i="19"/>
  <c r="BC47" i="19"/>
  <c r="AV67" i="19"/>
  <c r="AX67" i="19"/>
  <c r="W78" i="19"/>
  <c r="V78" i="19"/>
  <c r="N79" i="19"/>
  <c r="O79" i="19"/>
  <c r="V86" i="19"/>
  <c r="W86" i="19"/>
  <c r="AN101" i="19"/>
  <c r="AO101" i="19"/>
  <c r="AP101" i="19"/>
  <c r="AG5" i="7"/>
  <c r="AC5" i="7"/>
  <c r="Y5" i="7"/>
  <c r="AF5" i="7"/>
  <c r="AB5" i="7"/>
  <c r="X5" i="7"/>
  <c r="AA5" i="7"/>
  <c r="X10" i="7"/>
  <c r="AA10" i="7"/>
  <c r="W10" i="7"/>
  <c r="Z10" i="7"/>
  <c r="Q12" i="7"/>
  <c r="AB25" i="7"/>
  <c r="X25" i="7"/>
  <c r="AA25" i="7"/>
  <c r="W25" i="7"/>
  <c r="Z25" i="7"/>
  <c r="X29" i="7"/>
  <c r="W29" i="7"/>
  <c r="X34" i="7"/>
  <c r="W34" i="7"/>
  <c r="AB36" i="7"/>
  <c r="X36" i="7"/>
  <c r="AA36" i="7"/>
  <c r="W36" i="7"/>
  <c r="Z36" i="7"/>
  <c r="X38" i="7"/>
  <c r="W38" i="7"/>
  <c r="Z38" i="7"/>
  <c r="AG40" i="7"/>
  <c r="AC40" i="7"/>
  <c r="Y40" i="7"/>
  <c r="AF40" i="7"/>
  <c r="AB40" i="7"/>
  <c r="X40" i="7"/>
  <c r="AA40" i="7"/>
  <c r="AE47" i="7"/>
  <c r="AA47" i="7"/>
  <c r="W47" i="7"/>
  <c r="AD47" i="7"/>
  <c r="Z47" i="7"/>
  <c r="V47" i="7"/>
  <c r="Y47" i="7"/>
  <c r="AE60" i="7"/>
  <c r="AA60" i="7"/>
  <c r="W60" i="7"/>
  <c r="AH60" i="7"/>
  <c r="AD60" i="7"/>
  <c r="Z60" i="7"/>
  <c r="Y60" i="7"/>
  <c r="AG60" i="7"/>
  <c r="AF62" i="7"/>
  <c r="AB62" i="7"/>
  <c r="X62" i="7"/>
  <c r="AE62" i="7"/>
  <c r="AA62" i="7"/>
  <c r="W62" i="7"/>
  <c r="Z62" i="7"/>
  <c r="AH62" i="7"/>
  <c r="AY8" i="19"/>
  <c r="AP12" i="19"/>
  <c r="AO12" i="19"/>
  <c r="AP14" i="19"/>
  <c r="AO14" i="19"/>
  <c r="AL15" i="19"/>
  <c r="AN15" i="19" s="1"/>
  <c r="AO16" i="19"/>
  <c r="BB15" i="19"/>
  <c r="BE15" i="19" s="1"/>
  <c r="BE16" i="19"/>
  <c r="AK17" i="19"/>
  <c r="AJ17" i="19"/>
  <c r="BA17" i="19"/>
  <c r="AZ17" i="19"/>
  <c r="K18" i="19"/>
  <c r="J18" i="19"/>
  <c r="AA18" i="19"/>
  <c r="Z18" i="19"/>
  <c r="W21" i="19"/>
  <c r="V21" i="19"/>
  <c r="AE39" i="19"/>
  <c r="AD39" i="19"/>
  <c r="AB19" i="19"/>
  <c r="AO39" i="19"/>
  <c r="AN39" i="19"/>
  <c r="BE39" i="19"/>
  <c r="BD39" i="19"/>
  <c r="O51" i="19"/>
  <c r="N51" i="19"/>
  <c r="S53" i="19"/>
  <c r="R53" i="19"/>
  <c r="AK55" i="19"/>
  <c r="AJ55" i="19"/>
  <c r="BA55" i="19"/>
  <c r="AZ55" i="19"/>
  <c r="AA57" i="19"/>
  <c r="Z57" i="19"/>
  <c r="O61" i="19"/>
  <c r="M47" i="19"/>
  <c r="N61" i="19"/>
  <c r="J66" i="19"/>
  <c r="BG66" i="19"/>
  <c r="I47" i="19"/>
  <c r="AF66" i="19"/>
  <c r="K66" i="19"/>
  <c r="AL80" i="19"/>
  <c r="AJ80" i="19"/>
  <c r="AK80" i="19"/>
  <c r="AG81" i="19"/>
  <c r="BG84" i="19"/>
  <c r="AX96" i="19"/>
  <c r="O114" i="19"/>
  <c r="N114" i="19"/>
  <c r="O63" i="7"/>
  <c r="P63" i="7" s="1"/>
  <c r="Q5" i="7"/>
  <c r="AD5" i="7"/>
  <c r="Q7" i="7"/>
  <c r="Q10" i="7"/>
  <c r="AE13" i="7"/>
  <c r="AA13" i="7"/>
  <c r="W13" i="7"/>
  <c r="AH13" i="7"/>
  <c r="AD13" i="7"/>
  <c r="Z13" i="7"/>
  <c r="Y13" i="7"/>
  <c r="AG13" i="7"/>
  <c r="AF15" i="7"/>
  <c r="AB15" i="7"/>
  <c r="X15" i="7"/>
  <c r="AE15" i="7"/>
  <c r="AA15" i="7"/>
  <c r="W15" i="7"/>
  <c r="Z15" i="7"/>
  <c r="AH15" i="7"/>
  <c r="X17" i="7"/>
  <c r="W17" i="7"/>
  <c r="Z17" i="7"/>
  <c r="AF19" i="7"/>
  <c r="AB19" i="7"/>
  <c r="X19" i="7"/>
  <c r="AE19" i="7"/>
  <c r="AA19" i="7"/>
  <c r="W19" i="7"/>
  <c r="Z19" i="7"/>
  <c r="AF21" i="7"/>
  <c r="AB21" i="7"/>
  <c r="X21" i="7"/>
  <c r="AE21" i="7"/>
  <c r="AA21" i="7"/>
  <c r="W21" i="7"/>
  <c r="Z21" i="7"/>
  <c r="Q25" i="7"/>
  <c r="AC25" i="7"/>
  <c r="Q27" i="7"/>
  <c r="Q29" i="7"/>
  <c r="Q31" i="7"/>
  <c r="Q34" i="7"/>
  <c r="Q36" i="7"/>
  <c r="AC36" i="7"/>
  <c r="Q38" i="7"/>
  <c r="Q40" i="7"/>
  <c r="AD40" i="7"/>
  <c r="W41" i="7"/>
  <c r="Z41" i="7"/>
  <c r="V41" i="7"/>
  <c r="Y41" i="7"/>
  <c r="AE43" i="7"/>
  <c r="AA43" i="7"/>
  <c r="W43" i="7"/>
  <c r="AH43" i="7"/>
  <c r="AD43" i="7"/>
  <c r="Z43" i="7"/>
  <c r="Y43" i="7"/>
  <c r="AG43" i="7"/>
  <c r="Q47" i="7"/>
  <c r="AB47" i="7"/>
  <c r="AB49" i="7"/>
  <c r="X49" i="7"/>
  <c r="AA49" i="7"/>
  <c r="W49" i="7"/>
  <c r="Z49" i="7"/>
  <c r="AF53" i="7"/>
  <c r="AB53" i="7"/>
  <c r="X53" i="7"/>
  <c r="AE53" i="7"/>
  <c r="AA53" i="7"/>
  <c r="W53" i="7"/>
  <c r="Z53" i="7"/>
  <c r="AB55" i="7"/>
  <c r="X55" i="7"/>
  <c r="AA55" i="7"/>
  <c r="W55" i="7"/>
  <c r="Z55" i="7"/>
  <c r="Q60" i="7"/>
  <c r="AB60" i="7"/>
  <c r="Q62" i="7"/>
  <c r="AC62" i="7"/>
  <c r="AS9" i="19"/>
  <c r="AQ8" i="19"/>
  <c r="K11" i="19"/>
  <c r="J11" i="19"/>
  <c r="S11" i="19"/>
  <c r="Q9" i="19"/>
  <c r="R11" i="19"/>
  <c r="AA11" i="19"/>
  <c r="Y9" i="19"/>
  <c r="Z11" i="19"/>
  <c r="AN11" i="19"/>
  <c r="R12" i="19"/>
  <c r="AN12" i="19"/>
  <c r="AD13" i="19"/>
  <c r="AK13" i="19"/>
  <c r="AJ13" i="19"/>
  <c r="BG13" i="19"/>
  <c r="AG14" i="19"/>
  <c r="AN14" i="19"/>
  <c r="BG15" i="19"/>
  <c r="BF16" i="19"/>
  <c r="AN16" i="19"/>
  <c r="BD16" i="19"/>
  <c r="N17" i="19"/>
  <c r="AD17" i="19"/>
  <c r="AK18" i="19"/>
  <c r="AJ18" i="19"/>
  <c r="BA18" i="19"/>
  <c r="AZ18" i="19"/>
  <c r="BF22" i="19"/>
  <c r="AG22" i="19"/>
  <c r="BG28" i="19"/>
  <c r="BF29" i="19"/>
  <c r="AG29" i="19"/>
  <c r="BF32" i="19"/>
  <c r="AH47" i="19"/>
  <c r="AJ47" i="19" s="1"/>
  <c r="AP50" i="19"/>
  <c r="AO50" i="19"/>
  <c r="AN50" i="19"/>
  <c r="AO55" i="19"/>
  <c r="AN55" i="19"/>
  <c r="BE55" i="19"/>
  <c r="BD55" i="19"/>
  <c r="Z58" i="19"/>
  <c r="AE59" i="19"/>
  <c r="AD59" i="19"/>
  <c r="P60" i="19"/>
  <c r="K60" i="19"/>
  <c r="AB60" i="19"/>
  <c r="T60" i="19"/>
  <c r="L60" i="19"/>
  <c r="X60" i="19"/>
  <c r="J60" i="19"/>
  <c r="AF61" i="19"/>
  <c r="R62" i="19"/>
  <c r="S62" i="19"/>
  <c r="AO62" i="19"/>
  <c r="AP62" i="19"/>
  <c r="AN62" i="19"/>
  <c r="W64" i="19"/>
  <c r="AG64" i="19"/>
  <c r="Z66" i="19"/>
  <c r="Y47" i="19"/>
  <c r="AA66" i="19"/>
  <c r="R68" i="19"/>
  <c r="Q47" i="19"/>
  <c r="S68" i="19"/>
  <c r="W69" i="19"/>
  <c r="V69" i="19"/>
  <c r="AA73" i="19"/>
  <c r="Z73" i="19"/>
  <c r="AO74" i="19"/>
  <c r="AP74" i="19"/>
  <c r="AN74" i="19"/>
  <c r="AG78" i="19"/>
  <c r="Z81" i="19"/>
  <c r="AA81" i="19"/>
  <c r="AS87" i="19"/>
  <c r="AR87" i="19"/>
  <c r="AT87" i="19"/>
  <c r="V96" i="19"/>
  <c r="W96" i="19"/>
  <c r="AN97" i="19"/>
  <c r="AO97" i="19"/>
  <c r="AP97" i="19"/>
  <c r="V98" i="19"/>
  <c r="W98" i="19"/>
  <c r="S100" i="19"/>
  <c r="R100" i="19"/>
  <c r="AJ103" i="19"/>
  <c r="AK103" i="19"/>
  <c r="AL103" i="19"/>
  <c r="R148" i="19"/>
  <c r="S148" i="19"/>
  <c r="Z4" i="7"/>
  <c r="Y4" i="7"/>
  <c r="X4" i="7"/>
  <c r="W5" i="7"/>
  <c r="AE5" i="7"/>
  <c r="Q9" i="7"/>
  <c r="V10" i="7"/>
  <c r="AB13" i="7"/>
  <c r="AC15" i="7"/>
  <c r="Q17" i="7"/>
  <c r="Q19" i="7"/>
  <c r="AC19" i="7"/>
  <c r="Q21" i="7"/>
  <c r="AC21" i="7"/>
  <c r="Q23" i="7"/>
  <c r="Z24" i="7"/>
  <c r="V24" i="7"/>
  <c r="AC24" i="7"/>
  <c r="Y24" i="7"/>
  <c r="X24" i="7"/>
  <c r="V25" i="7"/>
  <c r="AH26" i="7"/>
  <c r="AD26" i="7"/>
  <c r="Z26" i="7"/>
  <c r="AG26" i="7"/>
  <c r="AC26" i="7"/>
  <c r="Y26" i="7"/>
  <c r="X26" i="7"/>
  <c r="AF26" i="7"/>
  <c r="AH28" i="7"/>
  <c r="AD28" i="7"/>
  <c r="Z28" i="7"/>
  <c r="AG28" i="7"/>
  <c r="AC28" i="7"/>
  <c r="Y28" i="7"/>
  <c r="X28" i="7"/>
  <c r="AF28" i="7"/>
  <c r="V29" i="7"/>
  <c r="AH30" i="7"/>
  <c r="AD30" i="7"/>
  <c r="Z30" i="7"/>
  <c r="AG30" i="7"/>
  <c r="AC30" i="7"/>
  <c r="Y30" i="7"/>
  <c r="X30" i="7"/>
  <c r="AF30" i="7"/>
  <c r="V34" i="7"/>
  <c r="Z35" i="7"/>
  <c r="V35" i="7"/>
  <c r="Y35" i="7"/>
  <c r="X35" i="7"/>
  <c r="V36" i="7"/>
  <c r="AD36" i="7"/>
  <c r="Z37" i="7"/>
  <c r="V37" i="7"/>
  <c r="Y37" i="7"/>
  <c r="X37" i="7"/>
  <c r="V38" i="7"/>
  <c r="Z39" i="7"/>
  <c r="V39" i="7"/>
  <c r="Y39" i="7"/>
  <c r="X39" i="7"/>
  <c r="W40" i="7"/>
  <c r="AE40" i="7"/>
  <c r="AB43" i="7"/>
  <c r="AC47" i="7"/>
  <c r="Q49" i="7"/>
  <c r="AC49" i="7"/>
  <c r="Q51" i="7"/>
  <c r="Q53" i="7"/>
  <c r="AC53" i="7"/>
  <c r="Q55" i="7"/>
  <c r="AC55" i="7"/>
  <c r="AA58" i="7"/>
  <c r="W58" i="7"/>
  <c r="Z58" i="7"/>
  <c r="V58" i="7"/>
  <c r="Y58" i="7"/>
  <c r="AC60" i="7"/>
  <c r="AD62" i="7"/>
  <c r="R63" i="7"/>
  <c r="AO9" i="19"/>
  <c r="AM8" i="19"/>
  <c r="AR9" i="19"/>
  <c r="AG10" i="19"/>
  <c r="BC8" i="19"/>
  <c r="K16" i="19"/>
  <c r="J16" i="19"/>
  <c r="AA16" i="19"/>
  <c r="Z16" i="19"/>
  <c r="BF17" i="19"/>
  <c r="AN17" i="19"/>
  <c r="BD17" i="19"/>
  <c r="N18" i="19"/>
  <c r="AD18" i="19"/>
  <c r="AS21" i="19"/>
  <c r="AR21" i="19"/>
  <c r="BF24" i="19"/>
  <c r="AG24" i="19"/>
  <c r="M19" i="19"/>
  <c r="N26" i="19"/>
  <c r="AF33" i="19"/>
  <c r="BG33" i="19"/>
  <c r="J33" i="19"/>
  <c r="AD48" i="19"/>
  <c r="P49" i="19"/>
  <c r="K49" i="19"/>
  <c r="J49" i="19"/>
  <c r="H47" i="19"/>
  <c r="AG50" i="19"/>
  <c r="AE53" i="19"/>
  <c r="AD53" i="19"/>
  <c r="AS55" i="19"/>
  <c r="AR55" i="19"/>
  <c r="BG55" i="19"/>
  <c r="AG62" i="19"/>
  <c r="AK66" i="19"/>
  <c r="AJ66" i="19"/>
  <c r="BA66" i="19"/>
  <c r="AZ66" i="19"/>
  <c r="BG68" i="19"/>
  <c r="AG74" i="19"/>
  <c r="V80" i="19"/>
  <c r="W80" i="19"/>
  <c r="AD88" i="19"/>
  <c r="AE88" i="19"/>
  <c r="AO88" i="19"/>
  <c r="AN88" i="19"/>
  <c r="AP88" i="19"/>
  <c r="Z89" i="19"/>
  <c r="AA89" i="19"/>
  <c r="AV90" i="19"/>
  <c r="AX90" i="19"/>
  <c r="R92" i="19"/>
  <c r="S92" i="19"/>
  <c r="R103" i="19"/>
  <c r="S103" i="19"/>
  <c r="J111" i="19"/>
  <c r="I110" i="19"/>
  <c r="K111" i="19"/>
  <c r="BG111" i="19"/>
  <c r="AF111" i="19"/>
  <c r="AV117" i="19"/>
  <c r="AW117" i="19"/>
  <c r="AF28" i="19"/>
  <c r="P48" i="19"/>
  <c r="R48" i="19" s="1"/>
  <c r="AK48" i="19"/>
  <c r="AB50" i="19"/>
  <c r="AP51" i="19"/>
  <c r="AF55" i="19"/>
  <c r="AP57" i="19"/>
  <c r="BG61" i="19"/>
  <c r="K61" i="19"/>
  <c r="AP61" i="19"/>
  <c r="AK65" i="19"/>
  <c r="V66" i="19"/>
  <c r="BG67" i="19"/>
  <c r="N68" i="19"/>
  <c r="AD68" i="19"/>
  <c r="AW68" i="19"/>
  <c r="AO70" i="19"/>
  <c r="AB82" i="19"/>
  <c r="AE82" i="19" s="1"/>
  <c r="X82" i="19"/>
  <c r="AA82" i="19" s="1"/>
  <c r="T82" i="19"/>
  <c r="W82" i="19" s="1"/>
  <c r="P82" i="19"/>
  <c r="S82" i="19" s="1"/>
  <c r="L82" i="19"/>
  <c r="O82" i="19" s="1"/>
  <c r="J82" i="19"/>
  <c r="AD86" i="19"/>
  <c r="AE86" i="19"/>
  <c r="N88" i="19"/>
  <c r="O88" i="19"/>
  <c r="AG88" i="19"/>
  <c r="AE89" i="19"/>
  <c r="AD89" i="19"/>
  <c r="AP89" i="19"/>
  <c r="AN89" i="19"/>
  <c r="AA90" i="19"/>
  <c r="Z90" i="19"/>
  <c r="AL91" i="19"/>
  <c r="AJ91" i="19"/>
  <c r="W92" i="19"/>
  <c r="V92" i="19"/>
  <c r="AP95" i="19"/>
  <c r="AN95" i="19"/>
  <c r="AA96" i="19"/>
  <c r="Z96" i="19"/>
  <c r="AD98" i="19"/>
  <c r="AE98" i="19"/>
  <c r="AO99" i="19"/>
  <c r="AD102" i="19"/>
  <c r="AE102" i="19"/>
  <c r="AO102" i="19"/>
  <c r="AN102" i="19"/>
  <c r="Z103" i="19"/>
  <c r="AA103" i="19"/>
  <c r="AG104" i="19"/>
  <c r="AJ113" i="19"/>
  <c r="AH110" i="19"/>
  <c r="AK113" i="19"/>
  <c r="R115" i="19"/>
  <c r="Q110" i="19"/>
  <c r="S115" i="19"/>
  <c r="S156" i="19"/>
  <c r="R156" i="19"/>
  <c r="V6" i="7"/>
  <c r="AH6" i="7" s="1"/>
  <c r="Z6" i="7"/>
  <c r="AD6" i="7"/>
  <c r="V8" i="7"/>
  <c r="Z8" i="7"/>
  <c r="X13" i="19"/>
  <c r="X8" i="19" s="1"/>
  <c r="R21" i="19"/>
  <c r="AN21" i="19"/>
  <c r="AF26" i="19"/>
  <c r="BG26" i="19"/>
  <c r="AL48" i="19"/>
  <c r="AB64" i="19"/>
  <c r="L64" i="19"/>
  <c r="AP70" i="19"/>
  <c r="AH79" i="19"/>
  <c r="X79" i="19"/>
  <c r="P79" i="19"/>
  <c r="K79" i="19"/>
  <c r="AB79" i="19"/>
  <c r="AP83" i="19"/>
  <c r="AN83" i="19"/>
  <c r="N86" i="19"/>
  <c r="O86" i="19"/>
  <c r="S88" i="19"/>
  <c r="R88" i="19"/>
  <c r="O89" i="19"/>
  <c r="N89" i="19"/>
  <c r="AG89" i="19"/>
  <c r="AK91" i="19"/>
  <c r="AG95" i="19"/>
  <c r="AO95" i="19"/>
  <c r="N98" i="19"/>
  <c r="O98" i="19"/>
  <c r="W100" i="19"/>
  <c r="AD100" i="19"/>
  <c r="AE100" i="19"/>
  <c r="N102" i="19"/>
  <c r="O102" i="19"/>
  <c r="AG102" i="19"/>
  <c r="AP102" i="19"/>
  <c r="AE103" i="19"/>
  <c r="AD103" i="19"/>
  <c r="AP105" i="19"/>
  <c r="AN105" i="19"/>
  <c r="AG107" i="19"/>
  <c r="AD114" i="19"/>
  <c r="AC110" i="19"/>
  <c r="AE114" i="19"/>
  <c r="AW114" i="19"/>
  <c r="AX114" i="19"/>
  <c r="AV114" i="19"/>
  <c r="N119" i="19"/>
  <c r="O119" i="19"/>
  <c r="AP124" i="19"/>
  <c r="AT124" i="19" s="1"/>
  <c r="AV124" i="19" s="1"/>
  <c r="AO124" i="19"/>
  <c r="BA130" i="19"/>
  <c r="BB130" i="19"/>
  <c r="BF130" i="19" s="1"/>
  <c r="AZ130" i="19"/>
  <c r="AA140" i="19"/>
  <c r="Z140" i="19"/>
  <c r="W6" i="7"/>
  <c r="AA6" i="7"/>
  <c r="W8" i="7"/>
  <c r="AT15" i="19"/>
  <c r="AW15" i="19" s="1"/>
  <c r="AH19" i="19"/>
  <c r="AK19" i="19" s="1"/>
  <c r="AL19" i="19"/>
  <c r="J39" i="19"/>
  <c r="J48" i="19"/>
  <c r="AT60" i="19"/>
  <c r="S61" i="19"/>
  <c r="V61" i="19"/>
  <c r="AE61" i="19"/>
  <c r="V62" i="19"/>
  <c r="AE62" i="19"/>
  <c r="J64" i="19"/>
  <c r="P64" i="19"/>
  <c r="X64" i="19"/>
  <c r="BG65" i="19"/>
  <c r="N66" i="19"/>
  <c r="S66" i="19"/>
  <c r="AD66" i="19"/>
  <c r="AE67" i="19"/>
  <c r="K68" i="19"/>
  <c r="V68" i="19"/>
  <c r="AA68" i="19"/>
  <c r="AF68" i="19"/>
  <c r="S69" i="19"/>
  <c r="Q72" i="19"/>
  <c r="P73" i="19"/>
  <c r="K73" i="19"/>
  <c r="AL73" i="19"/>
  <c r="S78" i="19"/>
  <c r="AK78" i="19"/>
  <c r="J79" i="19"/>
  <c r="T79" i="19"/>
  <c r="BG80" i="19"/>
  <c r="Z80" i="19"/>
  <c r="AF80" i="19"/>
  <c r="AN81" i="19"/>
  <c r="AP81" i="19"/>
  <c r="AF82" i="19"/>
  <c r="BH82" i="19"/>
  <c r="AN82" i="19"/>
  <c r="BG82" i="19"/>
  <c r="O83" i="19"/>
  <c r="W83" i="19"/>
  <c r="AO83" i="19"/>
  <c r="AJ85" i="19"/>
  <c r="S86" i="19"/>
  <c r="R86" i="19"/>
  <c r="AN87" i="19"/>
  <c r="AO87" i="19"/>
  <c r="AE90" i="19"/>
  <c r="AA92" i="19"/>
  <c r="AE96" i="19"/>
  <c r="AR96" i="19"/>
  <c r="S98" i="19"/>
  <c r="R98" i="19"/>
  <c r="N100" i="19"/>
  <c r="O100" i="19"/>
  <c r="S102" i="19"/>
  <c r="R102" i="19"/>
  <c r="O103" i="19"/>
  <c r="N103" i="19"/>
  <c r="AG103" i="19"/>
  <c r="AO105" i="19"/>
  <c r="AJ107" i="19"/>
  <c r="AK107" i="19"/>
  <c r="N116" i="19"/>
  <c r="O116" i="19"/>
  <c r="AG124" i="19"/>
  <c r="AD124" i="19"/>
  <c r="AE124" i="19"/>
  <c r="AC121" i="19"/>
  <c r="R128" i="19"/>
  <c r="S128" i="19"/>
  <c r="W132" i="19"/>
  <c r="V132" i="19"/>
  <c r="W143" i="19"/>
  <c r="V143" i="19"/>
  <c r="T142" i="19"/>
  <c r="AA149" i="19"/>
  <c r="Z149" i="19"/>
  <c r="X142" i="19"/>
  <c r="S150" i="19"/>
  <c r="R150" i="19"/>
  <c r="K84" i="19"/>
  <c r="T84" i="19"/>
  <c r="V84" i="19" s="1"/>
  <c r="X84" i="19"/>
  <c r="AA84" i="19" s="1"/>
  <c r="K85" i="19"/>
  <c r="P85" i="19"/>
  <c r="AP86" i="19"/>
  <c r="AB87" i="19"/>
  <c r="L87" i="19"/>
  <c r="AO106" i="19"/>
  <c r="BG114" i="19"/>
  <c r="R114" i="19"/>
  <c r="Z114" i="19"/>
  <c r="AF114" i="19"/>
  <c r="Y110" i="19"/>
  <c r="AP114" i="19"/>
  <c r="N115" i="19"/>
  <c r="M110" i="19"/>
  <c r="AW115" i="19"/>
  <c r="P117" i="19"/>
  <c r="M121" i="19"/>
  <c r="AS137" i="19"/>
  <c r="AR137" i="19"/>
  <c r="R140" i="19"/>
  <c r="S140" i="19"/>
  <c r="AO145" i="19"/>
  <c r="AN145" i="19"/>
  <c r="AP145" i="19"/>
  <c r="BF170" i="19"/>
  <c r="AG170" i="19"/>
  <c r="AS172" i="19"/>
  <c r="AR172" i="19"/>
  <c r="BF172" i="19"/>
  <c r="BF112" i="19"/>
  <c r="AG112" i="19"/>
  <c r="AF115" i="19"/>
  <c r="BG115" i="19"/>
  <c r="J115" i="19"/>
  <c r="AX117" i="19"/>
  <c r="AB117" i="19"/>
  <c r="L117" i="19"/>
  <c r="AP117" i="19"/>
  <c r="T117" i="19"/>
  <c r="J117" i="19"/>
  <c r="AL117" i="19"/>
  <c r="AN122" i="19"/>
  <c r="AO122" i="19"/>
  <c r="AL121" i="19"/>
  <c r="AO121" i="19" s="1"/>
  <c r="BH124" i="19"/>
  <c r="N124" i="19"/>
  <c r="O124" i="19"/>
  <c r="O138" i="19"/>
  <c r="N138" i="19"/>
  <c r="S145" i="19"/>
  <c r="R145" i="19"/>
  <c r="AT148" i="19"/>
  <c r="AS148" i="19"/>
  <c r="AR148" i="19"/>
  <c r="AE153" i="19"/>
  <c r="AD153" i="19"/>
  <c r="AR167" i="19"/>
  <c r="AS167" i="19"/>
  <c r="AQ162" i="19"/>
  <c r="AR169" i="19"/>
  <c r="AS169" i="19"/>
  <c r="BF169" i="19"/>
  <c r="X85" i="19"/>
  <c r="T95" i="19"/>
  <c r="J95" i="19"/>
  <c r="P95" i="19"/>
  <c r="AB101" i="19"/>
  <c r="L101" i="19"/>
  <c r="BE111" i="19"/>
  <c r="AA112" i="19"/>
  <c r="AW112" i="19"/>
  <c r="BE112" i="19"/>
  <c r="S113" i="19"/>
  <c r="AA113" i="19"/>
  <c r="AG113" i="19"/>
  <c r="BF113" i="19"/>
  <c r="K115" i="19"/>
  <c r="V115" i="19"/>
  <c r="U110" i="19"/>
  <c r="AA115" i="19"/>
  <c r="AO115" i="19"/>
  <c r="BE115" i="19"/>
  <c r="K117" i="19"/>
  <c r="AG117" i="19"/>
  <c r="AS119" i="19"/>
  <c r="BA119" i="19"/>
  <c r="BF119" i="19"/>
  <c r="BH122" i="19"/>
  <c r="AF122" i="19"/>
  <c r="J122" i="19"/>
  <c r="AP122" i="19"/>
  <c r="V124" i="19"/>
  <c r="W124" i="19"/>
  <c r="BG124" i="19"/>
  <c r="AA128" i="19"/>
  <c r="Z128" i="19"/>
  <c r="AV130" i="19"/>
  <c r="AW130" i="19"/>
  <c r="AG132" i="19"/>
  <c r="AE137" i="19"/>
  <c r="AD137" i="19"/>
  <c r="AB121" i="19"/>
  <c r="AX137" i="19"/>
  <c r="AW137" i="19"/>
  <c r="AV137" i="19"/>
  <c r="P142" i="19"/>
  <c r="AG143" i="19"/>
  <c r="AT143" i="19"/>
  <c r="AS143" i="19"/>
  <c r="AR143" i="19"/>
  <c r="AE146" i="19"/>
  <c r="AB142" i="19"/>
  <c r="AE142" i="19" s="1"/>
  <c r="AD146" i="19"/>
  <c r="AE150" i="19"/>
  <c r="AD150" i="19"/>
  <c r="AG156" i="19"/>
  <c r="AT156" i="19"/>
  <c r="AS156" i="19"/>
  <c r="AR156" i="19"/>
  <c r="AK176" i="19"/>
  <c r="AJ176" i="19"/>
  <c r="AI162" i="19"/>
  <c r="AS176" i="19"/>
  <c r="AR176" i="19"/>
  <c r="BA176" i="19"/>
  <c r="AZ176" i="19"/>
  <c r="AY162" i="19"/>
  <c r="S187" i="19"/>
  <c r="R187" i="19"/>
  <c r="AO189" i="19"/>
  <c r="AN189" i="19"/>
  <c r="L122" i="19"/>
  <c r="R124" i="19"/>
  <c r="AN124" i="19"/>
  <c r="AS130" i="19"/>
  <c r="BH137" i="19"/>
  <c r="S147" i="19"/>
  <c r="R147" i="19"/>
  <c r="AO147" i="19"/>
  <c r="AN147" i="19"/>
  <c r="S149" i="19"/>
  <c r="R149" i="19"/>
  <c r="AP150" i="19"/>
  <c r="AO150" i="19"/>
  <c r="AT152" i="19"/>
  <c r="AS152" i="19"/>
  <c r="S154" i="19"/>
  <c r="R154" i="19"/>
  <c r="AO154" i="19"/>
  <c r="AN154" i="19"/>
  <c r="AT157" i="19"/>
  <c r="AS157" i="19"/>
  <c r="AF158" i="19"/>
  <c r="K158" i="19"/>
  <c r="BG158" i="19"/>
  <c r="J158" i="19"/>
  <c r="S158" i="19"/>
  <c r="R158" i="19"/>
  <c r="AA158" i="19"/>
  <c r="Z158" i="19"/>
  <c r="AS158" i="19"/>
  <c r="BA158" i="19"/>
  <c r="W160" i="19"/>
  <c r="V160" i="19"/>
  <c r="AA166" i="19"/>
  <c r="Y162" i="19"/>
  <c r="Z166" i="19"/>
  <c r="W173" i="19"/>
  <c r="V173" i="19"/>
  <c r="AO174" i="19"/>
  <c r="AN174" i="19"/>
  <c r="BF177" i="19"/>
  <c r="AG177" i="19"/>
  <c r="S181" i="19"/>
  <c r="R181" i="19"/>
  <c r="BA183" i="19"/>
  <c r="AZ183" i="19"/>
  <c r="S191" i="19"/>
  <c r="R191" i="19"/>
  <c r="AF192" i="19"/>
  <c r="AE192" i="19"/>
  <c r="BG192" i="19"/>
  <c r="AD192" i="19"/>
  <c r="W127" i="19"/>
  <c r="AD127" i="19"/>
  <c r="AV127" i="19"/>
  <c r="AO128" i="19"/>
  <c r="O129" i="19"/>
  <c r="V129" i="19"/>
  <c r="AN129" i="19"/>
  <c r="N130" i="19"/>
  <c r="AA130" i="19"/>
  <c r="AG130" i="19"/>
  <c r="AN130" i="19"/>
  <c r="N131" i="19"/>
  <c r="Z131" i="19"/>
  <c r="AS131" i="19"/>
  <c r="AR132" i="19"/>
  <c r="R133" i="19"/>
  <c r="AE133" i="19"/>
  <c r="R134" i="19"/>
  <c r="AD134" i="19"/>
  <c r="AR134" i="19"/>
  <c r="W135" i="19"/>
  <c r="AD135" i="19"/>
  <c r="AN136" i="19"/>
  <c r="AJ137" i="19"/>
  <c r="AN137" i="19"/>
  <c r="T138" i="19"/>
  <c r="J138" i="19"/>
  <c r="P138" i="19"/>
  <c r="AD138" i="19"/>
  <c r="W139" i="19"/>
  <c r="AD139" i="19"/>
  <c r="AO140" i="19"/>
  <c r="AA144" i="19"/>
  <c r="Z144" i="19"/>
  <c r="V145" i="19"/>
  <c r="AT146" i="19"/>
  <c r="AP147" i="19"/>
  <c r="AG150" i="19"/>
  <c r="AN150" i="19"/>
  <c r="W151" i="19"/>
  <c r="V151" i="19"/>
  <c r="AL151" i="19"/>
  <c r="AL142" i="19" s="1"/>
  <c r="AK151" i="19"/>
  <c r="AH142" i="19"/>
  <c r="S152" i="19"/>
  <c r="R152" i="19"/>
  <c r="AR152" i="19"/>
  <c r="AP154" i="19"/>
  <c r="V156" i="19"/>
  <c r="AR157" i="19"/>
  <c r="AE159" i="19"/>
  <c r="AD159" i="19"/>
  <c r="AW168" i="19"/>
  <c r="AV168" i="19"/>
  <c r="AU162" i="19"/>
  <c r="S171" i="19"/>
  <c r="R171" i="19"/>
  <c r="AJ171" i="19"/>
  <c r="AK171" i="19"/>
  <c r="K172" i="19"/>
  <c r="J172" i="19"/>
  <c r="BG173" i="19"/>
  <c r="K173" i="19"/>
  <c r="BH173" i="19"/>
  <c r="J173" i="19"/>
  <c r="AT175" i="19"/>
  <c r="AS175" i="19"/>
  <c r="AR175" i="19"/>
  <c r="S178" i="19"/>
  <c r="R178" i="19"/>
  <c r="AS181" i="19"/>
  <c r="AR181" i="19"/>
  <c r="S185" i="19"/>
  <c r="R185" i="19"/>
  <c r="AS190" i="19"/>
  <c r="AR190" i="19"/>
  <c r="X104" i="19"/>
  <c r="AI110" i="19"/>
  <c r="AM110" i="19"/>
  <c r="AQ110" i="19"/>
  <c r="AU110" i="19"/>
  <c r="AY110" i="19"/>
  <c r="BC110" i="19"/>
  <c r="X118" i="19"/>
  <c r="T122" i="19"/>
  <c r="AP123" i="19"/>
  <c r="Z124" i="19"/>
  <c r="AS125" i="19"/>
  <c r="AP128" i="19"/>
  <c r="AP129" i="19"/>
  <c r="AO130" i="19"/>
  <c r="AT131" i="19"/>
  <c r="AT132" i="19"/>
  <c r="AP136" i="19"/>
  <c r="AP140" i="19"/>
  <c r="L142" i="19"/>
  <c r="Q142" i="19"/>
  <c r="S143" i="19"/>
  <c r="R143" i="19"/>
  <c r="AO143" i="19"/>
  <c r="AN143" i="19"/>
  <c r="AA146" i="19"/>
  <c r="Z146" i="19"/>
  <c r="O148" i="19"/>
  <c r="AE148" i="19"/>
  <c r="W149" i="19"/>
  <c r="BG149" i="19"/>
  <c r="AF149" i="19"/>
  <c r="V149" i="19"/>
  <c r="O150" i="19"/>
  <c r="N150" i="19"/>
  <c r="AA153" i="19"/>
  <c r="Z153" i="19"/>
  <c r="AO156" i="19"/>
  <c r="AN156" i="19"/>
  <c r="O158" i="19"/>
  <c r="N158" i="19"/>
  <c r="W158" i="19"/>
  <c r="V158" i="19"/>
  <c r="AE158" i="19"/>
  <c r="AD158" i="19"/>
  <c r="AW158" i="19"/>
  <c r="BE158" i="19"/>
  <c r="O159" i="19"/>
  <c r="N159" i="19"/>
  <c r="Z167" i="19"/>
  <c r="AA167" i="19"/>
  <c r="N169" i="19"/>
  <c r="O169" i="19"/>
  <c r="AF173" i="19"/>
  <c r="BA179" i="19"/>
  <c r="AZ179" i="19"/>
  <c r="BE184" i="19"/>
  <c r="BD184" i="19"/>
  <c r="BE189" i="19"/>
  <c r="BD189" i="19"/>
  <c r="AE16" i="16"/>
  <c r="AD16" i="16"/>
  <c r="AC7" i="16"/>
  <c r="AY16" i="16"/>
  <c r="AW7" i="16"/>
  <c r="AX16" i="16"/>
  <c r="AT164" i="19"/>
  <c r="T164" i="19"/>
  <c r="J164" i="19"/>
  <c r="AP164" i="19"/>
  <c r="AH164" i="19"/>
  <c r="AB164" i="19"/>
  <c r="BB164" i="19"/>
  <c r="BG166" i="19"/>
  <c r="K166" i="19"/>
  <c r="I162" i="19"/>
  <c r="W166" i="19"/>
  <c r="U162" i="19"/>
  <c r="AF166" i="19"/>
  <c r="J167" i="19"/>
  <c r="AF167" i="19"/>
  <c r="K167" i="19"/>
  <c r="AN167" i="19"/>
  <c r="AM162" i="19"/>
  <c r="BD167" i="19"/>
  <c r="BC162" i="19"/>
  <c r="AD169" i="19"/>
  <c r="AE169" i="19"/>
  <c r="AE171" i="19"/>
  <c r="AD171" i="19"/>
  <c r="BD171" i="19"/>
  <c r="BF174" i="19"/>
  <c r="AR179" i="19"/>
  <c r="AS179" i="19"/>
  <c r="AO180" i="19"/>
  <c r="AN180" i="19"/>
  <c r="AK183" i="19"/>
  <c r="AJ183" i="19"/>
  <c r="AO184" i="19"/>
  <c r="AN184" i="19"/>
  <c r="BF184" i="19"/>
  <c r="W185" i="19"/>
  <c r="V185" i="19"/>
  <c r="BH186" i="19"/>
  <c r="AF186" i="19"/>
  <c r="O186" i="19"/>
  <c r="BG186" i="19"/>
  <c r="AO186" i="19"/>
  <c r="AN186" i="19"/>
  <c r="AW186" i="19"/>
  <c r="AV186" i="19"/>
  <c r="BE186" i="19"/>
  <c r="BD186" i="19"/>
  <c r="W187" i="19"/>
  <c r="V187" i="19"/>
  <c r="W188" i="19"/>
  <c r="V188" i="19"/>
  <c r="BF189" i="19"/>
  <c r="W191" i="19"/>
  <c r="V191" i="19"/>
  <c r="W192" i="19"/>
  <c r="V192" i="19"/>
  <c r="O15" i="16"/>
  <c r="N15" i="16"/>
  <c r="S16" i="16"/>
  <c r="R16" i="16"/>
  <c r="AE47" i="16"/>
  <c r="AD47" i="16"/>
  <c r="AB45" i="16"/>
  <c r="AM47" i="16"/>
  <c r="AJ45" i="16"/>
  <c r="AL47" i="16"/>
  <c r="AU47" i="16"/>
  <c r="AT47" i="16"/>
  <c r="BC47" i="16"/>
  <c r="AZ45" i="16"/>
  <c r="BB47" i="16"/>
  <c r="AJ158" i="19"/>
  <c r="AN158" i="19"/>
  <c r="AR158" i="19"/>
  <c r="AV158" i="19"/>
  <c r="AZ158" i="19"/>
  <c r="BD158" i="19"/>
  <c r="Z159" i="19"/>
  <c r="R160" i="19"/>
  <c r="AG160" i="19"/>
  <c r="AN160" i="19"/>
  <c r="K164" i="19"/>
  <c r="AL164" i="19"/>
  <c r="J166" i="19"/>
  <c r="V166" i="19"/>
  <c r="AD167" i="19"/>
  <c r="AO167" i="19"/>
  <c r="BE167" i="19"/>
  <c r="BA168" i="19"/>
  <c r="BD168" i="19"/>
  <c r="S169" i="19"/>
  <c r="R169" i="19"/>
  <c r="BA169" i="19"/>
  <c r="N170" i="19"/>
  <c r="O170" i="19"/>
  <c r="W170" i="19"/>
  <c r="O171" i="19"/>
  <c r="N171" i="19"/>
  <c r="AF171" i="19"/>
  <c r="AN171" i="19"/>
  <c r="AS171" i="19"/>
  <c r="BE171" i="19"/>
  <c r="AV172" i="19"/>
  <c r="S173" i="19"/>
  <c r="R173" i="19"/>
  <c r="AV174" i="19"/>
  <c r="AW174" i="19"/>
  <c r="BE174" i="19"/>
  <c r="Z175" i="19"/>
  <c r="AA175" i="19"/>
  <c r="K176" i="19"/>
  <c r="AF176" i="19"/>
  <c r="J176" i="19"/>
  <c r="AE176" i="19"/>
  <c r="AO176" i="19"/>
  <c r="AN176" i="19"/>
  <c r="AW176" i="19"/>
  <c r="AV176" i="19"/>
  <c r="BE176" i="19"/>
  <c r="BD176" i="19"/>
  <c r="AA177" i="19"/>
  <c r="BD178" i="19"/>
  <c r="BE178" i="19"/>
  <c r="Z179" i="19"/>
  <c r="Z180" i="19"/>
  <c r="K181" i="19"/>
  <c r="AK181" i="19"/>
  <c r="R184" i="19"/>
  <c r="AS184" i="19"/>
  <c r="AR184" i="19"/>
  <c r="N186" i="19"/>
  <c r="AA188" i="19"/>
  <c r="Z188" i="19"/>
  <c r="AA192" i="19"/>
  <c r="Z192" i="19"/>
  <c r="AF193" i="19"/>
  <c r="L198" i="19"/>
  <c r="I8" i="16"/>
  <c r="K9" i="16"/>
  <c r="J9" i="16"/>
  <c r="AR45" i="16"/>
  <c r="V47" i="16"/>
  <c r="W47" i="16"/>
  <c r="Z60" i="16"/>
  <c r="N64" i="16"/>
  <c r="S65" i="16"/>
  <c r="R65" i="16"/>
  <c r="BE65" i="16"/>
  <c r="J157" i="19"/>
  <c r="L164" i="19"/>
  <c r="AX164" i="19"/>
  <c r="S166" i="19"/>
  <c r="Q162" i="19"/>
  <c r="R166" i="19"/>
  <c r="BH166" i="19"/>
  <c r="N167" i="19"/>
  <c r="S167" i="19"/>
  <c r="AE167" i="19"/>
  <c r="AK167" i="19"/>
  <c r="BA167" i="19"/>
  <c r="BG167" i="19"/>
  <c r="AK168" i="19"/>
  <c r="BG168" i="19"/>
  <c r="AN168" i="19"/>
  <c r="AZ168" i="19"/>
  <c r="AN169" i="19"/>
  <c r="BE169" i="19"/>
  <c r="BD169" i="19"/>
  <c r="AE170" i="19"/>
  <c r="AR170" i="19"/>
  <c r="BE170" i="19"/>
  <c r="AO171" i="19"/>
  <c r="AZ171" i="19"/>
  <c r="BA171" i="19"/>
  <c r="BG171" i="19"/>
  <c r="AO172" i="19"/>
  <c r="BD172" i="19"/>
  <c r="BE172" i="19"/>
  <c r="AK174" i="19"/>
  <c r="AJ174" i="19"/>
  <c r="O175" i="19"/>
  <c r="N175" i="19"/>
  <c r="Z176" i="19"/>
  <c r="AA176" i="19"/>
  <c r="BG176" i="19"/>
  <c r="N177" i="19"/>
  <c r="BA177" i="19"/>
  <c r="AS178" i="19"/>
  <c r="AR178" i="19"/>
  <c r="S179" i="19"/>
  <c r="BA180" i="19"/>
  <c r="AZ180" i="19"/>
  <c r="AD181" i="19"/>
  <c r="AW183" i="19"/>
  <c r="AV183" i="19"/>
  <c r="J184" i="19"/>
  <c r="AG185" i="19"/>
  <c r="BF185" i="19"/>
  <c r="K186" i="19"/>
  <c r="J186" i="19"/>
  <c r="AG187" i="19"/>
  <c r="BF187" i="19"/>
  <c r="K188" i="19"/>
  <c r="J188" i="19"/>
  <c r="AG191" i="19"/>
  <c r="BF191" i="19"/>
  <c r="K192" i="19"/>
  <c r="J192" i="19"/>
  <c r="BG193" i="19"/>
  <c r="N193" i="19"/>
  <c r="Q198" i="19"/>
  <c r="AO175" i="19"/>
  <c r="BG175" i="19"/>
  <c r="V176" i="19"/>
  <c r="W183" i="19"/>
  <c r="V183" i="19"/>
  <c r="AS185" i="19"/>
  <c r="AR185" i="19"/>
  <c r="AK186" i="19"/>
  <c r="AJ186" i="19"/>
  <c r="AS186" i="19"/>
  <c r="AR186" i="19"/>
  <c r="BA186" i="19"/>
  <c r="AZ186" i="19"/>
  <c r="AS187" i="19"/>
  <c r="AR187" i="19"/>
  <c r="AW188" i="19"/>
  <c r="AV188" i="19"/>
  <c r="K189" i="19"/>
  <c r="J189" i="19"/>
  <c r="AA189" i="19"/>
  <c r="Z189" i="19"/>
  <c r="O190" i="19"/>
  <c r="N190" i="19"/>
  <c r="AE190" i="19"/>
  <c r="AD190" i="19"/>
  <c r="AS191" i="19"/>
  <c r="AR191" i="19"/>
  <c r="AA12" i="16"/>
  <c r="Y8" i="16"/>
  <c r="Z12" i="16"/>
  <c r="BE24" i="16"/>
  <c r="L20" i="16"/>
  <c r="L7" i="16" s="1"/>
  <c r="N26" i="16"/>
  <c r="BE51" i="16"/>
  <c r="S51" i="16"/>
  <c r="R51" i="16"/>
  <c r="BB163" i="19"/>
  <c r="AX163" i="19"/>
  <c r="BA163" i="19" s="1"/>
  <c r="AT163" i="19"/>
  <c r="AW163" i="19" s="1"/>
  <c r="AP163" i="19"/>
  <c r="AR163" i="19" s="1"/>
  <c r="AL163" i="19"/>
  <c r="L163" i="19"/>
  <c r="P163" i="19"/>
  <c r="T163" i="19"/>
  <c r="X163" i="19"/>
  <c r="AB163" i="19"/>
  <c r="O166" i="19"/>
  <c r="M162" i="19"/>
  <c r="AE166" i="19"/>
  <c r="AC162" i="19"/>
  <c r="V167" i="19"/>
  <c r="AS168" i="19"/>
  <c r="BH171" i="19"/>
  <c r="K171" i="19"/>
  <c r="AA171" i="19"/>
  <c r="AV171" i="19"/>
  <c r="O173" i="19"/>
  <c r="AE173" i="19"/>
  <c r="AN175" i="19"/>
  <c r="W176" i="19"/>
  <c r="K177" i="19"/>
  <c r="AD177" i="19"/>
  <c r="AK177" i="19"/>
  <c r="BD177" i="19"/>
  <c r="O178" i="19"/>
  <c r="AG178" i="19"/>
  <c r="V179" i="19"/>
  <c r="BF179" i="19"/>
  <c r="J180" i="19"/>
  <c r="W180" i="19"/>
  <c r="N181" i="19"/>
  <c r="AA181" i="19"/>
  <c r="AN181" i="19"/>
  <c r="BE181" i="19"/>
  <c r="BD181" i="19"/>
  <c r="O184" i="19"/>
  <c r="N184" i="19"/>
  <c r="AE184" i="19"/>
  <c r="AD184" i="19"/>
  <c r="AK189" i="19"/>
  <c r="AJ189" i="19"/>
  <c r="BA189" i="19"/>
  <c r="AZ189" i="19"/>
  <c r="AO190" i="19"/>
  <c r="AN190" i="19"/>
  <c r="BE190" i="19"/>
  <c r="BD190" i="19"/>
  <c r="AK192" i="19"/>
  <c r="AJ192" i="19"/>
  <c r="BA192" i="19"/>
  <c r="AZ192" i="19"/>
  <c r="O16" i="16"/>
  <c r="N16" i="16"/>
  <c r="AI16" i="16"/>
  <c r="AG7" i="16"/>
  <c r="AU16" i="16"/>
  <c r="AT16" i="16"/>
  <c r="J28" i="16"/>
  <c r="H20" i="16"/>
  <c r="J20" i="16" s="1"/>
  <c r="K28" i="16"/>
  <c r="Y47" i="16"/>
  <c r="AA48" i="16"/>
  <c r="Z48" i="16"/>
  <c r="BF183" i="19"/>
  <c r="BH184" i="19"/>
  <c r="BF188" i="19"/>
  <c r="BH193" i="19"/>
  <c r="S13" i="16"/>
  <c r="R13" i="16"/>
  <c r="K16" i="16"/>
  <c r="M47" i="16"/>
  <c r="O48" i="16"/>
  <c r="BE54" i="16"/>
  <c r="S54" i="16"/>
  <c r="R54" i="16"/>
  <c r="K55" i="16"/>
  <c r="J55" i="16"/>
  <c r="O83" i="16"/>
  <c r="N83" i="16"/>
  <c r="S87" i="16"/>
  <c r="R87" i="16"/>
  <c r="X165" i="19"/>
  <c r="AH165" i="19"/>
  <c r="J193" i="19"/>
  <c r="O12" i="16"/>
  <c r="M8" i="16"/>
  <c r="N12" i="16"/>
  <c r="J16" i="16"/>
  <c r="Z16" i="16"/>
  <c r="AP16" i="16"/>
  <c r="AI47" i="16"/>
  <c r="AH47" i="16"/>
  <c r="AQ47" i="16"/>
  <c r="AP47" i="16"/>
  <c r="AN45" i="16"/>
  <c r="AY47" i="16"/>
  <c r="AX47" i="16"/>
  <c r="H71" i="16"/>
  <c r="K77" i="16"/>
  <c r="J77" i="16"/>
  <c r="O86" i="16"/>
  <c r="N86" i="16"/>
  <c r="K68" i="16"/>
  <c r="BE68" i="16"/>
  <c r="J68" i="16"/>
  <c r="AQ71" i="16"/>
  <c r="AP71" i="16"/>
  <c r="AO45" i="16"/>
  <c r="N101" i="16"/>
  <c r="O101" i="16"/>
  <c r="V28" i="16"/>
  <c r="T20" i="16"/>
  <c r="K48" i="16"/>
  <c r="I47" i="16"/>
  <c r="BE48" i="16"/>
  <c r="R50" i="16"/>
  <c r="Q47" i="16"/>
  <c r="K66" i="16"/>
  <c r="BE66" i="16"/>
  <c r="J66" i="16"/>
  <c r="W77" i="16"/>
  <c r="V77" i="16"/>
  <c r="O85" i="16"/>
  <c r="N85" i="16"/>
  <c r="O116" i="16"/>
  <c r="M111" i="16"/>
  <c r="N116" i="16"/>
  <c r="Q8" i="16"/>
  <c r="J12" i="16"/>
  <c r="J15" i="16"/>
  <c r="P20" i="16"/>
  <c r="P7" i="16" s="1"/>
  <c r="N28" i="16"/>
  <c r="J48" i="16"/>
  <c r="S50" i="16"/>
  <c r="BE50" i="16"/>
  <c r="O60" i="16"/>
  <c r="N60" i="16"/>
  <c r="K64" i="16"/>
  <c r="BE64" i="16"/>
  <c r="J64" i="16"/>
  <c r="Z66" i="16"/>
  <c r="AM71" i="16"/>
  <c r="AL71" i="16"/>
  <c r="O84" i="16"/>
  <c r="N84" i="16"/>
  <c r="W93" i="16"/>
  <c r="V93" i="16"/>
  <c r="BE60" i="16"/>
  <c r="BC71" i="16"/>
  <c r="R91" i="16"/>
  <c r="W92" i="16"/>
  <c r="V92" i="16"/>
  <c r="BB124" i="16"/>
  <c r="BC124" i="16"/>
  <c r="BE140" i="16"/>
  <c r="J140" i="16"/>
  <c r="K140" i="16"/>
  <c r="AY71" i="16"/>
  <c r="BB71" i="16"/>
  <c r="O73" i="16"/>
  <c r="AD73" i="16"/>
  <c r="O74" i="16"/>
  <c r="V74" i="16"/>
  <c r="S76" i="16"/>
  <c r="J78" i="16"/>
  <c r="V78" i="16"/>
  <c r="N79" i="16"/>
  <c r="Z79" i="16"/>
  <c r="J80" i="16"/>
  <c r="O81" i="16"/>
  <c r="J82" i="16"/>
  <c r="R83" i="16"/>
  <c r="R84" i="16"/>
  <c r="R85" i="16"/>
  <c r="R86" i="16"/>
  <c r="O88" i="16"/>
  <c r="N88" i="16"/>
  <c r="S90" i="16"/>
  <c r="R90" i="16"/>
  <c r="J93" i="16"/>
  <c r="Z115" i="16"/>
  <c r="AA115" i="16"/>
  <c r="Y111" i="16"/>
  <c r="AA116" i="16"/>
  <c r="Z116" i="16"/>
  <c r="L71" i="16"/>
  <c r="P71" i="16"/>
  <c r="T71" i="16"/>
  <c r="W74" i="16"/>
  <c r="K79" i="16"/>
  <c r="J81" i="16"/>
  <c r="O87" i="16"/>
  <c r="N87" i="16"/>
  <c r="S88" i="16"/>
  <c r="W90" i="16"/>
  <c r="W91" i="16"/>
  <c r="V91" i="16"/>
  <c r="K96" i="16"/>
  <c r="J96" i="16"/>
  <c r="O97" i="16"/>
  <c r="N97" i="16"/>
  <c r="W101" i="16"/>
  <c r="V101" i="16"/>
  <c r="S115" i="16"/>
  <c r="Q111" i="16"/>
  <c r="BE115" i="16"/>
  <c r="R115" i="16"/>
  <c r="AL124" i="16"/>
  <c r="AM124" i="16"/>
  <c r="J127" i="16"/>
  <c r="BE127" i="16"/>
  <c r="K127" i="16"/>
  <c r="O154" i="16"/>
  <c r="N154" i="16"/>
  <c r="L148" i="16"/>
  <c r="N148" i="16" s="1"/>
  <c r="I148" i="16"/>
  <c r="BE162" i="16"/>
  <c r="J162" i="16"/>
  <c r="K162" i="16"/>
  <c r="AU166" i="16"/>
  <c r="AT166" i="16"/>
  <c r="S191" i="16"/>
  <c r="R191" i="16"/>
  <c r="S97" i="16"/>
  <c r="J98" i="16"/>
  <c r="K120" i="16"/>
  <c r="H111" i="16"/>
  <c r="O120" i="16"/>
  <c r="V120" i="16"/>
  <c r="T111" i="16"/>
  <c r="W111" i="16" s="1"/>
  <c r="AH148" i="16"/>
  <c r="J175" i="16"/>
  <c r="H166" i="16"/>
  <c r="J191" i="16"/>
  <c r="BE191" i="16"/>
  <c r="K191" i="16"/>
  <c r="J89" i="16"/>
  <c r="K98" i="16"/>
  <c r="R99" i="16"/>
  <c r="J104" i="16"/>
  <c r="BE116" i="16"/>
  <c r="J120" i="16"/>
  <c r="W120" i="16"/>
  <c r="Q124" i="16"/>
  <c r="AI124" i="16"/>
  <c r="AY124" i="16"/>
  <c r="V125" i="16"/>
  <c r="T124" i="16"/>
  <c r="W124" i="16" s="1"/>
  <c r="V126" i="16"/>
  <c r="AA127" i="16"/>
  <c r="V128" i="16"/>
  <c r="V129" i="16"/>
  <c r="V130" i="16"/>
  <c r="V131" i="16"/>
  <c r="V132" i="16"/>
  <c r="V133" i="16"/>
  <c r="V134" i="16"/>
  <c r="V135" i="16"/>
  <c r="V136" i="16"/>
  <c r="AE166" i="16"/>
  <c r="AD166" i="16"/>
  <c r="N179" i="16"/>
  <c r="BE179" i="16"/>
  <c r="O179" i="16"/>
  <c r="P205" i="16"/>
  <c r="O128" i="16"/>
  <c r="W128" i="16"/>
  <c r="O129" i="16"/>
  <c r="W129" i="16"/>
  <c r="O130" i="16"/>
  <c r="W130" i="16"/>
  <c r="O131" i="16"/>
  <c r="W131" i="16"/>
  <c r="O132" i="16"/>
  <c r="W132" i="16"/>
  <c r="O133" i="16"/>
  <c r="W133" i="16"/>
  <c r="O134" i="16"/>
  <c r="W134" i="16"/>
  <c r="O135" i="16"/>
  <c r="W135" i="16"/>
  <c r="O136" i="16"/>
  <c r="W136" i="16"/>
  <c r="R162" i="16"/>
  <c r="S162" i="16"/>
  <c r="Z171" i="16"/>
  <c r="Y166" i="16"/>
  <c r="BE171" i="16"/>
  <c r="AA171" i="16"/>
  <c r="Z180" i="16"/>
  <c r="AA180" i="16"/>
  <c r="AI148" i="16"/>
  <c r="AY148" i="16"/>
  <c r="O161" i="16"/>
  <c r="K175" i="16"/>
  <c r="BE180" i="16"/>
  <c r="K143" i="16"/>
  <c r="K144" i="16"/>
  <c r="AE148" i="16"/>
  <c r="AU148" i="16"/>
  <c r="BE154" i="16"/>
  <c r="K157" i="16"/>
  <c r="BE161" i="16"/>
  <c r="I166" i="16"/>
  <c r="BE167" i="16"/>
  <c r="J167" i="16"/>
  <c r="K170" i="16"/>
  <c r="S170" i="16"/>
  <c r="BE170" i="16"/>
  <c r="N171" i="16"/>
  <c r="M166" i="16"/>
  <c r="BE175" i="16"/>
  <c r="O180" i="16"/>
  <c r="J154" i="16"/>
  <c r="Q148" i="16"/>
  <c r="R154" i="16"/>
  <c r="AP166" i="16"/>
  <c r="R167" i="16"/>
  <c r="Q166" i="16"/>
  <c r="BE172" i="16"/>
  <c r="J172" i="16"/>
  <c r="BE177" i="16"/>
  <c r="U205" i="16"/>
  <c r="Z198" i="16"/>
  <c r="K161" i="16"/>
  <c r="K179" i="16"/>
  <c r="AX149" i="19" l="1"/>
  <c r="AX127" i="19"/>
  <c r="BB127" i="19" s="1"/>
  <c r="BF127" i="19" s="1"/>
  <c r="R122" i="19"/>
  <c r="AG31" i="19"/>
  <c r="AG49" i="7"/>
  <c r="AR127" i="19"/>
  <c r="N124" i="16"/>
  <c r="AS160" i="19"/>
  <c r="AR149" i="19"/>
  <c r="AW149" i="19"/>
  <c r="AS149" i="19"/>
  <c r="BD107" i="19"/>
  <c r="J8" i="19"/>
  <c r="AZ118" i="19"/>
  <c r="S19" i="19"/>
  <c r="BD71" i="16"/>
  <c r="Z148" i="16"/>
  <c r="BC7" i="16"/>
  <c r="AH71" i="16"/>
  <c r="AN13" i="19"/>
  <c r="X51" i="7"/>
  <c r="O84" i="19"/>
  <c r="AS52" i="19"/>
  <c r="AS124" i="19"/>
  <c r="AH55" i="7"/>
  <c r="AD51" i="7"/>
  <c r="R19" i="19"/>
  <c r="AI71" i="16"/>
  <c r="AO165" i="19"/>
  <c r="Z122" i="19"/>
  <c r="AN19" i="19"/>
  <c r="AW13" i="19"/>
  <c r="Z51" i="7"/>
  <c r="AK121" i="19"/>
  <c r="P14" i="19"/>
  <c r="S14" i="19" s="1"/>
  <c r="R87" i="19"/>
  <c r="S84" i="19"/>
  <c r="J72" i="19"/>
  <c r="AR13" i="19"/>
  <c r="BF13" i="19"/>
  <c r="AH51" i="7"/>
  <c r="AT153" i="19"/>
  <c r="AX153" i="19" s="1"/>
  <c r="BE165" i="19"/>
  <c r="AT69" i="19"/>
  <c r="AX69" i="19" s="1"/>
  <c r="AS13" i="19"/>
  <c r="AE19" i="19"/>
  <c r="BE13" i="19"/>
  <c r="AS82" i="19"/>
  <c r="AE51" i="7"/>
  <c r="Z19" i="19"/>
  <c r="V19" i="19"/>
  <c r="AZ13" i="19"/>
  <c r="AR56" i="19"/>
  <c r="AO13" i="19"/>
  <c r="AR82" i="19"/>
  <c r="Y51" i="7"/>
  <c r="AC51" i="7"/>
  <c r="AB51" i="7"/>
  <c r="AM7" i="16"/>
  <c r="AK142" i="19"/>
  <c r="AL104" i="19"/>
  <c r="AN104" i="19" s="1"/>
  <c r="AJ104" i="19"/>
  <c r="AL8" i="19"/>
  <c r="AN8" i="19" s="1"/>
  <c r="BA13" i="19"/>
  <c r="AV13" i="19"/>
  <c r="AG51" i="7"/>
  <c r="AA51" i="7"/>
  <c r="AD95" i="19"/>
  <c r="AV96" i="19"/>
  <c r="K8" i="19"/>
  <c r="AP85" i="19"/>
  <c r="AT85" i="19" s="1"/>
  <c r="AN99" i="19"/>
  <c r="AE85" i="19"/>
  <c r="AT63" i="19"/>
  <c r="AX63" i="19" s="1"/>
  <c r="AZ63" i="19" s="1"/>
  <c r="J121" i="19"/>
  <c r="AX135" i="19"/>
  <c r="BB135" i="19" s="1"/>
  <c r="BF135" i="19" s="1"/>
  <c r="AS96" i="19"/>
  <c r="L14" i="19"/>
  <c r="N14" i="19" s="1"/>
  <c r="AA95" i="19"/>
  <c r="AD14" i="19"/>
  <c r="AR63" i="19"/>
  <c r="T47" i="19"/>
  <c r="V47" i="19" s="1"/>
  <c r="W58" i="19"/>
  <c r="AT52" i="19"/>
  <c r="AX52" i="19" s="1"/>
  <c r="AT11" i="19"/>
  <c r="AX11" i="19" s="1"/>
  <c r="AA117" i="19"/>
  <c r="AA164" i="19"/>
  <c r="AL110" i="19"/>
  <c r="AN110" i="19" s="1"/>
  <c r="AK84" i="19"/>
  <c r="BD108" i="19"/>
  <c r="AZ15" i="19"/>
  <c r="AA19" i="19"/>
  <c r="K124" i="16"/>
  <c r="O124" i="16"/>
  <c r="AJ203" i="16"/>
  <c r="AW94" i="19"/>
  <c r="AV94" i="19"/>
  <c r="BD117" i="19"/>
  <c r="AE55" i="7"/>
  <c r="AT59" i="19"/>
  <c r="W48" i="19"/>
  <c r="Z142" i="19"/>
  <c r="BF168" i="19"/>
  <c r="AV118" i="19"/>
  <c r="AS90" i="19"/>
  <c r="V87" i="19"/>
  <c r="AF55" i="7"/>
  <c r="O118" i="19"/>
  <c r="AR90" i="19"/>
  <c r="V82" i="19"/>
  <c r="AG55" i="7"/>
  <c r="AR59" i="19"/>
  <c r="O148" i="16"/>
  <c r="Z124" i="16"/>
  <c r="AT160" i="19"/>
  <c r="AF121" i="19"/>
  <c r="AG121" i="19" s="1"/>
  <c r="AW106" i="19"/>
  <c r="AT54" i="19"/>
  <c r="AX54" i="19" s="1"/>
  <c r="O85" i="19"/>
  <c r="BF117" i="19"/>
  <c r="BF107" i="19"/>
  <c r="W85" i="19"/>
  <c r="AR203" i="16"/>
  <c r="AB203" i="16"/>
  <c r="N165" i="19"/>
  <c r="AA142" i="19"/>
  <c r="AV165" i="19"/>
  <c r="AR124" i="19"/>
  <c r="AA101" i="19"/>
  <c r="AX106" i="19"/>
  <c r="BB106" i="19" s="1"/>
  <c r="BD106" i="19" s="1"/>
  <c r="V101" i="19"/>
  <c r="H45" i="19"/>
  <c r="AP19" i="19"/>
  <c r="AS19" i="19" s="1"/>
  <c r="T7" i="19"/>
  <c r="AG39" i="19"/>
  <c r="AD15" i="19"/>
  <c r="S50" i="19"/>
  <c r="R15" i="19"/>
  <c r="AB8" i="19"/>
  <c r="AB7" i="19" s="1"/>
  <c r="AO85" i="19"/>
  <c r="AU7" i="16"/>
  <c r="AO100" i="19"/>
  <c r="AV203" i="16"/>
  <c r="AD71" i="16"/>
  <c r="O142" i="19"/>
  <c r="H7" i="19"/>
  <c r="K142" i="19"/>
  <c r="AV135" i="19"/>
  <c r="W118" i="19"/>
  <c r="X121" i="19"/>
  <c r="AA121" i="19" s="1"/>
  <c r="AT58" i="19"/>
  <c r="AW58" i="19" s="1"/>
  <c r="AR15" i="19"/>
  <c r="I7" i="19"/>
  <c r="J124" i="16"/>
  <c r="AS153" i="19"/>
  <c r="AO86" i="19"/>
  <c r="AO67" i="19"/>
  <c r="BA203" i="16"/>
  <c r="V142" i="19"/>
  <c r="T72" i="19"/>
  <c r="V72" i="19" s="1"/>
  <c r="Z84" i="19"/>
  <c r="AI45" i="16"/>
  <c r="AH45" i="16"/>
  <c r="X203" i="16"/>
  <c r="AE71" i="16"/>
  <c r="Z71" i="16"/>
  <c r="K71" i="16"/>
  <c r="AN203" i="16"/>
  <c r="BB45" i="16"/>
  <c r="AL7" i="16"/>
  <c r="AP7" i="16"/>
  <c r="U203" i="16"/>
  <c r="U206" i="16" s="1"/>
  <c r="AY45" i="16"/>
  <c r="BC45" i="16"/>
  <c r="BE71" i="16"/>
  <c r="AX45" i="16"/>
  <c r="AF203" i="16"/>
  <c r="AS203" i="16"/>
  <c r="AT7" i="16"/>
  <c r="AE45" i="16"/>
  <c r="AD45" i="16"/>
  <c r="BF165" i="19"/>
  <c r="AT116" i="19"/>
  <c r="AT110" i="19" s="1"/>
  <c r="AW110" i="19" s="1"/>
  <c r="AH72" i="19"/>
  <c r="AK72" i="19" s="1"/>
  <c r="BG72" i="19"/>
  <c r="AX94" i="19"/>
  <c r="BA94" i="19" s="1"/>
  <c r="X7" i="19"/>
  <c r="Q63" i="7"/>
  <c r="S101" i="19"/>
  <c r="AP8" i="19"/>
  <c r="AS8" i="19" s="1"/>
  <c r="AS56" i="19"/>
  <c r="AI7" i="7"/>
  <c r="AT139" i="19"/>
  <c r="AS139" i="19"/>
  <c r="AR144" i="19"/>
  <c r="AS144" i="19"/>
  <c r="BD8" i="16"/>
  <c r="BB7" i="16"/>
  <c r="AS133" i="19"/>
  <c r="BE20" i="16"/>
  <c r="AR116" i="19"/>
  <c r="W142" i="19"/>
  <c r="R164" i="19"/>
  <c r="AL84" i="19"/>
  <c r="AP84" i="19" s="1"/>
  <c r="AR58" i="19"/>
  <c r="Z15" i="19"/>
  <c r="L47" i="19"/>
  <c r="N47" i="19" s="1"/>
  <c r="AR54" i="19"/>
  <c r="AP100" i="19"/>
  <c r="AT100" i="19" s="1"/>
  <c r="AV100" i="19" s="1"/>
  <c r="S58" i="19"/>
  <c r="R58" i="19"/>
  <c r="K14" i="19"/>
  <c r="J14" i="19"/>
  <c r="AS138" i="19"/>
  <c r="AT138" i="19"/>
  <c r="J111" i="16"/>
  <c r="P45" i="16"/>
  <c r="P203" i="16" s="1"/>
  <c r="P206" i="16" s="1"/>
  <c r="R165" i="19"/>
  <c r="AF142" i="19"/>
  <c r="AG142" i="19" s="1"/>
  <c r="AR133" i="19"/>
  <c r="BG121" i="19"/>
  <c r="AD82" i="19"/>
  <c r="AC45" i="19"/>
  <c r="J15" i="19"/>
  <c r="BG9" i="19"/>
  <c r="AR11" i="19"/>
  <c r="AA138" i="19"/>
  <c r="AR69" i="19"/>
  <c r="AS94" i="19"/>
  <c r="AR94" i="19"/>
  <c r="K121" i="19"/>
  <c r="AD122" i="19"/>
  <c r="AE122" i="19"/>
  <c r="AQ7" i="16"/>
  <c r="AS12" i="19"/>
  <c r="N15" i="19"/>
  <c r="AK203" i="16"/>
  <c r="AS165" i="19"/>
  <c r="AR165" i="19"/>
  <c r="AZ165" i="19"/>
  <c r="BA165" i="19"/>
  <c r="N104" i="19"/>
  <c r="O104" i="19"/>
  <c r="S104" i="19"/>
  <c r="R104" i="19"/>
  <c r="AW125" i="19"/>
  <c r="AX125" i="19"/>
  <c r="AV125" i="19"/>
  <c r="AT93" i="19"/>
  <c r="AR93" i="19"/>
  <c r="AT45" i="16"/>
  <c r="AZ203" i="16"/>
  <c r="I7" i="16"/>
  <c r="BE8" i="16"/>
  <c r="AI45" i="19"/>
  <c r="AD19" i="19"/>
  <c r="AH7" i="19"/>
  <c r="W84" i="19"/>
  <c r="V165" i="19"/>
  <c r="W165" i="19"/>
  <c r="AX133" i="19"/>
  <c r="AV133" i="19"/>
  <c r="AO118" i="19"/>
  <c r="AN118" i="19"/>
  <c r="AN98" i="19"/>
  <c r="AO98" i="19"/>
  <c r="AR53" i="19"/>
  <c r="AS53" i="19"/>
  <c r="AR78" i="19"/>
  <c r="AT78" i="19"/>
  <c r="N142" i="19"/>
  <c r="AW159" i="19"/>
  <c r="AX159" i="19"/>
  <c r="AS126" i="19"/>
  <c r="AR126" i="19"/>
  <c r="AT126" i="19"/>
  <c r="S118" i="19"/>
  <c r="R118" i="19"/>
  <c r="AR118" i="19"/>
  <c r="AS118" i="19"/>
  <c r="AS134" i="19"/>
  <c r="AT134" i="19"/>
  <c r="BE118" i="19"/>
  <c r="BD118" i="19"/>
  <c r="AS92" i="19"/>
  <c r="AR92" i="19"/>
  <c r="O73" i="19"/>
  <c r="N73" i="19"/>
  <c r="AS64" i="19"/>
  <c r="AR64" i="19"/>
  <c r="V15" i="19"/>
  <c r="BF118" i="19"/>
  <c r="AS163" i="19"/>
  <c r="AJ142" i="19"/>
  <c r="AO15" i="19"/>
  <c r="AJ19" i="19"/>
  <c r="W104" i="19"/>
  <c r="V104" i="19"/>
  <c r="AD118" i="19"/>
  <c r="AE118" i="19"/>
  <c r="AD58" i="19"/>
  <c r="AE58" i="19"/>
  <c r="W19" i="19"/>
  <c r="T45" i="16"/>
  <c r="W45" i="16" s="1"/>
  <c r="L45" i="16"/>
  <c r="L203" i="16" s="1"/>
  <c r="L206" i="16" s="1"/>
  <c r="V124" i="16"/>
  <c r="V111" i="16"/>
  <c r="R20" i="16"/>
  <c r="N71" i="16"/>
  <c r="H45" i="16"/>
  <c r="J71" i="16"/>
  <c r="O20" i="16"/>
  <c r="AJ165" i="19"/>
  <c r="AK165" i="19"/>
  <c r="AL45" i="16"/>
  <c r="AA163" i="19"/>
  <c r="X162" i="19"/>
  <c r="Z162" i="19" s="1"/>
  <c r="Z163" i="19"/>
  <c r="AN163" i="19"/>
  <c r="AL162" i="19"/>
  <c r="AN162" i="19" s="1"/>
  <c r="AO163" i="19"/>
  <c r="BE163" i="19"/>
  <c r="BD163" i="19"/>
  <c r="S20" i="16"/>
  <c r="AA8" i="16"/>
  <c r="Y7" i="16"/>
  <c r="Z8" i="16"/>
  <c r="O164" i="19"/>
  <c r="N164" i="19"/>
  <c r="P198" i="19"/>
  <c r="AO164" i="19"/>
  <c r="AN164" i="19"/>
  <c r="AF162" i="19"/>
  <c r="K162" i="19"/>
  <c r="BG162" i="19"/>
  <c r="J162" i="19"/>
  <c r="BE164" i="19"/>
  <c r="BD164" i="19"/>
  <c r="BF173" i="19"/>
  <c r="AG173" i="19"/>
  <c r="R142" i="19"/>
  <c r="S142" i="19"/>
  <c r="AT129" i="19"/>
  <c r="AS129" i="19"/>
  <c r="AR129" i="19"/>
  <c r="W122" i="19"/>
  <c r="T121" i="19"/>
  <c r="V122" i="19"/>
  <c r="AA104" i="19"/>
  <c r="Z104" i="19"/>
  <c r="AT154" i="19"/>
  <c r="AS154" i="19"/>
  <c r="AR154" i="19"/>
  <c r="AP151" i="19"/>
  <c r="AP142" i="19" s="1"/>
  <c r="AO151" i="19"/>
  <c r="AN151" i="19"/>
  <c r="AW146" i="19"/>
  <c r="AV146" i="19"/>
  <c r="AX146" i="19"/>
  <c r="AT150" i="19"/>
  <c r="AR150" i="19"/>
  <c r="AS150" i="19"/>
  <c r="AW144" i="19"/>
  <c r="AV144" i="19"/>
  <c r="AX144" i="19"/>
  <c r="BG142" i="19"/>
  <c r="O122" i="19"/>
  <c r="L121" i="19"/>
  <c r="N121" i="19" s="1"/>
  <c r="N122" i="19"/>
  <c r="AX143" i="19"/>
  <c r="AW143" i="19"/>
  <c r="AV143" i="19"/>
  <c r="BB137" i="19"/>
  <c r="AZ137" i="19"/>
  <c r="BA137" i="19"/>
  <c r="AG122" i="19"/>
  <c r="AN121" i="19"/>
  <c r="AN117" i="19"/>
  <c r="AO117" i="19"/>
  <c r="O117" i="19"/>
  <c r="N117" i="19"/>
  <c r="L110" i="19"/>
  <c r="N110" i="19" s="1"/>
  <c r="AT145" i="19"/>
  <c r="AS145" i="19"/>
  <c r="AR145" i="19"/>
  <c r="AG114" i="19"/>
  <c r="BF114" i="19"/>
  <c r="AD87" i="19"/>
  <c r="AE87" i="19"/>
  <c r="AS81" i="19"/>
  <c r="AT81" i="19"/>
  <c r="AR81" i="19"/>
  <c r="AW69" i="19"/>
  <c r="AI6" i="7"/>
  <c r="AX124" i="19"/>
  <c r="AW124" i="19"/>
  <c r="AT105" i="19"/>
  <c r="AR105" i="19"/>
  <c r="AS105" i="19"/>
  <c r="AT102" i="19"/>
  <c r="AR102" i="19"/>
  <c r="AS102" i="19"/>
  <c r="AS99" i="19"/>
  <c r="AR99" i="19"/>
  <c r="AT99" i="19"/>
  <c r="AS83" i="19"/>
  <c r="AT83" i="19"/>
  <c r="AR83" i="19"/>
  <c r="AA79" i="19"/>
  <c r="Z79" i="19"/>
  <c r="X72" i="19"/>
  <c r="O64" i="19"/>
  <c r="N64" i="19"/>
  <c r="Z82" i="19"/>
  <c r="AW53" i="19"/>
  <c r="AV53" i="19"/>
  <c r="AX53" i="19"/>
  <c r="AG111" i="19"/>
  <c r="BF111" i="19"/>
  <c r="BB90" i="19"/>
  <c r="AZ90" i="19"/>
  <c r="BA90" i="19"/>
  <c r="N19" i="19"/>
  <c r="O19" i="19"/>
  <c r="AO19" i="19"/>
  <c r="AM7" i="19"/>
  <c r="AE58" i="7"/>
  <c r="AH58" i="7"/>
  <c r="AD58" i="7"/>
  <c r="AG58" i="7"/>
  <c r="AF58" i="7"/>
  <c r="AH35" i="7"/>
  <c r="AD35" i="7"/>
  <c r="AG35" i="7"/>
  <c r="AC35" i="7"/>
  <c r="AF35" i="7"/>
  <c r="AE35" i="7"/>
  <c r="AB35" i="7"/>
  <c r="AA35" i="7"/>
  <c r="AI30" i="7"/>
  <c r="AF25" i="7"/>
  <c r="AE25" i="7"/>
  <c r="AD25" i="7"/>
  <c r="AH25" i="7"/>
  <c r="AG25" i="7"/>
  <c r="AH24" i="7"/>
  <c r="AD24" i="7"/>
  <c r="AG24" i="7"/>
  <c r="AF24" i="7"/>
  <c r="AE24" i="7"/>
  <c r="AH4" i="7"/>
  <c r="AD4" i="7"/>
  <c r="AG4" i="7"/>
  <c r="AC4" i="7"/>
  <c r="AF4" i="7"/>
  <c r="AE4" i="7"/>
  <c r="AB4" i="7"/>
  <c r="Q45" i="19"/>
  <c r="AT62" i="19"/>
  <c r="AR62" i="19"/>
  <c r="AS62" i="19"/>
  <c r="AG61" i="19"/>
  <c r="V60" i="19"/>
  <c r="W60" i="19"/>
  <c r="AT50" i="19"/>
  <c r="AS50" i="19"/>
  <c r="AR50" i="19"/>
  <c r="AI43" i="7"/>
  <c r="AE41" i="7"/>
  <c r="AA41" i="7"/>
  <c r="AH41" i="7"/>
  <c r="AD41" i="7"/>
  <c r="AB41" i="7"/>
  <c r="AG41" i="7"/>
  <c r="AF41" i="7"/>
  <c r="AC41" i="7"/>
  <c r="AI13" i="7"/>
  <c r="BB96" i="19"/>
  <c r="AZ96" i="19"/>
  <c r="BA96" i="19"/>
  <c r="BF66" i="19"/>
  <c r="AG66" i="19"/>
  <c r="AT14" i="19"/>
  <c r="AR14" i="19"/>
  <c r="AS14" i="19"/>
  <c r="BF15" i="19"/>
  <c r="AG84" i="19"/>
  <c r="AV15" i="19"/>
  <c r="AE9" i="19"/>
  <c r="AD9" i="19"/>
  <c r="AC8" i="19"/>
  <c r="AF9" i="19"/>
  <c r="O9" i="19"/>
  <c r="N9" i="19"/>
  <c r="M8" i="19"/>
  <c r="AU45" i="19"/>
  <c r="AG61" i="7"/>
  <c r="AC61" i="7"/>
  <c r="AF61" i="7"/>
  <c r="AB61" i="7"/>
  <c r="AH61" i="7"/>
  <c r="AE61" i="7"/>
  <c r="AD61" i="7"/>
  <c r="AI32" i="7"/>
  <c r="S166" i="16"/>
  <c r="R166" i="16"/>
  <c r="S148" i="16"/>
  <c r="R148" i="16"/>
  <c r="R124" i="16"/>
  <c r="S124" i="16"/>
  <c r="R71" i="16"/>
  <c r="BE47" i="16"/>
  <c r="I45" i="16"/>
  <c r="K47" i="16"/>
  <c r="J47" i="16"/>
  <c r="AG203" i="16"/>
  <c r="AI7" i="16"/>
  <c r="AH7" i="16"/>
  <c r="AB162" i="19"/>
  <c r="AE162" i="19" s="1"/>
  <c r="AE163" i="19"/>
  <c r="AD163" i="19"/>
  <c r="L162" i="19"/>
  <c r="O162" i="19" s="1"/>
  <c r="O163" i="19"/>
  <c r="N163" i="19"/>
  <c r="AX156" i="19"/>
  <c r="AW156" i="19"/>
  <c r="AV156" i="19"/>
  <c r="AG115" i="19"/>
  <c r="BF115" i="19"/>
  <c r="AG82" i="19"/>
  <c r="AO73" i="19"/>
  <c r="AN73" i="19"/>
  <c r="AP73" i="19"/>
  <c r="AD142" i="19"/>
  <c r="S79" i="19"/>
  <c r="R79" i="19"/>
  <c r="AL47" i="19"/>
  <c r="AP48" i="19"/>
  <c r="AO48" i="19"/>
  <c r="AN48" i="19"/>
  <c r="AG28" i="19"/>
  <c r="BF28" i="19"/>
  <c r="AF29" i="7"/>
  <c r="AB29" i="7"/>
  <c r="AE29" i="7"/>
  <c r="AA29" i="7"/>
  <c r="AD29" i="7"/>
  <c r="AC29" i="7"/>
  <c r="AH29" i="7"/>
  <c r="Z29" i="7"/>
  <c r="AG29" i="7"/>
  <c r="Y29" i="7"/>
  <c r="S60" i="19"/>
  <c r="R60" i="19"/>
  <c r="Z9" i="19"/>
  <c r="AA9" i="19"/>
  <c r="Y8" i="19"/>
  <c r="AI62" i="7"/>
  <c r="AS101" i="19"/>
  <c r="AR101" i="19"/>
  <c r="AT101" i="19"/>
  <c r="BC45" i="19"/>
  <c r="AX56" i="19"/>
  <c r="AW56" i="19"/>
  <c r="AV56" i="19"/>
  <c r="AG57" i="7"/>
  <c r="AF57" i="7"/>
  <c r="AD57" i="7"/>
  <c r="AH57" i="7"/>
  <c r="AE57" i="7"/>
  <c r="AH52" i="7"/>
  <c r="AD52" i="7"/>
  <c r="Z52" i="7"/>
  <c r="AG52" i="7"/>
  <c r="AC52" i="7"/>
  <c r="Y52" i="7"/>
  <c r="AE52" i="7"/>
  <c r="AB52" i="7"/>
  <c r="AA52" i="7"/>
  <c r="X52" i="7"/>
  <c r="AF52" i="7"/>
  <c r="AG44" i="7"/>
  <c r="AC44" i="7"/>
  <c r="Y44" i="7"/>
  <c r="AF44" i="7"/>
  <c r="AB44" i="7"/>
  <c r="X44" i="7"/>
  <c r="AE44" i="7"/>
  <c r="W44" i="7"/>
  <c r="AD44" i="7"/>
  <c r="AA44" i="7"/>
  <c r="AH44" i="7"/>
  <c r="Z44" i="7"/>
  <c r="AH22" i="7"/>
  <c r="AD22" i="7"/>
  <c r="Z22" i="7"/>
  <c r="AG22" i="7"/>
  <c r="AC22" i="7"/>
  <c r="Y22" i="7"/>
  <c r="AE22" i="7"/>
  <c r="AB22" i="7"/>
  <c r="AA22" i="7"/>
  <c r="AF22" i="7"/>
  <c r="BE148" i="16"/>
  <c r="K148" i="16"/>
  <c r="J148" i="16"/>
  <c r="R111" i="16"/>
  <c r="S111" i="16"/>
  <c r="BD111" i="16"/>
  <c r="V71" i="16"/>
  <c r="N111" i="16"/>
  <c r="BE111" i="16"/>
  <c r="O111" i="16"/>
  <c r="S71" i="16"/>
  <c r="R47" i="16"/>
  <c r="S47" i="16"/>
  <c r="Q45" i="16"/>
  <c r="AQ45" i="16"/>
  <c r="AP45" i="16"/>
  <c r="O71" i="16"/>
  <c r="BD47" i="16"/>
  <c r="O8" i="16"/>
  <c r="N8" i="16"/>
  <c r="M7" i="16"/>
  <c r="AO203" i="16"/>
  <c r="BE166" i="16"/>
  <c r="K166" i="16"/>
  <c r="J166" i="16"/>
  <c r="W71" i="16"/>
  <c r="BE124" i="16"/>
  <c r="AU45" i="16"/>
  <c r="AA165" i="19"/>
  <c r="Z165" i="19"/>
  <c r="M45" i="16"/>
  <c r="O47" i="16"/>
  <c r="N47" i="16"/>
  <c r="AM45" i="16"/>
  <c r="W163" i="19"/>
  <c r="V163" i="19"/>
  <c r="T162" i="19"/>
  <c r="W162" i="19" s="1"/>
  <c r="AP162" i="19"/>
  <c r="AS162" i="19" s="1"/>
  <c r="N20" i="16"/>
  <c r="U198" i="19"/>
  <c r="BF166" i="19"/>
  <c r="AG166" i="19"/>
  <c r="AE164" i="19"/>
  <c r="AD164" i="19"/>
  <c r="V164" i="19"/>
  <c r="W164" i="19"/>
  <c r="AW203" i="16"/>
  <c r="AY7" i="16"/>
  <c r="AX7" i="16"/>
  <c r="AX160" i="19"/>
  <c r="AW160" i="19"/>
  <c r="AV160" i="19"/>
  <c r="BB149" i="19"/>
  <c r="BF149" i="19" s="1"/>
  <c r="BA149" i="19"/>
  <c r="AZ149" i="19"/>
  <c r="AT136" i="19"/>
  <c r="AS136" i="19"/>
  <c r="AR136" i="19"/>
  <c r="AX132" i="19"/>
  <c r="AW132" i="19"/>
  <c r="AV132" i="19"/>
  <c r="AS128" i="19"/>
  <c r="AT128" i="19"/>
  <c r="AR128" i="19"/>
  <c r="AA118" i="19"/>
  <c r="X110" i="19"/>
  <c r="AA110" i="19" s="1"/>
  <c r="Z118" i="19"/>
  <c r="W138" i="19"/>
  <c r="V138" i="19"/>
  <c r="BF158" i="19"/>
  <c r="AG158" i="19"/>
  <c r="AS122" i="19"/>
  <c r="AP121" i="19"/>
  <c r="AR122" i="19"/>
  <c r="AT122" i="19"/>
  <c r="O101" i="19"/>
  <c r="N101" i="19"/>
  <c r="W95" i="19"/>
  <c r="V95" i="19"/>
  <c r="AX148" i="19"/>
  <c r="AW148" i="19"/>
  <c r="AV148" i="19"/>
  <c r="AE117" i="19"/>
  <c r="AD117" i="19"/>
  <c r="AB110" i="19"/>
  <c r="AE110" i="19" s="1"/>
  <c r="AS98" i="19"/>
  <c r="AT98" i="19"/>
  <c r="AR98" i="19"/>
  <c r="AX92" i="19"/>
  <c r="AW92" i="19"/>
  <c r="AV92" i="19"/>
  <c r="AS86" i="19"/>
  <c r="AT86" i="19"/>
  <c r="AR86" i="19"/>
  <c r="N82" i="19"/>
  <c r="V79" i="19"/>
  <c r="W79" i="19"/>
  <c r="P72" i="19"/>
  <c r="S72" i="19" s="1"/>
  <c r="S73" i="19"/>
  <c r="R73" i="19"/>
  <c r="AX64" i="19"/>
  <c r="AW64" i="19"/>
  <c r="AV64" i="19"/>
  <c r="AD79" i="19"/>
  <c r="AE79" i="19"/>
  <c r="AB72" i="19"/>
  <c r="AK79" i="19"/>
  <c r="AL79" i="19"/>
  <c r="AJ79" i="19"/>
  <c r="AE64" i="19"/>
  <c r="AD64" i="19"/>
  <c r="AG26" i="19"/>
  <c r="BF26" i="19"/>
  <c r="Z13" i="19"/>
  <c r="AA13" i="19"/>
  <c r="R82" i="19"/>
  <c r="P47" i="19"/>
  <c r="S48" i="19"/>
  <c r="AT88" i="19"/>
  <c r="AR88" i="19"/>
  <c r="AS88" i="19"/>
  <c r="R49" i="19"/>
  <c r="S49" i="19"/>
  <c r="AH39" i="7"/>
  <c r="AD39" i="7"/>
  <c r="AG39" i="7"/>
  <c r="AC39" i="7"/>
  <c r="AF39" i="7"/>
  <c r="AE39" i="7"/>
  <c r="AB39" i="7"/>
  <c r="AF36" i="7"/>
  <c r="AE36" i="7"/>
  <c r="AH36" i="7"/>
  <c r="AG36" i="7"/>
  <c r="AI28" i="7"/>
  <c r="AI26" i="7"/>
  <c r="AI5" i="7"/>
  <c r="AN65" i="19"/>
  <c r="AE60" i="19"/>
  <c r="AD60" i="19"/>
  <c r="AI53" i="7"/>
  <c r="AI49" i="7"/>
  <c r="AI17" i="7"/>
  <c r="AI15" i="7"/>
  <c r="J47" i="19"/>
  <c r="AF47" i="19"/>
  <c r="BG47" i="19"/>
  <c r="I45" i="19"/>
  <c r="K47" i="19"/>
  <c r="M45" i="19"/>
  <c r="O47" i="19"/>
  <c r="AK15" i="19"/>
  <c r="AT12" i="19"/>
  <c r="AR12" i="19"/>
  <c r="BB67" i="19"/>
  <c r="AZ67" i="19"/>
  <c r="AX49" i="19"/>
  <c r="AW49" i="19"/>
  <c r="AV49" i="19"/>
  <c r="BD15" i="19"/>
  <c r="U45" i="19"/>
  <c r="BF30" i="19"/>
  <c r="AG30" i="19"/>
  <c r="AG11" i="19"/>
  <c r="AG46" i="7"/>
  <c r="AF46" i="7"/>
  <c r="AH46" i="7"/>
  <c r="AE46" i="7"/>
  <c r="AH20" i="7"/>
  <c r="AD20" i="7"/>
  <c r="AG20" i="7"/>
  <c r="AC20" i="7"/>
  <c r="AE20" i="7"/>
  <c r="AF20" i="7"/>
  <c r="AW82" i="19"/>
  <c r="AX82" i="19"/>
  <c r="AV82" i="19"/>
  <c r="AK47" i="19"/>
  <c r="AI14" i="7"/>
  <c r="AH16" i="7"/>
  <c r="AD16" i="7"/>
  <c r="AG16" i="7"/>
  <c r="AC16" i="7"/>
  <c r="AE16" i="7"/>
  <c r="AB16" i="7"/>
  <c r="AF16" i="7"/>
  <c r="AJ8" i="19"/>
  <c r="AI7" i="19"/>
  <c r="AK8" i="19"/>
  <c r="AH54" i="7"/>
  <c r="AD54" i="7"/>
  <c r="Z54" i="7"/>
  <c r="AG54" i="7"/>
  <c r="AC54" i="7"/>
  <c r="Y54" i="7"/>
  <c r="AE54" i="7"/>
  <c r="AB54" i="7"/>
  <c r="AA54" i="7"/>
  <c r="AF54" i="7"/>
  <c r="X54" i="7"/>
  <c r="AG42" i="7"/>
  <c r="AC42" i="7"/>
  <c r="Y42" i="7"/>
  <c r="AF42" i="7"/>
  <c r="AB42" i="7"/>
  <c r="X42" i="7"/>
  <c r="AE42" i="7"/>
  <c r="W42" i="7"/>
  <c r="AD42" i="7"/>
  <c r="AA42" i="7"/>
  <c r="AH42" i="7"/>
  <c r="Z42" i="7"/>
  <c r="AI33" i="7"/>
  <c r="AH18" i="7"/>
  <c r="AD18" i="7"/>
  <c r="AG18" i="7"/>
  <c r="AC18" i="7"/>
  <c r="AE18" i="7"/>
  <c r="AF18" i="7"/>
  <c r="AA166" i="16"/>
  <c r="Z166" i="16"/>
  <c r="BD148" i="16"/>
  <c r="AA111" i="16"/>
  <c r="Z111" i="16"/>
  <c r="BD124" i="16"/>
  <c r="W20" i="16"/>
  <c r="T7" i="16"/>
  <c r="V20" i="16"/>
  <c r="H7" i="16"/>
  <c r="K20" i="16"/>
  <c r="AZ164" i="19"/>
  <c r="BA164" i="19"/>
  <c r="BF171" i="19"/>
  <c r="AG171" i="19"/>
  <c r="AG186" i="19"/>
  <c r="BF186" i="19"/>
  <c r="BF167" i="19"/>
  <c r="AG167" i="19"/>
  <c r="AS164" i="19"/>
  <c r="AR164" i="19"/>
  <c r="AC203" i="16"/>
  <c r="AE7" i="16"/>
  <c r="AD7" i="16"/>
  <c r="AG149" i="19"/>
  <c r="AO142" i="19"/>
  <c r="AN142" i="19"/>
  <c r="AT123" i="19"/>
  <c r="AS123" i="19"/>
  <c r="AR123" i="19"/>
  <c r="AK110" i="19"/>
  <c r="AJ110" i="19"/>
  <c r="AV175" i="19"/>
  <c r="AX175" i="19"/>
  <c r="AW175" i="19"/>
  <c r="AT147" i="19"/>
  <c r="AS147" i="19"/>
  <c r="AR147" i="19"/>
  <c r="R138" i="19"/>
  <c r="S138" i="19"/>
  <c r="BF192" i="19"/>
  <c r="AG192" i="19"/>
  <c r="AX157" i="19"/>
  <c r="AW157" i="19"/>
  <c r="AV157" i="19"/>
  <c r="S95" i="19"/>
  <c r="R95" i="19"/>
  <c r="AS117" i="19"/>
  <c r="AR117" i="19"/>
  <c r="AV116" i="19"/>
  <c r="O87" i="19"/>
  <c r="N87" i="19"/>
  <c r="L72" i="19"/>
  <c r="R64" i="19"/>
  <c r="S64" i="19"/>
  <c r="AW60" i="19"/>
  <c r="AX60" i="19"/>
  <c r="AV60" i="19"/>
  <c r="BD130" i="19"/>
  <c r="BE130" i="19"/>
  <c r="AE8" i="7"/>
  <c r="AH8" i="7"/>
  <c r="AD8" i="7"/>
  <c r="AF8" i="7"/>
  <c r="AC8" i="7"/>
  <c r="AG8" i="7"/>
  <c r="BF55" i="19"/>
  <c r="AG55" i="19"/>
  <c r="AE50" i="19"/>
  <c r="AD50" i="19"/>
  <c r="BG110" i="19"/>
  <c r="K110" i="19"/>
  <c r="J110" i="19"/>
  <c r="AF110" i="19"/>
  <c r="BC7" i="19"/>
  <c r="AF38" i="7"/>
  <c r="AB38" i="7"/>
  <c r="AE38" i="7"/>
  <c r="AA38" i="7"/>
  <c r="AD38" i="7"/>
  <c r="AC38" i="7"/>
  <c r="AH38" i="7"/>
  <c r="AG38" i="7"/>
  <c r="AO103" i="19"/>
  <c r="AN103" i="19"/>
  <c r="AP103" i="19"/>
  <c r="AS97" i="19"/>
  <c r="AR97" i="19"/>
  <c r="AT97" i="19"/>
  <c r="AT74" i="19"/>
  <c r="AR74" i="19"/>
  <c r="AS74" i="19"/>
  <c r="Y45" i="19"/>
  <c r="N60" i="19"/>
  <c r="O60" i="19"/>
  <c r="AI21" i="7"/>
  <c r="AW52" i="19"/>
  <c r="AN77" i="19"/>
  <c r="AP77" i="19"/>
  <c r="AO77" i="19"/>
  <c r="AY45" i="19"/>
  <c r="J19" i="19"/>
  <c r="AF19" i="19"/>
  <c r="K19" i="19"/>
  <c r="BG19" i="19"/>
  <c r="U8" i="19"/>
  <c r="W9" i="19"/>
  <c r="V9" i="19"/>
  <c r="AT65" i="19"/>
  <c r="AR65" i="19"/>
  <c r="Y205" i="16"/>
  <c r="O166" i="16"/>
  <c r="N166" i="16"/>
  <c r="BD166" i="16"/>
  <c r="T205" i="16"/>
  <c r="K111" i="16"/>
  <c r="R8" i="16"/>
  <c r="Q7" i="16"/>
  <c r="S8" i="16"/>
  <c r="AA47" i="16"/>
  <c r="Y45" i="16"/>
  <c r="Z47" i="16"/>
  <c r="BF163" i="19"/>
  <c r="R163" i="19"/>
  <c r="P162" i="19"/>
  <c r="R162" i="19" s="1"/>
  <c r="S163" i="19"/>
  <c r="AT162" i="19"/>
  <c r="AV162" i="19" s="1"/>
  <c r="AV163" i="19"/>
  <c r="K8" i="16"/>
  <c r="J8" i="16"/>
  <c r="AG193" i="19"/>
  <c r="BF193" i="19"/>
  <c r="BF176" i="19"/>
  <c r="AG176" i="19"/>
  <c r="AZ163" i="19"/>
  <c r="AJ164" i="19"/>
  <c r="AH162" i="19"/>
  <c r="AK162" i="19" s="1"/>
  <c r="BF164" i="19"/>
  <c r="AK164" i="19"/>
  <c r="AW164" i="19"/>
  <c r="AV164" i="19"/>
  <c r="AS140" i="19"/>
  <c r="AT140" i="19"/>
  <c r="AR140" i="19"/>
  <c r="BA135" i="19"/>
  <c r="AW131" i="19"/>
  <c r="AX131" i="19"/>
  <c r="AV131" i="19"/>
  <c r="BA127" i="19"/>
  <c r="AO110" i="19"/>
  <c r="AX152" i="19"/>
  <c r="AV152" i="19"/>
  <c r="AW152" i="19"/>
  <c r="AD101" i="19"/>
  <c r="AE101" i="19"/>
  <c r="AA85" i="19"/>
  <c r="Z85" i="19"/>
  <c r="P121" i="19"/>
  <c r="W117" i="19"/>
  <c r="V117" i="19"/>
  <c r="T110" i="19"/>
  <c r="W110" i="19" s="1"/>
  <c r="BA117" i="19"/>
  <c r="AZ117" i="19"/>
  <c r="R117" i="19"/>
  <c r="S117" i="19"/>
  <c r="P110" i="19"/>
  <c r="R110" i="19" s="1"/>
  <c r="AS114" i="19"/>
  <c r="AR114" i="19"/>
  <c r="AP110" i="19"/>
  <c r="AR110" i="19" s="1"/>
  <c r="S85" i="19"/>
  <c r="R85" i="19"/>
  <c r="AD121" i="19"/>
  <c r="AE121" i="19"/>
  <c r="AG80" i="19"/>
  <c r="BF68" i="19"/>
  <c r="AG68" i="19"/>
  <c r="AA64" i="19"/>
  <c r="Z64" i="19"/>
  <c r="BA114" i="19"/>
  <c r="AZ114" i="19"/>
  <c r="AT70" i="19"/>
  <c r="AS70" i="19"/>
  <c r="AR70" i="19"/>
  <c r="AR95" i="19"/>
  <c r="AT95" i="19"/>
  <c r="AS95" i="19"/>
  <c r="AP91" i="19"/>
  <c r="AN91" i="19"/>
  <c r="AO91" i="19"/>
  <c r="AT89" i="19"/>
  <c r="AR89" i="19"/>
  <c r="AS89" i="19"/>
  <c r="AR61" i="19"/>
  <c r="AT61" i="19"/>
  <c r="AS61" i="19"/>
  <c r="AS57" i="19"/>
  <c r="AR57" i="19"/>
  <c r="AT57" i="19"/>
  <c r="AS51" i="19"/>
  <c r="AR51" i="19"/>
  <c r="AT51" i="19"/>
  <c r="X47" i="19"/>
  <c r="Z47" i="19" s="1"/>
  <c r="AB47" i="19"/>
  <c r="BF33" i="19"/>
  <c r="AG33" i="19"/>
  <c r="AT19" i="19"/>
  <c r="AX21" i="19"/>
  <c r="AW21" i="19"/>
  <c r="AV21" i="19"/>
  <c r="AI40" i="7"/>
  <c r="AH37" i="7"/>
  <c r="AD37" i="7"/>
  <c r="AG37" i="7"/>
  <c r="AC37" i="7"/>
  <c r="AF37" i="7"/>
  <c r="AE37" i="7"/>
  <c r="AB37" i="7"/>
  <c r="AA37" i="7"/>
  <c r="AF34" i="7"/>
  <c r="AB34" i="7"/>
  <c r="AE34" i="7"/>
  <c r="AA34" i="7"/>
  <c r="AD34" i="7"/>
  <c r="AC34" i="7"/>
  <c r="AH34" i="7"/>
  <c r="Z34" i="7"/>
  <c r="AG34" i="7"/>
  <c r="Y34" i="7"/>
  <c r="AF10" i="7"/>
  <c r="AB10" i="7"/>
  <c r="AE10" i="7"/>
  <c r="AD10" i="7"/>
  <c r="AC10" i="7"/>
  <c r="AH10" i="7"/>
  <c r="AG10" i="7"/>
  <c r="AX87" i="19"/>
  <c r="AV87" i="19"/>
  <c r="AW87" i="19"/>
  <c r="AF72" i="19"/>
  <c r="AO65" i="19"/>
  <c r="AA60" i="19"/>
  <c r="Z60" i="19"/>
  <c r="AJ15" i="19"/>
  <c r="S9" i="19"/>
  <c r="R9" i="19"/>
  <c r="Q8" i="19"/>
  <c r="AQ7" i="19"/>
  <c r="AI19" i="7"/>
  <c r="AO80" i="19"/>
  <c r="AP80" i="19"/>
  <c r="AN80" i="19"/>
  <c r="AM45" i="19"/>
  <c r="AY7" i="19"/>
  <c r="AI60" i="7"/>
  <c r="AH47" i="7"/>
  <c r="AG47" i="7"/>
  <c r="AQ45" i="19"/>
  <c r="AU7" i="19"/>
  <c r="AI27" i="7"/>
  <c r="AI12" i="7"/>
  <c r="AH50" i="7"/>
  <c r="AD50" i="7"/>
  <c r="AG50" i="7"/>
  <c r="AC50" i="7"/>
  <c r="AE50" i="7"/>
  <c r="AB50" i="7"/>
  <c r="AF50" i="7"/>
  <c r="AZ127" i="19" l="1"/>
  <c r="AZ135" i="19"/>
  <c r="AV52" i="19"/>
  <c r="AV69" i="19"/>
  <c r="BA63" i="19"/>
  <c r="AV153" i="19"/>
  <c r="BB63" i="19"/>
  <c r="BF63" i="19" s="1"/>
  <c r="W72" i="19"/>
  <c r="L8" i="19"/>
  <c r="L7" i="19" s="1"/>
  <c r="AO104" i="19"/>
  <c r="AW153" i="19"/>
  <c r="AW11" i="19"/>
  <c r="O14" i="19"/>
  <c r="AV11" i="19"/>
  <c r="AP104" i="19"/>
  <c r="AI55" i="7"/>
  <c r="AO8" i="19"/>
  <c r="AO84" i="19"/>
  <c r="AL7" i="19"/>
  <c r="AO7" i="19" s="1"/>
  <c r="AX58" i="19"/>
  <c r="AZ58" i="19" s="1"/>
  <c r="AR85" i="19"/>
  <c r="AL72" i="19"/>
  <c r="AN72" i="19" s="1"/>
  <c r="AI51" i="7"/>
  <c r="P8" i="19"/>
  <c r="P7" i="19" s="1"/>
  <c r="R14" i="19"/>
  <c r="H196" i="19"/>
  <c r="H199" i="19" s="1"/>
  <c r="AW100" i="19"/>
  <c r="AX100" i="19"/>
  <c r="BA100" i="19" s="1"/>
  <c r="AS85" i="19"/>
  <c r="AP7" i="19"/>
  <c r="AR7" i="19" s="1"/>
  <c r="AV58" i="19"/>
  <c r="AR162" i="19"/>
  <c r="W47" i="19"/>
  <c r="Z121" i="19"/>
  <c r="AS100" i="19"/>
  <c r="AV63" i="19"/>
  <c r="AR100" i="19"/>
  <c r="AW63" i="19"/>
  <c r="AM203" i="16"/>
  <c r="K7" i="19"/>
  <c r="AN84" i="19"/>
  <c r="AU203" i="16"/>
  <c r="BC203" i="16"/>
  <c r="AV59" i="19"/>
  <c r="AX59" i="19"/>
  <c r="AW59" i="19"/>
  <c r="AR8" i="19"/>
  <c r="AX116" i="19"/>
  <c r="AX110" i="19" s="1"/>
  <c r="AZ110" i="19" s="1"/>
  <c r="AR19" i="19"/>
  <c r="AE203" i="16"/>
  <c r="O110" i="19"/>
  <c r="AO162" i="19"/>
  <c r="L45" i="19"/>
  <c r="O45" i="19" s="1"/>
  <c r="AV54" i="19"/>
  <c r="V110" i="19"/>
  <c r="AW116" i="19"/>
  <c r="AW54" i="19"/>
  <c r="BE106" i="19"/>
  <c r="AH203" i="16"/>
  <c r="AV110" i="19"/>
  <c r="J7" i="19"/>
  <c r="AJ72" i="19"/>
  <c r="BF106" i="19"/>
  <c r="H203" i="16"/>
  <c r="H206" i="16" s="1"/>
  <c r="AY203" i="16"/>
  <c r="AQ203" i="16"/>
  <c r="AD203" i="16"/>
  <c r="AI203" i="16"/>
  <c r="AD110" i="19"/>
  <c r="AI25" i="7"/>
  <c r="AW162" i="19"/>
  <c r="AI47" i="7"/>
  <c r="BB203" i="16"/>
  <c r="AI50" i="7"/>
  <c r="AI54" i="7"/>
  <c r="AI41" i="7"/>
  <c r="AI4" i="7"/>
  <c r="AI24" i="7"/>
  <c r="AI35" i="7"/>
  <c r="AI58" i="7"/>
  <c r="AP203" i="16"/>
  <c r="AL203" i="16"/>
  <c r="V45" i="16"/>
  <c r="AT203" i="16"/>
  <c r="AX203" i="16"/>
  <c r="BB94" i="19"/>
  <c r="BD94" i="19" s="1"/>
  <c r="AI18" i="7"/>
  <c r="O121" i="19"/>
  <c r="AX138" i="19"/>
  <c r="AW138" i="19"/>
  <c r="AV138" i="19"/>
  <c r="AW139" i="19"/>
  <c r="AV139" i="19"/>
  <c r="AX139" i="19"/>
  <c r="AZ94" i="19"/>
  <c r="AI22" i="7"/>
  <c r="AI57" i="7"/>
  <c r="AI29" i="7"/>
  <c r="AI10" i="7"/>
  <c r="AI16" i="7"/>
  <c r="AI36" i="7"/>
  <c r="AI52" i="7"/>
  <c r="AW134" i="19"/>
  <c r="AV134" i="19"/>
  <c r="AX134" i="19"/>
  <c r="BB133" i="19"/>
  <c r="BF133" i="19" s="1"/>
  <c r="AZ133" i="19"/>
  <c r="BA133" i="19"/>
  <c r="AI34" i="7"/>
  <c r="AI37" i="7"/>
  <c r="AI38" i="7"/>
  <c r="AI8" i="7"/>
  <c r="AI20" i="7"/>
  <c r="AI46" i="7"/>
  <c r="AS110" i="19"/>
  <c r="AD162" i="19"/>
  <c r="Z63" i="7"/>
  <c r="Z67" i="7" s="1"/>
  <c r="Z68" i="7" s="1"/>
  <c r="AZ159" i="19"/>
  <c r="BB159" i="19"/>
  <c r="BF159" i="19" s="1"/>
  <c r="BA159" i="19"/>
  <c r="AW93" i="19"/>
  <c r="AX93" i="19"/>
  <c r="AV93" i="19"/>
  <c r="AA63" i="7"/>
  <c r="AA67" i="7" s="1"/>
  <c r="AA68" i="7" s="1"/>
  <c r="R72" i="19"/>
  <c r="S110" i="19"/>
  <c r="AI39" i="7"/>
  <c r="AX126" i="19"/>
  <c r="AW126" i="19"/>
  <c r="AV126" i="19"/>
  <c r="AI61" i="7"/>
  <c r="AW78" i="19"/>
  <c r="AX78" i="19"/>
  <c r="AV78" i="19"/>
  <c r="BB125" i="19"/>
  <c r="AZ125" i="19"/>
  <c r="BA125" i="19"/>
  <c r="AG19" i="19"/>
  <c r="AW123" i="19"/>
  <c r="AX123" i="19"/>
  <c r="AV123" i="19"/>
  <c r="AZ49" i="19"/>
  <c r="BB49" i="19"/>
  <c r="BF49" i="19" s="1"/>
  <c r="BA49" i="19"/>
  <c r="AF45" i="19"/>
  <c r="BG45" i="19"/>
  <c r="K45" i="19"/>
  <c r="J45" i="19"/>
  <c r="P45" i="19"/>
  <c r="AX86" i="19"/>
  <c r="AW86" i="19"/>
  <c r="AV86" i="19"/>
  <c r="AX98" i="19"/>
  <c r="AW98" i="19"/>
  <c r="AV98" i="19"/>
  <c r="BB148" i="19"/>
  <c r="AZ148" i="19"/>
  <c r="BA148" i="19"/>
  <c r="AR121" i="19"/>
  <c r="AS121" i="19"/>
  <c r="AX128" i="19"/>
  <c r="AW128" i="19"/>
  <c r="AV128" i="19"/>
  <c r="BA132" i="19"/>
  <c r="AZ132" i="19"/>
  <c r="BB132" i="19"/>
  <c r="BF132" i="19" s="1"/>
  <c r="AW136" i="19"/>
  <c r="AV136" i="19"/>
  <c r="AX136" i="19"/>
  <c r="S162" i="19"/>
  <c r="M203" i="16"/>
  <c r="O7" i="16"/>
  <c r="N7" i="16"/>
  <c r="M7" i="19"/>
  <c r="BG8" i="19"/>
  <c r="AF8" i="19"/>
  <c r="AE8" i="19"/>
  <c r="AD8" i="19"/>
  <c r="AC7" i="19"/>
  <c r="S47" i="19"/>
  <c r="AB63" i="7"/>
  <c r="AG63" i="7"/>
  <c r="BD90" i="19"/>
  <c r="BE90" i="19"/>
  <c r="BF90" i="19"/>
  <c r="AS84" i="19"/>
  <c r="AR84" i="19"/>
  <c r="AT84" i="19"/>
  <c r="BB124" i="19"/>
  <c r="BF124" i="19" s="1"/>
  <c r="BA124" i="19"/>
  <c r="AZ124" i="19"/>
  <c r="BA69" i="19"/>
  <c r="AZ69" i="19"/>
  <c r="BB69" i="19"/>
  <c r="AS104" i="19"/>
  <c r="AR104" i="19"/>
  <c r="AT104" i="19"/>
  <c r="AZ100" i="19"/>
  <c r="BB144" i="19"/>
  <c r="BF144" i="19" s="1"/>
  <c r="BA144" i="19"/>
  <c r="AZ144" i="19"/>
  <c r="AR151" i="19"/>
  <c r="AT151" i="19"/>
  <c r="AS151" i="19"/>
  <c r="AX154" i="19"/>
  <c r="AW154" i="19"/>
  <c r="AV154" i="19"/>
  <c r="T198" i="19"/>
  <c r="AU196" i="19"/>
  <c r="AG72" i="19"/>
  <c r="X63" i="7"/>
  <c r="AV95" i="19"/>
  <c r="AX95" i="19"/>
  <c r="AW95" i="19"/>
  <c r="I203" i="16"/>
  <c r="K7" i="16"/>
  <c r="J7" i="16"/>
  <c r="BE7" i="16"/>
  <c r="AX65" i="19"/>
  <c r="AW65" i="19"/>
  <c r="AV65" i="19"/>
  <c r="W8" i="19"/>
  <c r="V8" i="19"/>
  <c r="U7" i="19"/>
  <c r="AX97" i="19"/>
  <c r="AV97" i="19"/>
  <c r="AW97" i="19"/>
  <c r="BC196" i="19"/>
  <c r="AG110" i="19"/>
  <c r="AX147" i="19"/>
  <c r="AW147" i="19"/>
  <c r="AV147" i="19"/>
  <c r="AX85" i="19"/>
  <c r="AV85" i="19"/>
  <c r="AW85" i="19"/>
  <c r="BA82" i="19"/>
  <c r="BB82" i="19"/>
  <c r="AZ82" i="19"/>
  <c r="AH45" i="19"/>
  <c r="AZ54" i="19"/>
  <c r="BB54" i="19"/>
  <c r="BA54" i="19"/>
  <c r="AN79" i="19"/>
  <c r="AP79" i="19"/>
  <c r="AP72" i="19" s="1"/>
  <c r="AO79" i="19"/>
  <c r="BA92" i="19"/>
  <c r="AZ92" i="19"/>
  <c r="BB92" i="19"/>
  <c r="AA162" i="19"/>
  <c r="S45" i="16"/>
  <c r="R45" i="16"/>
  <c r="AI44" i="7"/>
  <c r="AZ56" i="19"/>
  <c r="BB56" i="19"/>
  <c r="BF56" i="19" s="1"/>
  <c r="BA56" i="19"/>
  <c r="AX101" i="19"/>
  <c r="AV101" i="19"/>
  <c r="AW101" i="19"/>
  <c r="AZ156" i="19"/>
  <c r="BB156" i="19"/>
  <c r="BA156" i="19"/>
  <c r="BB11" i="19"/>
  <c r="AZ11" i="19"/>
  <c r="BA11" i="19"/>
  <c r="AV14" i="19"/>
  <c r="AX14" i="19"/>
  <c r="AW14" i="19"/>
  <c r="R47" i="19"/>
  <c r="AE63" i="7"/>
  <c r="AD63" i="7"/>
  <c r="AM196" i="19"/>
  <c r="AN7" i="19"/>
  <c r="AA72" i="19"/>
  <c r="Z72" i="19"/>
  <c r="AV83" i="19"/>
  <c r="AX83" i="19"/>
  <c r="AW83" i="19"/>
  <c r="BF137" i="19"/>
  <c r="BD137" i="19"/>
  <c r="BE137" i="19"/>
  <c r="AZ143" i="19"/>
  <c r="BB143" i="19"/>
  <c r="BF143" i="19" s="1"/>
  <c r="BA143" i="19"/>
  <c r="AV150" i="19"/>
  <c r="AX150" i="19"/>
  <c r="AW150" i="19"/>
  <c r="AG162" i="19"/>
  <c r="AQ196" i="19"/>
  <c r="BB87" i="19"/>
  <c r="BF87" i="19" s="1"/>
  <c r="AZ87" i="19"/>
  <c r="BA87" i="19"/>
  <c r="AV19" i="19"/>
  <c r="AW19" i="19"/>
  <c r="AX51" i="19"/>
  <c r="AW51" i="19"/>
  <c r="AV51" i="19"/>
  <c r="S121" i="19"/>
  <c r="R121" i="19"/>
  <c r="AR142" i="19"/>
  <c r="AS142" i="19"/>
  <c r="BE127" i="19"/>
  <c r="BD127" i="19"/>
  <c r="AR77" i="19"/>
  <c r="AT77" i="19"/>
  <c r="AS77" i="19"/>
  <c r="AX74" i="19"/>
  <c r="AW74" i="19"/>
  <c r="AV74" i="19"/>
  <c r="AT103" i="19"/>
  <c r="AR103" i="19"/>
  <c r="AS103" i="19"/>
  <c r="BE63" i="19"/>
  <c r="BD63" i="19"/>
  <c r="AY196" i="19"/>
  <c r="AR80" i="19"/>
  <c r="AT80" i="19"/>
  <c r="AS80" i="19"/>
  <c r="S8" i="19"/>
  <c r="Q7" i="19"/>
  <c r="BB131" i="19"/>
  <c r="BA131" i="19"/>
  <c r="AZ131" i="19"/>
  <c r="AX140" i="19"/>
  <c r="AW140" i="19"/>
  <c r="AV140" i="19"/>
  <c r="V162" i="19"/>
  <c r="AA45" i="16"/>
  <c r="Z45" i="16"/>
  <c r="Q203" i="16"/>
  <c r="S7" i="16"/>
  <c r="R7" i="16"/>
  <c r="BD7" i="16"/>
  <c r="X205" i="16"/>
  <c r="X206" i="16" s="1"/>
  <c r="AZ52" i="19"/>
  <c r="BB52" i="19"/>
  <c r="BF52" i="19" s="1"/>
  <c r="BA52" i="19"/>
  <c r="BB60" i="19"/>
  <c r="BF60" i="19" s="1"/>
  <c r="BA60" i="19"/>
  <c r="AZ60" i="19"/>
  <c r="Z110" i="19"/>
  <c r="BB157" i="19"/>
  <c r="BF157" i="19" s="1"/>
  <c r="BA157" i="19"/>
  <c r="AZ157" i="19"/>
  <c r="BD67" i="19"/>
  <c r="BF67" i="19"/>
  <c r="AX12" i="19"/>
  <c r="AW12" i="19"/>
  <c r="AV12" i="19"/>
  <c r="AG47" i="19"/>
  <c r="T45" i="19"/>
  <c r="T196" i="19" s="1"/>
  <c r="AV88" i="19"/>
  <c r="AX88" i="19"/>
  <c r="AW88" i="19"/>
  <c r="AX122" i="19"/>
  <c r="AV122" i="19"/>
  <c r="AT121" i="19"/>
  <c r="AW122" i="19"/>
  <c r="BB153" i="19"/>
  <c r="BA153" i="19"/>
  <c r="AZ153" i="19"/>
  <c r="BA160" i="19"/>
  <c r="AZ160" i="19"/>
  <c r="BB160" i="19"/>
  <c r="BF160" i="19" s="1"/>
  <c r="Y198" i="19"/>
  <c r="O45" i="16"/>
  <c r="N45" i="16"/>
  <c r="AP47" i="19"/>
  <c r="AT48" i="19"/>
  <c r="AS48" i="19"/>
  <c r="AR48" i="19"/>
  <c r="AO72" i="19"/>
  <c r="N162" i="19"/>
  <c r="AT8" i="19"/>
  <c r="BD96" i="19"/>
  <c r="BE96" i="19"/>
  <c r="BF96" i="19"/>
  <c r="AX62" i="19"/>
  <c r="AW62" i="19"/>
  <c r="AV62" i="19"/>
  <c r="AF63" i="7"/>
  <c r="AH63" i="7"/>
  <c r="AX99" i="19"/>
  <c r="AV99" i="19"/>
  <c r="AW99" i="19"/>
  <c r="AV105" i="19"/>
  <c r="AX105" i="19"/>
  <c r="BB105" i="19" s="1"/>
  <c r="AW105" i="19"/>
  <c r="AX81" i="19"/>
  <c r="AV81" i="19"/>
  <c r="AW81" i="19"/>
  <c r="AJ162" i="19"/>
  <c r="V121" i="19"/>
  <c r="W121" i="19"/>
  <c r="Y203" i="16"/>
  <c r="AA203" i="16" s="1"/>
  <c r="AA7" i="16"/>
  <c r="Z7" i="16"/>
  <c r="I196" i="19"/>
  <c r="BD45" i="16"/>
  <c r="AZ21" i="19"/>
  <c r="AX19" i="19"/>
  <c r="BB21" i="19"/>
  <c r="BA21" i="19"/>
  <c r="AB45" i="19"/>
  <c r="AE47" i="19"/>
  <c r="AD47" i="19"/>
  <c r="X45" i="19"/>
  <c r="X196" i="19" s="1"/>
  <c r="AX57" i="19"/>
  <c r="AW57" i="19"/>
  <c r="AV57" i="19"/>
  <c r="AV61" i="19"/>
  <c r="AX61" i="19"/>
  <c r="AW61" i="19"/>
  <c r="AV89" i="19"/>
  <c r="AX89" i="19"/>
  <c r="AW89" i="19"/>
  <c r="AR91" i="19"/>
  <c r="AT91" i="19"/>
  <c r="AS91" i="19"/>
  <c r="AX70" i="19"/>
  <c r="AW70" i="19"/>
  <c r="AV70" i="19"/>
  <c r="AZ152" i="19"/>
  <c r="BB152" i="19"/>
  <c r="BA152" i="19"/>
  <c r="BE135" i="19"/>
  <c r="BD135" i="19"/>
  <c r="AA47" i="19"/>
  <c r="Y63" i="7"/>
  <c r="O72" i="19"/>
  <c r="N72" i="19"/>
  <c r="AZ175" i="19"/>
  <c r="BB175" i="19"/>
  <c r="BF175" i="19" s="1"/>
  <c r="BA175" i="19"/>
  <c r="AX162" i="19"/>
  <c r="T203" i="16"/>
  <c r="W203" i="16" s="1"/>
  <c r="W7" i="16"/>
  <c r="V7" i="16"/>
  <c r="AI42" i="7"/>
  <c r="AI196" i="19"/>
  <c r="AJ7" i="19"/>
  <c r="AK7" i="19"/>
  <c r="AD72" i="19"/>
  <c r="AE72" i="19"/>
  <c r="BA64" i="19"/>
  <c r="AZ64" i="19"/>
  <c r="BB64" i="19"/>
  <c r="BD149" i="19"/>
  <c r="BE149" i="19"/>
  <c r="AA8" i="19"/>
  <c r="Y7" i="19"/>
  <c r="Z8" i="19"/>
  <c r="AO47" i="19"/>
  <c r="AN47" i="19"/>
  <c r="AR73" i="19"/>
  <c r="AT73" i="19"/>
  <c r="AS73" i="19"/>
  <c r="K45" i="16"/>
  <c r="BE45" i="16"/>
  <c r="J45" i="16"/>
  <c r="AG9" i="19"/>
  <c r="BF9" i="19"/>
  <c r="AV50" i="19"/>
  <c r="AX50" i="19"/>
  <c r="AW50" i="19"/>
  <c r="AC63" i="7"/>
  <c r="BB53" i="19"/>
  <c r="BF53" i="19" s="1"/>
  <c r="BA53" i="19"/>
  <c r="AZ53" i="19"/>
  <c r="AX102" i="19"/>
  <c r="AV102" i="19"/>
  <c r="AW102" i="19"/>
  <c r="AX145" i="19"/>
  <c r="AV145" i="19"/>
  <c r="AW145" i="19"/>
  <c r="BB146" i="19"/>
  <c r="BF146" i="19" s="1"/>
  <c r="BA146" i="19"/>
  <c r="AZ146" i="19"/>
  <c r="AW129" i="19"/>
  <c r="AV129" i="19"/>
  <c r="AX129" i="19"/>
  <c r="W63" i="7"/>
  <c r="BA58" i="19" l="1"/>
  <c r="BA116" i="19"/>
  <c r="BB58" i="19"/>
  <c r="BF58" i="19" s="1"/>
  <c r="BB100" i="19"/>
  <c r="BF100" i="19" s="1"/>
  <c r="R8" i="19"/>
  <c r="P196" i="19"/>
  <c r="P199" i="19" s="1"/>
  <c r="N8" i="19"/>
  <c r="O8" i="19"/>
  <c r="AL45" i="19"/>
  <c r="AO45" i="19" s="1"/>
  <c r="AS7" i="19"/>
  <c r="AZ116" i="19"/>
  <c r="BB116" i="19"/>
  <c r="BB110" i="19" s="1"/>
  <c r="BA110" i="19"/>
  <c r="V203" i="16"/>
  <c r="BF94" i="19"/>
  <c r="AZ59" i="19"/>
  <c r="BA59" i="19"/>
  <c r="BB59" i="19"/>
  <c r="J196" i="19"/>
  <c r="BE94" i="19"/>
  <c r="L196" i="19"/>
  <c r="L199" i="19" s="1"/>
  <c r="N45" i="19"/>
  <c r="S45" i="19"/>
  <c r="BF105" i="19"/>
  <c r="R203" i="16"/>
  <c r="BB138" i="19"/>
  <c r="BF138" i="19" s="1"/>
  <c r="BA138" i="19"/>
  <c r="AZ138" i="19"/>
  <c r="AL196" i="19"/>
  <c r="AO196" i="19" s="1"/>
  <c r="BB139" i="19"/>
  <c r="BA139" i="19"/>
  <c r="AZ139" i="19"/>
  <c r="BE125" i="19"/>
  <c r="BD125" i="19"/>
  <c r="BB134" i="19"/>
  <c r="AZ134" i="19"/>
  <c r="BA134" i="19"/>
  <c r="BB78" i="19"/>
  <c r="BF78" i="19" s="1"/>
  <c r="AZ78" i="19"/>
  <c r="BA78" i="19"/>
  <c r="BB93" i="19"/>
  <c r="BF93" i="19" s="1"/>
  <c r="AZ93" i="19"/>
  <c r="BA93" i="19"/>
  <c r="V45" i="19"/>
  <c r="S203" i="16"/>
  <c r="BF125" i="19"/>
  <c r="BB126" i="19"/>
  <c r="BA126" i="19"/>
  <c r="AZ126" i="19"/>
  <c r="BE133" i="19"/>
  <c r="BD133" i="19"/>
  <c r="R45" i="19"/>
  <c r="W45" i="19"/>
  <c r="T206" i="16"/>
  <c r="V206" i="16" s="1"/>
  <c r="AN45" i="19"/>
  <c r="AN196" i="19" s="1"/>
  <c r="BD159" i="19"/>
  <c r="BE159" i="19"/>
  <c r="AI63" i="7"/>
  <c r="W65" i="7" s="1"/>
  <c r="W67" i="7"/>
  <c r="W68" i="7" s="1"/>
  <c r="BE146" i="19"/>
  <c r="BD146" i="19"/>
  <c r="AZ145" i="19"/>
  <c r="BB145" i="19"/>
  <c r="BA145" i="19"/>
  <c r="AZ102" i="19"/>
  <c r="BB102" i="19"/>
  <c r="BA102" i="19"/>
  <c r="BE53" i="19"/>
  <c r="BD53" i="19"/>
  <c r="BA50" i="19"/>
  <c r="AZ50" i="19"/>
  <c r="BB50" i="19"/>
  <c r="Y196" i="19"/>
  <c r="AA196" i="19" s="1"/>
  <c r="AA7" i="19"/>
  <c r="Z7" i="19"/>
  <c r="BD64" i="19"/>
  <c r="BE64" i="19"/>
  <c r="BA89" i="19"/>
  <c r="BB89" i="19"/>
  <c r="AZ89" i="19"/>
  <c r="BE21" i="19"/>
  <c r="BB19" i="19"/>
  <c r="BD21" i="19"/>
  <c r="I199" i="19"/>
  <c r="J199" i="19" s="1"/>
  <c r="K196" i="19"/>
  <c r="AF67" i="7"/>
  <c r="AF68" i="7" s="1"/>
  <c r="AZ62" i="19"/>
  <c r="BB62" i="19"/>
  <c r="BA62" i="19"/>
  <c r="AT47" i="19"/>
  <c r="AX48" i="19"/>
  <c r="AW48" i="19"/>
  <c r="AV48" i="19"/>
  <c r="BE52" i="19"/>
  <c r="BD52" i="19"/>
  <c r="BE131" i="19"/>
  <c r="BD131" i="19"/>
  <c r="BD87" i="19"/>
  <c r="BE87" i="19"/>
  <c r="AX8" i="19"/>
  <c r="BE56" i="19"/>
  <c r="BD56" i="19"/>
  <c r="BD82" i="19"/>
  <c r="BE82" i="19"/>
  <c r="BF82" i="19"/>
  <c r="BB85" i="19"/>
  <c r="AZ85" i="19"/>
  <c r="BA85" i="19"/>
  <c r="BB65" i="19"/>
  <c r="BF65" i="19" s="1"/>
  <c r="AZ65" i="19"/>
  <c r="BA65" i="19"/>
  <c r="K203" i="16"/>
  <c r="I206" i="16"/>
  <c r="J206" i="16" s="1"/>
  <c r="BE203" i="16"/>
  <c r="AX104" i="19"/>
  <c r="AV104" i="19"/>
  <c r="AW104" i="19"/>
  <c r="BD69" i="19"/>
  <c r="BE69" i="19"/>
  <c r="AG8" i="19"/>
  <c r="BB128" i="19"/>
  <c r="BA128" i="19"/>
  <c r="AZ128" i="19"/>
  <c r="BA98" i="19"/>
  <c r="BB98" i="19"/>
  <c r="AZ98" i="19"/>
  <c r="AG45" i="19"/>
  <c r="AZ123" i="19"/>
  <c r="BA123" i="19"/>
  <c r="BB123" i="19"/>
  <c r="BF131" i="19"/>
  <c r="AC67" i="7"/>
  <c r="AC68" i="7" s="1"/>
  <c r="AC69" i="7" s="1"/>
  <c r="AD69" i="7" s="1"/>
  <c r="BA19" i="19"/>
  <c r="AZ19" i="19"/>
  <c r="AP45" i="19"/>
  <c r="AR47" i="19"/>
  <c r="AS47" i="19"/>
  <c r="BE153" i="19"/>
  <c r="BD153" i="19"/>
  <c r="AZ74" i="19"/>
  <c r="BB74" i="19"/>
  <c r="BF74" i="19" s="1"/>
  <c r="BA74" i="19"/>
  <c r="BE11" i="19"/>
  <c r="BD11" i="19"/>
  <c r="BF11" i="19"/>
  <c r="BD92" i="19"/>
  <c r="BE92" i="19"/>
  <c r="BF92" i="19"/>
  <c r="BE54" i="19"/>
  <c r="BD54" i="19"/>
  <c r="BF54" i="19"/>
  <c r="AZ147" i="19"/>
  <c r="BB147" i="19"/>
  <c r="BA147" i="19"/>
  <c r="AG67" i="7"/>
  <c r="AG68" i="7" s="1"/>
  <c r="AC196" i="19"/>
  <c r="AE7" i="19"/>
  <c r="AD7" i="19"/>
  <c r="O203" i="16"/>
  <c r="M206" i="16"/>
  <c r="N206" i="16" s="1"/>
  <c r="AW73" i="19"/>
  <c r="AV73" i="19"/>
  <c r="AX73" i="19"/>
  <c r="BE175" i="19"/>
  <c r="BD175" i="19"/>
  <c r="BB162" i="19"/>
  <c r="Y206" i="16"/>
  <c r="Z206" i="16" s="1"/>
  <c r="BE152" i="19"/>
  <c r="BD152" i="19"/>
  <c r="BF152" i="19"/>
  <c r="BE58" i="19"/>
  <c r="BD58" i="19"/>
  <c r="AD45" i="19"/>
  <c r="AB196" i="19"/>
  <c r="AE45" i="19"/>
  <c r="Z203" i="16"/>
  <c r="BD105" i="19"/>
  <c r="BE105" i="19"/>
  <c r="AZ99" i="19"/>
  <c r="BB99" i="19"/>
  <c r="BF99" i="19" s="1"/>
  <c r="BA99" i="19"/>
  <c r="BF153" i="19"/>
  <c r="BE60" i="19"/>
  <c r="BD60" i="19"/>
  <c r="AW80" i="19"/>
  <c r="AX80" i="19"/>
  <c r="AV80" i="19"/>
  <c r="AX103" i="19"/>
  <c r="AV103" i="19"/>
  <c r="AW103" i="19"/>
  <c r="BB51" i="19"/>
  <c r="BA51" i="19"/>
  <c r="AZ51" i="19"/>
  <c r="AD67" i="7"/>
  <c r="AD68" i="7" s="1"/>
  <c r="BE156" i="19"/>
  <c r="BD156" i="19"/>
  <c r="BF156" i="19"/>
  <c r="AZ101" i="19"/>
  <c r="BB101" i="19"/>
  <c r="BF101" i="19" s="1"/>
  <c r="BA101" i="19"/>
  <c r="AS79" i="19"/>
  <c r="AT79" i="19"/>
  <c r="AT72" i="19" s="1"/>
  <c r="AR79" i="19"/>
  <c r="BB97" i="19"/>
  <c r="BF97" i="19" s="1"/>
  <c r="AZ97" i="19"/>
  <c r="BA97" i="19"/>
  <c r="J203" i="16"/>
  <c r="AW151" i="19"/>
  <c r="AV151" i="19"/>
  <c r="AX151" i="19"/>
  <c r="AX142" i="19" s="1"/>
  <c r="AT142" i="19"/>
  <c r="BE124" i="19"/>
  <c r="BD124" i="19"/>
  <c r="AB67" i="7"/>
  <c r="AB68" i="7" s="1"/>
  <c r="AB69" i="7" s="1"/>
  <c r="M196" i="19"/>
  <c r="O7" i="19"/>
  <c r="N7" i="19"/>
  <c r="AF7" i="19"/>
  <c r="BG7" i="19"/>
  <c r="BE148" i="19"/>
  <c r="BD148" i="19"/>
  <c r="Z45" i="19"/>
  <c r="BF21" i="19"/>
  <c r="AW91" i="19"/>
  <c r="AX91" i="19"/>
  <c r="AV91" i="19"/>
  <c r="AT7" i="19"/>
  <c r="AV8" i="19"/>
  <c r="AW8" i="19"/>
  <c r="BD160" i="19"/>
  <c r="BE160" i="19"/>
  <c r="BB122" i="19"/>
  <c r="BF122" i="19" s="1"/>
  <c r="AX121" i="19"/>
  <c r="AZ122" i="19"/>
  <c r="BA122" i="19"/>
  <c r="AZ88" i="19"/>
  <c r="BB88" i="19"/>
  <c r="BF88" i="19" s="1"/>
  <c r="BA88" i="19"/>
  <c r="AZ12" i="19"/>
  <c r="BA12" i="19"/>
  <c r="BB12" i="19"/>
  <c r="BF12" i="19" s="1"/>
  <c r="Q206" i="16"/>
  <c r="R206" i="16" s="1"/>
  <c r="BD203" i="16"/>
  <c r="BB140" i="19"/>
  <c r="BA140" i="19"/>
  <c r="AZ140" i="19"/>
  <c r="BA95" i="19"/>
  <c r="BB95" i="19"/>
  <c r="AZ95" i="19"/>
  <c r="BE100" i="19"/>
  <c r="AZ129" i="19"/>
  <c r="BB129" i="19"/>
  <c r="BA129" i="19"/>
  <c r="AS72" i="19"/>
  <c r="AR72" i="19"/>
  <c r="BF64" i="19"/>
  <c r="BA162" i="19"/>
  <c r="AZ162" i="19"/>
  <c r="Y67" i="7"/>
  <c r="Y68" i="7" s="1"/>
  <c r="BB70" i="19"/>
  <c r="BF70" i="19" s="1"/>
  <c r="BA70" i="19"/>
  <c r="AZ70" i="19"/>
  <c r="AZ61" i="19"/>
  <c r="BB61" i="19"/>
  <c r="BA61" i="19"/>
  <c r="BB57" i="19"/>
  <c r="BA57" i="19"/>
  <c r="AZ57" i="19"/>
  <c r="BA81" i="19"/>
  <c r="BB81" i="19"/>
  <c r="AZ81" i="19"/>
  <c r="AH67" i="7"/>
  <c r="AH68" i="7" s="1"/>
  <c r="AW121" i="19"/>
  <c r="AV121" i="19"/>
  <c r="BE157" i="19"/>
  <c r="BD157" i="19"/>
  <c r="Q196" i="19"/>
  <c r="S7" i="19"/>
  <c r="R7" i="19"/>
  <c r="AW77" i="19"/>
  <c r="AX77" i="19"/>
  <c r="AV77" i="19"/>
  <c r="BA150" i="19"/>
  <c r="AZ150" i="19"/>
  <c r="BB150" i="19"/>
  <c r="BE143" i="19"/>
  <c r="BD143" i="19"/>
  <c r="BA83" i="19"/>
  <c r="AZ83" i="19"/>
  <c r="BB83" i="19"/>
  <c r="AE67" i="7"/>
  <c r="AE68" i="7" s="1"/>
  <c r="AE69" i="7" s="1"/>
  <c r="AF69" i="7" s="1"/>
  <c r="AG69" i="7" s="1"/>
  <c r="AH69" i="7" s="1"/>
  <c r="BA14" i="19"/>
  <c r="AZ14" i="19"/>
  <c r="BB14" i="19"/>
  <c r="AK45" i="19"/>
  <c r="AH196" i="19"/>
  <c r="AK196" i="19" s="1"/>
  <c r="AJ45" i="19"/>
  <c r="AJ196" i="19" s="1"/>
  <c r="U196" i="19"/>
  <c r="W7" i="19"/>
  <c r="V7" i="19"/>
  <c r="X67" i="7"/>
  <c r="X68" i="7" s="1"/>
  <c r="X198" i="19"/>
  <c r="X199" i="19" s="1"/>
  <c r="T199" i="19"/>
  <c r="AZ154" i="19"/>
  <c r="BB154" i="19"/>
  <c r="BA154" i="19"/>
  <c r="BE144" i="19"/>
  <c r="BD144" i="19"/>
  <c r="BF69" i="19"/>
  <c r="AW84" i="19"/>
  <c r="AX84" i="19"/>
  <c r="AV84" i="19"/>
  <c r="N203" i="16"/>
  <c r="AZ136" i="19"/>
  <c r="BB136" i="19"/>
  <c r="BA136" i="19"/>
  <c r="BD132" i="19"/>
  <c r="BE132" i="19"/>
  <c r="BF148" i="19"/>
  <c r="BA86" i="19"/>
  <c r="BB86" i="19"/>
  <c r="AZ86" i="19"/>
  <c r="BE49" i="19"/>
  <c r="BD49" i="19"/>
  <c r="AA45" i="19"/>
  <c r="BF116" i="19"/>
  <c r="BD100" i="19" l="1"/>
  <c r="BD116" i="19"/>
  <c r="AE65" i="7"/>
  <c r="AB65" i="7"/>
  <c r="X65" i="7"/>
  <c r="Y65" i="7"/>
  <c r="AH65" i="7"/>
  <c r="AD65" i="7"/>
  <c r="BE116" i="19"/>
  <c r="AG65" i="7"/>
  <c r="AC65" i="7"/>
  <c r="AF65" i="7"/>
  <c r="BD59" i="19"/>
  <c r="BF59" i="19"/>
  <c r="BE59" i="19"/>
  <c r="R196" i="19"/>
  <c r="V196" i="19"/>
  <c r="N196" i="19"/>
  <c r="Y199" i="19"/>
  <c r="Z199" i="19" s="1"/>
  <c r="BE139" i="19"/>
  <c r="BF139" i="19"/>
  <c r="BD139" i="19"/>
  <c r="BE138" i="19"/>
  <c r="BD138" i="19"/>
  <c r="BE78" i="19"/>
  <c r="BD78" i="19"/>
  <c r="BF134" i="19"/>
  <c r="BE134" i="19"/>
  <c r="BD134" i="19"/>
  <c r="BE93" i="19"/>
  <c r="BD93" i="19"/>
  <c r="AI68" i="7"/>
  <c r="AI74" i="7" s="1"/>
  <c r="BF126" i="19"/>
  <c r="BD126" i="19"/>
  <c r="BE126" i="19"/>
  <c r="AD196" i="19"/>
  <c r="BA142" i="19"/>
  <c r="AZ142" i="19"/>
  <c r="BE14" i="19"/>
  <c r="BD14" i="19"/>
  <c r="BF14" i="19"/>
  <c r="BE150" i="19"/>
  <c r="BD150" i="19"/>
  <c r="BF150" i="19"/>
  <c r="BD57" i="19"/>
  <c r="BE57" i="19"/>
  <c r="BF57" i="19"/>
  <c r="BE129" i="19"/>
  <c r="BD129" i="19"/>
  <c r="O196" i="19"/>
  <c r="M199" i="19"/>
  <c r="N199" i="19" s="1"/>
  <c r="BE147" i="19"/>
  <c r="BD147" i="19"/>
  <c r="AR45" i="19"/>
  <c r="AR196" i="19" s="1"/>
  <c r="AP196" i="19"/>
  <c r="AS196" i="19" s="1"/>
  <c r="AS45" i="19"/>
  <c r="BE123" i="19"/>
  <c r="BD123" i="19"/>
  <c r="BF123" i="19"/>
  <c r="AT45" i="19"/>
  <c r="AT196" i="19" s="1"/>
  <c r="AW196" i="19" s="1"/>
  <c r="AV47" i="19"/>
  <c r="AW47" i="19"/>
  <c r="BE89" i="19"/>
  <c r="BD89" i="19"/>
  <c r="Z196" i="19"/>
  <c r="BE50" i="19"/>
  <c r="BD50" i="19"/>
  <c r="BE136" i="19"/>
  <c r="BD136" i="19"/>
  <c r="BF136" i="19"/>
  <c r="BA84" i="19"/>
  <c r="BB84" i="19"/>
  <c r="BF84" i="19" s="1"/>
  <c r="AZ84" i="19"/>
  <c r="W196" i="19"/>
  <c r="U199" i="19"/>
  <c r="V199" i="19" s="1"/>
  <c r="BF50" i="19"/>
  <c r="BE95" i="19"/>
  <c r="BD95" i="19"/>
  <c r="BF95" i="19"/>
  <c r="BD140" i="19"/>
  <c r="BE140" i="19"/>
  <c r="AG7" i="19"/>
  <c r="AX79" i="19"/>
  <c r="AV79" i="19"/>
  <c r="AW79" i="19"/>
  <c r="BD101" i="19"/>
  <c r="BE101" i="19"/>
  <c r="BD51" i="19"/>
  <c r="BE51" i="19"/>
  <c r="BF51" i="19"/>
  <c r="BD110" i="19"/>
  <c r="BE110" i="19"/>
  <c r="BF110" i="19"/>
  <c r="BB73" i="19"/>
  <c r="AX72" i="19"/>
  <c r="BA73" i="19"/>
  <c r="AZ73" i="19"/>
  <c r="BF73" i="19"/>
  <c r="BE74" i="19"/>
  <c r="BD74" i="19"/>
  <c r="AF196" i="19"/>
  <c r="BE145" i="19"/>
  <c r="BD145" i="19"/>
  <c r="BF145" i="19"/>
  <c r="BE154" i="19"/>
  <c r="BD154" i="19"/>
  <c r="BF154" i="19"/>
  <c r="AV7" i="19"/>
  <c r="AW7" i="19"/>
  <c r="AZ103" i="19"/>
  <c r="BB103" i="19"/>
  <c r="BF103" i="19" s="1"/>
  <c r="BA103" i="19"/>
  <c r="AX7" i="19"/>
  <c r="AZ8" i="19"/>
  <c r="BA8" i="19"/>
  <c r="BE19" i="19"/>
  <c r="BD19" i="19"/>
  <c r="BE83" i="19"/>
  <c r="BD83" i="19"/>
  <c r="BF83" i="19"/>
  <c r="BB77" i="19"/>
  <c r="BF77" i="19" s="1"/>
  <c r="BA77" i="19"/>
  <c r="AZ77" i="19"/>
  <c r="BD61" i="19"/>
  <c r="BE61" i="19"/>
  <c r="BF61" i="19"/>
  <c r="BF129" i="19"/>
  <c r="BF19" i="19"/>
  <c r="BE12" i="19"/>
  <c r="BD12" i="19"/>
  <c r="BE88" i="19"/>
  <c r="BD88" i="19"/>
  <c r="AZ121" i="19"/>
  <c r="BA121" i="19"/>
  <c r="AW142" i="19"/>
  <c r="AV142" i="19"/>
  <c r="BD162" i="19"/>
  <c r="BE162" i="19"/>
  <c r="AE196" i="19"/>
  <c r="BF147" i="19"/>
  <c r="BD98" i="19"/>
  <c r="BE98" i="19"/>
  <c r="BF98" i="19"/>
  <c r="BD128" i="19"/>
  <c r="BE128" i="19"/>
  <c r="BF128" i="19"/>
  <c r="BD85" i="19"/>
  <c r="BE85" i="19"/>
  <c r="BF85" i="19"/>
  <c r="BE62" i="19"/>
  <c r="BD62" i="19"/>
  <c r="BF62" i="19"/>
  <c r="BG196" i="19"/>
  <c r="BF89" i="19"/>
  <c r="BE102" i="19"/>
  <c r="BD102" i="19"/>
  <c r="BF102" i="19"/>
  <c r="AI65" i="7"/>
  <c r="Z65" i="7"/>
  <c r="AA65" i="7"/>
  <c r="BF162" i="19"/>
  <c r="BD86" i="19"/>
  <c r="BE86" i="19"/>
  <c r="BF86" i="19"/>
  <c r="S196" i="19"/>
  <c r="Q199" i="19"/>
  <c r="R199" i="19" s="1"/>
  <c r="BD81" i="19"/>
  <c r="BE81" i="19"/>
  <c r="BF81" i="19"/>
  <c r="BE70" i="19"/>
  <c r="BD70" i="19"/>
  <c r="BD122" i="19"/>
  <c r="BB121" i="19"/>
  <c r="BF121" i="19" s="1"/>
  <c r="BE122" i="19"/>
  <c r="BB91" i="19"/>
  <c r="BA91" i="19"/>
  <c r="AZ91" i="19"/>
  <c r="BB151" i="19"/>
  <c r="BB142" i="19" s="1"/>
  <c r="BA151" i="19"/>
  <c r="AZ151" i="19"/>
  <c r="BD97" i="19"/>
  <c r="BE97" i="19"/>
  <c r="BB80" i="19"/>
  <c r="AZ80" i="19"/>
  <c r="BA80" i="19"/>
  <c r="BD99" i="19"/>
  <c r="BE99" i="19"/>
  <c r="AV72" i="19"/>
  <c r="AW72" i="19"/>
  <c r="BB8" i="19"/>
  <c r="AZ104" i="19"/>
  <c r="BB104" i="19"/>
  <c r="BA104" i="19"/>
  <c r="BE65" i="19"/>
  <c r="BD65" i="19"/>
  <c r="AX47" i="19"/>
  <c r="BB48" i="19"/>
  <c r="BA48" i="19"/>
  <c r="AZ48" i="19"/>
  <c r="AI67" i="7"/>
  <c r="BF140" i="19"/>
  <c r="BE142" i="19" l="1"/>
  <c r="BD142" i="19"/>
  <c r="BF142" i="19"/>
  <c r="BB7" i="19"/>
  <c r="BF7" i="19" s="1"/>
  <c r="BD8" i="19"/>
  <c r="BE8" i="19"/>
  <c r="BE80" i="19"/>
  <c r="BD80" i="19"/>
  <c r="AZ7" i="19"/>
  <c r="BA7" i="19"/>
  <c r="AX45" i="19"/>
  <c r="AX196" i="19" s="1"/>
  <c r="AZ47" i="19"/>
  <c r="BA47" i="19"/>
  <c r="BE91" i="19"/>
  <c r="BD91" i="19"/>
  <c r="BF8" i="19"/>
  <c r="BF91" i="19"/>
  <c r="AZ72" i="19"/>
  <c r="BA72" i="19"/>
  <c r="BE84" i="19"/>
  <c r="BD84" i="19"/>
  <c r="AV45" i="19"/>
  <c r="AV196" i="19" s="1"/>
  <c r="AW45" i="19"/>
  <c r="BB47" i="19"/>
  <c r="BF47" i="19" s="1"/>
  <c r="BE48" i="19"/>
  <c r="BD48" i="19"/>
  <c r="BF48" i="19"/>
  <c r="BD104" i="19"/>
  <c r="BE104" i="19"/>
  <c r="BF104" i="19"/>
  <c r="BE103" i="19"/>
  <c r="BD103" i="19"/>
  <c r="AG196" i="19"/>
  <c r="BE151" i="19"/>
  <c r="BD151" i="19"/>
  <c r="BF80" i="19"/>
  <c r="BF151" i="19"/>
  <c r="BE121" i="19"/>
  <c r="BD121" i="19"/>
  <c r="BE77" i="19"/>
  <c r="BD77" i="19"/>
  <c r="BD73" i="19"/>
  <c r="BE73" i="19"/>
  <c r="BA79" i="19"/>
  <c r="BB79" i="19"/>
  <c r="AZ79" i="19"/>
  <c r="BA196" i="19" l="1"/>
  <c r="BE7" i="19"/>
  <c r="BD7" i="19"/>
  <c r="BD79" i="19"/>
  <c r="BE79" i="19"/>
  <c r="BF79" i="19"/>
  <c r="BB72" i="19"/>
  <c r="BB45" i="19" s="1"/>
  <c r="BB196" i="19" s="1"/>
  <c r="AI2" i="19"/>
  <c r="AZ45" i="19"/>
  <c r="AZ196" i="19" s="1"/>
  <c r="BA45" i="19"/>
  <c r="BD47" i="19"/>
  <c r="BE47" i="19"/>
  <c r="BE196" i="19" l="1"/>
  <c r="BF196" i="19"/>
  <c r="BF45" i="19"/>
  <c r="BD45" i="19"/>
  <c r="BD196" i="19" s="1"/>
  <c r="BE45" i="19"/>
  <c r="AH46" i="19"/>
  <c r="BE72" i="19"/>
  <c r="BD72" i="19"/>
  <c r="BF72" i="19"/>
  <c r="O157" i="26"/>
  <c r="O168" i="26"/>
  <c r="O156" i="26"/>
  <c r="O175" i="26"/>
  <c r="O172" i="26"/>
  <c r="O176" i="26"/>
  <c r="O163" i="26"/>
  <c r="O158" i="26"/>
  <c r="O178" i="26"/>
  <c r="O153" i="26"/>
  <c r="O167" i="26"/>
  <c r="O162" i="26"/>
  <c r="O155" i="26"/>
  <c r="O166" i="26"/>
  <c r="O159" i="26"/>
  <c r="O165" i="26"/>
  <c r="O161" i="26"/>
  <c r="O180" i="26"/>
  <c r="O169" i="26"/>
  <c r="O171" i="26"/>
  <c r="O164" i="26"/>
  <c r="O170" i="26"/>
  <c r="O160" i="26"/>
  <c r="O173" i="26"/>
  <c r="O154" i="26"/>
  <c r="O179" i="26"/>
  <c r="O152" i="26"/>
  <c r="D185" i="26"/>
  <c r="D188" i="26" s="1"/>
  <c r="O185" i="26" l="1"/>
  <c r="O33" i="26"/>
  <c r="O188" i="26" l="1"/>
  <c r="O187" i="26"/>
  <c r="F44" i="31" l="1"/>
  <c r="B44" i="31"/>
  <c r="G44" i="31"/>
  <c r="C44" i="31"/>
  <c r="D44" i="31"/>
  <c r="I44" i="31"/>
  <c r="E44" i="31"/>
  <c r="H44" i="31"/>
  <c r="B43" i="31"/>
  <c r="N41" i="31"/>
  <c r="AZ26" i="48" l="1"/>
  <c r="AZ25" i="48"/>
  <c r="AZ24" i="48"/>
  <c r="H23" i="48"/>
  <c r="I23" i="48" s="1"/>
  <c r="AZ23" i="48" l="1"/>
  <c r="H8" i="48"/>
  <c r="AZ8" i="48" l="1"/>
  <c r="J8" i="48"/>
  <c r="I8" i="48"/>
  <c r="H289" i="48"/>
  <c r="J289" i="48" l="1"/>
  <c r="I289" i="48"/>
  <c r="D14" i="32"/>
  <c r="AZ289" i="48"/>
  <c r="H291" i="48"/>
  <c r="AZ291" i="48" s="1"/>
  <c r="I291" i="48" l="1"/>
  <c r="I292" i="48" s="1"/>
  <c r="J291" i="48"/>
  <c r="H292" i="48"/>
  <c r="AZ292" i="48" s="1"/>
</calcChain>
</file>

<file path=xl/comments1.xml><?xml version="1.0" encoding="utf-8"?>
<comments xmlns="http://schemas.openxmlformats.org/spreadsheetml/2006/main">
  <authors>
    <author>Alana Carmo Simões Ribeiro</author>
  </authors>
  <commentList>
    <comment ref="A11" authorId="0">
      <text>
        <r>
          <rPr>
            <b/>
            <sz val="9"/>
            <color indexed="81"/>
            <rFont val="Segoe UI"/>
            <family val="2"/>
          </rPr>
          <t>Alana Carmo Simões Ribeiro:</t>
        </r>
        <r>
          <rPr>
            <sz val="9"/>
            <color indexed="81"/>
            <rFont val="Segoe UI"/>
            <family val="2"/>
          </rPr>
          <t xml:space="preserve">
Total Convênios menos saldo Receita Associação
</t>
        </r>
      </text>
    </comment>
  </commentList>
</comments>
</file>

<file path=xl/comments2.xml><?xml version="1.0" encoding="utf-8"?>
<comments xmlns="http://schemas.openxmlformats.org/spreadsheetml/2006/main">
  <authors>
    <author>Alana Carmo Simões Ribeiro</author>
  </authors>
  <commentList>
    <comment ref="B38" authorId="0">
      <text>
        <r>
          <rPr>
            <b/>
            <sz val="9"/>
            <color indexed="81"/>
            <rFont val="Segoe UI"/>
            <family val="2"/>
          </rPr>
          <t>Alana Carmo Simões Ribeiro:</t>
        </r>
        <r>
          <rPr>
            <sz val="9"/>
            <color indexed="81"/>
            <rFont val="Segoe UI"/>
            <family val="2"/>
          </rPr>
          <t xml:space="preserve">
transferir para fernando</t>
        </r>
      </text>
    </comment>
  </commentList>
</comments>
</file>

<file path=xl/comments3.xml><?xml version="1.0" encoding="utf-8"?>
<comments xmlns="http://schemas.openxmlformats.org/spreadsheetml/2006/main">
  <authors>
    <author>Alana Carmo Simões Ribeiro</author>
  </authors>
  <commentList>
    <comment ref="B10" authorId="0">
      <text>
        <r>
          <rPr>
            <b/>
            <sz val="9"/>
            <color indexed="81"/>
            <rFont val="Segoe UI"/>
            <family val="2"/>
          </rPr>
          <t>Alana Carmo Simões Ribeiro:</t>
        </r>
        <r>
          <rPr>
            <sz val="9"/>
            <color indexed="81"/>
            <rFont val="Segoe UI"/>
            <family val="2"/>
          </rPr>
          <t xml:space="preserve">
lmpressões do mkt</t>
        </r>
      </text>
    </comment>
  </commentList>
</comments>
</file>

<file path=xl/sharedStrings.xml><?xml version="1.0" encoding="utf-8"?>
<sst xmlns="http://schemas.openxmlformats.org/spreadsheetml/2006/main" count="8390" uniqueCount="3934">
  <si>
    <t xml:space="preserve">Cód. Contábil </t>
  </si>
  <si>
    <t>Cód. Custos</t>
  </si>
  <si>
    <t>Premissas</t>
  </si>
  <si>
    <t>TOTAL</t>
  </si>
  <si>
    <t>Orçado</t>
  </si>
  <si>
    <t>Realizado</t>
  </si>
  <si>
    <t>Variação</t>
  </si>
  <si>
    <t>SUS FAEC</t>
  </si>
  <si>
    <t>Nefrologia</t>
  </si>
  <si>
    <t>IAC</t>
  </si>
  <si>
    <t>Rede Cegonha</t>
  </si>
  <si>
    <t xml:space="preserve">Sustentável </t>
  </si>
  <si>
    <t>Receita Contratual Nefromed</t>
  </si>
  <si>
    <t>Receita Contratual Valeclin</t>
  </si>
  <si>
    <t>Ações Judiciais</t>
  </si>
  <si>
    <t>Outras Receitas Financeiras</t>
  </si>
  <si>
    <t>Aluguel</t>
  </si>
  <si>
    <t>52302+5180</t>
  </si>
  <si>
    <t>Cursos e Treinamentos</t>
  </si>
  <si>
    <t>Receitas Diversas</t>
  </si>
  <si>
    <t>Drogas e Medicamentos</t>
  </si>
  <si>
    <t>Materiais de Consumo Geral</t>
  </si>
  <si>
    <t>Receitas de Subvenções</t>
  </si>
  <si>
    <t>Venda Sucata</t>
  </si>
  <si>
    <t>TOTAL GERAL DESPESAS</t>
  </si>
  <si>
    <t>11298 + 11346</t>
  </si>
  <si>
    <t>Salários</t>
  </si>
  <si>
    <t>13º Salario</t>
  </si>
  <si>
    <t>Férias</t>
  </si>
  <si>
    <t>Encargos Sociais</t>
  </si>
  <si>
    <t>Vale Transporte</t>
  </si>
  <si>
    <t>Convênio Médico</t>
  </si>
  <si>
    <t>204+81</t>
  </si>
  <si>
    <t>11470 +11446</t>
  </si>
  <si>
    <t>Estagiários</t>
  </si>
  <si>
    <t>309+389+226</t>
  </si>
  <si>
    <t>Despesas Gerais</t>
  </si>
  <si>
    <t>11715 + 11422</t>
  </si>
  <si>
    <t>224+191</t>
  </si>
  <si>
    <t>Seguros</t>
  </si>
  <si>
    <t>Aluguéis / Locações de Equipamentos</t>
  </si>
  <si>
    <t>11646+11721+12312+38302</t>
  </si>
  <si>
    <t>29+284+335+315</t>
  </si>
  <si>
    <t>Despesas de Veículos</t>
  </si>
  <si>
    <t>Serviço Segurança Patrimonial</t>
  </si>
  <si>
    <t>12336+11837</t>
  </si>
  <si>
    <t>313+357</t>
  </si>
  <si>
    <t>Contribuição e Associação</t>
  </si>
  <si>
    <t>N</t>
  </si>
  <si>
    <t>Serviços Unidade Queimados</t>
  </si>
  <si>
    <t>Serviço de Remoção de Paciente</t>
  </si>
  <si>
    <t>Serviços Laboratoriais (Valeclin e Oswaldo Ramos)</t>
  </si>
  <si>
    <t>12870+12889</t>
  </si>
  <si>
    <t>209+388</t>
  </si>
  <si>
    <t>Serviços UTI's</t>
  </si>
  <si>
    <t>Plantão PA</t>
  </si>
  <si>
    <t>Transplante de Fígado</t>
  </si>
  <si>
    <t>Disponibilidade</t>
  </si>
  <si>
    <t>Plantao Maternidade</t>
  </si>
  <si>
    <t>Despesas Ambulatoriais</t>
  </si>
  <si>
    <t>Serviço de Cirurgia Vascular</t>
  </si>
  <si>
    <t>Serviços Médicos Administrativos</t>
  </si>
  <si>
    <t>MANTER</t>
  </si>
  <si>
    <t>12274 + 12272</t>
  </si>
  <si>
    <t>282+258</t>
  </si>
  <si>
    <t>Serviços de Informática / Internet</t>
  </si>
  <si>
    <t>Telefone - (direto)</t>
  </si>
  <si>
    <t>Telefone Celular</t>
  </si>
  <si>
    <t>Telefone e Telegramas</t>
  </si>
  <si>
    <t>Alimentação - Mantenedora</t>
  </si>
  <si>
    <t>Lanches e Refeições - Mantenedora</t>
  </si>
  <si>
    <t>Material de Consumo Hospitalar</t>
  </si>
  <si>
    <t>Medicamentos de Consumo Hospitalar</t>
  </si>
  <si>
    <t>OPME</t>
  </si>
  <si>
    <t>Material de Expediente</t>
  </si>
  <si>
    <t>Material Lavanderia</t>
  </si>
  <si>
    <t>Material Limpeza Higiene</t>
  </si>
  <si>
    <t>Tecidos Aviamentos Outros</t>
  </si>
  <si>
    <t>Radiofármacos</t>
  </si>
  <si>
    <t>12324+12325+12326</t>
  </si>
  <si>
    <t>Serviço de Remoção de Resíduos</t>
  </si>
  <si>
    <t>Material Manutenção Geral</t>
  </si>
  <si>
    <t>Material de Manutenção de Maq. Equip.</t>
  </si>
  <si>
    <t>210+312</t>
  </si>
  <si>
    <t>Serviço Manutenção Equipamentos Médicos</t>
  </si>
  <si>
    <t>Serviço de Manutenção em Instrumental</t>
  </si>
  <si>
    <t>Serviços Autônomos Diversos</t>
  </si>
  <si>
    <t>Locação de Cilindro</t>
  </si>
  <si>
    <t>11576 + 33003</t>
  </si>
  <si>
    <t>229+220</t>
  </si>
  <si>
    <t>33005 + 32935</t>
  </si>
  <si>
    <t>236+228</t>
  </si>
  <si>
    <t>Energia Eletrica</t>
  </si>
  <si>
    <t>197+386</t>
  </si>
  <si>
    <t>Gases Medicinais</t>
  </si>
  <si>
    <t>Gas Encanado Ind - Consumo</t>
  </si>
  <si>
    <t>11750 + 51430</t>
  </si>
  <si>
    <t xml:space="preserve">Depreciação </t>
  </si>
  <si>
    <t>Depreciação Edificações</t>
  </si>
  <si>
    <t>Amortizações</t>
  </si>
  <si>
    <t>12291 + 51091</t>
  </si>
  <si>
    <t>217+349</t>
  </si>
  <si>
    <t>Custas Cartório</t>
  </si>
  <si>
    <t>265+233</t>
  </si>
  <si>
    <t>37+38+257+264+34</t>
  </si>
  <si>
    <t>Honorários Advocatícios</t>
  </si>
  <si>
    <t>11692+11698</t>
  </si>
  <si>
    <t>221+384</t>
  </si>
  <si>
    <t>Multas Administrativas</t>
  </si>
  <si>
    <t>Estacionamento</t>
  </si>
  <si>
    <t>Imposto sobre operações</t>
  </si>
  <si>
    <t>Honorários de Consultoria</t>
  </si>
  <si>
    <t xml:space="preserve">Honorários Serv. Técnicos </t>
  </si>
  <si>
    <t>12443 + 33097</t>
  </si>
  <si>
    <t>292+300</t>
  </si>
  <si>
    <t>Fretes e Carretos</t>
  </si>
  <si>
    <t xml:space="preserve">NECESSIDADE DE RESULTADO </t>
  </si>
  <si>
    <t>DIFERENÇA ENTRE NECESSIDADE x ORÇADO</t>
  </si>
  <si>
    <t xml:space="preserve">AMORTIZAÇÕES </t>
  </si>
  <si>
    <t xml:space="preserve">BANCOS </t>
  </si>
  <si>
    <t xml:space="preserve">ACORDO FORNECEDORES </t>
  </si>
  <si>
    <t/>
  </si>
  <si>
    <t>Receita Contratual Fany Serv.</t>
  </si>
  <si>
    <t>Receita de Vendas de Bens</t>
  </si>
  <si>
    <t>Conselho Est. de Aux. e Subv.</t>
  </si>
  <si>
    <t>Meritocracia</t>
  </si>
  <si>
    <t>12222+33765</t>
  </si>
  <si>
    <t>Repasse Médico (SUS + Convênios)</t>
  </si>
  <si>
    <t>Donativos - PF/PJ</t>
  </si>
  <si>
    <t xml:space="preserve">Donativos em Espécies </t>
  </si>
  <si>
    <t>Indenização de Seguro</t>
  </si>
  <si>
    <t>Contribuição Solidariedade</t>
  </si>
  <si>
    <t>-</t>
  </si>
  <si>
    <t>Subvenção Emenda Estatuto</t>
  </si>
  <si>
    <t>12881+12323</t>
  </si>
  <si>
    <t>4862+4904</t>
  </si>
  <si>
    <t>12289+52206+11623+11594+11375</t>
  </si>
  <si>
    <t>11540+12888+51761</t>
  </si>
  <si>
    <t>11195+11196+32896+32897+11862</t>
  </si>
  <si>
    <t>TOTAL RECEITA + REPASSE</t>
  </si>
  <si>
    <t>Santa Casa Cruzeiro</t>
  </si>
  <si>
    <t>Serviços Extraordinários</t>
  </si>
  <si>
    <t>12258+12474</t>
  </si>
  <si>
    <t>38009+32714+27379</t>
  </si>
  <si>
    <t xml:space="preserve">Juros Ativos </t>
  </si>
  <si>
    <t>DESCRIÇÃO DAS CONTAS</t>
  </si>
  <si>
    <t>01/2019</t>
  </si>
  <si>
    <t>02/2019</t>
  </si>
  <si>
    <t>03/2019</t>
  </si>
  <si>
    <t>04/2019</t>
  </si>
  <si>
    <t>05/2019</t>
  </si>
  <si>
    <t>06/2019</t>
  </si>
  <si>
    <t>07/2019</t>
  </si>
  <si>
    <t>08/2019</t>
  </si>
  <si>
    <t>09/2019</t>
  </si>
  <si>
    <t>10/2019</t>
  </si>
  <si>
    <t>11/2019</t>
  </si>
  <si>
    <t>12/2019</t>
  </si>
  <si>
    <t>%</t>
  </si>
  <si>
    <t>TOTAL INCENTIVOS</t>
  </si>
  <si>
    <t>TOTAL RECEITA DIVERSAS</t>
  </si>
  <si>
    <t>TOTAL RECEITA OPERACIONAL</t>
  </si>
  <si>
    <t>TOTAL ORÇADO</t>
  </si>
  <si>
    <t>TOTAL REALIZADO</t>
  </si>
  <si>
    <t>(-) Dedução receita - Glosas</t>
  </si>
  <si>
    <t>Acreditação</t>
  </si>
  <si>
    <t>Juros Depósitos Judiciais</t>
  </si>
  <si>
    <t>DESPESAS GERÊNCIA EXECUTIVA RH</t>
  </si>
  <si>
    <t>DESPESAS DIRETORIA MÉDICA</t>
  </si>
  <si>
    <t>DESPESAS GERÊNCIA EXECUTIVA PROJETOS</t>
  </si>
  <si>
    <t>DESPESAS GERÊNCIA EXECUTIVA APOIO</t>
  </si>
  <si>
    <t>DESPESAS GERÊNCIA EXECUTIVA ENGENHARIA</t>
  </si>
  <si>
    <t>DESPESAS SUPERVISÃO FINANCEIRA / CONTÁBIL</t>
  </si>
  <si>
    <t>Uniformes / EPI</t>
  </si>
  <si>
    <t>AuxÍlio Creche</t>
  </si>
  <si>
    <t>Cursos / Treinamento / Desenvolvimento</t>
  </si>
  <si>
    <t>Cesta Básica / Vale Alimentação</t>
  </si>
  <si>
    <t>Serviços Terceiros (Exames Admissionais)</t>
  </si>
  <si>
    <t>Combustíveis e Lubrificantes</t>
  </si>
  <si>
    <t>Serviço de Ressonância</t>
  </si>
  <si>
    <t>Serviços de Hemodiálise (Nefrologia)</t>
  </si>
  <si>
    <t>Plantão Ortopedia</t>
  </si>
  <si>
    <t>Serviços Médicos Prestados PF / PJ</t>
  </si>
  <si>
    <t>Serviços Oftalmológicos</t>
  </si>
  <si>
    <t>Serviços Radiológicos</t>
  </si>
  <si>
    <t>Serviços Tomografia</t>
  </si>
  <si>
    <t>Plantão Pediatria</t>
  </si>
  <si>
    <t>Plantão UTI Neo</t>
  </si>
  <si>
    <t>Plantão Internistas</t>
  </si>
  <si>
    <t>Serviço de Densitometria</t>
  </si>
  <si>
    <t>Serviços de Mamografia</t>
  </si>
  <si>
    <t>Serviços Medicina Nuclear</t>
  </si>
  <si>
    <t>Serviços de Ultrassonografia</t>
  </si>
  <si>
    <t>Serviços Dermatológicos</t>
  </si>
  <si>
    <t>Serviços de Esterilizacao</t>
  </si>
  <si>
    <t>Cópias / Impr. / Encader. / Plotagem</t>
  </si>
  <si>
    <t>Material Informática</t>
  </si>
  <si>
    <t>Honorários Serv. Técnicos Rede / Servidor</t>
  </si>
  <si>
    <t>Serviço de TV por Assinatura</t>
  </si>
  <si>
    <t>Gêneros Alimentícios</t>
  </si>
  <si>
    <t>Material Descartável</t>
  </si>
  <si>
    <t>Utensílios Diversos / Bens pq Valor / Ferram.</t>
  </si>
  <si>
    <t xml:space="preserve">Dieta Enteral (Lactário) </t>
  </si>
  <si>
    <t>Inventario SND / Almoxarifado</t>
  </si>
  <si>
    <t>Serviços de Análises</t>
  </si>
  <si>
    <t>Serviços de Dedetização</t>
  </si>
  <si>
    <t>Material de Manutenção Predial</t>
  </si>
  <si>
    <t>Serviço Manutenção Geral</t>
  </si>
  <si>
    <t>Serviços Diversos</t>
  </si>
  <si>
    <t>Serviços de Manutenção Predial</t>
  </si>
  <si>
    <t>Serviços Manutenção Ar Condicionado</t>
  </si>
  <si>
    <t>Serv. Manut. Equip</t>
  </si>
  <si>
    <t>Serviço de Engenharia Clínica</t>
  </si>
  <si>
    <t>Água e Esgoto</t>
  </si>
  <si>
    <t>Atualizações de Encargos e tributos</t>
  </si>
  <si>
    <t>Taxas e Tarifas Bancárias</t>
  </si>
  <si>
    <t>Despesas de Juros Bancários</t>
  </si>
  <si>
    <t>Viagens / Estadias</t>
  </si>
  <si>
    <t>Livros / Assinaturas / Periódicos</t>
  </si>
  <si>
    <t>Aluguéis (UNEP)</t>
  </si>
  <si>
    <t>Serv. de Rádio Táxi / Motoboy</t>
  </si>
  <si>
    <t>(-) Recuperação de Despesas</t>
  </si>
  <si>
    <t>Serviço de Certificado Digital</t>
  </si>
  <si>
    <t>MÉDIA MENSAL</t>
  </si>
  <si>
    <t>Rescisão</t>
  </si>
  <si>
    <t>Contigências Trabalhistas</t>
  </si>
  <si>
    <t>OPERADORAS</t>
  </si>
  <si>
    <t>REAJUSTE</t>
  </si>
  <si>
    <t>ÍNDICE APLICADO</t>
  </si>
  <si>
    <t>MÊS REAJUSTE</t>
  </si>
  <si>
    <t>Abrange</t>
  </si>
  <si>
    <t>Afresp</t>
  </si>
  <si>
    <t>Rescisão contrato</t>
  </si>
  <si>
    <t>Allianz</t>
  </si>
  <si>
    <t>Livre negociação</t>
  </si>
  <si>
    <t>Dezembro</t>
  </si>
  <si>
    <t>Ambep</t>
  </si>
  <si>
    <t>Amil</t>
  </si>
  <si>
    <t>IPCA</t>
  </si>
  <si>
    <t>Julho</t>
  </si>
  <si>
    <t>Assefaz</t>
  </si>
  <si>
    <t>Associação Sta. Casa Saúde</t>
  </si>
  <si>
    <t xml:space="preserve">IPC </t>
  </si>
  <si>
    <t>Junho</t>
  </si>
  <si>
    <t>Associações e Sindicatos</t>
  </si>
  <si>
    <t>Ativia</t>
  </si>
  <si>
    <t>INPC</t>
  </si>
  <si>
    <t>Aussel</t>
  </si>
  <si>
    <t>Janeiro</t>
  </si>
  <si>
    <t>Avamp</t>
  </si>
  <si>
    <t>Avibras</t>
  </si>
  <si>
    <t>Bradesco</t>
  </si>
  <si>
    <t>Cabesp</t>
  </si>
  <si>
    <t>Maio</t>
  </si>
  <si>
    <t>Care Plus</t>
  </si>
  <si>
    <t>IGPM</t>
  </si>
  <si>
    <t>Cassi</t>
  </si>
  <si>
    <t>Clinica São José Saude Ltda</t>
  </si>
  <si>
    <t>Coopus</t>
  </si>
  <si>
    <t>Econlife</t>
  </si>
  <si>
    <t>Março</t>
  </si>
  <si>
    <t>EEAR - Aeronautica Guaratinguetá</t>
  </si>
  <si>
    <t>Embratel</t>
  </si>
  <si>
    <t>Agosto</t>
  </si>
  <si>
    <t>Embratel/Telos</t>
  </si>
  <si>
    <t>Fund. Cesp</t>
  </si>
  <si>
    <t>Fusex Caçapava</t>
  </si>
  <si>
    <t>Fusex Taubate</t>
  </si>
  <si>
    <t>Gama</t>
  </si>
  <si>
    <t>Iamspe</t>
  </si>
  <si>
    <t>Iamspe Clinica Sul</t>
  </si>
  <si>
    <t>Infraero</t>
  </si>
  <si>
    <t>Intermedica</t>
  </si>
  <si>
    <t>QQ índice setor saúde</t>
  </si>
  <si>
    <t>Life Empresarial</t>
  </si>
  <si>
    <t>Setembro</t>
  </si>
  <si>
    <t>Marinha</t>
  </si>
  <si>
    <t>Maritima</t>
  </si>
  <si>
    <t>Mediservice</t>
  </si>
  <si>
    <t>Mutirão PMSJC</t>
  </si>
  <si>
    <t>Notre Dame</t>
  </si>
  <si>
    <t>Omint</t>
  </si>
  <si>
    <t>Petrobrás AMS</t>
  </si>
  <si>
    <t>Petrobrás Distribuidora</t>
  </si>
  <si>
    <t>Plantel</t>
  </si>
  <si>
    <t>Porto Seguro</t>
  </si>
  <si>
    <t>Postal Saude</t>
  </si>
  <si>
    <t>Novembro</t>
  </si>
  <si>
    <t>Sabesprev</t>
  </si>
  <si>
    <t>Santa Casa Interligadas</t>
  </si>
  <si>
    <t>São Camilo</t>
  </si>
  <si>
    <t>Saude Caixa</t>
  </si>
  <si>
    <t>SPDM</t>
  </si>
  <si>
    <t>Fevereiro</t>
  </si>
  <si>
    <t>Sul América</t>
  </si>
  <si>
    <t>Unafisco</t>
  </si>
  <si>
    <t>UNIMED - V.Paraiba - Federação</t>
  </si>
  <si>
    <t>FIPE Saúde</t>
  </si>
  <si>
    <t>UNIMED Taubaté</t>
  </si>
  <si>
    <t>Usisaúde</t>
  </si>
  <si>
    <t>Golden Cross</t>
  </si>
  <si>
    <t>RELATORIO GERAL DE FATURAMENTO - 2018</t>
  </si>
  <si>
    <t>JANEIRO</t>
  </si>
  <si>
    <t>FEVEREIRO</t>
  </si>
  <si>
    <t>MARÇO</t>
  </si>
  <si>
    <t>ABRIL</t>
  </si>
  <si>
    <t>MAIO</t>
  </si>
  <si>
    <t>JUNHO</t>
  </si>
  <si>
    <t>JULHO</t>
  </si>
  <si>
    <t>AGOSTO</t>
  </si>
  <si>
    <t>SETEMBRO</t>
  </si>
  <si>
    <t>OUTUBRO</t>
  </si>
  <si>
    <t>NOVEMBRO</t>
  </si>
  <si>
    <t>DEZEMBRO</t>
  </si>
  <si>
    <t>TOTAIS</t>
  </si>
  <si>
    <t>VALOR C/ REAJUSTE</t>
  </si>
  <si>
    <t>IPC</t>
  </si>
  <si>
    <t>Gia-SJC-CTA</t>
  </si>
  <si>
    <t>Prefeitura de Guará</t>
  </si>
  <si>
    <t>São FranciscoVida</t>
  </si>
  <si>
    <t>UNIMED - Intercambio</t>
  </si>
  <si>
    <t>Menor índice saúde ou INPC</t>
  </si>
  <si>
    <t>UNIMED - SJ Campos</t>
  </si>
  <si>
    <t>Particular</t>
  </si>
  <si>
    <t>Total- Convenios+Particular</t>
  </si>
  <si>
    <t xml:space="preserve">Taxas e licenças </t>
  </si>
  <si>
    <t>Honorário Auditoria</t>
  </si>
  <si>
    <t>Contingência Cível</t>
  </si>
  <si>
    <t>Despesas Judiciais</t>
  </si>
  <si>
    <t xml:space="preserve">Despesas Legais </t>
  </si>
  <si>
    <t xml:space="preserve">Impostos Municipais </t>
  </si>
  <si>
    <t xml:space="preserve">Serviço de Manutenção de Software </t>
  </si>
  <si>
    <t>+</t>
  </si>
  <si>
    <t xml:space="preserve">Gratificações </t>
  </si>
  <si>
    <t>Malotes /Correspondências</t>
  </si>
  <si>
    <t xml:space="preserve">Repasse médico </t>
  </si>
  <si>
    <t xml:space="preserve">Baixas e Perdas </t>
  </si>
  <si>
    <t xml:space="preserve">SUS Contrato (Teto)  </t>
  </si>
  <si>
    <t xml:space="preserve">Convênios  </t>
  </si>
  <si>
    <t>desvio</t>
  </si>
  <si>
    <t>DESPESAS</t>
  </si>
  <si>
    <t>x</t>
  </si>
  <si>
    <t>Red.</t>
  </si>
  <si>
    <t>Conta</t>
  </si>
  <si>
    <t>Descrição</t>
  </si>
  <si>
    <t>Saldo Anterior</t>
  </si>
  <si>
    <t>Valor Crédito</t>
  </si>
  <si>
    <t>Movimento</t>
  </si>
  <si>
    <t>Saldo Atual</t>
  </si>
  <si>
    <t>4</t>
  </si>
  <si>
    <t>4.1</t>
  </si>
  <si>
    <t>DESPESAS HOSPITALAR</t>
  </si>
  <si>
    <t>4.1.01</t>
  </si>
  <si>
    <t>DESPESAS MAO-DE-OBRA</t>
  </si>
  <si>
    <t>4.1.01.009</t>
  </si>
  <si>
    <t>REPASSE DE EXAMES</t>
  </si>
  <si>
    <t>4.1.01.009.0001</t>
  </si>
  <si>
    <t>EXAMES A REPASSAR</t>
  </si>
  <si>
    <t>4.1.01.010</t>
  </si>
  <si>
    <t xml:space="preserve"> SERVICOS  MEDICOS</t>
  </si>
  <si>
    <t>4.1.01.010.0001</t>
  </si>
  <si>
    <t>DESPESAS AMBULATORIAIS</t>
  </si>
  <si>
    <t>4.1.01.010.0002</t>
  </si>
  <si>
    <t>DESPESAS DE MONITORIZACAO</t>
  </si>
  <si>
    <t>4.1.01.010.0003</t>
  </si>
  <si>
    <t>PLANTAO DISPONIBILIDADE</t>
  </si>
  <si>
    <t>4.1.01.010.0004</t>
  </si>
  <si>
    <t>PLANTAO INTERNISTAS</t>
  </si>
  <si>
    <t>4.1.01.010.0005</t>
  </si>
  <si>
    <t>PLANTAO MATERNIDADE</t>
  </si>
  <si>
    <t>4.1.01.010.0006</t>
  </si>
  <si>
    <t xml:space="preserve">PLANTAO ORTOPEDIA </t>
  </si>
  <si>
    <t>4.1.01.010.0007</t>
  </si>
  <si>
    <t>PLANTAO PA</t>
  </si>
  <si>
    <t>4.1.01.010.0008</t>
  </si>
  <si>
    <t>PLANTAO PEDIATRIA</t>
  </si>
  <si>
    <t>4.1.01.010.0009</t>
  </si>
  <si>
    <t>PLANTAO UTI NEO</t>
  </si>
  <si>
    <t>4.1.01.010.0011</t>
  </si>
  <si>
    <t xml:space="preserve">SERV PREST UNIDADE QUEIMADOS  </t>
  </si>
  <si>
    <t>4.1.01.010.0012</t>
  </si>
  <si>
    <t>SERVICO DE DENSITOMETRIA</t>
  </si>
  <si>
    <t>4.1.01.010.0014</t>
  </si>
  <si>
    <t>SERVICOS DE MAMOGRAFIA</t>
  </si>
  <si>
    <t>4.1.01.010.0015</t>
  </si>
  <si>
    <t>SERVICOS DE ULTRASSONOGRAFIA</t>
  </si>
  <si>
    <t>4.1.01.010.0016</t>
  </si>
  <si>
    <t>SERVICOS MEDICINA NUCLEAR</t>
  </si>
  <si>
    <t>4.1.01.010.0017</t>
  </si>
  <si>
    <t>SERVICOS PRESTADOS NA UTI ADULTO</t>
  </si>
  <si>
    <t>4.1.01.010.0018</t>
  </si>
  <si>
    <t xml:space="preserve">SERVICOS RADIOLOGICOS </t>
  </si>
  <si>
    <t>4.1.01.010.0019</t>
  </si>
  <si>
    <t xml:space="preserve">SERVICOS REMOCAO DE ORGAOS </t>
  </si>
  <si>
    <t>4.1.01.010.0021</t>
  </si>
  <si>
    <t>TRANSPLANTE DE FIGADO</t>
  </si>
  <si>
    <t>4.1.01.010.0022</t>
  </si>
  <si>
    <t xml:space="preserve">SERVICO DE EXAMES </t>
  </si>
  <si>
    <t>4.1.01.010.0023</t>
  </si>
  <si>
    <t xml:space="preserve">SERVICO DE RESSONANCIA MAGNETICA </t>
  </si>
  <si>
    <t>4.1.01.010.0024</t>
  </si>
  <si>
    <t xml:space="preserve">SERVICOS REMOCAO DE PACIENTE - </t>
  </si>
  <si>
    <t>4.1.01.010.0025</t>
  </si>
  <si>
    <t xml:space="preserve">SERVICOS MEDICOS  PRESTADOS - PF - </t>
  </si>
  <si>
    <t>4.1.01.010.0026</t>
  </si>
  <si>
    <t xml:space="preserve">SERVICOS OFTALMOLOGICOS - </t>
  </si>
  <si>
    <t>4.1.01.010.0027</t>
  </si>
  <si>
    <t xml:space="preserve">SERVICOS TOMOGRAFIA  - </t>
  </si>
  <si>
    <t>4.1.01.010.0028</t>
  </si>
  <si>
    <t>SERVICOS DERMATOLOGICOS</t>
  </si>
  <si>
    <t>4.1.01.010.0029</t>
  </si>
  <si>
    <t>SERVICO DE  CIRURGIA VASCULAR</t>
  </si>
  <si>
    <t>4.1.01.010.0030</t>
  </si>
  <si>
    <t>SERVICOS MEDICOS ADMINISTRATIVOS</t>
  </si>
  <si>
    <t>4.1.01.010.0032</t>
  </si>
  <si>
    <t xml:space="preserve">SERVICOS MEDICOS  PRESTADOS - PJ - </t>
  </si>
  <si>
    <t>4.1.01.011</t>
  </si>
  <si>
    <t>SERVICOS DE TERCEIROS</t>
  </si>
  <si>
    <t>4.1.01.011.0001</t>
  </si>
  <si>
    <t xml:space="preserve">SERVICOS DE HEMODIALISE - </t>
  </si>
  <si>
    <t>4.1.01.011.0002</t>
  </si>
  <si>
    <t xml:space="preserve">SERVICOS LABORATORIAIS - </t>
  </si>
  <si>
    <t>4.1.01.012</t>
  </si>
  <si>
    <t>(-) RECUPERACAO DE CUSTOS</t>
  </si>
  <si>
    <t>4.1.01.012.0002</t>
  </si>
  <si>
    <t>(-)RECUPERACAO DE DESPESAS-</t>
  </si>
  <si>
    <t>4.1.01.012.0003</t>
  </si>
  <si>
    <t>4.1.01.013</t>
  </si>
  <si>
    <t xml:space="preserve">PROVISOES PARA PERDAS SOBRE </t>
  </si>
  <si>
    <t>4.1.01.013.0001</t>
  </si>
  <si>
    <t>4.1.01.020</t>
  </si>
  <si>
    <t xml:space="preserve">SALARIOS </t>
  </si>
  <si>
    <t>4.1.01.020.0001</t>
  </si>
  <si>
    <t xml:space="preserve">SALARIOS E ORDENADOS </t>
  </si>
  <si>
    <t>4.1.01.020.0002</t>
  </si>
  <si>
    <t xml:space="preserve">SERVICOS EXTRAORDINARIOS </t>
  </si>
  <si>
    <t>4.1.01.020.0003</t>
  </si>
  <si>
    <t xml:space="preserve">ADICIONAL DE INSALUBRIDADE </t>
  </si>
  <si>
    <t>4.1.01.020.0004</t>
  </si>
  <si>
    <t xml:space="preserve">DESPESA COM ESTAGIARIOS E </t>
  </si>
  <si>
    <t>4.1.01.020.0005</t>
  </si>
  <si>
    <t>MERITOCRACIA - PGR</t>
  </si>
  <si>
    <t>4.1.01.020.0006</t>
  </si>
  <si>
    <t>GRATIFICAÇÕES</t>
  </si>
  <si>
    <t>4.1.01.030</t>
  </si>
  <si>
    <t>INDENIZACOES</t>
  </si>
  <si>
    <t>4.1.01.030.0003</t>
  </si>
  <si>
    <t xml:space="preserve">INDENIZACOES TRABALHISTAS </t>
  </si>
  <si>
    <t>4.1.01.040</t>
  </si>
  <si>
    <t>13º SALARIOS/FERIAS</t>
  </si>
  <si>
    <t>4.1.01.040.0001</t>
  </si>
  <si>
    <t>13º SALARIO</t>
  </si>
  <si>
    <t>4.1.01.040.0002</t>
  </si>
  <si>
    <t xml:space="preserve">FERIAS </t>
  </si>
  <si>
    <t>4.1.01.050</t>
  </si>
  <si>
    <t>ENCARGOS SOCIAIS</t>
  </si>
  <si>
    <t>4.1.01.050.0002</t>
  </si>
  <si>
    <t xml:space="preserve">FGTS </t>
  </si>
  <si>
    <t>4.1.01.050.0003</t>
  </si>
  <si>
    <t>FGTS - MULTA RESCISORIA</t>
  </si>
  <si>
    <t>4.1.01.060</t>
  </si>
  <si>
    <t>DESPESAS COM BENEFICIOS</t>
  </si>
  <si>
    <t>4.1.01.060.0001</t>
  </si>
  <si>
    <t xml:space="preserve">ALIMENTACAO AO TRABALHADOR </t>
  </si>
  <si>
    <t>4.1.01.060.0002</t>
  </si>
  <si>
    <t xml:space="preserve">AUXILIO CRECHE </t>
  </si>
  <si>
    <t>4.1.01.060.0003</t>
  </si>
  <si>
    <t>CESTA BASICA E DE NATAL</t>
  </si>
  <si>
    <t>4.1.01.060.0005</t>
  </si>
  <si>
    <t>CONVENIO MEDICO COLABORADORES</t>
  </si>
  <si>
    <t>4.1.01.060.0006</t>
  </si>
  <si>
    <t xml:space="preserve">CURSOS/TREINAMENTOS/CONGRESSOS </t>
  </si>
  <si>
    <t>4.1.01.060.0009</t>
  </si>
  <si>
    <t>SEGUROS</t>
  </si>
  <si>
    <t>4.1.01.060.0010</t>
  </si>
  <si>
    <t>UNIFORMES, EPI</t>
  </si>
  <si>
    <t>4.1.01.060.0011</t>
  </si>
  <si>
    <t xml:space="preserve">VALE TRANSPORTE </t>
  </si>
  <si>
    <t>4.1.01.060.0012</t>
  </si>
  <si>
    <t>ALIMENTACAO - MANTENEDORA</t>
  </si>
  <si>
    <t>4.1.02</t>
  </si>
  <si>
    <t>INSUMOS</t>
  </si>
  <si>
    <t>4.1.02.010</t>
  </si>
  <si>
    <t>4.1.02.010.0001</t>
  </si>
  <si>
    <t xml:space="preserve">BAIXAS/PERDAS </t>
  </si>
  <si>
    <t>4.1.02.010.0002</t>
  </si>
  <si>
    <t xml:space="preserve">DIETA ENTERAL </t>
  </si>
  <si>
    <t>4.1.02.010.0003</t>
  </si>
  <si>
    <t xml:space="preserve">GASES MEDICINAIS </t>
  </si>
  <si>
    <t>4.1.02.010.0004</t>
  </si>
  <si>
    <t xml:space="preserve">GENEROS ALIMENTICIOS </t>
  </si>
  <si>
    <t>4.1.02.010.0005</t>
  </si>
  <si>
    <t xml:space="preserve">INVENTARIO </t>
  </si>
  <si>
    <t>4.1.02.010.0006</t>
  </si>
  <si>
    <t>MAT EXPEDIENTE, IMPRES PERSONAL</t>
  </si>
  <si>
    <t>4.1.02.010.0007</t>
  </si>
  <si>
    <t xml:space="preserve">MATERIAIS DE CONSUMO HOSPITALAR </t>
  </si>
  <si>
    <t>4.1.02.010.0008</t>
  </si>
  <si>
    <t xml:space="preserve">MATERIAIS DESCARTAVEIS </t>
  </si>
  <si>
    <t>4.1.02.010.0009</t>
  </si>
  <si>
    <t xml:space="preserve">MATERIAL DE INFORMATICA </t>
  </si>
  <si>
    <t>4.1.02.010.0010</t>
  </si>
  <si>
    <t xml:space="preserve">MATERIAL DE LAVANDERIA </t>
  </si>
  <si>
    <t>4.1.02.010.0011</t>
  </si>
  <si>
    <t xml:space="preserve">MATERIAL DE LIMPEZA E HIGIENE </t>
  </si>
  <si>
    <t>4.1.02.010.0012</t>
  </si>
  <si>
    <t>MEDICAMENTOS</t>
  </si>
  <si>
    <t>4.1.02.010.0013</t>
  </si>
  <si>
    <t xml:space="preserve">ORTESE E PROTESE </t>
  </si>
  <si>
    <t>4.1.02.010.0014</t>
  </si>
  <si>
    <t>RADIOFARMACOS</t>
  </si>
  <si>
    <t>4.1.02.010.0015</t>
  </si>
  <si>
    <t xml:space="preserve">TECIDOS AVIAMENTOS </t>
  </si>
  <si>
    <t>4.1.02.010.0017</t>
  </si>
  <si>
    <t xml:space="preserve">MATERIAL DE CONSUMO DIVERSOS - </t>
  </si>
  <si>
    <t>4.1.02.010.0018</t>
  </si>
  <si>
    <t>INVENTARIO - CAF - MANTENEDORA</t>
  </si>
  <si>
    <t>4.1.02.010.0019</t>
  </si>
  <si>
    <t>INVENTARIO - SND - MANTENEDORA</t>
  </si>
  <si>
    <t>4.2</t>
  </si>
  <si>
    <t>DESPESAS ADMINISTRATIVAS</t>
  </si>
  <si>
    <t>4.2.01</t>
  </si>
  <si>
    <t xml:space="preserve">SERVICOS DE TERCEIROS  E </t>
  </si>
  <si>
    <t>4.2.01.010</t>
  </si>
  <si>
    <t xml:space="preserve"> SERVICOS CONTRATADOS</t>
  </si>
  <si>
    <t>4.2.01.010.0002</t>
  </si>
  <si>
    <t xml:space="preserve">LOCACAO DE CILINDRO </t>
  </si>
  <si>
    <t>4.2.01.010.0003</t>
  </si>
  <si>
    <t xml:space="preserve">SERV </t>
  </si>
  <si>
    <t>4.2.01.010.0004</t>
  </si>
  <si>
    <t xml:space="preserve">SERVICO ACREDITACAO HOSPITALAR </t>
  </si>
  <si>
    <t>4.2.01.010.0005</t>
  </si>
  <si>
    <t>SERVICO DE ENGENHARIA CLINICA</t>
  </si>
  <si>
    <t>4.2.01.010.0006</t>
  </si>
  <si>
    <t xml:space="preserve">SERVICO DE LICENCIAMENTO DE </t>
  </si>
  <si>
    <t>4.2.01.010.0007</t>
  </si>
  <si>
    <t xml:space="preserve">SERVICO DE MANUTENCAO DE </t>
  </si>
  <si>
    <t>4.2.01.010.0008</t>
  </si>
  <si>
    <t xml:space="preserve">SERVICO DE MANUTENCAO EM </t>
  </si>
  <si>
    <t>4.2.01.010.0009</t>
  </si>
  <si>
    <t>SERVICO DE TV POR ASSINATURA</t>
  </si>
  <si>
    <t>4.2.01.010.0010</t>
  </si>
  <si>
    <t>SERVICO SEGURANCA PATRIMONIAL</t>
  </si>
  <si>
    <t>4.2.01.010.0011</t>
  </si>
  <si>
    <t>SERVICOS ADVOCATICIOS</t>
  </si>
  <si>
    <t>4.2.01.010.0012</t>
  </si>
  <si>
    <t>SERVICOS AUDITORIA</t>
  </si>
  <si>
    <t>4.2.01.010.0013</t>
  </si>
  <si>
    <t>SERVICOS CERTIFICADOS DIGITAIS</t>
  </si>
  <si>
    <t>4.2.01.010.0014</t>
  </si>
  <si>
    <t>SERVICOS DE ANALISES</t>
  </si>
  <si>
    <t>4.2.01.010.0015</t>
  </si>
  <si>
    <t>SERVICOS DE DEDETIZACAO</t>
  </si>
  <si>
    <t>4.2.01.010.0016</t>
  </si>
  <si>
    <t xml:space="preserve">SERVICOS DE ESTERILIZACAO </t>
  </si>
  <si>
    <t>4.2.01.010.0018</t>
  </si>
  <si>
    <t xml:space="preserve">SERVICOS DE INFORMATICA </t>
  </si>
  <si>
    <t>4.2.01.010.0019</t>
  </si>
  <si>
    <t xml:space="preserve">SERVICOS DE INTERNET </t>
  </si>
  <si>
    <t>4.2.01.010.0021</t>
  </si>
  <si>
    <t xml:space="preserve">SERVICOS DE LOCACAO </t>
  </si>
  <si>
    <t>4.2.01.010.0022</t>
  </si>
  <si>
    <t xml:space="preserve">SERVICOS DE MANUTENCAO DE </t>
  </si>
  <si>
    <t>4.2.01.010.0023</t>
  </si>
  <si>
    <t xml:space="preserve">SERVICOS DE MANUTENCAO GERAL </t>
  </si>
  <si>
    <t>4.2.01.010.0024</t>
  </si>
  <si>
    <t xml:space="preserve">SERVICOS DE MANUTENCAO PREDIAL </t>
  </si>
  <si>
    <t>4.2.01.010.0025</t>
  </si>
  <si>
    <t xml:space="preserve">SERVICOS DE MOTOBOY </t>
  </si>
  <si>
    <t>4.2.01.010.0026</t>
  </si>
  <si>
    <t>SERVICOS DE TAXI</t>
  </si>
  <si>
    <t>4.2.01.010.0027</t>
  </si>
  <si>
    <t>SERVICOS DE REMOCAO DE RESIDUOS</t>
  </si>
  <si>
    <t>4.2.01.010.0028</t>
  </si>
  <si>
    <t xml:space="preserve">SERVICOS FRETES E CARRETOS </t>
  </si>
  <si>
    <t>4.2.01.010.0029</t>
  </si>
  <si>
    <t xml:space="preserve">SERVICOS MALOTES E </t>
  </si>
  <si>
    <t>4.2.01.010.0031</t>
  </si>
  <si>
    <t xml:space="preserve">SERVICOS TECNICOS ADM </t>
  </si>
  <si>
    <t>4.2.01.010.0032</t>
  </si>
  <si>
    <t xml:space="preserve">HONORARIOS DE </t>
  </si>
  <si>
    <t>4.2.01.010.0033</t>
  </si>
  <si>
    <t>HONORARIOS DE SERVICOS TECNICOS</t>
  </si>
  <si>
    <t>4.2.01.010.0034</t>
  </si>
  <si>
    <t>SERVICOS DIVERSOS - MANTENEDORA</t>
  </si>
  <si>
    <t>4.2.01.010.0035</t>
  </si>
  <si>
    <t xml:space="preserve">SERVICOS MANUTENCAO AR </t>
  </si>
  <si>
    <t>4.2.01.010.0036</t>
  </si>
  <si>
    <t xml:space="preserve">SERV ESPECIALIZADO EM </t>
  </si>
  <si>
    <t>4.2.01.010.0037</t>
  </si>
  <si>
    <t>OUTRAS DESPESAS - MANTENEDORA</t>
  </si>
  <si>
    <t>4.2.01.010.0038</t>
  </si>
  <si>
    <t xml:space="preserve">SERVICOS AUTONOMOS DIVERSOS - </t>
  </si>
  <si>
    <t>4.2.01.010.0040</t>
  </si>
  <si>
    <t>SERVICO LAUDO DE REAVALIACAO</t>
  </si>
  <si>
    <t>4.2.01.010.0041</t>
  </si>
  <si>
    <t>SERVICO DE MANUTENÇÃO DE SISTEMA</t>
  </si>
  <si>
    <t>4.2.01.020</t>
  </si>
  <si>
    <t>DESPESAS COM RESTRICAO</t>
  </si>
  <si>
    <t>4.2.01.020.0001</t>
  </si>
  <si>
    <t>PONTO DE ACESSO TIMEMANIA</t>
  </si>
  <si>
    <t>4.2.01.020.0002</t>
  </si>
  <si>
    <t>GESTAO DO PROJETO TIMEMANIA</t>
  </si>
  <si>
    <t>4.2.01.030</t>
  </si>
  <si>
    <t>ALUGUEIS PREDIAL/EQUIPAMENTOS</t>
  </si>
  <si>
    <t>4.2.01.030.0001</t>
  </si>
  <si>
    <t>ALUGUEL - MANTENEDORA</t>
  </si>
  <si>
    <t>4.2.01.030.0002</t>
  </si>
  <si>
    <t xml:space="preserve"> EQUIPAMENTOS </t>
  </si>
  <si>
    <t>4.2.01.030.0003</t>
  </si>
  <si>
    <t xml:space="preserve">ESTACIONAMENTO </t>
  </si>
  <si>
    <t>4.2.01.030.0005</t>
  </si>
  <si>
    <t>ALUGUEL LOCACAO EQUIPTOS UNEP</t>
  </si>
  <si>
    <t>4.2.01.030.0006</t>
  </si>
  <si>
    <t>ALUGUEL PREDIAL IEP</t>
  </si>
  <si>
    <t>4.2.01.040</t>
  </si>
  <si>
    <t>UTILIDADES</t>
  </si>
  <si>
    <t>4.2.01.040.0001</t>
  </si>
  <si>
    <t xml:space="preserve">AGUA </t>
  </si>
  <si>
    <t>4.2.01.040.0002</t>
  </si>
  <si>
    <t xml:space="preserve">LUZ </t>
  </si>
  <si>
    <t>4.2.01.040.0003</t>
  </si>
  <si>
    <t xml:space="preserve">GAS </t>
  </si>
  <si>
    <t>4.2.01.040.0004</t>
  </si>
  <si>
    <t>TELEFONIA MOVEL</t>
  </si>
  <si>
    <t>4.2.01.040.0005</t>
  </si>
  <si>
    <t>TELEFONIA FIXA</t>
  </si>
  <si>
    <t>4.2.01.040.0006</t>
  </si>
  <si>
    <t>AGUA - (DIRETO) - MANTENEDORA</t>
  </si>
  <si>
    <t>4.2.01.040.0007</t>
  </si>
  <si>
    <t>LUZ - (DIRETO) - MANTENEDORA</t>
  </si>
  <si>
    <t>4.2.01.040.0008</t>
  </si>
  <si>
    <t>TELEFONE - (DIRETO) - MANTE</t>
  </si>
  <si>
    <t>4.2.01.050</t>
  </si>
  <si>
    <t>MATERIAIS MANUTENCAO</t>
  </si>
  <si>
    <t>4.2.01.050.0001</t>
  </si>
  <si>
    <t xml:space="preserve">MANUTENCAO GERAL  </t>
  </si>
  <si>
    <t>4.2.01.050.0002</t>
  </si>
  <si>
    <t xml:space="preserve">MANUTENCAO PREDIAL </t>
  </si>
  <si>
    <t>4.2.01.050.0003</t>
  </si>
  <si>
    <t>MAQUINAS/EQUIPAMENTOS</t>
  </si>
  <si>
    <t>4.2.01.060</t>
  </si>
  <si>
    <t xml:space="preserve"> DESPESAS GERAIS</t>
  </si>
  <si>
    <t>4.2.01.060.0002</t>
  </si>
  <si>
    <t xml:space="preserve">LANCHES E REFEICOES </t>
  </si>
  <si>
    <t>4.2.01.060.0003</t>
  </si>
  <si>
    <t xml:space="preserve">CAMPANHAS E EVENTOS </t>
  </si>
  <si>
    <t>4.2.01.060.0004</t>
  </si>
  <si>
    <t xml:space="preserve">VIAGENS E ESTADIAS </t>
  </si>
  <si>
    <t>4.2.01.060.0005</t>
  </si>
  <si>
    <t xml:space="preserve">PUBLICIDADE E PROPAGANDA </t>
  </si>
  <si>
    <t>4.2.01.060.0006</t>
  </si>
  <si>
    <t>LIVROS/JORNAIS/REVISTAS/PERIODICO</t>
  </si>
  <si>
    <t>4.2.01.060.0007</t>
  </si>
  <si>
    <t xml:space="preserve">BENS DE PEQUENO VALOR </t>
  </si>
  <si>
    <t>4.2.01.060.0008</t>
  </si>
  <si>
    <t>DESPESAS LEGAIS - MANTENEDORA</t>
  </si>
  <si>
    <t>4.2.01.060.0009</t>
  </si>
  <si>
    <t xml:space="preserve">CONDUCOES E PASSAGENS - </t>
  </si>
  <si>
    <t>4.2.01.060.0010</t>
  </si>
  <si>
    <t>PUBLICACOES LEGAIS - MANTENEDORA</t>
  </si>
  <si>
    <t>4.2.01.060.0011</t>
  </si>
  <si>
    <t>BRINDES - MANTENEDORA</t>
  </si>
  <si>
    <t>4.2.01.060.0014</t>
  </si>
  <si>
    <t>4.2.01.060.0015</t>
  </si>
  <si>
    <t>LANCHES E REFEICOES - MANTENDORA</t>
  </si>
  <si>
    <t>4.2.01.060.0016</t>
  </si>
  <si>
    <t xml:space="preserve">SANTA CASA DE MISERICORDIA DE </t>
  </si>
  <si>
    <t>4.2.01.060.0017</t>
  </si>
  <si>
    <t>ANUNCIOS DIVERSOS - MANTENEDORA</t>
  </si>
  <si>
    <t>4.2.01.060.0018</t>
  </si>
  <si>
    <t>DESPESAS IEP</t>
  </si>
  <si>
    <t>4.2.01.070</t>
  </si>
  <si>
    <t>CARTORIO</t>
  </si>
  <si>
    <t>4.2.01.070.0001</t>
  </si>
  <si>
    <t xml:space="preserve">AUTENTICACOES E.RECONHECIMENTO </t>
  </si>
  <si>
    <t>4.2.01.070.0003</t>
  </si>
  <si>
    <t>PROTESTO</t>
  </si>
  <si>
    <t>4.2.01.080</t>
  </si>
  <si>
    <t>VEICULOS</t>
  </si>
  <si>
    <t>4.2.01.080.0001</t>
  </si>
  <si>
    <t xml:space="preserve">MULTAS DE TRANSITO </t>
  </si>
  <si>
    <t>4.2.01.080.0002</t>
  </si>
  <si>
    <t xml:space="preserve">LICENCIAMENTO DE VEICULOS </t>
  </si>
  <si>
    <t>4.2.01.080.0003</t>
  </si>
  <si>
    <t>COMBUSTIVEL E LUBRIFICANTES</t>
  </si>
  <si>
    <t>4.2.01.080.0004</t>
  </si>
  <si>
    <t xml:space="preserve">MANUTENCAO VEICULOS </t>
  </si>
  <si>
    <t>4.2.01.090</t>
  </si>
  <si>
    <t>SEGUROS DIVERSOS</t>
  </si>
  <si>
    <t>4.2.01.090.0002</t>
  </si>
  <si>
    <t xml:space="preserve">BENS IMOVEIS SEGUROS </t>
  </si>
  <si>
    <t>4.2.01.090.0003</t>
  </si>
  <si>
    <t>VEICULOS SEGUROS</t>
  </si>
  <si>
    <t>4.2.02</t>
  </si>
  <si>
    <t>DEPRECIACOES E AMORTIZACOES</t>
  </si>
  <si>
    <t>4.2.02.010</t>
  </si>
  <si>
    <t>4.2.02.010.0001</t>
  </si>
  <si>
    <t xml:space="preserve">DEPRECIACOES EDIFICACOES </t>
  </si>
  <si>
    <t>4.2.02.010.0002</t>
  </si>
  <si>
    <t>DEPRECIACOES  GERAIS</t>
  </si>
  <si>
    <t>4.2.02.010.0003</t>
  </si>
  <si>
    <t xml:space="preserve">AMORTIZACOES </t>
  </si>
  <si>
    <t>4.2.02.011</t>
  </si>
  <si>
    <t xml:space="preserve">DEPRECIACAO E AMORTIZACAO C/ </t>
  </si>
  <si>
    <t>4.2.02.011.0001</t>
  </si>
  <si>
    <t>DEPRECIACOES COM RESTRICAO</t>
  </si>
  <si>
    <t>4.2.03</t>
  </si>
  <si>
    <t xml:space="preserve">TAXAS TRIBUTOS/CONTINGENCIAS E </t>
  </si>
  <si>
    <t>4.2.03.010</t>
  </si>
  <si>
    <t>TRIBUTOS</t>
  </si>
  <si>
    <t>4.2.03.010.0001</t>
  </si>
  <si>
    <t xml:space="preserve">IMPOSTOS FEDERAIS </t>
  </si>
  <si>
    <t>4.2.03.010.0002</t>
  </si>
  <si>
    <t xml:space="preserve">IMPOSTOS MUNICIPAIS </t>
  </si>
  <si>
    <t>4.2.03.010.0005</t>
  </si>
  <si>
    <t>TAXAS E LICENCAS</t>
  </si>
  <si>
    <t>4.2.03.010.0006</t>
  </si>
  <si>
    <t xml:space="preserve">CONTRIBUICAO E ASSOCIACAO DE </t>
  </si>
  <si>
    <t>4.2.03.010.0007</t>
  </si>
  <si>
    <t>OUTROS TRIBUTOS - MANTENEDORA</t>
  </si>
  <si>
    <t>4.2.03.020</t>
  </si>
  <si>
    <t>JUDICIAIS E CONTINGENCIAS</t>
  </si>
  <si>
    <t>4.2.03.020.0002</t>
  </si>
  <si>
    <t xml:space="preserve">CONTINGENCIA TRABALHISTA </t>
  </si>
  <si>
    <t>4.2.03.020.0003</t>
  </si>
  <si>
    <t>CONTINGENCIA CIVEL</t>
  </si>
  <si>
    <t>4.2.03.020.0004</t>
  </si>
  <si>
    <t xml:space="preserve">JUDICIAIS </t>
  </si>
  <si>
    <t>4.2.03.020.0005</t>
  </si>
  <si>
    <t>MULTA ADMINISTRATIVAS</t>
  </si>
  <si>
    <t>4.2.03.020.0006</t>
  </si>
  <si>
    <t>MULTA CLT (AUTO DE INFRACAO)</t>
  </si>
  <si>
    <t>4.3</t>
  </si>
  <si>
    <t>DESPESAS FINANCEIRAS</t>
  </si>
  <si>
    <t>4.3.01</t>
  </si>
  <si>
    <t>4.3.01.010</t>
  </si>
  <si>
    <t xml:space="preserve">EMPRESTIMOS  BANCARIOS CAPITAL </t>
  </si>
  <si>
    <t>4.3.01.010.0001</t>
  </si>
  <si>
    <t xml:space="preserve">JUROS BANCARIOS </t>
  </si>
  <si>
    <t>4.3.01.010.0002</t>
  </si>
  <si>
    <t>MULTAS BANCARIAS</t>
  </si>
  <si>
    <t>4.3.01.010.0004</t>
  </si>
  <si>
    <t xml:space="preserve">DESCONTOS CONCEDIDOS </t>
  </si>
  <si>
    <t>4.3.01.020</t>
  </si>
  <si>
    <t xml:space="preserve">FINANCEIRA FINANCIAMENTOS DE </t>
  </si>
  <si>
    <t>4.3.01.020.0001</t>
  </si>
  <si>
    <t xml:space="preserve">JUROS SOBRE FINANCIAMENTO </t>
  </si>
  <si>
    <t>4.3.01.030</t>
  </si>
  <si>
    <t xml:space="preserve"> FINANCEIRAS ENCARGOS DE </t>
  </si>
  <si>
    <t>4.3.01.030.0001</t>
  </si>
  <si>
    <t xml:space="preserve">JUROS (IRRF/CSRF) </t>
  </si>
  <si>
    <t>4.3.01.030.0002</t>
  </si>
  <si>
    <t xml:space="preserve">JUROS (INSS/FGTS) </t>
  </si>
  <si>
    <t>4.3.01.030.0003</t>
  </si>
  <si>
    <t>MULTAS (IRRF/CSRF)</t>
  </si>
  <si>
    <t>4.3.01.030.0004</t>
  </si>
  <si>
    <t xml:space="preserve">MULTAS (INSS/FGTS) </t>
  </si>
  <si>
    <t>4.3.01.030.0005</t>
  </si>
  <si>
    <t>IMPOSTO DE RENDA - MANTENEDORA</t>
  </si>
  <si>
    <t>4.3.01.040</t>
  </si>
  <si>
    <t>PAGAMENTOS EM ATRASO</t>
  </si>
  <si>
    <t>4.3.01.040.0001</t>
  </si>
  <si>
    <t xml:space="preserve">JUROS PASSIVOS </t>
  </si>
  <si>
    <t>4.3.01.040.0003</t>
  </si>
  <si>
    <t>MULTAS PASSIVAS - MANTENEDORA</t>
  </si>
  <si>
    <t>4.3.01.040.0006</t>
  </si>
  <si>
    <t>4.3.01.050</t>
  </si>
  <si>
    <t xml:space="preserve">BANCARIAS </t>
  </si>
  <si>
    <t>4.3.01.050.0001</t>
  </si>
  <si>
    <t xml:space="preserve">IMPOSTO SOBRE OPERACOES </t>
  </si>
  <si>
    <t>4.3.01.050.0002</t>
  </si>
  <si>
    <t xml:space="preserve">TAXAS E TARIFAS BANCARIAS </t>
  </si>
  <si>
    <t>Valor Débito</t>
  </si>
  <si>
    <t>ATIVO</t>
  </si>
  <si>
    <t>1.1</t>
  </si>
  <si>
    <t>ATIVO CIRCULANTE</t>
  </si>
  <si>
    <t>1.1.01</t>
  </si>
  <si>
    <t>DISPONIVEL</t>
  </si>
  <si>
    <t>1.1.01.010</t>
  </si>
  <si>
    <t>CAIXA</t>
  </si>
  <si>
    <t>1.1.01.010.0003</t>
  </si>
  <si>
    <t>CAIXA AMBULATORIO</t>
  </si>
  <si>
    <t>1.1.01.010.0004</t>
  </si>
  <si>
    <t>CAIXA AMBULATORIO PI</t>
  </si>
  <si>
    <t>1.1.01.010.0005</t>
  </si>
  <si>
    <t>CAIXA AMBULATORIO CLINICA SUL</t>
  </si>
  <si>
    <t>1.1.01.010.0006</t>
  </si>
  <si>
    <t>CAIXA CENTRAL  STA CASA</t>
  </si>
  <si>
    <t>1.1.01.010.0008</t>
  </si>
  <si>
    <t>CAIXA INTERNACAO STA CASA</t>
  </si>
  <si>
    <t>1.1.01.010.0009</t>
  </si>
  <si>
    <t>CAIXA MATERNIDADE</t>
  </si>
  <si>
    <t>1.1.01.010.0010</t>
  </si>
  <si>
    <t>CAIXA P A</t>
  </si>
  <si>
    <t>1.1.01.010.0011</t>
  </si>
  <si>
    <t>CAIXA PRONTO INFANCIA</t>
  </si>
  <si>
    <t>1.1.01.010.0012</t>
  </si>
  <si>
    <t>CAIXA RADIOLOGIA</t>
  </si>
  <si>
    <t>1.1.01.010.0013</t>
  </si>
  <si>
    <t>CAIXA CLINICA CENTRO</t>
  </si>
  <si>
    <t>1.1.01.010.0015</t>
  </si>
  <si>
    <t>CAIXA JACAREI</t>
  </si>
  <si>
    <t>1.1.01.010.0016</t>
  </si>
  <si>
    <t>CAIXA HEMODINAMICA</t>
  </si>
  <si>
    <t>1.1.01.010.0017</t>
  </si>
  <si>
    <t>CAIXA CLINICA CARAGUA</t>
  </si>
  <si>
    <t>1.1.01.010.0018</t>
  </si>
  <si>
    <t>CAIXA CENTRO EXAMES</t>
  </si>
  <si>
    <t>1.1.01.020</t>
  </si>
  <si>
    <t>BANCO CONTA MOVIMENTO</t>
  </si>
  <si>
    <t>1.1.01.020.0010</t>
  </si>
  <si>
    <t>SAFRA CC 471-2</t>
  </si>
  <si>
    <t>1.1.01.020.0011</t>
  </si>
  <si>
    <t>SANTANDER SA CC 13001219-2</t>
  </si>
  <si>
    <t>1.1.01.020.0012</t>
  </si>
  <si>
    <t>BRASIL AG 3358-8 CC 2137-7</t>
  </si>
  <si>
    <t>1.1.01.020.0013</t>
  </si>
  <si>
    <t>SANTANDER AG 2021 CC 13000736-3</t>
  </si>
  <si>
    <t>1.1.01.020.0014</t>
  </si>
  <si>
    <t>SANTANDER AG 2021 CC 13000737-0</t>
  </si>
  <si>
    <t>1.1.01.020.0016</t>
  </si>
  <si>
    <t>BRADESCO AG 3373 CC 6741-5</t>
  </si>
  <si>
    <t>1.1.01.020.0017</t>
  </si>
  <si>
    <t>BRADESCO AG 3373 CC 7790-9</t>
  </si>
  <si>
    <t>1.1.01.020.0020</t>
  </si>
  <si>
    <t>BRASIL AG 3358-8 CC 1280-7</t>
  </si>
  <si>
    <t>1.1.01.020.0022</t>
  </si>
  <si>
    <t>ITAU AG 0250 CC 46979-8</t>
  </si>
  <si>
    <t>1.1.01.020.0025</t>
  </si>
  <si>
    <t>SANTANDER AG 0093  CC 1990-5</t>
  </si>
  <si>
    <t>1.1.01.020.0026</t>
  </si>
  <si>
    <t>CEF AG 0351 CC 25509-6</t>
  </si>
  <si>
    <t>1.1.01.020.0029</t>
  </si>
  <si>
    <t>CEF AG 0351 CC 97-7</t>
  </si>
  <si>
    <t>1.1.01.020.0031</t>
  </si>
  <si>
    <t>BRASIL AG 3358-8 CC 987-3</t>
  </si>
  <si>
    <t>1.1.01.020.0033</t>
  </si>
  <si>
    <t>BRASIL AG 33588 CC 6200-6</t>
  </si>
  <si>
    <t>1.1.01.020.0037</t>
  </si>
  <si>
    <t>BRASIL AG 1897 CC 9923-6</t>
  </si>
  <si>
    <t>1.1.01.020.0038</t>
  </si>
  <si>
    <t>SANTANDER AG 2021 CC 13002341-5</t>
  </si>
  <si>
    <t>1.1.01.030</t>
  </si>
  <si>
    <t>BANCOS CONTA APLICACOES</t>
  </si>
  <si>
    <t>1.1.01.030.0001</t>
  </si>
  <si>
    <t xml:space="preserve">BRADESCO CAPITALIZACAO AG 3373 CC </t>
  </si>
  <si>
    <t>1.1.01.030.0002</t>
  </si>
  <si>
    <t>TITULOS DE CAPITALIZACAO</t>
  </si>
  <si>
    <t>1.1.01.030.0006</t>
  </si>
  <si>
    <t xml:space="preserve">BCO MERCANTIL DO BRASIL  2010044-7 </t>
  </si>
  <si>
    <t>1.1.01.030.0008</t>
  </si>
  <si>
    <t>SANTANDER PREMIUM AG 2021 CC 737-0</t>
  </si>
  <si>
    <t>1.1.01.030.0015</t>
  </si>
  <si>
    <t>CEF CDB FLX AG 0351 CC 97-7</t>
  </si>
  <si>
    <t>1.1.01.030.0017</t>
  </si>
  <si>
    <t>1.1.01.030.0021</t>
  </si>
  <si>
    <t>BRASIL  AG 3358-8 CC 2137-7</t>
  </si>
  <si>
    <t>1.1.01.030.0023</t>
  </si>
  <si>
    <t>BRASIL AG 3358 CC 1280-7</t>
  </si>
  <si>
    <t>1.1.01.030.0024</t>
  </si>
  <si>
    <t>1.1.01.030.0025</t>
  </si>
  <si>
    <t>SANTANDER AG 0093 CC13-001990-5</t>
  </si>
  <si>
    <t>1.1.01.030.0026</t>
  </si>
  <si>
    <t xml:space="preserve">SANTANDER AG 2021 CC 13002341-5 - </t>
  </si>
  <si>
    <t>1.1.01.030.0027</t>
  </si>
  <si>
    <t>BANCO SANTANDER</t>
  </si>
  <si>
    <t>1.1.01.030.0028</t>
  </si>
  <si>
    <t>1.1.01.040</t>
  </si>
  <si>
    <t xml:space="preserve">BANCO CONTA MOVIMENTO C/ </t>
  </si>
  <si>
    <t>1.1.01.040.0001</t>
  </si>
  <si>
    <t>BRASIL AG 3358-8 CC 156066-2</t>
  </si>
  <si>
    <t>1.1.01.040.0002</t>
  </si>
  <si>
    <t>BRASIL AG 3358 CC 6568</t>
  </si>
  <si>
    <t>1.1.01.040.0005</t>
  </si>
  <si>
    <t>CEF AG 0351 CC 3816-8</t>
  </si>
  <si>
    <t>1.1.01.040.0006</t>
  </si>
  <si>
    <t>CEF AG 0351 CC 3817-6</t>
  </si>
  <si>
    <t>1.1.01.040.0007</t>
  </si>
  <si>
    <t>CEF AG 0351 CC 24139-7</t>
  </si>
  <si>
    <t>1.1.01.040.0008</t>
  </si>
  <si>
    <t>BRASIL AG 3358-8 CC 6636-2</t>
  </si>
  <si>
    <t>1.1.01.041</t>
  </si>
  <si>
    <t xml:space="preserve">BANCO CONTA APLICAÇÃO C/ </t>
  </si>
  <si>
    <t>1.1.01.041.0001</t>
  </si>
  <si>
    <t>1.1.01.041.0002</t>
  </si>
  <si>
    <t>BRASIL AG 3358-8 APLIC 6568-4</t>
  </si>
  <si>
    <t>1.1.01.041.0003</t>
  </si>
  <si>
    <t>CEF AG 4846 APLIC 696-9</t>
  </si>
  <si>
    <t>1.1.01.041.0004</t>
  </si>
  <si>
    <t>CEF AG 4846 APLIC 695-0</t>
  </si>
  <si>
    <t>1.1.01.041.0005</t>
  </si>
  <si>
    <t>CEF AG 0351 APLIC 3816-8</t>
  </si>
  <si>
    <t>1.1.01.041.0006</t>
  </si>
  <si>
    <t>CEF AG 0351 APLIC 3817-6</t>
  </si>
  <si>
    <t>1.1.01.041.0007</t>
  </si>
  <si>
    <t>CEF AG 0351 APLIC 24139-7</t>
  </si>
  <si>
    <t>1.1.01.041.0008</t>
  </si>
  <si>
    <t>BRASIL AG 3358-8 APLIC 6636-2</t>
  </si>
  <si>
    <t>1.1.01.041.0009</t>
  </si>
  <si>
    <t>BANCO AG 6472-6 APLIC 3358-8</t>
  </si>
  <si>
    <t>1.1.02</t>
  </si>
  <si>
    <t>CREDITOS A RECEBER</t>
  </si>
  <si>
    <t>1.1.02.009</t>
  </si>
  <si>
    <t>PARCELAMENTO DE CONVENIOS</t>
  </si>
  <si>
    <t>1.1.02.009.0001</t>
  </si>
  <si>
    <t>1.1.02.009.0002</t>
  </si>
  <si>
    <t xml:space="preserve">(-) JUROS A APROPRIAR S/ </t>
  </si>
  <si>
    <t>1.1.02.010</t>
  </si>
  <si>
    <t>CONVENIOS</t>
  </si>
  <si>
    <t>1.1.02.010.0002</t>
  </si>
  <si>
    <t>ABRANGE</t>
  </si>
  <si>
    <t>1.1.02.010.0004</t>
  </si>
  <si>
    <t>ALIANZ SAUDE</t>
  </si>
  <si>
    <t>1.1.02.010.0005</t>
  </si>
  <si>
    <t>AMAFRESP</t>
  </si>
  <si>
    <t>1.1.02.010.0006</t>
  </si>
  <si>
    <t>AMBEP</t>
  </si>
  <si>
    <t>1.1.02.010.0007</t>
  </si>
  <si>
    <t>AMIL CLINICA SAO JOSE S/C LTDA</t>
  </si>
  <si>
    <t>1.1.02.010.0008</t>
  </si>
  <si>
    <t>ASSEFAZ</t>
  </si>
  <si>
    <t>1.1.02.010.0011</t>
  </si>
  <si>
    <t>ASSOCIACAO SANTA CASA SA</t>
  </si>
  <si>
    <t>1.1.02.010.0012</t>
  </si>
  <si>
    <t>ATIVIA  COOPERATIVA MEDICA JACAREI</t>
  </si>
  <si>
    <t>1.1.02.010.0013</t>
  </si>
  <si>
    <t>AUSSEL COMERCIO DE URNAS</t>
  </si>
  <si>
    <t>1.1.02.010.0014</t>
  </si>
  <si>
    <t>AVAMP ASSOC.V.PARAIBANA ASS.</t>
  </si>
  <si>
    <t>1.1.02.010.0015</t>
  </si>
  <si>
    <t>AVIBRAS INDUSTRIA AEROESP</t>
  </si>
  <si>
    <t>1.1.02.010.0016</t>
  </si>
  <si>
    <t>BENEFICENCIA CAMILIANA DO</t>
  </si>
  <si>
    <t>1.1.02.010.0018</t>
  </si>
  <si>
    <t>BRADESCO SEGUROS</t>
  </si>
  <si>
    <t>1.1.02.010.0019</t>
  </si>
  <si>
    <t>CABESP CXA BENEF FUNC BANESPA</t>
  </si>
  <si>
    <t>1.1.02.010.0020</t>
  </si>
  <si>
    <t>CAIXA ECONOMICA FEDERAL CONVENIO</t>
  </si>
  <si>
    <t>1.1.02.010.0021</t>
  </si>
  <si>
    <t>CARE PLUS MEDIC. ASSISTENCIAL</t>
  </si>
  <si>
    <t>1.1.02.010.0022</t>
  </si>
  <si>
    <t xml:space="preserve">CASSI CXA ASSIST FUNC BCO DO </t>
  </si>
  <si>
    <t>1.1.02.010.0023</t>
  </si>
  <si>
    <t>CIME CIRURG MED LTDA</t>
  </si>
  <si>
    <t>1.1.02.010.0024</t>
  </si>
  <si>
    <t>COMANDO DA AERONAUTICA</t>
  </si>
  <si>
    <t>1.1.02.010.0025</t>
  </si>
  <si>
    <t>COMANDO DA MARINHA</t>
  </si>
  <si>
    <t>1.1.02.010.0027</t>
  </si>
  <si>
    <t>COOPUS COOPER USUARIOS DO SIST.</t>
  </si>
  <si>
    <t>1.1.02.010.0028</t>
  </si>
  <si>
    <t>CORREIO</t>
  </si>
  <si>
    <t>1.1.02.010.0030</t>
  </si>
  <si>
    <t>ECONLIFE SAUDE LTDA</t>
  </si>
  <si>
    <t>1.1.02.010.0032</t>
  </si>
  <si>
    <t>EEAR ESCOLA ESPECIALISTAS</t>
  </si>
  <si>
    <t>1.1.02.010.0034</t>
  </si>
  <si>
    <t>EMBRATEL</t>
  </si>
  <si>
    <t>1.1.02.010.0040</t>
  </si>
  <si>
    <t>FUNDACAO CESP</t>
  </si>
  <si>
    <t>1.1.02.010.0041</t>
  </si>
  <si>
    <t>FUNDACAO SABESP DE SEGU</t>
  </si>
  <si>
    <t>1.1.02.010.0042</t>
  </si>
  <si>
    <t>FUSEX</t>
  </si>
  <si>
    <t>1.1.02.010.0043</t>
  </si>
  <si>
    <t>GAMA</t>
  </si>
  <si>
    <t>1.1.02.010.0044</t>
  </si>
  <si>
    <t>GM GENERAL MOTORS DO BRASIL</t>
  </si>
  <si>
    <t>1.1.02.010.0045</t>
  </si>
  <si>
    <t>GOLDEN CROSS</t>
  </si>
  <si>
    <t>1.1.02.010.0046</t>
  </si>
  <si>
    <t>HAPVIDA ASSISTENCIA MEDICA LTDA</t>
  </si>
  <si>
    <t>1.1.02.010.0048</t>
  </si>
  <si>
    <t xml:space="preserve">IAMSPE INSTIT DE ASSIST MEDICA AO </t>
  </si>
  <si>
    <t>1.1.02.010.0049</t>
  </si>
  <si>
    <t>INTERMEDICA SISTEMAS DE SAUDE AS</t>
  </si>
  <si>
    <t>1.1.02.010.0051</t>
  </si>
  <si>
    <t>LEADER ASSISTENCIA MEDICA</t>
  </si>
  <si>
    <t>1.1.02.010.0052</t>
  </si>
  <si>
    <t>LIFE EMPRESARIAL SAUDE</t>
  </si>
  <si>
    <t>1.1.02.010.0053</t>
  </si>
  <si>
    <t>MARITIMA</t>
  </si>
  <si>
    <t>1.1.02.010.0055</t>
  </si>
  <si>
    <t>MEDISERVICE</t>
  </si>
  <si>
    <t>1.1.02.010.0057</t>
  </si>
  <si>
    <t>NOTRE DAME</t>
  </si>
  <si>
    <t>1.1.02.010.0059</t>
  </si>
  <si>
    <t>PETROBRAS PETROLEO BRASIL SA</t>
  </si>
  <si>
    <t>1.1.02.010.0060</t>
  </si>
  <si>
    <t>PLANTEL PLANOS DE ASSIST MEDICA</t>
  </si>
  <si>
    <t>1.1.02.010.0061</t>
  </si>
  <si>
    <t>PORTO SEGURO SAUDE SA</t>
  </si>
  <si>
    <t>1.1.02.010.0062</t>
  </si>
  <si>
    <t>PREFEITURA MUNICIPAL DE SJC</t>
  </si>
  <si>
    <t>1.1.02.010.0064</t>
  </si>
  <si>
    <t xml:space="preserve">RM MEDICINA OCUPACIONAL </t>
  </si>
  <si>
    <t>1.1.02.010.0066</t>
  </si>
  <si>
    <t>SANTA CASA INTERLIGADAS</t>
  </si>
  <si>
    <t>1.1.02.010.0070</t>
  </si>
  <si>
    <t>SUL AMERICA SERV MEDICOS SA</t>
  </si>
  <si>
    <t>1.1.02.010.0073</t>
  </si>
  <si>
    <t>UNAFISCO</t>
  </si>
  <si>
    <t>1.1.02.010.0074</t>
  </si>
  <si>
    <t xml:space="preserve">UNIAO EXERCITO BRASILEIRO BASE DE </t>
  </si>
  <si>
    <t>1.1.02.010.0075</t>
  </si>
  <si>
    <t>UNIMED</t>
  </si>
  <si>
    <t>1.1.02.010.0076</t>
  </si>
  <si>
    <t>UNIMED INTERCAMBIO</t>
  </si>
  <si>
    <t>1.1.02.010.0077</t>
  </si>
  <si>
    <t>UNIMED TAUBATE</t>
  </si>
  <si>
    <t>1.1.02.010.0078</t>
  </si>
  <si>
    <t>UNIMED DIARIA GLOBAL</t>
  </si>
  <si>
    <t>1.1.02.010.0080</t>
  </si>
  <si>
    <t>USISAUDE</t>
  </si>
  <si>
    <t>1.1.02.010.0083</t>
  </si>
  <si>
    <t>CLINICA SÃO JOSE</t>
  </si>
  <si>
    <t>1.1.02.020</t>
  </si>
  <si>
    <t>PACIENTE PARTICULAR A RECEBER</t>
  </si>
  <si>
    <t>1.1.02.020.0001</t>
  </si>
  <si>
    <t xml:space="preserve">PACIENTE PARTICULAR </t>
  </si>
  <si>
    <t>1.1.02.030</t>
  </si>
  <si>
    <t>GLOSAS A RECURSAR</t>
  </si>
  <si>
    <t>1.1.02.030.0001</t>
  </si>
  <si>
    <t>GLOSAS A RECURSAR - AMIL</t>
  </si>
  <si>
    <t>1.1.02.030.0002</t>
  </si>
  <si>
    <t>GLOSAS A RECURSAR - ATIVIA</t>
  </si>
  <si>
    <t>1.1.02.030.0003</t>
  </si>
  <si>
    <t>GLOSAS A RECURSAR - BRADESCO</t>
  </si>
  <si>
    <t>1.1.02.030.0004</t>
  </si>
  <si>
    <t>GLOSAS A RECURSAR - CASSI</t>
  </si>
  <si>
    <t>1.1.02.030.0005</t>
  </si>
  <si>
    <t>GLOSAS A RECURSAR - GAMA</t>
  </si>
  <si>
    <t>1.1.02.030.0007</t>
  </si>
  <si>
    <t>GLOSAS A RECURSAR - MEDISERVICE</t>
  </si>
  <si>
    <t>1.1.02.030.0008</t>
  </si>
  <si>
    <t>GLOSAS A RECURSAR - SUL AMERICA</t>
  </si>
  <si>
    <t>1.1.02.030.0009</t>
  </si>
  <si>
    <t>GLOSAS A RECURSAR - UNIMED</t>
  </si>
  <si>
    <t>1.1.02.030.0010</t>
  </si>
  <si>
    <t>GLOSAS A RECURSAR - CORREIOS</t>
  </si>
  <si>
    <t>1.1.02.030.0011</t>
  </si>
  <si>
    <t>GLOSAS A RECURSAR - IAMSPE</t>
  </si>
  <si>
    <t>1.1.02.030.0012</t>
  </si>
  <si>
    <t>GLOSAS A RECURSAR - INTERMEDICA</t>
  </si>
  <si>
    <t>1.1.02.030.0013</t>
  </si>
  <si>
    <t>GLOSAS A RECURSAR - AVAMP</t>
  </si>
  <si>
    <t>1.1.02.030.0014</t>
  </si>
  <si>
    <t xml:space="preserve">GLOSAS A RECURSAR - PORTO </t>
  </si>
  <si>
    <t>1.1.02.030.0015</t>
  </si>
  <si>
    <t xml:space="preserve">GLOSAS A RECURSAR - CONVENIOS </t>
  </si>
  <si>
    <t>1.1.02.030.0016</t>
  </si>
  <si>
    <t>GLOSAS A RECURSAR - PETROBRAS</t>
  </si>
  <si>
    <t>1.1.02.030.0017</t>
  </si>
  <si>
    <t>GLOSAS A RECURSAR - EMBRATEL</t>
  </si>
  <si>
    <t>1.1.02.030.0018</t>
  </si>
  <si>
    <t>GLOSAS A RECURSAR - MARITIMA</t>
  </si>
  <si>
    <t>1.1.02.030.0019</t>
  </si>
  <si>
    <t>GLOSAS A RECURSAR - NOTRE DAME</t>
  </si>
  <si>
    <t>1.1.02.030.0020</t>
  </si>
  <si>
    <t>GLOSAS A RECURSAR - COOPUS</t>
  </si>
  <si>
    <t>1.1.02.030.0021</t>
  </si>
  <si>
    <t>GLOSAS A RECURSAR - ASSEFAZ</t>
  </si>
  <si>
    <t>1.1.02.030.0022</t>
  </si>
  <si>
    <t xml:space="preserve">GLOSAS A RECURSAR - CAIXA </t>
  </si>
  <si>
    <t>1.1.02.030.0023</t>
  </si>
  <si>
    <t xml:space="preserve">GLOSAS A RECURSAR - SAO </t>
  </si>
  <si>
    <t>1.1.02.030.0025</t>
  </si>
  <si>
    <t>GLOSAS A RECURSAR - ALIANZ SAUDE</t>
  </si>
  <si>
    <t>1.1.02.030.0027</t>
  </si>
  <si>
    <t xml:space="preserve">GLOSAS A RECURSAR - ASSOCIACAO </t>
  </si>
  <si>
    <t>1.1.02.030.0030</t>
  </si>
  <si>
    <t xml:space="preserve">GLOSAS A RECURSAR - BENEFICENCIA </t>
  </si>
  <si>
    <t>1.1.02.030.0032</t>
  </si>
  <si>
    <t xml:space="preserve">GLOSAS A RECURSAR - CABESP CXA </t>
  </si>
  <si>
    <t>1.1.02.030.0034</t>
  </si>
  <si>
    <t xml:space="preserve">GLOSAS A RECURSAR - CARE PLUS </t>
  </si>
  <si>
    <t>1.1.02.030.0035</t>
  </si>
  <si>
    <t xml:space="preserve">GLOSAS A RECURSAR - CIME CIRURG </t>
  </si>
  <si>
    <t>1.1.02.030.0036</t>
  </si>
  <si>
    <t xml:space="preserve">GLOSAS A RECURSAR - COMANDO DA </t>
  </si>
  <si>
    <t>1.1.02.030.0037</t>
  </si>
  <si>
    <t>1.1.02.030.0038</t>
  </si>
  <si>
    <t xml:space="preserve">GLOSAS A RECURSAR - ECONLIFE </t>
  </si>
  <si>
    <t>1.1.02.030.0039</t>
  </si>
  <si>
    <t xml:space="preserve">GLOSAS A RECURSAR - EEAR ESCOLA </t>
  </si>
  <si>
    <t>1.1.02.030.0040</t>
  </si>
  <si>
    <t xml:space="preserve">GLOSAS A RECURSAR - INFRAERO </t>
  </si>
  <si>
    <t>1.1.02.030.0041</t>
  </si>
  <si>
    <t xml:space="preserve">GLOSAS A RECURSAR - FUNDACAO </t>
  </si>
  <si>
    <t>1.1.02.030.0042</t>
  </si>
  <si>
    <t>1.1.02.030.0043</t>
  </si>
  <si>
    <t>GLOSAS A RECURSAR - FUSEX</t>
  </si>
  <si>
    <t>1.1.02.030.0046</t>
  </si>
  <si>
    <t xml:space="preserve">GLOSAS A RECURSAR - LEADER </t>
  </si>
  <si>
    <t>1.1.02.030.0047</t>
  </si>
  <si>
    <t xml:space="preserve">GLOSAS A RECURSAR - LIFE </t>
  </si>
  <si>
    <t>1.1.02.030.0049</t>
  </si>
  <si>
    <t xml:space="preserve">GLOSAS A RECURSAR - PLANTEL </t>
  </si>
  <si>
    <t>1.1.02.030.0052</t>
  </si>
  <si>
    <t xml:space="preserve">GLOSAS A RECURSAR - SANTA CASA </t>
  </si>
  <si>
    <t>1.1.02.030.0054</t>
  </si>
  <si>
    <t xml:space="preserve">GLOSAS A RECURSAR - UNIAO </t>
  </si>
  <si>
    <t>1.1.02.030.0055</t>
  </si>
  <si>
    <t xml:space="preserve">GLOSAS A RECURSAR - UNIMED </t>
  </si>
  <si>
    <t>1.1.02.030.0057</t>
  </si>
  <si>
    <t xml:space="preserve">GLOSAS A RECURSAR - UNIMED DIARIA </t>
  </si>
  <si>
    <t>1.1.02.030.0059</t>
  </si>
  <si>
    <t>GLOSAS A RECURSAR - USISAUDE</t>
  </si>
  <si>
    <t>1.1.02.030.0061</t>
  </si>
  <si>
    <t xml:space="preserve">GLOSAS A RECURSAR - CLINICA SAO </t>
  </si>
  <si>
    <t>1.1.02.040</t>
  </si>
  <si>
    <t>GLOSAS RECURSADAS</t>
  </si>
  <si>
    <t>1.1.02.040.0001</t>
  </si>
  <si>
    <t>GLOSAS RECURSADAS - AMIL</t>
  </si>
  <si>
    <t>1.1.02.040.0002</t>
  </si>
  <si>
    <t>GLOSAS RECURSADAS - ATIVIA</t>
  </si>
  <si>
    <t>1.1.02.040.0003</t>
  </si>
  <si>
    <t>GLOSAS RECURSADAS - BRADESCO</t>
  </si>
  <si>
    <t>1.1.02.040.0004</t>
  </si>
  <si>
    <t>GLOSAS RECURSADAS - CASSI</t>
  </si>
  <si>
    <t>1.1.02.040.0005</t>
  </si>
  <si>
    <t>GLOSAS RECURSADAS - GAMA</t>
  </si>
  <si>
    <t>1.1.02.040.0006</t>
  </si>
  <si>
    <t xml:space="preserve">GLOSAS RECURSADAS - GOLDEN </t>
  </si>
  <si>
    <t>1.1.02.040.0007</t>
  </si>
  <si>
    <t>GLOSAS RECURSADAS - MEDISERVICE</t>
  </si>
  <si>
    <t>1.1.02.040.0008</t>
  </si>
  <si>
    <t>GLOSAS RECURSADAS - SUL AMERICA</t>
  </si>
  <si>
    <t>1.1.02.040.0009</t>
  </si>
  <si>
    <t>GLOSAS RECURSADAS - UNIMED</t>
  </si>
  <si>
    <t>1.1.02.040.0010</t>
  </si>
  <si>
    <t>GLOSAS RECURSADAS - CORREIOS</t>
  </si>
  <si>
    <t>1.1.02.040.0011</t>
  </si>
  <si>
    <t>GLOSAS RECURSADAS - IAMSPE</t>
  </si>
  <si>
    <t>1.1.02.040.0012</t>
  </si>
  <si>
    <t>GLOSAS RECURSADAS - INTERMEDICA</t>
  </si>
  <si>
    <t>1.1.02.040.0013</t>
  </si>
  <si>
    <t>GLOSAS RECURSADAS - AVAMP</t>
  </si>
  <si>
    <t>1.1.02.040.0014</t>
  </si>
  <si>
    <t xml:space="preserve">GLOSAS RECURSADAS - PORTO </t>
  </si>
  <si>
    <t>1.1.02.040.0015</t>
  </si>
  <si>
    <t xml:space="preserve">GLOSAS RECURSADAS - CONVENIOS </t>
  </si>
  <si>
    <t>1.1.02.040.0016</t>
  </si>
  <si>
    <t>GLOSAS RECURSADAS - PETROBRAS</t>
  </si>
  <si>
    <t>1.1.02.040.0017</t>
  </si>
  <si>
    <t>GLOSAS RECURSADAS - EMBRATEL</t>
  </si>
  <si>
    <t>1.1.02.040.0018</t>
  </si>
  <si>
    <t>GLOSAS RECURSADAS - MARITIMA</t>
  </si>
  <si>
    <t>1.1.02.040.0019</t>
  </si>
  <si>
    <t>GLOSAS RECURSADAS - NOTRE DAME</t>
  </si>
  <si>
    <t>1.1.02.040.0020</t>
  </si>
  <si>
    <t>GLOSAS RECURSADAS - COOPUS</t>
  </si>
  <si>
    <t>1.1.02.040.0021</t>
  </si>
  <si>
    <t>GLOSAS RECURSADAS - ASSEFAZ</t>
  </si>
  <si>
    <t>1.1.02.040.0022</t>
  </si>
  <si>
    <t xml:space="preserve">GLOSAS RECURSADAS - SAO </t>
  </si>
  <si>
    <t>1.1.02.040.0023</t>
  </si>
  <si>
    <t xml:space="preserve">GLOSAS RECURSADAS - CAIXA </t>
  </si>
  <si>
    <t>1.1.02.040.0025</t>
  </si>
  <si>
    <t>GLOSAS RECURSADAS - ALIANZ SAUDE</t>
  </si>
  <si>
    <t>1.1.02.040.0026</t>
  </si>
  <si>
    <t>GLOSAS RECURSADAS - AMAFRESP</t>
  </si>
  <si>
    <t>1.1.02.040.0032</t>
  </si>
  <si>
    <t xml:space="preserve">GLOSAS RECURSADAS - CABESP CXA </t>
  </si>
  <si>
    <t>1.1.02.040.0034</t>
  </si>
  <si>
    <t xml:space="preserve">GLOSAS RECURSADAS - CARE PLUS </t>
  </si>
  <si>
    <t>1.1.02.040.0035</t>
  </si>
  <si>
    <t xml:space="preserve">GLOSAS RECURSADAS - CIME CIRURG </t>
  </si>
  <si>
    <t>1.1.02.040.0037</t>
  </si>
  <si>
    <t xml:space="preserve">GLOSAS RECURSADAS - COMANDO DA </t>
  </si>
  <si>
    <t>1.1.02.040.0039</t>
  </si>
  <si>
    <t xml:space="preserve">GLOSAS RECURSADAS - EEAR ESCOLA </t>
  </si>
  <si>
    <t>1.1.02.040.0040</t>
  </si>
  <si>
    <t xml:space="preserve">GLOSAS RECURSADAS - INFRAERO </t>
  </si>
  <si>
    <t>1.1.02.040.0041</t>
  </si>
  <si>
    <t xml:space="preserve">GLOSAS RECURSADAS - FUNDACAO </t>
  </si>
  <si>
    <t>1.1.02.040.0042</t>
  </si>
  <si>
    <t>1.1.02.040.0047</t>
  </si>
  <si>
    <t xml:space="preserve">GLOSAS RECURSADAS - LIFE </t>
  </si>
  <si>
    <t>1.1.02.040.0049</t>
  </si>
  <si>
    <t xml:space="preserve">GLOSAS RECURSADAS - PLANTEL </t>
  </si>
  <si>
    <t>1.1.02.040.0054</t>
  </si>
  <si>
    <t xml:space="preserve">GLOSAS RECURSADAS - UNIMED </t>
  </si>
  <si>
    <t>1.1.02.040.0056</t>
  </si>
  <si>
    <t xml:space="preserve">GLOSAS RECURSADAS - UNIMED DIARIA </t>
  </si>
  <si>
    <t>1.1.02.040.0058</t>
  </si>
  <si>
    <t>GLOSAS RECURSADAS - USISAUDE</t>
  </si>
  <si>
    <t>1.1.02.040.0060</t>
  </si>
  <si>
    <t xml:space="preserve">GLOSAS RECURSADAS - CLINICA SAO </t>
  </si>
  <si>
    <t>1.1.02.040.0062</t>
  </si>
  <si>
    <t xml:space="preserve">GLOSAS RECURSADAS - SANTA CASA </t>
  </si>
  <si>
    <t>1.1.02.050</t>
  </si>
  <si>
    <t>SUS - SISTEMA UNICO DE SAUDE</t>
  </si>
  <si>
    <t>1.1.02.050.0001</t>
  </si>
  <si>
    <t>SUS - HEMODIALISE</t>
  </si>
  <si>
    <t>1.1.02.050.0002</t>
  </si>
  <si>
    <t>SUS - AIH</t>
  </si>
  <si>
    <t>1.1.02.050.0003</t>
  </si>
  <si>
    <t>SUS - AMBULATORIO</t>
  </si>
  <si>
    <t>1.1.02.050.0004</t>
  </si>
  <si>
    <t>SUS - FAEC BARIATRICA</t>
  </si>
  <si>
    <t>1.1.02.050.0005</t>
  </si>
  <si>
    <t>SUS - FAEC TRANSPLANTE</t>
  </si>
  <si>
    <t>1.1.02.060</t>
  </si>
  <si>
    <t xml:space="preserve">CARTOES DE CREDITOS E DEBITOS </t>
  </si>
  <si>
    <t>1.1.02.060.0002</t>
  </si>
  <si>
    <t xml:space="preserve">CARTAO CREDITO PARCELA UNICA - </t>
  </si>
  <si>
    <t>1.1.02.060.0003</t>
  </si>
  <si>
    <t xml:space="preserve">CARTAO CREDITO PARCELADO - </t>
  </si>
  <si>
    <t>1.1.02.060.0004</t>
  </si>
  <si>
    <t>CARTAO DEBITO - MATENEDORA</t>
  </si>
  <si>
    <t>1.1.03</t>
  </si>
  <si>
    <t>VALORES A RECEBER</t>
  </si>
  <si>
    <t>1.1.03.010</t>
  </si>
  <si>
    <t>CHEQUES A RECEBER</t>
  </si>
  <si>
    <t>1.1.03.010.0001</t>
  </si>
  <si>
    <t>1.1.03.011</t>
  </si>
  <si>
    <t xml:space="preserve">ANTA CASA DE MISERICORDIA DE </t>
  </si>
  <si>
    <t>1.1.03.011.0001</t>
  </si>
  <si>
    <t>SANTA CASA CRUZEIRO CONSULTORIA</t>
  </si>
  <si>
    <t>1.1.03.020</t>
  </si>
  <si>
    <t>ADIANTAMENTOS A FUNCIONARIOS</t>
  </si>
  <si>
    <t>1.1.03.020.0001</t>
  </si>
  <si>
    <t>Adiantamento de Salarios</t>
  </si>
  <si>
    <t>1.1.03.020.0002</t>
  </si>
  <si>
    <t>ADIANTAMENTO DE FERIAS</t>
  </si>
  <si>
    <t>1.1.03.020.0003</t>
  </si>
  <si>
    <t>ADIANTAMENTO DE 13º SALARIOS</t>
  </si>
  <si>
    <t>1.1.03.030</t>
  </si>
  <si>
    <t xml:space="preserve">ADIANTAMENTOS </t>
  </si>
  <si>
    <t>1.1.03.030.0002</t>
  </si>
  <si>
    <t xml:space="preserve">ADIANTAMENTOS A FORNECEDORES </t>
  </si>
  <si>
    <t>1.1.03.040</t>
  </si>
  <si>
    <t xml:space="preserve">CONTA TRANSITORIA </t>
  </si>
  <si>
    <t>1.1.03.040.0002</t>
  </si>
  <si>
    <t>1.1.03.040.0003</t>
  </si>
  <si>
    <t>CONSORCIO</t>
  </si>
  <si>
    <t>1.1.03.050</t>
  </si>
  <si>
    <t>SUBVENCOES A RECEBER</t>
  </si>
  <si>
    <t>1.1.03.050.0001</t>
  </si>
  <si>
    <t>1.1.03.050.0002</t>
  </si>
  <si>
    <t>REDE CEGONHA</t>
  </si>
  <si>
    <t>1.1.03.050.0003</t>
  </si>
  <si>
    <t xml:space="preserve">SUSTENTAVEL(SECRETARIA DO </t>
  </si>
  <si>
    <t>1.1.03.060</t>
  </si>
  <si>
    <t>ESTOQUE</t>
  </si>
  <si>
    <t>1.1.03.060.0001</t>
  </si>
  <si>
    <t>ATIVO PERMANENTE</t>
  </si>
  <si>
    <t>1.1.03.060.0004</t>
  </si>
  <si>
    <t>GASES MEDICINAIS</t>
  </si>
  <si>
    <t>1.1.03.060.0005</t>
  </si>
  <si>
    <t xml:space="preserve">MAT DESCARTAVEIS, UTENSILIOS SND, </t>
  </si>
  <si>
    <t>1.1.03.060.0006</t>
  </si>
  <si>
    <t xml:space="preserve">MATERIAL ATIVAVEIS DE PEQUENO </t>
  </si>
  <si>
    <t>1.1.03.060.0007</t>
  </si>
  <si>
    <t>MATERIAL DE INFORMATICA</t>
  </si>
  <si>
    <t>1.1.03.060.0008</t>
  </si>
  <si>
    <t>MATERIAL DE CONSTRUCAO</t>
  </si>
  <si>
    <t>1.1.03.060.0009</t>
  </si>
  <si>
    <t xml:space="preserve">MATERIAL DE EXPEDIENTE, IMPRESSOS </t>
  </si>
  <si>
    <t>1.1.03.060.0010</t>
  </si>
  <si>
    <t>MATERIAL DE LAVANDERIA</t>
  </si>
  <si>
    <t>1.1.03.060.0011</t>
  </si>
  <si>
    <t>MATERIAL DE LIMPEZA E HIGIENE</t>
  </si>
  <si>
    <t>1.1.03.060.0012</t>
  </si>
  <si>
    <t>MATERIAL DE MANUTENCAO</t>
  </si>
  <si>
    <t>1.1.03.060.0013</t>
  </si>
  <si>
    <t>MATERIAL DE NUTRICAO E DIETETICA</t>
  </si>
  <si>
    <t>1.1.03.060.0014</t>
  </si>
  <si>
    <t>MATERIAL DE UTILIDADES HOSPITALAR</t>
  </si>
  <si>
    <t>1.1.03.060.0015</t>
  </si>
  <si>
    <t xml:space="preserve">MATERIAL HOSPITALAR, </t>
  </si>
  <si>
    <t>1.1.03.060.0016</t>
  </si>
  <si>
    <t xml:space="preserve">MEDICAMENTOS CONSUMO </t>
  </si>
  <si>
    <t>1.1.03.060.0017</t>
  </si>
  <si>
    <t>TECIDOS  AVIAMENTOS E OUTROS</t>
  </si>
  <si>
    <t>1.1.03.060.0018</t>
  </si>
  <si>
    <t>UNIFORMES</t>
  </si>
  <si>
    <t>1.1.03.060.0019</t>
  </si>
  <si>
    <t>ENGENHARIA CLINICA</t>
  </si>
  <si>
    <t>1.1.03.070</t>
  </si>
  <si>
    <t xml:space="preserve">MATERIAIS DE TERCEIROS </t>
  </si>
  <si>
    <t>1.1.03.070.0001</t>
  </si>
  <si>
    <t>1.1.04</t>
  </si>
  <si>
    <t>DESPESAS A APROPRIAR</t>
  </si>
  <si>
    <t>1.1.04.010</t>
  </si>
  <si>
    <t>1.1.04.010.0001</t>
  </si>
  <si>
    <t xml:space="preserve">ASSINATURAS E ANUIDADES A </t>
  </si>
  <si>
    <t>1.1.04.010.0002</t>
  </si>
  <si>
    <t>PREMIOS DE SEGUROS APROPRIAR</t>
  </si>
  <si>
    <t>1.2</t>
  </si>
  <si>
    <t>ATIVO NAO CIRCULANTE</t>
  </si>
  <si>
    <t>1.2.01</t>
  </si>
  <si>
    <t>REALIZAVEL A LONGO PRAZO</t>
  </si>
  <si>
    <t>1.2.01.020</t>
  </si>
  <si>
    <t xml:space="preserve">(-)PROVISAO PARA DEVEDORES </t>
  </si>
  <si>
    <t>1.2.01.020.0001</t>
  </si>
  <si>
    <t xml:space="preserve">NOTAS PROMISSORIAS </t>
  </si>
  <si>
    <t>1.2.02</t>
  </si>
  <si>
    <t xml:space="preserve">DEPOSITOS JUDICIAIS </t>
  </si>
  <si>
    <t>1.2.02.010</t>
  </si>
  <si>
    <t>1.2.02.010.0001</t>
  </si>
  <si>
    <t xml:space="preserve">DEPOSITOS JUDICIAIS - EVENTOS </t>
  </si>
  <si>
    <t>1.2.02.010.0002</t>
  </si>
  <si>
    <t xml:space="preserve">DEPOSITOS JUDICIAIS E FISCAIS - </t>
  </si>
  <si>
    <t>1.2.02.010.0003</t>
  </si>
  <si>
    <t xml:space="preserve">DEPOSITOS JUDICIAIS - ENCARGOS </t>
  </si>
  <si>
    <t>1.2.02.010.0004</t>
  </si>
  <si>
    <t>DEPOSITOS JUDICIAIS - CIVEIS</t>
  </si>
  <si>
    <t>1.2.02.010.0005</t>
  </si>
  <si>
    <t xml:space="preserve">DEPOSITOS JUDICIAIS - TRABALHISTAS </t>
  </si>
  <si>
    <t>1.2.02.020</t>
  </si>
  <si>
    <t xml:space="preserve">OUTROS CREDITOS A RECEBER A </t>
  </si>
  <si>
    <t>1.2.02.020.0003</t>
  </si>
  <si>
    <t>DEPOSITO CAUCAO - ALUGUEL</t>
  </si>
  <si>
    <t>1.2.03</t>
  </si>
  <si>
    <t>IMOBILIZADO</t>
  </si>
  <si>
    <t>1.2.03.010</t>
  </si>
  <si>
    <t>IMOBILIZADO HOSPITALAR</t>
  </si>
  <si>
    <t>1.2.03.010.0001</t>
  </si>
  <si>
    <t>TERRENOS SEDE</t>
  </si>
  <si>
    <t>1.2.03.010.0002</t>
  </si>
  <si>
    <t>EDIFICACOES</t>
  </si>
  <si>
    <t>1.2.03.010.0003</t>
  </si>
  <si>
    <t>INSTALACOES</t>
  </si>
  <si>
    <t>1.2.03.010.0004</t>
  </si>
  <si>
    <t>MAQUINAS E EQUIPAMENTOS</t>
  </si>
  <si>
    <t>1.2.03.010.0005</t>
  </si>
  <si>
    <t>MAQ E EQUIP - INSTRUM. CIRURGICOS</t>
  </si>
  <si>
    <t>1.2.03.010.0007</t>
  </si>
  <si>
    <t xml:space="preserve">EQUIPAMENTOS DE PROC DE DADOS - </t>
  </si>
  <si>
    <t>1.2.03.010.0008</t>
  </si>
  <si>
    <t>MOVEIS E UTENSILIOS</t>
  </si>
  <si>
    <t>1.2.03.010.0009</t>
  </si>
  <si>
    <t>1.2.03.010.0011</t>
  </si>
  <si>
    <t>EQUIPTOS (VIDEO)</t>
  </si>
  <si>
    <t>1.2.03.020</t>
  </si>
  <si>
    <t xml:space="preserve">( - ) DEPRECIACAO ACUMULADA - </t>
  </si>
  <si>
    <t>1.2.03.020.0001</t>
  </si>
  <si>
    <t>(-) DEP ACUM EDIFICACOES</t>
  </si>
  <si>
    <t>1.2.03.020.0002</t>
  </si>
  <si>
    <t>(-) DEP ACUM INSTALACOES</t>
  </si>
  <si>
    <t>1.2.03.020.0003</t>
  </si>
  <si>
    <t>(-) DEP ACUM MAQUINAS E EQPTOS</t>
  </si>
  <si>
    <t>1.2.03.020.0004</t>
  </si>
  <si>
    <t>(-) DEP ACUM EQPTOS COM RESTRICAO</t>
  </si>
  <si>
    <t>1.2.03.020.0005</t>
  </si>
  <si>
    <t xml:space="preserve">(-) DEP ACUM EQPTOS PROC ELET </t>
  </si>
  <si>
    <t>1.2.03.020.0006</t>
  </si>
  <si>
    <t xml:space="preserve">(-) DEP ACUM MOVEIS E UTENSILIOS </t>
  </si>
  <si>
    <t>1.2.03.020.0007</t>
  </si>
  <si>
    <t>(-) DEP ACUM VEICULOS</t>
  </si>
  <si>
    <t>1.2.03.020.0009</t>
  </si>
  <si>
    <t xml:space="preserve">(-) DEP ACUM MAQUINAS E EQPTOS </t>
  </si>
  <si>
    <t>1.2.03.030</t>
  </si>
  <si>
    <t>IMOBILIZADO NAO HOSPITALAR</t>
  </si>
  <si>
    <t>1.2.03.030.0001</t>
  </si>
  <si>
    <t>TERRENO ESTACIONAMENTO NH</t>
  </si>
  <si>
    <t>1.2.03.030.0002</t>
  </si>
  <si>
    <t>TERRENO CLAUDIO PINTO 175 NH</t>
  </si>
  <si>
    <t>1.2.03.030.0003</t>
  </si>
  <si>
    <t>TERRENO RUA HENRIQUE DIAS 792 NH</t>
  </si>
  <si>
    <t>1.2.03.030.0004</t>
  </si>
  <si>
    <t>INSTALACOES NH</t>
  </si>
  <si>
    <t>1.2.03.030.0005</t>
  </si>
  <si>
    <t>MAQUINAS E EQUIPAMENTOS NH</t>
  </si>
  <si>
    <t>1.2.03.030.0006</t>
  </si>
  <si>
    <t xml:space="preserve">EQUIPAMENTOS PROC DADOS </t>
  </si>
  <si>
    <t>1.2.03.030.0007</t>
  </si>
  <si>
    <t>MOVEIS E UTENSILIOS NH</t>
  </si>
  <si>
    <t>1.2.03.030.0008</t>
  </si>
  <si>
    <t>VEICULOS NH</t>
  </si>
  <si>
    <t>1.2.03.030.0009</t>
  </si>
  <si>
    <t>EQUIPAMENTO ACESS TELEFONIA NH</t>
  </si>
  <si>
    <t>1.2.03.030.0010</t>
  </si>
  <si>
    <t>EQUIPAMENTOS ACESS SOM NH</t>
  </si>
  <si>
    <t>1.2.03.030.0011</t>
  </si>
  <si>
    <t>OBRAS DE ARTE NH</t>
  </si>
  <si>
    <t>1.2.03.030.0012</t>
  </si>
  <si>
    <t>TERRENO RUA CLAUDINO PINTO 185</t>
  </si>
  <si>
    <t>1.2.03.030.0013</t>
  </si>
  <si>
    <t>REAVALIACAO MAQUINAS E EQPTOS-</t>
  </si>
  <si>
    <t>1.2.03.030.0014</t>
  </si>
  <si>
    <t xml:space="preserve">CUSTO DE AQUISICAO MOVEIS E </t>
  </si>
  <si>
    <t>1.2.03.030.0015</t>
  </si>
  <si>
    <t xml:space="preserve">REAVALIACAO VEICULOS NAO </t>
  </si>
  <si>
    <t>1.2.03.030.0016</t>
  </si>
  <si>
    <t>CUSTO DE AQUISICAO - MANTENEDORA</t>
  </si>
  <si>
    <t>1.2.03.030.0017</t>
  </si>
  <si>
    <t xml:space="preserve">DIREITO DE USO DE LINHAS </t>
  </si>
  <si>
    <t>1.2.03.040</t>
  </si>
  <si>
    <t>( - ) DEPRECIACAO ACUMULADA NH</t>
  </si>
  <si>
    <t>1.2.03.040.0001</t>
  </si>
  <si>
    <t>(-) DEP ACUM INSTALACOES NH</t>
  </si>
  <si>
    <t>1.2.03.040.0002</t>
  </si>
  <si>
    <t xml:space="preserve">(-) DEP ACUM  MAQUINAS E  </t>
  </si>
  <si>
    <t>1.2.03.040.0003</t>
  </si>
  <si>
    <t xml:space="preserve">(-) DEP ACUM EQPTOS PROC DADOS </t>
  </si>
  <si>
    <t>1.2.03.040.0004</t>
  </si>
  <si>
    <t>(-) DEP ACUM MOVEIS E UTENSILIOS NH</t>
  </si>
  <si>
    <t>1.2.03.040.0005</t>
  </si>
  <si>
    <t>(-) DEP ACUM VEICULOS NH</t>
  </si>
  <si>
    <t>1.2.03.040.0006</t>
  </si>
  <si>
    <t xml:space="preserve">(-) DEP ACUM EQUIPAMENTOS ACESS </t>
  </si>
  <si>
    <t>1.2.03.040.0007</t>
  </si>
  <si>
    <t>1.2.03.050</t>
  </si>
  <si>
    <t xml:space="preserve">IMOBILIZACOES EM ANDAMENTO </t>
  </si>
  <si>
    <t>1.2.03.050.0001</t>
  </si>
  <si>
    <t>AMPLIACOES E REFORMA</t>
  </si>
  <si>
    <t>1.2.03.050.0002</t>
  </si>
  <si>
    <t>OBRAS MATERNIDADE</t>
  </si>
  <si>
    <t>1.2.03.050.0003</t>
  </si>
  <si>
    <t>OBRAS UTI CORONARIANA</t>
  </si>
  <si>
    <t>1.2.03.050.0004</t>
  </si>
  <si>
    <t>OBRAS UTI ADULTO</t>
  </si>
  <si>
    <t>1.2.03.050.0005</t>
  </si>
  <si>
    <t xml:space="preserve">CUSTO DE AQUISICAO OBRAS </t>
  </si>
  <si>
    <t>1.2.03.060</t>
  </si>
  <si>
    <t>IMOBILIZACOES EM ANDAMENTO NH</t>
  </si>
  <si>
    <t>1.2.03.060.0001</t>
  </si>
  <si>
    <t xml:space="preserve">BENFEITORIAS EM IMOVEIS DE </t>
  </si>
  <si>
    <t>1.2.03.070</t>
  </si>
  <si>
    <t xml:space="preserve">(-) DEPRECIACAO AMORT ACUMULADA </t>
  </si>
  <si>
    <t>1.2.03.070.0001</t>
  </si>
  <si>
    <t xml:space="preserve">(-) AMORTIZACAO BENFEITORIAS EM </t>
  </si>
  <si>
    <t>1.2.03.080</t>
  </si>
  <si>
    <t>IMOBILIZADO COM RESTRICAO</t>
  </si>
  <si>
    <t>1.2.03.080.0001</t>
  </si>
  <si>
    <t>MOVEIS E UTENSILIOS COM RESTRICAO</t>
  </si>
  <si>
    <t>1.2.03.080.0002</t>
  </si>
  <si>
    <t xml:space="preserve">CUSTO DE AQUISICAO COM RESTRICAO </t>
  </si>
  <si>
    <t>1.2.03.090</t>
  </si>
  <si>
    <t xml:space="preserve">(-) DEPRECIACAO ACUMULADA C/ </t>
  </si>
  <si>
    <t>1.2.03.090.0001</t>
  </si>
  <si>
    <t>1.2.03.090.0002</t>
  </si>
  <si>
    <t>DEPREC.ACUM.DO CUSTO AQUIS.-</t>
  </si>
  <si>
    <t>1.2.04</t>
  </si>
  <si>
    <t>ATIVO INTAGIVEL</t>
  </si>
  <si>
    <t>1.2.04.010</t>
  </si>
  <si>
    <t>ATIVO INTAGIVEL HOSPITALAR</t>
  </si>
  <si>
    <t>1.2.04.010.0001</t>
  </si>
  <si>
    <t>SISTEMA DE COMPUTACAO MV</t>
  </si>
  <si>
    <t>1.2.04.010.0002</t>
  </si>
  <si>
    <t>MARCAS COMERCIAIS</t>
  </si>
  <si>
    <t>1.2.04.020</t>
  </si>
  <si>
    <t xml:space="preserve">( - ) AMORTIZACAO DO SISTEMA DE </t>
  </si>
  <si>
    <t>1.2.04.020.0001</t>
  </si>
  <si>
    <t>1.2.04.030</t>
  </si>
  <si>
    <t>ATIVO INTANGIVEL NAO HOSPITALAR</t>
  </si>
  <si>
    <t>1.2.04.030.0001</t>
  </si>
  <si>
    <t>SISTEMA DE COMPUTACAO NH</t>
  </si>
  <si>
    <t>1.2.04.040</t>
  </si>
  <si>
    <t xml:space="preserve">( - ) AMORTIZACAO SISTEMA </t>
  </si>
  <si>
    <t>1.2.04.040.0001</t>
  </si>
  <si>
    <t>2</t>
  </si>
  <si>
    <t>PASSIVO</t>
  </si>
  <si>
    <t>2.1</t>
  </si>
  <si>
    <t>PASSIVO CIRCULANTE</t>
  </si>
  <si>
    <t>2.1.01</t>
  </si>
  <si>
    <t>PRESTADORES</t>
  </si>
  <si>
    <t>2.1.01.010</t>
  </si>
  <si>
    <t>PRESTADORES MEDICOS PJ</t>
  </si>
  <si>
    <t>2.1.01.010.0001</t>
  </si>
  <si>
    <t xml:space="preserve">AEK PREST DE SERV EM SAUDE LTDA </t>
  </si>
  <si>
    <t>2.1.01.010.0002</t>
  </si>
  <si>
    <t xml:space="preserve">AR ONCOLOGIA SERVICOS MEDICOS </t>
  </si>
  <si>
    <t>2.1.01.010.0004</t>
  </si>
  <si>
    <t>ACLIMED SERV MEDICOS LTDA</t>
  </si>
  <si>
    <t>2.1.01.010.0005</t>
  </si>
  <si>
    <t>ACLP SERVICOS MEDICOS LTDA</t>
  </si>
  <si>
    <t>2.1.01.010.0007</t>
  </si>
  <si>
    <t>AFFIDARE MEDICINA E SAUDE LTDA EPP</t>
  </si>
  <si>
    <t>2.1.01.010.0010</t>
  </si>
  <si>
    <t xml:space="preserve">ALVARENGA E CARVALHO CLIN MED </t>
  </si>
  <si>
    <t>2.1.01.010.0011</t>
  </si>
  <si>
    <t xml:space="preserve">ALVES E ALVES SERV MEDICOS E HOSP. </t>
  </si>
  <si>
    <t>2.1.01.010.0012</t>
  </si>
  <si>
    <t>AMC ROCHA JUNIOR E CIA LTDA ME</t>
  </si>
  <si>
    <t>2.1.01.010.0013</t>
  </si>
  <si>
    <t>ANCORA SERVICOS MEDICOS LTDA</t>
  </si>
  <si>
    <t>2.1.01.010.0014</t>
  </si>
  <si>
    <t>ANDREZA CRISTINA PINTO ME</t>
  </si>
  <si>
    <t>2.1.01.010.0015</t>
  </si>
  <si>
    <t>ANESTEC LTDA</t>
  </si>
  <si>
    <t>2.1.01.010.0018</t>
  </si>
  <si>
    <t xml:space="preserve">ANUTE E COSTA SERVICOS MEDICOS </t>
  </si>
  <si>
    <t>2.1.01.010.0019</t>
  </si>
  <si>
    <t>APJ SERV MEDICOS LTDA  ME</t>
  </si>
  <si>
    <t>2.1.01.010.0020</t>
  </si>
  <si>
    <t>AQUARIUS CLINICA MEDICA</t>
  </si>
  <si>
    <t>2.1.01.010.0021</t>
  </si>
  <si>
    <t>ARTMEDICA SERVICOS MEDICOS LTDA</t>
  </si>
  <si>
    <t>2.1.01.010.0023</t>
  </si>
  <si>
    <t xml:space="preserve">ASSISTENCIA PEDIATRICA DE JACAREI </t>
  </si>
  <si>
    <t>2.1.01.010.0026</t>
  </si>
  <si>
    <t>AVEMARA SAUDE SJC LTDA</t>
  </si>
  <si>
    <t>2.1.01.010.0028</t>
  </si>
  <si>
    <t>BET SERVICOS MEDICOS SS LTDA</t>
  </si>
  <si>
    <t>2.1.01.010.0029</t>
  </si>
  <si>
    <t xml:space="preserve">BLM CARE CLINICA SERVICOS MEDICOS </t>
  </si>
  <si>
    <t>2.1.01.010.0030</t>
  </si>
  <si>
    <t xml:space="preserve">BABY CENTER CLINICA DA CRIANCA SC </t>
  </si>
  <si>
    <t>2.1.01.010.0031</t>
  </si>
  <si>
    <t>BAROMED SC LTDA</t>
  </si>
  <si>
    <t>2.1.01.010.0033</t>
  </si>
  <si>
    <t>BELAMED SERVICOS MEDICOS SS ME</t>
  </si>
  <si>
    <t>2.1.01.010.0037</t>
  </si>
  <si>
    <t xml:space="preserve">BERTTI E BERTTI EMPREENDIMENTOS </t>
  </si>
  <si>
    <t>2.1.01.010.0038</t>
  </si>
  <si>
    <t xml:space="preserve">BETACLIN ASSISTENCIA A SAUDE DA </t>
  </si>
  <si>
    <t>2.1.01.010.0040</t>
  </si>
  <si>
    <t>BLR ASSISTENCIA MEDICA LTDA ME</t>
  </si>
  <si>
    <t>2.1.01.010.0041</t>
  </si>
  <si>
    <t xml:space="preserve">BOLZAN TEIXEIRA SERVICOS </t>
  </si>
  <si>
    <t>2.1.01.010.0042</t>
  </si>
  <si>
    <t xml:space="preserve">BORTOLETTO E AQUINO SERVICOS </t>
  </si>
  <si>
    <t>2.1.01.010.0043</t>
  </si>
  <si>
    <t>BOTELHO FONSECA SERV PED LTDA</t>
  </si>
  <si>
    <t>2.1.01.010.0044</t>
  </si>
  <si>
    <t xml:space="preserve">BRANDAO E CARVALHO SERVICOS </t>
  </si>
  <si>
    <t>2.1.01.010.0045</t>
  </si>
  <si>
    <t xml:space="preserve">BRANDAO E SILVA SERV MED LTDA  </t>
  </si>
  <si>
    <t>2.1.01.010.0047</t>
  </si>
  <si>
    <t>BRUGNARA SERVICOS MEDICOS LTDA</t>
  </si>
  <si>
    <t>2.1.01.010.0048</t>
  </si>
  <si>
    <t xml:space="preserve">CIRURGIA CARDIOVASCULAR DR. </t>
  </si>
  <si>
    <t>2.1.01.010.0049</t>
  </si>
  <si>
    <t>CEC MEDICOS ASSOCIADOS LTDA</t>
  </si>
  <si>
    <t>2.1.01.010.0050</t>
  </si>
  <si>
    <t>CED SERVICOS MEDICOS S/S LTDA</t>
  </si>
  <si>
    <t>2.1.01.010.0051</t>
  </si>
  <si>
    <t>CER DIAGNOSTICO IMAGEM</t>
  </si>
  <si>
    <t>2.1.01.010.0052</t>
  </si>
  <si>
    <t>CM YUKITA SERVICOS MEDICOS LTDA</t>
  </si>
  <si>
    <t>2.1.01.010.0053</t>
  </si>
  <si>
    <t>C ROCHA MEDICOS SS LTDA ME</t>
  </si>
  <si>
    <t>2.1.01.010.0054</t>
  </si>
  <si>
    <t xml:space="preserve">CAMPIOLO E COELHO MEDICOS </t>
  </si>
  <si>
    <t>2.1.01.010.0056</t>
  </si>
  <si>
    <t>CAMPOSMED SERVICOS MEDICOS LTDA</t>
  </si>
  <si>
    <t>2.1.01.010.0058</t>
  </si>
  <si>
    <t>CARDIO AMIGO DO CAROCAO ME</t>
  </si>
  <si>
    <t>2.1.01.010.0059</t>
  </si>
  <si>
    <t xml:space="preserve">CARDIO DIAGNOSTICO SERV MED SS </t>
  </si>
  <si>
    <t>2.1.01.010.0061</t>
  </si>
  <si>
    <t xml:space="preserve">CARDIORITMO CONS ARRITMIAS CARD </t>
  </si>
  <si>
    <t>2.1.01.010.0062</t>
  </si>
  <si>
    <t xml:space="preserve">CARLA CALDERON IRUSTA SERVICOS </t>
  </si>
  <si>
    <t>2.1.01.010.0065</t>
  </si>
  <si>
    <t xml:space="preserve">CARVALHO E GODOY SERVICOS </t>
  </si>
  <si>
    <t>2.1.01.010.0067</t>
  </si>
  <si>
    <t xml:space="preserve">CASTRO E CARVALHO SERV MED </t>
  </si>
  <si>
    <t>2.1.01.010.0068</t>
  </si>
  <si>
    <t xml:space="preserve">CAVALCANTE E CLAUS SERVICOS </t>
  </si>
  <si>
    <t>2.1.01.010.0071</t>
  </si>
  <si>
    <t xml:space="preserve">CDNI CLIN DE DIAG </t>
  </si>
  <si>
    <t>2.1.01.010.0075</t>
  </si>
  <si>
    <t xml:space="preserve">CEMEV CLIN ESP MED VALE LTDA MED </t>
  </si>
  <si>
    <t>2.1.01.010.0076</t>
  </si>
  <si>
    <t xml:space="preserve">CENTRO AUDIOL INFANTIL VALE </t>
  </si>
  <si>
    <t>2.1.01.010.0079</t>
  </si>
  <si>
    <t xml:space="preserve">CENTRO DE HEMATOLOGIA DO VALE </t>
  </si>
  <si>
    <t>2.1.01.010.0081</t>
  </si>
  <si>
    <t xml:space="preserve">CENTRO NEUROLOGICO CACAPAVA SC </t>
  </si>
  <si>
    <t>2.1.01.010.0083</t>
  </si>
  <si>
    <t xml:space="preserve">CENTRO TRAUMA DO VALE TREIN AREA </t>
  </si>
  <si>
    <t>2.1.01.010.0085</t>
  </si>
  <si>
    <t xml:space="preserve">CHAGAS E MACEDO SERVICOS </t>
  </si>
  <si>
    <t>2.1.01.010.0086</t>
  </si>
  <si>
    <t>CHAGAS SERVICOS MEDICOS LTDA</t>
  </si>
  <si>
    <t>2.1.01.010.0087</t>
  </si>
  <si>
    <t>CHANG SERVICOS MEDICOS LTDA</t>
  </si>
  <si>
    <t>2.1.01.010.0089</t>
  </si>
  <si>
    <t>CIPAX MEDICINA DIAGNOSTICA LTDA</t>
  </si>
  <si>
    <t>2.1.01.010.0090</t>
  </si>
  <si>
    <t>CIRO JONES CARDOSO ME</t>
  </si>
  <si>
    <t>2.1.01.010.0091</t>
  </si>
  <si>
    <t>CIRURGICA TORACICA DO VALE LTDA</t>
  </si>
  <si>
    <t>2.1.01.010.0092</t>
  </si>
  <si>
    <t xml:space="preserve">CLIADI CLIN E CIR DO APARELHO </t>
  </si>
  <si>
    <t>2.1.01.010.0094</t>
  </si>
  <si>
    <t xml:space="preserve">CLIN DERMA DR CARLOS ALBERTO </t>
  </si>
  <si>
    <t>2.1.01.010.0096</t>
  </si>
  <si>
    <t xml:space="preserve">ANGIOVALLE CIRURGIA VASCULAR E </t>
  </si>
  <si>
    <t>2.1.01.010.0098</t>
  </si>
  <si>
    <t xml:space="preserve">CLINDEP ASSIST MED PEDIATRICA SC </t>
  </si>
  <si>
    <t>2.1.01.010.0099</t>
  </si>
  <si>
    <t xml:space="preserve">CLINEURO CLIN NEUROCIR DR </t>
  </si>
  <si>
    <t>2.1.01.010.0100</t>
  </si>
  <si>
    <t>CLINICA BORAO LTDA</t>
  </si>
  <si>
    <t>2.1.01.010.0102</t>
  </si>
  <si>
    <t xml:space="preserve">CLINICA CIR TRAUM BUCO MAXILO FAC </t>
  </si>
  <si>
    <t>2.1.01.010.0103</t>
  </si>
  <si>
    <t xml:space="preserve">CLINICA DE CARDIOLOGIA DUMONT </t>
  </si>
  <si>
    <t>2.1.01.010.0108</t>
  </si>
  <si>
    <t>CLINICA DR ROBERTO TABAJARA REIS</t>
  </si>
  <si>
    <t>2.1.01.010.0109</t>
  </si>
  <si>
    <t>CLINICA DR RODRIGO IEIRI EIRELI ME</t>
  </si>
  <si>
    <t>2.1.01.010.0111</t>
  </si>
  <si>
    <t>CLINICA FREIXEDAS SS LTDA EPP</t>
  </si>
  <si>
    <t>2.1.01.010.0113</t>
  </si>
  <si>
    <t xml:space="preserve">CLINICA GINECOLOGICA DIAS E </t>
  </si>
  <si>
    <t>2.1.01.010.0114</t>
  </si>
  <si>
    <t>CLINICA MATTOS E GARCEZ LTDA ME</t>
  </si>
  <si>
    <t>2.1.01.010.0115</t>
  </si>
  <si>
    <t xml:space="preserve">CLINICA MEDICA DE </t>
  </si>
  <si>
    <t>2.1.01.010.0116</t>
  </si>
  <si>
    <t xml:space="preserve">CLINICA MEDICA DERMAVISAO E </t>
  </si>
  <si>
    <t>2.1.01.010.0118</t>
  </si>
  <si>
    <t xml:space="preserve">CLINICA MEDICA GOLDFREIND RIBEIRO </t>
  </si>
  <si>
    <t>2.1.01.010.0120</t>
  </si>
  <si>
    <t>CLINICA MEDICA ORTO E RAD LTDA ME</t>
  </si>
  <si>
    <t>2.1.01.010.0121</t>
  </si>
  <si>
    <t xml:space="preserve">CLINICA MEDICA PERETA TAVARES SS </t>
  </si>
  <si>
    <t>2.1.01.010.0122</t>
  </si>
  <si>
    <t xml:space="preserve">CLINICA MEDICA SORBILE VEIGA LTDA </t>
  </si>
  <si>
    <t>2.1.01.010.0124</t>
  </si>
  <si>
    <t xml:space="preserve">CLINICA NEUROCIRURGICA PAULISTA </t>
  </si>
  <si>
    <t>2.1.01.010.0125</t>
  </si>
  <si>
    <t>CLINICA PASCOAL SS EPP</t>
  </si>
  <si>
    <t>2.1.01.010.0127</t>
  </si>
  <si>
    <t xml:space="preserve">CLINICA SAO LUCAS DO VALE DO </t>
  </si>
  <si>
    <t>2.1.01.010.0128</t>
  </si>
  <si>
    <t>CLINICA SKIN LIFE SS LTDA</t>
  </si>
  <si>
    <t>2.1.01.010.0129</t>
  </si>
  <si>
    <t>CLINICAR CLIN CARDIOLOGICA SC LTDA</t>
  </si>
  <si>
    <t>2.1.01.010.0130</t>
  </si>
  <si>
    <t>CLINWORK SERV MEDICOS SC LTDA</t>
  </si>
  <si>
    <t>2.1.01.010.0131</t>
  </si>
  <si>
    <t>CLR SERVICOS MEDICOS LTDA</t>
  </si>
  <si>
    <t>2.1.01.010.0132</t>
  </si>
  <si>
    <t>CMF SERVICOS MEDICOS LTDA</t>
  </si>
  <si>
    <t>2.1.01.010.0133</t>
  </si>
  <si>
    <t>COKIN MED LTDA</t>
  </si>
  <si>
    <t>2.1.01.010.0134</t>
  </si>
  <si>
    <t xml:space="preserve">COMUNIAN FREITAS SERVICOS </t>
  </si>
  <si>
    <t>2.1.01.010.0136</t>
  </si>
  <si>
    <t xml:space="preserve">CONI SERVICOS MEDICOS SOC SIMPLES </t>
  </si>
  <si>
    <t>2.1.01.010.0138</t>
  </si>
  <si>
    <t xml:space="preserve">CORREA E SOUZA SERVICOS MEDICOS </t>
  </si>
  <si>
    <t>2.1.01.010.0139</t>
  </si>
  <si>
    <t xml:space="preserve">COSTA E SERIGATTI SERVICOS </t>
  </si>
  <si>
    <t>2.1.01.010.0140</t>
  </si>
  <si>
    <t>DMJ ASSESSORIA MEDICA LTDA</t>
  </si>
  <si>
    <t>2.1.01.010.0141</t>
  </si>
  <si>
    <t xml:space="preserve">DALL ARA MERCADANTE SERV </t>
  </si>
  <si>
    <t>2.1.01.010.0143</t>
  </si>
  <si>
    <t xml:space="preserve">DDEBS CONSULTORIA E SERV MED </t>
  </si>
  <si>
    <t>2.1.01.010.0144</t>
  </si>
  <si>
    <t xml:space="preserve">DE BRITO DIOGO SERVICOS MEDICOS </t>
  </si>
  <si>
    <t>2.1.01.010.0145</t>
  </si>
  <si>
    <t xml:space="preserve">DE CHIARA CARDOSO CONSULT </t>
  </si>
  <si>
    <t>2.1.01.010.0147</t>
  </si>
  <si>
    <t>DEL MONACO SERVICOS MEDICOS LTDA</t>
  </si>
  <si>
    <t>2.1.01.010.0149</t>
  </si>
  <si>
    <t xml:space="preserve">DH SERVICOS MEDICOS DE URGENCIA </t>
  </si>
  <si>
    <t>2.1.01.010.0150</t>
  </si>
  <si>
    <t>DIP ASSISTENCIA MEDICA LTDA ME</t>
  </si>
  <si>
    <t>2.1.01.010.0152</t>
  </si>
  <si>
    <t>DJ BERBERIAN LTDA</t>
  </si>
  <si>
    <t>2.1.01.010.0153</t>
  </si>
  <si>
    <t xml:space="preserve">DUCORDIS SAUDE OCUPACIONAL E </t>
  </si>
  <si>
    <t>2.1.01.010.0154</t>
  </si>
  <si>
    <t xml:space="preserve">E F DE CARVALHO CLIN DE </t>
  </si>
  <si>
    <t>2.1.01.010.0155</t>
  </si>
  <si>
    <t>ECS SERVICOS DE SAUDE LTDA</t>
  </si>
  <si>
    <t>2.1.01.010.0161</t>
  </si>
  <si>
    <t xml:space="preserve">EPL EMPREENDIMENTOS MEDICOS SC </t>
  </si>
  <si>
    <t>2.1.01.010.0162</t>
  </si>
  <si>
    <t>F E G SERVICOS MEDICOS LTDA</t>
  </si>
  <si>
    <t>2.1.01.010.0164</t>
  </si>
  <si>
    <t>FEKP SERV MEDICOS LTDA</t>
  </si>
  <si>
    <t>2.1.01.010.0165</t>
  </si>
  <si>
    <t>FELICITA SERVICOS MEDICOS</t>
  </si>
  <si>
    <t>2.1.01.010.0166</t>
  </si>
  <si>
    <t>FEMADA SERVICOS MEDICOS LTDA</t>
  </si>
  <si>
    <t>2.1.01.010.0167</t>
  </si>
  <si>
    <t xml:space="preserve">FEMICLIN SERVICOS MEDICOS LTDA </t>
  </si>
  <si>
    <t>2.1.01.010.0170</t>
  </si>
  <si>
    <t>FERNANDO A L DE ALMEIDA LEITE ME</t>
  </si>
  <si>
    <t>2.1.01.010.0171</t>
  </si>
  <si>
    <t>FGD SERVICOS MEDICOS LTDA ME</t>
  </si>
  <si>
    <t>2.1.01.010.0172</t>
  </si>
  <si>
    <t>FLECK SERVICOS MEDICOS</t>
  </si>
  <si>
    <t>2.1.01.010.0173</t>
  </si>
  <si>
    <t>FLT MEDICOS ASSOCIADOS LTDA</t>
  </si>
  <si>
    <t>2.1.01.010.0174</t>
  </si>
  <si>
    <t>FMJ LEITE SERVICOS MEDICOS</t>
  </si>
  <si>
    <t>2.1.01.010.0175</t>
  </si>
  <si>
    <t xml:space="preserve">FONTES MONTEIRO SERVICOS </t>
  </si>
  <si>
    <t>2.1.01.010.0176</t>
  </si>
  <si>
    <t>FPS SERVICOS MEDICOS LTDA</t>
  </si>
  <si>
    <t>2.1.01.010.0177</t>
  </si>
  <si>
    <t>FRATE SERVICOS MEDICOS LTDA</t>
  </si>
  <si>
    <t>2.1.01.010.0178</t>
  </si>
  <si>
    <t>FUNDACAO OSWALDO RAMOS</t>
  </si>
  <si>
    <t>2.1.01.010.0179</t>
  </si>
  <si>
    <t>G OTO SERVICOS MEDICOS LTDA</t>
  </si>
  <si>
    <t>2.1.01.010.0181</t>
  </si>
  <si>
    <t xml:space="preserve">GAMMA CLINIC DIAGNOSTICOS E </t>
  </si>
  <si>
    <t>2.1.01.010.0182</t>
  </si>
  <si>
    <t>GAP ASSISTENCIA PEDIATRICA LTDA</t>
  </si>
  <si>
    <t>2.1.01.010.0183</t>
  </si>
  <si>
    <t xml:space="preserve">GARCIA E SIMOES MEDICOS </t>
  </si>
  <si>
    <t>2.1.01.010.0184</t>
  </si>
  <si>
    <t xml:space="preserve">GASPARINI E MIYAMOTO SERVICOS </t>
  </si>
  <si>
    <t>2.1.01.010.0185</t>
  </si>
  <si>
    <t>GENEOCLIN GINECO E OBST LTDA</t>
  </si>
  <si>
    <t>2.1.01.010.0186</t>
  </si>
  <si>
    <t>GINEVALE SERVICOS MEDICOS LTDA</t>
  </si>
  <si>
    <t>2.1.01.010.0187</t>
  </si>
  <si>
    <t>GOC SERVICOS MEDICOS LTDA</t>
  </si>
  <si>
    <t>2.1.01.010.0189</t>
  </si>
  <si>
    <t xml:space="preserve">GONCALVES DE OLIVEIRA SERVICOS </t>
  </si>
  <si>
    <t>2.1.01.010.0190</t>
  </si>
  <si>
    <t>GUILHERME MOREIRA JOSE E CIA LTDA</t>
  </si>
  <si>
    <t>2.1.01.010.0191</t>
  </si>
  <si>
    <t>HAMILTON ALVES BONNO E CIA LTDA</t>
  </si>
  <si>
    <t>2.1.01.010.0192</t>
  </si>
  <si>
    <t>HECADI CLINICA MEDICA SS LTDA</t>
  </si>
  <si>
    <t>2.1.01.010.0193</t>
  </si>
  <si>
    <t>HEIDENBEL E SILVA SERV MED SS LTDA</t>
  </si>
  <si>
    <t>2.1.01.010.0194</t>
  </si>
  <si>
    <t xml:space="preserve">HEPATOCLIN CLIN FIGADO ULTRA </t>
  </si>
  <si>
    <t>2.1.01.010.0195</t>
  </si>
  <si>
    <t xml:space="preserve">HERNANDES E CESARIO SERVICOS </t>
  </si>
  <si>
    <t>2.1.01.010.0196</t>
  </si>
  <si>
    <t xml:space="preserve">IGED INST GASTROENTEROLOGIA E </t>
  </si>
  <si>
    <t>2.1.01.010.0197</t>
  </si>
  <si>
    <t xml:space="preserve">IMES INSTITUTO MEDICO </t>
  </si>
  <si>
    <t>2.1.01.010.0198</t>
  </si>
  <si>
    <t>IMPROVE SERVICOS MEDICOS LTDA</t>
  </si>
  <si>
    <t>2.1.01.010.0199</t>
  </si>
  <si>
    <t xml:space="preserve">INEP INSTITUTO DE MEDICINA </t>
  </si>
  <si>
    <t>2.1.01.010.0200</t>
  </si>
  <si>
    <t>INFANT CLINICA MEDICA EIRELI EPP</t>
  </si>
  <si>
    <t>2.1.01.010.0201</t>
  </si>
  <si>
    <t xml:space="preserve">INFANT SERVICOS PEDIATRICOS SS </t>
  </si>
  <si>
    <t>2.1.01.010.0204</t>
  </si>
  <si>
    <t xml:space="preserve">INSTITUTO DE OFTALMOLOGIA DO VALE </t>
  </si>
  <si>
    <t>2.1.01.010.0206</t>
  </si>
  <si>
    <t xml:space="preserve">INSTITUTO DE UROLOGIA DE SAO JOSE </t>
  </si>
  <si>
    <t>2.1.01.010.0207</t>
  </si>
  <si>
    <t>JL CARVALHO SERV MED SS LTDA</t>
  </si>
  <si>
    <t>2.1.01.010.0208</t>
  </si>
  <si>
    <t xml:space="preserve">JEHA E JEHA MED ASSOCIADOS SS </t>
  </si>
  <si>
    <t>2.1.01.010.0210</t>
  </si>
  <si>
    <t>JOAO PAULO ROVEDA GUIMARAES ME</t>
  </si>
  <si>
    <t>2.1.01.010.0213</t>
  </si>
  <si>
    <t>JPP MEDICOS ASSOCIADOS LTDA</t>
  </si>
  <si>
    <t>2.1.01.010.0214</t>
  </si>
  <si>
    <t>JRP SERVICOS MEDICOS LTDA</t>
  </si>
  <si>
    <t>2.1.01.010.0217</t>
  </si>
  <si>
    <t>JUVY SERVICOS MEDICOS LTDA</t>
  </si>
  <si>
    <t>2.1.01.010.0218</t>
  </si>
  <si>
    <t>JVLC  SERVICOS DE SAUDE LTDA</t>
  </si>
  <si>
    <t>2.1.01.010.0219</t>
  </si>
  <si>
    <t xml:space="preserve">JVM LIFE SERVICO DE ATENDIMENTO </t>
  </si>
  <si>
    <t>2.1.01.010.0221</t>
  </si>
  <si>
    <t>KMA SERVICOS MEDICOS LTDA EPP</t>
  </si>
  <si>
    <t>2.1.01.010.0223</t>
  </si>
  <si>
    <t xml:space="preserve">LABCELL SERV DE ANATOMIA </t>
  </si>
  <si>
    <t>2.1.01.010.0225</t>
  </si>
  <si>
    <t xml:space="preserve">LARISA S SANTOS E GLAUCIA B AGUIAR </t>
  </si>
  <si>
    <t>2.1.01.010.0226</t>
  </si>
  <si>
    <t>LAVRADO E CIA LTDA ME</t>
  </si>
  <si>
    <t>2.1.01.010.0227</t>
  </si>
  <si>
    <t>LEANDRO AVELAR VAZ RESENTE ME</t>
  </si>
  <si>
    <t>2.1.01.010.0228</t>
  </si>
  <si>
    <t>LEITE E SOUZA CLINICA MEDICA LTDA</t>
  </si>
  <si>
    <t>2.1.01.010.0229</t>
  </si>
  <si>
    <t xml:space="preserve">LEMEEBARRETTO SERVICOS MEDICOS </t>
  </si>
  <si>
    <t>2.1.01.010.0230</t>
  </si>
  <si>
    <t>LGN CLINICA MEDICA LTDA</t>
  </si>
  <si>
    <t>2.1.01.010.0231</t>
  </si>
  <si>
    <t xml:space="preserve">LOPES LOMBA SERVICOS MEDICOS </t>
  </si>
  <si>
    <t>2.1.01.010.0232</t>
  </si>
  <si>
    <t>LUCALI SERVICOS MEDICOS SS LTDA</t>
  </si>
  <si>
    <t>2.1.01.010.0233</t>
  </si>
  <si>
    <t xml:space="preserve">LUIS OSCAR VALVERDE SERV MED </t>
  </si>
  <si>
    <t>2.1.01.010.0234</t>
  </si>
  <si>
    <t>MAA DE OLIVEIRA CLINICA ME</t>
  </si>
  <si>
    <t>2.1.01.010.0237</t>
  </si>
  <si>
    <t xml:space="preserve">MS SERVICOS MEDICOS HOSPITALARES </t>
  </si>
  <si>
    <t>2.1.01.010.0238</t>
  </si>
  <si>
    <t xml:space="preserve">MD PIRES SERV DE ASSIST MED E OCUP </t>
  </si>
  <si>
    <t>2.1.01.010.0240</t>
  </si>
  <si>
    <t xml:space="preserve">MALTA E ROSOLEM SERVICOS MEDICOS </t>
  </si>
  <si>
    <t>2.1.01.010.0242</t>
  </si>
  <si>
    <t>MARCELLE SA MACHADO ARAUJO ME</t>
  </si>
  <si>
    <t>2.1.01.010.0244</t>
  </si>
  <si>
    <t xml:space="preserve">MASTER PRO SAUDE SERV MEDICOS SC </t>
  </si>
  <si>
    <t>2.1.01.010.0245</t>
  </si>
  <si>
    <t>MATER E VIDA</t>
  </si>
  <si>
    <t>2.1.01.010.0247</t>
  </si>
  <si>
    <t>MAXIMO SERV MEDICOS</t>
  </si>
  <si>
    <t>2.1.01.010.0249</t>
  </si>
  <si>
    <t xml:space="preserve">MDR ASSES MED TRABALHO SC LTDA </t>
  </si>
  <si>
    <t>2.1.01.010.0251</t>
  </si>
  <si>
    <t xml:space="preserve">MED PAULISTA SERVICOS MEDICOS </t>
  </si>
  <si>
    <t>2.1.01.010.0252</t>
  </si>
  <si>
    <t>MEDCOSTA ASSISTENCIA MEDICA LTDA</t>
  </si>
  <si>
    <t>2.1.01.010.0256</t>
  </si>
  <si>
    <t xml:space="preserve">MEDSANTE SERVICOS MEDICOS LTDA </t>
  </si>
  <si>
    <t>2.1.01.010.0259</t>
  </si>
  <si>
    <t>MEZZAVILLA FERREIRA SERV MED LTDA</t>
  </si>
  <si>
    <t>2.1.01.010.0260</t>
  </si>
  <si>
    <t>MICROVIDA SERVICOS MEDICOS LTDA</t>
  </si>
  <si>
    <t>2.1.01.010.0261</t>
  </si>
  <si>
    <t xml:space="preserve">MIOLA E MENEZES SERVICOS MEDICOS </t>
  </si>
  <si>
    <t>2.1.01.010.0262</t>
  </si>
  <si>
    <t xml:space="preserve">MONTEIRO E MONTEIRO AP DIG E </t>
  </si>
  <si>
    <t>2.1.01.010.0264</t>
  </si>
  <si>
    <t xml:space="preserve">MOURA E BERNARDO SERV MED LTDA </t>
  </si>
  <si>
    <t>2.1.01.010.0265</t>
  </si>
  <si>
    <t xml:space="preserve">MOURA E VOLU SERVICOS MEDICOS </t>
  </si>
  <si>
    <t>2.1.01.010.0266</t>
  </si>
  <si>
    <t>NAKAGAWA SERVICOS MEDICOS LTDA</t>
  </si>
  <si>
    <t>2.1.01.010.0267</t>
  </si>
  <si>
    <t>NAME RADIOLOGIA LTDA</t>
  </si>
  <si>
    <t>2.1.01.010.0269</t>
  </si>
  <si>
    <t>NEFROCOR SC LTDA</t>
  </si>
  <si>
    <t>2.1.01.010.0270</t>
  </si>
  <si>
    <t>NEFROMED SC LTDA ( * )</t>
  </si>
  <si>
    <t>2.1.01.010.0273</t>
  </si>
  <si>
    <t>NEOCARE SERVICOS MEDICOS ME</t>
  </si>
  <si>
    <t>2.1.01.010.0275</t>
  </si>
  <si>
    <t>NEUROPED SERVICOS MEDICOS LTDA</t>
  </si>
  <si>
    <t>2.1.01.010.0276</t>
  </si>
  <si>
    <t>NISHICOR SERVICOS MEDICOS SS LTDA</t>
  </si>
  <si>
    <t>2.1.01.010.0279</t>
  </si>
  <si>
    <t>NUCLEAR SERVICE LTDA</t>
  </si>
  <si>
    <t>2.1.01.010.0280</t>
  </si>
  <si>
    <t>NUCLEO DE CIRURGIA DA FACE LTDA</t>
  </si>
  <si>
    <t>2.1.01.010.0281</t>
  </si>
  <si>
    <t xml:space="preserve">NUNES E MARTINS CLINICA MEDICA </t>
  </si>
  <si>
    <t>2.1.01.010.0283</t>
  </si>
  <si>
    <t xml:space="preserve">ODONTOMEDICAL CARE SERV SAUDE </t>
  </si>
  <si>
    <t>2.1.01.010.0284</t>
  </si>
  <si>
    <t>OFTALMOCLINICA R E L SC LTDA</t>
  </si>
  <si>
    <t>2.1.01.010.0286</t>
  </si>
  <si>
    <t>ONCOGIN ASSISTENCIA MEDICA LTDA</t>
  </si>
  <si>
    <t>2.1.01.010.0287</t>
  </si>
  <si>
    <t>ORLANDI CLINICA MEDICA EPP</t>
  </si>
  <si>
    <t>2.1.01.010.0288</t>
  </si>
  <si>
    <t>ORTHOEM SERVICOS MEDICOS LTDA</t>
  </si>
  <si>
    <t>2.1.01.010.0292</t>
  </si>
  <si>
    <t>PR ROSSI E CIA LTDA ME</t>
  </si>
  <si>
    <t>2.1.01.010.0298</t>
  </si>
  <si>
    <t xml:space="preserve">PERBRA SOCIEDADE PREST SERV </t>
  </si>
  <si>
    <t>2.1.01.010.0299</t>
  </si>
  <si>
    <t>PERIOTTO CLINICA MEDICA LTDA EPP</t>
  </si>
  <si>
    <t>2.1.01.010.0303</t>
  </si>
  <si>
    <t xml:space="preserve">PLASTICA PEREIRA TAKAKI PREST SERV </t>
  </si>
  <si>
    <t>2.1.01.010.0308</t>
  </si>
  <si>
    <t xml:space="preserve">PROFEMINA REPRODUCAO E </t>
  </si>
  <si>
    <t>2.1.01.010.0309</t>
  </si>
  <si>
    <t xml:space="preserve">PRONTO VIDA EMERGENCIAS MEDICAS </t>
  </si>
  <si>
    <t>2.1.01.010.0312</t>
  </si>
  <si>
    <t>QUIRON CLINICA MEDICA SC LTDA</t>
  </si>
  <si>
    <t>2.1.01.010.0313</t>
  </si>
  <si>
    <t>RET SERVICOS MEDICOS SS ME</t>
  </si>
  <si>
    <t>2.1.01.010.0314</t>
  </si>
  <si>
    <t xml:space="preserve">RAAJ8 SERVICOS EM OFTALMOLOGIA </t>
  </si>
  <si>
    <t>2.1.01.010.0315</t>
  </si>
  <si>
    <t>RADIOLL DO VALE</t>
  </si>
  <si>
    <t>2.1.01.010.0316</t>
  </si>
  <si>
    <t>RADIOVASC SERVICOS MEDICOS LTDA</t>
  </si>
  <si>
    <t>2.1.01.010.0317</t>
  </si>
  <si>
    <t xml:space="preserve">RAFAEL FARIA GIL SERVICOS MEDICOS </t>
  </si>
  <si>
    <t>2.1.01.010.0318</t>
  </si>
  <si>
    <t xml:space="preserve">RAULE E SOLLACI SERVICOS MEDICOS </t>
  </si>
  <si>
    <t>2.1.01.010.0319</t>
  </si>
  <si>
    <t xml:space="preserve">REFER SAUDE SERVICOS MEDICOS </t>
  </si>
  <si>
    <t>2.1.01.010.0320</t>
  </si>
  <si>
    <t>RG FRIGGI CONSULTORIO MEDICO LTDA</t>
  </si>
  <si>
    <t>2.1.01.010.0321</t>
  </si>
  <si>
    <t xml:space="preserve">RM MEDICINA OCUPACIONAL E DIAGN </t>
  </si>
  <si>
    <t>2.1.01.010.0323</t>
  </si>
  <si>
    <t xml:space="preserve">ROBERTO VIANA SERVICOS EM SAUDE </t>
  </si>
  <si>
    <t>2.1.01.010.0324</t>
  </si>
  <si>
    <t>ROMA E BARBETTA LTDA ME</t>
  </si>
  <si>
    <t>2.1.01.010.0325</t>
  </si>
  <si>
    <t xml:space="preserve">ROUBAUD E ROUBAUD SERVICOS </t>
  </si>
  <si>
    <t>2.1.01.010.0326</t>
  </si>
  <si>
    <t>RTM SERVICOS MEDICOS LTDA</t>
  </si>
  <si>
    <t>2.1.01.010.0327</t>
  </si>
  <si>
    <t>SD GUERRA SERVICOS MEDICOS</t>
  </si>
  <si>
    <t>2.1.01.010.0329</t>
  </si>
  <si>
    <t xml:space="preserve">SAKIHARA E PIVA CLINICA MEDICA SS </t>
  </si>
  <si>
    <t>2.1.01.010.0330</t>
  </si>
  <si>
    <t xml:space="preserve">SALOMAO SANT ANNA SERV MEDICOS </t>
  </si>
  <si>
    <t>2.1.01.010.0332</t>
  </si>
  <si>
    <t xml:space="preserve">SANO E VEIGA SERVICOS MEDICOS </t>
  </si>
  <si>
    <t>2.1.01.010.0333</t>
  </si>
  <si>
    <t xml:space="preserve">SANTOS SAUDE SERV MEDICOS SS </t>
  </si>
  <si>
    <t>2.1.01.010.0334</t>
  </si>
  <si>
    <t xml:space="preserve">SAUDE VIDA SERV MED E SAUDE </t>
  </si>
  <si>
    <t>2.1.01.010.0336</t>
  </si>
  <si>
    <t>SD SERVICOS MEDICOS LTDA ME</t>
  </si>
  <si>
    <t>2.1.01.010.0338</t>
  </si>
  <si>
    <t>SERMED SERVICOS MEDICOS EPP</t>
  </si>
  <si>
    <t>2.1.01.010.0339</t>
  </si>
  <si>
    <t>SERMEP S S LTDA ME</t>
  </si>
  <si>
    <t>2.1.01.010.0340</t>
  </si>
  <si>
    <t xml:space="preserve">SERVICO DE HEMOTERAPIA SJC SC </t>
  </si>
  <si>
    <t>2.1.01.010.0341</t>
  </si>
  <si>
    <t xml:space="preserve">SERVICOS DE HEMATOLOGIA SJC SC </t>
  </si>
  <si>
    <t>2.1.01.010.0342</t>
  </si>
  <si>
    <t xml:space="preserve">SERVICOS MEDICOS VALEPARAIBANO </t>
  </si>
  <si>
    <t>2.1.01.010.0343</t>
  </si>
  <si>
    <t xml:space="preserve">SERVPED SERVICOS PEDIATRICOS SC </t>
  </si>
  <si>
    <t>2.1.01.010.0344</t>
  </si>
  <si>
    <t xml:space="preserve">SGARBI MARTINS SERVICOS MEDICOS </t>
  </si>
  <si>
    <t>2.1.01.010.0345</t>
  </si>
  <si>
    <t>SILVEIRAS SERVICOS MEDICOS LTDA</t>
  </si>
  <si>
    <t>2.1.01.010.0350</t>
  </si>
  <si>
    <t xml:space="preserve">SOUZA E MARQUES MEDICINA  </t>
  </si>
  <si>
    <t>2.1.01.010.0351</t>
  </si>
  <si>
    <t xml:space="preserve">SPINE VALE SERV MED PATOL COL </t>
  </si>
  <si>
    <t>2.1.01.010.0352</t>
  </si>
  <si>
    <t xml:space="preserve">SQUASSONI E UOZOMI SERVICOS </t>
  </si>
  <si>
    <t>2.1.01.010.0353</t>
  </si>
  <si>
    <t>SR DIAGNOSTICOS MEDICOS LTDA</t>
  </si>
  <si>
    <t>2.1.01.010.0355</t>
  </si>
  <si>
    <t>SUPPORTE SERVICOS MEDICOS</t>
  </si>
  <si>
    <t>2.1.01.010.0356</t>
  </si>
  <si>
    <t xml:space="preserve">TEF DO NASCIMENTO ESTETICA LTDA </t>
  </si>
  <si>
    <t>2.1.01.010.0357</t>
  </si>
  <si>
    <t xml:space="preserve">TALITA BOTTAN BORTOLUZZI MEDICINA </t>
  </si>
  <si>
    <t>2.1.01.010.0358</t>
  </si>
  <si>
    <t>TEBEX MED SERVICOS MEDICOS LTDA</t>
  </si>
  <si>
    <t>2.1.01.010.0359</t>
  </si>
  <si>
    <t>TOLEDO E KATAHIRA SC LTDA</t>
  </si>
  <si>
    <t>2.1.01.010.0361</t>
  </si>
  <si>
    <t xml:space="preserve">UDE RIBEIRO E CANEVER MEDICOS </t>
  </si>
  <si>
    <t>2.1.01.010.0363</t>
  </si>
  <si>
    <t>UNEP SERVICOS MEDICOS LTDA</t>
  </si>
  <si>
    <t>2.1.01.010.0364</t>
  </si>
  <si>
    <t xml:space="preserve">UNIDADE DE NEFROLOGIA E </t>
  </si>
  <si>
    <t>2.1.01.010.0366</t>
  </si>
  <si>
    <t>URO CENTER SERV UROLOGICOS LTDA</t>
  </si>
  <si>
    <t>2.1.01.010.0367</t>
  </si>
  <si>
    <t xml:space="preserve">UROGASTRO SERV MED </t>
  </si>
  <si>
    <t>2.1.01.010.0368</t>
  </si>
  <si>
    <t>UROGIN SERVICOS MEDICOS LTDA</t>
  </si>
  <si>
    <t>2.1.01.010.0369</t>
  </si>
  <si>
    <t>UROGYN SERVICOS MEDICOS LTDA EPP</t>
  </si>
  <si>
    <t>2.1.01.010.0370</t>
  </si>
  <si>
    <t>UROMED SERV MEDICOS ESPEC LTDA</t>
  </si>
  <si>
    <t>2.1.01.010.0371</t>
  </si>
  <si>
    <t>UROVALE SC LTDA</t>
  </si>
  <si>
    <t>2.1.01.010.0372</t>
  </si>
  <si>
    <t>VALE MED SERVICOS MEDICOS LTDA</t>
  </si>
  <si>
    <t>2.1.01.010.0373</t>
  </si>
  <si>
    <t xml:space="preserve">VALECLIN LAB ANALISES CLINICAS SC </t>
  </si>
  <si>
    <t>2.1.01.010.0374</t>
  </si>
  <si>
    <t>VALIAS SERVICOS MEDICOS LTDA</t>
  </si>
  <si>
    <t>2.1.01.010.0375</t>
  </si>
  <si>
    <t>VALLIS CARDIOVASCULAR LTDA</t>
  </si>
  <si>
    <t>2.1.01.010.0377</t>
  </si>
  <si>
    <t>VESTA CLINICA MEDIC SC LTDA</t>
  </si>
  <si>
    <t>2.1.01.010.0378</t>
  </si>
  <si>
    <t>VIDA SERVICOS MEDICOS SS LTDA</t>
  </si>
  <si>
    <t>2.1.01.010.0379</t>
  </si>
  <si>
    <t xml:space="preserve">VILELA DOS REIS SERVICOS MEDICOS </t>
  </si>
  <si>
    <t>2.1.01.010.0380</t>
  </si>
  <si>
    <t xml:space="preserve">VITAL CARE CLINICA MEDICA ODONTOL </t>
  </si>
  <si>
    <t>2.1.01.010.0381</t>
  </si>
  <si>
    <t>VOXEL IMAGENS MEDICAS LTDA</t>
  </si>
  <si>
    <t>2.1.01.010.0382</t>
  </si>
  <si>
    <t>WV FERLING SOCIEDADE LTDA</t>
  </si>
  <si>
    <t>2.1.01.010.0383</t>
  </si>
  <si>
    <t xml:space="preserve">YAN YAMAMURAS E AZEREDOS NEURO </t>
  </si>
  <si>
    <t>2.1.01.010.0384</t>
  </si>
  <si>
    <t>YASAMIN SERVICOS MEDICOS LTDA ME</t>
  </si>
  <si>
    <t>2.1.01.010.0385</t>
  </si>
  <si>
    <t>BARICARE SERVICOS MEDICOS SS</t>
  </si>
  <si>
    <t>2.1.01.010.0386</t>
  </si>
  <si>
    <t xml:space="preserve">ALL CARE SERVICOS MEDICOS E </t>
  </si>
  <si>
    <t>2.1.01.010.0387</t>
  </si>
  <si>
    <t>PRONI SERVICOS MEDICOS LTDA</t>
  </si>
  <si>
    <t>2.1.01.010.0388</t>
  </si>
  <si>
    <t xml:space="preserve">GENEROSO E SILVA SERVICOS </t>
  </si>
  <si>
    <t>2.1.01.010.0389</t>
  </si>
  <si>
    <t>INCON INSTITUTO DE CIR. E ONCO LTDA</t>
  </si>
  <si>
    <t>2.1.01.010.0390</t>
  </si>
  <si>
    <t>R &amp; S MP SERVICOS EM SAUDE</t>
  </si>
  <si>
    <t>2.1.01.010.0391</t>
  </si>
  <si>
    <t xml:space="preserve">G T D DE SA &amp; FILHOS SER MED LTDA </t>
  </si>
  <si>
    <t>2.1.01.010.0393</t>
  </si>
  <si>
    <t>CLIN MED E FONO ALMEIDA SS LTDA</t>
  </si>
  <si>
    <t>2.1.01.010.0395</t>
  </si>
  <si>
    <t>CLINICA NAPOLI LTDA - ME</t>
  </si>
  <si>
    <t>2.1.01.010.0397</t>
  </si>
  <si>
    <t>INSTITUTO DE GASTRO E CLIN LTDA</t>
  </si>
  <si>
    <t>2.1.01.010.0398</t>
  </si>
  <si>
    <t xml:space="preserve">MELISSA DE ALMEIDA FRANCIS RIBEIRO </t>
  </si>
  <si>
    <t>2.1.01.010.0399</t>
  </si>
  <si>
    <t>MEDBEN SERVICOS MEDICOS LTDA</t>
  </si>
  <si>
    <t>2.1.01.010.0401</t>
  </si>
  <si>
    <t xml:space="preserve">CLINICA MEDICA ANESTESIOLOGIA GAG </t>
  </si>
  <si>
    <t>2.1.01.010.0402</t>
  </si>
  <si>
    <t>DUQUE CLINICA MEDICA EIRELI</t>
  </si>
  <si>
    <t>2.1.01.010.0403</t>
  </si>
  <si>
    <t xml:space="preserve">MONICA BERGAMO LOPES SERVICOS </t>
  </si>
  <si>
    <t>2.1.01.010.0404</t>
  </si>
  <si>
    <t xml:space="preserve">INTEGRA ACAO CLIN TERAPIAS INT </t>
  </si>
  <si>
    <t>2.1.01.010.0405</t>
  </si>
  <si>
    <t>CLINICA DE GINECO E OBSTETRICIA DB</t>
  </si>
  <si>
    <t>2.1.01.010.0406</t>
  </si>
  <si>
    <t xml:space="preserve">CLIN DE GIN E OBST DRA CAMILA </t>
  </si>
  <si>
    <t>2.1.01.010.0407</t>
  </si>
  <si>
    <t xml:space="preserve">CERVONE E FURLAN CLINICA MEDICA </t>
  </si>
  <si>
    <t>2.1.01.010.0408</t>
  </si>
  <si>
    <t>CLINICA PAES LTDA ME</t>
  </si>
  <si>
    <t>2.1.01.010.0409</t>
  </si>
  <si>
    <t xml:space="preserve">FREITAS OLIVEIRA SERVICOS MEDICOS </t>
  </si>
  <si>
    <t>2.1.01.010.0410</t>
  </si>
  <si>
    <t>FEMME CLINIC LTDA</t>
  </si>
  <si>
    <t>2.1.01.010.0412</t>
  </si>
  <si>
    <t xml:space="preserve">SIMAO E TORRES SERVICOS MEDICOS </t>
  </si>
  <si>
    <t>2.1.01.010.0413</t>
  </si>
  <si>
    <t xml:space="preserve">JZ VIEIRA SERVICOS MEDICOS EM </t>
  </si>
  <si>
    <t>2.1.01.010.0414</t>
  </si>
  <si>
    <t xml:space="preserve">LIV CENTRO DE REUMATOLOGIA E </t>
  </si>
  <si>
    <t>2.1.01.010.0415</t>
  </si>
  <si>
    <t>RODEGHERI SERVIÇOS MEDICOS LTDA</t>
  </si>
  <si>
    <t>2.1.01.010.0417</t>
  </si>
  <si>
    <t>MV SERVIÇOS MEDICOS LTDA</t>
  </si>
  <si>
    <t>2.1.01.010.0419</t>
  </si>
  <si>
    <t xml:space="preserve">SESAM SERVICOS DE SAUDE A MULHER </t>
  </si>
  <si>
    <t>2.1.01.010.0421</t>
  </si>
  <si>
    <t>CLINICA GABRIEL LONA FESTA</t>
  </si>
  <si>
    <t>2.1.01.010.0423</t>
  </si>
  <si>
    <t xml:space="preserve">CARVALHO CAMPOS SERVICOS </t>
  </si>
  <si>
    <t>2.1.01.010.0424</t>
  </si>
  <si>
    <t>REIS E REIS CLINICA MÉDICA LTDA</t>
  </si>
  <si>
    <t>2.1.01.010.0427</t>
  </si>
  <si>
    <t xml:space="preserve">CASALS E CASALS SERV. MEDICOS </t>
  </si>
  <si>
    <t>2.1.01.010.0429</t>
  </si>
  <si>
    <t>CLINICA MEDICA DR. TREVISAN LTDA</t>
  </si>
  <si>
    <t>2.1.01.010.0430</t>
  </si>
  <si>
    <t xml:space="preserve">PLENTZ E PLENTZ DA SILVA SERVICOS </t>
  </si>
  <si>
    <t>2.1.01.010.0431</t>
  </si>
  <si>
    <t>LIDIA  A F GONTIJO EIRELI</t>
  </si>
  <si>
    <t>2.1.01.010.0432</t>
  </si>
  <si>
    <t>PROCTOGIN SERVIÇOS MEDICOS</t>
  </si>
  <si>
    <t>2.1.01.010.0433</t>
  </si>
  <si>
    <t xml:space="preserve">JAP CLINICA MEDICA E GINECOLOGIA </t>
  </si>
  <si>
    <t>2.1.01.010.0434</t>
  </si>
  <si>
    <t xml:space="preserve">GOTE GRUPO DE ORTOPEDIA E </t>
  </si>
  <si>
    <t>2.1.01.010.0435</t>
  </si>
  <si>
    <t>DANIEL TAKASHI SAKANE ME</t>
  </si>
  <si>
    <t>2.1.01.010.0436</t>
  </si>
  <si>
    <t xml:space="preserve">CENTRO DE PREVENCAO E REABIL DE </t>
  </si>
  <si>
    <t>2.1.01.010.0437</t>
  </si>
  <si>
    <t xml:space="preserve">RR PRESTACAO DE SERVICOS MEDICOS </t>
  </si>
  <si>
    <t>2.1.01.010.0438</t>
  </si>
  <si>
    <t>DRL SERVICOS MEDICOS SS LTDA</t>
  </si>
  <si>
    <t>2.1.01.010.0439</t>
  </si>
  <si>
    <t>MUNHOZ SERVICOS MEDICOS LTDA</t>
  </si>
  <si>
    <t>2.1.01.010.0440</t>
  </si>
  <si>
    <t xml:space="preserve">GUSTAVO S. DE LIMA SERVICOS </t>
  </si>
  <si>
    <t>2.1.01.010.0441</t>
  </si>
  <si>
    <t xml:space="preserve">COURA &amp; COURA SERVICOS MEDICOS </t>
  </si>
  <si>
    <t>2.1.01.010.0442</t>
  </si>
  <si>
    <t>BCD SERVICOS MEDICOS LTDA</t>
  </si>
  <si>
    <t>2.1.01.010.0443</t>
  </si>
  <si>
    <t>DELAMARES SERVICOS MEDICOS LTDA</t>
  </si>
  <si>
    <t>2.1.01.010.0444</t>
  </si>
  <si>
    <t>SALUD SENA CLINICA MEDICA LTDA</t>
  </si>
  <si>
    <t>2.1.01.010.0445</t>
  </si>
  <si>
    <t xml:space="preserve">ULTRA MEDIC CLINICA MEDICA E </t>
  </si>
  <si>
    <t>2.1.01.010.0446</t>
  </si>
  <si>
    <t>M.R.F. LACERDA &amp; CIA LTDA</t>
  </si>
  <si>
    <t>2.1.01.010.0447</t>
  </si>
  <si>
    <t xml:space="preserve">MARIANO BITTAR SERVICOS MEDICOS </t>
  </si>
  <si>
    <t>2.1.01.010.0448</t>
  </si>
  <si>
    <t xml:space="preserve">MEDCLIN SERVICOS MEDICOS </t>
  </si>
  <si>
    <t>2.1.01.010.0449</t>
  </si>
  <si>
    <t>CLINICA SHALOM S/S LTDA.</t>
  </si>
  <si>
    <t>2.1.01.010.0450</t>
  </si>
  <si>
    <t>C A LOUBACK SERVICOS MEDICOS LTDA</t>
  </si>
  <si>
    <t>2.1.01.010.0451</t>
  </si>
  <si>
    <t>VALERIA LIMA AMARAL CLINICA MEDICA</t>
  </si>
  <si>
    <t>2.1.01.010.0452</t>
  </si>
  <si>
    <t xml:space="preserve">DENTISTA &amp; PACIENTE CLINICA </t>
  </si>
  <si>
    <t>2.1.01.010.0454</t>
  </si>
  <si>
    <t xml:space="preserve">NAHIME E NACIF SERVICOS MEDICOS </t>
  </si>
  <si>
    <t>2.1.01.010.0455</t>
  </si>
  <si>
    <t xml:space="preserve">NAKAGAWA &amp; BENEDETTO SERVICOS </t>
  </si>
  <si>
    <t>2.1.01.010.0456</t>
  </si>
  <si>
    <t>MED WOOD EIRELI</t>
  </si>
  <si>
    <t>2.1.01.010.0457</t>
  </si>
  <si>
    <t xml:space="preserve">DB CIRINF CLINICA E SERVICOS DE </t>
  </si>
  <si>
    <t>2.1.01.010.0458</t>
  </si>
  <si>
    <t xml:space="preserve">SAO LUCAS CLINICA DE ATENDIMENTO </t>
  </si>
  <si>
    <t>2.1.01.010.0459</t>
  </si>
  <si>
    <t>SSS SERVICOS MEDICOS LTDA</t>
  </si>
  <si>
    <t>2.1.01.010.0460</t>
  </si>
  <si>
    <t xml:space="preserve">MARCONDES PEREIRA SERV MED </t>
  </si>
  <si>
    <t>2.1.01.010.0461</t>
  </si>
  <si>
    <t xml:space="preserve">DANILO AUGUSTO BLANCO DOS </t>
  </si>
  <si>
    <t>2.1.01.010.0463</t>
  </si>
  <si>
    <t xml:space="preserve">REMONDINI FROES SERVICOS MEDICOS </t>
  </si>
  <si>
    <t>2.1.01.010.0466</t>
  </si>
  <si>
    <t xml:space="preserve">PIRES &amp; PIRES SERVICOS MEDICOS </t>
  </si>
  <si>
    <t>2.1.01.010.0467</t>
  </si>
  <si>
    <t xml:space="preserve">CESAR &amp; GUSMAO SERVICOS MEDICOS </t>
  </si>
  <si>
    <t>2.1.01.010.0468</t>
  </si>
  <si>
    <t xml:space="preserve">MEDICAL TECMED SERVICOS EM </t>
  </si>
  <si>
    <t>2.1.01.010.0469</t>
  </si>
  <si>
    <t>R. R. BATISTA EIRELI</t>
  </si>
  <si>
    <t>2.1.01.010.0470</t>
  </si>
  <si>
    <t xml:space="preserve">EVANDRO LIMA E SILVA E CIA SERVICOS </t>
  </si>
  <si>
    <t>2.1.01.010.0471</t>
  </si>
  <si>
    <t>RIBAS SERVICOS MEDICOS EIRELI</t>
  </si>
  <si>
    <t>2.1.01.010.0472</t>
  </si>
  <si>
    <t xml:space="preserve">LOPES MACHADO SERVICOS MEDICOS </t>
  </si>
  <si>
    <t>2.1.01.010.0473</t>
  </si>
  <si>
    <t>JM E JM SAUDE LTDA</t>
  </si>
  <si>
    <t>2.1.01.010.0474</t>
  </si>
  <si>
    <t>GSL CLINICA MEDICA LTDA</t>
  </si>
  <si>
    <t>2.1.01.010.0476</t>
  </si>
  <si>
    <t xml:space="preserve">KARLA DEGANI BABO DI CARLANTONIO </t>
  </si>
  <si>
    <t>2.1.01.010.0477</t>
  </si>
  <si>
    <t>SOUTO RIOS DIAGNOSTICO LTDA</t>
  </si>
  <si>
    <t>2.1.01.010.0478</t>
  </si>
  <si>
    <t>MRB DIAGNOSTICO POR IMAGEM EIRELI</t>
  </si>
  <si>
    <t>2.1.01.010.0479</t>
  </si>
  <si>
    <t>SERMED SS LTDA</t>
  </si>
  <si>
    <t>2.1.01.010.0480</t>
  </si>
  <si>
    <t xml:space="preserve">CTO CENTRO DE TRAUMATOLOGIA </t>
  </si>
  <si>
    <t>2.1.01.010.0482</t>
  </si>
  <si>
    <t xml:space="preserve">RUIZ DE OLIVEIRA SERVICOS MEDICOS </t>
  </si>
  <si>
    <t>2.1.01.010.0483</t>
  </si>
  <si>
    <t xml:space="preserve">MAIA &amp; FERNANDES SERVICOS </t>
  </si>
  <si>
    <t>2.1.01.010.0484</t>
  </si>
  <si>
    <t>VALE SAUDE SERVICOS MEDICOS LTDA</t>
  </si>
  <si>
    <t>2.1.01.010.0485</t>
  </si>
  <si>
    <t xml:space="preserve">CARVALHO &amp; COSTA SERVICOS </t>
  </si>
  <si>
    <t>2.1.01.010.0486</t>
  </si>
  <si>
    <t xml:space="preserve">CLINICA MEDICA SAGGIORO E TAVARES </t>
  </si>
  <si>
    <t>2.1.01.010.0487</t>
  </si>
  <si>
    <t>ELA SERVICOS MEDICOS SS LTDA</t>
  </si>
  <si>
    <t>2.1.01.010.0488</t>
  </si>
  <si>
    <t>MAAP SERVICOS MEDICOS LTDA</t>
  </si>
  <si>
    <t>2.1.01.010.0489</t>
  </si>
  <si>
    <t>RONCONI MIRANDA LTDA</t>
  </si>
  <si>
    <t>2.1.01.020</t>
  </si>
  <si>
    <t>REPASSE HONORARIOS MEDICOS PF</t>
  </si>
  <si>
    <t>2.1.01.020.0007</t>
  </si>
  <si>
    <t>ADRIANE VOLKMANN</t>
  </si>
  <si>
    <t>2.1.01.020.0008</t>
  </si>
  <si>
    <t xml:space="preserve">AGOSTINHO ESAU DE CARVALHO FARIA </t>
  </si>
  <si>
    <t>2.1.01.020.0017</t>
  </si>
  <si>
    <t>AMAURI ROBLEDO GASQUES</t>
  </si>
  <si>
    <t>2.1.01.020.0027</t>
  </si>
  <si>
    <t>ANISUELY BARROS NUNES</t>
  </si>
  <si>
    <t>2.1.01.020.0036</t>
  </si>
  <si>
    <t>AVENIR ISAAC NETO</t>
  </si>
  <si>
    <t>2.1.01.020.0038</t>
  </si>
  <si>
    <t>BARBARA HELOISA ZANCHETTA P DINIZ</t>
  </si>
  <si>
    <t>2.1.01.020.0055</t>
  </si>
  <si>
    <t>CESAR AUGUSTO MADID  TRUYTS</t>
  </si>
  <si>
    <t>2.1.01.020.0056</t>
  </si>
  <si>
    <t>CESAR AUGUSTO MEDEIROS</t>
  </si>
  <si>
    <t>2.1.01.020.0058</t>
  </si>
  <si>
    <t>CESAR MASSAMI YUKITA</t>
  </si>
  <si>
    <t>2.1.01.020.0059</t>
  </si>
  <si>
    <t>CICERO CARDOSO DE SOUZA</t>
  </si>
  <si>
    <t>2.1.01.020.0061</t>
  </si>
  <si>
    <t>CLAUDIO RICARDO FRISON</t>
  </si>
  <si>
    <t>2.1.01.020.0067</t>
  </si>
  <si>
    <t>DANIELA GONCALVES MARINHO</t>
  </si>
  <si>
    <t>2.1.01.020.0082</t>
  </si>
  <si>
    <t>EDUARDO ANTONIO DE FIGUEIREDO</t>
  </si>
  <si>
    <t>2.1.01.020.0083</t>
  </si>
  <si>
    <t>EDUARDO CAPELA GALEAZZI</t>
  </si>
  <si>
    <t>2.1.01.020.0095</t>
  </si>
  <si>
    <t>EZIO BRUGNARA</t>
  </si>
  <si>
    <t>2.1.01.020.0097</t>
  </si>
  <si>
    <t xml:space="preserve">FABIO HENRIQUE CARREIRINHAS </t>
  </si>
  <si>
    <t>2.1.01.020.0100</t>
  </si>
  <si>
    <t>FABIOLA SAWAGUCHI FAIG LEITE</t>
  </si>
  <si>
    <t>2.1.01.020.0103</t>
  </si>
  <si>
    <t>FELIX CRISTIANO FERREIRA DE CASTRO</t>
  </si>
  <si>
    <t>2.1.01.020.0114</t>
  </si>
  <si>
    <t>FRANCISCO ANTONIO COELHO</t>
  </si>
  <si>
    <t>2.1.01.020.0116</t>
  </si>
  <si>
    <t>GABRIEL SIQUEIRA SANTOS</t>
  </si>
  <si>
    <t>2.1.01.020.0118</t>
  </si>
  <si>
    <t>GILBERTO BENEVIDES</t>
  </si>
  <si>
    <t>2.1.01.020.0120</t>
  </si>
  <si>
    <t xml:space="preserve">GISELLE PERPETUO ALBUQUERQUE </t>
  </si>
  <si>
    <t>2.1.01.020.0132</t>
  </si>
  <si>
    <t>IRIO CAVALIERI</t>
  </si>
  <si>
    <t>2.1.01.020.0135</t>
  </si>
  <si>
    <t>ISRAEL DIAMANTE LEIDERMAN</t>
  </si>
  <si>
    <t>2.1.01.020.0138</t>
  </si>
  <si>
    <t>IVETE SATTELMAYER</t>
  </si>
  <si>
    <t>2.1.01.020.0140</t>
  </si>
  <si>
    <t>JANINE RUTH BARNETT</t>
  </si>
  <si>
    <t>2.1.01.020.0141</t>
  </si>
  <si>
    <t>JANUARIO GONCALVES ROBERTO</t>
  </si>
  <si>
    <t>2.1.01.020.0142</t>
  </si>
  <si>
    <t>JESSICA NEGRIS REZENDE</t>
  </si>
  <si>
    <t>2.1.01.020.0154</t>
  </si>
  <si>
    <t>JOSE EDUARDO PULGA</t>
  </si>
  <si>
    <t>2.1.01.020.0157</t>
  </si>
  <si>
    <t>JOSE GUILHERME OTTONI DE ANDRADE</t>
  </si>
  <si>
    <t>2.1.01.020.0159</t>
  </si>
  <si>
    <t>JOSE RONALDO BIGATAO</t>
  </si>
  <si>
    <t>2.1.01.020.0173</t>
  </si>
  <si>
    <t>LEO IKEDA</t>
  </si>
  <si>
    <t>2.1.01.020.0180</t>
  </si>
  <si>
    <t>LIRIS APARECIDA DONIZETI PUGLIERI</t>
  </si>
  <si>
    <t>2.1.01.020.0181</t>
  </si>
  <si>
    <t>LIVIA BISCEGLIE PITOMBO</t>
  </si>
  <si>
    <t>2.1.01.020.0184</t>
  </si>
  <si>
    <t>LUCIANA ALVARENGA CEDARO</t>
  </si>
  <si>
    <t>2.1.01.020.0185</t>
  </si>
  <si>
    <t>LUCIANA ALVAREZ DE CAMPOS MAIA</t>
  </si>
  <si>
    <t>2.1.01.020.0189</t>
  </si>
  <si>
    <t>LUCIENE LAURIA DE SOUZA</t>
  </si>
  <si>
    <t>2.1.01.020.0196</t>
  </si>
  <si>
    <t>LUIZ ANTONIO ANGELO DA SILVA</t>
  </si>
  <si>
    <t>2.1.01.020.0204</t>
  </si>
  <si>
    <t>MARCELO HERING BISSOLI</t>
  </si>
  <si>
    <t>2.1.01.020.0209</t>
  </si>
  <si>
    <t xml:space="preserve">MARCUS ALEXANDRE CAVALCANTE  </t>
  </si>
  <si>
    <t>2.1.01.020.0213</t>
  </si>
  <si>
    <t>MARIA CATALINA GAVILANES COLOMA</t>
  </si>
  <si>
    <t>2.1.01.020.0218</t>
  </si>
  <si>
    <t>MARIA REGINA DA SILVA CASTIGLIO</t>
  </si>
  <si>
    <t>2.1.01.020.0225</t>
  </si>
  <si>
    <t>MARTIN HERMAN HEIDER RODRIGUEZ</t>
  </si>
  <si>
    <t>2.1.01.020.0232</t>
  </si>
  <si>
    <t>MONIQUE DE SOUZA C MATTOS</t>
  </si>
  <si>
    <t>2.1.01.020.0237</t>
  </si>
  <si>
    <t xml:space="preserve">NEREUSA MARTINS DE BARROS </t>
  </si>
  <si>
    <t>2.1.01.020.0239</t>
  </si>
  <si>
    <t>ORLANDO FEIRABEND</t>
  </si>
  <si>
    <t>2.1.01.020.0241</t>
  </si>
  <si>
    <t>OTHON FERRERIA SILVA MALDOS</t>
  </si>
  <si>
    <t>2.1.01.020.0253</t>
  </si>
  <si>
    <t>PEDRO ROBERTO ALVES RIBEIRO</t>
  </si>
  <si>
    <t>2.1.01.020.0254</t>
  </si>
  <si>
    <t>PEDRO SERGIO MELO GUIMARAES</t>
  </si>
  <si>
    <t>2.1.01.020.0262</t>
  </si>
  <si>
    <t>RICARDO JOSE LEITE FILHO</t>
  </si>
  <si>
    <t>2.1.01.020.0270</t>
  </si>
  <si>
    <t>RODRIGO SANTANA CANOAS</t>
  </si>
  <si>
    <t>2.1.01.020.0271</t>
  </si>
  <si>
    <t xml:space="preserve">ROGERIO AUGUSTO DA SILVA </t>
  </si>
  <si>
    <t>2.1.01.020.0273</t>
  </si>
  <si>
    <t>ROGERIO LEONE TEIXEIRA CUNHA</t>
  </si>
  <si>
    <t>2.1.01.020.0286</t>
  </si>
  <si>
    <t>SAMUEL HENRIQUE MANDELBAUM</t>
  </si>
  <si>
    <t>2.1.01.020.0306</t>
  </si>
  <si>
    <t xml:space="preserve">URBANO ANDRADE PEIXOTO DE </t>
  </si>
  <si>
    <t>2.1.01.020.0315</t>
  </si>
  <si>
    <t>VITOR PAIVA VIEIRA</t>
  </si>
  <si>
    <t>2.1.01.020.0316</t>
  </si>
  <si>
    <t>WALDECYR DE CASTRO LIMA</t>
  </si>
  <si>
    <t>2.1.01.020.0320</t>
  </si>
  <si>
    <t xml:space="preserve"> ALINE CRISTINA MELO FERRARI</t>
  </si>
  <si>
    <t>2.1.01.020.0325</t>
  </si>
  <si>
    <t>CASTRO E LUCIANO SERV MED</t>
  </si>
  <si>
    <t>2.1.01.020.0326</t>
  </si>
  <si>
    <t>CINTHIA MACEDO SPECIAN</t>
  </si>
  <si>
    <t>2.1.01.020.0333</t>
  </si>
  <si>
    <t>D.M.R. SERVICOS MEDICOS SS LTDA</t>
  </si>
  <si>
    <t>2.1.01.020.0339</t>
  </si>
  <si>
    <t>IARA DE ALMEIDA RESENDE</t>
  </si>
  <si>
    <t>2.1.01.020.0343</t>
  </si>
  <si>
    <t xml:space="preserve">M.H. SUGISAWA SERVICOS MEDICOS </t>
  </si>
  <si>
    <t>2.1.01.020.0349</t>
  </si>
  <si>
    <t>MELO E FREITAS SERV MED LTDA</t>
  </si>
  <si>
    <t>2.1.01.020.0353</t>
  </si>
  <si>
    <t>NEUROMEDICAL SERV MED EIRELI</t>
  </si>
  <si>
    <t>2.1.01.020.0355</t>
  </si>
  <si>
    <t>REBECHI, MOTA &amp; FROIO LTDA</t>
  </si>
  <si>
    <t>2.1.01.020.0356</t>
  </si>
  <si>
    <t xml:space="preserve">RIBEIRO E KANAMAW CON SER MED </t>
  </si>
  <si>
    <t>2.1.01.020.0357</t>
  </si>
  <si>
    <t>RONALO PINHEIRO NASSUR</t>
  </si>
  <si>
    <t>2.1.01.020.0361</t>
  </si>
  <si>
    <t>VIVA LIGHT CLINICA MÉDICA LTDA</t>
  </si>
  <si>
    <t>2.1.01.020.0365</t>
  </si>
  <si>
    <t>RODOLFO HENRIQUE DE CARVALHO</t>
  </si>
  <si>
    <t>2.1.01.020.0370</t>
  </si>
  <si>
    <t>SIMONE MARIA NESTARES</t>
  </si>
  <si>
    <t>2.1.01.020.0373</t>
  </si>
  <si>
    <t>MARCIA MARTINS VIAL</t>
  </si>
  <si>
    <t>2.1.01.020.0382</t>
  </si>
  <si>
    <t>WANDERLEY CRESTONI FERNANDES</t>
  </si>
  <si>
    <t>2.1.01.020.0383</t>
  </si>
  <si>
    <t>MARIANA NOVAES DE SOUZA</t>
  </si>
  <si>
    <t>2.1.01.020.0388</t>
  </si>
  <si>
    <t>GIOVANNA DE ARAUJO HORCEL</t>
  </si>
  <si>
    <t>2.1.01.020.0412</t>
  </si>
  <si>
    <t>MICHELE MARIA DOS REIS FEROLDI</t>
  </si>
  <si>
    <t>2.1.01.020.0429</t>
  </si>
  <si>
    <t xml:space="preserve">JOSE ROBERTO VASCONCELOS </t>
  </si>
  <si>
    <t>2.1.01.020.0430</t>
  </si>
  <si>
    <t>LARISSA DE OLIVEIRA SOUZA BELTRAO</t>
  </si>
  <si>
    <t>2.1.01.020.0431</t>
  </si>
  <si>
    <t>LUDIMILA OLIVEIRA BALBINO</t>
  </si>
  <si>
    <t>2.1.01.020.0432</t>
  </si>
  <si>
    <t>ANA CRISTINA REIS LAGES</t>
  </si>
  <si>
    <t>2.1.01.020.0434</t>
  </si>
  <si>
    <t>ADRIANA GOMES LACERDA</t>
  </si>
  <si>
    <t>2.1.01.020.0435</t>
  </si>
  <si>
    <t>ANDRE CARVALHO PAULINO DA COSTA</t>
  </si>
  <si>
    <t>2.1.01.020.0437</t>
  </si>
  <si>
    <t>CHRISTIANE MARIA VILLELA TOLEDO</t>
  </si>
  <si>
    <t>2.1.01.020.0438</t>
  </si>
  <si>
    <t>MARCOS VAZ DE LIMA</t>
  </si>
  <si>
    <t>2.1.01.020.0439</t>
  </si>
  <si>
    <t xml:space="preserve">MARCELO APPARICIO FERNANDES </t>
  </si>
  <si>
    <t>2.1.01.020.0440</t>
  </si>
  <si>
    <t>PEDRO AUGUSTO PASCOLI</t>
  </si>
  <si>
    <t>2.1.01.020.0443</t>
  </si>
  <si>
    <t xml:space="preserve">LINA PINHEIRO MARQUES GONCALVES </t>
  </si>
  <si>
    <t>2.1.01.020.0444</t>
  </si>
  <si>
    <t>CAIO HENRIQUE SILVA</t>
  </si>
  <si>
    <t>2.1.01.020.0445</t>
  </si>
  <si>
    <t>FABIO AUGUSTO CAPORRINO</t>
  </si>
  <si>
    <t>2.1.01.020.0446</t>
  </si>
  <si>
    <t>ALCEDIR RAISER LIMA</t>
  </si>
  <si>
    <t>2.1.01.020.0447</t>
  </si>
  <si>
    <t>VITORIA REGIA REIS RABELO BECKER</t>
  </si>
  <si>
    <t>2.1.01.021</t>
  </si>
  <si>
    <t>HONORARIOS DIVERSOS A PAGAR.</t>
  </si>
  <si>
    <t>2.1.01.021.0001</t>
  </si>
  <si>
    <t>HONORARIOS MEDICOS PJ/PF</t>
  </si>
  <si>
    <t>2.1.02</t>
  </si>
  <si>
    <t>OBRIGACOES</t>
  </si>
  <si>
    <t>2.1.02.010</t>
  </si>
  <si>
    <t>OBRIGACOES TRABALHISTAS</t>
  </si>
  <si>
    <t>2.1.02.010.0001</t>
  </si>
  <si>
    <t xml:space="preserve">SALARIOS A PAGAR </t>
  </si>
  <si>
    <t>2.1.02.010.0002</t>
  </si>
  <si>
    <t xml:space="preserve">RESCISOES CONTRATUAIS A PAGAR </t>
  </si>
  <si>
    <t>2.1.02.020</t>
  </si>
  <si>
    <t>PROVISOES TRABALHISTAS</t>
  </si>
  <si>
    <t>2.1.02.020.0002</t>
  </si>
  <si>
    <t>PROVISAO DE FERIAS</t>
  </si>
  <si>
    <t>2.1.02.020.0003</t>
  </si>
  <si>
    <t>PROVISAO PARA 13º SALARIO</t>
  </si>
  <si>
    <t>2.1.02.030</t>
  </si>
  <si>
    <t xml:space="preserve">OUTROS OBRIGACOES </t>
  </si>
  <si>
    <t>2.1.02.030.0001</t>
  </si>
  <si>
    <t xml:space="preserve">ACORDO TRABALHISTA </t>
  </si>
  <si>
    <t>2.1.02.030.0003</t>
  </si>
  <si>
    <t xml:space="preserve">CONVENIO FARMACIA </t>
  </si>
  <si>
    <t>2.1.02.030.0004</t>
  </si>
  <si>
    <t>CONVENIO ODONTOLOGICO</t>
  </si>
  <si>
    <t>2.1.02.030.0005</t>
  </si>
  <si>
    <t xml:space="preserve">EMPRESTIMO CONSIGNADO DESCONTO </t>
  </si>
  <si>
    <t>2.1.02.030.0007</t>
  </si>
  <si>
    <t xml:space="preserve">PENSAO ALIMENTICA </t>
  </si>
  <si>
    <t>2.1.02.030.0008</t>
  </si>
  <si>
    <t xml:space="preserve">LANCHONETE </t>
  </si>
  <si>
    <t>2.1.02.030.0010</t>
  </si>
  <si>
    <t>CONVENIO THERMAS DO VALE</t>
  </si>
  <si>
    <t>2.1.02.030.0012</t>
  </si>
  <si>
    <t>ESTAGIARIOS E TEMPORARIOS</t>
  </si>
  <si>
    <t>2.1.02.040</t>
  </si>
  <si>
    <t xml:space="preserve">OBRIGACOES </t>
  </si>
  <si>
    <t>2.1.02.040.0001</t>
  </si>
  <si>
    <t xml:space="preserve">CONTRIBUICOES PREVIDENCIARIAS </t>
  </si>
  <si>
    <t>2.1.02.040.0002</t>
  </si>
  <si>
    <t xml:space="preserve">FGTS A RECOLHER </t>
  </si>
  <si>
    <t>2.1.02.040.0003</t>
  </si>
  <si>
    <t>FGTS A RECOLHER - MULTA</t>
  </si>
  <si>
    <t>2.1.02.040.0004</t>
  </si>
  <si>
    <t>0561 IRRF COLABORADOR</t>
  </si>
  <si>
    <t>2.1.02.040.0006</t>
  </si>
  <si>
    <t>0588 IRRF TERCEIROS PF</t>
  </si>
  <si>
    <t>2.1.02.040.0007</t>
  </si>
  <si>
    <t xml:space="preserve">1708 IRRF TERCEIROS PJ </t>
  </si>
  <si>
    <t>2.1.02.040.0008</t>
  </si>
  <si>
    <t xml:space="preserve">3208 IRRF TERCEIROS ALUGUEIS  </t>
  </si>
  <si>
    <t>2.1.02.040.0010</t>
  </si>
  <si>
    <t>2.1.02.040.0011</t>
  </si>
  <si>
    <t xml:space="preserve">5952 RETENCOES CSSL COFINS PIS A </t>
  </si>
  <si>
    <t>2.1.02.050</t>
  </si>
  <si>
    <t xml:space="preserve">PARCELAMENTO DE TRIBUTOS E </t>
  </si>
  <si>
    <t>2.1.02.050.0008</t>
  </si>
  <si>
    <t xml:space="preserve">1345 MULTA PARCELAMENTO </t>
  </si>
  <si>
    <t>2.1.02.050.0015</t>
  </si>
  <si>
    <t xml:space="preserve">FGTS PARCELAMENTO </t>
  </si>
  <si>
    <t>2.1.02.050.0016</t>
  </si>
  <si>
    <t xml:space="preserve">1734- REPARCELAMENTO MULTA CLT </t>
  </si>
  <si>
    <t>2.1.02.050.0017</t>
  </si>
  <si>
    <t>ISS - PARCELAMENTO</t>
  </si>
  <si>
    <t>2.1.02.051</t>
  </si>
  <si>
    <t>(-) JUROS A APROPRIAR  IRRF</t>
  </si>
  <si>
    <t>2.1.02.051.0001</t>
  </si>
  <si>
    <t>2.1.02.051.0002</t>
  </si>
  <si>
    <t>(-) JUROS APROPRIAR ISS</t>
  </si>
  <si>
    <t>2.1.02.060</t>
  </si>
  <si>
    <t>CONTRIBUICOES</t>
  </si>
  <si>
    <t>2.1.02.060.0001</t>
  </si>
  <si>
    <t xml:space="preserve">CONTRIBUICAO CONFEDERATIVA </t>
  </si>
  <si>
    <t>2.1.02.060.0002</t>
  </si>
  <si>
    <t>CONTRIBUICOES SINDICAL ANUAL</t>
  </si>
  <si>
    <t>2.1.02.060.0003</t>
  </si>
  <si>
    <t>MENSALIDADE SINDICATO</t>
  </si>
  <si>
    <t>2.1.02.070</t>
  </si>
  <si>
    <t>IMPOSTOS MUNICIPAIS</t>
  </si>
  <si>
    <t>2.1.02.070.0001</t>
  </si>
  <si>
    <t>IPTU TERCEIROS</t>
  </si>
  <si>
    <t>2.1.02.070.0002</t>
  </si>
  <si>
    <t xml:space="preserve">ISS IMPOSTO SOBRE SERVICOS RETIDO </t>
  </si>
  <si>
    <t>2.1.02.070.0003</t>
  </si>
  <si>
    <t>IPVA</t>
  </si>
  <si>
    <t>2.1.03</t>
  </si>
  <si>
    <t xml:space="preserve">EMPRESTIMOS E FINANCIAMENTOS A </t>
  </si>
  <si>
    <t>2.1.03.010</t>
  </si>
  <si>
    <t xml:space="preserve">EMPRESTIMOS </t>
  </si>
  <si>
    <t>2.1.03.010.0006</t>
  </si>
  <si>
    <t>CAIXA ECONOMICA FEDERAL CC 97-7</t>
  </si>
  <si>
    <t>2.1.03.010.0009</t>
  </si>
  <si>
    <t>BANCO DO BRASIL CC 1280-7</t>
  </si>
  <si>
    <t>2.1.03.010.0012</t>
  </si>
  <si>
    <t>BANCO SANTANDER BANESPA CC 13-</t>
  </si>
  <si>
    <t>2.1.03.010.0013</t>
  </si>
  <si>
    <t xml:space="preserve">DESENVOLVE SP AG FOMENTO DO EST </t>
  </si>
  <si>
    <t>2.1.03.010.0014</t>
  </si>
  <si>
    <t xml:space="preserve">CARTAO CREDITO OUROCARD BCO </t>
  </si>
  <si>
    <t>2.1.03.010.0015</t>
  </si>
  <si>
    <t>CARTAO CREDITO BANCO SAFRA</t>
  </si>
  <si>
    <t>2.1.03.020</t>
  </si>
  <si>
    <t xml:space="preserve">(-) JUROS A APROPRIAR </t>
  </si>
  <si>
    <t>2.1.03.020.0001</t>
  </si>
  <si>
    <t xml:space="preserve">(-)JUROS A APROPRIAR - CAIXA </t>
  </si>
  <si>
    <t>2.1.03.020.0004</t>
  </si>
  <si>
    <t xml:space="preserve">(-)JUROS A APROPRIAR - BANCO </t>
  </si>
  <si>
    <t>2.1.03.020.0009</t>
  </si>
  <si>
    <t xml:space="preserve">(-)JUROS A APROPRIAR - DESENV S P </t>
  </si>
  <si>
    <t>2.1.03.020.0010</t>
  </si>
  <si>
    <t xml:space="preserve">(-)JUROS APROP - BCO DO BRASIL - C/C </t>
  </si>
  <si>
    <t>2.1.03.020.0011</t>
  </si>
  <si>
    <t xml:space="preserve">(-)JUROS A APROPRIAR </t>
  </si>
  <si>
    <t>2.1.03.030</t>
  </si>
  <si>
    <t>FINANCIAMENTOS</t>
  </si>
  <si>
    <t>2.1.03.030.0004</t>
  </si>
  <si>
    <t xml:space="preserve">CARTAO BNDES </t>
  </si>
  <si>
    <t>2.1.03.030.0005</t>
  </si>
  <si>
    <t>SANTANDER LEASING SA</t>
  </si>
  <si>
    <t>2.1.03.030.0006</t>
  </si>
  <si>
    <t>SANTANDER FINAME 1990-5</t>
  </si>
  <si>
    <t>2.1.03.040</t>
  </si>
  <si>
    <t xml:space="preserve">(-) JUROS APROPRIAR S/ </t>
  </si>
  <si>
    <t>2.1.03.040.0001</t>
  </si>
  <si>
    <t>2.1.03.040.0002</t>
  </si>
  <si>
    <t>2.1.03.040.0003</t>
  </si>
  <si>
    <t xml:space="preserve">(-) JUROS A APROPRIAR S/ FINANC </t>
  </si>
  <si>
    <t>2.1.04</t>
  </si>
  <si>
    <t>FORNECEDORES</t>
  </si>
  <si>
    <t>2.1.04.010</t>
  </si>
  <si>
    <t>FORNECEDORES DE BENS</t>
  </si>
  <si>
    <t>2.1.04.010.0003</t>
  </si>
  <si>
    <t xml:space="preserve"> AIR LIQUIDE BRASIL LTDA</t>
  </si>
  <si>
    <t>2.1.04.010.0004</t>
  </si>
  <si>
    <t xml:space="preserve"> ALEXANDRE B DOS SANTOS </t>
  </si>
  <si>
    <t>2.1.04.010.0012</t>
  </si>
  <si>
    <t>A7 SISTEMAS PARA HIGIENE LTDA.</t>
  </si>
  <si>
    <t>2.1.04.010.0014</t>
  </si>
  <si>
    <t xml:space="preserve">ACTION MEDICAL COMERCIO DE PROD </t>
  </si>
  <si>
    <t>2.1.04.010.0016</t>
  </si>
  <si>
    <t>AEROTEX EXTINTORES LTDA EPP</t>
  </si>
  <si>
    <t>2.1.04.010.0019</t>
  </si>
  <si>
    <t>AGROPECUARIA BOMY LTDA EPP</t>
  </si>
  <si>
    <t>2.1.04.010.0022</t>
  </si>
  <si>
    <t xml:space="preserve">ALEXANDRE EDUARDO DIAS ARAUJO </t>
  </si>
  <si>
    <t>2.1.04.010.0023</t>
  </si>
  <si>
    <t xml:space="preserve">ALIANCA COM MAT HOSPITALAR LTDA </t>
  </si>
  <si>
    <t>2.1.04.010.0024</t>
  </si>
  <si>
    <t xml:space="preserve">ALICE EQUIPAMENTOS MEDICOS DO </t>
  </si>
  <si>
    <t>2.1.04.010.0026</t>
  </si>
  <si>
    <t xml:space="preserve">ALLENT COM IMP E DISTRIB DE MAT </t>
  </si>
  <si>
    <t>2.1.04.010.0028</t>
  </si>
  <si>
    <t>ALQUILABOR COMERCIAL LTDA EPP</t>
  </si>
  <si>
    <t>2.1.04.010.0030</t>
  </si>
  <si>
    <t>ALVINOS CONFEITARIA E BUFFET LTDA</t>
  </si>
  <si>
    <t>2.1.04.010.0034</t>
  </si>
  <si>
    <t xml:space="preserve">AMBICAMP COLETA E DESTINACAO DE </t>
  </si>
  <si>
    <t>2.1.04.010.0035</t>
  </si>
  <si>
    <t>AMBIOTON IMPORTADORA LTDA</t>
  </si>
  <si>
    <t>2.1.04.010.0036</t>
  </si>
  <si>
    <t>AMEX COMERCIAL ELETRICA LTDA ME</t>
  </si>
  <si>
    <t>2.1.04.010.0048</t>
  </si>
  <si>
    <t xml:space="preserve">ARENA SUPRIM MED COML IMP E EXP </t>
  </si>
  <si>
    <t>2.1.04.010.0049</t>
  </si>
  <si>
    <t>ARJONA E CARVALHO COMERCIAL LTDA</t>
  </si>
  <si>
    <t>2.1.04.010.0053</t>
  </si>
  <si>
    <t>ATIVA COMERCIAL HOSPITALAR LTDA</t>
  </si>
  <si>
    <t>2.1.04.010.0056</t>
  </si>
  <si>
    <t>ATUAL VALE COML DIST EIRELI</t>
  </si>
  <si>
    <t>2.1.04.010.0057</t>
  </si>
  <si>
    <t>AUTO SUTURE DO BRASIL LTDA</t>
  </si>
  <si>
    <t>2.1.04.010.0062</t>
  </si>
  <si>
    <t>B C DE CAMPOS GUIMARAES ME</t>
  </si>
  <si>
    <t>2.1.04.010.0063</t>
  </si>
  <si>
    <t xml:space="preserve">BADEIA COMERCIO E IMPORTACAO </t>
  </si>
  <si>
    <t>2.1.04.010.0064</t>
  </si>
  <si>
    <t xml:space="preserve">BAMBOO RESTAURANTE E BAR </t>
  </si>
  <si>
    <t>2.1.04.010.0066</t>
  </si>
  <si>
    <t>BAYER SA</t>
  </si>
  <si>
    <t>2.1.04.010.0067</t>
  </si>
  <si>
    <t xml:space="preserve">BCR COM PROD NUTRICIONAIS HOSP </t>
  </si>
  <si>
    <t>2.1.04.010.0068</t>
  </si>
  <si>
    <t xml:space="preserve">BELIVE COMERCIO DE PRODUTOS </t>
  </si>
  <si>
    <t>2.1.04.010.0069</t>
  </si>
  <si>
    <t xml:space="preserve">BENEDITA DE CASSIA DE ALMEIDA </t>
  </si>
  <si>
    <t>2.1.04.010.0071</t>
  </si>
  <si>
    <t xml:space="preserve">BIO SINTESE COM E DISTR ART MED E </t>
  </si>
  <si>
    <t>2.1.04.010.0075</t>
  </si>
  <si>
    <t xml:space="preserve">BIOMEDICAL MEDICAM E PROD MED </t>
  </si>
  <si>
    <t>2.1.04.010.0081</t>
  </si>
  <si>
    <t>BIOTRONIK INDUSTRIA E COM LTDA</t>
  </si>
  <si>
    <t>2.1.04.010.0083</t>
  </si>
  <si>
    <t xml:space="preserve">BM9 COMERCIO DE MAT CIRURGICOS </t>
  </si>
  <si>
    <t>2.1.04.010.0086</t>
  </si>
  <si>
    <t>BOSTON SCIENTIFIC DO BRASIL LTDA</t>
  </si>
  <si>
    <t>2.1.04.010.0094</t>
  </si>
  <si>
    <t xml:space="preserve">C S DEABREU ARTIGOS DE HIGIENE </t>
  </si>
  <si>
    <t>2.1.04.010.0099</t>
  </si>
  <si>
    <t xml:space="preserve">CARDIO E ENDO LUMINAL PROD </t>
  </si>
  <si>
    <t>2.1.04.010.0100</t>
  </si>
  <si>
    <t>CARDIOLAINE COM MAT HOSP LTDA</t>
  </si>
  <si>
    <t>2.1.04.010.0103</t>
  </si>
  <si>
    <t xml:space="preserve">CASA DE FERRAGENS MARONESE LTDA </t>
  </si>
  <si>
    <t>2.1.04.010.0105</t>
  </si>
  <si>
    <t>CASA DOS BEBEDOUROS LTDA</t>
  </si>
  <si>
    <t>2.1.04.010.0108</t>
  </si>
  <si>
    <t xml:space="preserve">CEI COMERCIO EXPORTACAO E IMP DE </t>
  </si>
  <si>
    <t>2.1.04.010.0110</t>
  </si>
  <si>
    <t>CENTRAL DE AVIAMENTOS SJCAMPOS</t>
  </si>
  <si>
    <t>2.1.04.010.0111</t>
  </si>
  <si>
    <t>CENTRO PAULISTA DE DESENV.</t>
  </si>
  <si>
    <t>2.1.04.010.0112</t>
  </si>
  <si>
    <t xml:space="preserve">CENTRO VALE COM. PROD. </t>
  </si>
  <si>
    <t>2.1.04.010.0114</t>
  </si>
  <si>
    <t xml:space="preserve">CHIESI FARMACEUTICA LTDA </t>
  </si>
  <si>
    <t>2.1.04.010.0115</t>
  </si>
  <si>
    <t xml:space="preserve">CHOLMED COMERICAL HOSPITALAR </t>
  </si>
  <si>
    <t>2.1.04.010.0116</t>
  </si>
  <si>
    <t xml:space="preserve">CICAP CENTRO DE IMUNO HISTOQ </t>
  </si>
  <si>
    <t>2.1.04.010.0119</t>
  </si>
  <si>
    <t xml:space="preserve">CINCO CONFIANCA INDUSTRIA E </t>
  </si>
  <si>
    <t>2.1.04.010.0120</t>
  </si>
  <si>
    <t xml:space="preserve">CIRURGICA BRASIL COMERCIAL </t>
  </si>
  <si>
    <t>2.1.04.010.0121</t>
  </si>
  <si>
    <t>CIRURGICA FERNANDES LTDA</t>
  </si>
  <si>
    <t>2.1.04.010.0122</t>
  </si>
  <si>
    <t>CIRURGICA OLIMPIO LTDA</t>
  </si>
  <si>
    <t>2.1.04.010.0123</t>
  </si>
  <si>
    <t>CIRURGICA SAO JOSE LTDA</t>
  </si>
  <si>
    <t>2.1.04.010.0125</t>
  </si>
  <si>
    <t xml:space="preserve">CIRUVALE COM DE MATERIAL </t>
  </si>
  <si>
    <t>2.1.04.010.0126</t>
  </si>
  <si>
    <t xml:space="preserve">CITOPHARMA MANIPULACAO DE </t>
  </si>
  <si>
    <t>2.1.04.010.0132</t>
  </si>
  <si>
    <t>CM HOSPITALAR LTDA</t>
  </si>
  <si>
    <t>2.1.04.010.0135</t>
  </si>
  <si>
    <t>COMERCIAL AGRICOLA SILVEIRA LTDA</t>
  </si>
  <si>
    <t>2.1.04.010.0136</t>
  </si>
  <si>
    <t xml:space="preserve">COMERCIAL CAPIZZANI FORROS E </t>
  </si>
  <si>
    <t>2.1.04.010.0137</t>
  </si>
  <si>
    <t xml:space="preserve">COMERCIAL CENTER CALHAS PAULISTA </t>
  </si>
  <si>
    <t>2.1.04.010.0138</t>
  </si>
  <si>
    <t xml:space="preserve">COMERCIAL CIRURGICA RIOCLARENSE </t>
  </si>
  <si>
    <t>2.1.04.010.0142</t>
  </si>
  <si>
    <t>COMERCIAL S F MENDONCA LTDA ME</t>
  </si>
  <si>
    <t>2.1.04.010.0146</t>
  </si>
  <si>
    <t>COMERCIAL ZARAGOZA IMP E EXP LTDA</t>
  </si>
  <si>
    <t>2.1.04.010.0150</t>
  </si>
  <si>
    <t xml:space="preserve">COMISSAO NACIONAL DE ENERGIA </t>
  </si>
  <si>
    <t>2.1.04.010.0152</t>
  </si>
  <si>
    <t xml:space="preserve">CONECTION WORLD COM.E </t>
  </si>
  <si>
    <t>2.1.04.010.0154</t>
  </si>
  <si>
    <t xml:space="preserve">CONSORCIO 123 SAO JOSE PASSES </t>
  </si>
  <si>
    <t>2.1.04.010.0156</t>
  </si>
  <si>
    <t xml:space="preserve">CONTATTI COMERCIO E </t>
  </si>
  <si>
    <t>2.1.04.010.0157</t>
  </si>
  <si>
    <t xml:space="preserve">COOPER COOPERATIVA DE LATICINIOS </t>
  </si>
  <si>
    <t>2.1.04.010.0158</t>
  </si>
  <si>
    <t xml:space="preserve">COPOLFOOD COM PROD ALIM LTDA </t>
  </si>
  <si>
    <t>2.1.04.010.0159</t>
  </si>
  <si>
    <t xml:space="preserve">CORTICAL VALE COM SERV CIRURGICO </t>
  </si>
  <si>
    <t>2.1.04.010.0162</t>
  </si>
  <si>
    <t xml:space="preserve">CRISMED COMERCIAL HOSPITALAR </t>
  </si>
  <si>
    <t>2.1.04.010.0163</t>
  </si>
  <si>
    <t xml:space="preserve">CRISTAL DISTRIB DE MEDICAMENTOS  </t>
  </si>
  <si>
    <t>2.1.04.010.0164</t>
  </si>
  <si>
    <t xml:space="preserve">CRISTALIA PROD QUIMICOS </t>
  </si>
  <si>
    <t>2.1.04.010.0165</t>
  </si>
  <si>
    <t xml:space="preserve">DALPRAT COM DE CARRINHOS E </t>
  </si>
  <si>
    <t>2.1.04.010.0167</t>
  </si>
  <si>
    <t>DAVI ARAGAO DA SILVA ME</t>
  </si>
  <si>
    <t>2.1.04.010.0169</t>
  </si>
  <si>
    <t xml:space="preserve">DBACOMP TECNOLOGIA DE </t>
  </si>
  <si>
    <t>2.1.04.010.0177</t>
  </si>
  <si>
    <t>DIEGO FARIA LENZI DE LEMOS ME</t>
  </si>
  <si>
    <t>2.1.04.010.0180</t>
  </si>
  <si>
    <t>DIGIPLAS COMERCIAL LTDA FILIAL</t>
  </si>
  <si>
    <t>2.1.04.010.0186</t>
  </si>
  <si>
    <t xml:space="preserve">DISTRILAF DISTRIBUIDORA DE </t>
  </si>
  <si>
    <t>2.1.04.010.0190</t>
  </si>
  <si>
    <t xml:space="preserve">DPM VALE COM PROD CIRURGICOS </t>
  </si>
  <si>
    <t>2.1.04.010.0192</t>
  </si>
  <si>
    <t>DROGAPAR SAO DIMAS LTDA ME</t>
  </si>
  <si>
    <t>2.1.04.010.0193</t>
  </si>
  <si>
    <t>DROGARIA CORRA LTDA ME</t>
  </si>
  <si>
    <t>2.1.04.010.0195</t>
  </si>
  <si>
    <t>DROGARIA SAO PAULO SA</t>
  </si>
  <si>
    <t>2.1.04.010.0197</t>
  </si>
  <si>
    <t>DSI DROGARIA LTDA</t>
  </si>
  <si>
    <t>2.1.04.010.0199</t>
  </si>
  <si>
    <t xml:space="preserve">DUPATRI HOSPITALAR COMERCIAL </t>
  </si>
  <si>
    <t>2.1.04.010.0200</t>
  </si>
  <si>
    <t>DUPLEX EMBALAGENS ESPECIAIS LTDA</t>
  </si>
  <si>
    <t>2.1.04.010.0201</t>
  </si>
  <si>
    <t>EC RAPOSO BALANCAS ME</t>
  </si>
  <si>
    <t>2.1.04.010.0205</t>
  </si>
  <si>
    <t xml:space="preserve">ECO CLEAN COM PROD EQUIP HIG LIMP </t>
  </si>
  <si>
    <t>2.1.04.010.0209</t>
  </si>
  <si>
    <t>EDLO SA PRODUTOS MEDICOS</t>
  </si>
  <si>
    <t>2.1.04.010.0219</t>
  </si>
  <si>
    <t xml:space="preserve">ELETRO CENTRO MATS ELETRICOS </t>
  </si>
  <si>
    <t>2.1.04.010.0222</t>
  </si>
  <si>
    <t xml:space="preserve">ELEV STATION COM PECAS E MANUT </t>
  </si>
  <si>
    <t>2.1.04.010.0223</t>
  </si>
  <si>
    <t>ELFA MEDICAMENTOS LTDA</t>
  </si>
  <si>
    <t>2.1.04.010.0224</t>
  </si>
  <si>
    <t xml:space="preserve">EMILIO CENTRO AUTOMOTIVO LTDA </t>
  </si>
  <si>
    <t>2.1.04.010.0225</t>
  </si>
  <si>
    <t xml:space="preserve">EMPORIO HOSPITALAR COM PROD </t>
  </si>
  <si>
    <t>2.1.04.010.0226</t>
  </si>
  <si>
    <t xml:space="preserve">EMPORIO MEDICO COM DE PROD CIRUR </t>
  </si>
  <si>
    <t>2.1.04.010.0231</t>
  </si>
  <si>
    <t xml:space="preserve">ERALUX IND E COM DE ILUMINACAO </t>
  </si>
  <si>
    <t>2.1.04.010.0234</t>
  </si>
  <si>
    <t xml:space="preserve">EVMED PRODUTOS MEDICOS </t>
  </si>
  <si>
    <t>2.1.04.010.0238</t>
  </si>
  <si>
    <t xml:space="preserve">EXCELENCIA DO PAO PADARIA E </t>
  </si>
  <si>
    <t>2.1.04.010.0240</t>
  </si>
  <si>
    <t xml:space="preserve">EXPRESSMEDICAL COM ATAC VAR </t>
  </si>
  <si>
    <t>2.1.04.010.0241</t>
  </si>
  <si>
    <t>F DE PAULA M ALBUQUERQUE</t>
  </si>
  <si>
    <t>2.1.04.010.0248</t>
  </si>
  <si>
    <t>FARMATER MEDICAMENTOS LTDA EPP</t>
  </si>
  <si>
    <t>2.1.04.010.0257</t>
  </si>
  <si>
    <t xml:space="preserve">FILTROS E SECADORES EQUIP </t>
  </si>
  <si>
    <t>2.1.04.010.0260</t>
  </si>
  <si>
    <t>FLAVIO CESAR MENDES 29382675841</t>
  </si>
  <si>
    <t>2.1.04.010.0263</t>
  </si>
  <si>
    <t>FLORICULTURA YOSHIDA LTDA ME</t>
  </si>
  <si>
    <t>2.1.04.010.0267</t>
  </si>
  <si>
    <t xml:space="preserve">FONTELAB COM EQUIP HOSPITALARES </t>
  </si>
  <si>
    <t>2.1.04.010.0269</t>
  </si>
  <si>
    <t xml:space="preserve">FRANCISCO RODRIGUES DE ANDRADE </t>
  </si>
  <si>
    <t>2.1.04.010.0270</t>
  </si>
  <si>
    <t>FRESENIUS MEDICAL CARE LTDA</t>
  </si>
  <si>
    <t>2.1.04.010.0272</t>
  </si>
  <si>
    <t xml:space="preserve">FRIOSHOPPING COME SERV REFRIG </t>
  </si>
  <si>
    <t>2.1.04.010.0280</t>
  </si>
  <si>
    <t xml:space="preserve">GERIR ORGANIZ E DIGITALIZACAO DE </t>
  </si>
  <si>
    <t>2.1.04.010.0281</t>
  </si>
  <si>
    <t xml:space="preserve">GF MEDICAL SUPRIMENTOS MEDICOS </t>
  </si>
  <si>
    <t>2.1.04.010.0286</t>
  </si>
  <si>
    <t>GRAFICA MAPEWS LTDA ME</t>
  </si>
  <si>
    <t>2.1.04.010.0287</t>
  </si>
  <si>
    <t xml:space="preserve">GRA MED SUTURAS COM REPR PROD </t>
  </si>
  <si>
    <t>2.1.04.010.0288</t>
  </si>
  <si>
    <t xml:space="preserve">GRANMAX COM E REPARACAO DE </t>
  </si>
  <si>
    <t>2.1.04.010.0290</t>
  </si>
  <si>
    <t>GUINEZ INTERNATIONAL COM E REPR</t>
  </si>
  <si>
    <t>2.1.04.010.0291</t>
  </si>
  <si>
    <t>HDL LOGISTICA HOSPITALAR LTDA</t>
  </si>
  <si>
    <t>2.1.04.010.0293</t>
  </si>
  <si>
    <t>H STRATTNER E CIA LTDA</t>
  </si>
  <si>
    <t>2.1.04.010.0297</t>
  </si>
  <si>
    <t xml:space="preserve">HANDLE COM.DEQUIPAMENTOS </t>
  </si>
  <si>
    <t>2.1.04.010.0301</t>
  </si>
  <si>
    <t>HELIANTO FARMACEUTICA LTDA EPP</t>
  </si>
  <si>
    <t>2.1.04.010.0302</t>
  </si>
  <si>
    <t xml:space="preserve">HELIO DAISUKE KOBAYASHI </t>
  </si>
  <si>
    <t>2.1.04.010.0310</t>
  </si>
  <si>
    <t xml:space="preserve">HOSP PHARMA MANIPULACAO SUPRIM </t>
  </si>
  <si>
    <t>2.1.04.010.0312</t>
  </si>
  <si>
    <t>HOUTER DO BRASIL LTDA</t>
  </si>
  <si>
    <t>2.1.04.010.0314</t>
  </si>
  <si>
    <t>HTS TECNOL SAUDE COM IMP EXP LTDA</t>
  </si>
  <si>
    <t>2.1.04.010.0315</t>
  </si>
  <si>
    <t xml:space="preserve">HUMANA ALIMENTAR DISTR MED PROD </t>
  </si>
  <si>
    <t>2.1.04.010.0318</t>
  </si>
  <si>
    <t xml:space="preserve">IGL AMERICA LATINA PRODUTOS </t>
  </si>
  <si>
    <t>2.1.04.010.0319</t>
  </si>
  <si>
    <t xml:space="preserve">IMAGEM PRODUTOS RADIOLOGICOS </t>
  </si>
  <si>
    <t>2.1.04.010.0323</t>
  </si>
  <si>
    <t>INDUSTRIAS HA BARONE LTDA</t>
  </si>
  <si>
    <t>2.1.04.010.0326</t>
  </si>
  <si>
    <t xml:space="preserve">INOVA COMERCIAL HOSPITALAR EIRELI </t>
  </si>
  <si>
    <t>2.1.04.010.0327</t>
  </si>
  <si>
    <t xml:space="preserve">INOVALI PRODUTOS MEDICOS </t>
  </si>
  <si>
    <t>2.1.04.010.0332</t>
  </si>
  <si>
    <t xml:space="preserve">INTERMEDICAL COM PROD MEDICOS </t>
  </si>
  <si>
    <t>2.1.04.010.0333</t>
  </si>
  <si>
    <t xml:space="preserve">INTERMEDICAL EQUIP  MEDICOS LTDA </t>
  </si>
  <si>
    <t>2.1.04.010.0337</t>
  </si>
  <si>
    <t>ISOTEC TECNOLOGIA MEDICA LTDA ME</t>
  </si>
  <si>
    <t>2.1.04.010.0340</t>
  </si>
  <si>
    <t>JP IT SERVICES LTDA</t>
  </si>
  <si>
    <t>2.1.04.010.0345</t>
  </si>
  <si>
    <t xml:space="preserve">JANAINA CARDOSO DE MORAIS </t>
  </si>
  <si>
    <t>2.1.04.010.0352</t>
  </si>
  <si>
    <t>JOAO M DE OLIVEIRA NETO ME</t>
  </si>
  <si>
    <t>2.1.04.010.0354</t>
  </si>
  <si>
    <t xml:space="preserve">JOHNSON E JOHNSON BRASIL IND COM </t>
  </si>
  <si>
    <t>2.1.04.010.0359</t>
  </si>
  <si>
    <t xml:space="preserve">JURUNA COMERCIO DE SOLDAS LTDA </t>
  </si>
  <si>
    <t>2.1.04.010.0366</t>
  </si>
  <si>
    <t>KLEMEM IMPORTACAO LTDA</t>
  </si>
  <si>
    <t>2.1.04.010.0367</t>
  </si>
  <si>
    <t>KONIMAGEM COMERCIO LTDA</t>
  </si>
  <si>
    <t>2.1.04.010.0368</t>
  </si>
  <si>
    <t xml:space="preserve">KORYMA IND E COM DE PROD </t>
  </si>
  <si>
    <t>2.1.04.010.0372</t>
  </si>
  <si>
    <t>LGZ COMERCIAL ELETRICA LTDA EPP</t>
  </si>
  <si>
    <t>2.1.04.010.0373</t>
  </si>
  <si>
    <t>LM BORDADOS LTDA ME</t>
  </si>
  <si>
    <t>2.1.04.010.0378</t>
  </si>
  <si>
    <t>LCR COMERCIAL CAMPINAS LTDA</t>
  </si>
  <si>
    <t>2.1.04.010.0382</t>
  </si>
  <si>
    <t>LEMOS E CAVALCANTI LTDA</t>
  </si>
  <si>
    <t>2.1.04.010.0383</t>
  </si>
  <si>
    <t xml:space="preserve">LEO MADEIRAS,MAQUINAS E </t>
  </si>
  <si>
    <t>2.1.04.010.0387</t>
  </si>
  <si>
    <t>LINDE GASES LTDA AGA SA</t>
  </si>
  <si>
    <t>2.1.04.010.0388</t>
  </si>
  <si>
    <t xml:space="preserve">LINE LIFE CARD COM DE PROD MED E </t>
  </si>
  <si>
    <t>2.1.04.010.0392</t>
  </si>
  <si>
    <t>LM FARMA IND E COM LTDA</t>
  </si>
  <si>
    <t>2.1.04.010.0393</t>
  </si>
  <si>
    <t xml:space="preserve">LN EQUIP E PRODUTOS PARA LIMPEZA </t>
  </si>
  <si>
    <t>2.1.04.010.0396</t>
  </si>
  <si>
    <t>LONDRES DISTRIB PROD ALIM LTDA EPP</t>
  </si>
  <si>
    <t>2.1.04.010.0399</t>
  </si>
  <si>
    <t xml:space="preserve">LUCHETTI COM DE MATERIAIS P/ </t>
  </si>
  <si>
    <t>2.1.04.010.0409</t>
  </si>
  <si>
    <t>ME DOS SANTOS CARVALHO EPP</t>
  </si>
  <si>
    <t>2.1.04.010.0410</t>
  </si>
  <si>
    <t>MR DIAS ELETRONICA ME</t>
  </si>
  <si>
    <t>2.1.04.010.0411</t>
  </si>
  <si>
    <t xml:space="preserve">MACEDO E ANDRADE COM DE </t>
  </si>
  <si>
    <t>2.1.04.010.0412</t>
  </si>
  <si>
    <t xml:space="preserve">MACOM INSTRUMENTAL CIRURGICO IND </t>
  </si>
  <si>
    <t>2.1.04.010.0413</t>
  </si>
  <si>
    <t xml:space="preserve">MACOM MALHAS COMPRESSAO LTDA </t>
  </si>
  <si>
    <t>2.1.04.010.0415</t>
  </si>
  <si>
    <t>MADEIREIRA ANDORRA LTDA</t>
  </si>
  <si>
    <t>2.1.04.010.0416</t>
  </si>
  <si>
    <t xml:space="preserve">MAGALHAES EQUIPAMENTOS </t>
  </si>
  <si>
    <t>2.1.04.010.0418</t>
  </si>
  <si>
    <t xml:space="preserve">MAGNA TRANSFORMACAO </t>
  </si>
  <si>
    <t>2.1.04.010.0422</t>
  </si>
  <si>
    <t xml:space="preserve">MARCOS KOUJI YUASSA 13846487805 </t>
  </si>
  <si>
    <t>2.1.04.010.0425</t>
  </si>
  <si>
    <t xml:space="preserve">MARIA REGINA FERREIRA EMIDIO </t>
  </si>
  <si>
    <t>2.1.04.010.0426</t>
  </si>
  <si>
    <t>MARILENE AP RIZZETO GIACOBBE ME</t>
  </si>
  <si>
    <t>2.1.04.010.0432</t>
  </si>
  <si>
    <t xml:space="preserve">MAX MEDICAL COM PROD MED </t>
  </si>
  <si>
    <t>2.1.04.010.0438</t>
  </si>
  <si>
    <t>MCM ENTREGAS RAPIDAS LTDA</t>
  </si>
  <si>
    <t>2.1.04.010.0440</t>
  </si>
  <si>
    <t>MECANO PACK EMBALAGENS LTDA</t>
  </si>
  <si>
    <t>2.1.04.010.0441</t>
  </si>
  <si>
    <t>MEDCORP HOSPITALAR LTDA</t>
  </si>
  <si>
    <t>2.1.04.010.0442</t>
  </si>
  <si>
    <t>MEDI GLOBE BRASIL LTDA</t>
  </si>
  <si>
    <t>2.1.04.010.0449</t>
  </si>
  <si>
    <t>MEDICAMENTAL DISTRIBUIDORA LTDA</t>
  </si>
  <si>
    <t>2.1.04.010.0452</t>
  </si>
  <si>
    <t xml:space="preserve">MEDIZIN E TECHNIK COM IMP EXP MAT </t>
  </si>
  <si>
    <t>2.1.04.010.0455</t>
  </si>
  <si>
    <t>MEGA UNIFORMES LTDA EPP</t>
  </si>
  <si>
    <t>2.1.04.010.0464</t>
  </si>
  <si>
    <t>MICHAEL KEIDI AZEKA ME</t>
  </si>
  <si>
    <t>2.1.04.010.0472</t>
  </si>
  <si>
    <t xml:space="preserve">MJM PRODUTOS FARMACEUTICOS E DE </t>
  </si>
  <si>
    <t>2.1.04.010.0473</t>
  </si>
  <si>
    <t xml:space="preserve">ML COM IMPO E EXPO DE MATL MEDICO </t>
  </si>
  <si>
    <t>2.1.04.010.0479</t>
  </si>
  <si>
    <t xml:space="preserve">MOURA E PEREIRA COM EM </t>
  </si>
  <si>
    <t>2.1.04.010.0480</t>
  </si>
  <si>
    <t xml:space="preserve">MP COM DE MAT HOSPITALARES LTDA </t>
  </si>
  <si>
    <t>2.1.04.010.0481</t>
  </si>
  <si>
    <t>MP COM PRODUTOS MEDICOS LTDA</t>
  </si>
  <si>
    <t>2.1.04.010.0486</t>
  </si>
  <si>
    <t xml:space="preserve">NACIONAL COMERCIAL HOSPITALAR </t>
  </si>
  <si>
    <t>2.1.04.010.0493</t>
  </si>
  <si>
    <t xml:space="preserve">NEUROCIENCIAS COMERCIO E </t>
  </si>
  <si>
    <t>2.1.04.010.0499</t>
  </si>
  <si>
    <t xml:space="preserve">NIPCABLE DO BRASIL TELECOM LTDA </t>
  </si>
  <si>
    <t>2.1.04.010.0509</t>
  </si>
  <si>
    <t xml:space="preserve">OLIDEF CZ IND COM APARELHOS HOSP </t>
  </si>
  <si>
    <t>2.1.04.010.0511</t>
  </si>
  <si>
    <t xml:space="preserve">ONCO PROD DIST  PROD HOSP E </t>
  </si>
  <si>
    <t>2.1.04.010.0512</t>
  </si>
  <si>
    <t xml:space="preserve">ONIPROT COM DE EQUIPAMENTOS DE </t>
  </si>
  <si>
    <t>2.1.04.010.0513</t>
  </si>
  <si>
    <t xml:space="preserve">OPEM REPRES IMPORT EXPORT E </t>
  </si>
  <si>
    <t>2.1.04.010.0515</t>
  </si>
  <si>
    <t xml:space="preserve">OPTIKX COMERCIO E SERVICOS </t>
  </si>
  <si>
    <t>2.1.04.010.0517</t>
  </si>
  <si>
    <t xml:space="preserve">ORTHO STEEL DISTRIB MAT HOSP LTDA </t>
  </si>
  <si>
    <t>2.1.04.010.0520</t>
  </si>
  <si>
    <t xml:space="preserve">OSTEOCAMP IMPLANTES MATER </t>
  </si>
  <si>
    <t>2.1.04.010.0524</t>
  </si>
  <si>
    <t xml:space="preserve">OZOXI IND COM EQP SISTEMAS </t>
  </si>
  <si>
    <t>2.1.04.010.0527</t>
  </si>
  <si>
    <t xml:space="preserve">PAO DE QUEIJO DA ROCA LTDA ME </t>
  </si>
  <si>
    <t>2.1.04.010.0534</t>
  </si>
  <si>
    <t xml:space="preserve">PHD COM MEDICAMENTO E MAT HOSP  </t>
  </si>
  <si>
    <t>2.1.04.010.0536</t>
  </si>
  <si>
    <t xml:space="preserve">PHOINIX HEALTHCARE COM DE PROD </t>
  </si>
  <si>
    <t>2.1.04.010.0537</t>
  </si>
  <si>
    <t xml:space="preserve">PHYSIOMED IMPORTACAO E COMERCIO </t>
  </si>
  <si>
    <t>2.1.04.010.0548</t>
  </si>
  <si>
    <t xml:space="preserve">PORTO SEGURO CIA DE SEGUROS </t>
  </si>
  <si>
    <t>2.1.04.010.0556</t>
  </si>
  <si>
    <t>R3 PROD DE HIGIENE E LIMPEZA LTDA</t>
  </si>
  <si>
    <t>2.1.04.010.0559</t>
  </si>
  <si>
    <t xml:space="preserve">R GONCALVES SUPRIMENTOS MEDICOS </t>
  </si>
  <si>
    <t>2.1.04.010.0562</t>
  </si>
  <si>
    <t xml:space="preserve">RP COMERCIO DE MATERIAIS </t>
  </si>
  <si>
    <t>2.1.04.010.0570</t>
  </si>
  <si>
    <t>REFRIGERACAO J L BASSO LTDA</t>
  </si>
  <si>
    <t>2.1.04.010.0576</t>
  </si>
  <si>
    <t xml:space="preserve">REP ACESSO COMERCIO E SERVICOS </t>
  </si>
  <si>
    <t>2.1.04.010.0579</t>
  </si>
  <si>
    <t xml:space="preserve">RICHARDS DO BRASIL PRODS </t>
  </si>
  <si>
    <t>2.1.04.010.0581</t>
  </si>
  <si>
    <t xml:space="preserve">RL COMERCIO DE PRODUTOS </t>
  </si>
  <si>
    <t>2.1.04.010.0582</t>
  </si>
  <si>
    <t>RMED TECNOLOGIA MEDICAL LTDA ME</t>
  </si>
  <si>
    <t>2.1.04.010.0586</t>
  </si>
  <si>
    <t xml:space="preserve">RODRIGO GONCALVES CARDOSO </t>
  </si>
  <si>
    <t>2.1.04.010.0588</t>
  </si>
  <si>
    <t>ROMAO E RAMOS LTDA</t>
  </si>
  <si>
    <t>2.1.04.010.0596</t>
  </si>
  <si>
    <t>SRV PEREIRA HORTIFRUTI ME</t>
  </si>
  <si>
    <t>2.1.04.010.0598</t>
  </si>
  <si>
    <t>SB DE DOMINICIS E CIA LTDA ME</t>
  </si>
  <si>
    <t>2.1.04.010.0602</t>
  </si>
  <si>
    <t>SABRINA LEITE MOREIRA ME</t>
  </si>
  <si>
    <t>2.1.04.010.0606</t>
  </si>
  <si>
    <t xml:space="preserve">SAMITECH COM.DE INSUMOS </t>
  </si>
  <si>
    <t>2.1.04.010.0607</t>
  </si>
  <si>
    <t xml:space="preserve">SAMTRONIC INDUSTRIA E COMERCIO </t>
  </si>
  <si>
    <t>2.1.04.010.0608</t>
  </si>
  <si>
    <t>SAMUEL ELIAS DE SOUSA 35639533846</t>
  </si>
  <si>
    <t>2.1.04.010.0610</t>
  </si>
  <si>
    <t>SANDRA CRISTIANE GODOY RUEDA ME</t>
  </si>
  <si>
    <t>2.1.04.010.0611</t>
  </si>
  <si>
    <t>SANDRA DE FATIMA CARVALHO OTA ME</t>
  </si>
  <si>
    <t>2.1.04.010.0613</t>
  </si>
  <si>
    <t xml:space="preserve">SAPRA LANDAUER SERV. DE ASS. E </t>
  </si>
  <si>
    <t>2.1.04.010.0614</t>
  </si>
  <si>
    <t xml:space="preserve">SATELITE COM E SERV ACRILICOS LTDA </t>
  </si>
  <si>
    <t>2.1.04.010.0617</t>
  </si>
  <si>
    <t>SCHOBELL INDUSTRIAL LTDA</t>
  </si>
  <si>
    <t>2.1.04.010.0618</t>
  </si>
  <si>
    <t>SCITECH PRODUTOS MEDICOS LTDA</t>
  </si>
  <si>
    <t>2.1.04.010.0620</t>
  </si>
  <si>
    <t xml:space="preserve">SEGTRONICA COM DE EQUIPAMENTOS </t>
  </si>
  <si>
    <t>2.1.04.010.0622</t>
  </si>
  <si>
    <t>SELOFIX LACRES LTDA EPP</t>
  </si>
  <si>
    <t>2.1.04.010.0628</t>
  </si>
  <si>
    <t>SIEMENS HEALTHCARE DIAG SA</t>
  </si>
  <si>
    <t>2.1.04.010.0630</t>
  </si>
  <si>
    <t>SILVANA DO PRADO SOUZA ME</t>
  </si>
  <si>
    <t>2.1.04.010.0634</t>
  </si>
  <si>
    <t>SIMPRO TELEPROCESSAMENTO LTDA.</t>
  </si>
  <si>
    <t>2.1.04.010.0645</t>
  </si>
  <si>
    <t xml:space="preserve">SP LABEL ETIQUETAS E BOBINAS EIRELI  </t>
  </si>
  <si>
    <t>2.1.04.010.0647</t>
  </si>
  <si>
    <t xml:space="preserve">SPLINE MEDICAL COM E </t>
  </si>
  <si>
    <t>2.1.04.010.0650</t>
  </si>
  <si>
    <t>STEMAC SA GRUPOS GERADORES</t>
  </si>
  <si>
    <t>2.1.04.010.0655</t>
  </si>
  <si>
    <t>STRYKER DO BRASIL LTDA</t>
  </si>
  <si>
    <t>2.1.04.010.0658</t>
  </si>
  <si>
    <t xml:space="preserve">SUPERMED COM IMP PROD MED HOSP </t>
  </si>
  <si>
    <t>2.1.04.010.0661</t>
  </si>
  <si>
    <t>SUPRI ARTIGOS MEDICO-</t>
  </si>
  <si>
    <t>2.1.04.010.0666</t>
  </si>
  <si>
    <t>T1 COM EXP IMP PROD MED HOSP LTDA</t>
  </si>
  <si>
    <t>2.1.04.010.0667</t>
  </si>
  <si>
    <t xml:space="preserve">TALITA CAROLINE COSTA EPP RTD </t>
  </si>
  <si>
    <t>2.1.04.010.0668</t>
  </si>
  <si>
    <t>TANBY COMERCIO DE PAPEIS LTDA</t>
  </si>
  <si>
    <t>2.1.04.010.0669</t>
  </si>
  <si>
    <t xml:space="preserve">TANGRAMOBILE SISTEMAS E </t>
  </si>
  <si>
    <t>2.1.04.010.0670</t>
  </si>
  <si>
    <t>TAPECARIA DOIS IRMAOS LTDA ME</t>
  </si>
  <si>
    <t>2.1.04.010.0672</t>
  </si>
  <si>
    <t xml:space="preserve">TC TECNICA CIRURG COM MAT HOSP </t>
  </si>
  <si>
    <t>2.1.04.010.0673</t>
  </si>
  <si>
    <t xml:space="preserve">TEB TECNOLOGIA ELETRONICA </t>
  </si>
  <si>
    <t>2.1.04.010.0680</t>
  </si>
  <si>
    <t xml:space="preserve">TECNOALIM SERV TECNICOS EM </t>
  </si>
  <si>
    <t>2.1.04.010.0681</t>
  </si>
  <si>
    <t>TELLES E FREITAS LTDA ME</t>
  </si>
  <si>
    <t>2.1.04.010.0682</t>
  </si>
  <si>
    <t xml:space="preserve">TERAPEUTICA FARMACIA DE </t>
  </si>
  <si>
    <t>2.1.04.010.0685</t>
  </si>
  <si>
    <t>THOMAZ DE ARAUJO E CIA LTDA</t>
  </si>
  <si>
    <t>2.1.04.010.0688</t>
  </si>
  <si>
    <t>TOSHIBA MEDICAL DO BRASIL LTDA</t>
  </si>
  <si>
    <t>2.1.04.010.0691</t>
  </si>
  <si>
    <t>UFA P COM DE BANDEJAS LTDA ME</t>
  </si>
  <si>
    <t>2.1.04.010.0693</t>
  </si>
  <si>
    <t>UNIT COMERCIAL LIMITADA ME</t>
  </si>
  <si>
    <t>2.1.04.010.0695</t>
  </si>
  <si>
    <t>UNIVERSO ELECTRON COM.DE MAT.</t>
  </si>
  <si>
    <t>2.1.04.010.0697</t>
  </si>
  <si>
    <t xml:space="preserve">USA INDUSTRIA E COM DE PROD CIRUR </t>
  </si>
  <si>
    <t>2.1.04.010.0699</t>
  </si>
  <si>
    <t>VALEBRAVO EDITORIAL LTDA</t>
  </si>
  <si>
    <t>2.1.04.010.0700</t>
  </si>
  <si>
    <t>VANDERLEY TADEU DOS SANTOS SJC</t>
  </si>
  <si>
    <t>2.1.04.010.0702</t>
  </si>
  <si>
    <t>VENTURA BIOMEDICA LTDA.</t>
  </si>
  <si>
    <t>2.1.04.010.0703</t>
  </si>
  <si>
    <t xml:space="preserve">VERBENNA FARMACIA DE </t>
  </si>
  <si>
    <t>2.1.04.010.0706</t>
  </si>
  <si>
    <t>VIP LINE COM MAT MEDICO LTDA</t>
  </si>
  <si>
    <t>2.1.04.010.0709</t>
  </si>
  <si>
    <t>VITORIA HOSPITALAR LTDA</t>
  </si>
  <si>
    <t>2.1.04.010.0715</t>
  </si>
  <si>
    <t>WILSON DE PAULA CHAVEIRO DE OURO</t>
  </si>
  <si>
    <t>2.1.04.010.0720</t>
  </si>
  <si>
    <t xml:space="preserve">X SAFE COM DE PROD MEDICOS </t>
  </si>
  <si>
    <t>2.1.04.010.0723</t>
  </si>
  <si>
    <t xml:space="preserve">YAMARO E SUZUKI COMERCIO DE </t>
  </si>
  <si>
    <t>2.1.04.010.0724</t>
  </si>
  <si>
    <t>YUKIKO ETO E CIA LTDA</t>
  </si>
  <si>
    <t>2.1.04.010.0726</t>
  </si>
  <si>
    <t>ZEDAMED LTDA</t>
  </si>
  <si>
    <t>2.1.04.010.0738</t>
  </si>
  <si>
    <t>L D DE VASCONCELOS</t>
  </si>
  <si>
    <t>2.1.04.010.0741</t>
  </si>
  <si>
    <t>MERIBEL PAPELARIA EIRELI - ME</t>
  </si>
  <si>
    <t>2.1.04.010.0752</t>
  </si>
  <si>
    <t xml:space="preserve">ALEX PLANTAS </t>
  </si>
  <si>
    <t>2.1.04.010.0754</t>
  </si>
  <si>
    <t xml:space="preserve">COMERCIAL DE ARMARINHOS EIRELI - </t>
  </si>
  <si>
    <t>2.1.04.010.0757</t>
  </si>
  <si>
    <t xml:space="preserve">PANIFICADORA E CONFEITARIA PAO DE </t>
  </si>
  <si>
    <t>2.1.04.010.0761</t>
  </si>
  <si>
    <t xml:space="preserve">OPHTALMOS FORMULAS OFICINAIS </t>
  </si>
  <si>
    <t>2.1.04.010.0771</t>
  </si>
  <si>
    <t>TBS SERVICOS MEDICOS LTDA</t>
  </si>
  <si>
    <t>2.1.04.010.0786</t>
  </si>
  <si>
    <t xml:space="preserve">BRAGA IMPORTACAO DE PRODUTOS </t>
  </si>
  <si>
    <t>2.1.04.010.0791</t>
  </si>
  <si>
    <t xml:space="preserve">ENDOTECH COMERCIO, IMPORTACAO, </t>
  </si>
  <si>
    <t>2.1.04.010.0799</t>
  </si>
  <si>
    <t xml:space="preserve">MATHEUS DE OLIVEIRA EUCLIDES </t>
  </si>
  <si>
    <t>2.1.04.010.0876</t>
  </si>
  <si>
    <t xml:space="preserve">INSTRAMED INDUSTRIA MEDICO </t>
  </si>
  <si>
    <t>2.1.04.010.0884</t>
  </si>
  <si>
    <t xml:space="preserve">IMPACT BRASIL COMERCIO E SERV DE </t>
  </si>
  <si>
    <t>2.1.04.010.0890</t>
  </si>
  <si>
    <t xml:space="preserve">RS BELLINI COM.AUTOMACAO PORTOES </t>
  </si>
  <si>
    <t>2.1.04.010.0891</t>
  </si>
  <si>
    <t>SHS FARMACEUTICA LTDA</t>
  </si>
  <si>
    <t>2.1.04.010.0900</t>
  </si>
  <si>
    <t>NHL COMERCIAL EIRELI</t>
  </si>
  <si>
    <t>2.1.04.010.0909</t>
  </si>
  <si>
    <t xml:space="preserve">PROTECTOR IND E COM DE PROD </t>
  </si>
  <si>
    <t>2.1.04.010.0910</t>
  </si>
  <si>
    <t xml:space="preserve">ENCANTO DO VALE DESCARTAVEIS </t>
  </si>
  <si>
    <t>2.1.04.010.0919</t>
  </si>
  <si>
    <t xml:space="preserve">GO.MED DISTRIBUIDORA DE </t>
  </si>
  <si>
    <t>2.1.04.010.0934</t>
  </si>
  <si>
    <t xml:space="preserve">LONGMED PRODUTOS MEDICO </t>
  </si>
  <si>
    <t>2.1.04.010.0937</t>
  </si>
  <si>
    <t>RIAADE SUPRIMENTOS MEDICOS LTDA</t>
  </si>
  <si>
    <t>2.1.04.010.0939</t>
  </si>
  <si>
    <t xml:space="preserve">WESLEY HENRIQUE DOS SANTOS </t>
  </si>
  <si>
    <t>2.1.04.010.0944</t>
  </si>
  <si>
    <t xml:space="preserve">MEDWORLD IND.COM.MOVEIS E </t>
  </si>
  <si>
    <t>2.1.04.010.0947</t>
  </si>
  <si>
    <t>GARCIA DE LIMA MARCENARIA LTDA ME</t>
  </si>
  <si>
    <t>2.1.04.010.0949</t>
  </si>
  <si>
    <t xml:space="preserve">REAL MEDICAL PRODUTOS MEDICOS </t>
  </si>
  <si>
    <t>2.1.04.010.0952</t>
  </si>
  <si>
    <t xml:space="preserve">VERTEKMED CONSUMO </t>
  </si>
  <si>
    <t>2.1.04.010.0955</t>
  </si>
  <si>
    <t>LANCO LTDA</t>
  </si>
  <si>
    <t>2.1.04.010.0956</t>
  </si>
  <si>
    <t xml:space="preserve">EXTREMA IMPORTACAO E </t>
  </si>
  <si>
    <t>2.1.04.010.0957</t>
  </si>
  <si>
    <t xml:space="preserve">SPINE SYS IMP. EXP. E COMERCIO DE </t>
  </si>
  <si>
    <t>2.1.04.010.0958</t>
  </si>
  <si>
    <t>SM COMERCIO DE MOVEIS LTDA. ME</t>
  </si>
  <si>
    <t>2.1.04.010.0961</t>
  </si>
  <si>
    <t xml:space="preserve">G.M TRANSPORTE E AGRONEGOCIOS </t>
  </si>
  <si>
    <t>2.1.04.010.0962</t>
  </si>
  <si>
    <t xml:space="preserve">MEDWORLD INDUSTRIA METALURGICA </t>
  </si>
  <si>
    <t>2.1.04.010.0965</t>
  </si>
  <si>
    <t xml:space="preserve">JC DA SILVA COMERCIO E MAN. DE </t>
  </si>
  <si>
    <t>2.1.04.010.0966</t>
  </si>
  <si>
    <t>3 CORES EIRELI</t>
  </si>
  <si>
    <t>2.1.04.010.0967</t>
  </si>
  <si>
    <t>CAMEL COMERCIAL LTDA.EPP</t>
  </si>
  <si>
    <t>2.1.04.010.0968</t>
  </si>
  <si>
    <t xml:space="preserve">ALEXANDRA CRISTINA LOPES CRISCI - </t>
  </si>
  <si>
    <t>2.1.04.020</t>
  </si>
  <si>
    <t>FORNECEDOR DE SERVICOS</t>
  </si>
  <si>
    <t>2.1.04.020.0002</t>
  </si>
  <si>
    <t xml:space="preserve">A B C TRANSPORTES COLETIVOS DE </t>
  </si>
  <si>
    <t>2.1.04.020.0010</t>
  </si>
  <si>
    <t xml:space="preserve">ADYEN SERVICOS DE PAGAMENTO </t>
  </si>
  <si>
    <t>2.1.04.020.0011</t>
  </si>
  <si>
    <t>AERO EVENTOS COMERCIAL LTDA EPP</t>
  </si>
  <si>
    <t>2.1.04.020.0012</t>
  </si>
  <si>
    <t xml:space="preserve">AGENCIA NACIONAL SAUDE </t>
  </si>
  <si>
    <t>2.1.04.020.0013</t>
  </si>
  <si>
    <t xml:space="preserve">ALESSANDRO APARECIDO SOARES - </t>
  </si>
  <si>
    <t>2.1.04.020.0015</t>
  </si>
  <si>
    <t>ALICE TORRES DELGADO - ME</t>
  </si>
  <si>
    <t>2.1.04.020.0019</t>
  </si>
  <si>
    <t xml:space="preserve">AMPRO - LABORATORIO E ENGENHARIA </t>
  </si>
  <si>
    <t>2.1.04.020.0020</t>
  </si>
  <si>
    <t>ANA ROSA SORRENTI SETTI E ARAUJO</t>
  </si>
  <si>
    <t>2.1.04.020.0025</t>
  </si>
  <si>
    <t xml:space="preserve">ASSOCIACAO SANTA CASA SAUDE DE </t>
  </si>
  <si>
    <t>2.1.04.020.0026</t>
  </si>
  <si>
    <t xml:space="preserve">ATA TECNOLOGIA E REPRESENTACAO </t>
  </si>
  <si>
    <t>2.1.04.020.0027</t>
  </si>
  <si>
    <t xml:space="preserve">AUDIOESP AUDITORIA E CONSULTORIA </t>
  </si>
  <si>
    <t>2.1.04.020.0029</t>
  </si>
  <si>
    <t xml:space="preserve">AVATAR SOLUCOES EM SAUDE LTDA. - </t>
  </si>
  <si>
    <t>2.1.04.020.0036</t>
  </si>
  <si>
    <t>BRGOODS CONFECCOES LTDA ME</t>
  </si>
  <si>
    <t>2.1.04.020.0037</t>
  </si>
  <si>
    <t xml:space="preserve">CAFE DO CARRO ESTACIONAMENTO E </t>
  </si>
  <si>
    <t>2.1.04.020.0039</t>
  </si>
  <si>
    <t xml:space="preserve">CENTRO DE INTEGRACAO EMPRESA </t>
  </si>
  <si>
    <t>2.1.04.020.0042</t>
  </si>
  <si>
    <t xml:space="preserve">CGMP - CENTRO DE GESTAO DE MEIOS </t>
  </si>
  <si>
    <t>2.1.04.020.0045</t>
  </si>
  <si>
    <t xml:space="preserve">CINTER TRANSPORTADORA TURISTICA </t>
  </si>
  <si>
    <t>2.1.04.020.0046</t>
  </si>
  <si>
    <t xml:space="preserve">COMPANHIA BRAS SOLUCOES E </t>
  </si>
  <si>
    <t>2.1.04.020.0048</t>
  </si>
  <si>
    <t xml:space="preserve">CONFEDERACAO DAS SANTAS CASAS </t>
  </si>
  <si>
    <t>2.1.04.020.0050</t>
  </si>
  <si>
    <t xml:space="preserve">CONSELHO REGIONAL DE MEDICINA </t>
  </si>
  <si>
    <t>2.1.04.020.0052</t>
  </si>
  <si>
    <t>COPIADORA COPCENTRO LTDA</t>
  </si>
  <si>
    <t>2.1.04.020.0054</t>
  </si>
  <si>
    <t>DISTRIFILM COMERCIAL LTDA.</t>
  </si>
  <si>
    <t>2.1.04.020.0055</t>
  </si>
  <si>
    <t>DNMV SISTEMAS LTDA</t>
  </si>
  <si>
    <t>2.1.04.020.0056</t>
  </si>
  <si>
    <t>DRAGER INDUSTRIA E COMERCIO LTDA</t>
  </si>
  <si>
    <t>2.1.04.020.0058</t>
  </si>
  <si>
    <t xml:space="preserve">ECM TECNOLOGIA IMPRESSAO DIGITAL </t>
  </si>
  <si>
    <t>2.1.04.020.0059</t>
  </si>
  <si>
    <t xml:space="preserve">EMPR.DE ONIBUS PASSARO MARRON </t>
  </si>
  <si>
    <t>2.1.04.020.0060</t>
  </si>
  <si>
    <t xml:space="preserve">EMPR.ENG.E CONT. BRASIL SUDESTE </t>
  </si>
  <si>
    <t>2.1.04.020.0061</t>
  </si>
  <si>
    <t xml:space="preserve">EMPRESA BRASILEIRA DE CORREIOS E </t>
  </si>
  <si>
    <t>2.1.04.020.0062</t>
  </si>
  <si>
    <t>E-PEOPLE SOLUCOES LTDA</t>
  </si>
  <si>
    <t>2.1.04.020.0063</t>
  </si>
  <si>
    <t xml:space="preserve">ESTACIONAMENTO RICIERI PINOTTI </t>
  </si>
  <si>
    <t>2.1.04.020.0065</t>
  </si>
  <si>
    <t xml:space="preserve">FEDERACAO DAS STAS CASAS HOSP </t>
  </si>
  <si>
    <t>2.1.04.020.0066</t>
  </si>
  <si>
    <t>FISIREHO BRASIL SERVICOS LTDA</t>
  </si>
  <si>
    <t>2.1.04.020.0069</t>
  </si>
  <si>
    <t>FORNECEDOR - VIAGENS</t>
  </si>
  <si>
    <t>2.1.04.020.0070</t>
  </si>
  <si>
    <t>FORNECEDORES DIVERSOS</t>
  </si>
  <si>
    <t>2.1.04.020.0071</t>
  </si>
  <si>
    <t>FSO SOLUCOES EIRELI</t>
  </si>
  <si>
    <t>2.1.04.020.0076</t>
  </si>
  <si>
    <t>GRAFICA COPCENTRO LTDA - ME</t>
  </si>
  <si>
    <t>2.1.04.020.0078</t>
  </si>
  <si>
    <t xml:space="preserve">GRAN COFFEE COM LOCACAO E </t>
  </si>
  <si>
    <t>2.1.04.020.0083</t>
  </si>
  <si>
    <t>HOSPYTALY LTDA ME</t>
  </si>
  <si>
    <t>2.1.04.020.0084</t>
  </si>
  <si>
    <t xml:space="preserve">HOTEL DAN INN SAO JOSE LTDA / </t>
  </si>
  <si>
    <t>2.1.04.020.0086</t>
  </si>
  <si>
    <t xml:space="preserve">INGERSOLL-RAND IND COM E SERV DE </t>
  </si>
  <si>
    <t>2.1.04.020.0090</t>
  </si>
  <si>
    <t xml:space="preserve">INSTITUTO QUALISA DE GESTAO S/C </t>
  </si>
  <si>
    <t>2.1.04.020.0094</t>
  </si>
  <si>
    <t>JACAREI TRANSPORTE URBANO LTDA.</t>
  </si>
  <si>
    <t>2.1.04.020.0099</t>
  </si>
  <si>
    <t xml:space="preserve">LABOR MED APARELHAGEM DE </t>
  </si>
  <si>
    <t>2.1.04.020.0101</t>
  </si>
  <si>
    <t>LABORATORIOS B. BRAUN S/A</t>
  </si>
  <si>
    <t>2.1.04.020.0103</t>
  </si>
  <si>
    <t xml:space="preserve">LITORANEA TRANPORTES COLETIVOS </t>
  </si>
  <si>
    <t>2.1.04.020.0104</t>
  </si>
  <si>
    <t>LOCAWEB SERVICOS DE INTERNET S.A.</t>
  </si>
  <si>
    <t>2.1.04.020.0109</t>
  </si>
  <si>
    <t xml:space="preserve">NEUROVITTA CLIN NEUROL NEURO </t>
  </si>
  <si>
    <t>2.1.04.020.0110</t>
  </si>
  <si>
    <t>NEWTON OG PINOTTI - ME</t>
  </si>
  <si>
    <t>2.1.04.020.0116</t>
  </si>
  <si>
    <t xml:space="preserve">PLANISA PLANEJ.ORGAN.INSTIT.SAUDE </t>
  </si>
  <si>
    <t>2.1.04.020.0117</t>
  </si>
  <si>
    <t xml:space="preserve">PLANTAO MEDICO EMPREENDIMENTOS </t>
  </si>
  <si>
    <t>2.1.04.020.0121</t>
  </si>
  <si>
    <t xml:space="preserve">PRINT MAILING COM SERVIC E ASSIST </t>
  </si>
  <si>
    <t>2.1.04.020.0125</t>
  </si>
  <si>
    <t xml:space="preserve">RADIATION - CALIBRACAO E </t>
  </si>
  <si>
    <t>2.1.04.020.0131</t>
  </si>
  <si>
    <t>RRVM ASSESSORIA TECNICA LTDA</t>
  </si>
  <si>
    <t>2.1.04.020.0138</t>
  </si>
  <si>
    <t>SERASA S.A.</t>
  </si>
  <si>
    <t>2.1.04.020.0140</t>
  </si>
  <si>
    <t xml:space="preserve">SERVICE SUPPLY MANUT DE EQUIP </t>
  </si>
  <si>
    <t>2.1.04.020.0141</t>
  </si>
  <si>
    <t>SERV-RAD LTDA - ME</t>
  </si>
  <si>
    <t>2.1.04.020.0142</t>
  </si>
  <si>
    <t>SGS AUDITORES INDEPENDENTES S/C</t>
  </si>
  <si>
    <t>2.1.04.020.0145</t>
  </si>
  <si>
    <t xml:space="preserve">SOARES CARVALHO E OTANI ADV </t>
  </si>
  <si>
    <t>2.1.04.020.0147</t>
  </si>
  <si>
    <t xml:space="preserve">SONDAR SERVICOS E SISTEMAS LTDA </t>
  </si>
  <si>
    <t>2.1.04.020.0149</t>
  </si>
  <si>
    <t xml:space="preserve">SPEEDCAR CENTRO AUTOMOTIVO LTDA </t>
  </si>
  <si>
    <t>2.1.04.020.0150</t>
  </si>
  <si>
    <t xml:space="preserve">SSA RH SOLUCOES TREIN DESENV </t>
  </si>
  <si>
    <t>2.1.04.020.0153</t>
  </si>
  <si>
    <t>TAXI AEREO PIRACICABA LTDA</t>
  </si>
  <si>
    <t>2.1.04.020.0156</t>
  </si>
  <si>
    <t xml:space="preserve">TERCEIRO TABELIAO DE NOTAS DE </t>
  </si>
  <si>
    <t>2.1.04.020.0158</t>
  </si>
  <si>
    <t xml:space="preserve">TEST LABOR MANUTENCAO E </t>
  </si>
  <si>
    <t>2.1.04.020.0159</t>
  </si>
  <si>
    <t>THYSSENKRUPP ELEVADORES S/A.</t>
  </si>
  <si>
    <t>2.1.04.020.0160</t>
  </si>
  <si>
    <t>TOKIO MARINE BRASIL SEGURADORA S.</t>
  </si>
  <si>
    <t>2.1.04.020.0161</t>
  </si>
  <si>
    <t>TOOLMED MAN REPAR EQUIP MED-</t>
  </si>
  <si>
    <t>2.1.04.020.0164</t>
  </si>
  <si>
    <t>TOTVS S A</t>
  </si>
  <si>
    <t>2.1.04.020.0168</t>
  </si>
  <si>
    <t xml:space="preserve">UNIMEDSJC-COOPERATIVA TRABALHO </t>
  </si>
  <si>
    <t>2.1.04.020.0169</t>
  </si>
  <si>
    <t xml:space="preserve">UNIODONTO SJCAMPOS COOP TRAB </t>
  </si>
  <si>
    <t>2.1.04.020.0170</t>
  </si>
  <si>
    <t>V. V. J. GRAFICA LTDA. - ME</t>
  </si>
  <si>
    <t>2.1.04.020.0173</t>
  </si>
  <si>
    <t>VIACAO JACAREI LTDA.</t>
  </si>
  <si>
    <t>2.1.04.020.0177</t>
  </si>
  <si>
    <t xml:space="preserve">VIVA PRINTER SOLUCOES IMPRESSAO </t>
  </si>
  <si>
    <t>2.1.04.020.0182</t>
  </si>
  <si>
    <t>CONSULTE JL MEI</t>
  </si>
  <si>
    <t>2.1.04.020.0184</t>
  </si>
  <si>
    <t>ELF ELETROMECANICA LTDA - EPP</t>
  </si>
  <si>
    <t>2.1.04.020.0185</t>
  </si>
  <si>
    <t xml:space="preserve">ENGEL MARTINS SERVICOS MEDICOS </t>
  </si>
  <si>
    <t>2.1.04.020.0201</t>
  </si>
  <si>
    <t xml:space="preserve">VISION SOLUCOES TECNOLOGICAS </t>
  </si>
  <si>
    <t>2.1.04.020.0208</t>
  </si>
  <si>
    <t xml:space="preserve">ENGEPRAG CONTROLE DE PRAGAS </t>
  </si>
  <si>
    <t>2.1.04.020.0210</t>
  </si>
  <si>
    <t xml:space="preserve">SECRETARIA DE SANEAMENTO E </t>
  </si>
  <si>
    <t>2.1.04.020.0216</t>
  </si>
  <si>
    <t>SANTA BRANCA TRANSPORTES LTDA</t>
  </si>
  <si>
    <t>2.1.04.020.0218</t>
  </si>
  <si>
    <t xml:space="preserve">SUL AMERICA COMPANHIA NACIONAL </t>
  </si>
  <si>
    <t>2.1.04.020.0225</t>
  </si>
  <si>
    <t xml:space="preserve">M. PEREIRA LOPES E J. PEREIRA LOPES </t>
  </si>
  <si>
    <t>2.1.04.020.0234</t>
  </si>
  <si>
    <t xml:space="preserve">ILUMINATI  ASSESSORIA E </t>
  </si>
  <si>
    <t>2.1.04.020.0235</t>
  </si>
  <si>
    <t>MV INFORMATICA NORDESTE</t>
  </si>
  <si>
    <t>2.1.04.020.0237</t>
  </si>
  <si>
    <t xml:space="preserve">MILMATH CONSULTORIA EM GESTAO </t>
  </si>
  <si>
    <t>2.1.04.020.0241</t>
  </si>
  <si>
    <t xml:space="preserve">WORKS INFORMATICA COMERCIAL </t>
  </si>
  <si>
    <t>2.1.04.020.0251</t>
  </si>
  <si>
    <t xml:space="preserve">HEAL MEDICAL COM. E SERV DE EQUIP </t>
  </si>
  <si>
    <t>2.1.04.020.0253</t>
  </si>
  <si>
    <t>L C FREITAS RESTAURANTE LTDA</t>
  </si>
  <si>
    <t>2.1.04.020.0255</t>
  </si>
  <si>
    <t xml:space="preserve">VANDERLAAN APARECIDO BARBOSA </t>
  </si>
  <si>
    <t>2.1.04.020.0258</t>
  </si>
  <si>
    <t>CARREIRA SOCIEDADE DE ADVOGADOS</t>
  </si>
  <si>
    <t>2.1.04.020.0260</t>
  </si>
  <si>
    <t>MARIA XAVIER DO CARMO NEVES</t>
  </si>
  <si>
    <t>2.1.04.020.0262</t>
  </si>
  <si>
    <t xml:space="preserve">MARCATEC BIOMEDICA EQUIPAMENTOS </t>
  </si>
  <si>
    <t>2.1.04.020.0266</t>
  </si>
  <si>
    <t xml:space="preserve">AZEVEDO GABRIELE SERVICOS </t>
  </si>
  <si>
    <t>2.1.04.020.0268</t>
  </si>
  <si>
    <t>MEON COMUNICACAO LTDA</t>
  </si>
  <si>
    <t>2.1.04.020.0274</t>
  </si>
  <si>
    <t>LUCIMAR SOUZA REIS NOVAES ME</t>
  </si>
  <si>
    <t>2.1.04.020.0286</t>
  </si>
  <si>
    <t>2.1.04.020.0287</t>
  </si>
  <si>
    <t xml:space="preserve">NUMB3RS CONSULTORIA E SERV DE </t>
  </si>
  <si>
    <t>2.1.04.020.0290</t>
  </si>
  <si>
    <t>VAGNER ROSSATO PEGORARO</t>
  </si>
  <si>
    <t>2.1.04.020.0291</t>
  </si>
  <si>
    <t xml:space="preserve">ALVES LIMA COM E ESTERILIZACAO DE </t>
  </si>
  <si>
    <t>2.1.04.020.0292</t>
  </si>
  <si>
    <t>TOMAS GONCALVES DIAS 31991307802</t>
  </si>
  <si>
    <t>2.1.04.020.0296</t>
  </si>
  <si>
    <t xml:space="preserve">BRASILIA CONSULTORIA EDUCACIONAL </t>
  </si>
  <si>
    <t>2.1.04.020.0301</t>
  </si>
  <si>
    <t xml:space="preserve">CHRISTIAN ANDERSON LEITE DE </t>
  </si>
  <si>
    <t>2.1.04.020.0302</t>
  </si>
  <si>
    <t>ALISTER DE MIRANDA CARÁ 654.227.757-</t>
  </si>
  <si>
    <t>2.1.04.020.0303</t>
  </si>
  <si>
    <t>LUIZ CLÁUDIO LIMA ALVES 081.110.838-</t>
  </si>
  <si>
    <t>2.1.04.020.0304</t>
  </si>
  <si>
    <t>ANGELA MARIA MARSSON 789.377.878-</t>
  </si>
  <si>
    <t>2.1.04.020.0310</t>
  </si>
  <si>
    <t>LIBERTY SEGUROS S/A</t>
  </si>
  <si>
    <t>2.1.04.020.0311</t>
  </si>
  <si>
    <t>SETE MEIA TELECOMUNICACOES LTDA</t>
  </si>
  <si>
    <t>2.1.04.020.0312</t>
  </si>
  <si>
    <t xml:space="preserve">VALLOR CERTO CONSULTORIA E </t>
  </si>
  <si>
    <t>2.1.04.020.0316</t>
  </si>
  <si>
    <t>CARLOS NOBRE 05114823884</t>
  </si>
  <si>
    <t>2.1.04.020.0317</t>
  </si>
  <si>
    <t>MARIA CAROLINA DE FARIA 06425942606</t>
  </si>
  <si>
    <t>2.1.04.020.0318</t>
  </si>
  <si>
    <t xml:space="preserve">CEDMED COMERCIO DE </t>
  </si>
  <si>
    <t>2.1.04.020.0320</t>
  </si>
  <si>
    <t xml:space="preserve">ALIANZA GERENCIAMENTO E </t>
  </si>
  <si>
    <t>2.1.04.020.0321</t>
  </si>
  <si>
    <t>PAULO ROBERTO FERRAZ - PJ</t>
  </si>
  <si>
    <t>2.1.04.020.0323</t>
  </si>
  <si>
    <t>LEANDRO MANOEL</t>
  </si>
  <si>
    <t>2.1.04.020.0324</t>
  </si>
  <si>
    <t>PXZ COMERCIO DE CINE FOTOS LTDA</t>
  </si>
  <si>
    <t>2.1.04.020.0326</t>
  </si>
  <si>
    <t xml:space="preserve"> ANA PAULA SOUZA  DA SILVA</t>
  </si>
  <si>
    <t>2.1.04.020.0327</t>
  </si>
  <si>
    <t xml:space="preserve">CELESTE SERVICOS DE ATENDIMENTO </t>
  </si>
  <si>
    <t>2.1.04.020.0328</t>
  </si>
  <si>
    <t xml:space="preserve">TABELIONATO DE PROTESTO DE </t>
  </si>
  <si>
    <t>2.1.04.020.0329</t>
  </si>
  <si>
    <t>DANILO LOPES RIBEIRO</t>
  </si>
  <si>
    <t>2.1.04.020.0330</t>
  </si>
  <si>
    <t xml:space="preserve">RICARDO BRUNET DE ASSIS MECANICA </t>
  </si>
  <si>
    <t>2.1.04.020.0333</t>
  </si>
  <si>
    <t xml:space="preserve">ALEXANDRE DO NASCIMENTO </t>
  </si>
  <si>
    <t>2.1.04.020.0334</t>
  </si>
  <si>
    <t xml:space="preserve">FUNDACAO ARNALDO VIEIRA DE </t>
  </si>
  <si>
    <t>2.1.04.020.0337</t>
  </si>
  <si>
    <t xml:space="preserve">MIRIANE APARECIDA NEVES DE </t>
  </si>
  <si>
    <t>2.1.04.020.0338</t>
  </si>
  <si>
    <t xml:space="preserve">TANI MOTORS DISTRIBUIDORA DE </t>
  </si>
  <si>
    <t>2.1.04.020.0339</t>
  </si>
  <si>
    <t xml:space="preserve">LUCIO FLAVIO BRINATE DOS REIS </t>
  </si>
  <si>
    <t>2.1.04.020.0341</t>
  </si>
  <si>
    <t xml:space="preserve">SOARES E CARVALHO SERVICOS EM </t>
  </si>
  <si>
    <t>2.1.04.040</t>
  </si>
  <si>
    <t xml:space="preserve">PARCELAMENTO DE FORNECEDORES </t>
  </si>
  <si>
    <t>2.1.04.040.0001</t>
  </si>
  <si>
    <t>2.1.04.040.0002</t>
  </si>
  <si>
    <t xml:space="preserve">(-)JUROS A APROPRIAR S PARC FORN </t>
  </si>
  <si>
    <t>2.1.05</t>
  </si>
  <si>
    <t>OUTRAS OBRIGACOES</t>
  </si>
  <si>
    <t>2.1.05.010</t>
  </si>
  <si>
    <t>OUTRAS OBRIGAÇOES - DIVERSOS</t>
  </si>
  <si>
    <t>2.1.05.010.0002</t>
  </si>
  <si>
    <t xml:space="preserve">CHEQUES A PAGAR </t>
  </si>
  <si>
    <t>2.1.05.010.0003</t>
  </si>
  <si>
    <t xml:space="preserve">COMGAS A PAGAR </t>
  </si>
  <si>
    <t>2.1.05.010.0004</t>
  </si>
  <si>
    <t xml:space="preserve">CONTA DE AGUA </t>
  </si>
  <si>
    <t>2.1.05.010.0005</t>
  </si>
  <si>
    <t xml:space="preserve">CONTA DE ENERGIA </t>
  </si>
  <si>
    <t>2.1.05.010.0006</t>
  </si>
  <si>
    <t xml:space="preserve">CONTA TELEFONICA </t>
  </si>
  <si>
    <t>2.1.05.010.0010</t>
  </si>
  <si>
    <t>DEPOSITO ANTECIPADO</t>
  </si>
  <si>
    <t>2.1.05.010.0011</t>
  </si>
  <si>
    <t>CONTA TRANSITORIA</t>
  </si>
  <si>
    <t>2.1.05.010.0013</t>
  </si>
  <si>
    <t>ALUGUEIS A PAGAR - MANTENEDORA</t>
  </si>
  <si>
    <t>2.1.05.010.0016</t>
  </si>
  <si>
    <t>PROCESSOS</t>
  </si>
  <si>
    <t>2.1.05.011</t>
  </si>
  <si>
    <t>OUTRAS OBRIGACOES - PROJETOS</t>
  </si>
  <si>
    <t>2.1.05.011.0001</t>
  </si>
  <si>
    <t>PROJETOS A REALIZAR - TIMEMANIA</t>
  </si>
  <si>
    <t>2.2</t>
  </si>
  <si>
    <t>PASSIVO NAO CIRCULANTE</t>
  </si>
  <si>
    <t>2.2.01</t>
  </si>
  <si>
    <t>CONTIGENCIAS</t>
  </si>
  <si>
    <t>2.2.01.010</t>
  </si>
  <si>
    <t>PROVISOES PARA CONTINGENCIA</t>
  </si>
  <si>
    <t>2.2.01.010.0001</t>
  </si>
  <si>
    <t xml:space="preserve">PROVISAO PARA CONTINGENCIA CIVEL </t>
  </si>
  <si>
    <t>2.2.01.010.0002</t>
  </si>
  <si>
    <t xml:space="preserve">PROVISAO P/CONTINGENCIA </t>
  </si>
  <si>
    <t>2.2.02</t>
  </si>
  <si>
    <t>2.2.02.010</t>
  </si>
  <si>
    <t>2.2.02.010.0004</t>
  </si>
  <si>
    <t xml:space="preserve">EMPRESTIMO BANCO CAIXA </t>
  </si>
  <si>
    <t>2.2.02.010.0006</t>
  </si>
  <si>
    <t xml:space="preserve">EMPRESTIMO BANCO DO BRASIL  - CC </t>
  </si>
  <si>
    <t>2.2.02.010.0008</t>
  </si>
  <si>
    <t xml:space="preserve">EMPRESTIMO BANCO SANTANDER CC </t>
  </si>
  <si>
    <t>2.2.02.010.0009</t>
  </si>
  <si>
    <t xml:space="preserve">EMPRESTIMO DESENVOLVE SP AG DE </t>
  </si>
  <si>
    <t>2.2.02.020</t>
  </si>
  <si>
    <t>JUROS A APRPRIAR</t>
  </si>
  <si>
    <t>2.2.02.020.0004</t>
  </si>
  <si>
    <t xml:space="preserve">(-) JUROS A APROPRIAR - BANCO CAIXA </t>
  </si>
  <si>
    <t>2.2.02.020.0005</t>
  </si>
  <si>
    <t xml:space="preserve">(-) JUROS A APROPRIAR - BANCO </t>
  </si>
  <si>
    <t>2.2.02.020.0008</t>
  </si>
  <si>
    <t xml:space="preserve">(-) JUROS A APROPRIAR - DESENVOLVE  </t>
  </si>
  <si>
    <t>2.2.02.020.0010</t>
  </si>
  <si>
    <t>2.2.02.030</t>
  </si>
  <si>
    <t xml:space="preserve">FINANCIAMENTOS </t>
  </si>
  <si>
    <t>2.2.02.030.0004</t>
  </si>
  <si>
    <t>SANTANDER - FINAME - 1990-5</t>
  </si>
  <si>
    <t>2.2.02.030.0005</t>
  </si>
  <si>
    <t>EMPRESTIMO SANTANDER LEASING S.A</t>
  </si>
  <si>
    <t>2.2.02.040</t>
  </si>
  <si>
    <t>(-) JUROS A APROPRIAR</t>
  </si>
  <si>
    <t>2.2.02.040.0002</t>
  </si>
  <si>
    <t xml:space="preserve">(-) JUROS A APROPRIAR - SANTANDER </t>
  </si>
  <si>
    <t>2.2.02.040.0003</t>
  </si>
  <si>
    <t xml:space="preserve">(-) JUROS A APROPRIAR - SANTANDER - </t>
  </si>
  <si>
    <t>2.2.03</t>
  </si>
  <si>
    <t xml:space="preserve">OUTRAS OBRIGACOES DE LONGO </t>
  </si>
  <si>
    <t>2.2.03.010</t>
  </si>
  <si>
    <t>2.2.03.010.0001</t>
  </si>
  <si>
    <t>PROJETOS A REALIZAR - ESTADO</t>
  </si>
  <si>
    <t>2.2.03.010.0003</t>
  </si>
  <si>
    <t xml:space="preserve">SUBVENCOES ATIVOS </t>
  </si>
  <si>
    <t>2.2.03.010.0004</t>
  </si>
  <si>
    <t xml:space="preserve">PROJETOS A REALIZAR COM </t>
  </si>
  <si>
    <t>2.2.03.020</t>
  </si>
  <si>
    <t>OUTROS PARCELAMENTOS</t>
  </si>
  <si>
    <t>2.2.03.020.0001</t>
  </si>
  <si>
    <t xml:space="preserve">PARCELAMENTO BANDEIRANTES </t>
  </si>
  <si>
    <t>2.2.03.020.0003</t>
  </si>
  <si>
    <t>2.2.03.021</t>
  </si>
  <si>
    <t>(-) JUROS APROPRIAR DIVERSOS</t>
  </si>
  <si>
    <t>2.2.03.021.0001</t>
  </si>
  <si>
    <t xml:space="preserve">(-) JUROS A APROPRIAR S PARC </t>
  </si>
  <si>
    <t>2.2.03.021.0002</t>
  </si>
  <si>
    <t xml:space="preserve">(-) JUROS A APROPRIAR S PARC FORN </t>
  </si>
  <si>
    <t>2.2.04</t>
  </si>
  <si>
    <t xml:space="preserve">TRIBUTOS E ENCARGOS SOCIAIS A </t>
  </si>
  <si>
    <t>2.2.04.001</t>
  </si>
  <si>
    <t>2.2.04.001.0001</t>
  </si>
  <si>
    <t>1194 IRRF PGN REPARCELAMENTO</t>
  </si>
  <si>
    <t>2.2.04.001.0002</t>
  </si>
  <si>
    <t>1285 IRRF RSF REPARCELAMENTO</t>
  </si>
  <si>
    <t>2.2.04.001.0003</t>
  </si>
  <si>
    <t xml:space="preserve">1233 PREVIDENCIA REPARCELAMENTO </t>
  </si>
  <si>
    <t>2.2.04.001.0004</t>
  </si>
  <si>
    <t>FGTS</t>
  </si>
  <si>
    <t>2.2.04.001.0005</t>
  </si>
  <si>
    <t>MULTA PARCELAMENTO (1345)</t>
  </si>
  <si>
    <t>2.2.04.001.0006</t>
  </si>
  <si>
    <t xml:space="preserve">1734-PARCELAMENTO DIVIDA ATIVA </t>
  </si>
  <si>
    <t>2.2.04.001.0007</t>
  </si>
  <si>
    <t>PARCELAMENTO ISS</t>
  </si>
  <si>
    <t>2.2.04.002</t>
  </si>
  <si>
    <t>2.2.04.002.0001</t>
  </si>
  <si>
    <t>(-) JUROS A APROPRIAR  CLT</t>
  </si>
  <si>
    <t>2.2.04.002.0002</t>
  </si>
  <si>
    <t>(-) JUROS A APROPRIAR - DCTF 1345</t>
  </si>
  <si>
    <t>2.2.04.003</t>
  </si>
  <si>
    <t>TRIBUTO ISS</t>
  </si>
  <si>
    <t>2.2.04.003.0001</t>
  </si>
  <si>
    <t>(-) JUROS A APROPRIAR ISS</t>
  </si>
  <si>
    <t>2.3</t>
  </si>
  <si>
    <t>PATRIMONIO</t>
  </si>
  <si>
    <t>2.3.01</t>
  </si>
  <si>
    <t>PATRIMONIO LIQUIDO</t>
  </si>
  <si>
    <t>2.3.01.010</t>
  </si>
  <si>
    <t>PATRIMONIO SOCIAL</t>
  </si>
  <si>
    <t>2.3.01.010.0001</t>
  </si>
  <si>
    <t>2.3.01.020</t>
  </si>
  <si>
    <t>RESERVAS</t>
  </si>
  <si>
    <t>2.3.01.020.0001</t>
  </si>
  <si>
    <t xml:space="preserve">OUTRAS RESERVAS DE CAPITAL / </t>
  </si>
  <si>
    <t>2.3.01.020.0002</t>
  </si>
  <si>
    <t xml:space="preserve">RESERVA DE DOACOES E SUBVENCOES </t>
  </si>
  <si>
    <t>2.3.01.030</t>
  </si>
  <si>
    <t>RESERVAS DE REAVALIACAO</t>
  </si>
  <si>
    <t>2.3.01.030.0001</t>
  </si>
  <si>
    <t xml:space="preserve">REALIZACAO DE RESERVAS DE </t>
  </si>
  <si>
    <t>2.3.01.030.0002</t>
  </si>
  <si>
    <t xml:space="preserve">RESERVAS DE REAVALIACAO - ATIVOS </t>
  </si>
  <si>
    <t>2.3.01.050</t>
  </si>
  <si>
    <t>SUPERAVIT/DEFICIT DO EXERCICIO</t>
  </si>
  <si>
    <t>2.3.01.050.0001</t>
  </si>
  <si>
    <t>SUPERAVITS/ ACUMULADOS</t>
  </si>
  <si>
    <t>2.3.01.050.0002</t>
  </si>
  <si>
    <t>DEFICITS ACUMULADOS</t>
  </si>
  <si>
    <t>2.3.01.050.0004</t>
  </si>
  <si>
    <t xml:space="preserve">LUCROS/SUPERAVITS ACUMULADOS - </t>
  </si>
  <si>
    <t>2.3.01.050.0005</t>
  </si>
  <si>
    <t xml:space="preserve">AJUSTES DE EXERCICIOS ANTERIORES </t>
  </si>
  <si>
    <t>3</t>
  </si>
  <si>
    <t>RECEITA</t>
  </si>
  <si>
    <t>3.1</t>
  </si>
  <si>
    <t>RECEITAS OPERACIONAIS</t>
  </si>
  <si>
    <t>3.1.01</t>
  </si>
  <si>
    <t>3.1.01.010</t>
  </si>
  <si>
    <t>RECEITAS COM COVENIOS</t>
  </si>
  <si>
    <t>3.1.01.010.0001</t>
  </si>
  <si>
    <t>3.1.01.010.0002</t>
  </si>
  <si>
    <t>3.1.01.010.0003</t>
  </si>
  <si>
    <t>3.1.01.010.0004</t>
  </si>
  <si>
    <t>3.1.01.010.0005</t>
  </si>
  <si>
    <t>AMIL</t>
  </si>
  <si>
    <t>3.1.01.010.0006</t>
  </si>
  <si>
    <t>3.1.01.010.0007</t>
  </si>
  <si>
    <t xml:space="preserve">ATIVIA / COOPERATIVA MEDICA DE </t>
  </si>
  <si>
    <t>3.1.01.010.0008</t>
  </si>
  <si>
    <t xml:space="preserve">AVAMP ASSOC V. PARAIBANA ASS MED </t>
  </si>
  <si>
    <t>3.1.01.010.0009</t>
  </si>
  <si>
    <t>BRADESCO SEGURO</t>
  </si>
  <si>
    <t>3.1.01.010.0010</t>
  </si>
  <si>
    <t>CABESP CAIXA BENEF.BANESPA</t>
  </si>
  <si>
    <t>3.1.01.010.0011</t>
  </si>
  <si>
    <t>3.1.01.010.0012</t>
  </si>
  <si>
    <t>3.1.01.010.0013</t>
  </si>
  <si>
    <t xml:space="preserve">CASSI - CAIXA ASSIST.FUNC.BANCO </t>
  </si>
  <si>
    <t>3.1.01.010.0014</t>
  </si>
  <si>
    <t>COOPUS - COOPER.USUARIOS DO SIST.</t>
  </si>
  <si>
    <t>3.1.01.010.0015</t>
  </si>
  <si>
    <t>3.1.01.010.0016</t>
  </si>
  <si>
    <t>3.1.01.010.0017</t>
  </si>
  <si>
    <t xml:space="preserve">EMPRESA BRAS DE INFRA-ESTRUTURA - </t>
  </si>
  <si>
    <t>3.1.01.010.0018</t>
  </si>
  <si>
    <t>3.1.01.010.0019</t>
  </si>
  <si>
    <t>3.1.01.010.0020</t>
  </si>
  <si>
    <t>3.1.01.010.0021</t>
  </si>
  <si>
    <t>3.1.01.010.0022</t>
  </si>
  <si>
    <t xml:space="preserve">INSTIT ASSIST MEDICA AO SERVIDOR </t>
  </si>
  <si>
    <t>3.1.01.010.0023</t>
  </si>
  <si>
    <t>INTERMEDICA SISTEMA DE SAUDE S.A.</t>
  </si>
  <si>
    <t>3.1.01.010.0024</t>
  </si>
  <si>
    <t>3.1.01.010.0025</t>
  </si>
  <si>
    <t>MARITIMA SAUDE</t>
  </si>
  <si>
    <t>3.1.01.010.0026</t>
  </si>
  <si>
    <t>3.1.01.010.0027</t>
  </si>
  <si>
    <t>3.1.01.010.0028</t>
  </si>
  <si>
    <t>OMINT SERVICOS DE SAUDE LTDA</t>
  </si>
  <si>
    <t>3.1.01.010.0029</t>
  </si>
  <si>
    <t>PETROBRAS PETROLEO BRASILEIRO</t>
  </si>
  <si>
    <t>3.1.01.010.0030</t>
  </si>
  <si>
    <t>PLANTEL PLANO DE ASSIST.MED.</t>
  </si>
  <si>
    <t>3.1.01.010.0031</t>
  </si>
  <si>
    <t>PORTO SEGURO SAUDE S/A</t>
  </si>
  <si>
    <t>3.1.01.010.0032</t>
  </si>
  <si>
    <t>3.1.01.010.0033</t>
  </si>
  <si>
    <t xml:space="preserve">SPDM ASSOCIACAO PAULISTA PARA O </t>
  </si>
  <si>
    <t>3.1.01.010.0034</t>
  </si>
  <si>
    <t>SUL AMERICA</t>
  </si>
  <si>
    <t>3.1.01.010.0036</t>
  </si>
  <si>
    <t>3.1.01.010.0037</t>
  </si>
  <si>
    <t>3.1.01.010.0038</t>
  </si>
  <si>
    <t>BENEFICENCIA CAMILIANA DO SUL</t>
  </si>
  <si>
    <t>3.1.01.010.0039</t>
  </si>
  <si>
    <t>PREFEITURA MUNICIPAL DE SJCAMPOS-</t>
  </si>
  <si>
    <t>3.1.01.010.0040</t>
  </si>
  <si>
    <t>3.1.01.010.0043</t>
  </si>
  <si>
    <t>3.1.01.010.0044</t>
  </si>
  <si>
    <t>3.1.01.010.0045</t>
  </si>
  <si>
    <t xml:space="preserve">AUSSEL COMERCIO DE URNAS </t>
  </si>
  <si>
    <t>3.1.01.010.0046</t>
  </si>
  <si>
    <t>ASSOCIACAO CASA FONTE DA VIDA</t>
  </si>
  <si>
    <t>3.1.01.010.0047</t>
  </si>
  <si>
    <t xml:space="preserve">UNIAO EX BRAS BASE DE AV TAUBATE </t>
  </si>
  <si>
    <t>3.1.01.010.0049</t>
  </si>
  <si>
    <t>AVIBRAS INDUSTRIA AEROESPACIAL S A</t>
  </si>
  <si>
    <t>3.1.01.010.0051</t>
  </si>
  <si>
    <t>RECEITAS - UNEP</t>
  </si>
  <si>
    <t>3.1.01.010.0052</t>
  </si>
  <si>
    <t>COMANDO DA  AERONAUTICA - GIA CTA</t>
  </si>
  <si>
    <t>3.1.01.010.0054</t>
  </si>
  <si>
    <t xml:space="preserve">EEAR ESCOLA ESPECIALISTAS DE </t>
  </si>
  <si>
    <t>3.1.01.010.0055</t>
  </si>
  <si>
    <t xml:space="preserve">LEADER ASSISTENCIA MEDICA </t>
  </si>
  <si>
    <t>3.1.01.010.0057</t>
  </si>
  <si>
    <t xml:space="preserve">FUNDACAO SABESP DE SEGURIDADE </t>
  </si>
  <si>
    <t>3.1.01.010.0059</t>
  </si>
  <si>
    <t>MUNICIPIO DE GUARATINGUETA</t>
  </si>
  <si>
    <t>3.1.01.010.0060</t>
  </si>
  <si>
    <t>CLINICA SAO JOSE</t>
  </si>
  <si>
    <t>3.1.01.010.0061</t>
  </si>
  <si>
    <t>UNIMED - TAUBATE</t>
  </si>
  <si>
    <t>3.1.01.010.0062</t>
  </si>
  <si>
    <t>PIO XII</t>
  </si>
  <si>
    <t>3.1.01.030</t>
  </si>
  <si>
    <t>PACIENTES PARTICULAR</t>
  </si>
  <si>
    <t>3.1.01.030.0001</t>
  </si>
  <si>
    <t>3.1.01.040</t>
  </si>
  <si>
    <t xml:space="preserve">( - ) GLOSAS DAS RECEITAS COM </t>
  </si>
  <si>
    <t>3.1.01.040.0001</t>
  </si>
  <si>
    <t>( - ) RECURSO/ACEITE DE GLOSA - AMIL</t>
  </si>
  <si>
    <t>3.1.01.040.0002</t>
  </si>
  <si>
    <t xml:space="preserve">( - ) RECURSO/ACEITE DE GLOSA - </t>
  </si>
  <si>
    <t>3.1.01.040.0003</t>
  </si>
  <si>
    <t>3.1.01.040.0004</t>
  </si>
  <si>
    <t>3.1.01.040.0005</t>
  </si>
  <si>
    <t>( - ) RECURSO/ACEITE DE GLOSA - GAMA</t>
  </si>
  <si>
    <t>3.1.01.040.0006</t>
  </si>
  <si>
    <t>3.1.01.040.0007</t>
  </si>
  <si>
    <t>3.1.01.040.0008</t>
  </si>
  <si>
    <t xml:space="preserve">( - ) RECURSO/ACEITE DE GLOSA - SUL </t>
  </si>
  <si>
    <t>3.1.01.040.0009</t>
  </si>
  <si>
    <t>3.1.01.040.0010</t>
  </si>
  <si>
    <t>3.1.01.040.0011</t>
  </si>
  <si>
    <t>3.1.01.050</t>
  </si>
  <si>
    <t>RECEITAS SUS</t>
  </si>
  <si>
    <t>3.1.01.050.0001</t>
  </si>
  <si>
    <t>3.1.01.050.0002</t>
  </si>
  <si>
    <t>3.1.01.050.0003</t>
  </si>
  <si>
    <t>3.1.01.050.0004</t>
  </si>
  <si>
    <t>3.1.01.050.0005</t>
  </si>
  <si>
    <t>3.1.01.050.0006</t>
  </si>
  <si>
    <t>SUS - COMPLEMENTO TETO</t>
  </si>
  <si>
    <t>3.1.01.070</t>
  </si>
  <si>
    <t>RECEITAS CONTRATUAIS</t>
  </si>
  <si>
    <t>3.1.01.070.0001</t>
  </si>
  <si>
    <t>RECEITAS CONTR. NEFROMED</t>
  </si>
  <si>
    <t>3.1.01.070.0005</t>
  </si>
  <si>
    <t>RECEITAS CONTR. VALECLIN</t>
  </si>
  <si>
    <t>3.1.01.070.0007</t>
  </si>
  <si>
    <t xml:space="preserve">RECEITAS CONTR. FANY SERVICOS S/C </t>
  </si>
  <si>
    <t>3.5</t>
  </si>
  <si>
    <t>RECEITAS FINANCEIRAS</t>
  </si>
  <si>
    <t>3.5.01</t>
  </si>
  <si>
    <t>3.5.01.020</t>
  </si>
  <si>
    <t>OUTRAS RECEITAS FINANCEIRAS</t>
  </si>
  <si>
    <t>3.5.01.020.0001</t>
  </si>
  <si>
    <t xml:space="preserve">DESCONTO OBTIDO </t>
  </si>
  <si>
    <t>3.5.01.020.0002</t>
  </si>
  <si>
    <t>RENDIMENTOS SOBRE APLICACOES</t>
  </si>
  <si>
    <t>3.5.01.020.0004</t>
  </si>
  <si>
    <t>JUROS ATIVOS - MANTENEDORA</t>
  </si>
  <si>
    <t>3.6</t>
  </si>
  <si>
    <t>RECEITAS PATRIMONIAIS</t>
  </si>
  <si>
    <t>3.6.01</t>
  </si>
  <si>
    <t>3.6.01.010</t>
  </si>
  <si>
    <t>RECEITAS ALUGUEIS</t>
  </si>
  <si>
    <t>3.6.01.010.0001</t>
  </si>
  <si>
    <t>RECEITAS COM ALUGUEIS</t>
  </si>
  <si>
    <t>3.6.01.020</t>
  </si>
  <si>
    <t xml:space="preserve">RECEITA NA ALIENACAO DE BENS DO </t>
  </si>
  <si>
    <t>3.6.01.020.0001</t>
  </si>
  <si>
    <t xml:space="preserve">INDENIZACAO DE SEGURO DE </t>
  </si>
  <si>
    <t>3.6.01.020.0002</t>
  </si>
  <si>
    <t>VENDAS DE BENS DO IMOBILIZADO</t>
  </si>
  <si>
    <t>3.7</t>
  </si>
  <si>
    <t>OUTRAS RECEITAS</t>
  </si>
  <si>
    <t>3.7.01</t>
  </si>
  <si>
    <t xml:space="preserve">OUTRAS RECEITAS </t>
  </si>
  <si>
    <t>3.7.01.010</t>
  </si>
  <si>
    <t>3.7.01.010.0001</t>
  </si>
  <si>
    <t>3.7.01.010.0003</t>
  </si>
  <si>
    <t>DONATIVOS - PF/PJ</t>
  </si>
  <si>
    <t>3.7.01.010.0004</t>
  </si>
  <si>
    <t xml:space="preserve">DONATIVOS DE DROGAS E </t>
  </si>
  <si>
    <t>3.7.01.010.0005</t>
  </si>
  <si>
    <t xml:space="preserve">DONATIVOS DE MATERIAIS DE </t>
  </si>
  <si>
    <t>3.7.01.010.0006</t>
  </si>
  <si>
    <t>SUBVENCOES COM RESTRICAO</t>
  </si>
  <si>
    <t>3.7.01.010.0007</t>
  </si>
  <si>
    <t>3.7.01.010.0008</t>
  </si>
  <si>
    <t>3.7.01.010.0011</t>
  </si>
  <si>
    <t xml:space="preserve">RECEITAS DE CURSOS E </t>
  </si>
  <si>
    <t>3.7.01.010.0012</t>
  </si>
  <si>
    <t>RECEITAS DIVERSAS</t>
  </si>
  <si>
    <t>3.7.01.010.0013</t>
  </si>
  <si>
    <t xml:space="preserve">(IEP) RECEITAS DE CURSOS E </t>
  </si>
  <si>
    <t>3.7.01.010.0014</t>
  </si>
  <si>
    <t>DONATIVOS EM ESPECIES</t>
  </si>
  <si>
    <t>3.7.01.010.0015</t>
  </si>
  <si>
    <t>SUBVENÇÃO EMENDA ESTATUAL</t>
  </si>
  <si>
    <t>3.7.01.010.0020</t>
  </si>
  <si>
    <t>CONTRIBUIÇÃO SOLIDARIEDADE</t>
  </si>
  <si>
    <t>3.7.01.010.0021</t>
  </si>
  <si>
    <t>3.7.01.010.0022</t>
  </si>
  <si>
    <t>RECEITAS COM RESTRICAO TIMEMANIA</t>
  </si>
  <si>
    <t>3.8</t>
  </si>
  <si>
    <t>ACOES JUDICIAIS</t>
  </si>
  <si>
    <t>3.8.01</t>
  </si>
  <si>
    <t>3.8.01.001</t>
  </si>
  <si>
    <t>3.8.01.001.0001</t>
  </si>
  <si>
    <t>3.8.01.001.0002</t>
  </si>
  <si>
    <t xml:space="preserve">JUROS DEPOSITOS JUDICIAIS - </t>
  </si>
  <si>
    <t>3.8.01.001.0003</t>
  </si>
  <si>
    <t xml:space="preserve">JUROS DEPOSITOS JUDICIAIS </t>
  </si>
  <si>
    <t>51127 + 53792</t>
  </si>
  <si>
    <t>Despesas IEP</t>
  </si>
  <si>
    <t>53803+53791</t>
  </si>
  <si>
    <t>Aluguel (Ambulatório Dolzani)</t>
  </si>
  <si>
    <t>Eventos / Publicidade / Propaganda/PUBLICAÇÕES</t>
  </si>
  <si>
    <t>12864+11784+52492+11932+11926</t>
  </si>
  <si>
    <t>Serviços de Cirurgia Geral</t>
  </si>
  <si>
    <t>Serviços de Cirurgia Plastica</t>
  </si>
  <si>
    <t>SUS - DESCONTO 85% TETO MAC</t>
  </si>
  <si>
    <t>4887+4888+53330</t>
  </si>
  <si>
    <t>53295+53296</t>
  </si>
  <si>
    <t>51514+12232+52148</t>
  </si>
  <si>
    <t>Serviços de Hemodinâmica</t>
  </si>
  <si>
    <t>11122+11177+11159+11231+11136+11232</t>
  </si>
  <si>
    <t>01/2020</t>
  </si>
  <si>
    <t>02/2020</t>
  </si>
  <si>
    <t>03/2020</t>
  </si>
  <si>
    <t>04/2020</t>
  </si>
  <si>
    <t>05/2020</t>
  </si>
  <si>
    <t>06/2020</t>
  </si>
  <si>
    <t>07/2020</t>
  </si>
  <si>
    <t>08/2020</t>
  </si>
  <si>
    <t>09/2020</t>
  </si>
  <si>
    <t>10/2020</t>
  </si>
  <si>
    <t>11/2020</t>
  </si>
  <si>
    <t>12/2020</t>
  </si>
  <si>
    <t>Serviços de Dermatologia</t>
  </si>
  <si>
    <t>Convenio médico</t>
  </si>
  <si>
    <t>Locacao De Equipamentos De Apoio</t>
  </si>
  <si>
    <t>RESULTADO PREVISTO 2020</t>
  </si>
  <si>
    <t>(-) Reversão Provisão</t>
  </si>
  <si>
    <t>54128+54169</t>
  </si>
  <si>
    <t>11540+12888+51761+27585</t>
  </si>
  <si>
    <t>Serviços de Residência médica</t>
  </si>
  <si>
    <t>Base: média realizado de Jun a Nov/2018</t>
  </si>
  <si>
    <t>MÉDIA JAN A JUN</t>
  </si>
  <si>
    <t>SHHSJC (Banco de Sangue)</t>
  </si>
  <si>
    <t>11392+11386</t>
  </si>
  <si>
    <t>Estagiários/Jovem aprendiz</t>
  </si>
  <si>
    <t>Repasse médico  Exames</t>
  </si>
  <si>
    <t>Repasse médico Oncologia</t>
  </si>
  <si>
    <t>Repasse médico - Ginecologia</t>
  </si>
  <si>
    <t>Serviços de Radioterapia</t>
  </si>
  <si>
    <t>CONTRATOS</t>
  </si>
  <si>
    <t>RESULTADO PREVISTO 2019</t>
  </si>
  <si>
    <t>AMORTIZAÇÕES</t>
  </si>
  <si>
    <t>ACORDO FORNECEDOR + JUDICIAL</t>
  </si>
  <si>
    <t>AMORTIZAÇÕES EMPRESTIMOS</t>
  </si>
  <si>
    <t>EMPRÉSTIMO PROVEDOR</t>
  </si>
  <si>
    <t>Produção médica</t>
  </si>
  <si>
    <t>Associação</t>
  </si>
  <si>
    <t>Serviços oncologia</t>
  </si>
  <si>
    <t>Serviços repasse</t>
  </si>
  <si>
    <t>52497</t>
  </si>
  <si>
    <t>Receitas IEP</t>
  </si>
  <si>
    <t xml:space="preserve">Aluguel </t>
  </si>
  <si>
    <t>11392+36873</t>
  </si>
  <si>
    <t>0</t>
  </si>
  <si>
    <t xml:space="preserve">Materias Especias </t>
  </si>
  <si>
    <t>Ponto de Acesso</t>
  </si>
  <si>
    <t>Receita com Restrição</t>
  </si>
  <si>
    <t>01/2021</t>
  </si>
  <si>
    <t>02/2021</t>
  </si>
  <si>
    <t>03/2021</t>
  </si>
  <si>
    <t>04/2021</t>
  </si>
  <si>
    <t>05/2021</t>
  </si>
  <si>
    <t>06/2021</t>
  </si>
  <si>
    <t>07/2021</t>
  </si>
  <si>
    <t>08/2021</t>
  </si>
  <si>
    <t>09/2021</t>
  </si>
  <si>
    <t>10/2021</t>
  </si>
  <si>
    <t>11/2021</t>
  </si>
  <si>
    <t>12/2021</t>
  </si>
  <si>
    <t>RESULTADO PREVISTO 2021</t>
  </si>
  <si>
    <t>SUS COMPL COVID</t>
  </si>
  <si>
    <t xml:space="preserve">Serv. Laudo de Reavaliação </t>
  </si>
  <si>
    <t>Provisão perdas</t>
  </si>
  <si>
    <t>Serviços de Imagem</t>
  </si>
  <si>
    <t>Receita de Desapropriação</t>
  </si>
  <si>
    <t>Transplante de Rim</t>
  </si>
  <si>
    <t>52497+52302</t>
  </si>
  <si>
    <t xml:space="preserve">Serviços leitos Semi Uti </t>
  </si>
  <si>
    <t xml:space="preserve">Serviços Pulsoterapia </t>
  </si>
  <si>
    <t xml:space="preserve">Materiais Especiais </t>
  </si>
  <si>
    <t>4887+4888+53330-4893</t>
  </si>
  <si>
    <t>55244+55245</t>
  </si>
  <si>
    <t>Serviços de Internato</t>
  </si>
  <si>
    <t>Tarifas Bancárias</t>
  </si>
  <si>
    <t>Serviços Voluntariados</t>
  </si>
  <si>
    <t>Serviços de Ecografia</t>
  </si>
  <si>
    <t>Provisão para Perdas</t>
  </si>
  <si>
    <t>TOTAL RECEITA</t>
  </si>
  <si>
    <t>01/2022</t>
  </si>
  <si>
    <t>02/2022</t>
  </si>
  <si>
    <t>03/2022</t>
  </si>
  <si>
    <t>04/2022</t>
  </si>
  <si>
    <t>05/2022</t>
  </si>
  <si>
    <t>06/2022</t>
  </si>
  <si>
    <t>07/2022</t>
  </si>
  <si>
    <t>08/2022</t>
  </si>
  <si>
    <t>09/2022</t>
  </si>
  <si>
    <t>10/2022</t>
  </si>
  <si>
    <t>11/2022</t>
  </si>
  <si>
    <t>12/2022</t>
  </si>
  <si>
    <t>ORÇADO</t>
  </si>
  <si>
    <t>ABRAMGE</t>
  </si>
  <si>
    <t>AFRESP</t>
  </si>
  <si>
    <t>ALLIANZ</t>
  </si>
  <si>
    <t>ASSOCIAÇÃO STA. CASA SAÚDE</t>
  </si>
  <si>
    <t>ATIVIA</t>
  </si>
  <si>
    <t>AVAMP</t>
  </si>
  <si>
    <t>BRADESCO</t>
  </si>
  <si>
    <t>BRADESCO SAÚDE OPERADORA</t>
  </si>
  <si>
    <t>CABESP</t>
  </si>
  <si>
    <t>CARE PLUS</t>
  </si>
  <si>
    <t>CASSI</t>
  </si>
  <si>
    <t>EMBRATEL/TELOS</t>
  </si>
  <si>
    <t>FUNDAÇÃO CESP</t>
  </si>
  <si>
    <t>FUSEX CAÇAPAVA</t>
  </si>
  <si>
    <t>FUSEX TAUBATÉ</t>
  </si>
  <si>
    <t>GIA-SJC-CTA</t>
  </si>
  <si>
    <t>GO CARE</t>
  </si>
  <si>
    <t>IAMSPE</t>
  </si>
  <si>
    <t>IAMSPE CLÍNICA SUL</t>
  </si>
  <si>
    <t>INTERMEDICA</t>
  </si>
  <si>
    <t>LIFE EMPRESARIAL</t>
  </si>
  <si>
    <t>MARINHA</t>
  </si>
  <si>
    <t xml:space="preserve">PETROBRÁS AMS </t>
  </si>
  <si>
    <t>PMSJC (Mutirão)</t>
  </si>
  <si>
    <t>PORTO SEGURO</t>
  </si>
  <si>
    <t>POSTAL SAÚDE</t>
  </si>
  <si>
    <t>SAÚDE CAIXA</t>
  </si>
  <si>
    <t>SOMPO (MARITIMA)</t>
  </si>
  <si>
    <t>UNIMED FEDERAÇÃO</t>
  </si>
  <si>
    <t>12% Covid</t>
  </si>
  <si>
    <t>JANEIRO À OUTUBRO 2021</t>
  </si>
  <si>
    <t>TOTAL RECEITA IEP</t>
  </si>
  <si>
    <t>Provisão Perdas</t>
  </si>
  <si>
    <t>Honorários Auditoria</t>
  </si>
  <si>
    <t>55246 + 53260</t>
  </si>
  <si>
    <t xml:space="preserve">Taxas Cartões </t>
  </si>
  <si>
    <t>MÉDIAS</t>
  </si>
  <si>
    <t>Taxas de Cartões</t>
  </si>
  <si>
    <t>COOPUS/GO CARE</t>
  </si>
  <si>
    <t>Outubro</t>
  </si>
  <si>
    <t>Abril</t>
  </si>
  <si>
    <t>Juros Empréstimos</t>
  </si>
  <si>
    <t>Autenticação/Reconhecimento Firma</t>
  </si>
  <si>
    <t>Eventos / Publicidade / Propaganda</t>
  </si>
  <si>
    <t>Serviços Laboratoriais</t>
  </si>
  <si>
    <t>RESULTADO PREVISTO 2022</t>
  </si>
  <si>
    <t>DESPESAS GERÊNCIA EXECUTIVA FINANCEIRA</t>
  </si>
  <si>
    <t>Juros Depósitos Judiciais / Variação Monetária</t>
  </si>
  <si>
    <t>ACORDO FORNECEDORES / SINDICATO</t>
  </si>
  <si>
    <t>Produção Médica</t>
  </si>
  <si>
    <t>Locacao de Equipamentos Apoio</t>
  </si>
  <si>
    <t>Produção Terceiros (Valeclin/Hemot/Cipax)</t>
  </si>
  <si>
    <t>Plantão Neurologia Clínica</t>
  </si>
  <si>
    <t>Plantão Internistas Clínica Médica</t>
  </si>
  <si>
    <t>Plantão UTI's Adulto</t>
  </si>
  <si>
    <t>Plantão UTI Covid</t>
  </si>
  <si>
    <t>Plantão UTQ</t>
  </si>
  <si>
    <t>Plantão Disponibilidade</t>
  </si>
  <si>
    <t>Serviços Médicos (Contratos)</t>
  </si>
  <si>
    <t>Serviços Mutirão Dermatologia</t>
  </si>
  <si>
    <t>Serviços Dermatológicos Residentes</t>
  </si>
  <si>
    <t>Plantão Transplante de Rim</t>
  </si>
  <si>
    <t>Serviços de Cirurgia Plastica Bariátrica</t>
  </si>
  <si>
    <t>Serviços Visita Cancerologia</t>
  </si>
  <si>
    <t>Serviços de Residência Médica</t>
  </si>
  <si>
    <t>Utensílios Diversos / Bens Pq Valor / Ferram.</t>
  </si>
  <si>
    <t>Energia Elétrica</t>
  </si>
  <si>
    <t>REALIZADO</t>
  </si>
  <si>
    <t>VARIAÇÃO</t>
  </si>
  <si>
    <t xml:space="preserve">Emenda Parlamentar </t>
  </si>
  <si>
    <t>53295+53296+55261+55265</t>
  </si>
  <si>
    <t>Serviços Cuidados Paliativos</t>
  </si>
  <si>
    <t>Serviços Repasse</t>
  </si>
  <si>
    <t>Refeição ao Trabalhador</t>
  </si>
  <si>
    <t xml:space="preserve">Jan </t>
  </si>
  <si>
    <t>Fev</t>
  </si>
  <si>
    <t>Mar</t>
  </si>
  <si>
    <t>Abr</t>
  </si>
  <si>
    <t>Mai</t>
  </si>
  <si>
    <t>Jun</t>
  </si>
  <si>
    <t>Jul</t>
  </si>
  <si>
    <t>Ago</t>
  </si>
  <si>
    <t>Set</t>
  </si>
  <si>
    <t>Out</t>
  </si>
  <si>
    <t>Nov</t>
  </si>
  <si>
    <t>Dez</t>
  </si>
  <si>
    <t>Receita Orçada</t>
  </si>
  <si>
    <t>Receita Realizada</t>
  </si>
  <si>
    <t>% Desvio</t>
  </si>
  <si>
    <t>% Desvio Acumulado</t>
  </si>
  <si>
    <t>Despesa Orçada</t>
  </si>
  <si>
    <t>Despesa Realizada</t>
  </si>
  <si>
    <t>Resultado Orçado</t>
  </si>
  <si>
    <t>Resultado Realizado</t>
  </si>
  <si>
    <t>Total</t>
  </si>
  <si>
    <t xml:space="preserve">ORÇAMENTO ACUMULADO </t>
  </si>
  <si>
    <t xml:space="preserve">RECEITA </t>
  </si>
  <si>
    <t xml:space="preserve">Janeiro </t>
  </si>
  <si>
    <t xml:space="preserve">Orçado </t>
  </si>
  <si>
    <t xml:space="preserve">Realizado </t>
  </si>
  <si>
    <t xml:space="preserve">RESULTADO </t>
  </si>
  <si>
    <t>4887+4888+53330-4893+54814</t>
  </si>
  <si>
    <t xml:space="preserve">Venda Sucata </t>
  </si>
  <si>
    <t>Santander- Contrato</t>
  </si>
  <si>
    <t xml:space="preserve">Subvenções </t>
  </si>
  <si>
    <t xml:space="preserve">Serviços de Eletroencefalograma </t>
  </si>
  <si>
    <t xml:space="preserve">Protesto </t>
  </si>
  <si>
    <t>Serviços de Locação</t>
  </si>
  <si>
    <t>Serviços de Monitorização</t>
  </si>
  <si>
    <t>ANÁLISES</t>
  </si>
  <si>
    <t>DESPESAS GERÊNCIA EXECUTIVA APOIO FERNANDO</t>
  </si>
  <si>
    <t>DESPESAS GERÊNCIA EXECUTIVA APOIO ANDERSON</t>
  </si>
  <si>
    <t xml:space="preserve">Serviço de Licenciamento de Software </t>
  </si>
  <si>
    <t xml:space="preserve">Serviço de Manutenção de Sistemas </t>
  </si>
  <si>
    <t>Serviços de Informática</t>
  </si>
  <si>
    <t xml:space="preserve">Serviços de Internet </t>
  </si>
  <si>
    <t>Serv. Especializado Documentação</t>
  </si>
  <si>
    <t>Outras Despesas</t>
  </si>
  <si>
    <t>Fgts Multa</t>
  </si>
  <si>
    <t>Adicional de Insalibridade</t>
  </si>
  <si>
    <t>Bens Imoveis Seguros</t>
  </si>
  <si>
    <t>Paciente Particular</t>
  </si>
  <si>
    <t xml:space="preserve">Sus </t>
  </si>
  <si>
    <t>SUS Ambulatório</t>
  </si>
  <si>
    <t>SUS Complemento Teto</t>
  </si>
  <si>
    <t>(-) SUS Teto</t>
  </si>
  <si>
    <t>SUS FAEC Transplante</t>
  </si>
  <si>
    <t>SUS FAEC Eletiva</t>
  </si>
  <si>
    <t>SUS Faec Oncologia</t>
  </si>
  <si>
    <t xml:space="preserve">Rendimentos sobre Aplicações </t>
  </si>
  <si>
    <t>Desconto Obtido</t>
  </si>
  <si>
    <t xml:space="preserve">Receitas de Cursos e Treinamentos </t>
  </si>
  <si>
    <t>Veiculos Seguros</t>
  </si>
  <si>
    <t>Licenciameno de Veículos</t>
  </si>
  <si>
    <t>Multa de trânsito</t>
  </si>
  <si>
    <t xml:space="preserve">Serv. Especializado em Documentação </t>
  </si>
  <si>
    <t>Outras despesas</t>
  </si>
  <si>
    <t>Adicional de Insalubridade</t>
  </si>
  <si>
    <t xml:space="preserve">Serviços Remoção de Orgãos </t>
  </si>
  <si>
    <t>Serviço de Licenciamento de Sotware</t>
  </si>
  <si>
    <t>Serviço de manutenção de Sistema</t>
  </si>
  <si>
    <t>Serviços de Internet</t>
  </si>
  <si>
    <t>Iventário Caf</t>
  </si>
  <si>
    <t>Inventário SND</t>
  </si>
  <si>
    <t>Alimentação ao Trabalhador</t>
  </si>
  <si>
    <t>Cesta Básica e de Natal</t>
  </si>
  <si>
    <t>Contribuição Sindical</t>
  </si>
  <si>
    <t>Água - Direto</t>
  </si>
  <si>
    <t>Energia Elétrica - Direto</t>
  </si>
  <si>
    <t xml:space="preserve">Energia Elétrica </t>
  </si>
  <si>
    <t>Juros (Inss e FGTS)</t>
  </si>
  <si>
    <t>Juros (IRRF/CSRF)</t>
  </si>
  <si>
    <t>Multas (IRRF/CSRF)</t>
  </si>
  <si>
    <t>Multas (INSS/FGTS)</t>
  </si>
  <si>
    <t>Outros Tributos</t>
  </si>
  <si>
    <t>Depreciação com Restrição</t>
  </si>
  <si>
    <t>Campanhas e Eventos</t>
  </si>
  <si>
    <t>Publicidade a Propaganda</t>
  </si>
  <si>
    <t>Descontos Concedidos</t>
  </si>
  <si>
    <t xml:space="preserve">Juros sobre Financiamento </t>
  </si>
  <si>
    <t>Juros Bancários</t>
  </si>
  <si>
    <t>Juros Passivos</t>
  </si>
  <si>
    <t>Outras despesas financeiras</t>
  </si>
  <si>
    <t>Multas Passivas</t>
  </si>
  <si>
    <t>Multa CLT</t>
  </si>
  <si>
    <t xml:space="preserve">Serv. de Rádio Táxi </t>
  </si>
  <si>
    <t>Serviços Motoboy</t>
  </si>
  <si>
    <t>Conduções e Passagens</t>
  </si>
  <si>
    <t>Alguel Predial - IEP</t>
  </si>
  <si>
    <t>Sus Complemento Covid</t>
  </si>
  <si>
    <t xml:space="preserve">Serviços Medicos  Prestados - PJ </t>
  </si>
  <si>
    <t>DESPESAS DIRETORIA MÉDICA DR. NEWTON</t>
  </si>
  <si>
    <t>RECEITAS GERÊNCIA EXECUTIVA LUCIMARA</t>
  </si>
  <si>
    <t>Impostos Sobre Operações</t>
  </si>
  <si>
    <t>RECEITA NA ALIENACAO DE BENS DO ATIVO</t>
  </si>
  <si>
    <t>05/022</t>
  </si>
  <si>
    <t>Indenização de Seguros</t>
  </si>
  <si>
    <t>Publicações Legais</t>
  </si>
  <si>
    <t>Locacao de Cilindro</t>
  </si>
  <si>
    <t>Serviço Laudo de Reavaliacao</t>
  </si>
  <si>
    <t>ANÁLISE</t>
  </si>
  <si>
    <t>Cursos / Treinamentos / Desenvolvimento</t>
  </si>
  <si>
    <t>DESPESAS GERÊNCIA EXECUTIVA LUCIMARA</t>
  </si>
  <si>
    <t>Cursos/ Treinamentos/ Desenvolvimento</t>
  </si>
  <si>
    <t>Serviços de Segurança Patrimonial</t>
  </si>
  <si>
    <t>DESPESAS GERAL</t>
  </si>
  <si>
    <t>DESPESAS GERÊNCIA EXECUTIVA RH MÁRCIA -OK</t>
  </si>
  <si>
    <t>DESPESAS GERÊNCIA EXECUTIVA PROJETOS SEGATO- OK</t>
  </si>
  <si>
    <t>DESPESAS DIRETORIA MÉDICA DR. NEWTON -OK</t>
  </si>
  <si>
    <t>Serviços Manutenção Geral</t>
  </si>
  <si>
    <t>DESPESAS GERÊNCIA EXECUTIVA ENGENHARIA OG - OK</t>
  </si>
  <si>
    <t>DESPESAS GERÊNCIA EXECUTIVA FINANCEIRA NÍVIA - thiago fazendo</t>
  </si>
  <si>
    <t>DESPESAS GERÊNCIA EXECUTIVA APOIO FERNANDO - ok</t>
  </si>
  <si>
    <t>DESPESAS GERÊNCIA EXECUTIVA APOIO ANDERSON - ok</t>
  </si>
  <si>
    <t xml:space="preserve">Cursos e Treinamentos </t>
  </si>
  <si>
    <t xml:space="preserve">Donativos - PF/PJ </t>
  </si>
  <si>
    <t>Juros Ativos</t>
  </si>
  <si>
    <t>Subvenções</t>
  </si>
  <si>
    <t>Emenda Parlamentar</t>
  </si>
  <si>
    <t>RECEITAS GERÊNCIA EXECUTIVA APOIO FERNANDO</t>
  </si>
  <si>
    <t>Donativos Materiais de Consumo Geral</t>
  </si>
  <si>
    <t>RECEITAS GERÊNCIA EXECUTIVA APOIO ANDERSON</t>
  </si>
  <si>
    <t>RECEITAS GERÊNCIA EXECUTIVA FINANCEIRA NÍVIA</t>
  </si>
  <si>
    <t>RECEITAS GERÊNCIA EXECUTIVA RH MÁRCIA</t>
  </si>
  <si>
    <t>RECEITAS GERÊNCIA EXECUTIVA ENHEGARIA OG</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</si>
</sst>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quot;R$&quot;\ * #,##0.00_-;\-&quot;R$&quot;\ * #,##0.00_-;_-&quot;R$&quot;\ * &quot;-&quot;??_-;_-@_-"/>
    <numFmt numFmtId="43" formatCode="_-* #,##0.00_-;\-* #,##0.00_-;_-* &quot;-&quot;??_-;_-@_-"/>
    <numFmt numFmtId="164" formatCode="mmm/yyyy"/>
    <numFmt numFmtId="165" formatCode="#,##0_ ;[Red]\-#,##0\ "/>
    <numFmt numFmtId="166" formatCode="_-* #,##0_-;\-* #,##0_-;_-* &quot;-&quot;??_-;_-@_-"/>
    <numFmt numFmtId="167" formatCode="0_ ;\-0\ "/>
    <numFmt numFmtId="168" formatCode="#,##0.00_ ;[Red]\-#,##0.00\ "/>
    <numFmt numFmtId="169" formatCode="#,##0_ ;\-#,##0\ "/>
    <numFmt numFmtId="170" formatCode="#,##0.0_ ;[Red]\-#,##0.0\ "/>
    <numFmt numFmtId="171" formatCode="_(&quot;R$ &quot;* #,##0.00_);_(&quot;R$ &quot;* \(#,##0.00\);_(&quot;R$ &quot;* &quot;-&quot;??_);_(@_)"/>
    <numFmt numFmtId="172" formatCode="_(* #,##0.00_);_(* \(#,##0.00\);_(* &quot;-&quot;??_);_(@_)"/>
    <numFmt numFmtId="173" formatCode="_-* #,##0.0000_-;\-* #,##0.0000_-;_-* &quot;-&quot;??_-;_-@_-"/>
    <numFmt numFmtId="174" formatCode="_-* #,##0.00000_-;\-* #,##0.00000_-;_-* &quot;-&quot;??_-;_-@_-"/>
  </numFmts>
  <fonts count="39" x14ac:knownFonts="1">
    <font>
      <sz val="11"/>
      <color theme="1"/>
      <name val="Calibri"/>
      <family val="2"/>
      <scheme val="minor"/>
    </font>
    <font>
      <sz val="11"/>
      <color theme="1"/>
      <name val="Calibri"/>
      <family val="2"/>
      <scheme val="minor"/>
    </font>
    <font>
      <sz val="10"/>
      <name val="Arial"/>
      <family val="2"/>
    </font>
    <font>
      <b/>
      <sz val="12"/>
      <name val="Calibri"/>
      <family val="2"/>
      <scheme val="minor"/>
    </font>
    <font>
      <b/>
      <sz val="12"/>
      <color theme="1"/>
      <name val="Calibri"/>
      <family val="2"/>
      <scheme val="minor"/>
    </font>
    <font>
      <b/>
      <sz val="12"/>
      <color rgb="FFFF0000"/>
      <name val="Calibri"/>
      <family val="2"/>
      <scheme val="minor"/>
    </font>
    <font>
      <b/>
      <sz val="12"/>
      <color rgb="FF000000"/>
      <name val="Calibri"/>
      <family val="2"/>
      <scheme val="minor"/>
    </font>
    <font>
      <u/>
      <sz val="16"/>
      <color theme="3"/>
      <name val="Calibri"/>
      <family val="2"/>
      <scheme val="minor"/>
    </font>
    <font>
      <b/>
      <sz val="11"/>
      <name val="Calibri"/>
      <family val="2"/>
      <scheme val="minor"/>
    </font>
    <font>
      <sz val="11"/>
      <name val="Calibri"/>
      <family val="2"/>
      <scheme val="minor"/>
    </font>
    <font>
      <u/>
      <sz val="11"/>
      <color theme="3"/>
      <name val="Calibri"/>
      <family val="2"/>
      <scheme val="minor"/>
    </font>
    <font>
      <sz val="11"/>
      <color theme="3"/>
      <name val="Calibri"/>
      <family val="2"/>
      <scheme val="minor"/>
    </font>
    <font>
      <sz val="11"/>
      <color theme="4" tint="-0.249977111117893"/>
      <name val="Calibri"/>
      <family val="2"/>
      <scheme val="minor"/>
    </font>
    <font>
      <b/>
      <sz val="11"/>
      <color theme="1"/>
      <name val="Calibri"/>
      <family val="2"/>
      <scheme val="minor"/>
    </font>
    <font>
      <sz val="10"/>
      <color indexed="8"/>
      <name val="Calibri"/>
      <family val="2"/>
      <scheme val="minor"/>
    </font>
    <font>
      <sz val="10"/>
      <name val="Calibri"/>
      <family val="2"/>
      <scheme val="minor"/>
    </font>
    <font>
      <b/>
      <sz val="10"/>
      <color indexed="8"/>
      <name val="Calibri"/>
      <family val="2"/>
      <scheme val="minor"/>
    </font>
    <font>
      <sz val="12"/>
      <color theme="1"/>
      <name val="Calibri"/>
      <family val="2"/>
      <scheme val="minor"/>
    </font>
    <font>
      <sz val="9.75"/>
      <color rgb="FF000000"/>
      <name val="Times New Roman"/>
      <family val="2"/>
    </font>
    <font>
      <sz val="8"/>
      <name val="Calibri"/>
      <family val="2"/>
      <scheme val="minor"/>
    </font>
    <font>
      <u/>
      <sz val="11"/>
      <name val="Calibri"/>
      <family val="2"/>
      <scheme val="minor"/>
    </font>
    <font>
      <b/>
      <sz val="14"/>
      <name val="Calibri"/>
      <family val="2"/>
      <scheme val="minor"/>
    </font>
    <font>
      <sz val="12"/>
      <name val="Calibri"/>
      <family val="2"/>
      <scheme val="minor"/>
    </font>
    <font>
      <sz val="12"/>
      <color theme="1"/>
      <name val="Times New Roman"/>
      <family val="1"/>
    </font>
    <font>
      <sz val="12"/>
      <name val="Times New Roman"/>
      <family val="1"/>
    </font>
    <font>
      <sz val="12"/>
      <name val="Arial"/>
      <family val="2"/>
    </font>
    <font>
      <b/>
      <sz val="12"/>
      <name val="Times New Roman"/>
      <family val="1"/>
    </font>
    <font>
      <b/>
      <sz val="12"/>
      <color theme="1"/>
      <name val="Times New Roman"/>
      <family val="1"/>
    </font>
    <font>
      <b/>
      <u/>
      <sz val="11"/>
      <color theme="1"/>
      <name val="Arial"/>
      <family val="2"/>
    </font>
    <font>
      <sz val="11"/>
      <color theme="1"/>
      <name val="Arial"/>
      <family val="2"/>
    </font>
    <font>
      <b/>
      <sz val="11"/>
      <color theme="0"/>
      <name val="Arial"/>
      <family val="2"/>
    </font>
    <font>
      <sz val="11"/>
      <color theme="0"/>
      <name val="Arial"/>
      <family val="2"/>
    </font>
    <font>
      <sz val="9"/>
      <color theme="1"/>
      <name val="Arial"/>
      <family val="2"/>
    </font>
    <font>
      <b/>
      <sz val="11"/>
      <color theme="1"/>
      <name val="Arial"/>
      <family val="2"/>
    </font>
    <font>
      <b/>
      <sz val="9"/>
      <color rgb="FF008000"/>
      <name val="Arial"/>
      <family val="2"/>
    </font>
    <font>
      <b/>
      <sz val="9"/>
      <color rgb="FFFF0000"/>
      <name val="Arial"/>
      <family val="2"/>
    </font>
    <font>
      <sz val="9"/>
      <color indexed="81"/>
      <name val="Segoe UI"/>
      <family val="2"/>
    </font>
    <font>
      <b/>
      <sz val="9"/>
      <color indexed="81"/>
      <name val="Segoe UI"/>
      <family val="2"/>
    </font>
    <font>
      <u/>
      <sz val="11"/>
      <color theme="10"/>
      <name val="Calibri"/>
      <family val="2"/>
      <scheme val="minor"/>
    </font>
  </fonts>
  <fills count="31">
    <fill>
      <patternFill patternType="none"/>
    </fill>
    <fill>
      <patternFill patternType="gray125"/>
    </fill>
    <fill>
      <patternFill patternType="solid">
        <fgColor theme="0"/>
        <bgColor indexed="64"/>
      </patternFill>
    </fill>
    <fill>
      <patternFill patternType="solid">
        <fgColor theme="4" tint="0.59999389629810485"/>
        <bgColor rgb="FF000000"/>
      </patternFill>
    </fill>
    <fill>
      <patternFill patternType="solid">
        <fgColor theme="0"/>
        <bgColor rgb="FF000000"/>
      </patternFill>
    </fill>
    <fill>
      <patternFill patternType="solid">
        <fgColor theme="4" tint="0.79998168889431442"/>
        <bgColor indexed="64"/>
      </patternFill>
    </fill>
    <fill>
      <patternFill patternType="solid">
        <fgColor rgb="FFD9D9D9"/>
        <bgColor rgb="FF000000"/>
      </patternFill>
    </fill>
    <fill>
      <patternFill patternType="solid">
        <fgColor theme="7" tint="0.79998168889431442"/>
        <bgColor rgb="FF000000"/>
      </patternFill>
    </fill>
    <fill>
      <patternFill patternType="solid">
        <fgColor rgb="FFFFFF00"/>
        <bgColor rgb="FF000000"/>
      </patternFill>
    </fill>
    <fill>
      <patternFill patternType="solid">
        <fgColor theme="9" tint="0.39997558519241921"/>
        <bgColor rgb="FF000000"/>
      </patternFill>
    </fill>
    <fill>
      <patternFill patternType="solid">
        <fgColor theme="9" tint="0.39997558519241921"/>
        <bgColor indexed="64"/>
      </patternFill>
    </fill>
    <fill>
      <patternFill patternType="solid">
        <fgColor theme="8" tint="0.59999389629810485"/>
        <bgColor rgb="FF000000"/>
      </patternFill>
    </fill>
    <fill>
      <patternFill patternType="solid">
        <fgColor theme="8" tint="0.59999389629810485"/>
        <bgColor indexed="64"/>
      </patternFill>
    </fill>
    <fill>
      <patternFill patternType="solid">
        <fgColor theme="3" tint="0.79998168889431442"/>
        <bgColor indexed="64"/>
      </patternFill>
    </fill>
    <fill>
      <patternFill patternType="solid">
        <fgColor indexed="44"/>
        <bgColor indexed="64"/>
      </patternFill>
    </fill>
    <fill>
      <patternFill patternType="solid">
        <fgColor rgb="FFFFFFCC"/>
        <bgColor indexed="64"/>
      </patternFill>
    </fill>
    <fill>
      <patternFill patternType="solid">
        <fgColor rgb="FF99CCFF"/>
        <bgColor indexed="64"/>
      </patternFill>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tint="-0.249977111117893"/>
        <bgColor rgb="FF000000"/>
      </patternFill>
    </fill>
    <fill>
      <patternFill patternType="solid">
        <fgColor rgb="FFFFFF99"/>
        <bgColor indexed="64"/>
      </patternFill>
    </fill>
    <fill>
      <patternFill patternType="solid">
        <fgColor rgb="FFFFFFFF"/>
      </patternFill>
    </fill>
    <fill>
      <patternFill patternType="solid">
        <fgColor theme="0" tint="-0.14999847407452621"/>
        <bgColor rgb="FF000000"/>
      </patternFill>
    </fill>
    <fill>
      <patternFill patternType="solid">
        <fgColor rgb="FFFFFF99"/>
        <bgColor rgb="FF000000"/>
      </patternFill>
    </fill>
    <fill>
      <patternFill patternType="solid">
        <fgColor theme="0" tint="-0.14999847407452621"/>
        <bgColor indexed="64"/>
      </patternFill>
    </fill>
    <fill>
      <patternFill patternType="solid">
        <fgColor rgb="FF92D050"/>
        <bgColor indexed="64"/>
      </patternFill>
    </fill>
    <fill>
      <patternFill patternType="solid">
        <fgColor rgb="FFFF0000"/>
        <bgColor indexed="64"/>
      </patternFill>
    </fill>
    <fill>
      <patternFill patternType="solid">
        <fgColor rgb="FF0070C0"/>
        <bgColor indexed="64"/>
      </patternFill>
    </fill>
    <fill>
      <patternFill patternType="solid">
        <fgColor theme="6" tint="0.59999389629810485"/>
        <bgColor indexed="64"/>
      </patternFill>
    </fill>
    <fill>
      <patternFill patternType="solid">
        <fgColor theme="5" tint="0.79998168889431442"/>
        <bgColor indexed="64"/>
      </patternFill>
    </fill>
  </fills>
  <borders count="16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top/>
      <bottom style="medium">
        <color indexed="64"/>
      </bottom>
      <diagonal/>
    </border>
    <border>
      <left/>
      <right style="medium">
        <color indexed="64"/>
      </right>
      <top style="medium">
        <color indexed="64"/>
      </top>
      <bottom style="medium">
        <color indexed="64"/>
      </bottom>
      <diagonal/>
    </border>
    <border>
      <left style="medium">
        <color indexed="64"/>
      </left>
      <right/>
      <top/>
      <bottom style="hair">
        <color indexed="64"/>
      </bottom>
      <diagonal/>
    </border>
    <border>
      <left style="medium">
        <color indexed="64"/>
      </left>
      <right/>
      <top style="medium">
        <color indexed="64"/>
      </top>
      <bottom/>
      <diagonal/>
    </border>
    <border>
      <left style="medium">
        <color indexed="64"/>
      </left>
      <right style="medium">
        <color indexed="64"/>
      </right>
      <top style="hair">
        <color indexed="64"/>
      </top>
      <bottom style="hair">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hair">
        <color indexed="64"/>
      </top>
      <bottom style="hair">
        <color indexed="64"/>
      </bottom>
      <diagonal/>
    </border>
    <border>
      <left style="thin">
        <color auto="1"/>
      </left>
      <right/>
      <top style="hair">
        <color indexed="64"/>
      </top>
      <bottom style="hair">
        <color indexed="64"/>
      </bottom>
      <diagonal/>
    </border>
    <border>
      <left/>
      <right style="thin">
        <color auto="1"/>
      </right>
      <top style="hair">
        <color indexed="64"/>
      </top>
      <bottom style="hair">
        <color indexed="64"/>
      </bottom>
      <diagonal/>
    </border>
    <border>
      <left style="thin">
        <color auto="1"/>
      </left>
      <right style="thin">
        <color auto="1"/>
      </right>
      <top style="hair">
        <color indexed="64"/>
      </top>
      <bottom style="hair">
        <color indexed="64"/>
      </bottom>
      <diagonal/>
    </border>
    <border>
      <left style="medium">
        <color indexed="64"/>
      </left>
      <right/>
      <top style="hair">
        <color indexed="64"/>
      </top>
      <bottom/>
      <diagonal/>
    </border>
    <border>
      <left style="medium">
        <color indexed="64"/>
      </left>
      <right/>
      <top/>
      <bottom style="medium">
        <color indexed="64"/>
      </bottom>
      <diagonal/>
    </border>
    <border>
      <left/>
      <right style="thin">
        <color auto="1"/>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style="thin">
        <color auto="1"/>
      </left>
      <right style="thin">
        <color auto="1"/>
      </right>
      <top style="hair">
        <color indexed="64"/>
      </top>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hair">
        <color indexed="64"/>
      </bottom>
      <diagonal/>
    </border>
    <border>
      <left style="medium">
        <color indexed="64"/>
      </left>
      <right style="medium">
        <color indexed="64"/>
      </right>
      <top style="medium">
        <color indexed="64"/>
      </top>
      <bottom style="hair">
        <color auto="1"/>
      </bottom>
      <diagonal/>
    </border>
    <border>
      <left style="thin">
        <color indexed="64"/>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top style="medium">
        <color indexed="64"/>
      </top>
      <bottom/>
      <diagonal/>
    </border>
    <border>
      <left style="medium">
        <color indexed="64"/>
      </left>
      <right style="medium">
        <color indexed="64"/>
      </right>
      <top/>
      <bottom style="hair">
        <color indexed="64"/>
      </bottom>
      <diagonal/>
    </border>
    <border>
      <left style="thin">
        <color auto="1"/>
      </left>
      <right/>
      <top/>
      <bottom style="hair">
        <color indexed="64"/>
      </bottom>
      <diagonal/>
    </border>
    <border>
      <left/>
      <right style="thin">
        <color auto="1"/>
      </right>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hair">
        <color auto="1"/>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auto="1"/>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auto="1"/>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auto="1"/>
      </left>
      <right style="thin">
        <color auto="1"/>
      </right>
      <top style="hair">
        <color indexed="64"/>
      </top>
      <bottom style="medium">
        <color auto="1"/>
      </bottom>
      <diagonal/>
    </border>
    <border>
      <left/>
      <right style="thin">
        <color auto="1"/>
      </right>
      <top/>
      <bottom/>
      <diagonal/>
    </border>
    <border>
      <left style="thin">
        <color indexed="64"/>
      </left>
      <right/>
      <top/>
      <bottom style="thin">
        <color indexed="64"/>
      </bottom>
      <diagonal/>
    </border>
    <border>
      <left style="medium">
        <color indexed="64"/>
      </left>
      <right style="thin">
        <color auto="1"/>
      </right>
      <top style="hair">
        <color indexed="64"/>
      </top>
      <bottom/>
      <diagonal/>
    </border>
    <border>
      <left style="medium">
        <color indexed="64"/>
      </left>
      <right style="thin">
        <color auto="1"/>
      </right>
      <top style="hair">
        <color indexed="64"/>
      </top>
      <bottom style="hair">
        <color indexed="64"/>
      </bottom>
      <diagonal/>
    </border>
    <border>
      <left style="medium">
        <color indexed="64"/>
      </left>
      <right style="thin">
        <color auto="1"/>
      </right>
      <top/>
      <bottom style="hair">
        <color indexed="64"/>
      </bottom>
      <diagonal/>
    </border>
    <border>
      <left style="medium">
        <color indexed="64"/>
      </left>
      <right style="thin">
        <color auto="1"/>
      </right>
      <top/>
      <bottom/>
      <diagonal/>
    </border>
    <border>
      <left/>
      <right style="thin">
        <color auto="1"/>
      </right>
      <top style="hair">
        <color indexed="64"/>
      </top>
      <bottom/>
      <diagonal/>
    </border>
    <border>
      <left style="medium">
        <color indexed="64"/>
      </left>
      <right style="thin">
        <color indexed="64"/>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top style="hair">
        <color indexed="64"/>
      </top>
      <bottom style="medium">
        <color indexed="64"/>
      </bottom>
      <diagonal/>
    </border>
    <border>
      <left style="medium">
        <color indexed="64"/>
      </left>
      <right style="thin">
        <color auto="1"/>
      </right>
      <top style="hair">
        <color indexed="64"/>
      </top>
      <bottom style="medium">
        <color indexed="64"/>
      </bottom>
      <diagonal/>
    </border>
    <border>
      <left style="thin">
        <color auto="1"/>
      </left>
      <right/>
      <top style="hair">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right style="medium">
        <color indexed="64"/>
      </right>
      <top/>
      <bottom style="hair">
        <color indexed="64"/>
      </bottom>
      <diagonal/>
    </border>
    <border>
      <left/>
      <right style="medium">
        <color indexed="64"/>
      </right>
      <top style="hair">
        <color indexed="64"/>
      </top>
      <bottom/>
      <diagonal/>
    </border>
    <border>
      <left/>
      <right style="medium">
        <color indexed="64"/>
      </right>
      <top style="hair">
        <color indexed="64"/>
      </top>
      <bottom style="hair">
        <color indexed="64"/>
      </bottom>
      <diagonal/>
    </border>
    <border>
      <left/>
      <right style="medium">
        <color indexed="64"/>
      </right>
      <top style="hair">
        <color indexed="64"/>
      </top>
      <bottom style="medium">
        <color indexed="64"/>
      </bottom>
      <diagonal/>
    </border>
    <border>
      <left/>
      <right style="thin">
        <color auto="1"/>
      </right>
      <top style="hair">
        <color indexed="64"/>
      </top>
      <bottom style="medium">
        <color auto="1"/>
      </bottom>
      <diagonal/>
    </border>
    <border>
      <left style="thin">
        <color indexed="64"/>
      </left>
      <right style="medium">
        <color indexed="64"/>
      </right>
      <top style="medium">
        <color indexed="64"/>
      </top>
      <bottom style="hair">
        <color indexed="64"/>
      </bottom>
      <diagonal/>
    </border>
    <border>
      <left style="thin">
        <color auto="1"/>
      </left>
      <right style="medium">
        <color indexed="64"/>
      </right>
      <top/>
      <bottom style="hair">
        <color indexed="64"/>
      </bottom>
      <diagonal/>
    </border>
    <border>
      <left style="thin">
        <color indexed="64"/>
      </left>
      <right style="medium">
        <color indexed="64"/>
      </right>
      <top/>
      <bottom style="medium">
        <color indexed="64"/>
      </bottom>
      <diagonal/>
    </border>
    <border>
      <left style="thin">
        <color auto="1"/>
      </left>
      <right style="medium">
        <color indexed="64"/>
      </right>
      <top style="hair">
        <color indexed="64"/>
      </top>
      <bottom style="hair">
        <color indexed="64"/>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auto="1"/>
      </left>
      <right style="medium">
        <color indexed="64"/>
      </right>
      <top style="hair">
        <color indexed="64"/>
      </top>
      <bottom style="medium">
        <color indexed="64"/>
      </bottom>
      <diagonal/>
    </border>
    <border>
      <left style="thin">
        <color auto="1"/>
      </left>
      <right style="medium">
        <color indexed="64"/>
      </right>
      <top style="hair">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right/>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top style="medium">
        <color indexed="64"/>
      </top>
      <bottom style="hair">
        <color indexed="64"/>
      </bottom>
      <diagonal/>
    </border>
    <border>
      <left/>
      <right/>
      <top style="hair">
        <color indexed="64"/>
      </top>
      <bottom/>
      <diagonal/>
    </border>
    <border>
      <left/>
      <right/>
      <top style="hair">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bottom style="thin">
        <color indexed="8"/>
      </bottom>
      <diagonal/>
    </border>
    <border>
      <left style="thin">
        <color indexed="64"/>
      </left>
      <right/>
      <top style="medium">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medium">
        <color indexed="64"/>
      </bottom>
      <diagonal/>
    </border>
    <border>
      <left style="thin">
        <color indexed="64"/>
      </left>
      <right/>
      <top style="thin">
        <color indexed="64"/>
      </top>
      <bottom/>
      <diagonal/>
    </border>
    <border>
      <left style="hair">
        <color indexed="64"/>
      </left>
      <right style="hair">
        <color indexed="64"/>
      </right>
      <top style="hair">
        <color indexed="64"/>
      </top>
      <bottom style="medium">
        <color indexed="64"/>
      </bottom>
      <diagonal/>
    </border>
    <border>
      <left style="medium">
        <color indexed="64"/>
      </left>
      <right style="hair">
        <color indexed="64"/>
      </right>
      <top style="hair">
        <color indexed="64"/>
      </top>
      <bottom style="hair">
        <color indexed="64"/>
      </bottom>
      <diagonal/>
    </border>
    <border>
      <left style="medium">
        <color indexed="64"/>
      </left>
      <right style="medium">
        <color indexed="64"/>
      </right>
      <top style="hair">
        <color indexed="64"/>
      </top>
      <bottom/>
      <diagonal/>
    </border>
    <border>
      <left style="medium">
        <color indexed="64"/>
      </left>
      <right style="hair">
        <color indexed="64"/>
      </right>
      <top style="hair">
        <color indexed="64"/>
      </top>
      <bottom style="medium">
        <color indexed="64"/>
      </bottom>
      <diagonal/>
    </border>
    <border>
      <left style="hair">
        <color indexed="64"/>
      </left>
      <right/>
      <top/>
      <bottom style="medium">
        <color indexed="64"/>
      </bottom>
      <diagonal/>
    </border>
    <border>
      <left/>
      <right style="thin">
        <color indexed="64"/>
      </right>
      <top style="thin">
        <color indexed="64"/>
      </top>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medium">
        <color indexed="64"/>
      </bottom>
      <diagonal/>
    </border>
    <border>
      <left/>
      <right style="hair">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style="thin">
        <color indexed="64"/>
      </bottom>
      <diagonal/>
    </border>
    <border>
      <left style="thin">
        <color auto="1"/>
      </left>
      <right/>
      <top style="hair">
        <color indexed="64"/>
      </top>
      <bottom/>
      <diagonal/>
    </border>
    <border>
      <left style="thin">
        <color indexed="64"/>
      </left>
      <right/>
      <top style="thin">
        <color indexed="64"/>
      </top>
      <bottom style="medium">
        <color indexed="64"/>
      </bottom>
      <diagonal/>
    </border>
    <border>
      <left style="hair">
        <color indexed="64"/>
      </left>
      <right style="thin">
        <color auto="1"/>
      </right>
      <top style="hair">
        <color indexed="64"/>
      </top>
      <bottom style="hair">
        <color indexed="64"/>
      </bottom>
      <diagonal/>
    </border>
    <border>
      <left style="medium">
        <color indexed="64"/>
      </left>
      <right/>
      <top style="hair">
        <color indexed="64"/>
      </top>
      <bottom style="thin">
        <color indexed="64"/>
      </bottom>
      <diagonal/>
    </border>
    <border>
      <left style="medium">
        <color indexed="64"/>
      </left>
      <right style="thin">
        <color auto="1"/>
      </right>
      <top style="hair">
        <color indexed="64"/>
      </top>
      <bottom style="thin">
        <color indexed="64"/>
      </bottom>
      <diagonal/>
    </border>
    <border>
      <left/>
      <right/>
      <top style="hair">
        <color indexed="64"/>
      </top>
      <bottom style="thin">
        <color indexed="64"/>
      </bottom>
      <diagonal/>
    </border>
    <border>
      <left style="thin">
        <color auto="1"/>
      </left>
      <right/>
      <top style="hair">
        <color indexed="64"/>
      </top>
      <bottom style="thin">
        <color indexed="64"/>
      </bottom>
      <diagonal/>
    </border>
    <border>
      <left style="thin">
        <color auto="1"/>
      </left>
      <right style="medium">
        <color indexed="64"/>
      </right>
      <top style="hair">
        <color indexed="64"/>
      </top>
      <bottom style="thin">
        <color indexed="64"/>
      </bottom>
      <diagonal/>
    </border>
    <border>
      <left/>
      <right style="medium">
        <color indexed="64"/>
      </right>
      <top style="hair">
        <color indexed="64"/>
      </top>
      <bottom style="thin">
        <color indexed="64"/>
      </bottom>
      <diagonal/>
    </border>
    <border>
      <left style="thin">
        <color rgb="FFA9A9A9"/>
      </left>
      <right style="thin">
        <color rgb="FFA9A9A9"/>
      </right>
      <top style="thin">
        <color rgb="FFA9A9A9"/>
      </top>
      <bottom style="thin">
        <color rgb="FFA9A9A9"/>
      </bottom>
      <diagonal/>
    </border>
    <border>
      <left style="hair">
        <color indexed="64"/>
      </left>
      <right style="hair">
        <color indexed="64"/>
      </right>
      <top/>
      <bottom style="hair">
        <color indexed="64"/>
      </bottom>
      <diagonal/>
    </border>
    <border>
      <left style="hair">
        <color indexed="64"/>
      </left>
      <right style="medium">
        <color indexed="64"/>
      </right>
      <top style="hair">
        <color indexed="64"/>
      </top>
      <bottom/>
      <diagonal/>
    </border>
    <border>
      <left/>
      <right style="hair">
        <color indexed="64"/>
      </right>
      <top/>
      <bottom/>
      <diagonal/>
    </border>
    <border>
      <left style="hair">
        <color indexed="64"/>
      </left>
      <right style="hair">
        <color indexed="64"/>
      </right>
      <top style="hair">
        <color indexed="64"/>
      </top>
      <bottom/>
      <diagonal/>
    </border>
    <border>
      <left style="medium">
        <color indexed="64"/>
      </left>
      <right style="hair">
        <color indexed="64"/>
      </right>
      <top style="hair">
        <color indexed="64"/>
      </top>
      <bottom/>
      <diagonal/>
    </border>
    <border>
      <left/>
      <right style="hair">
        <color indexed="64"/>
      </right>
      <top style="hair">
        <color indexed="64"/>
      </top>
      <bottom/>
      <diagonal/>
    </border>
    <border>
      <left style="hair">
        <color indexed="64"/>
      </left>
      <right style="hair">
        <color indexed="64"/>
      </right>
      <top/>
      <bottom/>
      <diagonal/>
    </border>
    <border>
      <left style="hair">
        <color indexed="64"/>
      </left>
      <right/>
      <top/>
      <bottom/>
      <diagonal/>
    </border>
    <border>
      <left style="hair">
        <color indexed="64"/>
      </left>
      <right/>
      <top style="hair">
        <color indexed="64"/>
      </top>
      <bottom/>
      <diagonal/>
    </border>
    <border>
      <left style="hair">
        <color indexed="64"/>
      </left>
      <right/>
      <top style="hair">
        <color indexed="64"/>
      </top>
      <bottom style="medium">
        <color indexed="64"/>
      </bottom>
      <diagonal/>
    </border>
    <border>
      <left/>
      <right style="hair">
        <color indexed="64"/>
      </right>
      <top style="medium">
        <color indexed="64"/>
      </top>
      <bottom style="medium">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diagonal/>
    </border>
    <border>
      <left style="hair">
        <color indexed="64"/>
      </left>
      <right style="medium">
        <color indexed="64"/>
      </right>
      <top/>
      <bottom/>
      <diagonal/>
    </border>
    <border>
      <left style="hair">
        <color indexed="64"/>
      </left>
      <right style="medium">
        <color indexed="64"/>
      </right>
      <top style="medium">
        <color indexed="64"/>
      </top>
      <bottom/>
      <diagonal/>
    </border>
    <border>
      <left style="hair">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style="medium">
        <color indexed="64"/>
      </top>
      <bottom/>
      <diagonal/>
    </border>
    <border>
      <left/>
      <right style="hair">
        <color indexed="64"/>
      </right>
      <top style="medium">
        <color indexed="64"/>
      </top>
      <bottom/>
      <diagonal/>
    </border>
    <border>
      <left style="medium">
        <color indexed="64"/>
      </left>
      <right style="hair">
        <color indexed="64"/>
      </right>
      <top/>
      <bottom/>
      <diagonal/>
    </border>
    <border>
      <left style="medium">
        <color indexed="64"/>
      </left>
      <right style="hair">
        <color indexed="64"/>
      </right>
      <top style="medium">
        <color indexed="64"/>
      </top>
      <bottom/>
      <diagonal/>
    </border>
    <border>
      <left style="thin">
        <color indexed="64"/>
      </left>
      <right style="hair">
        <color indexed="64"/>
      </right>
      <top style="medium">
        <color indexed="64"/>
      </top>
      <bottom/>
      <diagonal/>
    </border>
    <border>
      <left style="thin">
        <color indexed="64"/>
      </left>
      <right style="hair">
        <color indexed="64"/>
      </right>
      <top/>
      <bottom/>
      <diagonal/>
    </border>
    <border>
      <left style="thin">
        <color indexed="64"/>
      </left>
      <right style="hair">
        <color indexed="64"/>
      </right>
      <top/>
      <bottom style="medium">
        <color indexed="64"/>
      </bottom>
      <diagonal/>
    </border>
    <border>
      <left style="medium">
        <color indexed="64"/>
      </left>
      <right/>
      <top style="thin">
        <color indexed="64"/>
      </top>
      <bottom/>
      <diagonal/>
    </border>
    <border>
      <left style="medium">
        <color indexed="64"/>
      </left>
      <right/>
      <top style="medium">
        <color indexed="64"/>
      </top>
      <bottom style="thin">
        <color indexed="64"/>
      </bottom>
      <diagonal/>
    </border>
    <border>
      <left/>
      <right style="hair">
        <color indexed="64"/>
      </right>
      <top/>
      <bottom style="hair">
        <color indexed="64"/>
      </bottom>
      <diagonal/>
    </border>
    <border>
      <left/>
      <right style="hair">
        <color indexed="64"/>
      </right>
      <top style="hair">
        <color indexed="64"/>
      </top>
      <bottom style="medium">
        <color indexed="64"/>
      </bottom>
      <diagonal/>
    </border>
  </borders>
  <cellStyleXfs count="3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 fillId="0" borderId="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25" fillId="0" borderId="0">
      <alignment vertical="center" wrapText="1"/>
    </xf>
    <xf numFmtId="0" fontId="38" fillId="0" borderId="0" applyNumberFormat="0" applyFill="0" applyBorder="0" applyAlignment="0" applyProtection="0"/>
  </cellStyleXfs>
  <cellXfs count="2925">
    <xf numFmtId="0" fontId="0" fillId="0" borderId="0" xfId="0"/>
    <xf numFmtId="0" fontId="4" fillId="2" borderId="0" xfId="0" applyFont="1" applyFill="1" applyAlignment="1">
      <alignment vertical="center"/>
    </xf>
    <xf numFmtId="4" fontId="4" fillId="2" borderId="0" xfId="0" applyNumberFormat="1" applyFont="1" applyFill="1" applyAlignment="1">
      <alignment vertical="center"/>
    </xf>
    <xf numFmtId="9" fontId="3" fillId="2" borderId="2" xfId="2" applyFont="1" applyFill="1" applyBorder="1" applyAlignment="1">
      <alignment horizontal="center" vertical="center"/>
    </xf>
    <xf numFmtId="165" fontId="3" fillId="0" borderId="8" xfId="0" applyNumberFormat="1" applyFont="1" applyFill="1" applyBorder="1" applyAlignment="1">
      <alignment vertical="center"/>
    </xf>
    <xf numFmtId="37" fontId="3" fillId="4" borderId="4" xfId="0" applyNumberFormat="1" applyFont="1" applyFill="1" applyBorder="1" applyAlignment="1">
      <alignment vertical="center"/>
    </xf>
    <xf numFmtId="9" fontId="3" fillId="2" borderId="37" xfId="2" applyFont="1" applyFill="1" applyBorder="1" applyAlignment="1">
      <alignment horizontal="center" vertical="center"/>
    </xf>
    <xf numFmtId="165" fontId="3" fillId="0" borderId="4" xfId="0" applyNumberFormat="1" applyFont="1" applyFill="1" applyBorder="1" applyAlignment="1">
      <alignment vertical="center"/>
    </xf>
    <xf numFmtId="0" fontId="4" fillId="0" borderId="0" xfId="0" applyFont="1" applyAlignment="1">
      <alignment horizontal="right" vertical="center"/>
    </xf>
    <xf numFmtId="4" fontId="4" fillId="0" borderId="0" xfId="0" applyNumberFormat="1" applyFont="1" applyAlignment="1">
      <alignment horizontal="right" vertical="center"/>
    </xf>
    <xf numFmtId="168" fontId="4" fillId="0" borderId="0" xfId="0" applyNumberFormat="1" applyFont="1" applyAlignment="1">
      <alignment horizontal="right" vertical="center"/>
    </xf>
    <xf numFmtId="0" fontId="4" fillId="0" borderId="0" xfId="0" applyFont="1" applyAlignment="1">
      <alignment vertical="center"/>
    </xf>
    <xf numFmtId="0" fontId="4" fillId="0" borderId="0" xfId="0" applyFont="1" applyFill="1" applyAlignment="1">
      <alignment horizontal="center" vertical="center"/>
    </xf>
    <xf numFmtId="0" fontId="4" fillId="0" borderId="0" xfId="0" applyFont="1"/>
    <xf numFmtId="9" fontId="4" fillId="2" borderId="0" xfId="2" applyFont="1" applyFill="1" applyBorder="1" applyAlignment="1">
      <alignment horizontal="center"/>
    </xf>
    <xf numFmtId="165" fontId="3" fillId="2" borderId="0" xfId="0" applyNumberFormat="1" applyFont="1" applyFill="1" applyBorder="1" applyAlignment="1"/>
    <xf numFmtId="0" fontId="4" fillId="2" borderId="0" xfId="0" applyFont="1" applyFill="1" applyBorder="1"/>
    <xf numFmtId="165" fontId="3" fillId="8" borderId="19" xfId="0" applyNumberFormat="1" applyFont="1" applyFill="1" applyBorder="1" applyAlignment="1">
      <alignment horizontal="right" vertical="center"/>
    </xf>
    <xf numFmtId="165" fontId="3" fillId="8" borderId="6" xfId="0" applyNumberFormat="1" applyFont="1" applyFill="1" applyBorder="1" applyAlignment="1">
      <alignment horizontal="right" vertical="center"/>
    </xf>
    <xf numFmtId="37" fontId="3" fillId="4" borderId="45" xfId="0" applyNumberFormat="1" applyFont="1" applyFill="1" applyBorder="1" applyAlignment="1">
      <alignment horizontal="left" vertical="center"/>
    </xf>
    <xf numFmtId="37" fontId="3" fillId="4" borderId="6" xfId="0" applyNumberFormat="1" applyFont="1" applyFill="1" applyBorder="1" applyAlignment="1">
      <alignment horizontal="center" vertical="center"/>
    </xf>
    <xf numFmtId="165" fontId="3" fillId="4" borderId="6" xfId="0" applyNumberFormat="1" applyFont="1" applyFill="1" applyBorder="1" applyAlignment="1">
      <alignment horizontal="right" vertical="center"/>
    </xf>
    <xf numFmtId="165" fontId="3" fillId="4" borderId="0" xfId="0" applyNumberFormat="1" applyFont="1" applyFill="1" applyBorder="1" applyAlignment="1">
      <alignment horizontal="right" vertical="center"/>
    </xf>
    <xf numFmtId="0" fontId="4" fillId="2" borderId="0" xfId="0" applyFont="1" applyFill="1"/>
    <xf numFmtId="0" fontId="4" fillId="0" borderId="0" xfId="0" applyFont="1" applyFill="1" applyAlignment="1">
      <alignment vertical="top" wrapText="1"/>
    </xf>
    <xf numFmtId="0" fontId="4" fillId="0" borderId="0" xfId="0" applyFont="1" applyAlignment="1"/>
    <xf numFmtId="165" fontId="3" fillId="10" borderId="51" xfId="0" applyNumberFormat="1" applyFont="1" applyFill="1" applyBorder="1" applyAlignment="1"/>
    <xf numFmtId="166" fontId="4" fillId="10" borderId="51" xfId="0" applyNumberFormat="1" applyFont="1" applyFill="1" applyBorder="1" applyAlignment="1"/>
    <xf numFmtId="165" fontId="3" fillId="2" borderId="31" xfId="0" applyNumberFormat="1" applyFont="1" applyFill="1" applyBorder="1" applyAlignment="1"/>
    <xf numFmtId="166" fontId="4" fillId="2" borderId="31" xfId="1" applyNumberFormat="1" applyFont="1" applyFill="1" applyBorder="1" applyAlignment="1"/>
    <xf numFmtId="39" fontId="4" fillId="0" borderId="31" xfId="0" applyNumberFormat="1" applyFont="1" applyBorder="1" applyAlignment="1"/>
    <xf numFmtId="0" fontId="4" fillId="0" borderId="31" xfId="0" applyFont="1" applyBorder="1" applyAlignment="1"/>
    <xf numFmtId="166" fontId="4" fillId="2" borderId="0" xfId="1" applyNumberFormat="1" applyFont="1" applyFill="1" applyBorder="1" applyAlignment="1"/>
    <xf numFmtId="3" fontId="4" fillId="0" borderId="0" xfId="0" applyNumberFormat="1" applyFont="1" applyFill="1" applyAlignment="1">
      <alignment vertical="top" wrapText="1"/>
    </xf>
    <xf numFmtId="3" fontId="4" fillId="0" borderId="0" xfId="0" applyNumberFormat="1" applyFont="1" applyAlignment="1"/>
    <xf numFmtId="3" fontId="4" fillId="0" borderId="54" xfId="0" applyNumberFormat="1" applyFont="1" applyBorder="1" applyAlignment="1"/>
    <xf numFmtId="3" fontId="4" fillId="2" borderId="54" xfId="1" quotePrefix="1" applyNumberFormat="1" applyFont="1" applyFill="1" applyBorder="1" applyAlignment="1"/>
    <xf numFmtId="0" fontId="4" fillId="0" borderId="0" xfId="0" applyFont="1" applyBorder="1" applyAlignment="1"/>
    <xf numFmtId="0" fontId="4" fillId="0" borderId="0" xfId="0" applyFont="1" applyFill="1" applyAlignment="1">
      <alignment horizontal="center" vertical="top" wrapText="1"/>
    </xf>
    <xf numFmtId="9" fontId="4" fillId="0" borderId="0" xfId="2" applyFont="1" applyAlignment="1">
      <alignment horizontal="center"/>
    </xf>
    <xf numFmtId="9" fontId="4" fillId="0" borderId="0" xfId="2" applyFont="1"/>
    <xf numFmtId="37" fontId="3" fillId="6" borderId="7" xfId="0" applyNumberFormat="1" applyFont="1" applyFill="1" applyBorder="1" applyAlignment="1">
      <alignment horizontal="right" vertical="center"/>
    </xf>
    <xf numFmtId="165" fontId="3" fillId="7" borderId="6" xfId="0" applyNumberFormat="1" applyFont="1" applyFill="1" applyBorder="1" applyAlignment="1">
      <alignment horizontal="right" vertical="center"/>
    </xf>
    <xf numFmtId="165" fontId="4" fillId="0" borderId="0" xfId="0" applyNumberFormat="1" applyFont="1"/>
    <xf numFmtId="37" fontId="3" fillId="6" borderId="3" xfId="0" applyNumberFormat="1" applyFont="1" applyFill="1" applyBorder="1" applyAlignment="1">
      <alignment horizontal="right" vertical="center"/>
    </xf>
    <xf numFmtId="165" fontId="3" fillId="0" borderId="36" xfId="0" applyNumberFormat="1" applyFont="1" applyFill="1" applyBorder="1" applyAlignment="1">
      <alignment horizontal="right"/>
    </xf>
    <xf numFmtId="165" fontId="3" fillId="0" borderId="32" xfId="0" applyNumberFormat="1" applyFont="1" applyFill="1" applyBorder="1" applyAlignment="1">
      <alignment horizontal="right"/>
    </xf>
    <xf numFmtId="165" fontId="3" fillId="0" borderId="23" xfId="0" applyNumberFormat="1" applyFont="1" applyFill="1" applyBorder="1" applyAlignment="1">
      <alignment horizontal="right"/>
    </xf>
    <xf numFmtId="165" fontId="3" fillId="0" borderId="27" xfId="0" applyNumberFormat="1" applyFont="1" applyFill="1" applyBorder="1" applyAlignment="1">
      <alignment horizontal="right"/>
    </xf>
    <xf numFmtId="37" fontId="3" fillId="7" borderId="1" xfId="0" applyNumberFormat="1" applyFont="1" applyFill="1" applyBorder="1" applyAlignment="1">
      <alignment vertical="center"/>
    </xf>
    <xf numFmtId="37" fontId="3" fillId="7" borderId="2" xfId="0" applyNumberFormat="1" applyFont="1" applyFill="1" applyBorder="1" applyAlignment="1">
      <alignment vertical="center"/>
    </xf>
    <xf numFmtId="165" fontId="3" fillId="7" borderId="5" xfId="0" applyNumberFormat="1" applyFont="1" applyFill="1" applyBorder="1" applyAlignment="1">
      <alignment horizontal="right" vertical="center"/>
    </xf>
    <xf numFmtId="0" fontId="4" fillId="0" borderId="0" xfId="0" applyFont="1" applyAlignment="1">
      <alignment vertical="top" wrapText="1"/>
    </xf>
    <xf numFmtId="0" fontId="4" fillId="2" borderId="0" xfId="0" applyFont="1" applyFill="1" applyAlignment="1">
      <alignment vertical="top" wrapText="1"/>
    </xf>
    <xf numFmtId="37" fontId="3" fillId="4" borderId="0" xfId="0" applyNumberFormat="1" applyFont="1" applyFill="1" applyBorder="1" applyAlignment="1">
      <alignment horizontal="center" vertical="center"/>
    </xf>
    <xf numFmtId="39" fontId="4" fillId="0" borderId="0" xfId="0" applyNumberFormat="1" applyFont="1" applyBorder="1"/>
    <xf numFmtId="9" fontId="4" fillId="0" borderId="0" xfId="2" applyFont="1" applyBorder="1"/>
    <xf numFmtId="0" fontId="4" fillId="0" borderId="0" xfId="0" applyFont="1" applyBorder="1"/>
    <xf numFmtId="165" fontId="3" fillId="7" borderId="45" xfId="0" applyNumberFormat="1" applyFont="1" applyFill="1" applyBorder="1" applyAlignment="1">
      <alignment horizontal="left" vertical="top" wrapText="1"/>
    </xf>
    <xf numFmtId="165" fontId="3" fillId="7" borderId="14" xfId="0" applyNumberFormat="1" applyFont="1" applyFill="1" applyBorder="1" applyAlignment="1">
      <alignment horizontal="right" vertical="center"/>
    </xf>
    <xf numFmtId="166" fontId="4" fillId="10" borderId="51" xfId="0" applyNumberFormat="1" applyFont="1" applyFill="1" applyBorder="1" applyAlignment="1">
      <alignment horizontal="right"/>
    </xf>
    <xf numFmtId="166" fontId="4" fillId="2" borderId="31" xfId="1" applyNumberFormat="1" applyFont="1" applyFill="1" applyBorder="1" applyAlignment="1">
      <alignment horizontal="right"/>
    </xf>
    <xf numFmtId="3" fontId="4" fillId="0" borderId="54" xfId="0" applyNumberFormat="1" applyFont="1" applyBorder="1" applyAlignment="1">
      <alignment horizontal="right"/>
    </xf>
    <xf numFmtId="165" fontId="4" fillId="2" borderId="0" xfId="0" applyNumberFormat="1" applyFont="1" applyFill="1" applyAlignment="1">
      <alignment vertical="center"/>
    </xf>
    <xf numFmtId="165" fontId="4" fillId="0" borderId="0" xfId="0" applyNumberFormat="1" applyFont="1" applyAlignment="1">
      <alignment horizontal="right" vertical="center"/>
    </xf>
    <xf numFmtId="165" fontId="3" fillId="8" borderId="0" xfId="0" applyNumberFormat="1" applyFont="1" applyFill="1" applyBorder="1" applyAlignment="1">
      <alignment horizontal="right" vertical="center"/>
    </xf>
    <xf numFmtId="165" fontId="3" fillId="0" borderId="0" xfId="0" applyNumberFormat="1" applyFont="1" applyFill="1" applyBorder="1" applyAlignment="1">
      <alignment horizontal="right" vertical="center"/>
    </xf>
    <xf numFmtId="165" fontId="3" fillId="0" borderId="0" xfId="0" applyNumberFormat="1" applyFont="1" applyFill="1" applyBorder="1" applyAlignment="1">
      <alignment vertical="center"/>
    </xf>
    <xf numFmtId="165" fontId="4" fillId="0" borderId="0" xfId="0" applyNumberFormat="1" applyFont="1" applyAlignment="1">
      <alignment horizontal="center"/>
    </xf>
    <xf numFmtId="165" fontId="3" fillId="7" borderId="6" xfId="0" applyNumberFormat="1" applyFont="1" applyFill="1" applyBorder="1" applyAlignment="1">
      <alignment horizontal="center" vertical="center"/>
    </xf>
    <xf numFmtId="0" fontId="4" fillId="0" borderId="0" xfId="0" applyFont="1" applyBorder="1" applyAlignment="1">
      <alignment horizontal="center"/>
    </xf>
    <xf numFmtId="0" fontId="4" fillId="0" borderId="0" xfId="0" applyFont="1" applyAlignment="1">
      <alignment horizontal="center"/>
    </xf>
    <xf numFmtId="165" fontId="3" fillId="8" borderId="19" xfId="0" applyNumberFormat="1" applyFont="1" applyFill="1" applyBorder="1" applyAlignment="1">
      <alignment horizontal="center" vertical="center"/>
    </xf>
    <xf numFmtId="165" fontId="3" fillId="4" borderId="6" xfId="0" applyNumberFormat="1" applyFont="1" applyFill="1" applyBorder="1" applyAlignment="1">
      <alignment horizontal="center" vertical="center"/>
    </xf>
    <xf numFmtId="165" fontId="3" fillId="4" borderId="0" xfId="0" applyNumberFormat="1" applyFont="1" applyFill="1" applyBorder="1" applyAlignment="1">
      <alignment horizontal="center" vertical="center"/>
    </xf>
    <xf numFmtId="166" fontId="4" fillId="10" borderId="51" xfId="0" applyNumberFormat="1" applyFont="1" applyFill="1" applyBorder="1" applyAlignment="1">
      <alignment horizontal="center"/>
    </xf>
    <xf numFmtId="39" fontId="4" fillId="0" borderId="31" xfId="0" applyNumberFormat="1" applyFont="1" applyBorder="1" applyAlignment="1">
      <alignment horizontal="center"/>
    </xf>
    <xf numFmtId="3" fontId="4" fillId="0" borderId="54" xfId="0" applyNumberFormat="1" applyFont="1" applyBorder="1" applyAlignment="1">
      <alignment horizontal="center"/>
    </xf>
    <xf numFmtId="39" fontId="4" fillId="0" borderId="0" xfId="0" applyNumberFormat="1" applyFont="1" applyBorder="1" applyAlignment="1">
      <alignment horizontal="center"/>
    </xf>
    <xf numFmtId="165" fontId="3" fillId="7" borderId="46" xfId="0" applyNumberFormat="1" applyFont="1" applyFill="1" applyBorder="1" applyAlignment="1">
      <alignment horizontal="right" vertical="center"/>
    </xf>
    <xf numFmtId="165" fontId="3" fillId="7" borderId="6" xfId="0" applyNumberFormat="1" applyFont="1" applyFill="1" applyBorder="1" applyAlignment="1">
      <alignment vertical="center"/>
    </xf>
    <xf numFmtId="165" fontId="3" fillId="0" borderId="22" xfId="0" applyNumberFormat="1" applyFont="1" applyFill="1" applyBorder="1" applyAlignment="1"/>
    <xf numFmtId="165" fontId="3" fillId="0" borderId="23" xfId="0" applyNumberFormat="1" applyFont="1" applyFill="1" applyBorder="1" applyAlignment="1"/>
    <xf numFmtId="165" fontId="3" fillId="0" borderId="57" xfId="0" applyNumberFormat="1" applyFont="1" applyFill="1" applyBorder="1" applyAlignment="1"/>
    <xf numFmtId="165" fontId="3" fillId="0" borderId="63" xfId="0" applyNumberFormat="1" applyFont="1" applyFill="1" applyBorder="1" applyAlignment="1"/>
    <xf numFmtId="165" fontId="3" fillId="0" borderId="28" xfId="0" applyNumberFormat="1" applyFont="1" applyFill="1" applyBorder="1" applyAlignment="1"/>
    <xf numFmtId="165" fontId="3" fillId="0" borderId="40" xfId="0" applyNumberFormat="1" applyFont="1" applyFill="1" applyBorder="1" applyAlignment="1"/>
    <xf numFmtId="165" fontId="3" fillId="0" borderId="32" xfId="0" applyNumberFormat="1" applyFont="1" applyFill="1" applyBorder="1" applyAlignment="1"/>
    <xf numFmtId="165" fontId="3" fillId="0" borderId="19" xfId="0" quotePrefix="1" applyNumberFormat="1" applyFont="1" applyFill="1" applyBorder="1" applyAlignment="1"/>
    <xf numFmtId="165" fontId="3" fillId="0" borderId="19" xfId="0" applyNumberFormat="1" applyFont="1" applyFill="1" applyBorder="1" applyAlignment="1"/>
    <xf numFmtId="165" fontId="3" fillId="0" borderId="23" xfId="0" quotePrefix="1" applyNumberFormat="1" applyFont="1" applyFill="1" applyBorder="1" applyAlignment="1"/>
    <xf numFmtId="165" fontId="3" fillId="0" borderId="56" xfId="0" applyNumberFormat="1" applyFont="1" applyFill="1" applyBorder="1" applyAlignment="1"/>
    <xf numFmtId="4" fontId="4" fillId="0" borderId="0" xfId="0" applyNumberFormat="1" applyFont="1" applyAlignment="1"/>
    <xf numFmtId="165" fontId="4" fillId="0" borderId="0" xfId="0" applyNumberFormat="1" applyFont="1" applyAlignment="1"/>
    <xf numFmtId="9" fontId="4" fillId="0" borderId="0" xfId="2" applyFont="1" applyAlignment="1"/>
    <xf numFmtId="165" fontId="3" fillId="8" borderId="6" xfId="0" applyNumberFormat="1" applyFont="1" applyFill="1" applyBorder="1" applyAlignment="1">
      <alignment vertical="center"/>
    </xf>
    <xf numFmtId="165" fontId="4" fillId="0" borderId="32" xfId="0" applyNumberFormat="1" applyFont="1" applyFill="1" applyBorder="1" applyAlignment="1"/>
    <xf numFmtId="165" fontId="4" fillId="0" borderId="23" xfId="0" applyNumberFormat="1" applyFont="1" applyFill="1" applyBorder="1" applyAlignment="1"/>
    <xf numFmtId="165" fontId="3" fillId="0" borderId="27" xfId="0" applyNumberFormat="1" applyFont="1" applyFill="1" applyBorder="1" applyAlignment="1"/>
    <xf numFmtId="165" fontId="3" fillId="0" borderId="36" xfId="0" applyNumberFormat="1" applyFont="1" applyFill="1" applyBorder="1" applyAlignment="1"/>
    <xf numFmtId="165" fontId="3" fillId="0" borderId="35" xfId="0" applyNumberFormat="1" applyFont="1" applyFill="1" applyBorder="1" applyAlignment="1"/>
    <xf numFmtId="165" fontId="3" fillId="0" borderId="50" xfId="0" applyNumberFormat="1" applyFont="1" applyFill="1" applyBorder="1" applyAlignment="1"/>
    <xf numFmtId="165" fontId="3" fillId="0" borderId="72" xfId="0" applyNumberFormat="1" applyFont="1" applyFill="1" applyBorder="1" applyAlignment="1"/>
    <xf numFmtId="169" fontId="5" fillId="0" borderId="32" xfId="0" applyNumberFormat="1" applyFont="1" applyFill="1" applyBorder="1" applyAlignment="1"/>
    <xf numFmtId="165" fontId="3" fillId="7" borderId="5" xfId="0" applyNumberFormat="1" applyFont="1" applyFill="1" applyBorder="1" applyAlignment="1">
      <alignment vertical="center"/>
    </xf>
    <xf numFmtId="165" fontId="4" fillId="2" borderId="0" xfId="0" applyNumberFormat="1" applyFont="1" applyFill="1"/>
    <xf numFmtId="166" fontId="4" fillId="10" borderId="0" xfId="0" applyNumberFormat="1" applyFont="1" applyFill="1" applyBorder="1" applyAlignment="1"/>
    <xf numFmtId="3" fontId="4" fillId="0" borderId="0" xfId="0" applyNumberFormat="1" applyFont="1" applyBorder="1" applyAlignment="1"/>
    <xf numFmtId="165" fontId="3" fillId="0" borderId="12" xfId="0" applyNumberFormat="1" applyFont="1" applyFill="1" applyBorder="1" applyAlignment="1">
      <alignment horizontal="center" vertical="center"/>
    </xf>
    <xf numFmtId="43" fontId="4" fillId="0" borderId="0" xfId="1" applyFont="1"/>
    <xf numFmtId="43" fontId="4" fillId="0" borderId="0" xfId="0" applyNumberFormat="1" applyFont="1"/>
    <xf numFmtId="165" fontId="3" fillId="0" borderId="71" xfId="0" applyNumberFormat="1" applyFont="1" applyFill="1" applyBorder="1" applyAlignment="1">
      <alignment horizontal="right"/>
    </xf>
    <xf numFmtId="165" fontId="3" fillId="8" borderId="46" xfId="0" applyNumberFormat="1" applyFont="1" applyFill="1" applyBorder="1" applyAlignment="1">
      <alignment horizontal="right" vertical="center"/>
    </xf>
    <xf numFmtId="37" fontId="3" fillId="0" borderId="8" xfId="0" applyNumberFormat="1" applyFont="1" applyFill="1" applyBorder="1" applyAlignment="1">
      <alignment vertical="center"/>
    </xf>
    <xf numFmtId="9" fontId="3" fillId="0" borderId="2" xfId="2" applyFont="1" applyFill="1" applyBorder="1" applyAlignment="1">
      <alignment horizontal="center" vertical="center"/>
    </xf>
    <xf numFmtId="165" fontId="3" fillId="0" borderId="14" xfId="0" applyNumberFormat="1" applyFont="1" applyFill="1" applyBorder="1" applyAlignment="1">
      <alignment vertical="center"/>
    </xf>
    <xf numFmtId="165" fontId="3" fillId="0" borderId="14" xfId="0" applyNumberFormat="1" applyFont="1" applyFill="1" applyBorder="1" applyAlignment="1">
      <alignment horizontal="right" vertical="center"/>
    </xf>
    <xf numFmtId="165" fontId="3" fillId="0" borderId="6" xfId="0" applyNumberFormat="1" applyFont="1" applyFill="1" applyBorder="1" applyAlignment="1">
      <alignment horizontal="right" vertical="center"/>
    </xf>
    <xf numFmtId="165" fontId="4" fillId="0" borderId="0" xfId="0" applyNumberFormat="1" applyFont="1" applyFill="1" applyAlignment="1">
      <alignment vertical="center"/>
    </xf>
    <xf numFmtId="0" fontId="4" fillId="0" borderId="0" xfId="0" applyFont="1" applyFill="1" applyAlignment="1">
      <alignment vertical="center"/>
    </xf>
    <xf numFmtId="165" fontId="3" fillId="0" borderId="18" xfId="0" applyNumberFormat="1" applyFont="1" applyFill="1" applyBorder="1" applyAlignment="1">
      <alignment vertical="center"/>
    </xf>
    <xf numFmtId="165" fontId="3" fillId="0" borderId="22" xfId="0" applyNumberFormat="1" applyFont="1" applyFill="1" applyBorder="1" applyAlignment="1">
      <alignment vertical="center"/>
    </xf>
    <xf numFmtId="167" fontId="3" fillId="0" borderId="20" xfId="0" applyNumberFormat="1" applyFont="1" applyFill="1" applyBorder="1" applyAlignment="1">
      <alignment horizontal="left" vertical="center" wrapText="1"/>
    </xf>
    <xf numFmtId="37" fontId="3" fillId="0" borderId="20" xfId="0" applyNumberFormat="1" applyFont="1" applyFill="1" applyBorder="1" applyAlignment="1">
      <alignment horizontal="center" vertical="center"/>
    </xf>
    <xf numFmtId="37" fontId="3" fillId="0" borderId="60" xfId="0" applyNumberFormat="1" applyFont="1" applyFill="1" applyBorder="1" applyAlignment="1">
      <alignment vertical="center"/>
    </xf>
    <xf numFmtId="165" fontId="3" fillId="0" borderId="23" xfId="0" applyNumberFormat="1" applyFont="1" applyFill="1" applyBorder="1" applyAlignment="1">
      <alignment vertical="center"/>
    </xf>
    <xf numFmtId="165" fontId="3" fillId="0" borderId="79" xfId="0" applyNumberFormat="1" applyFont="1" applyFill="1" applyBorder="1" applyAlignment="1">
      <alignment vertical="center"/>
    </xf>
    <xf numFmtId="0" fontId="3" fillId="0" borderId="24" xfId="0" applyNumberFormat="1" applyFont="1" applyFill="1" applyBorder="1" applyAlignment="1">
      <alignment horizontal="left" vertical="center" wrapText="1"/>
    </xf>
    <xf numFmtId="37" fontId="3" fillId="0" borderId="24" xfId="0" applyNumberFormat="1" applyFont="1" applyFill="1" applyBorder="1" applyAlignment="1">
      <alignment horizontal="center" vertical="center"/>
    </xf>
    <xf numFmtId="165" fontId="3" fillId="0" borderId="57" xfId="0" applyNumberFormat="1" applyFont="1" applyFill="1" applyBorder="1" applyAlignment="1">
      <alignment vertical="center"/>
    </xf>
    <xf numFmtId="165" fontId="3" fillId="0" borderId="63" xfId="0" applyNumberFormat="1" applyFont="1" applyFill="1" applyBorder="1" applyAlignment="1">
      <alignment vertical="center"/>
    </xf>
    <xf numFmtId="165" fontId="3" fillId="0" borderId="28" xfId="0" applyNumberFormat="1" applyFont="1" applyFill="1" applyBorder="1" applyAlignment="1">
      <alignment vertical="center"/>
    </xf>
    <xf numFmtId="165" fontId="4" fillId="0" borderId="0" xfId="0" applyNumberFormat="1" applyFont="1" applyAlignment="1">
      <alignment vertical="center"/>
    </xf>
    <xf numFmtId="37" fontId="3" fillId="0" borderId="0" xfId="0" applyNumberFormat="1" applyFont="1" applyFill="1" applyBorder="1" applyAlignment="1">
      <alignment horizontal="center" vertical="center"/>
    </xf>
    <xf numFmtId="0" fontId="3" fillId="0" borderId="15" xfId="0" applyNumberFormat="1" applyFont="1" applyFill="1" applyBorder="1" applyAlignment="1">
      <alignment horizontal="left" vertical="center" wrapText="1"/>
    </xf>
    <xf numFmtId="37" fontId="3" fillId="0" borderId="15" xfId="0" applyNumberFormat="1" applyFont="1" applyFill="1" applyBorder="1" applyAlignment="1">
      <alignment horizontal="center" vertical="center"/>
    </xf>
    <xf numFmtId="165" fontId="3" fillId="0" borderId="40" xfId="0" applyNumberFormat="1" applyFont="1" applyFill="1" applyBorder="1" applyAlignment="1">
      <alignment vertical="center"/>
    </xf>
    <xf numFmtId="165" fontId="3" fillId="0" borderId="32" xfId="0" applyNumberFormat="1" applyFont="1" applyFill="1" applyBorder="1" applyAlignment="1">
      <alignment vertical="center"/>
    </xf>
    <xf numFmtId="165" fontId="3" fillId="0" borderId="77" xfId="0" applyNumberFormat="1" applyFont="1" applyFill="1" applyBorder="1" applyAlignment="1">
      <alignment vertical="center"/>
    </xf>
    <xf numFmtId="0" fontId="3" fillId="0" borderId="20" xfId="0" applyNumberFormat="1" applyFont="1" applyFill="1" applyBorder="1" applyAlignment="1">
      <alignment horizontal="left" vertical="center" wrapText="1"/>
    </xf>
    <xf numFmtId="0" fontId="3" fillId="0" borderId="4" xfId="0" applyNumberFormat="1" applyFont="1" applyFill="1" applyBorder="1" applyAlignment="1">
      <alignment horizontal="left" vertical="center" wrapText="1"/>
    </xf>
    <xf numFmtId="0" fontId="3" fillId="0" borderId="16" xfId="0" applyNumberFormat="1" applyFont="1" applyFill="1" applyBorder="1" applyAlignment="1">
      <alignment horizontal="left" vertical="center" wrapText="1"/>
    </xf>
    <xf numFmtId="37" fontId="3" fillId="0" borderId="16" xfId="0" applyNumberFormat="1" applyFont="1" applyFill="1" applyBorder="1" applyAlignment="1">
      <alignment horizontal="center" vertical="center"/>
    </xf>
    <xf numFmtId="9" fontId="3" fillId="0" borderId="3" xfId="2" applyFont="1" applyFill="1" applyBorder="1" applyAlignment="1">
      <alignment horizontal="center" vertical="center"/>
    </xf>
    <xf numFmtId="165" fontId="3" fillId="0" borderId="19" xfId="0" quotePrefix="1" applyNumberFormat="1" applyFont="1" applyFill="1" applyBorder="1" applyAlignment="1">
      <alignment vertical="center"/>
    </xf>
    <xf numFmtId="165" fontId="3" fillId="0" borderId="19" xfId="0" applyNumberFormat="1" applyFont="1" applyFill="1" applyBorder="1" applyAlignment="1">
      <alignment vertical="center"/>
    </xf>
    <xf numFmtId="0" fontId="4" fillId="0" borderId="0" xfId="0" applyFont="1" applyFill="1" applyBorder="1" applyAlignment="1">
      <alignment vertical="center"/>
    </xf>
    <xf numFmtId="37" fontId="3" fillId="0" borderId="59" xfId="0" applyNumberFormat="1" applyFont="1" applyFill="1" applyBorder="1" applyAlignment="1">
      <alignment vertical="center"/>
    </xf>
    <xf numFmtId="9" fontId="3" fillId="0" borderId="21" xfId="2" applyFont="1" applyFill="1" applyBorder="1" applyAlignment="1">
      <alignment horizontal="center" vertical="center"/>
    </xf>
    <xf numFmtId="165" fontId="3" fillId="0" borderId="23" xfId="0" quotePrefix="1" applyNumberFormat="1" applyFont="1" applyFill="1" applyBorder="1" applyAlignment="1">
      <alignment vertical="center"/>
    </xf>
    <xf numFmtId="37" fontId="3" fillId="0" borderId="24" xfId="0" applyNumberFormat="1" applyFont="1" applyFill="1" applyBorder="1" applyAlignment="1">
      <alignment horizontal="left" vertical="center" wrapText="1"/>
    </xf>
    <xf numFmtId="37" fontId="3" fillId="0" borderId="20" xfId="0" applyNumberFormat="1" applyFont="1" applyFill="1" applyBorder="1" applyAlignment="1">
      <alignment horizontal="left" vertical="center" wrapText="1"/>
    </xf>
    <xf numFmtId="37" fontId="3" fillId="0" borderId="61" xfId="0" applyNumberFormat="1" applyFont="1" applyFill="1" applyBorder="1" applyAlignment="1">
      <alignment vertical="center"/>
    </xf>
    <xf numFmtId="165" fontId="3" fillId="0" borderId="23" xfId="0" applyNumberFormat="1" applyFont="1" applyFill="1" applyBorder="1" applyAlignment="1">
      <alignment horizontal="right" vertical="center"/>
    </xf>
    <xf numFmtId="37" fontId="3" fillId="0" borderId="0" xfId="0" applyNumberFormat="1" applyFont="1" applyFill="1" applyBorder="1" applyAlignment="1">
      <alignment vertical="center"/>
    </xf>
    <xf numFmtId="0" fontId="3" fillId="0" borderId="66" xfId="0" applyNumberFormat="1" applyFont="1" applyFill="1" applyBorder="1" applyAlignment="1">
      <alignment horizontal="left" vertical="center" wrapText="1"/>
    </xf>
    <xf numFmtId="37" fontId="3" fillId="0" borderId="66" xfId="0" applyNumberFormat="1" applyFont="1" applyFill="1" applyBorder="1" applyAlignment="1">
      <alignment horizontal="center" vertical="center"/>
    </xf>
    <xf numFmtId="37" fontId="3" fillId="0" borderId="67" xfId="0" applyNumberFormat="1" applyFont="1" applyFill="1" applyBorder="1" applyAlignment="1">
      <alignment vertical="center"/>
    </xf>
    <xf numFmtId="9" fontId="3" fillId="0" borderId="68" xfId="2" applyFont="1" applyFill="1" applyBorder="1" applyAlignment="1">
      <alignment horizontal="center" vertical="center"/>
    </xf>
    <xf numFmtId="165" fontId="3" fillId="0" borderId="56" xfId="0" applyNumberFormat="1" applyFont="1" applyFill="1" applyBorder="1" applyAlignment="1">
      <alignment vertical="center"/>
    </xf>
    <xf numFmtId="165" fontId="3" fillId="0" borderId="82" xfId="0" applyNumberFormat="1" applyFont="1" applyFill="1" applyBorder="1" applyAlignment="1">
      <alignment vertical="center"/>
    </xf>
    <xf numFmtId="0" fontId="4" fillId="0" borderId="0" xfId="0" applyFont="1" applyFill="1" applyAlignment="1">
      <alignment horizontal="center" vertical="center" wrapText="1"/>
    </xf>
    <xf numFmtId="9" fontId="4" fillId="0" borderId="0" xfId="2" applyFont="1" applyAlignment="1">
      <alignment horizontal="center" vertical="center"/>
    </xf>
    <xf numFmtId="4" fontId="4" fillId="0" borderId="0" xfId="0" applyNumberFormat="1" applyFont="1" applyAlignment="1">
      <alignment vertical="center"/>
    </xf>
    <xf numFmtId="166" fontId="4" fillId="0" borderId="0" xfId="0" applyNumberFormat="1" applyFont="1" applyAlignment="1">
      <alignment vertical="center"/>
    </xf>
    <xf numFmtId="165" fontId="3" fillId="7" borderId="6" xfId="0" applyNumberFormat="1" applyFont="1" applyFill="1" applyBorder="1" applyAlignment="1">
      <alignment horizontal="left" vertical="center" wrapText="1"/>
    </xf>
    <xf numFmtId="165" fontId="3" fillId="7" borderId="19" xfId="0" applyNumberFormat="1" applyFont="1" applyFill="1" applyBorder="1" applyAlignment="1">
      <alignment horizontal="left" vertical="center" wrapText="1"/>
    </xf>
    <xf numFmtId="167" fontId="3" fillId="0" borderId="65" xfId="0" applyNumberFormat="1" applyFont="1" applyFill="1" applyBorder="1" applyAlignment="1">
      <alignment horizontal="left" vertical="center" wrapText="1"/>
    </xf>
    <xf numFmtId="37" fontId="3" fillId="0" borderId="65" xfId="0" applyNumberFormat="1" applyFont="1" applyFill="1" applyBorder="1" applyAlignment="1">
      <alignment horizontal="center" vertical="center"/>
    </xf>
    <xf numFmtId="165" fontId="4" fillId="0" borderId="32" xfId="0" applyNumberFormat="1" applyFont="1" applyFill="1" applyBorder="1" applyAlignment="1">
      <alignment vertical="center"/>
    </xf>
    <xf numFmtId="167" fontId="3" fillId="0" borderId="15" xfId="0" applyNumberFormat="1" applyFont="1" applyFill="1" applyBorder="1" applyAlignment="1">
      <alignment horizontal="left" vertical="center" wrapText="1"/>
    </xf>
    <xf numFmtId="165" fontId="4" fillId="0" borderId="22" xfId="0" applyNumberFormat="1" applyFont="1" applyFill="1" applyBorder="1" applyAlignment="1">
      <alignment vertical="center"/>
    </xf>
    <xf numFmtId="165" fontId="4" fillId="0" borderId="23" xfId="0" applyNumberFormat="1" applyFont="1" applyFill="1" applyBorder="1" applyAlignment="1">
      <alignment vertical="center"/>
    </xf>
    <xf numFmtId="165" fontId="4" fillId="0" borderId="23" xfId="0" applyNumberFormat="1" applyFont="1" applyFill="1" applyBorder="1" applyAlignment="1">
      <alignment horizontal="right" vertical="center"/>
    </xf>
    <xf numFmtId="165" fontId="4" fillId="0" borderId="79" xfId="0" applyNumberFormat="1" applyFont="1" applyFill="1" applyBorder="1" applyAlignment="1">
      <alignment horizontal="right" vertical="center"/>
    </xf>
    <xf numFmtId="165" fontId="3" fillId="0" borderId="79" xfId="0" applyNumberFormat="1" applyFont="1" applyFill="1" applyBorder="1" applyAlignment="1">
      <alignment horizontal="right" vertical="center"/>
    </xf>
    <xf numFmtId="165" fontId="3" fillId="0" borderId="32" xfId="0" applyNumberFormat="1" applyFont="1" applyFill="1" applyBorder="1" applyAlignment="1">
      <alignment horizontal="right" vertical="center"/>
    </xf>
    <xf numFmtId="165" fontId="3" fillId="0" borderId="77" xfId="0" applyNumberFormat="1" applyFont="1" applyFill="1" applyBorder="1" applyAlignment="1">
      <alignment horizontal="right" vertical="center"/>
    </xf>
    <xf numFmtId="167" fontId="3" fillId="0" borderId="25" xfId="0" applyNumberFormat="1" applyFont="1" applyFill="1" applyBorder="1" applyAlignment="1">
      <alignment horizontal="left" vertical="center" wrapText="1"/>
    </xf>
    <xf numFmtId="37" fontId="3" fillId="0" borderId="25" xfId="0" applyNumberFormat="1" applyFont="1" applyFill="1" applyBorder="1" applyAlignment="1">
      <alignment horizontal="center" vertical="center"/>
    </xf>
    <xf numFmtId="37" fontId="3" fillId="0" borderId="47" xfId="0" applyNumberFormat="1" applyFont="1" applyFill="1" applyBorder="1" applyAlignment="1">
      <alignment vertical="center"/>
    </xf>
    <xf numFmtId="165" fontId="3" fillId="0" borderId="26" xfId="0" applyNumberFormat="1" applyFont="1" applyFill="1" applyBorder="1" applyAlignment="1">
      <alignment vertical="center"/>
    </xf>
    <xf numFmtId="165" fontId="3" fillId="0" borderId="27" xfId="0" applyNumberFormat="1" applyFont="1" applyFill="1" applyBorder="1" applyAlignment="1">
      <alignment vertical="center"/>
    </xf>
    <xf numFmtId="165" fontId="3" fillId="0" borderId="27" xfId="0" applyNumberFormat="1" applyFont="1" applyFill="1" applyBorder="1" applyAlignment="1">
      <alignment horizontal="right" vertical="center"/>
    </xf>
    <xf numFmtId="165" fontId="3" fillId="0" borderId="78" xfId="0" applyNumberFormat="1" applyFont="1" applyFill="1" applyBorder="1" applyAlignment="1">
      <alignment horizontal="right" vertical="center"/>
    </xf>
    <xf numFmtId="0" fontId="4" fillId="0" borderId="0" xfId="0" applyFont="1" applyBorder="1" applyAlignment="1">
      <alignment vertical="center"/>
    </xf>
    <xf numFmtId="9" fontId="4" fillId="0" borderId="0" xfId="2" applyFont="1" applyBorder="1" applyAlignment="1">
      <alignment horizontal="center" vertical="center"/>
    </xf>
    <xf numFmtId="165" fontId="3" fillId="7" borderId="45" xfId="0" applyNumberFormat="1" applyFont="1" applyFill="1" applyBorder="1" applyAlignment="1">
      <alignment horizontal="left" vertical="center" wrapText="1"/>
    </xf>
    <xf numFmtId="165" fontId="3" fillId="0" borderId="71" xfId="0" applyNumberFormat="1" applyFont="1" applyFill="1" applyBorder="1" applyAlignment="1">
      <alignment horizontal="right" vertical="center"/>
    </xf>
    <xf numFmtId="37" fontId="3" fillId="0" borderId="64" xfId="0" applyNumberFormat="1" applyFont="1" applyFill="1" applyBorder="1" applyAlignment="1">
      <alignment vertical="center"/>
    </xf>
    <xf numFmtId="165" fontId="3" fillId="0" borderId="36" xfId="0" applyNumberFormat="1" applyFont="1" applyFill="1" applyBorder="1" applyAlignment="1">
      <alignment vertical="center"/>
    </xf>
    <xf numFmtId="165" fontId="3" fillId="0" borderId="50" xfId="0" applyNumberFormat="1" applyFont="1" applyFill="1" applyBorder="1" applyAlignment="1">
      <alignment vertical="center"/>
    </xf>
    <xf numFmtId="165" fontId="3" fillId="0" borderId="36" xfId="0" applyNumberFormat="1" applyFont="1" applyFill="1" applyBorder="1" applyAlignment="1">
      <alignment horizontal="right" vertical="center"/>
    </xf>
    <xf numFmtId="165" fontId="3" fillId="0" borderId="76" xfId="0" applyNumberFormat="1" applyFont="1" applyFill="1" applyBorder="1" applyAlignment="1">
      <alignment horizontal="right" vertical="center"/>
    </xf>
    <xf numFmtId="165" fontId="3" fillId="0" borderId="43" xfId="0" applyNumberFormat="1" applyFont="1" applyFill="1" applyBorder="1" applyAlignment="1">
      <alignment horizontal="right" vertical="center"/>
    </xf>
    <xf numFmtId="165" fontId="4" fillId="0" borderId="0" xfId="0" applyNumberFormat="1" applyFont="1" applyAlignment="1">
      <alignment horizontal="center" vertical="center"/>
    </xf>
    <xf numFmtId="165" fontId="3" fillId="8" borderId="6" xfId="0" applyNumberFormat="1" applyFont="1" applyFill="1" applyBorder="1" applyAlignment="1">
      <alignment horizontal="center" vertical="center"/>
    </xf>
    <xf numFmtId="49" fontId="3" fillId="11" borderId="6" xfId="0" applyNumberFormat="1" applyFont="1" applyFill="1" applyBorder="1" applyAlignment="1">
      <alignment horizontal="center" vertical="center"/>
    </xf>
    <xf numFmtId="49" fontId="3" fillId="11" borderId="7" xfId="0" applyNumberFormat="1" applyFont="1" applyFill="1" applyBorder="1" applyAlignment="1">
      <alignment horizontal="center" vertical="center"/>
    </xf>
    <xf numFmtId="164" fontId="3" fillId="11" borderId="6" xfId="0" applyNumberFormat="1" applyFont="1" applyFill="1" applyBorder="1" applyAlignment="1">
      <alignment horizontal="center" vertical="center"/>
    </xf>
    <xf numFmtId="49" fontId="3" fillId="11" borderId="5" xfId="0" applyNumberFormat="1" applyFont="1" applyFill="1" applyBorder="1" applyAlignment="1">
      <alignment horizontal="center" vertical="center"/>
    </xf>
    <xf numFmtId="165" fontId="3" fillId="0" borderId="29" xfId="0" applyNumberFormat="1" applyFont="1" applyFill="1" applyBorder="1" applyAlignment="1">
      <alignment vertical="center"/>
    </xf>
    <xf numFmtId="165" fontId="3" fillId="0" borderId="21" xfId="0" applyNumberFormat="1" applyFont="1" applyFill="1" applyBorder="1" applyAlignment="1">
      <alignment vertical="center"/>
    </xf>
    <xf numFmtId="165" fontId="3" fillId="0" borderId="1" xfId="0" applyNumberFormat="1" applyFont="1" applyFill="1" applyBorder="1" applyAlignment="1">
      <alignment vertical="center"/>
    </xf>
    <xf numFmtId="165" fontId="3" fillId="0" borderId="39" xfId="0" applyNumberFormat="1" applyFont="1" applyFill="1" applyBorder="1" applyAlignment="1">
      <alignment vertical="center"/>
    </xf>
    <xf numFmtId="165" fontId="3" fillId="0" borderId="34" xfId="0" applyNumberFormat="1" applyFont="1" applyFill="1" applyBorder="1" applyAlignment="1">
      <alignment vertical="center"/>
    </xf>
    <xf numFmtId="165" fontId="3" fillId="0" borderId="68" xfId="0" applyNumberFormat="1" applyFont="1" applyFill="1" applyBorder="1" applyAlignment="1">
      <alignment vertical="center"/>
    </xf>
    <xf numFmtId="165" fontId="3" fillId="0" borderId="57" xfId="0" quotePrefix="1" applyNumberFormat="1" applyFont="1" applyFill="1" applyBorder="1" applyAlignment="1">
      <alignment vertical="center"/>
    </xf>
    <xf numFmtId="165" fontId="3" fillId="0" borderId="75" xfId="0" applyNumberFormat="1" applyFont="1" applyFill="1" applyBorder="1" applyAlignment="1">
      <alignment vertical="center"/>
    </xf>
    <xf numFmtId="165" fontId="3" fillId="0" borderId="8" xfId="0" applyNumberFormat="1" applyFont="1" applyFill="1" applyBorder="1" applyAlignment="1">
      <alignment horizontal="right" vertical="center"/>
    </xf>
    <xf numFmtId="165" fontId="3" fillId="0" borderId="49" xfId="0" applyNumberFormat="1" applyFont="1" applyFill="1" applyBorder="1" applyAlignment="1">
      <alignment vertical="center"/>
    </xf>
    <xf numFmtId="165" fontId="3" fillId="0" borderId="60" xfId="0" applyNumberFormat="1" applyFont="1" applyFill="1" applyBorder="1" applyAlignment="1">
      <alignment vertical="center"/>
    </xf>
    <xf numFmtId="165" fontId="3" fillId="0" borderId="61" xfId="0" applyNumberFormat="1" applyFont="1" applyFill="1" applyBorder="1" applyAlignment="1">
      <alignment vertical="center"/>
    </xf>
    <xf numFmtId="165" fontId="3" fillId="0" borderId="76" xfId="0" applyNumberFormat="1" applyFont="1" applyFill="1" applyBorder="1" applyAlignment="1">
      <alignment vertical="center"/>
    </xf>
    <xf numFmtId="165" fontId="3" fillId="0" borderId="67" xfId="0" applyNumberFormat="1" applyFont="1" applyFill="1" applyBorder="1" applyAlignment="1">
      <alignment vertical="center"/>
    </xf>
    <xf numFmtId="165" fontId="3" fillId="7" borderId="46" xfId="0" applyNumberFormat="1" applyFont="1" applyFill="1" applyBorder="1" applyAlignment="1">
      <alignment horizontal="center" vertical="center"/>
    </xf>
    <xf numFmtId="165" fontId="3" fillId="0" borderId="79" xfId="0" applyNumberFormat="1" applyFont="1" applyFill="1" applyBorder="1" applyAlignment="1">
      <alignment horizontal="center" vertical="center"/>
    </xf>
    <xf numFmtId="165" fontId="3" fillId="0" borderId="82" xfId="0" applyNumberFormat="1" applyFont="1" applyFill="1" applyBorder="1" applyAlignment="1">
      <alignment horizontal="center" vertical="center"/>
    </xf>
    <xf numFmtId="165" fontId="3" fillId="7" borderId="45" xfId="0" applyNumberFormat="1" applyFont="1" applyFill="1" applyBorder="1" applyAlignment="1">
      <alignment vertical="center"/>
    </xf>
    <xf numFmtId="165" fontId="3" fillId="0" borderId="62" xfId="0" applyNumberFormat="1" applyFont="1" applyFill="1" applyBorder="1" applyAlignment="1">
      <alignment vertical="center"/>
    </xf>
    <xf numFmtId="166" fontId="3" fillId="0" borderId="20" xfId="1" applyNumberFormat="1" applyFont="1" applyFill="1" applyBorder="1" applyAlignment="1">
      <alignment vertical="center"/>
    </xf>
    <xf numFmtId="165" fontId="3" fillId="0" borderId="16" xfId="0" applyNumberFormat="1" applyFont="1" applyFill="1" applyBorder="1" applyAlignment="1">
      <alignment vertical="center"/>
    </xf>
    <xf numFmtId="166" fontId="3" fillId="0" borderId="16" xfId="1" applyNumberFormat="1" applyFont="1" applyFill="1" applyBorder="1" applyAlignment="1">
      <alignment vertical="center"/>
    </xf>
    <xf numFmtId="166" fontId="3" fillId="0" borderId="66" xfId="1" applyNumberFormat="1" applyFont="1" applyFill="1" applyBorder="1" applyAlignment="1">
      <alignment vertical="center"/>
    </xf>
    <xf numFmtId="165" fontId="3" fillId="0" borderId="60" xfId="0" quotePrefix="1" applyNumberFormat="1" applyFont="1" applyFill="1" applyBorder="1" applyAlignment="1">
      <alignment vertical="center"/>
    </xf>
    <xf numFmtId="164" fontId="3" fillId="11" borderId="46" xfId="0" applyNumberFormat="1" applyFont="1" applyFill="1" applyBorder="1" applyAlignment="1">
      <alignment horizontal="center" vertical="center"/>
    </xf>
    <xf numFmtId="49" fontId="3" fillId="11" borderId="45" xfId="0" applyNumberFormat="1" applyFont="1" applyFill="1" applyBorder="1" applyAlignment="1">
      <alignment horizontal="center" vertical="center"/>
    </xf>
    <xf numFmtId="49" fontId="3" fillId="11" borderId="46" xfId="0" applyNumberFormat="1" applyFont="1" applyFill="1" applyBorder="1" applyAlignment="1">
      <alignment horizontal="center" vertical="center"/>
    </xf>
    <xf numFmtId="164" fontId="3" fillId="11" borderId="45" xfId="0" applyNumberFormat="1" applyFont="1" applyFill="1" applyBorder="1" applyAlignment="1">
      <alignment horizontal="center" vertical="center"/>
    </xf>
    <xf numFmtId="165" fontId="3" fillId="0" borderId="67" xfId="0" quotePrefix="1" applyNumberFormat="1" applyFont="1" applyFill="1" applyBorder="1" applyAlignment="1">
      <alignment vertical="center"/>
    </xf>
    <xf numFmtId="165" fontId="4" fillId="0" borderId="27" xfId="0" applyNumberFormat="1" applyFont="1" applyFill="1" applyBorder="1" applyAlignment="1">
      <alignment vertical="center"/>
    </xf>
    <xf numFmtId="165" fontId="4" fillId="0" borderId="0" xfId="0" applyNumberFormat="1" applyFont="1" applyFill="1" applyBorder="1" applyAlignment="1">
      <alignment vertical="center"/>
    </xf>
    <xf numFmtId="0" fontId="4" fillId="0" borderId="0" xfId="0" applyFont="1" applyFill="1" applyBorder="1" applyAlignment="1">
      <alignment horizontal="center" vertical="center"/>
    </xf>
    <xf numFmtId="169" fontId="5" fillId="0" borderId="71" xfId="0" applyNumberFormat="1" applyFont="1" applyFill="1" applyBorder="1" applyAlignment="1">
      <alignment horizontal="right" vertical="center"/>
    </xf>
    <xf numFmtId="170" fontId="3" fillId="0" borderId="46" xfId="0" applyNumberFormat="1" applyFont="1" applyFill="1" applyBorder="1" applyAlignment="1">
      <alignment horizontal="center" vertical="center"/>
    </xf>
    <xf numFmtId="170" fontId="3" fillId="0" borderId="79" xfId="0" applyNumberFormat="1" applyFont="1" applyFill="1" applyBorder="1" applyAlignment="1">
      <alignment horizontal="center" vertical="center"/>
    </xf>
    <xf numFmtId="170" fontId="3" fillId="0" borderId="83" xfId="0" applyNumberFormat="1" applyFont="1" applyFill="1" applyBorder="1" applyAlignment="1">
      <alignment horizontal="center" vertical="center"/>
    </xf>
    <xf numFmtId="170" fontId="3" fillId="0" borderId="77" xfId="0" applyNumberFormat="1" applyFont="1" applyFill="1" applyBorder="1" applyAlignment="1">
      <alignment horizontal="center" vertical="center"/>
    </xf>
    <xf numFmtId="170" fontId="3" fillId="8" borderId="6" xfId="0" applyNumberFormat="1" applyFont="1" applyFill="1" applyBorder="1" applyAlignment="1">
      <alignment horizontal="center" vertical="center"/>
    </xf>
    <xf numFmtId="170" fontId="3" fillId="0" borderId="27" xfId="0" applyNumberFormat="1" applyFont="1" applyFill="1" applyBorder="1" applyAlignment="1">
      <alignment horizontal="center" vertical="center"/>
    </xf>
    <xf numFmtId="170" fontId="3" fillId="0" borderId="32" xfId="0" applyNumberFormat="1" applyFont="1" applyFill="1" applyBorder="1" applyAlignment="1">
      <alignment horizontal="center" vertical="center"/>
    </xf>
    <xf numFmtId="170" fontId="3" fillId="0" borderId="14" xfId="0" applyNumberFormat="1" applyFont="1" applyFill="1" applyBorder="1" applyAlignment="1">
      <alignment horizontal="center" vertical="center"/>
    </xf>
    <xf numFmtId="170" fontId="3" fillId="0" borderId="8" xfId="0" applyNumberFormat="1" applyFont="1" applyFill="1" applyBorder="1" applyAlignment="1">
      <alignment horizontal="center" vertical="center"/>
    </xf>
    <xf numFmtId="165" fontId="3" fillId="0" borderId="40" xfId="0" applyNumberFormat="1" applyFont="1" applyFill="1" applyBorder="1" applyAlignment="1">
      <alignment horizontal="right" vertical="center"/>
    </xf>
    <xf numFmtId="170" fontId="3" fillId="7" borderId="46" xfId="0" applyNumberFormat="1" applyFont="1" applyFill="1" applyBorder="1" applyAlignment="1">
      <alignment horizontal="center" vertical="center"/>
    </xf>
    <xf numFmtId="170" fontId="4" fillId="0" borderId="79" xfId="0" applyNumberFormat="1" applyFont="1" applyFill="1" applyBorder="1" applyAlignment="1">
      <alignment horizontal="center" vertical="center"/>
    </xf>
    <xf numFmtId="165" fontId="4" fillId="0" borderId="79" xfId="0" applyNumberFormat="1" applyFont="1" applyFill="1" applyBorder="1" applyAlignment="1">
      <alignment horizontal="center" vertical="center"/>
    </xf>
    <xf numFmtId="165" fontId="3" fillId="0" borderId="47" xfId="0" applyNumberFormat="1" applyFont="1" applyFill="1" applyBorder="1" applyAlignment="1">
      <alignment vertical="center"/>
    </xf>
    <xf numFmtId="170" fontId="3" fillId="0" borderId="78" xfId="0" applyNumberFormat="1" applyFont="1" applyFill="1" applyBorder="1" applyAlignment="1">
      <alignment horizontal="center" vertical="center"/>
    </xf>
    <xf numFmtId="170" fontId="3" fillId="0" borderId="76" xfId="0" applyNumberFormat="1" applyFont="1" applyFill="1" applyBorder="1" applyAlignment="1">
      <alignment horizontal="center" vertical="center"/>
    </xf>
    <xf numFmtId="165" fontId="3" fillId="0" borderId="78" xfId="0" applyNumberFormat="1" applyFont="1" applyFill="1" applyBorder="1" applyAlignment="1">
      <alignment vertical="center"/>
    </xf>
    <xf numFmtId="3" fontId="3" fillId="0" borderId="61" xfId="2" applyNumberFormat="1" applyFont="1" applyFill="1" applyBorder="1" applyAlignment="1">
      <alignment vertical="center"/>
    </xf>
    <xf numFmtId="170" fontId="3" fillId="0" borderId="39" xfId="0" applyNumberFormat="1" applyFont="1" applyFill="1" applyBorder="1" applyAlignment="1">
      <alignment horizontal="center" vertical="center"/>
    </xf>
    <xf numFmtId="170" fontId="3" fillId="0" borderId="10" xfId="0" applyNumberFormat="1" applyFont="1" applyFill="1" applyBorder="1" applyAlignment="1">
      <alignment horizontal="center" vertical="center"/>
    </xf>
    <xf numFmtId="165" fontId="3" fillId="0" borderId="61" xfId="0" applyNumberFormat="1" applyFont="1" applyFill="1" applyBorder="1" applyAlignment="1">
      <alignment horizontal="right" vertical="center"/>
    </xf>
    <xf numFmtId="165" fontId="3" fillId="0" borderId="47" xfId="0" applyNumberFormat="1" applyFont="1" applyFill="1" applyBorder="1" applyAlignment="1">
      <alignment horizontal="right" vertical="center"/>
    </xf>
    <xf numFmtId="9" fontId="3" fillId="0" borderId="39" xfId="2" applyFont="1" applyFill="1" applyBorder="1" applyAlignment="1">
      <alignment horizontal="center" vertical="center"/>
    </xf>
    <xf numFmtId="9" fontId="3" fillId="0" borderId="10" xfId="2" applyFont="1" applyFill="1" applyBorder="1" applyAlignment="1">
      <alignment horizontal="center" vertical="center"/>
    </xf>
    <xf numFmtId="9" fontId="3" fillId="0" borderId="44" xfId="2" applyFont="1" applyFill="1" applyBorder="1" applyAlignment="1">
      <alignment horizontal="center" vertical="center"/>
    </xf>
    <xf numFmtId="165" fontId="3" fillId="0" borderId="1" xfId="0" applyNumberFormat="1" applyFont="1" applyFill="1" applyBorder="1" applyAlignment="1">
      <alignment horizontal="center" vertical="center"/>
    </xf>
    <xf numFmtId="3" fontId="3" fillId="0" borderId="60" xfId="2" applyNumberFormat="1" applyFont="1" applyFill="1" applyBorder="1" applyAlignment="1">
      <alignment vertical="center"/>
    </xf>
    <xf numFmtId="43" fontId="4" fillId="0" borderId="0" xfId="1" applyFont="1" applyAlignment="1"/>
    <xf numFmtId="165" fontId="3" fillId="0" borderId="65" xfId="0" applyNumberFormat="1" applyFont="1" applyFill="1" applyBorder="1" applyAlignment="1">
      <alignment horizontal="left" vertical="center" wrapText="1"/>
    </xf>
    <xf numFmtId="165" fontId="3" fillId="0" borderId="33" xfId="0" applyNumberFormat="1" applyFont="1" applyFill="1" applyBorder="1" applyAlignment="1">
      <alignment horizontal="center" vertical="center"/>
    </xf>
    <xf numFmtId="0" fontId="9" fillId="0" borderId="0" xfId="0" applyFont="1"/>
    <xf numFmtId="0" fontId="10" fillId="0" borderId="0" xfId="0" applyFont="1" applyAlignment="1"/>
    <xf numFmtId="0" fontId="7" fillId="0" borderId="0" xfId="0" applyFont="1" applyAlignment="1"/>
    <xf numFmtId="171" fontId="11" fillId="0" borderId="0" xfId="10" applyNumberFormat="1" applyFont="1"/>
    <xf numFmtId="172" fontId="9" fillId="0" borderId="0" xfId="1" applyNumberFormat="1" applyFont="1" applyAlignment="1">
      <alignment horizontal="center"/>
    </xf>
    <xf numFmtId="43" fontId="9" fillId="0" borderId="0" xfId="0" applyNumberFormat="1" applyFont="1"/>
    <xf numFmtId="172" fontId="9" fillId="0" borderId="0" xfId="0" applyNumberFormat="1" applyFont="1"/>
    <xf numFmtId="171" fontId="1" fillId="0" borderId="0" xfId="10" applyNumberFormat="1" applyFont="1"/>
    <xf numFmtId="171" fontId="9" fillId="0" borderId="0" xfId="10" applyNumberFormat="1" applyFont="1" applyAlignment="1">
      <alignment horizontal="right"/>
    </xf>
    <xf numFmtId="171" fontId="11" fillId="0" borderId="0" xfId="10" applyNumberFormat="1" applyFont="1" applyAlignment="1">
      <alignment horizontal="right"/>
    </xf>
    <xf numFmtId="171" fontId="9" fillId="0" borderId="0" xfId="10" applyNumberFormat="1" applyFont="1" applyFill="1"/>
    <xf numFmtId="171" fontId="11" fillId="14" borderId="31" xfId="10" applyNumberFormat="1" applyFont="1" applyFill="1" applyBorder="1" applyAlignment="1">
      <alignment horizontal="center" vertical="center" wrapText="1"/>
    </xf>
    <xf numFmtId="172" fontId="11" fillId="14" borderId="31" xfId="1" applyNumberFormat="1" applyFont="1" applyFill="1" applyBorder="1" applyAlignment="1">
      <alignment horizontal="center" vertical="center" wrapText="1"/>
    </xf>
    <xf numFmtId="0" fontId="8" fillId="13" borderId="31" xfId="7" applyFont="1" applyFill="1" applyBorder="1" applyAlignment="1">
      <alignment horizontal="center" vertical="center" wrapText="1"/>
    </xf>
    <xf numFmtId="0" fontId="8" fillId="13" borderId="30" xfId="7" applyFont="1" applyFill="1" applyBorder="1" applyAlignment="1">
      <alignment horizontal="center" vertical="center" wrapText="1"/>
    </xf>
    <xf numFmtId="0" fontId="9" fillId="0" borderId="0" xfId="0" applyFont="1" applyAlignment="1">
      <alignment vertical="center" wrapText="1"/>
    </xf>
    <xf numFmtId="0" fontId="9" fillId="0" borderId="84" xfId="0" applyFont="1" applyBorder="1" applyAlignment="1">
      <alignment vertical="center"/>
    </xf>
    <xf numFmtId="0" fontId="9" fillId="0" borderId="30" xfId="0" applyFont="1" applyBorder="1" applyAlignment="1">
      <alignment vertical="center"/>
    </xf>
    <xf numFmtId="171" fontId="11" fillId="0" borderId="31" xfId="10" applyNumberFormat="1" applyFont="1" applyBorder="1" applyAlignment="1">
      <alignment vertical="center"/>
    </xf>
    <xf numFmtId="171" fontId="12" fillId="0" borderId="31" xfId="0" applyNumberFormat="1" applyFont="1" applyFill="1" applyBorder="1" applyAlignment="1">
      <alignment vertical="center"/>
    </xf>
    <xf numFmtId="172" fontId="9" fillId="0" borderId="0" xfId="1" applyNumberFormat="1" applyFont="1" applyAlignment="1">
      <alignment horizontal="center" vertical="center"/>
    </xf>
    <xf numFmtId="0" fontId="9" fillId="15" borderId="85" xfId="7" applyFont="1" applyFill="1" applyBorder="1" applyAlignment="1">
      <alignment horizontal="center" vertical="center"/>
    </xf>
    <xf numFmtId="10" fontId="9" fillId="15" borderId="85" xfId="7" applyNumberFormat="1" applyFont="1" applyFill="1" applyBorder="1" applyAlignment="1">
      <alignment horizontal="center" vertical="center"/>
    </xf>
    <xf numFmtId="172" fontId="9" fillId="15" borderId="86" xfId="1" applyNumberFormat="1" applyFont="1" applyFill="1" applyBorder="1" applyAlignment="1">
      <alignment horizontal="center" vertical="center"/>
    </xf>
    <xf numFmtId="171" fontId="9" fillId="0" borderId="31" xfId="10" applyNumberFormat="1" applyFont="1" applyBorder="1" applyAlignment="1">
      <alignment vertical="center"/>
    </xf>
    <xf numFmtId="0" fontId="9" fillId="0" borderId="0" xfId="0" applyFont="1" applyAlignment="1">
      <alignment vertical="center"/>
    </xf>
    <xf numFmtId="0" fontId="9" fillId="0" borderId="30" xfId="0" applyFont="1" applyBorder="1" applyAlignment="1">
      <alignment vertical="center" wrapText="1"/>
    </xf>
    <xf numFmtId="0" fontId="9" fillId="15" borderId="32" xfId="7" applyFont="1" applyFill="1" applyBorder="1" applyAlignment="1">
      <alignment horizontal="center" vertical="center"/>
    </xf>
    <xf numFmtId="172" fontId="9" fillId="15" borderId="87" xfId="1" applyNumberFormat="1" applyFont="1" applyFill="1" applyBorder="1" applyAlignment="1">
      <alignment horizontal="center" vertical="center"/>
    </xf>
    <xf numFmtId="9" fontId="9" fillId="15" borderId="23" xfId="7" applyNumberFormat="1" applyFont="1" applyFill="1" applyBorder="1" applyAlignment="1">
      <alignment horizontal="center" vertical="center"/>
    </xf>
    <xf numFmtId="0" fontId="9" fillId="15" borderId="23" xfId="7" applyFont="1" applyFill="1" applyBorder="1" applyAlignment="1">
      <alignment horizontal="center" vertical="center"/>
    </xf>
    <xf numFmtId="172" fontId="9" fillId="15" borderId="88" xfId="1" applyNumberFormat="1" applyFont="1" applyFill="1" applyBorder="1" applyAlignment="1">
      <alignment horizontal="center" vertical="center"/>
    </xf>
    <xf numFmtId="10" fontId="9" fillId="15" borderId="23" xfId="7" applyNumberFormat="1" applyFont="1" applyFill="1" applyBorder="1" applyAlignment="1">
      <alignment horizontal="center" vertical="center"/>
    </xf>
    <xf numFmtId="0" fontId="9" fillId="15" borderId="23" xfId="7" applyFont="1" applyFill="1" applyBorder="1" applyAlignment="1">
      <alignment horizontal="center" vertical="center" wrapText="1"/>
    </xf>
    <xf numFmtId="171" fontId="9" fillId="0" borderId="31" xfId="10" applyNumberFormat="1" applyFont="1" applyFill="1" applyBorder="1" applyAlignment="1">
      <alignment vertical="center"/>
    </xf>
    <xf numFmtId="171" fontId="11" fillId="0" borderId="31" xfId="10" applyNumberFormat="1" applyFont="1" applyBorder="1"/>
    <xf numFmtId="171" fontId="12" fillId="0" borderId="31" xfId="10" applyNumberFormat="1" applyFont="1" applyFill="1" applyBorder="1"/>
    <xf numFmtId="0" fontId="9" fillId="15" borderId="89" xfId="7" applyFont="1" applyFill="1" applyBorder="1" applyAlignment="1">
      <alignment horizontal="center" vertical="center"/>
    </xf>
    <xf numFmtId="9" fontId="9" fillId="15" borderId="89" xfId="7" applyNumberFormat="1" applyFont="1" applyFill="1" applyBorder="1" applyAlignment="1">
      <alignment horizontal="center" vertical="center"/>
    </xf>
    <xf numFmtId="172" fontId="9" fillId="15" borderId="90" xfId="1" applyNumberFormat="1" applyFont="1" applyFill="1" applyBorder="1" applyAlignment="1">
      <alignment horizontal="center" vertical="center"/>
    </xf>
    <xf numFmtId="171" fontId="9" fillId="0" borderId="91" xfId="10" applyNumberFormat="1" applyFont="1" applyFill="1" applyBorder="1" applyAlignment="1">
      <alignment vertical="center"/>
    </xf>
    <xf numFmtId="171" fontId="1" fillId="16" borderId="31" xfId="10" applyNumberFormat="1" applyFont="1" applyFill="1" applyBorder="1" applyAlignment="1">
      <alignment horizontal="right"/>
    </xf>
    <xf numFmtId="172" fontId="9" fillId="0" borderId="31" xfId="1" applyNumberFormat="1" applyFont="1" applyBorder="1" applyAlignment="1">
      <alignment horizontal="center"/>
    </xf>
    <xf numFmtId="0" fontId="9" fillId="0" borderId="58" xfId="0" applyFont="1" applyBorder="1"/>
    <xf numFmtId="0" fontId="9" fillId="0" borderId="92" xfId="0" applyFont="1" applyBorder="1"/>
    <xf numFmtId="0" fontId="9" fillId="0" borderId="93" xfId="0" applyFont="1" applyBorder="1"/>
    <xf numFmtId="171" fontId="9" fillId="0" borderId="84" xfId="10" applyNumberFormat="1" applyFont="1" applyFill="1" applyBorder="1" applyAlignment="1">
      <alignment horizontal="right"/>
    </xf>
    <xf numFmtId="171" fontId="9" fillId="0" borderId="30" xfId="0" applyNumberFormat="1" applyFont="1" applyBorder="1"/>
    <xf numFmtId="171" fontId="9" fillId="17" borderId="0" xfId="10" applyNumberFormat="1" applyFont="1" applyFill="1"/>
    <xf numFmtId="171" fontId="9" fillId="0" borderId="31" xfId="10" applyNumberFormat="1" applyFont="1" applyFill="1" applyBorder="1" applyAlignment="1">
      <alignment horizontal="right"/>
    </xf>
    <xf numFmtId="37" fontId="3" fillId="6" borderId="2" xfId="0" applyNumberFormat="1" applyFont="1" applyFill="1" applyBorder="1" applyAlignment="1">
      <alignment horizontal="right" vertical="center"/>
    </xf>
    <xf numFmtId="165" fontId="3" fillId="7" borderId="7" xfId="0" applyNumberFormat="1" applyFont="1" applyFill="1" applyBorder="1" applyAlignment="1">
      <alignment horizontal="left" vertical="top" wrapText="1"/>
    </xf>
    <xf numFmtId="43" fontId="4" fillId="0" borderId="0" xfId="0" applyNumberFormat="1" applyFont="1" applyAlignment="1"/>
    <xf numFmtId="43" fontId="4" fillId="0" borderId="0" xfId="1" applyFont="1" applyAlignment="1">
      <alignment horizontal="center"/>
    </xf>
    <xf numFmtId="170" fontId="3" fillId="0" borderId="1" xfId="0" applyNumberFormat="1" applyFont="1" applyFill="1" applyBorder="1" applyAlignment="1">
      <alignment horizontal="center" vertical="center"/>
    </xf>
    <xf numFmtId="170" fontId="3" fillId="0" borderId="21" xfId="0" applyNumberFormat="1" applyFont="1" applyFill="1" applyBorder="1" applyAlignment="1">
      <alignment horizontal="center" vertical="center"/>
    </xf>
    <xf numFmtId="9" fontId="3" fillId="0" borderId="39" xfId="2" applyNumberFormat="1" applyFont="1" applyFill="1" applyBorder="1" applyAlignment="1">
      <alignment horizontal="center" vertical="center"/>
    </xf>
    <xf numFmtId="43" fontId="13" fillId="0" borderId="0" xfId="1" applyFont="1"/>
    <xf numFmtId="10" fontId="11" fillId="0" borderId="0" xfId="2" applyNumberFormat="1" applyFont="1"/>
    <xf numFmtId="171" fontId="9" fillId="0" borderId="0" xfId="0" applyNumberFormat="1" applyFont="1"/>
    <xf numFmtId="10" fontId="0" fillId="0" borderId="0" xfId="2" applyNumberFormat="1" applyFont="1" applyAlignment="1">
      <alignment horizontal="center"/>
    </xf>
    <xf numFmtId="49" fontId="0" fillId="0" borderId="0" xfId="10" applyNumberFormat="1" applyFont="1" applyAlignment="1">
      <alignment horizontal="center"/>
    </xf>
    <xf numFmtId="171" fontId="11" fillId="18" borderId="0" xfId="10" applyNumberFormat="1" applyFont="1" applyFill="1"/>
    <xf numFmtId="170" fontId="3" fillId="0" borderId="80" xfId="0" applyNumberFormat="1" applyFont="1" applyFill="1" applyBorder="1" applyAlignment="1">
      <alignment horizontal="center" vertical="center"/>
    </xf>
    <xf numFmtId="165" fontId="3" fillId="0" borderId="15" xfId="0" applyNumberFormat="1" applyFont="1" applyFill="1" applyBorder="1" applyAlignment="1">
      <alignment horizontal="center" vertical="center"/>
    </xf>
    <xf numFmtId="37" fontId="3" fillId="0" borderId="62" xfId="0" applyNumberFormat="1" applyFont="1" applyFill="1" applyBorder="1" applyAlignment="1">
      <alignment vertical="center"/>
    </xf>
    <xf numFmtId="37" fontId="3" fillId="7" borderId="8" xfId="0" applyNumberFormat="1" applyFont="1" applyFill="1" applyBorder="1" applyAlignment="1">
      <alignment vertical="center"/>
    </xf>
    <xf numFmtId="37" fontId="3" fillId="0" borderId="33" xfId="0" applyNumberFormat="1" applyFont="1" applyFill="1" applyBorder="1" applyAlignment="1">
      <alignment vertical="center"/>
    </xf>
    <xf numFmtId="37" fontId="3" fillId="0" borderId="38" xfId="0" applyNumberFormat="1" applyFont="1" applyFill="1" applyBorder="1" applyAlignment="1">
      <alignment vertical="center"/>
    </xf>
    <xf numFmtId="43" fontId="4" fillId="0" borderId="0" xfId="1" applyFont="1" applyAlignment="1">
      <alignment vertical="center"/>
    </xf>
    <xf numFmtId="43" fontId="4" fillId="0" borderId="0" xfId="1" applyFont="1" applyFill="1" applyAlignment="1">
      <alignment vertical="center"/>
    </xf>
    <xf numFmtId="37" fontId="3" fillId="11" borderId="37" xfId="0" applyNumberFormat="1" applyFont="1" applyFill="1" applyBorder="1" applyAlignment="1">
      <alignment horizontal="center" vertical="center"/>
    </xf>
    <xf numFmtId="37" fontId="3" fillId="11" borderId="13" xfId="0" applyNumberFormat="1" applyFont="1" applyFill="1" applyBorder="1" applyAlignment="1">
      <alignment horizontal="center" vertical="center"/>
    </xf>
    <xf numFmtId="37" fontId="3" fillId="0" borderId="2" xfId="0" applyNumberFormat="1" applyFont="1" applyFill="1" applyBorder="1" applyAlignment="1">
      <alignment vertical="center"/>
    </xf>
    <xf numFmtId="37" fontId="3" fillId="0" borderId="88" xfId="0" applyNumberFormat="1" applyFont="1" applyFill="1" applyBorder="1" applyAlignment="1">
      <alignment vertical="center"/>
    </xf>
    <xf numFmtId="37" fontId="3" fillId="0" borderId="37" xfId="0" applyNumberFormat="1" applyFont="1" applyFill="1" applyBorder="1" applyAlignment="1">
      <alignment vertical="center"/>
    </xf>
    <xf numFmtId="37" fontId="3" fillId="0" borderId="95" xfId="0" applyNumberFormat="1" applyFont="1" applyFill="1" applyBorder="1" applyAlignment="1">
      <alignment vertical="center"/>
    </xf>
    <xf numFmtId="37" fontId="3" fillId="0" borderId="87" xfId="0" applyNumberFormat="1" applyFont="1" applyFill="1" applyBorder="1" applyAlignment="1">
      <alignment vertical="center"/>
    </xf>
    <xf numFmtId="37" fontId="3" fillId="0" borderId="96" xfId="0" applyNumberFormat="1" applyFont="1" applyFill="1" applyBorder="1" applyAlignment="1">
      <alignment vertical="center"/>
    </xf>
    <xf numFmtId="37" fontId="3" fillId="0" borderId="13" xfId="0" applyNumberFormat="1" applyFont="1" applyFill="1" applyBorder="1" applyAlignment="1">
      <alignment vertical="center"/>
    </xf>
    <xf numFmtId="37" fontId="3" fillId="0" borderId="94" xfId="0" applyNumberFormat="1" applyFont="1" applyFill="1" applyBorder="1" applyAlignment="1">
      <alignment vertical="center"/>
    </xf>
    <xf numFmtId="37" fontId="3" fillId="4" borderId="5" xfId="0" applyNumberFormat="1" applyFont="1" applyFill="1" applyBorder="1" applyAlignment="1">
      <alignment horizontal="left" vertical="center"/>
    </xf>
    <xf numFmtId="37" fontId="4" fillId="0" borderId="0" xfId="0" applyNumberFormat="1" applyFont="1" applyAlignment="1">
      <alignment vertical="center"/>
    </xf>
    <xf numFmtId="43" fontId="4" fillId="0" borderId="0" xfId="1" applyFont="1" applyAlignment="1">
      <alignment horizontal="center" vertical="center"/>
    </xf>
    <xf numFmtId="37" fontId="3" fillId="0" borderId="68" xfId="0" applyNumberFormat="1" applyFont="1" applyFill="1" applyBorder="1" applyAlignment="1">
      <alignment vertical="center"/>
    </xf>
    <xf numFmtId="0" fontId="14" fillId="0" borderId="0" xfId="7" applyFont="1" applyFill="1" applyBorder="1" applyAlignment="1">
      <alignment horizontal="left" vertical="top"/>
    </xf>
    <xf numFmtId="0" fontId="15" fillId="0" borderId="0" xfId="7" applyFont="1" applyFill="1" applyAlignment="1"/>
    <xf numFmtId="0" fontId="14" fillId="0" borderId="99" xfId="7" applyFont="1" applyFill="1" applyBorder="1" applyAlignment="1">
      <alignment horizontal="left" vertical="top"/>
    </xf>
    <xf numFmtId="0" fontId="14" fillId="0" borderId="99" xfId="7" applyFont="1" applyFill="1" applyBorder="1" applyAlignment="1">
      <alignment vertical="top"/>
    </xf>
    <xf numFmtId="0" fontId="14" fillId="0" borderId="99" xfId="7" applyFont="1" applyFill="1" applyBorder="1" applyAlignment="1">
      <alignment horizontal="right" vertical="top"/>
    </xf>
    <xf numFmtId="0" fontId="16" fillId="0" borderId="0" xfId="7" applyNumberFormat="1" applyFont="1" applyFill="1" applyBorder="1" applyAlignment="1">
      <alignment horizontal="left" vertical="top"/>
    </xf>
    <xf numFmtId="0" fontId="16" fillId="0" borderId="0" xfId="7" applyFont="1" applyFill="1" applyBorder="1" applyAlignment="1">
      <alignment horizontal="left" vertical="top"/>
    </xf>
    <xf numFmtId="4" fontId="16" fillId="0" borderId="0" xfId="7" applyNumberFormat="1" applyFont="1" applyFill="1" applyBorder="1" applyAlignment="1">
      <alignment vertical="top"/>
    </xf>
    <xf numFmtId="4" fontId="16" fillId="0" borderId="0" xfId="7" applyNumberFormat="1" applyFont="1" applyFill="1" applyBorder="1" applyAlignment="1">
      <alignment horizontal="right" vertical="top"/>
    </xf>
    <xf numFmtId="0" fontId="16" fillId="0" borderId="0" xfId="7" applyNumberFormat="1" applyFont="1" applyFill="1" applyBorder="1" applyAlignment="1">
      <alignment horizontal="right" vertical="top"/>
    </xf>
    <xf numFmtId="0" fontId="14" fillId="0" borderId="0" xfId="7" applyNumberFormat="1" applyFont="1" applyFill="1" applyBorder="1" applyAlignment="1">
      <alignment horizontal="left" vertical="top"/>
    </xf>
    <xf numFmtId="4" fontId="14" fillId="0" borderId="0" xfId="7" applyNumberFormat="1" applyFont="1" applyFill="1" applyBorder="1" applyAlignment="1">
      <alignment vertical="top"/>
    </xf>
    <xf numFmtId="0" fontId="14" fillId="0" borderId="0" xfId="7" applyNumberFormat="1" applyFont="1" applyFill="1" applyBorder="1" applyAlignment="1">
      <alignment horizontal="right" vertical="top"/>
    </xf>
    <xf numFmtId="4" fontId="14" fillId="0" borderId="0" xfId="7" applyNumberFormat="1" applyFont="1" applyFill="1" applyBorder="1" applyAlignment="1">
      <alignment horizontal="right" vertical="top"/>
    </xf>
    <xf numFmtId="0" fontId="14" fillId="0" borderId="0" xfId="7" applyNumberFormat="1" applyFont="1" applyFill="1" applyBorder="1" applyAlignment="1">
      <alignment vertical="top"/>
    </xf>
    <xf numFmtId="0" fontId="16" fillId="0" borderId="0" xfId="7" applyNumberFormat="1" applyFont="1" applyFill="1" applyBorder="1" applyAlignment="1">
      <alignment vertical="top"/>
    </xf>
    <xf numFmtId="43" fontId="4" fillId="0" borderId="0" xfId="0" applyNumberFormat="1" applyFont="1" applyAlignment="1">
      <alignment horizontal="center"/>
    </xf>
    <xf numFmtId="167" fontId="3" fillId="0" borderId="12" xfId="0" applyNumberFormat="1" applyFont="1" applyFill="1" applyBorder="1" applyAlignment="1">
      <alignment horizontal="left" vertical="center" wrapText="1"/>
    </xf>
    <xf numFmtId="37" fontId="3" fillId="0" borderId="12" xfId="0" applyNumberFormat="1" applyFont="1" applyFill="1" applyBorder="1" applyAlignment="1">
      <alignment horizontal="center" vertical="center"/>
    </xf>
    <xf numFmtId="165" fontId="3" fillId="0" borderId="70" xfId="0" applyNumberFormat="1" applyFont="1" applyFill="1" applyBorder="1" applyAlignment="1">
      <alignment horizontal="right" vertical="center"/>
    </xf>
    <xf numFmtId="168" fontId="4" fillId="0" borderId="0" xfId="0" applyNumberFormat="1" applyFont="1" applyAlignment="1">
      <alignment horizontal="center" vertical="center"/>
    </xf>
    <xf numFmtId="165" fontId="3" fillId="18" borderId="6" xfId="0" applyNumberFormat="1" applyFont="1" applyFill="1" applyBorder="1" applyAlignment="1">
      <alignment vertical="center"/>
    </xf>
    <xf numFmtId="170" fontId="3" fillId="0" borderId="71" xfId="0" applyNumberFormat="1" applyFont="1" applyFill="1" applyBorder="1" applyAlignment="1">
      <alignment horizontal="center" vertical="center"/>
    </xf>
    <xf numFmtId="170" fontId="4" fillId="0" borderId="73" xfId="0" applyNumberFormat="1" applyFont="1" applyFill="1" applyBorder="1" applyAlignment="1">
      <alignment horizontal="center" vertical="center"/>
    </xf>
    <xf numFmtId="165" fontId="4" fillId="0" borderId="79" xfId="0" applyNumberFormat="1" applyFont="1" applyFill="1" applyBorder="1" applyAlignment="1">
      <alignment vertical="center"/>
    </xf>
    <xf numFmtId="170" fontId="3" fillId="0" borderId="69" xfId="0" applyNumberFormat="1" applyFont="1" applyFill="1" applyBorder="1" applyAlignment="1">
      <alignment horizontal="center" vertical="center"/>
    </xf>
    <xf numFmtId="170" fontId="3" fillId="0" borderId="43" xfId="0" applyNumberFormat="1" applyFont="1" applyFill="1" applyBorder="1" applyAlignment="1">
      <alignment horizontal="center" vertical="center"/>
    </xf>
    <xf numFmtId="165" fontId="3" fillId="0" borderId="16" xfId="0" applyNumberFormat="1" applyFont="1" applyFill="1" applyBorder="1" applyAlignment="1">
      <alignment horizontal="left" vertical="center" wrapText="1"/>
    </xf>
    <xf numFmtId="165" fontId="3" fillId="0" borderId="91" xfId="0" applyNumberFormat="1" applyFont="1" applyFill="1" applyBorder="1" applyAlignment="1">
      <alignment horizontal="center" vertical="center"/>
    </xf>
    <xf numFmtId="37" fontId="3" fillId="0" borderId="50" xfId="0" applyNumberFormat="1" applyFont="1" applyFill="1" applyBorder="1" applyAlignment="1">
      <alignment vertical="center"/>
    </xf>
    <xf numFmtId="167" fontId="3" fillId="0" borderId="66" xfId="0" applyNumberFormat="1" applyFont="1" applyFill="1" applyBorder="1" applyAlignment="1">
      <alignment horizontal="left" vertical="center" wrapText="1"/>
    </xf>
    <xf numFmtId="37" fontId="3" fillId="0" borderId="84" xfId="0" applyNumberFormat="1" applyFont="1" applyFill="1" applyBorder="1" applyAlignment="1">
      <alignment horizontal="center" vertical="center"/>
    </xf>
    <xf numFmtId="37" fontId="3" fillId="0" borderId="4" xfId="0" applyNumberFormat="1" applyFont="1" applyFill="1" applyBorder="1" applyAlignment="1">
      <alignment vertical="center"/>
    </xf>
    <xf numFmtId="37" fontId="3" fillId="0" borderId="17" xfId="0" applyNumberFormat="1" applyFont="1" applyFill="1" applyBorder="1" applyAlignment="1">
      <alignment vertical="center"/>
    </xf>
    <xf numFmtId="37" fontId="3" fillId="0" borderId="55" xfId="0" applyNumberFormat="1" applyFont="1" applyFill="1" applyBorder="1" applyAlignment="1">
      <alignment vertical="center"/>
    </xf>
    <xf numFmtId="37" fontId="3" fillId="0" borderId="41" xfId="0" applyNumberFormat="1" applyFont="1" applyFill="1" applyBorder="1" applyAlignment="1">
      <alignment vertical="center"/>
    </xf>
    <xf numFmtId="37" fontId="3" fillId="0" borderId="11" xfId="0" applyNumberFormat="1" applyFont="1" applyFill="1" applyBorder="1" applyAlignment="1">
      <alignment vertical="center"/>
    </xf>
    <xf numFmtId="37" fontId="3" fillId="0" borderId="75" xfId="0" applyNumberFormat="1" applyFont="1" applyFill="1" applyBorder="1" applyAlignment="1">
      <alignment vertical="center"/>
    </xf>
    <xf numFmtId="170" fontId="3" fillId="0" borderId="0" xfId="0" applyNumberFormat="1" applyFont="1" applyFill="1" applyBorder="1" applyAlignment="1">
      <alignment horizontal="center" vertical="center"/>
    </xf>
    <xf numFmtId="165" fontId="3" fillId="0" borderId="59" xfId="0" applyNumberFormat="1" applyFont="1" applyFill="1" applyBorder="1" applyAlignment="1">
      <alignment vertical="center"/>
    </xf>
    <xf numFmtId="165" fontId="3" fillId="0" borderId="83" xfId="0" applyNumberFormat="1" applyFont="1" applyFill="1" applyBorder="1" applyAlignment="1">
      <alignment vertical="center"/>
    </xf>
    <xf numFmtId="167" fontId="3" fillId="0" borderId="31" xfId="0" applyNumberFormat="1" applyFont="1" applyFill="1" applyBorder="1" applyAlignment="1">
      <alignment horizontal="left" vertical="center" wrapText="1"/>
    </xf>
    <xf numFmtId="37" fontId="3" fillId="0" borderId="31" xfId="0" applyNumberFormat="1" applyFont="1" applyFill="1" applyBorder="1" applyAlignment="1">
      <alignment horizontal="center" vertical="center"/>
    </xf>
    <xf numFmtId="165" fontId="3" fillId="19" borderId="6" xfId="0" applyNumberFormat="1" applyFont="1" applyFill="1" applyBorder="1" applyAlignment="1">
      <alignment vertical="center"/>
    </xf>
    <xf numFmtId="170" fontId="3" fillId="19" borderId="46" xfId="0" applyNumberFormat="1" applyFont="1" applyFill="1" applyBorder="1" applyAlignment="1">
      <alignment horizontal="center" vertical="center"/>
    </xf>
    <xf numFmtId="165" fontId="3" fillId="19" borderId="46" xfId="0" applyNumberFormat="1" applyFont="1" applyFill="1" applyBorder="1" applyAlignment="1">
      <alignment horizontal="center" vertical="center"/>
    </xf>
    <xf numFmtId="165" fontId="3" fillId="19" borderId="5" xfId="0" applyNumberFormat="1" applyFont="1" applyFill="1" applyBorder="1" applyAlignment="1">
      <alignment horizontal="right" vertical="center"/>
    </xf>
    <xf numFmtId="165" fontId="3" fillId="19" borderId="6" xfId="0" applyNumberFormat="1" applyFont="1" applyFill="1" applyBorder="1" applyAlignment="1">
      <alignment horizontal="right" vertical="center"/>
    </xf>
    <xf numFmtId="165" fontId="3" fillId="19" borderId="14" xfId="0" applyNumberFormat="1" applyFont="1" applyFill="1" applyBorder="1" applyAlignment="1">
      <alignment horizontal="right" vertical="center"/>
    </xf>
    <xf numFmtId="43" fontId="4" fillId="2" borderId="0" xfId="1" applyFont="1" applyFill="1" applyAlignment="1">
      <alignment vertical="center"/>
    </xf>
    <xf numFmtId="43" fontId="4" fillId="2" borderId="0" xfId="0" applyNumberFormat="1" applyFont="1" applyFill="1" applyAlignment="1">
      <alignment vertical="center"/>
    </xf>
    <xf numFmtId="43" fontId="4" fillId="0" borderId="0" xfId="0" applyNumberFormat="1" applyFont="1" applyAlignment="1">
      <alignment vertical="center"/>
    </xf>
    <xf numFmtId="43" fontId="4" fillId="0" borderId="0" xfId="0" applyNumberFormat="1" applyFont="1" applyFill="1" applyAlignment="1">
      <alignment vertical="center"/>
    </xf>
    <xf numFmtId="43" fontId="4" fillId="0" borderId="0" xfId="2" applyNumberFormat="1" applyFont="1"/>
    <xf numFmtId="173" fontId="4" fillId="0" borderId="0" xfId="1" applyNumberFormat="1" applyFont="1"/>
    <xf numFmtId="174" fontId="4" fillId="0" borderId="0" xfId="1" applyNumberFormat="1" applyFont="1"/>
    <xf numFmtId="168" fontId="3" fillId="8" borderId="6" xfId="0" applyNumberFormat="1" applyFont="1" applyFill="1" applyBorder="1" applyAlignment="1">
      <alignment vertical="center"/>
    </xf>
    <xf numFmtId="37" fontId="3" fillId="7" borderId="2" xfId="0" applyNumberFormat="1" applyFont="1" applyFill="1" applyBorder="1" applyAlignment="1">
      <alignment horizontal="center" vertical="center"/>
    </xf>
    <xf numFmtId="37" fontId="3" fillId="7" borderId="1" xfId="0" applyNumberFormat="1" applyFont="1" applyFill="1" applyBorder="1" applyAlignment="1">
      <alignment horizontal="left" vertical="center"/>
    </xf>
    <xf numFmtId="37" fontId="3" fillId="7" borderId="2" xfId="0" applyNumberFormat="1" applyFont="1" applyFill="1" applyBorder="1" applyAlignment="1">
      <alignment horizontal="left" vertical="center"/>
    </xf>
    <xf numFmtId="166" fontId="3" fillId="0" borderId="60" xfId="1" applyNumberFormat="1" applyFont="1" applyFill="1" applyBorder="1" applyAlignment="1">
      <alignment vertical="center"/>
    </xf>
    <xf numFmtId="165" fontId="3" fillId="0" borderId="50" xfId="0" applyNumberFormat="1" applyFont="1" applyFill="1" applyBorder="1" applyAlignment="1">
      <alignment horizontal="right" vertical="center"/>
    </xf>
    <xf numFmtId="165" fontId="3" fillId="8" borderId="6" xfId="0" applyNumberFormat="1" applyFont="1" applyFill="1" applyBorder="1" applyAlignment="1"/>
    <xf numFmtId="165" fontId="3" fillId="7" borderId="6" xfId="0" applyNumberFormat="1" applyFont="1" applyFill="1" applyBorder="1" applyAlignment="1"/>
    <xf numFmtId="0" fontId="4" fillId="0" borderId="0" xfId="0" applyFont="1" applyFill="1" applyBorder="1" applyAlignment="1"/>
    <xf numFmtId="0" fontId="4" fillId="0" borderId="0" xfId="0" applyFont="1" applyFill="1" applyAlignment="1"/>
    <xf numFmtId="43" fontId="4" fillId="0" borderId="0" xfId="1" applyFont="1" applyFill="1" applyAlignment="1"/>
    <xf numFmtId="3" fontId="3" fillId="0" borderId="40" xfId="2" applyNumberFormat="1" applyFont="1" applyFill="1" applyBorder="1" applyAlignment="1"/>
    <xf numFmtId="165" fontId="3" fillId="0" borderId="14" xfId="0" applyNumberFormat="1" applyFont="1" applyFill="1" applyBorder="1" applyAlignment="1"/>
    <xf numFmtId="43" fontId="4" fillId="0" borderId="13" xfId="1" applyFont="1" applyFill="1" applyBorder="1" applyAlignment="1">
      <alignment vertical="center"/>
    </xf>
    <xf numFmtId="0" fontId="4" fillId="0" borderId="13" xfId="0" applyFont="1" applyFill="1" applyBorder="1" applyAlignment="1"/>
    <xf numFmtId="0" fontId="4" fillId="0" borderId="13" xfId="0" applyFont="1" applyFill="1" applyBorder="1" applyAlignment="1">
      <alignment vertical="center"/>
    </xf>
    <xf numFmtId="0" fontId="4" fillId="0" borderId="101" xfId="0" applyFont="1" applyFill="1" applyBorder="1" applyAlignment="1">
      <alignment horizontal="left" vertical="center" wrapText="1"/>
    </xf>
    <xf numFmtId="0" fontId="4" fillId="0" borderId="101" xfId="0" applyFont="1" applyFill="1" applyBorder="1" applyAlignment="1"/>
    <xf numFmtId="0" fontId="4" fillId="0" borderId="101" xfId="0" applyFont="1" applyFill="1" applyBorder="1" applyAlignment="1">
      <alignment vertical="center"/>
    </xf>
    <xf numFmtId="4" fontId="4" fillId="0" borderId="101" xfId="0" applyNumberFormat="1" applyFont="1" applyFill="1" applyBorder="1" applyAlignment="1">
      <alignment vertical="center"/>
    </xf>
    <xf numFmtId="3" fontId="4" fillId="0" borderId="101" xfId="0" applyNumberFormat="1" applyFont="1" applyFill="1" applyBorder="1" applyAlignment="1">
      <alignment vertical="center"/>
    </xf>
    <xf numFmtId="0" fontId="4" fillId="0" borderId="104" xfId="0" applyFont="1" applyFill="1" applyBorder="1" applyAlignment="1">
      <alignment horizontal="left" vertical="center" wrapText="1"/>
    </xf>
    <xf numFmtId="37" fontId="3" fillId="0" borderId="105" xfId="0" applyNumberFormat="1" applyFont="1" applyFill="1" applyBorder="1" applyAlignment="1">
      <alignment horizontal="center" vertical="center"/>
    </xf>
    <xf numFmtId="37" fontId="3" fillId="0" borderId="58" xfId="0" applyNumberFormat="1" applyFont="1" applyFill="1" applyBorder="1" applyAlignment="1">
      <alignment horizontal="center" vertical="center"/>
    </xf>
    <xf numFmtId="0" fontId="3" fillId="0" borderId="8" xfId="0" applyNumberFormat="1" applyFont="1" applyFill="1" applyBorder="1" applyAlignment="1">
      <alignment horizontal="left" vertical="center" wrapText="1"/>
    </xf>
    <xf numFmtId="37" fontId="3" fillId="0" borderId="2" xfId="0" applyNumberFormat="1" applyFont="1" applyFill="1" applyBorder="1" applyAlignment="1">
      <alignment horizontal="center" vertical="center"/>
    </xf>
    <xf numFmtId="37" fontId="3" fillId="0" borderId="65" xfId="0" applyNumberFormat="1" applyFont="1" applyFill="1" applyBorder="1" applyAlignment="1">
      <alignment horizontal="left" vertical="center" wrapText="1"/>
    </xf>
    <xf numFmtId="37" fontId="3" fillId="0" borderId="100" xfId="0" applyNumberFormat="1" applyFont="1" applyFill="1" applyBorder="1" applyAlignment="1">
      <alignment horizontal="center" vertical="center"/>
    </xf>
    <xf numFmtId="9" fontId="3" fillId="0" borderId="37" xfId="2" applyFont="1" applyFill="1" applyBorder="1" applyAlignment="1">
      <alignment horizontal="center" vertical="center"/>
    </xf>
    <xf numFmtId="165" fontId="4" fillId="0" borderId="12" xfId="1" applyNumberFormat="1" applyFont="1" applyFill="1" applyBorder="1" applyAlignment="1">
      <alignment vertical="center"/>
    </xf>
    <xf numFmtId="165" fontId="3" fillId="0" borderId="17" xfId="0" applyNumberFormat="1" applyFont="1" applyFill="1" applyBorder="1" applyAlignment="1">
      <alignment horizontal="center" vertical="center"/>
    </xf>
    <xf numFmtId="167" fontId="3" fillId="0" borderId="0" xfId="0" applyNumberFormat="1" applyFont="1" applyFill="1" applyBorder="1" applyAlignment="1">
      <alignment horizontal="left" vertical="center" wrapText="1"/>
    </xf>
    <xf numFmtId="165" fontId="3" fillId="0" borderId="0" xfId="0" applyNumberFormat="1" applyFont="1" applyFill="1" applyBorder="1" applyAlignment="1"/>
    <xf numFmtId="4" fontId="4" fillId="0" borderId="106" xfId="0" applyNumberFormat="1" applyFont="1" applyFill="1" applyBorder="1" applyAlignment="1"/>
    <xf numFmtId="165" fontId="3" fillId="0" borderId="64" xfId="0" applyNumberFormat="1" applyFont="1" applyFill="1" applyBorder="1" applyAlignment="1"/>
    <xf numFmtId="165" fontId="3" fillId="0" borderId="61" xfId="0" applyNumberFormat="1" applyFont="1" applyFill="1" applyBorder="1" applyAlignment="1"/>
    <xf numFmtId="169" fontId="5" fillId="0" borderId="61" xfId="0" applyNumberFormat="1" applyFont="1" applyFill="1" applyBorder="1" applyAlignment="1"/>
    <xf numFmtId="165" fontId="3" fillId="0" borderId="62" xfId="0" applyNumberFormat="1" applyFont="1" applyFill="1" applyBorder="1" applyAlignment="1"/>
    <xf numFmtId="165" fontId="3" fillId="0" borderId="77" xfId="0" applyNumberFormat="1" applyFont="1" applyFill="1" applyBorder="1" applyAlignment="1"/>
    <xf numFmtId="169" fontId="5" fillId="0" borderId="40" xfId="0" applyNumberFormat="1" applyFont="1" applyFill="1" applyBorder="1" applyAlignment="1"/>
    <xf numFmtId="170" fontId="3" fillId="0" borderId="43" xfId="0" applyNumberFormat="1" applyFont="1" applyFill="1" applyBorder="1" applyAlignment="1">
      <alignment horizontal="center"/>
    </xf>
    <xf numFmtId="170" fontId="3" fillId="0" borderId="34" xfId="0" applyNumberFormat="1" applyFont="1" applyFill="1" applyBorder="1" applyAlignment="1">
      <alignment horizontal="center"/>
    </xf>
    <xf numFmtId="170" fontId="3" fillId="0" borderId="76" xfId="0" applyNumberFormat="1" applyFont="1" applyFill="1" applyBorder="1" applyAlignment="1">
      <alignment horizontal="center"/>
    </xf>
    <xf numFmtId="170" fontId="4" fillId="0" borderId="77" xfId="0" applyNumberFormat="1" applyFont="1" applyFill="1" applyBorder="1" applyAlignment="1">
      <alignment horizontal="center"/>
    </xf>
    <xf numFmtId="170" fontId="4" fillId="0" borderId="39" xfId="0" applyNumberFormat="1" applyFont="1" applyFill="1" applyBorder="1" applyAlignment="1">
      <alignment horizontal="center"/>
    </xf>
    <xf numFmtId="170" fontId="3" fillId="0" borderId="71" xfId="0" applyNumberFormat="1" applyFont="1" applyFill="1" applyBorder="1" applyAlignment="1">
      <alignment horizontal="center"/>
    </xf>
    <xf numFmtId="3" fontId="5" fillId="0" borderId="32" xfId="0" applyNumberFormat="1" applyFont="1" applyFill="1" applyBorder="1" applyAlignment="1"/>
    <xf numFmtId="170" fontId="3" fillId="0" borderId="39" xfId="0" applyNumberFormat="1" applyFont="1" applyFill="1" applyBorder="1" applyAlignment="1">
      <alignment horizontal="center"/>
    </xf>
    <xf numFmtId="170" fontId="3" fillId="0" borderId="77" xfId="0" applyNumberFormat="1" applyFont="1" applyFill="1" applyBorder="1" applyAlignment="1">
      <alignment horizontal="center"/>
    </xf>
    <xf numFmtId="169" fontId="5" fillId="0" borderId="32" xfId="0" applyNumberFormat="1" applyFont="1" applyFill="1" applyBorder="1" applyAlignment="1">
      <alignment horizontal="right"/>
    </xf>
    <xf numFmtId="170" fontId="3" fillId="0" borderId="80" xfId="0" applyNumberFormat="1" applyFont="1" applyFill="1" applyBorder="1" applyAlignment="1">
      <alignment horizontal="center"/>
    </xf>
    <xf numFmtId="170" fontId="3" fillId="0" borderId="44" xfId="0" applyNumberFormat="1" applyFont="1" applyFill="1" applyBorder="1" applyAlignment="1">
      <alignment horizontal="center"/>
    </xf>
    <xf numFmtId="165" fontId="3" fillId="0" borderId="28" xfId="0" applyNumberFormat="1" applyFont="1" applyFill="1" applyBorder="1" applyAlignment="1">
      <alignment horizontal="right"/>
    </xf>
    <xf numFmtId="37" fontId="3" fillId="7" borderId="2" xfId="0" applyNumberFormat="1" applyFont="1" applyFill="1" applyBorder="1" applyAlignment="1">
      <alignment horizontal="center" vertical="center"/>
    </xf>
    <xf numFmtId="165" fontId="3" fillId="0" borderId="101" xfId="0" applyNumberFormat="1" applyFont="1" applyFill="1" applyBorder="1" applyAlignment="1">
      <alignment vertical="center"/>
    </xf>
    <xf numFmtId="165" fontId="3" fillId="0" borderId="33" xfId="0" applyNumberFormat="1" applyFont="1" applyFill="1" applyBorder="1" applyAlignment="1">
      <alignment vertical="center"/>
    </xf>
    <xf numFmtId="43" fontId="4" fillId="0" borderId="109" xfId="1" applyFont="1" applyFill="1" applyBorder="1" applyAlignment="1">
      <alignment vertical="center"/>
    </xf>
    <xf numFmtId="43" fontId="4" fillId="0" borderId="107" xfId="1" applyFont="1" applyFill="1" applyBorder="1" applyAlignment="1">
      <alignment vertical="center"/>
    </xf>
    <xf numFmtId="165" fontId="3" fillId="0" borderId="101" xfId="0" applyNumberFormat="1" applyFont="1" applyFill="1" applyBorder="1" applyAlignment="1">
      <alignment horizontal="right" vertical="center"/>
    </xf>
    <xf numFmtId="0" fontId="4" fillId="0" borderId="13" xfId="0" applyFont="1" applyFill="1" applyBorder="1" applyAlignment="1">
      <alignment horizontal="center" vertical="center"/>
    </xf>
    <xf numFmtId="165" fontId="3" fillId="0" borderId="101" xfId="0" applyNumberFormat="1" applyFont="1" applyFill="1" applyBorder="1" applyAlignment="1"/>
    <xf numFmtId="165" fontId="4" fillId="0" borderId="13" xfId="0" applyNumberFormat="1" applyFont="1" applyFill="1" applyBorder="1" applyAlignment="1">
      <alignment vertical="center"/>
    </xf>
    <xf numFmtId="165" fontId="4" fillId="0" borderId="101" xfId="0" applyNumberFormat="1" applyFont="1" applyFill="1" applyBorder="1" applyAlignment="1">
      <alignment vertical="center"/>
    </xf>
    <xf numFmtId="165" fontId="3" fillId="0" borderId="107" xfId="0" applyNumberFormat="1" applyFont="1" applyFill="1" applyBorder="1" applyAlignment="1">
      <alignment vertical="center"/>
    </xf>
    <xf numFmtId="170" fontId="4" fillId="0" borderId="112" xfId="0" applyNumberFormat="1" applyFont="1" applyFill="1" applyBorder="1" applyAlignment="1">
      <alignment horizontal="center" vertical="center"/>
    </xf>
    <xf numFmtId="170" fontId="3" fillId="0" borderId="112" xfId="0" applyNumberFormat="1" applyFont="1" applyFill="1" applyBorder="1" applyAlignment="1">
      <alignment horizontal="center" vertical="center"/>
    </xf>
    <xf numFmtId="165" fontId="3" fillId="0" borderId="112" xfId="0" applyNumberFormat="1" applyFont="1" applyFill="1" applyBorder="1" applyAlignment="1">
      <alignment vertical="center"/>
    </xf>
    <xf numFmtId="165" fontId="3" fillId="0" borderId="106" xfId="0" applyNumberFormat="1" applyFont="1" applyFill="1" applyBorder="1" applyAlignment="1">
      <alignment vertical="center"/>
    </xf>
    <xf numFmtId="170" fontId="3" fillId="0" borderId="113" xfId="0" applyNumberFormat="1" applyFont="1" applyFill="1" applyBorder="1" applyAlignment="1">
      <alignment horizontal="center" vertical="center"/>
    </xf>
    <xf numFmtId="165" fontId="3" fillId="19" borderId="118" xfId="0" applyNumberFormat="1" applyFont="1" applyFill="1" applyBorder="1" applyAlignment="1">
      <alignment vertical="center"/>
    </xf>
    <xf numFmtId="165" fontId="3" fillId="19" borderId="119" xfId="0" applyNumberFormat="1" applyFont="1" applyFill="1" applyBorder="1" applyAlignment="1"/>
    <xf numFmtId="165" fontId="3" fillId="19" borderId="119" xfId="0" applyNumberFormat="1" applyFont="1" applyFill="1" applyBorder="1" applyAlignment="1">
      <alignment vertical="center"/>
    </xf>
    <xf numFmtId="170" fontId="3" fillId="19" borderId="120" xfId="0" applyNumberFormat="1" applyFont="1" applyFill="1" applyBorder="1" applyAlignment="1">
      <alignment horizontal="center" vertical="center"/>
    </xf>
    <xf numFmtId="165" fontId="3" fillId="19" borderId="45" xfId="0" applyNumberFormat="1" applyFont="1" applyFill="1" applyBorder="1" applyAlignment="1">
      <alignment vertical="center"/>
    </xf>
    <xf numFmtId="166" fontId="3" fillId="0" borderId="107" xfId="1" applyNumberFormat="1" applyFont="1" applyFill="1" applyBorder="1" applyAlignment="1">
      <alignment vertical="center"/>
    </xf>
    <xf numFmtId="166" fontId="4" fillId="0" borderId="107" xfId="1" applyNumberFormat="1" applyFont="1" applyFill="1" applyBorder="1" applyAlignment="1">
      <alignment vertical="center"/>
    </xf>
    <xf numFmtId="170" fontId="4" fillId="0" borderId="113" xfId="0" applyNumberFormat="1" applyFont="1" applyFill="1" applyBorder="1" applyAlignment="1">
      <alignment horizontal="center" vertical="center"/>
    </xf>
    <xf numFmtId="165" fontId="4" fillId="0" borderId="106" xfId="0" applyNumberFormat="1" applyFont="1" applyFill="1" applyBorder="1" applyAlignment="1">
      <alignment vertical="center"/>
    </xf>
    <xf numFmtId="166" fontId="4" fillId="0" borderId="107" xfId="1" applyNumberFormat="1" applyFont="1" applyFill="1" applyBorder="1" applyAlignment="1">
      <alignment horizontal="right"/>
    </xf>
    <xf numFmtId="4" fontId="4" fillId="0" borderId="106" xfId="0" applyNumberFormat="1" applyFont="1" applyFill="1" applyBorder="1" applyAlignment="1">
      <alignment vertical="center"/>
    </xf>
    <xf numFmtId="165" fontId="3" fillId="0" borderId="112" xfId="0" applyNumberFormat="1" applyFont="1" applyFill="1" applyBorder="1" applyAlignment="1">
      <alignment horizontal="center" vertical="center"/>
    </xf>
    <xf numFmtId="3" fontId="4" fillId="0" borderId="106" xfId="0" applyNumberFormat="1" applyFont="1" applyFill="1" applyBorder="1" applyAlignment="1">
      <alignment vertical="center"/>
    </xf>
    <xf numFmtId="165" fontId="3" fillId="19" borderId="45" xfId="0" applyNumberFormat="1" applyFont="1" applyFill="1" applyBorder="1" applyAlignment="1">
      <alignment horizontal="right" vertical="center"/>
    </xf>
    <xf numFmtId="170" fontId="3" fillId="0" borderId="82" xfId="0" applyNumberFormat="1" applyFont="1" applyFill="1" applyBorder="1" applyAlignment="1">
      <alignment horizontal="center" vertical="center"/>
    </xf>
    <xf numFmtId="165" fontId="3" fillId="0" borderId="81" xfId="0" applyNumberFormat="1" applyFont="1" applyFill="1" applyBorder="1" applyAlignment="1"/>
    <xf numFmtId="165" fontId="3" fillId="0" borderId="79" xfId="0" applyNumberFormat="1" applyFont="1" applyFill="1" applyBorder="1" applyAlignment="1"/>
    <xf numFmtId="9" fontId="3" fillId="0" borderId="87" xfId="2" applyFont="1" applyFill="1" applyBorder="1" applyAlignment="1">
      <alignment horizontal="center" vertical="center"/>
    </xf>
    <xf numFmtId="9" fontId="3" fillId="0" borderId="94" xfId="2" applyFont="1" applyFill="1" applyBorder="1" applyAlignment="1">
      <alignment horizontal="center" vertical="center"/>
    </xf>
    <xf numFmtId="165" fontId="3" fillId="0" borderId="65" xfId="0" applyNumberFormat="1" applyFont="1" applyFill="1" applyBorder="1" applyAlignment="1">
      <alignment horizontal="center" vertical="center"/>
    </xf>
    <xf numFmtId="166" fontId="3" fillId="0" borderId="115" xfId="1" applyNumberFormat="1" applyFont="1" applyFill="1" applyBorder="1" applyAlignment="1">
      <alignment vertical="center"/>
    </xf>
    <xf numFmtId="165" fontId="3" fillId="0" borderId="116" xfId="0" applyNumberFormat="1" applyFont="1" applyFill="1" applyBorder="1"/>
    <xf numFmtId="165" fontId="3" fillId="0" borderId="116" xfId="0" applyNumberFormat="1" applyFont="1" applyFill="1" applyBorder="1" applyAlignment="1">
      <alignment vertical="center"/>
    </xf>
    <xf numFmtId="170" fontId="4" fillId="0" borderId="117" xfId="0" applyNumberFormat="1" applyFont="1" applyFill="1" applyBorder="1" applyAlignment="1">
      <alignment horizontal="center" vertical="center"/>
    </xf>
    <xf numFmtId="165" fontId="4" fillId="0" borderId="116" xfId="0" applyNumberFormat="1" applyFont="1" applyFill="1" applyBorder="1" applyAlignment="1">
      <alignment vertical="center"/>
    </xf>
    <xf numFmtId="170" fontId="3" fillId="0" borderId="117" xfId="0" applyNumberFormat="1" applyFont="1" applyFill="1" applyBorder="1" applyAlignment="1">
      <alignment horizontal="center" vertical="center"/>
    </xf>
    <xf numFmtId="37" fontId="3" fillId="0" borderId="13" xfId="0" applyNumberFormat="1" applyFont="1" applyFill="1" applyBorder="1" applyAlignment="1">
      <alignment horizontal="center" vertical="center"/>
    </xf>
    <xf numFmtId="165" fontId="4" fillId="0" borderId="78" xfId="0" applyNumberFormat="1" applyFont="1" applyFill="1" applyBorder="1" applyAlignment="1">
      <alignment vertical="center"/>
    </xf>
    <xf numFmtId="170" fontId="4" fillId="0" borderId="69" xfId="0" applyNumberFormat="1" applyFont="1" applyFill="1" applyBorder="1" applyAlignment="1">
      <alignment horizontal="center" vertical="center"/>
    </xf>
    <xf numFmtId="170" fontId="4" fillId="0" borderId="78" xfId="0" applyNumberFormat="1" applyFont="1" applyFill="1" applyBorder="1" applyAlignment="1">
      <alignment horizontal="center" vertical="center"/>
    </xf>
    <xf numFmtId="165" fontId="4" fillId="0" borderId="26" xfId="0" applyNumberFormat="1" applyFont="1" applyFill="1" applyBorder="1" applyAlignment="1">
      <alignment vertical="center"/>
    </xf>
    <xf numFmtId="165" fontId="4" fillId="0" borderId="78" xfId="0" applyNumberFormat="1" applyFont="1" applyFill="1" applyBorder="1" applyAlignment="1">
      <alignment horizontal="center" vertical="center"/>
    </xf>
    <xf numFmtId="167" fontId="3" fillId="0" borderId="41" xfId="0" applyNumberFormat="1" applyFont="1" applyFill="1" applyBorder="1" applyAlignment="1">
      <alignment horizontal="left" vertical="center" wrapText="1"/>
    </xf>
    <xf numFmtId="37" fontId="3" fillId="0" borderId="122" xfId="0" applyNumberFormat="1" applyFont="1" applyFill="1" applyBorder="1" applyAlignment="1">
      <alignment horizontal="center" vertical="center"/>
    </xf>
    <xf numFmtId="167" fontId="3" fillId="0" borderId="37" xfId="0" applyNumberFormat="1" applyFont="1" applyFill="1" applyBorder="1" applyAlignment="1">
      <alignment horizontal="left" vertical="center" wrapText="1"/>
    </xf>
    <xf numFmtId="37" fontId="3" fillId="0" borderId="66" xfId="0" applyNumberFormat="1" applyFont="1" applyFill="1" applyBorder="1" applyAlignment="1">
      <alignment vertical="center"/>
    </xf>
    <xf numFmtId="37" fontId="3" fillId="7" borderId="2" xfId="0" applyNumberFormat="1" applyFont="1" applyFill="1" applyBorder="1" applyAlignment="1">
      <alignment horizontal="center" vertical="center"/>
    </xf>
    <xf numFmtId="4" fontId="3" fillId="0" borderId="87" xfId="1" applyNumberFormat="1" applyFont="1" applyFill="1" applyBorder="1" applyAlignment="1">
      <alignment horizontal="center" vertical="center"/>
    </xf>
    <xf numFmtId="0" fontId="4" fillId="0" borderId="71" xfId="0" applyFont="1" applyFill="1" applyBorder="1" applyAlignment="1">
      <alignment vertical="center"/>
    </xf>
    <xf numFmtId="9" fontId="3" fillId="0" borderId="72" xfId="2" applyFont="1" applyFill="1" applyBorder="1" applyAlignment="1">
      <alignment horizontal="center" vertical="center"/>
    </xf>
    <xf numFmtId="0" fontId="4" fillId="0" borderId="63" xfId="0" applyFont="1" applyFill="1" applyBorder="1" applyAlignment="1">
      <alignment vertical="center"/>
    </xf>
    <xf numFmtId="37" fontId="3" fillId="0" borderId="79" xfId="0" applyNumberFormat="1" applyFont="1" applyFill="1" applyBorder="1" applyAlignment="1">
      <alignment vertical="center"/>
    </xf>
    <xf numFmtId="37" fontId="3" fillId="0" borderId="30" xfId="0" applyNumberFormat="1" applyFont="1" applyFill="1" applyBorder="1" applyAlignment="1">
      <alignment vertical="center"/>
    </xf>
    <xf numFmtId="9" fontId="3" fillId="0" borderId="31" xfId="2" applyFont="1" applyFill="1" applyBorder="1" applyAlignment="1">
      <alignment horizontal="center" vertical="center"/>
    </xf>
    <xf numFmtId="165" fontId="3" fillId="0" borderId="84" xfId="0" applyNumberFormat="1" applyFont="1" applyFill="1" applyBorder="1" applyAlignment="1">
      <alignment horizontal="center" vertical="center"/>
    </xf>
    <xf numFmtId="0" fontId="4" fillId="0" borderId="112" xfId="0" applyFont="1" applyFill="1" applyBorder="1" applyAlignment="1">
      <alignment vertical="center"/>
    </xf>
    <xf numFmtId="43" fontId="4" fillId="0" borderId="103" xfId="1" applyFont="1" applyFill="1" applyBorder="1" applyAlignment="1">
      <alignment vertical="center"/>
    </xf>
    <xf numFmtId="9" fontId="4" fillId="0" borderId="101" xfId="2" applyFont="1" applyFill="1" applyBorder="1" applyAlignment="1">
      <alignment horizontal="center" vertical="center"/>
    </xf>
    <xf numFmtId="43" fontId="4" fillId="0" borderId="102" xfId="1" applyFont="1" applyFill="1" applyBorder="1" applyAlignment="1">
      <alignment vertical="center"/>
    </xf>
    <xf numFmtId="0" fontId="4" fillId="0" borderId="102" xfId="0" applyFont="1" applyFill="1" applyBorder="1" applyAlignment="1">
      <alignment vertical="center"/>
    </xf>
    <xf numFmtId="0" fontId="4" fillId="0" borderId="104" xfId="0" applyFont="1" applyFill="1" applyBorder="1" applyAlignment="1">
      <alignment vertical="center"/>
    </xf>
    <xf numFmtId="0" fontId="4" fillId="0" borderId="113" xfId="0" applyFont="1" applyFill="1" applyBorder="1" applyAlignment="1">
      <alignment vertical="center"/>
    </xf>
    <xf numFmtId="43" fontId="4" fillId="0" borderId="114" xfId="1" applyFont="1" applyFill="1" applyBorder="1" applyAlignment="1">
      <alignment vertical="center"/>
    </xf>
    <xf numFmtId="9" fontId="4" fillId="0" borderId="104" xfId="2" applyFont="1" applyFill="1" applyBorder="1" applyAlignment="1">
      <alignment horizontal="center" vertical="center"/>
    </xf>
    <xf numFmtId="43" fontId="4" fillId="0" borderId="110" xfId="1" applyFont="1" applyFill="1" applyBorder="1" applyAlignment="1">
      <alignment vertical="center"/>
    </xf>
    <xf numFmtId="165" fontId="4" fillId="0" borderId="103" xfId="0" applyNumberFormat="1" applyFont="1" applyFill="1" applyBorder="1" applyAlignment="1">
      <alignment vertical="center"/>
    </xf>
    <xf numFmtId="165" fontId="3" fillId="19" borderId="46" xfId="0" applyNumberFormat="1" applyFont="1" applyFill="1" applyBorder="1" applyAlignment="1">
      <alignment vertical="center"/>
    </xf>
    <xf numFmtId="165" fontId="3" fillId="19" borderId="46" xfId="0" applyNumberFormat="1" applyFont="1" applyFill="1" applyBorder="1" applyAlignment="1">
      <alignment horizontal="right" vertical="center"/>
    </xf>
    <xf numFmtId="165" fontId="3" fillId="19" borderId="6" xfId="0" applyNumberFormat="1" applyFont="1" applyFill="1" applyBorder="1" applyAlignment="1"/>
    <xf numFmtId="170" fontId="3" fillId="19" borderId="14" xfId="0" applyNumberFormat="1" applyFont="1" applyFill="1" applyBorder="1" applyAlignment="1">
      <alignment horizontal="center" vertical="center"/>
    </xf>
    <xf numFmtId="165" fontId="3" fillId="19" borderId="5" xfId="0" applyNumberFormat="1" applyFont="1" applyFill="1" applyBorder="1" applyAlignment="1">
      <alignment vertical="center"/>
    </xf>
    <xf numFmtId="165" fontId="3" fillId="0" borderId="38" xfId="0" applyNumberFormat="1" applyFont="1" applyFill="1" applyBorder="1" applyAlignment="1">
      <alignment horizontal="center" vertical="center"/>
    </xf>
    <xf numFmtId="4" fontId="3" fillId="0" borderId="39" xfId="1" applyNumberFormat="1" applyFont="1" applyFill="1" applyBorder="1" applyAlignment="1">
      <alignment horizontal="center" vertical="center"/>
    </xf>
    <xf numFmtId="165" fontId="3" fillId="0" borderId="55" xfId="0" applyNumberFormat="1" applyFont="1" applyFill="1" applyBorder="1" applyAlignment="1">
      <alignment horizontal="center" vertical="center"/>
    </xf>
    <xf numFmtId="165" fontId="3" fillId="0" borderId="41" xfId="0" applyNumberFormat="1" applyFont="1" applyFill="1" applyBorder="1" applyAlignment="1">
      <alignment horizontal="center" vertical="center"/>
    </xf>
    <xf numFmtId="9" fontId="3" fillId="0" borderId="0" xfId="2" applyFont="1" applyFill="1" applyBorder="1" applyAlignment="1">
      <alignment horizontal="center" vertical="center"/>
    </xf>
    <xf numFmtId="165" fontId="3" fillId="0" borderId="0" xfId="0" applyNumberFormat="1" applyFont="1" applyFill="1" applyBorder="1" applyAlignment="1">
      <alignment horizontal="center" vertical="center"/>
    </xf>
    <xf numFmtId="9" fontId="3" fillId="0" borderId="34" xfId="2" applyFont="1" applyFill="1" applyBorder="1" applyAlignment="1">
      <alignment horizontal="center" vertical="center"/>
    </xf>
    <xf numFmtId="165" fontId="3" fillId="0" borderId="64" xfId="0" applyNumberFormat="1" applyFont="1" applyFill="1" applyBorder="1" applyAlignment="1">
      <alignment vertical="center"/>
    </xf>
    <xf numFmtId="165" fontId="3" fillId="0" borderId="35" xfId="0" applyNumberFormat="1" applyFont="1" applyFill="1" applyBorder="1" applyAlignment="1">
      <alignment vertical="center"/>
    </xf>
    <xf numFmtId="0" fontId="4" fillId="0" borderId="70" xfId="0" applyFont="1" applyFill="1" applyBorder="1" applyAlignment="1">
      <alignment vertical="center"/>
    </xf>
    <xf numFmtId="165" fontId="3" fillId="0" borderId="26" xfId="0" applyNumberFormat="1" applyFont="1" applyFill="1" applyBorder="1" applyAlignment="1">
      <alignment horizontal="right" vertical="center"/>
    </xf>
    <xf numFmtId="3" fontId="3" fillId="0" borderId="49" xfId="2" applyNumberFormat="1" applyFont="1" applyFill="1" applyBorder="1" applyAlignment="1">
      <alignment vertical="center"/>
    </xf>
    <xf numFmtId="9" fontId="3" fillId="0" borderId="68" xfId="2" applyNumberFormat="1" applyFont="1" applyFill="1" applyBorder="1" applyAlignment="1">
      <alignment horizontal="center" vertical="center"/>
    </xf>
    <xf numFmtId="165" fontId="3" fillId="0" borderId="66" xfId="0" applyNumberFormat="1" applyFont="1" applyFill="1" applyBorder="1" applyAlignment="1">
      <alignment horizontal="center" vertical="center"/>
    </xf>
    <xf numFmtId="37" fontId="4" fillId="0" borderId="0" xfId="0" applyNumberFormat="1" applyFont="1" applyFill="1" applyAlignment="1">
      <alignment vertical="center"/>
    </xf>
    <xf numFmtId="43" fontId="4" fillId="0" borderId="0" xfId="1" applyFont="1" applyFill="1" applyAlignment="1">
      <alignment horizontal="center" vertical="center"/>
    </xf>
    <xf numFmtId="0" fontId="4" fillId="0" borderId="0" xfId="0" applyFont="1" applyFill="1" applyAlignment="1">
      <alignment horizontal="right" vertical="center"/>
    </xf>
    <xf numFmtId="0" fontId="3" fillId="0" borderId="0" xfId="0" applyFont="1" applyFill="1" applyAlignment="1">
      <alignment vertical="center"/>
    </xf>
    <xf numFmtId="43" fontId="3" fillId="0" borderId="39" xfId="1" applyFont="1" applyFill="1" applyBorder="1" applyAlignment="1">
      <alignment horizontal="center" vertical="center"/>
    </xf>
    <xf numFmtId="168" fontId="3" fillId="0" borderId="39" xfId="1" applyNumberFormat="1" applyFont="1" applyFill="1" applyBorder="1" applyAlignment="1">
      <alignment horizontal="center" vertical="center"/>
    </xf>
    <xf numFmtId="3" fontId="5" fillId="0" borderId="15" xfId="0" applyNumberFormat="1" applyFont="1" applyFill="1" applyBorder="1" applyAlignment="1">
      <alignment horizontal="center" vertical="center"/>
    </xf>
    <xf numFmtId="4" fontId="3" fillId="0" borderId="44" xfId="1" applyNumberFormat="1" applyFont="1" applyFill="1" applyBorder="1" applyAlignment="1">
      <alignment horizontal="center" vertical="center"/>
    </xf>
    <xf numFmtId="165" fontId="3" fillId="19" borderId="6" xfId="0" applyNumberFormat="1" applyFont="1" applyFill="1" applyBorder="1" applyAlignment="1">
      <alignment horizontal="left" vertical="center" wrapText="1"/>
    </xf>
    <xf numFmtId="37" fontId="3" fillId="19" borderId="7" xfId="0" applyNumberFormat="1" applyFont="1" applyFill="1" applyBorder="1" applyAlignment="1">
      <alignment horizontal="right" vertical="center"/>
    </xf>
    <xf numFmtId="37" fontId="3" fillId="19" borderId="1" xfId="0" applyNumberFormat="1" applyFont="1" applyFill="1" applyBorder="1" applyAlignment="1">
      <alignment vertical="center"/>
    </xf>
    <xf numFmtId="37" fontId="3" fillId="19" borderId="2" xfId="0" applyNumberFormat="1" applyFont="1" applyFill="1" applyBorder="1" applyAlignment="1">
      <alignment vertical="center"/>
    </xf>
    <xf numFmtId="37" fontId="3" fillId="19" borderId="2" xfId="0" applyNumberFormat="1" applyFont="1" applyFill="1" applyBorder="1" applyAlignment="1">
      <alignment horizontal="center" vertical="center"/>
    </xf>
    <xf numFmtId="170" fontId="3" fillId="19" borderId="7" xfId="0" applyNumberFormat="1" applyFont="1" applyFill="1" applyBorder="1" applyAlignment="1">
      <alignment horizontal="center" vertical="center"/>
    </xf>
    <xf numFmtId="170" fontId="3" fillId="19" borderId="6" xfId="0" applyNumberFormat="1" applyFont="1" applyFill="1" applyBorder="1" applyAlignment="1">
      <alignment horizontal="center" vertical="center"/>
    </xf>
    <xf numFmtId="165" fontId="3" fillId="19" borderId="8" xfId="0" applyNumberFormat="1" applyFont="1" applyFill="1" applyBorder="1" applyAlignment="1">
      <alignment vertical="center"/>
    </xf>
    <xf numFmtId="165" fontId="4" fillId="0" borderId="76" xfId="0" applyNumberFormat="1" applyFont="1" applyFill="1" applyBorder="1" applyAlignment="1">
      <alignment vertical="center"/>
    </xf>
    <xf numFmtId="170" fontId="4" fillId="0" borderId="71" xfId="0" applyNumberFormat="1" applyFont="1" applyFill="1" applyBorder="1" applyAlignment="1">
      <alignment horizontal="center" vertical="center"/>
    </xf>
    <xf numFmtId="170" fontId="4" fillId="0" borderId="77" xfId="0" applyNumberFormat="1" applyFont="1" applyFill="1" applyBorder="1" applyAlignment="1">
      <alignment horizontal="center" vertical="center"/>
    </xf>
    <xf numFmtId="165" fontId="4" fillId="0" borderId="32" xfId="0" applyNumberFormat="1" applyFont="1" applyFill="1" applyBorder="1" applyAlignment="1">
      <alignment horizontal="right" vertical="center"/>
    </xf>
    <xf numFmtId="165" fontId="4" fillId="0" borderId="77" xfId="0" applyNumberFormat="1" applyFont="1" applyFill="1" applyBorder="1" applyAlignment="1">
      <alignment horizontal="center" vertical="center"/>
    </xf>
    <xf numFmtId="165" fontId="4" fillId="0" borderId="40" xfId="0" applyNumberFormat="1" applyFont="1" applyFill="1" applyBorder="1" applyAlignment="1">
      <alignment horizontal="right" vertical="center"/>
    </xf>
    <xf numFmtId="165" fontId="4" fillId="0" borderId="77" xfId="0" applyNumberFormat="1" applyFont="1" applyFill="1" applyBorder="1" applyAlignment="1">
      <alignment horizontal="right" vertical="center"/>
    </xf>
    <xf numFmtId="165" fontId="3" fillId="0" borderId="20" xfId="0" applyNumberFormat="1" applyFont="1" applyFill="1" applyBorder="1" applyAlignment="1">
      <alignment horizontal="center" vertical="center"/>
    </xf>
    <xf numFmtId="165" fontId="3" fillId="0" borderId="25" xfId="0" applyNumberFormat="1" applyFont="1" applyFill="1" applyBorder="1" applyAlignment="1">
      <alignment horizontal="center" vertical="center"/>
    </xf>
    <xf numFmtId="165" fontId="3" fillId="7" borderId="45" xfId="0" applyNumberFormat="1" applyFont="1" applyFill="1" applyBorder="1" applyAlignment="1">
      <alignment horizontal="right" vertical="center"/>
    </xf>
    <xf numFmtId="165" fontId="4" fillId="0" borderId="61" xfId="0" applyNumberFormat="1" applyFont="1" applyFill="1" applyBorder="1" applyAlignment="1">
      <alignment vertical="center"/>
    </xf>
    <xf numFmtId="165" fontId="4" fillId="0" borderId="60" xfId="0" applyNumberFormat="1" applyFont="1" applyFill="1" applyBorder="1" applyAlignment="1">
      <alignment vertical="center"/>
    </xf>
    <xf numFmtId="165" fontId="3" fillId="0" borderId="64" xfId="0" quotePrefix="1" applyNumberFormat="1" applyFont="1" applyFill="1" applyBorder="1" applyAlignment="1">
      <alignment vertical="center"/>
    </xf>
    <xf numFmtId="170" fontId="3" fillId="0" borderId="74" xfId="0" applyNumberFormat="1" applyFont="1" applyFill="1" applyBorder="1" applyAlignment="1">
      <alignment horizontal="center" vertical="center"/>
    </xf>
    <xf numFmtId="167" fontId="3" fillId="0" borderId="24" xfId="0" applyNumberFormat="1" applyFont="1" applyFill="1" applyBorder="1" applyAlignment="1">
      <alignment horizontal="left" vertical="center" wrapText="1"/>
    </xf>
    <xf numFmtId="4" fontId="3" fillId="0" borderId="123" xfId="1" applyNumberFormat="1" applyFont="1" applyFill="1" applyBorder="1" applyAlignment="1">
      <alignment horizontal="center" vertical="center"/>
    </xf>
    <xf numFmtId="165" fontId="3" fillId="0" borderId="24" xfId="0" applyNumberFormat="1" applyFont="1" applyFill="1" applyBorder="1" applyAlignment="1">
      <alignment horizontal="center" vertical="center"/>
    </xf>
    <xf numFmtId="165" fontId="3" fillId="0" borderId="59" xfId="0" applyNumberFormat="1" applyFont="1" applyFill="1" applyBorder="1" applyAlignment="1"/>
    <xf numFmtId="165" fontId="3" fillId="0" borderId="29" xfId="0" applyNumberFormat="1" applyFont="1" applyFill="1" applyBorder="1" applyAlignment="1"/>
    <xf numFmtId="165" fontId="3" fillId="0" borderId="83" xfId="0" applyNumberFormat="1" applyFont="1" applyFill="1" applyBorder="1" applyAlignment="1"/>
    <xf numFmtId="170" fontId="3" fillId="0" borderId="83" xfId="0" applyNumberFormat="1" applyFont="1" applyFill="1" applyBorder="1" applyAlignment="1">
      <alignment horizontal="center"/>
    </xf>
    <xf numFmtId="170" fontId="3" fillId="0" borderId="123" xfId="0" applyNumberFormat="1" applyFont="1" applyFill="1" applyBorder="1" applyAlignment="1">
      <alignment horizontal="center"/>
    </xf>
    <xf numFmtId="165" fontId="3" fillId="0" borderId="29" xfId="0" applyNumberFormat="1" applyFont="1" applyFill="1" applyBorder="1" applyAlignment="1">
      <alignment horizontal="right"/>
    </xf>
    <xf numFmtId="165" fontId="4" fillId="0" borderId="29" xfId="0" applyNumberFormat="1" applyFont="1" applyFill="1" applyBorder="1" applyAlignment="1"/>
    <xf numFmtId="37" fontId="3" fillId="0" borderId="31" xfId="0" applyNumberFormat="1" applyFont="1" applyFill="1" applyBorder="1" applyAlignment="1">
      <alignment vertical="center"/>
    </xf>
    <xf numFmtId="4" fontId="3" fillId="0" borderId="31" xfId="1" applyNumberFormat="1" applyFont="1" applyFill="1" applyBorder="1" applyAlignment="1">
      <alignment horizontal="center" vertical="center"/>
    </xf>
    <xf numFmtId="165" fontId="3" fillId="0" borderId="31" xfId="0" applyNumberFormat="1" applyFont="1" applyFill="1" applyBorder="1" applyAlignment="1">
      <alignment horizontal="center" vertical="center"/>
    </xf>
    <xf numFmtId="165" fontId="3" fillId="0" borderId="31" xfId="0" applyNumberFormat="1" applyFont="1" applyFill="1" applyBorder="1" applyAlignment="1"/>
    <xf numFmtId="170" fontId="3" fillId="0" borderId="31" xfId="0" applyNumberFormat="1" applyFont="1" applyFill="1" applyBorder="1" applyAlignment="1">
      <alignment horizontal="center"/>
    </xf>
    <xf numFmtId="165" fontId="3" fillId="0" borderId="31" xfId="0" applyNumberFormat="1" applyFont="1" applyFill="1" applyBorder="1" applyAlignment="1">
      <alignment horizontal="right"/>
    </xf>
    <xf numFmtId="165" fontId="4" fillId="0" borderId="31" xfId="0" applyNumberFormat="1" applyFont="1" applyFill="1" applyBorder="1" applyAlignment="1"/>
    <xf numFmtId="165" fontId="3" fillId="0" borderId="31" xfId="0" applyNumberFormat="1" applyFont="1" applyFill="1" applyBorder="1" applyAlignment="1">
      <alignment horizontal="right" vertical="center"/>
    </xf>
    <xf numFmtId="166" fontId="4" fillId="0" borderId="57" xfId="1" applyNumberFormat="1" applyFont="1" applyFill="1" applyBorder="1"/>
    <xf numFmtId="166" fontId="4" fillId="0" borderId="22" xfId="1" applyNumberFormat="1" applyFont="1" applyFill="1" applyBorder="1"/>
    <xf numFmtId="166" fontId="4" fillId="0" borderId="63" xfId="1" applyNumberFormat="1" applyFont="1" applyFill="1" applyBorder="1"/>
    <xf numFmtId="166" fontId="4" fillId="0" borderId="75" xfId="1" applyNumberFormat="1" applyFont="1" applyFill="1" applyBorder="1"/>
    <xf numFmtId="166" fontId="3" fillId="8" borderId="6" xfId="1" applyNumberFormat="1" applyFont="1" applyFill="1" applyBorder="1" applyAlignment="1">
      <alignment vertical="center"/>
    </xf>
    <xf numFmtId="164" fontId="3" fillId="11" borderId="16" xfId="0" applyNumberFormat="1" applyFont="1" applyFill="1" applyBorder="1" applyAlignment="1">
      <alignment horizontal="center" vertical="center" wrapText="1"/>
    </xf>
    <xf numFmtId="164" fontId="3" fillId="11" borderId="12" xfId="0" applyNumberFormat="1" applyFont="1" applyFill="1" applyBorder="1" applyAlignment="1">
      <alignment horizontal="center" vertical="center" wrapText="1"/>
    </xf>
    <xf numFmtId="170" fontId="3" fillId="20" borderId="45" xfId="0" applyNumberFormat="1" applyFont="1" applyFill="1" applyBorder="1" applyAlignment="1">
      <alignment vertical="center"/>
    </xf>
    <xf numFmtId="165" fontId="3" fillId="20" borderId="6" xfId="0" applyNumberFormat="1" applyFont="1" applyFill="1" applyBorder="1" applyAlignment="1">
      <alignment vertical="center"/>
    </xf>
    <xf numFmtId="170" fontId="3" fillId="20" borderId="46" xfId="0" applyNumberFormat="1" applyFont="1" applyFill="1" applyBorder="1" applyAlignment="1">
      <alignment horizontal="center" vertical="center"/>
    </xf>
    <xf numFmtId="165" fontId="3" fillId="20" borderId="45" xfId="0" applyNumberFormat="1" applyFont="1" applyFill="1" applyBorder="1" applyAlignment="1">
      <alignment vertical="center"/>
    </xf>
    <xf numFmtId="165" fontId="3" fillId="20" borderId="7" xfId="0" applyNumberFormat="1" applyFont="1" applyFill="1" applyBorder="1" applyAlignment="1">
      <alignment vertical="center"/>
    </xf>
    <xf numFmtId="165" fontId="3" fillId="20" borderId="8" xfId="0" applyNumberFormat="1" applyFont="1" applyFill="1" applyBorder="1" applyAlignment="1">
      <alignment vertical="center"/>
    </xf>
    <xf numFmtId="165" fontId="3" fillId="20" borderId="5" xfId="0" applyNumberFormat="1" applyFont="1" applyFill="1" applyBorder="1" applyAlignment="1">
      <alignment vertical="center"/>
    </xf>
    <xf numFmtId="165" fontId="3" fillId="20" borderId="6" xfId="0" applyNumberFormat="1" applyFont="1" applyFill="1" applyBorder="1" applyAlignment="1">
      <alignment horizontal="right" vertical="center"/>
    </xf>
    <xf numFmtId="165" fontId="3" fillId="20" borderId="45" xfId="0" applyNumberFormat="1" applyFont="1" applyFill="1" applyBorder="1" applyAlignment="1">
      <alignment horizontal="right" vertical="center"/>
    </xf>
    <xf numFmtId="165" fontId="3" fillId="20" borderId="5" xfId="0" applyNumberFormat="1" applyFont="1" applyFill="1" applyBorder="1" applyAlignment="1">
      <alignment horizontal="right" vertical="center"/>
    </xf>
    <xf numFmtId="165" fontId="3" fillId="20" borderId="14" xfId="0" applyNumberFormat="1" applyFont="1" applyFill="1" applyBorder="1" applyAlignment="1">
      <alignment horizontal="right" vertical="center"/>
    </xf>
    <xf numFmtId="165" fontId="3" fillId="0" borderId="69" xfId="0" applyNumberFormat="1" applyFont="1" applyFill="1" applyBorder="1" applyAlignment="1">
      <alignment vertical="center"/>
    </xf>
    <xf numFmtId="170" fontId="3" fillId="0" borderId="2" xfId="0" applyNumberFormat="1" applyFont="1" applyFill="1" applyBorder="1" applyAlignment="1">
      <alignment horizontal="center" vertical="center"/>
    </xf>
    <xf numFmtId="37" fontId="3" fillId="2" borderId="65" xfId="0" applyNumberFormat="1" applyFont="1" applyFill="1" applyBorder="1" applyAlignment="1">
      <alignment horizontal="left" vertical="center" wrapText="1"/>
    </xf>
    <xf numFmtId="37" fontId="3" fillId="2" borderId="100" xfId="0" applyNumberFormat="1" applyFont="1" applyFill="1" applyBorder="1" applyAlignment="1">
      <alignment horizontal="center" vertical="center"/>
    </xf>
    <xf numFmtId="165" fontId="3" fillId="21" borderId="15" xfId="0" applyNumberFormat="1" applyFont="1" applyFill="1" applyBorder="1" applyAlignment="1">
      <alignment horizontal="center" vertical="center"/>
    </xf>
    <xf numFmtId="170" fontId="3" fillId="0" borderId="73" xfId="0" applyNumberFormat="1" applyFont="1" applyFill="1" applyBorder="1" applyAlignment="1">
      <alignment horizontal="center" vertical="center"/>
    </xf>
    <xf numFmtId="0" fontId="3" fillId="2" borderId="15" xfId="0" applyNumberFormat="1" applyFont="1" applyFill="1" applyBorder="1" applyAlignment="1">
      <alignment horizontal="left" vertical="center" wrapText="1"/>
    </xf>
    <xf numFmtId="37" fontId="3" fillId="2" borderId="58" xfId="0" applyNumberFormat="1" applyFont="1" applyFill="1" applyBorder="1" applyAlignment="1">
      <alignment horizontal="center" vertical="center"/>
    </xf>
    <xf numFmtId="37" fontId="3" fillId="2" borderId="20" xfId="0" applyNumberFormat="1" applyFont="1" applyFill="1" applyBorder="1" applyAlignment="1">
      <alignment horizontal="left" vertical="center" wrapText="1"/>
    </xf>
    <xf numFmtId="37" fontId="3" fillId="2" borderId="84" xfId="0" applyNumberFormat="1" applyFont="1" applyFill="1" applyBorder="1" applyAlignment="1">
      <alignment horizontal="center" vertical="center"/>
    </xf>
    <xf numFmtId="37" fontId="3" fillId="2" borderId="17" xfId="0" applyNumberFormat="1" applyFont="1" applyFill="1" applyBorder="1" applyAlignment="1">
      <alignment vertical="center"/>
    </xf>
    <xf numFmtId="37" fontId="3" fillId="2" borderId="88" xfId="0" applyNumberFormat="1" applyFont="1" applyFill="1" applyBorder="1" applyAlignment="1">
      <alignment vertical="center"/>
    </xf>
    <xf numFmtId="170" fontId="3" fillId="0" borderId="22" xfId="0" applyNumberFormat="1" applyFont="1" applyFill="1" applyBorder="1" applyAlignment="1">
      <alignment horizontal="center" vertical="center"/>
    </xf>
    <xf numFmtId="165" fontId="3" fillId="0" borderId="28" xfId="0" quotePrefix="1" applyNumberFormat="1" applyFont="1" applyFill="1" applyBorder="1" applyAlignment="1">
      <alignment vertical="center"/>
    </xf>
    <xf numFmtId="170" fontId="3" fillId="0" borderId="123" xfId="0" applyNumberFormat="1" applyFont="1" applyFill="1" applyBorder="1" applyAlignment="1">
      <alignment horizontal="center" vertical="center"/>
    </xf>
    <xf numFmtId="165" fontId="3" fillId="0" borderId="80" xfId="0" quotePrefix="1" applyNumberFormat="1" applyFont="1" applyFill="1" applyBorder="1" applyAlignment="1">
      <alignment vertical="center"/>
    </xf>
    <xf numFmtId="37" fontId="3" fillId="0" borderId="124" xfId="0" applyNumberFormat="1" applyFont="1" applyFill="1" applyBorder="1" applyAlignment="1">
      <alignment horizontal="center" vertical="center"/>
    </xf>
    <xf numFmtId="165" fontId="3" fillId="0" borderId="22" xfId="0" applyNumberFormat="1" applyFont="1" applyFill="1" applyBorder="1"/>
    <xf numFmtId="0" fontId="3" fillId="0" borderId="11" xfId="0" applyNumberFormat="1" applyFont="1" applyFill="1" applyBorder="1" applyAlignment="1">
      <alignment horizontal="left" vertical="center" wrapText="1"/>
    </xf>
    <xf numFmtId="37" fontId="3" fillId="4" borderId="11" xfId="0" applyNumberFormat="1" applyFont="1" applyFill="1" applyBorder="1" applyAlignment="1">
      <alignment vertical="center"/>
    </xf>
    <xf numFmtId="37" fontId="3" fillId="4" borderId="2" xfId="0" applyNumberFormat="1" applyFont="1" applyFill="1" applyBorder="1" applyAlignment="1">
      <alignment vertical="center"/>
    </xf>
    <xf numFmtId="37" fontId="3" fillId="2" borderId="33" xfId="0" applyNumberFormat="1" applyFont="1" applyFill="1" applyBorder="1" applyAlignment="1">
      <alignment vertical="center"/>
    </xf>
    <xf numFmtId="37" fontId="3" fillId="4" borderId="37" xfId="0" applyNumberFormat="1" applyFont="1" applyFill="1" applyBorder="1" applyAlignment="1">
      <alignment vertical="center"/>
    </xf>
    <xf numFmtId="165" fontId="3" fillId="0" borderId="76" xfId="0" applyNumberFormat="1" applyFont="1" applyFill="1" applyBorder="1" applyAlignment="1">
      <alignment horizontal="center" vertical="center"/>
    </xf>
    <xf numFmtId="0" fontId="4" fillId="0" borderId="12" xfId="0" applyFont="1" applyFill="1" applyBorder="1" applyAlignment="1">
      <alignment vertical="center"/>
    </xf>
    <xf numFmtId="165" fontId="3" fillId="0" borderId="81" xfId="0" applyNumberFormat="1" applyFont="1" applyFill="1" applyBorder="1" applyAlignment="1">
      <alignment vertical="center"/>
    </xf>
    <xf numFmtId="165" fontId="3" fillId="21" borderId="17" xfId="0" applyNumberFormat="1" applyFont="1" applyFill="1" applyBorder="1" applyAlignment="1">
      <alignment horizontal="center" vertical="center"/>
    </xf>
    <xf numFmtId="165" fontId="3" fillId="0" borderId="77" xfId="0" applyNumberFormat="1" applyFont="1" applyFill="1" applyBorder="1" applyAlignment="1">
      <alignment horizontal="center" vertical="center"/>
    </xf>
    <xf numFmtId="165" fontId="3" fillId="0" borderId="21" xfId="0" quotePrefix="1" applyNumberFormat="1" applyFont="1" applyFill="1" applyBorder="1" applyAlignment="1">
      <alignment vertical="center"/>
    </xf>
    <xf numFmtId="165" fontId="4" fillId="0" borderId="40" xfId="0" applyNumberFormat="1" applyFont="1" applyFill="1" applyBorder="1" applyAlignment="1">
      <alignment vertical="center"/>
    </xf>
    <xf numFmtId="167" fontId="3" fillId="5" borderId="15" xfId="0" applyNumberFormat="1" applyFont="1" applyFill="1" applyBorder="1" applyAlignment="1">
      <alignment horizontal="left" vertical="center" wrapText="1"/>
    </xf>
    <xf numFmtId="37" fontId="3" fillId="5" borderId="38" xfId="0" applyNumberFormat="1" applyFont="1" applyFill="1" applyBorder="1" applyAlignment="1">
      <alignment vertical="center"/>
    </xf>
    <xf numFmtId="165" fontId="3" fillId="21" borderId="25" xfId="0" applyNumberFormat="1" applyFont="1" applyFill="1" applyBorder="1" applyAlignment="1">
      <alignment horizontal="center" vertical="center"/>
    </xf>
    <xf numFmtId="165" fontId="4" fillId="0" borderId="82" xfId="0" applyNumberFormat="1" applyFont="1" applyFill="1" applyBorder="1" applyAlignment="1">
      <alignment vertical="center"/>
    </xf>
    <xf numFmtId="170" fontId="4" fillId="0" borderId="74" xfId="0" applyNumberFormat="1" applyFont="1" applyFill="1" applyBorder="1" applyAlignment="1">
      <alignment horizontal="center" vertical="center"/>
    </xf>
    <xf numFmtId="165" fontId="4" fillId="0" borderId="56" xfId="0" applyNumberFormat="1" applyFont="1" applyFill="1" applyBorder="1" applyAlignment="1">
      <alignment vertical="center"/>
    </xf>
    <xf numFmtId="170" fontId="4" fillId="0" borderId="82" xfId="0" applyNumberFormat="1" applyFont="1" applyFill="1" applyBorder="1" applyAlignment="1">
      <alignment horizontal="center" vertical="center"/>
    </xf>
    <xf numFmtId="165" fontId="4" fillId="0" borderId="75" xfId="0" applyNumberFormat="1" applyFont="1" applyFill="1" applyBorder="1" applyAlignment="1">
      <alignment vertical="center"/>
    </xf>
    <xf numFmtId="165" fontId="4" fillId="0" borderId="82" xfId="0" applyNumberFormat="1" applyFont="1" applyFill="1" applyBorder="1" applyAlignment="1">
      <alignment horizontal="center" vertical="center"/>
    </xf>
    <xf numFmtId="37" fontId="3" fillId="7" borderId="5" xfId="0" applyNumberFormat="1" applyFont="1" applyFill="1" applyBorder="1" applyAlignment="1">
      <alignment horizontal="center" vertical="center"/>
    </xf>
    <xf numFmtId="9" fontId="3" fillId="21" borderId="94" xfId="2" applyFont="1" applyFill="1" applyBorder="1" applyAlignment="1">
      <alignment horizontal="center" vertical="center"/>
    </xf>
    <xf numFmtId="165" fontId="3" fillId="21" borderId="33" xfId="0" applyNumberFormat="1" applyFont="1" applyFill="1" applyBorder="1" applyAlignment="1">
      <alignment horizontal="center" vertical="center"/>
    </xf>
    <xf numFmtId="166" fontId="3" fillId="0" borderId="35" xfId="1" applyNumberFormat="1" applyFont="1" applyFill="1" applyBorder="1" applyAlignment="1">
      <alignment vertical="center"/>
    </xf>
    <xf numFmtId="166" fontId="3" fillId="0" borderId="36" xfId="1" applyNumberFormat="1" applyFont="1" applyFill="1" applyBorder="1" applyAlignment="1">
      <alignment vertical="center"/>
    </xf>
    <xf numFmtId="165" fontId="4" fillId="18" borderId="32" xfId="0" applyNumberFormat="1" applyFont="1" applyFill="1" applyBorder="1" applyAlignment="1">
      <alignment vertical="center"/>
    </xf>
    <xf numFmtId="166" fontId="3" fillId="0" borderId="36" xfId="1" applyNumberFormat="1" applyFont="1" applyFill="1" applyBorder="1" applyAlignment="1">
      <alignment horizontal="center" vertical="center"/>
    </xf>
    <xf numFmtId="165" fontId="3" fillId="0" borderId="15" xfId="0" applyNumberFormat="1" applyFont="1" applyFill="1" applyBorder="1" applyAlignment="1">
      <alignment horizontal="left" vertical="center" wrapText="1"/>
    </xf>
    <xf numFmtId="9" fontId="3" fillId="21" borderId="87" xfId="2" applyFont="1" applyFill="1" applyBorder="1" applyAlignment="1">
      <alignment horizontal="center" vertical="center"/>
    </xf>
    <xf numFmtId="165" fontId="3" fillId="21" borderId="38" xfId="0" applyNumberFormat="1" applyFont="1" applyFill="1" applyBorder="1" applyAlignment="1">
      <alignment horizontal="center" vertical="center"/>
    </xf>
    <xf numFmtId="166" fontId="3" fillId="0" borderId="40" xfId="1" applyNumberFormat="1" applyFont="1" applyFill="1" applyBorder="1" applyAlignment="1">
      <alignment vertical="center"/>
    </xf>
    <xf numFmtId="166" fontId="3" fillId="0" borderId="32" xfId="1" applyNumberFormat="1" applyFont="1" applyFill="1" applyBorder="1" applyAlignment="1">
      <alignment vertical="center"/>
    </xf>
    <xf numFmtId="166" fontId="3" fillId="0" borderId="32" xfId="1" applyNumberFormat="1" applyFont="1" applyFill="1" applyBorder="1" applyAlignment="1">
      <alignment horizontal="center" vertical="center"/>
    </xf>
    <xf numFmtId="166" fontId="3" fillId="0" borderId="87" xfId="1" applyNumberFormat="1" applyFont="1" applyFill="1" applyBorder="1" applyAlignment="1">
      <alignment vertical="center"/>
    </xf>
    <xf numFmtId="37" fontId="3" fillId="2" borderId="38" xfId="0" applyNumberFormat="1" applyFont="1" applyFill="1" applyBorder="1" applyAlignment="1">
      <alignment vertical="center"/>
    </xf>
    <xf numFmtId="4" fontId="3" fillId="21" borderId="87" xfId="1" applyNumberFormat="1" applyFont="1" applyFill="1" applyBorder="1" applyAlignment="1">
      <alignment horizontal="center" vertical="center"/>
    </xf>
    <xf numFmtId="166" fontId="3" fillId="2" borderId="0" xfId="1" applyNumberFormat="1" applyFont="1" applyFill="1" applyBorder="1" applyAlignment="1">
      <alignment vertical="center"/>
    </xf>
    <xf numFmtId="165" fontId="3" fillId="0" borderId="39" xfId="0" applyNumberFormat="1" applyFont="1" applyFill="1" applyBorder="1" applyAlignment="1">
      <alignment horizontal="right" vertical="center"/>
    </xf>
    <xf numFmtId="165" fontId="3" fillId="0" borderId="125" xfId="0" applyNumberFormat="1" applyFont="1" applyFill="1" applyBorder="1" applyAlignment="1">
      <alignment vertical="center"/>
    </xf>
    <xf numFmtId="37" fontId="3" fillId="2" borderId="55" xfId="0" applyNumberFormat="1" applyFont="1" applyFill="1" applyBorder="1" applyAlignment="1">
      <alignment vertical="center"/>
    </xf>
    <xf numFmtId="9" fontId="3" fillId="21" borderId="72" xfId="2" applyFont="1" applyFill="1" applyBorder="1" applyAlignment="1">
      <alignment horizontal="center" vertical="center"/>
    </xf>
    <xf numFmtId="165" fontId="3" fillId="21" borderId="55" xfId="0" applyNumberFormat="1" applyFont="1" applyFill="1" applyBorder="1" applyAlignment="1">
      <alignment horizontal="center" vertical="center"/>
    </xf>
    <xf numFmtId="166" fontId="3" fillId="0" borderId="29" xfId="1" applyNumberFormat="1" applyFont="1" applyFill="1" applyBorder="1" applyAlignment="1">
      <alignment vertical="center"/>
    </xf>
    <xf numFmtId="170" fontId="4" fillId="0" borderId="83" xfId="0" applyNumberFormat="1" applyFont="1" applyFill="1" applyBorder="1" applyAlignment="1">
      <alignment horizontal="center" vertical="center"/>
    </xf>
    <xf numFmtId="165" fontId="4" fillId="0" borderId="29" xfId="0" applyNumberFormat="1" applyFont="1" applyFill="1" applyBorder="1" applyAlignment="1">
      <alignment vertical="center"/>
    </xf>
    <xf numFmtId="170" fontId="4" fillId="0" borderId="123" xfId="0" applyNumberFormat="1" applyFont="1" applyFill="1" applyBorder="1" applyAlignment="1">
      <alignment horizontal="center" vertical="center"/>
    </xf>
    <xf numFmtId="165" fontId="3" fillId="0" borderId="31" xfId="0" applyNumberFormat="1" applyFont="1" applyFill="1" applyBorder="1" applyAlignment="1">
      <alignment vertical="center"/>
    </xf>
    <xf numFmtId="165" fontId="3" fillId="0" borderId="80" xfId="0" applyNumberFormat="1" applyFont="1" applyFill="1" applyBorder="1" applyAlignment="1">
      <alignment horizontal="center" vertical="center"/>
    </xf>
    <xf numFmtId="165" fontId="4" fillId="18" borderId="28" xfId="0" applyNumberFormat="1" applyFont="1" applyFill="1" applyBorder="1" applyAlignment="1">
      <alignment vertical="center"/>
    </xf>
    <xf numFmtId="165" fontId="3" fillId="0" borderId="28" xfId="0" applyNumberFormat="1" applyFont="1" applyFill="1" applyBorder="1" applyAlignment="1">
      <alignment horizontal="right" vertical="center"/>
    </xf>
    <xf numFmtId="165" fontId="4" fillId="0" borderId="28" xfId="0" applyNumberFormat="1" applyFont="1" applyFill="1" applyBorder="1" applyAlignment="1">
      <alignment vertical="center"/>
    </xf>
    <xf numFmtId="37" fontId="3" fillId="2" borderId="31" xfId="0" applyNumberFormat="1" applyFont="1" applyFill="1" applyBorder="1" applyAlignment="1">
      <alignment vertical="center"/>
    </xf>
    <xf numFmtId="9" fontId="3" fillId="21" borderId="31" xfId="2" applyFont="1" applyFill="1" applyBorder="1" applyAlignment="1">
      <alignment horizontal="center" vertical="center"/>
    </xf>
    <xf numFmtId="165" fontId="3" fillId="21" borderId="31" xfId="0" applyNumberFormat="1" applyFont="1" applyFill="1" applyBorder="1" applyAlignment="1">
      <alignment horizontal="center" vertical="center"/>
    </xf>
    <xf numFmtId="170" fontId="3" fillId="0" borderId="31" xfId="0" applyNumberFormat="1" applyFont="1" applyFill="1" applyBorder="1" applyAlignment="1">
      <alignment horizontal="center" vertical="center"/>
    </xf>
    <xf numFmtId="166" fontId="3" fillId="0" borderId="31" xfId="1" applyNumberFormat="1" applyFont="1" applyFill="1" applyBorder="1" applyAlignment="1">
      <alignment vertical="center"/>
    </xf>
    <xf numFmtId="170" fontId="4" fillId="0" borderId="31" xfId="0" applyNumberFormat="1" applyFont="1" applyFill="1" applyBorder="1" applyAlignment="1">
      <alignment horizontal="center" vertical="center"/>
    </xf>
    <xf numFmtId="165" fontId="4" fillId="0" borderId="31" xfId="0" applyNumberFormat="1" applyFont="1" applyFill="1" applyBorder="1" applyAlignment="1">
      <alignment vertical="center"/>
    </xf>
    <xf numFmtId="170" fontId="4" fillId="0" borderId="84" xfId="0" applyNumberFormat="1" applyFont="1" applyFill="1" applyBorder="1" applyAlignment="1">
      <alignment horizontal="center" vertical="center"/>
    </xf>
    <xf numFmtId="165" fontId="3" fillId="0" borderId="84" xfId="0" applyNumberFormat="1" applyFont="1" applyFill="1" applyBorder="1" applyAlignment="1">
      <alignment vertical="center"/>
    </xf>
    <xf numFmtId="165" fontId="3" fillId="0" borderId="30" xfId="0" applyNumberFormat="1" applyFont="1" applyFill="1" applyBorder="1" applyAlignment="1">
      <alignment vertical="center"/>
    </xf>
    <xf numFmtId="165" fontId="3" fillId="2" borderId="31" xfId="0" applyNumberFormat="1" applyFont="1" applyFill="1" applyBorder="1" applyAlignment="1">
      <alignment vertical="center"/>
    </xf>
    <xf numFmtId="0" fontId="4" fillId="0" borderId="91" xfId="0" applyFont="1" applyFill="1" applyBorder="1" applyAlignment="1">
      <alignment horizontal="left" vertical="center" wrapText="1"/>
    </xf>
    <xf numFmtId="0" fontId="4" fillId="0" borderId="91" xfId="0" applyFont="1" applyBorder="1" applyAlignment="1">
      <alignment vertical="center"/>
    </xf>
    <xf numFmtId="43" fontId="4" fillId="0" borderId="91" xfId="1" applyFont="1" applyBorder="1" applyAlignment="1">
      <alignment vertical="center"/>
    </xf>
    <xf numFmtId="9" fontId="4" fillId="0" borderId="91" xfId="2" applyFont="1" applyBorder="1" applyAlignment="1">
      <alignment horizontal="center" vertical="center"/>
    </xf>
    <xf numFmtId="43" fontId="4" fillId="0" borderId="91" xfId="1" applyFont="1" applyFill="1" applyBorder="1" applyAlignment="1">
      <alignment vertical="center"/>
    </xf>
    <xf numFmtId="0" fontId="4" fillId="0" borderId="91" xfId="0" applyFont="1" applyFill="1" applyBorder="1" applyAlignment="1">
      <alignment vertical="center"/>
    </xf>
    <xf numFmtId="165" fontId="4" fillId="0" borderId="91" xfId="0" applyNumberFormat="1" applyFont="1" applyFill="1" applyBorder="1" applyAlignment="1">
      <alignment vertical="center"/>
    </xf>
    <xf numFmtId="0" fontId="4" fillId="0" borderId="91" xfId="0" applyFont="1" applyFill="1" applyBorder="1" applyAlignment="1">
      <alignment horizontal="center" vertical="center"/>
    </xf>
    <xf numFmtId="4" fontId="4" fillId="0" borderId="91" xfId="0" applyNumberFormat="1" applyFont="1" applyFill="1" applyBorder="1" applyAlignment="1">
      <alignment vertical="center"/>
    </xf>
    <xf numFmtId="3" fontId="4" fillId="0" borderId="91" xfId="0" applyNumberFormat="1" applyFont="1" applyFill="1" applyBorder="1" applyAlignment="1">
      <alignment vertical="center"/>
    </xf>
    <xf numFmtId="166" fontId="4" fillId="0" borderId="91" xfId="1" applyNumberFormat="1" applyFont="1" applyFill="1" applyBorder="1" applyAlignment="1">
      <alignment vertical="center"/>
    </xf>
    <xf numFmtId="170" fontId="3" fillId="0" borderId="91" xfId="0" applyNumberFormat="1" applyFont="1" applyFill="1" applyBorder="1" applyAlignment="1">
      <alignment horizontal="center" vertical="center"/>
    </xf>
    <xf numFmtId="0" fontId="4" fillId="0" borderId="31" xfId="0" applyFont="1" applyFill="1" applyBorder="1" applyAlignment="1">
      <alignment horizontal="left" vertical="center" wrapText="1"/>
    </xf>
    <xf numFmtId="0" fontId="4" fillId="0" borderId="31" xfId="0" applyFont="1" applyBorder="1" applyAlignment="1">
      <alignment vertical="center"/>
    </xf>
    <xf numFmtId="43" fontId="4" fillId="0" borderId="31" xfId="1" applyFont="1" applyBorder="1" applyAlignment="1">
      <alignment vertical="center"/>
    </xf>
    <xf numFmtId="9" fontId="4" fillId="0" borderId="31" xfId="2" applyFont="1" applyBorder="1" applyAlignment="1">
      <alignment horizontal="center" vertical="center"/>
    </xf>
    <xf numFmtId="43" fontId="4" fillId="0" borderId="31" xfId="1" applyFont="1" applyFill="1" applyBorder="1" applyAlignment="1">
      <alignment vertical="center"/>
    </xf>
    <xf numFmtId="0" fontId="4" fillId="0" borderId="31" xfId="0" applyFont="1" applyFill="1" applyBorder="1" applyAlignment="1">
      <alignment vertical="center"/>
    </xf>
    <xf numFmtId="0" fontId="4" fillId="0" borderId="31" xfId="0" applyFont="1" applyFill="1" applyBorder="1" applyAlignment="1">
      <alignment horizontal="center" vertical="center"/>
    </xf>
    <xf numFmtId="4" fontId="4" fillId="0" borderId="31" xfId="0" applyNumberFormat="1" applyFont="1" applyFill="1" applyBorder="1" applyAlignment="1">
      <alignment vertical="center"/>
    </xf>
    <xf numFmtId="3" fontId="4" fillId="0" borderId="31" xfId="0" applyNumberFormat="1" applyFont="1" applyFill="1" applyBorder="1" applyAlignment="1">
      <alignment vertical="center"/>
    </xf>
    <xf numFmtId="166" fontId="4" fillId="0" borderId="31" xfId="1" applyNumberFormat="1" applyFont="1" applyFill="1" applyBorder="1" applyAlignment="1">
      <alignment vertical="center"/>
    </xf>
    <xf numFmtId="165" fontId="3" fillId="0" borderId="45" xfId="0" applyNumberFormat="1" applyFont="1" applyFill="1" applyBorder="1" applyAlignment="1">
      <alignment vertical="center"/>
    </xf>
    <xf numFmtId="165" fontId="3" fillId="0" borderId="6" xfId="0" applyNumberFormat="1" applyFont="1" applyFill="1" applyBorder="1" applyAlignment="1">
      <alignment vertical="center"/>
    </xf>
    <xf numFmtId="165" fontId="3" fillId="0" borderId="46" xfId="0" applyNumberFormat="1" applyFont="1" applyFill="1" applyBorder="1" applyAlignment="1">
      <alignment vertical="center"/>
    </xf>
    <xf numFmtId="165" fontId="3" fillId="0" borderId="5" xfId="0" applyNumberFormat="1" applyFont="1" applyFill="1" applyBorder="1" applyAlignment="1">
      <alignment vertical="center"/>
    </xf>
    <xf numFmtId="165" fontId="3" fillId="0" borderId="46" xfId="0" applyNumberFormat="1" applyFont="1" applyFill="1" applyBorder="1" applyAlignment="1">
      <alignment horizontal="center" vertical="center"/>
    </xf>
    <xf numFmtId="165" fontId="3" fillId="0" borderId="5" xfId="0" applyNumberFormat="1" applyFont="1" applyFill="1" applyBorder="1" applyAlignment="1">
      <alignment horizontal="right" vertical="center"/>
    </xf>
    <xf numFmtId="165" fontId="3" fillId="0" borderId="46" xfId="0" applyNumberFormat="1" applyFont="1" applyFill="1" applyBorder="1" applyAlignment="1">
      <alignment horizontal="right" vertical="center"/>
    </xf>
    <xf numFmtId="9" fontId="3" fillId="21" borderId="39" xfId="2" applyFont="1" applyFill="1" applyBorder="1" applyAlignment="1">
      <alignment horizontal="center" vertical="center"/>
    </xf>
    <xf numFmtId="4" fontId="3" fillId="21" borderId="39" xfId="1" applyNumberFormat="1" applyFont="1" applyFill="1" applyBorder="1" applyAlignment="1">
      <alignment horizontal="center" vertical="center"/>
    </xf>
    <xf numFmtId="165" fontId="3" fillId="2" borderId="32" xfId="0" applyNumberFormat="1" applyFont="1" applyFill="1" applyBorder="1" applyAlignment="1">
      <alignment vertical="center"/>
    </xf>
    <xf numFmtId="9" fontId="3" fillId="21" borderId="10" xfId="2" applyFont="1" applyFill="1" applyBorder="1" applyAlignment="1">
      <alignment horizontal="center" vertical="center"/>
    </xf>
    <xf numFmtId="165" fontId="3" fillId="21" borderId="41" xfId="0" applyNumberFormat="1" applyFont="1" applyFill="1" applyBorder="1" applyAlignment="1">
      <alignment horizontal="center" vertical="center"/>
    </xf>
    <xf numFmtId="170" fontId="3" fillId="0" borderId="7" xfId="0" applyNumberFormat="1" applyFont="1" applyFill="1" applyBorder="1" applyAlignment="1">
      <alignment horizontal="center" vertical="center"/>
    </xf>
    <xf numFmtId="170" fontId="3" fillId="0" borderId="6" xfId="0" applyNumberFormat="1" applyFont="1" applyFill="1" applyBorder="1" applyAlignment="1">
      <alignment horizontal="center" vertical="center"/>
    </xf>
    <xf numFmtId="165" fontId="3" fillId="0" borderId="45" xfId="0" applyNumberFormat="1" applyFont="1" applyFill="1" applyBorder="1" applyAlignment="1">
      <alignment horizontal="right" vertical="center"/>
    </xf>
    <xf numFmtId="9" fontId="3" fillId="21" borderId="34" xfId="2" applyFont="1" applyFill="1" applyBorder="1" applyAlignment="1">
      <alignment horizontal="center" vertical="center"/>
    </xf>
    <xf numFmtId="9" fontId="3" fillId="21" borderId="44" xfId="2" applyFont="1" applyFill="1" applyBorder="1" applyAlignment="1">
      <alignment horizontal="center" vertical="center"/>
    </xf>
    <xf numFmtId="9" fontId="3" fillId="21" borderId="21" xfId="2" applyFont="1" applyFill="1" applyBorder="1" applyAlignment="1">
      <alignment horizontal="center" vertical="center"/>
    </xf>
    <xf numFmtId="165" fontId="3" fillId="21" borderId="65" xfId="0" applyNumberFormat="1" applyFont="1" applyFill="1" applyBorder="1" applyAlignment="1">
      <alignment horizontal="center" vertical="center"/>
    </xf>
    <xf numFmtId="3" fontId="3" fillId="0" borderId="40" xfId="2" applyNumberFormat="1" applyFont="1" applyFill="1" applyBorder="1" applyAlignment="1">
      <alignment vertical="center"/>
    </xf>
    <xf numFmtId="9" fontId="3" fillId="21" borderId="39" xfId="2" applyNumberFormat="1" applyFont="1" applyFill="1" applyBorder="1" applyAlignment="1">
      <alignment horizontal="center" vertical="center"/>
    </xf>
    <xf numFmtId="37" fontId="3" fillId="5" borderId="15" xfId="0" applyNumberFormat="1" applyFont="1" applyFill="1" applyBorder="1" applyAlignment="1">
      <alignment horizontal="center" vertical="center"/>
    </xf>
    <xf numFmtId="167" fontId="3" fillId="2" borderId="15" xfId="0" applyNumberFormat="1" applyFont="1" applyFill="1" applyBorder="1" applyAlignment="1">
      <alignment horizontal="left" vertical="center" wrapText="1"/>
    </xf>
    <xf numFmtId="37" fontId="3" fillId="2" borderId="15" xfId="0" applyNumberFormat="1" applyFont="1" applyFill="1" applyBorder="1" applyAlignment="1">
      <alignment horizontal="center" vertical="center"/>
    </xf>
    <xf numFmtId="9" fontId="3" fillId="21" borderId="68" xfId="2" applyNumberFormat="1" applyFont="1" applyFill="1" applyBorder="1" applyAlignment="1">
      <alignment horizontal="center" vertical="center"/>
    </xf>
    <xf numFmtId="165" fontId="3" fillId="21" borderId="66" xfId="0" applyNumberFormat="1" applyFont="1" applyFill="1" applyBorder="1" applyAlignment="1">
      <alignment horizontal="center" vertical="center"/>
    </xf>
    <xf numFmtId="170" fontId="3" fillId="0" borderId="34" xfId="0" applyNumberFormat="1" applyFont="1" applyFill="1" applyBorder="1" applyAlignment="1">
      <alignment horizontal="center" vertical="center"/>
    </xf>
    <xf numFmtId="165" fontId="3" fillId="0" borderId="35" xfId="0" applyNumberFormat="1" applyFont="1" applyFill="1" applyBorder="1" applyAlignment="1">
      <alignment horizontal="right" vertical="center"/>
    </xf>
    <xf numFmtId="165" fontId="3" fillId="0" borderId="64" xfId="0" applyNumberFormat="1" applyFont="1" applyFill="1" applyBorder="1" applyAlignment="1">
      <alignment horizontal="right" vertical="center"/>
    </xf>
    <xf numFmtId="170" fontId="4" fillId="0" borderId="39" xfId="0" applyNumberFormat="1" applyFont="1" applyFill="1" applyBorder="1" applyAlignment="1">
      <alignment horizontal="center" vertical="center"/>
    </xf>
    <xf numFmtId="3" fontId="5" fillId="0" borderId="77" xfId="0" applyNumberFormat="1" applyFont="1" applyFill="1" applyBorder="1" applyAlignment="1">
      <alignment vertical="center"/>
    </xf>
    <xf numFmtId="3" fontId="5" fillId="0" borderId="32" xfId="0" applyNumberFormat="1" applyFont="1" applyFill="1" applyBorder="1" applyAlignment="1">
      <alignment vertical="center"/>
    </xf>
    <xf numFmtId="0" fontId="3" fillId="2" borderId="0" xfId="0" applyFont="1" applyFill="1" applyAlignment="1">
      <alignment vertical="center"/>
    </xf>
    <xf numFmtId="43" fontId="3" fillId="21" borderId="39" xfId="1" applyFont="1" applyFill="1" applyBorder="1" applyAlignment="1">
      <alignment horizontal="center" vertical="center"/>
    </xf>
    <xf numFmtId="37" fontId="3" fillId="2" borderId="61" xfId="0" applyNumberFormat="1" applyFont="1" applyFill="1" applyBorder="1" applyAlignment="1">
      <alignment vertical="center"/>
    </xf>
    <xf numFmtId="37" fontId="3" fillId="2" borderId="87" xfId="0" applyNumberFormat="1" applyFont="1" applyFill="1" applyBorder="1" applyAlignment="1">
      <alignment vertical="center"/>
    </xf>
    <xf numFmtId="43" fontId="3" fillId="2" borderId="39" xfId="1" applyFont="1" applyFill="1" applyBorder="1" applyAlignment="1">
      <alignment horizontal="center" vertical="center"/>
    </xf>
    <xf numFmtId="165" fontId="3" fillId="2" borderId="15" xfId="0" applyNumberFormat="1" applyFont="1" applyFill="1" applyBorder="1" applyAlignment="1">
      <alignment horizontal="center" vertical="center"/>
    </xf>
    <xf numFmtId="165" fontId="3" fillId="2" borderId="61" xfId="0" applyNumberFormat="1" applyFont="1" applyFill="1" applyBorder="1" applyAlignment="1">
      <alignment vertical="center"/>
    </xf>
    <xf numFmtId="170" fontId="3" fillId="2" borderId="71" xfId="0" applyNumberFormat="1" applyFont="1" applyFill="1" applyBorder="1" applyAlignment="1">
      <alignment horizontal="center" vertical="center"/>
    </xf>
    <xf numFmtId="165" fontId="3" fillId="2" borderId="40" xfId="0" applyNumberFormat="1" applyFont="1" applyFill="1" applyBorder="1" applyAlignment="1">
      <alignment vertical="center"/>
    </xf>
    <xf numFmtId="170" fontId="3" fillId="2" borderId="77" xfId="0" applyNumberFormat="1" applyFont="1" applyFill="1" applyBorder="1" applyAlignment="1">
      <alignment horizontal="center" vertical="center"/>
    </xf>
    <xf numFmtId="170" fontId="3" fillId="2" borderId="39" xfId="0" applyNumberFormat="1" applyFont="1" applyFill="1" applyBorder="1" applyAlignment="1">
      <alignment horizontal="center" vertical="center"/>
    </xf>
    <xf numFmtId="165" fontId="4" fillId="2" borderId="32" xfId="0" applyNumberFormat="1" applyFont="1" applyFill="1" applyBorder="1" applyAlignment="1">
      <alignment vertical="center"/>
    </xf>
    <xf numFmtId="165" fontId="3" fillId="2" borderId="40" xfId="0" applyNumberFormat="1" applyFont="1" applyFill="1" applyBorder="1" applyAlignment="1">
      <alignment horizontal="right" vertical="center"/>
    </xf>
    <xf numFmtId="165" fontId="3" fillId="2" borderId="61" xfId="0" applyNumberFormat="1" applyFont="1" applyFill="1" applyBorder="1" applyAlignment="1">
      <alignment horizontal="right" vertical="center"/>
    </xf>
    <xf numFmtId="165" fontId="3" fillId="2" borderId="32" xfId="0" applyNumberFormat="1" applyFont="1" applyFill="1" applyBorder="1" applyAlignment="1">
      <alignment horizontal="right" vertical="center"/>
    </xf>
    <xf numFmtId="170" fontId="4" fillId="2" borderId="77" xfId="0" applyNumberFormat="1" applyFont="1" applyFill="1" applyBorder="1" applyAlignment="1">
      <alignment horizontal="center" vertical="center"/>
    </xf>
    <xf numFmtId="170" fontId="4" fillId="2" borderId="39" xfId="0" applyNumberFormat="1" applyFont="1" applyFill="1" applyBorder="1" applyAlignment="1">
      <alignment horizontal="center" vertical="center"/>
    </xf>
    <xf numFmtId="165" fontId="3" fillId="2" borderId="71" xfId="0" applyNumberFormat="1" applyFont="1" applyFill="1" applyBorder="1" applyAlignment="1">
      <alignment horizontal="right" vertical="center"/>
    </xf>
    <xf numFmtId="165" fontId="3" fillId="18" borderId="32" xfId="0" applyNumberFormat="1" applyFont="1" applyFill="1" applyBorder="1" applyAlignment="1">
      <alignment vertical="center"/>
    </xf>
    <xf numFmtId="168" fontId="3" fillId="21" borderId="39" xfId="1" applyNumberFormat="1" applyFont="1" applyFill="1" applyBorder="1" applyAlignment="1">
      <alignment horizontal="center" vertical="center"/>
    </xf>
    <xf numFmtId="3" fontId="5" fillId="21" borderId="15" xfId="0" applyNumberFormat="1" applyFont="1" applyFill="1" applyBorder="1" applyAlignment="1">
      <alignment horizontal="center" vertical="center"/>
    </xf>
    <xf numFmtId="169" fontId="5" fillId="0" borderId="61" xfId="0" applyNumberFormat="1" applyFont="1" applyFill="1" applyBorder="1" applyAlignment="1">
      <alignment vertical="center"/>
    </xf>
    <xf numFmtId="169" fontId="5" fillId="0" borderId="32" xfId="0" applyNumberFormat="1" applyFont="1" applyFill="1" applyBorder="1" applyAlignment="1">
      <alignment vertical="center"/>
    </xf>
    <xf numFmtId="169" fontId="5" fillId="0" borderId="40" xfId="0" applyNumberFormat="1" applyFont="1" applyFill="1" applyBorder="1" applyAlignment="1">
      <alignment vertical="center"/>
    </xf>
    <xf numFmtId="169" fontId="5" fillId="0" borderId="32" xfId="0" applyNumberFormat="1" applyFont="1" applyFill="1" applyBorder="1" applyAlignment="1">
      <alignment horizontal="right" vertical="center"/>
    </xf>
    <xf numFmtId="169" fontId="3" fillId="0" borderId="32" xfId="0" applyNumberFormat="1" applyFont="1" applyFill="1" applyBorder="1" applyAlignment="1">
      <alignment horizontal="right" vertical="center"/>
    </xf>
    <xf numFmtId="4" fontId="3" fillId="21" borderId="44" xfId="1" applyNumberFormat="1" applyFont="1" applyFill="1" applyBorder="1" applyAlignment="1">
      <alignment horizontal="center" vertical="center"/>
    </xf>
    <xf numFmtId="165" fontId="3" fillId="21" borderId="12" xfId="0" applyNumberFormat="1" applyFont="1" applyFill="1" applyBorder="1" applyAlignment="1">
      <alignment horizontal="center" vertical="center"/>
    </xf>
    <xf numFmtId="170" fontId="3" fillId="0" borderId="44" xfId="0" applyNumberFormat="1" applyFont="1" applyFill="1" applyBorder="1" applyAlignment="1">
      <alignment horizontal="center" vertical="center"/>
    </xf>
    <xf numFmtId="165" fontId="3" fillId="0" borderId="57" xfId="0" applyNumberFormat="1" applyFont="1" applyFill="1" applyBorder="1" applyAlignment="1">
      <alignment horizontal="right" vertical="center"/>
    </xf>
    <xf numFmtId="165" fontId="3" fillId="0" borderId="62" xfId="0" applyNumberFormat="1" applyFont="1" applyFill="1" applyBorder="1" applyAlignment="1">
      <alignment horizontal="right" vertical="center"/>
    </xf>
    <xf numFmtId="170" fontId="4" fillId="0" borderId="80" xfId="0" applyNumberFormat="1" applyFont="1" applyFill="1" applyBorder="1" applyAlignment="1">
      <alignment horizontal="center" vertical="center"/>
    </xf>
    <xf numFmtId="170" fontId="4" fillId="0" borderId="44" xfId="0" applyNumberFormat="1" applyFont="1" applyFill="1" applyBorder="1" applyAlignment="1">
      <alignment horizontal="center" vertical="center"/>
    </xf>
    <xf numFmtId="167" fontId="3" fillId="0" borderId="126" xfId="0" applyNumberFormat="1" applyFont="1" applyFill="1" applyBorder="1" applyAlignment="1">
      <alignment horizontal="left" vertical="center" wrapText="1"/>
    </xf>
    <xf numFmtId="37" fontId="3" fillId="0" borderId="126" xfId="0" applyNumberFormat="1" applyFont="1" applyFill="1" applyBorder="1" applyAlignment="1">
      <alignment horizontal="center" vertical="center"/>
    </xf>
    <xf numFmtId="37" fontId="3" fillId="0" borderId="127" xfId="0" applyNumberFormat="1" applyFont="1" applyFill="1" applyBorder="1" applyAlignment="1">
      <alignment vertical="center"/>
    </xf>
    <xf numFmtId="37" fontId="3" fillId="0" borderId="128" xfId="0" applyNumberFormat="1" applyFont="1" applyFill="1" applyBorder="1" applyAlignment="1">
      <alignment vertical="center"/>
    </xf>
    <xf numFmtId="4" fontId="3" fillId="21" borderId="129" xfId="1" applyNumberFormat="1" applyFont="1" applyFill="1" applyBorder="1" applyAlignment="1">
      <alignment horizontal="center" vertical="center"/>
    </xf>
    <xf numFmtId="165" fontId="3" fillId="21" borderId="126" xfId="0" applyNumberFormat="1" applyFont="1" applyFill="1" applyBorder="1" applyAlignment="1">
      <alignment horizontal="center" vertical="center"/>
    </xf>
    <xf numFmtId="165" fontId="3" fillId="0" borderId="127" xfId="0" applyNumberFormat="1" applyFont="1" applyFill="1" applyBorder="1" applyAlignment="1">
      <alignment vertical="center"/>
    </xf>
    <xf numFmtId="165" fontId="3" fillId="0" borderId="89" xfId="0" applyNumberFormat="1" applyFont="1" applyFill="1" applyBorder="1" applyAlignment="1">
      <alignment vertical="center"/>
    </xf>
    <xf numFmtId="165" fontId="3" fillId="0" borderId="130" xfId="0" applyNumberFormat="1" applyFont="1" applyFill="1" applyBorder="1" applyAlignment="1">
      <alignment vertical="center"/>
    </xf>
    <xf numFmtId="165" fontId="3" fillId="0" borderId="131" xfId="0" applyNumberFormat="1" applyFont="1" applyFill="1" applyBorder="1" applyAlignment="1">
      <alignment vertical="center"/>
    </xf>
    <xf numFmtId="165" fontId="3" fillId="0" borderId="90" xfId="0" applyNumberFormat="1" applyFont="1" applyFill="1" applyBorder="1" applyAlignment="1">
      <alignment vertical="center"/>
    </xf>
    <xf numFmtId="170" fontId="3" fillId="0" borderId="130" xfId="0" applyNumberFormat="1" applyFont="1" applyFill="1" applyBorder="1" applyAlignment="1">
      <alignment horizontal="center" vertical="center"/>
    </xf>
    <xf numFmtId="170" fontId="3" fillId="0" borderId="129" xfId="0" applyNumberFormat="1" applyFont="1" applyFill="1" applyBorder="1" applyAlignment="1">
      <alignment horizontal="center" vertical="center"/>
    </xf>
    <xf numFmtId="165" fontId="3" fillId="0" borderId="90" xfId="0" applyNumberFormat="1" applyFont="1" applyFill="1" applyBorder="1" applyAlignment="1">
      <alignment horizontal="right" vertical="center"/>
    </xf>
    <xf numFmtId="165" fontId="3" fillId="0" borderId="89" xfId="0" applyNumberFormat="1" applyFont="1" applyFill="1" applyBorder="1" applyAlignment="1">
      <alignment horizontal="right" vertical="center"/>
    </xf>
    <xf numFmtId="165" fontId="4" fillId="0" borderId="89" xfId="0" applyNumberFormat="1" applyFont="1" applyFill="1" applyBorder="1" applyAlignment="1">
      <alignment vertical="center"/>
    </xf>
    <xf numFmtId="165" fontId="3" fillId="0" borderId="127" xfId="0" applyNumberFormat="1" applyFont="1" applyFill="1" applyBorder="1" applyAlignment="1">
      <alignment horizontal="right" vertical="center"/>
    </xf>
    <xf numFmtId="170" fontId="4" fillId="0" borderId="130" xfId="0" applyNumberFormat="1" applyFont="1" applyFill="1" applyBorder="1" applyAlignment="1">
      <alignment horizontal="center" vertical="center"/>
    </xf>
    <xf numFmtId="170" fontId="4" fillId="0" borderId="129" xfId="0" applyNumberFormat="1" applyFont="1" applyFill="1" applyBorder="1" applyAlignment="1">
      <alignment horizontal="center" vertical="center"/>
    </xf>
    <xf numFmtId="165" fontId="3" fillId="0" borderId="131" xfId="0" applyNumberFormat="1" applyFont="1" applyFill="1" applyBorder="1" applyAlignment="1">
      <alignment horizontal="right" vertical="center"/>
    </xf>
    <xf numFmtId="43" fontId="4" fillId="0" borderId="0" xfId="1" applyFont="1" applyBorder="1"/>
    <xf numFmtId="166" fontId="4" fillId="0" borderId="0" xfId="0" applyNumberFormat="1" applyFont="1" applyFill="1" applyAlignment="1">
      <alignment vertical="center"/>
    </xf>
    <xf numFmtId="166" fontId="4" fillId="0" borderId="0" xfId="1" applyNumberFormat="1" applyFont="1" applyFill="1" applyAlignment="1">
      <alignment vertical="center"/>
    </xf>
    <xf numFmtId="166" fontId="4" fillId="0" borderId="101" xfId="0" applyNumberFormat="1" applyFont="1" applyFill="1" applyBorder="1" applyAlignment="1">
      <alignment vertical="center"/>
    </xf>
    <xf numFmtId="166" fontId="3" fillId="0" borderId="22" xfId="0" applyNumberFormat="1" applyFont="1" applyFill="1" applyBorder="1" applyAlignment="1">
      <alignment vertical="center"/>
    </xf>
    <xf numFmtId="166" fontId="3" fillId="0" borderId="57" xfId="0" applyNumberFormat="1" applyFont="1" applyFill="1" applyBorder="1" applyAlignment="1">
      <alignment vertical="center"/>
    </xf>
    <xf numFmtId="166" fontId="3" fillId="0" borderId="32" xfId="0" applyNumberFormat="1" applyFont="1" applyFill="1" applyBorder="1" applyAlignment="1">
      <alignment vertical="center"/>
    </xf>
    <xf numFmtId="166" fontId="3" fillId="0" borderId="23" xfId="0" applyNumberFormat="1" applyFont="1" applyFill="1" applyBorder="1" applyAlignment="1">
      <alignment vertical="center"/>
    </xf>
    <xf numFmtId="3" fontId="3" fillId="0" borderId="23" xfId="0" applyNumberFormat="1" applyFont="1" applyFill="1" applyBorder="1" applyAlignment="1">
      <alignment vertical="center"/>
    </xf>
    <xf numFmtId="166" fontId="3" fillId="0" borderId="116" xfId="0" applyNumberFormat="1" applyFont="1" applyFill="1" applyBorder="1" applyAlignment="1">
      <alignment vertical="center"/>
    </xf>
    <xf numFmtId="166" fontId="3" fillId="0" borderId="101" xfId="0" applyNumberFormat="1" applyFont="1" applyFill="1" applyBorder="1" applyAlignment="1">
      <alignment vertical="center"/>
    </xf>
    <xf numFmtId="166" fontId="4" fillId="0" borderId="106" xfId="0" applyNumberFormat="1" applyFont="1" applyFill="1" applyBorder="1" applyAlignment="1">
      <alignment vertical="center"/>
    </xf>
    <xf numFmtId="3" fontId="3" fillId="0" borderId="36" xfId="0" applyNumberFormat="1" applyFont="1" applyFill="1" applyBorder="1" applyAlignment="1">
      <alignment vertical="center"/>
    </xf>
    <xf numFmtId="3" fontId="3" fillId="0" borderId="32" xfId="0" applyNumberFormat="1" applyFont="1" applyFill="1" applyBorder="1" applyAlignment="1">
      <alignment vertical="center"/>
    </xf>
    <xf numFmtId="169" fontId="3" fillId="0" borderId="32" xfId="0" applyNumberFormat="1" applyFont="1" applyFill="1" applyBorder="1" applyAlignment="1"/>
    <xf numFmtId="37" fontId="3" fillId="7" borderId="2" xfId="0" applyNumberFormat="1" applyFont="1" applyFill="1" applyBorder="1" applyAlignment="1">
      <alignment horizontal="center" vertical="center"/>
    </xf>
    <xf numFmtId="37" fontId="3" fillId="7" borderId="1" xfId="0" applyNumberFormat="1" applyFont="1" applyFill="1" applyBorder="1" applyAlignment="1">
      <alignment horizontal="left" vertical="center"/>
    </xf>
    <xf numFmtId="37" fontId="3" fillId="7" borderId="2" xfId="0" applyNumberFormat="1" applyFont="1" applyFill="1" applyBorder="1" applyAlignment="1">
      <alignment horizontal="left" vertical="center"/>
    </xf>
    <xf numFmtId="165" fontId="3" fillId="18" borderId="32" xfId="0" applyNumberFormat="1" applyFont="1" applyFill="1" applyBorder="1" applyAlignment="1">
      <alignment horizontal="right" vertical="center"/>
    </xf>
    <xf numFmtId="165" fontId="3" fillId="18" borderId="23" xfId="0" applyNumberFormat="1" applyFont="1" applyFill="1" applyBorder="1" applyAlignment="1">
      <alignment vertical="center"/>
    </xf>
    <xf numFmtId="0" fontId="4" fillId="0" borderId="2" xfId="0" applyFont="1" applyBorder="1" applyAlignment="1">
      <alignment vertical="center"/>
    </xf>
    <xf numFmtId="0" fontId="4" fillId="0" borderId="0" xfId="0" applyNumberFormat="1" applyFont="1" applyFill="1" applyAlignment="1">
      <alignment horizontal="center" vertical="center"/>
    </xf>
    <xf numFmtId="166" fontId="5" fillId="0" borderId="0" xfId="0" applyNumberFormat="1" applyFont="1" applyFill="1" applyAlignment="1">
      <alignment vertical="center"/>
    </xf>
    <xf numFmtId="0" fontId="4" fillId="2" borderId="0" xfId="0" applyNumberFormat="1" applyFont="1" applyFill="1" applyAlignment="1">
      <alignment vertical="center"/>
    </xf>
    <xf numFmtId="0" fontId="4" fillId="0" borderId="0" xfId="0" applyNumberFormat="1" applyFont="1" applyAlignment="1">
      <alignment vertical="center"/>
    </xf>
    <xf numFmtId="166" fontId="3" fillId="0" borderId="0" xfId="1" applyNumberFormat="1" applyFont="1" applyFill="1" applyAlignment="1">
      <alignment vertical="center"/>
    </xf>
    <xf numFmtId="166" fontId="3" fillId="0" borderId="116" xfId="1" applyNumberFormat="1" applyFont="1" applyFill="1" applyBorder="1" applyAlignment="1">
      <alignment horizontal="right" vertical="center"/>
    </xf>
    <xf numFmtId="166" fontId="3" fillId="0" borderId="101" xfId="1" applyNumberFormat="1" applyFont="1" applyFill="1" applyBorder="1" applyAlignment="1">
      <alignment horizontal="right" vertical="center"/>
    </xf>
    <xf numFmtId="166" fontId="4" fillId="0" borderId="101" xfId="1" applyNumberFormat="1" applyFont="1" applyFill="1" applyBorder="1" applyAlignment="1">
      <alignment horizontal="right" vertical="center"/>
    </xf>
    <xf numFmtId="166" fontId="4" fillId="0" borderId="106" xfId="1" applyNumberFormat="1" applyFont="1" applyFill="1" applyBorder="1" applyAlignment="1">
      <alignment horizontal="right" vertical="center"/>
    </xf>
    <xf numFmtId="165" fontId="3" fillId="0" borderId="18" xfId="0" applyNumberFormat="1" applyFont="1" applyFill="1" applyBorder="1" applyAlignment="1">
      <alignment horizontal="center"/>
    </xf>
    <xf numFmtId="37" fontId="3" fillId="0" borderId="37" xfId="0" applyNumberFormat="1" applyFont="1" applyFill="1" applyBorder="1" applyAlignment="1">
      <alignment horizontal="right" vertical="center"/>
    </xf>
    <xf numFmtId="166" fontId="4" fillId="0" borderId="28" xfId="1" applyNumberFormat="1" applyFont="1" applyFill="1" applyBorder="1"/>
    <xf numFmtId="166" fontId="4" fillId="0" borderId="121" xfId="1" applyNumberFormat="1" applyFont="1" applyFill="1" applyBorder="1"/>
    <xf numFmtId="166" fontId="4" fillId="0" borderId="23" xfId="1" applyNumberFormat="1" applyFont="1" applyFill="1" applyBorder="1"/>
    <xf numFmtId="166" fontId="4" fillId="0" borderId="60" xfId="1" applyNumberFormat="1" applyFont="1" applyFill="1" applyBorder="1"/>
    <xf numFmtId="166" fontId="4" fillId="0" borderId="67" xfId="1" applyNumberFormat="1" applyFont="1" applyFill="1" applyBorder="1"/>
    <xf numFmtId="3" fontId="4" fillId="0" borderId="101" xfId="0" applyNumberFormat="1" applyFont="1" applyFill="1" applyBorder="1"/>
    <xf numFmtId="3" fontId="4" fillId="0" borderId="103" xfId="0" applyNumberFormat="1" applyFont="1" applyFill="1" applyBorder="1"/>
    <xf numFmtId="166" fontId="4" fillId="0" borderId="64" xfId="1" applyNumberFormat="1" applyFont="1" applyFill="1" applyBorder="1"/>
    <xf numFmtId="166" fontId="4" fillId="0" borderId="35" xfId="1" applyNumberFormat="1" applyFont="1" applyFill="1" applyBorder="1"/>
    <xf numFmtId="166" fontId="4" fillId="0" borderId="18" xfId="1" applyNumberFormat="1" applyFont="1" applyFill="1" applyBorder="1"/>
    <xf numFmtId="166" fontId="4" fillId="0" borderId="111" xfId="1" applyNumberFormat="1" applyFont="1" applyFill="1" applyBorder="1"/>
    <xf numFmtId="166" fontId="4" fillId="0" borderId="86" xfId="1" applyNumberFormat="1" applyFont="1" applyFill="1" applyBorder="1"/>
    <xf numFmtId="166" fontId="4" fillId="0" borderId="40" xfId="1" applyNumberFormat="1" applyFont="1" applyFill="1" applyBorder="1"/>
    <xf numFmtId="166" fontId="4" fillId="0" borderId="59" xfId="1" applyNumberFormat="1" applyFont="1" applyFill="1" applyBorder="1"/>
    <xf numFmtId="166" fontId="3" fillId="0" borderId="61" xfId="1" applyNumberFormat="1" applyFont="1" applyFill="1" applyBorder="1" applyAlignment="1">
      <alignment vertical="center"/>
    </xf>
    <xf numFmtId="3" fontId="4" fillId="0" borderId="60" xfId="0" applyNumberFormat="1" applyFont="1" applyFill="1" applyBorder="1"/>
    <xf numFmtId="165" fontId="3" fillId="8" borderId="5" xfId="0" applyNumberFormat="1" applyFont="1" applyFill="1" applyBorder="1" applyAlignment="1">
      <alignment horizontal="right" vertical="center"/>
    </xf>
    <xf numFmtId="0" fontId="6" fillId="22" borderId="31" xfId="0" applyNumberFormat="1" applyFont="1" applyFill="1" applyBorder="1" applyAlignment="1">
      <alignment horizontal="right" vertical="center" wrapText="1" readingOrder="1"/>
    </xf>
    <xf numFmtId="1" fontId="6" fillId="22" borderId="132" xfId="0" applyNumberFormat="1" applyFont="1" applyFill="1" applyBorder="1" applyAlignment="1">
      <alignment horizontal="right" vertical="center" wrapText="1" readingOrder="1"/>
    </xf>
    <xf numFmtId="1" fontId="6" fillId="22" borderId="132" xfId="0" applyNumberFormat="1" applyFont="1" applyFill="1" applyBorder="1" applyAlignment="1">
      <alignment readingOrder="1"/>
    </xf>
    <xf numFmtId="1" fontId="6" fillId="22" borderId="132" xfId="0" applyNumberFormat="1" applyFont="1" applyFill="1" applyBorder="1" applyAlignment="1">
      <alignment horizontal="right" readingOrder="1"/>
    </xf>
    <xf numFmtId="1" fontId="5" fillId="22" borderId="132" xfId="0" applyNumberFormat="1" applyFont="1" applyFill="1" applyBorder="1" applyAlignment="1">
      <alignment horizontal="right" vertical="center" wrapText="1" readingOrder="1"/>
    </xf>
    <xf numFmtId="0" fontId="3" fillId="0" borderId="60" xfId="1" applyNumberFormat="1" applyFont="1" applyFill="1" applyBorder="1" applyAlignment="1">
      <alignment vertical="center"/>
    </xf>
    <xf numFmtId="166" fontId="4" fillId="0" borderId="40" xfId="1" applyNumberFormat="1" applyFont="1" applyFill="1" applyBorder="1" applyAlignment="1">
      <alignment vertical="center"/>
    </xf>
    <xf numFmtId="170" fontId="3" fillId="0" borderId="4" xfId="0" applyNumberFormat="1" applyFont="1" applyFill="1" applyBorder="1" applyAlignment="1">
      <alignment horizontal="center" vertical="center"/>
    </xf>
    <xf numFmtId="165" fontId="3" fillId="0" borderId="56" xfId="0" applyNumberFormat="1" applyFont="1" applyFill="1" applyBorder="1" applyAlignment="1">
      <alignment horizontal="center" vertical="center"/>
    </xf>
    <xf numFmtId="165" fontId="3" fillId="0" borderId="40" xfId="0" applyNumberFormat="1" applyFont="1" applyFill="1" applyBorder="1" applyAlignment="1">
      <alignment horizontal="center" vertical="center"/>
    </xf>
    <xf numFmtId="165" fontId="3" fillId="0" borderId="26" xfId="0" applyNumberFormat="1" applyFont="1" applyFill="1" applyBorder="1" applyAlignment="1">
      <alignment horizontal="center" vertical="center"/>
    </xf>
    <xf numFmtId="0" fontId="18" fillId="22" borderId="132" xfId="0" applyNumberFormat="1" applyFont="1" applyFill="1" applyBorder="1" applyAlignment="1" applyProtection="1">
      <alignment horizontal="right" vertical="center" wrapText="1" readingOrder="1"/>
    </xf>
    <xf numFmtId="166" fontId="4" fillId="0" borderId="109" xfId="1" applyNumberFormat="1" applyFont="1" applyFill="1" applyBorder="1" applyAlignment="1">
      <alignment vertical="center"/>
    </xf>
    <xf numFmtId="165" fontId="3" fillId="0" borderId="64" xfId="1" applyNumberFormat="1" applyFont="1" applyFill="1" applyBorder="1" applyAlignment="1">
      <alignment vertical="center"/>
    </xf>
    <xf numFmtId="165" fontId="3" fillId="0" borderId="113" xfId="0" applyNumberFormat="1" applyFont="1" applyFill="1" applyBorder="1" applyAlignment="1">
      <alignment horizontal="center" vertical="center"/>
    </xf>
    <xf numFmtId="165" fontId="3" fillId="0" borderId="113" xfId="0" applyNumberFormat="1" applyFont="1" applyFill="1" applyBorder="1" applyAlignment="1">
      <alignment horizontal="right" vertical="center"/>
    </xf>
    <xf numFmtId="170" fontId="4" fillId="0" borderId="77" xfId="0" applyNumberFormat="1" applyFont="1" applyFill="1" applyBorder="1" applyAlignment="1">
      <alignment horizontal="right"/>
    </xf>
    <xf numFmtId="166" fontId="3" fillId="0" borderId="133" xfId="1" applyNumberFormat="1" applyFont="1" applyFill="1" applyBorder="1" applyAlignment="1">
      <alignment horizontal="center" vertical="center"/>
    </xf>
    <xf numFmtId="166" fontId="3" fillId="19" borderId="45" xfId="1" applyNumberFormat="1" applyFont="1" applyFill="1" applyBorder="1" applyAlignment="1">
      <alignment vertical="center"/>
    </xf>
    <xf numFmtId="165" fontId="3" fillId="18" borderId="18" xfId="0" applyNumberFormat="1" applyFont="1" applyFill="1" applyBorder="1" applyAlignment="1">
      <alignment vertical="center"/>
    </xf>
    <xf numFmtId="165" fontId="3" fillId="18" borderId="60" xfId="0" applyNumberFormat="1" applyFont="1" applyFill="1" applyBorder="1" applyAlignment="1">
      <alignment vertical="center"/>
    </xf>
    <xf numFmtId="166" fontId="3" fillId="0" borderId="15" xfId="1" applyNumberFormat="1" applyFont="1" applyFill="1" applyBorder="1" applyAlignment="1">
      <alignment vertical="center"/>
    </xf>
    <xf numFmtId="165" fontId="3" fillId="0" borderId="57" xfId="0" applyNumberFormat="1" applyFont="1" applyFill="1" applyBorder="1" applyAlignment="1">
      <alignment horizontal="center"/>
    </xf>
    <xf numFmtId="165" fontId="3" fillId="0" borderId="64" xfId="0" applyNumberFormat="1" applyFont="1" applyBorder="1" applyAlignment="1">
      <alignment vertical="center"/>
    </xf>
    <xf numFmtId="165" fontId="3" fillId="0" borderId="67" xfId="0" applyNumberFormat="1" applyFont="1" applyBorder="1" applyAlignment="1">
      <alignment vertical="center"/>
    </xf>
    <xf numFmtId="165" fontId="3" fillId="0" borderId="94" xfId="0" quotePrefix="1" applyNumberFormat="1" applyFont="1" applyBorder="1" applyAlignment="1">
      <alignment vertical="center"/>
    </xf>
    <xf numFmtId="165" fontId="3" fillId="0" borderId="88" xfId="0" quotePrefix="1" applyNumberFormat="1" applyFont="1" applyBorder="1" applyAlignment="1">
      <alignment vertical="center"/>
    </xf>
    <xf numFmtId="165" fontId="3" fillId="0" borderId="15" xfId="0" applyNumberFormat="1" applyFont="1" applyBorder="1" applyAlignment="1">
      <alignment vertical="center"/>
    </xf>
    <xf numFmtId="165" fontId="3" fillId="0" borderId="25" xfId="0" applyNumberFormat="1" applyFont="1" applyBorder="1" applyAlignment="1">
      <alignment vertical="center"/>
    </xf>
    <xf numFmtId="165" fontId="3" fillId="0" borderId="61" xfId="0" applyNumberFormat="1" applyFont="1" applyBorder="1" applyAlignment="1">
      <alignment vertical="center"/>
    </xf>
    <xf numFmtId="165" fontId="3" fillId="0" borderId="65" xfId="0" applyNumberFormat="1" applyFont="1" applyBorder="1" applyAlignment="1">
      <alignment vertical="center"/>
    </xf>
    <xf numFmtId="165" fontId="3" fillId="0" borderId="66" xfId="0" applyNumberFormat="1" applyFont="1" applyBorder="1"/>
    <xf numFmtId="166" fontId="4" fillId="0" borderId="62" xfId="1" applyNumberFormat="1" applyFont="1" applyFill="1" applyBorder="1"/>
    <xf numFmtId="165" fontId="3" fillId="0" borderId="12" xfId="0" applyNumberFormat="1" applyFont="1" applyBorder="1" applyAlignment="1">
      <alignment vertical="center"/>
    </xf>
    <xf numFmtId="170" fontId="3" fillId="0" borderId="70" xfId="0" applyNumberFormat="1" applyFont="1" applyFill="1" applyBorder="1" applyAlignment="1">
      <alignment horizontal="center" vertical="center"/>
    </xf>
    <xf numFmtId="170" fontId="3" fillId="0" borderId="28" xfId="0" applyNumberFormat="1" applyFont="1" applyFill="1" applyBorder="1" applyAlignment="1">
      <alignment horizontal="center" vertical="center"/>
    </xf>
    <xf numFmtId="165" fontId="3" fillId="0" borderId="36" xfId="0" applyNumberFormat="1" applyFont="1" applyBorder="1" applyAlignment="1">
      <alignment vertical="center"/>
    </xf>
    <xf numFmtId="165" fontId="3" fillId="0" borderId="23" xfId="0" applyNumberFormat="1" applyFont="1" applyBorder="1" applyAlignment="1">
      <alignment vertical="center"/>
    </xf>
    <xf numFmtId="165" fontId="3" fillId="0" borderId="56" xfId="0" applyNumberFormat="1" applyFont="1" applyBorder="1" applyAlignment="1">
      <alignment vertical="center"/>
    </xf>
    <xf numFmtId="165" fontId="4" fillId="0" borderId="36" xfId="0" applyNumberFormat="1" applyFont="1" applyBorder="1" applyAlignment="1">
      <alignment vertical="center"/>
    </xf>
    <xf numFmtId="165" fontId="4" fillId="0" borderId="32" xfId="0" applyNumberFormat="1" applyFont="1" applyBorder="1" applyAlignment="1">
      <alignment vertical="center"/>
    </xf>
    <xf numFmtId="165" fontId="3" fillId="0" borderId="77" xfId="0" applyNumberFormat="1" applyFont="1" applyFill="1" applyBorder="1" applyAlignment="1"/>
    <xf numFmtId="165" fontId="3" fillId="0" borderId="94" xfId="0" quotePrefix="1" applyNumberFormat="1" applyFont="1" applyFill="1" applyBorder="1" applyAlignment="1">
      <alignment vertical="center"/>
    </xf>
    <xf numFmtId="165" fontId="3" fillId="0" borderId="88" xfId="0" quotePrefix="1" applyNumberFormat="1" applyFont="1" applyFill="1" applyBorder="1" applyAlignment="1">
      <alignment vertical="center"/>
    </xf>
    <xf numFmtId="165" fontId="4" fillId="0" borderId="15" xfId="0" applyNumberFormat="1" applyFont="1" applyFill="1" applyBorder="1" applyAlignment="1">
      <alignment vertical="center"/>
    </xf>
    <xf numFmtId="165" fontId="4" fillId="0" borderId="20" xfId="0" applyNumberFormat="1" applyFont="1" applyFill="1" applyBorder="1" applyAlignment="1">
      <alignment vertical="center"/>
    </xf>
    <xf numFmtId="165" fontId="17" fillId="0" borderId="66" xfId="0" applyNumberFormat="1" applyFont="1" applyFill="1" applyBorder="1" applyAlignment="1">
      <alignment vertical="center"/>
    </xf>
    <xf numFmtId="165" fontId="3" fillId="0" borderId="20" xfId="0" applyNumberFormat="1" applyFont="1" applyFill="1" applyBorder="1" applyAlignment="1">
      <alignment vertical="center"/>
    </xf>
    <xf numFmtId="165" fontId="3" fillId="0" borderId="15" xfId="0" applyNumberFormat="1" applyFont="1" applyFill="1" applyBorder="1" applyAlignment="1">
      <alignment vertical="center"/>
    </xf>
    <xf numFmtId="165" fontId="3" fillId="0" borderId="25" xfId="0" applyNumberFormat="1" applyFont="1" applyFill="1" applyBorder="1" applyAlignment="1">
      <alignment vertical="center"/>
    </xf>
    <xf numFmtId="165" fontId="3" fillId="0" borderId="65" xfId="0" applyNumberFormat="1" applyFont="1" applyFill="1" applyBorder="1" applyAlignment="1">
      <alignment vertical="center"/>
    </xf>
    <xf numFmtId="165" fontId="3" fillId="0" borderId="12" xfId="0" applyNumberFormat="1" applyFont="1" applyFill="1" applyBorder="1" applyAlignment="1">
      <alignment vertical="center"/>
    </xf>
    <xf numFmtId="165" fontId="3" fillId="0" borderId="66" xfId="0" applyNumberFormat="1" applyFont="1" applyFill="1" applyBorder="1"/>
    <xf numFmtId="4" fontId="4" fillId="0" borderId="101" xfId="0" applyNumberFormat="1" applyFont="1" applyFill="1" applyBorder="1" applyAlignment="1"/>
    <xf numFmtId="166" fontId="5" fillId="0" borderId="101" xfId="0" applyNumberFormat="1" applyFont="1" applyFill="1" applyBorder="1" applyAlignment="1">
      <alignment vertical="center"/>
    </xf>
    <xf numFmtId="37" fontId="3" fillId="0" borderId="71" xfId="0" applyNumberFormat="1" applyFont="1" applyFill="1" applyBorder="1" applyAlignment="1">
      <alignment vertical="center"/>
    </xf>
    <xf numFmtId="0" fontId="4" fillId="0" borderId="13" xfId="0" applyFont="1" applyBorder="1" applyAlignment="1">
      <alignment vertical="center"/>
    </xf>
    <xf numFmtId="165" fontId="3" fillId="0" borderId="83" xfId="0" applyNumberFormat="1" applyFont="1" applyFill="1" applyBorder="1" applyAlignment="1">
      <alignment horizontal="center" vertical="center"/>
    </xf>
    <xf numFmtId="167" fontId="3" fillId="0" borderId="45" xfId="0" applyNumberFormat="1" applyFont="1" applyFill="1" applyBorder="1" applyAlignment="1">
      <alignment horizontal="left" vertical="center" wrapText="1"/>
    </xf>
    <xf numFmtId="37" fontId="3" fillId="0" borderId="45" xfId="0" applyNumberFormat="1" applyFont="1" applyFill="1" applyBorder="1" applyAlignment="1">
      <alignment vertical="center"/>
    </xf>
    <xf numFmtId="165" fontId="3" fillId="0" borderId="6" xfId="0" applyNumberFormat="1" applyFont="1" applyFill="1" applyBorder="1" applyAlignment="1"/>
    <xf numFmtId="165" fontId="3" fillId="0" borderId="46" xfId="0" applyNumberFormat="1" applyFont="1" applyFill="1" applyBorder="1" applyAlignment="1"/>
    <xf numFmtId="170" fontId="3" fillId="0" borderId="14" xfId="0" applyNumberFormat="1" applyFont="1" applyFill="1" applyBorder="1" applyAlignment="1">
      <alignment horizontal="center"/>
    </xf>
    <xf numFmtId="170" fontId="3" fillId="0" borderId="7" xfId="0" applyNumberFormat="1" applyFont="1" applyFill="1" applyBorder="1" applyAlignment="1">
      <alignment horizontal="center"/>
    </xf>
    <xf numFmtId="165" fontId="3" fillId="0" borderId="45" xfId="0" applyNumberFormat="1" applyFont="1" applyFill="1" applyBorder="1" applyAlignment="1"/>
    <xf numFmtId="170" fontId="3" fillId="0" borderId="46" xfId="0" applyNumberFormat="1" applyFont="1" applyFill="1" applyBorder="1" applyAlignment="1">
      <alignment horizontal="center"/>
    </xf>
    <xf numFmtId="165" fontId="3" fillId="0" borderId="6" xfId="0" applyNumberFormat="1" applyFont="1" applyBorder="1"/>
    <xf numFmtId="165" fontId="3" fillId="0" borderId="6" xfId="0" applyNumberFormat="1" applyFont="1" applyFill="1" applyBorder="1" applyAlignment="1">
      <alignment horizontal="right"/>
    </xf>
    <xf numFmtId="165" fontId="4" fillId="0" borderId="6" xfId="0" applyNumberFormat="1" applyFont="1" applyFill="1" applyBorder="1" applyAlignment="1"/>
    <xf numFmtId="170" fontId="4" fillId="0" borderId="46" xfId="0" applyNumberFormat="1" applyFont="1" applyFill="1" applyBorder="1" applyAlignment="1">
      <alignment horizontal="center"/>
    </xf>
    <xf numFmtId="170" fontId="4" fillId="0" borderId="7" xfId="0" applyNumberFormat="1" applyFont="1" applyFill="1" applyBorder="1" applyAlignment="1">
      <alignment horizontal="center"/>
    </xf>
    <xf numFmtId="167" fontId="3" fillId="0" borderId="28" xfId="0" applyNumberFormat="1" applyFont="1" applyFill="1" applyBorder="1" applyAlignment="1">
      <alignment horizontal="left" vertical="center" wrapText="1"/>
    </xf>
    <xf numFmtId="170" fontId="4" fillId="0" borderId="44" xfId="0" applyNumberFormat="1" applyFont="1" applyFill="1" applyBorder="1" applyAlignment="1">
      <alignment horizontal="center"/>
    </xf>
    <xf numFmtId="170" fontId="4" fillId="0" borderId="0" xfId="0" applyNumberFormat="1" applyFont="1" applyFill="1" applyBorder="1" applyAlignment="1">
      <alignment horizontal="right"/>
    </xf>
    <xf numFmtId="0" fontId="3" fillId="0" borderId="0" xfId="0" applyNumberFormat="1" applyFont="1" applyFill="1" applyBorder="1" applyAlignment="1">
      <alignment horizontal="left" vertical="center" wrapText="1"/>
    </xf>
    <xf numFmtId="37" fontId="3" fillId="0" borderId="57" xfId="0" applyNumberFormat="1" applyFont="1" applyFill="1" applyBorder="1" applyAlignment="1">
      <alignment vertical="center"/>
    </xf>
    <xf numFmtId="165" fontId="3" fillId="0" borderId="44" xfId="0" applyNumberFormat="1" applyFont="1" applyFill="1" applyBorder="1" applyAlignment="1">
      <alignment vertical="center"/>
    </xf>
    <xf numFmtId="165" fontId="3" fillId="0" borderId="44" xfId="0" applyNumberFormat="1" applyFont="1" applyFill="1" applyBorder="1" applyAlignment="1">
      <alignment horizontal="center" vertical="center"/>
    </xf>
    <xf numFmtId="165" fontId="3" fillId="0" borderId="28" xfId="0" applyNumberFormat="1" applyFont="1" applyFill="1" applyBorder="1" applyAlignment="1">
      <alignment horizontal="center" vertical="center"/>
    </xf>
    <xf numFmtId="165" fontId="3" fillId="7" borderId="19" xfId="0" applyNumberFormat="1" applyFont="1" applyFill="1" applyBorder="1" applyAlignment="1">
      <alignment horizontal="right" vertical="center" wrapText="1"/>
    </xf>
    <xf numFmtId="0" fontId="4" fillId="0" borderId="1" xfId="0" applyFont="1" applyFill="1" applyBorder="1" applyAlignment="1">
      <alignment horizontal="center" vertical="center" wrapText="1"/>
    </xf>
    <xf numFmtId="165" fontId="4" fillId="0" borderId="6" xfId="0" applyNumberFormat="1" applyFont="1" applyBorder="1" applyAlignment="1"/>
    <xf numFmtId="165" fontId="4" fillId="0" borderId="6" xfId="0" applyNumberFormat="1" applyFont="1" applyFill="1" applyBorder="1" applyAlignment="1">
      <alignment vertical="center"/>
    </xf>
    <xf numFmtId="165" fontId="4" fillId="0" borderId="6" xfId="0" applyNumberFormat="1" applyFont="1" applyBorder="1" applyAlignment="1">
      <alignment vertical="center"/>
    </xf>
    <xf numFmtId="0" fontId="4" fillId="0" borderId="6" xfId="0" applyFont="1" applyBorder="1" applyAlignment="1">
      <alignment vertical="center"/>
    </xf>
    <xf numFmtId="165" fontId="3" fillId="0" borderId="6" xfId="0" quotePrefix="1" applyNumberFormat="1" applyFont="1" applyBorder="1" applyAlignment="1">
      <alignment vertical="center"/>
    </xf>
    <xf numFmtId="165" fontId="3" fillId="0" borderId="6" xfId="0" quotePrefix="1" applyNumberFormat="1" applyFont="1" applyFill="1" applyBorder="1" applyAlignment="1">
      <alignment vertical="center"/>
    </xf>
    <xf numFmtId="166" fontId="4" fillId="0" borderId="6" xfId="0" applyNumberFormat="1" applyFont="1" applyBorder="1" applyAlignment="1">
      <alignment vertical="center"/>
    </xf>
    <xf numFmtId="165" fontId="3" fillId="7" borderId="8" xfId="0" applyNumberFormat="1" applyFont="1" applyFill="1" applyBorder="1" applyAlignment="1">
      <alignment horizontal="right" vertical="center" wrapText="1"/>
    </xf>
    <xf numFmtId="165" fontId="3" fillId="0" borderId="54" xfId="0" applyNumberFormat="1" applyFont="1" applyFill="1" applyBorder="1" applyAlignment="1">
      <alignment vertical="center"/>
    </xf>
    <xf numFmtId="165" fontId="3" fillId="7" borderId="18" xfId="0" applyNumberFormat="1" applyFont="1" applyFill="1" applyBorder="1" applyAlignment="1">
      <alignment horizontal="right" vertical="center" wrapText="1"/>
    </xf>
    <xf numFmtId="165" fontId="3" fillId="0" borderId="29" xfId="0" quotePrefix="1" applyNumberFormat="1" applyFont="1" applyFill="1" applyBorder="1" applyAlignment="1">
      <alignment vertical="center"/>
    </xf>
    <xf numFmtId="165" fontId="3" fillId="7" borderId="3" xfId="0" applyNumberFormat="1" applyFont="1" applyFill="1" applyBorder="1" applyAlignment="1">
      <alignment horizontal="right" vertical="center" wrapText="1"/>
    </xf>
    <xf numFmtId="165" fontId="3" fillId="0" borderId="10" xfId="0" applyNumberFormat="1" applyFont="1" applyFill="1" applyBorder="1" applyAlignment="1"/>
    <xf numFmtId="165" fontId="3" fillId="0" borderId="8" xfId="0" applyNumberFormat="1" applyFont="1" applyFill="1" applyBorder="1" applyAlignment="1"/>
    <xf numFmtId="170" fontId="3" fillId="0" borderId="0" xfId="0" applyNumberFormat="1" applyFont="1" applyFill="1" applyBorder="1" applyAlignment="1">
      <alignment horizontal="center"/>
    </xf>
    <xf numFmtId="165" fontId="3" fillId="0" borderId="1" xfId="0" quotePrefix="1" applyNumberFormat="1" applyFont="1" applyFill="1" applyBorder="1" applyAlignment="1">
      <alignment vertical="center"/>
    </xf>
    <xf numFmtId="165" fontId="3" fillId="0" borderId="46" xfId="0" applyNumberFormat="1" applyFont="1" applyFill="1" applyBorder="1" applyAlignment="1">
      <alignment horizontal="right" vertical="center" wrapText="1"/>
    </xf>
    <xf numFmtId="0" fontId="4" fillId="0" borderId="134" xfId="0" applyFont="1" applyFill="1" applyBorder="1" applyAlignment="1">
      <alignment vertical="center"/>
    </xf>
    <xf numFmtId="166" fontId="4" fillId="0" borderId="24" xfId="1" applyNumberFormat="1" applyFont="1" applyFill="1" applyBorder="1" applyAlignment="1">
      <alignment vertical="center"/>
    </xf>
    <xf numFmtId="4" fontId="4" fillId="0" borderId="136" xfId="0" applyNumberFormat="1" applyFont="1" applyFill="1" applyBorder="1" applyAlignment="1"/>
    <xf numFmtId="165" fontId="3" fillId="0" borderId="136" xfId="0" applyNumberFormat="1" applyFont="1" applyFill="1" applyBorder="1" applyAlignment="1">
      <alignment vertical="center"/>
    </xf>
    <xf numFmtId="165" fontId="3" fillId="0" borderId="134" xfId="0" applyNumberFormat="1" applyFont="1" applyFill="1" applyBorder="1" applyAlignment="1">
      <alignment vertical="center"/>
    </xf>
    <xf numFmtId="166" fontId="4" fillId="0" borderId="137" xfId="1" applyNumberFormat="1" applyFont="1" applyFill="1" applyBorder="1" applyAlignment="1">
      <alignment vertical="center"/>
    </xf>
    <xf numFmtId="4" fontId="4" fillId="0" borderId="136" xfId="0" applyNumberFormat="1" applyFont="1" applyFill="1" applyBorder="1" applyAlignment="1">
      <alignment vertical="center"/>
    </xf>
    <xf numFmtId="170" fontId="4" fillId="0" borderId="134" xfId="0" applyNumberFormat="1" applyFont="1" applyFill="1" applyBorder="1" applyAlignment="1">
      <alignment horizontal="center" vertical="center"/>
    </xf>
    <xf numFmtId="165" fontId="4" fillId="0" borderId="136" xfId="0" applyNumberFormat="1" applyFont="1" applyFill="1" applyBorder="1" applyAlignment="1">
      <alignment vertical="center"/>
    </xf>
    <xf numFmtId="166" fontId="4" fillId="0" borderId="136" xfId="0" applyNumberFormat="1" applyFont="1" applyFill="1" applyBorder="1" applyAlignment="1">
      <alignment vertical="center"/>
    </xf>
    <xf numFmtId="170" fontId="3" fillId="0" borderId="134" xfId="0" applyNumberFormat="1" applyFont="1" applyFill="1" applyBorder="1" applyAlignment="1">
      <alignment horizontal="center" vertical="center"/>
    </xf>
    <xf numFmtId="3" fontId="4" fillId="0" borderId="136" xfId="0" applyNumberFormat="1" applyFont="1" applyFill="1" applyBorder="1" applyAlignment="1">
      <alignment vertical="center"/>
    </xf>
    <xf numFmtId="165" fontId="3" fillId="0" borderId="134" xfId="0" applyNumberFormat="1" applyFont="1" applyFill="1" applyBorder="1" applyAlignment="1">
      <alignment horizontal="center" vertical="center"/>
    </xf>
    <xf numFmtId="165" fontId="3" fillId="0" borderId="136" xfId="0" applyNumberFormat="1" applyFont="1" applyFill="1" applyBorder="1" applyAlignment="1">
      <alignment horizontal="right" vertical="center"/>
    </xf>
    <xf numFmtId="165" fontId="3" fillId="0" borderId="137" xfId="0" applyNumberFormat="1" applyFont="1" applyFill="1" applyBorder="1" applyAlignment="1">
      <alignment vertical="center"/>
    </xf>
    <xf numFmtId="165" fontId="3" fillId="0" borderId="134" xfId="0" applyNumberFormat="1" applyFont="1" applyFill="1" applyBorder="1" applyAlignment="1">
      <alignment horizontal="right" vertical="center"/>
    </xf>
    <xf numFmtId="165" fontId="3" fillId="0" borderId="54" xfId="0" applyNumberFormat="1" applyFont="1" applyFill="1" applyBorder="1" applyAlignment="1">
      <alignment horizontal="center" vertical="center"/>
    </xf>
    <xf numFmtId="166" fontId="4" fillId="0" borderId="138" xfId="1" applyNumberFormat="1" applyFont="1" applyFill="1" applyBorder="1" applyAlignment="1">
      <alignment vertical="center"/>
    </xf>
    <xf numFmtId="165" fontId="3" fillId="0" borderId="44" xfId="0" applyNumberFormat="1" applyFont="1" applyFill="1" applyBorder="1" applyAlignment="1"/>
    <xf numFmtId="165" fontId="4" fillId="2" borderId="23" xfId="0" applyNumberFormat="1" applyFont="1" applyFill="1" applyBorder="1" applyAlignment="1">
      <alignment vertical="center"/>
    </xf>
    <xf numFmtId="165" fontId="4" fillId="2" borderId="22" xfId="0" applyNumberFormat="1" applyFont="1" applyFill="1" applyBorder="1" applyAlignment="1">
      <alignment vertical="center"/>
    </xf>
    <xf numFmtId="165" fontId="4" fillId="2" borderId="26" xfId="0" applyNumberFormat="1" applyFont="1" applyFill="1" applyBorder="1" applyAlignment="1">
      <alignment vertical="center"/>
    </xf>
    <xf numFmtId="0" fontId="4" fillId="2" borderId="0" xfId="0" applyFont="1" applyFill="1" applyBorder="1" applyAlignment="1">
      <alignment vertical="center"/>
    </xf>
    <xf numFmtId="165" fontId="3" fillId="2" borderId="6" xfId="0" applyNumberFormat="1" applyFont="1" applyFill="1" applyBorder="1" applyAlignment="1">
      <alignment vertical="center"/>
    </xf>
    <xf numFmtId="165" fontId="3" fillId="2" borderId="101" xfId="0" applyNumberFormat="1" applyFont="1" applyFill="1" applyBorder="1" applyAlignment="1">
      <alignment vertical="center"/>
    </xf>
    <xf numFmtId="165" fontId="3" fillId="2" borderId="136" xfId="0" applyNumberFormat="1" applyFont="1" applyFill="1" applyBorder="1" applyAlignment="1">
      <alignment vertical="center"/>
    </xf>
    <xf numFmtId="165" fontId="3" fillId="0" borderId="11" xfId="0" applyNumberFormat="1" applyFont="1" applyFill="1" applyBorder="1" applyAlignment="1">
      <alignment vertical="center"/>
    </xf>
    <xf numFmtId="165" fontId="3" fillId="7" borderId="45" xfId="0" applyNumberFormat="1" applyFont="1" applyFill="1" applyBorder="1" applyAlignment="1">
      <alignment horizontal="right" vertical="center" wrapText="1"/>
    </xf>
    <xf numFmtId="165" fontId="3" fillId="7" borderId="6" xfId="0" applyNumberFormat="1" applyFont="1" applyFill="1" applyBorder="1" applyAlignment="1">
      <alignment horizontal="right" vertical="center" wrapText="1"/>
    </xf>
    <xf numFmtId="165" fontId="3" fillId="7" borderId="46" xfId="0" applyNumberFormat="1" applyFont="1" applyFill="1" applyBorder="1" applyAlignment="1">
      <alignment horizontal="right" vertical="center" wrapText="1"/>
    </xf>
    <xf numFmtId="166" fontId="3" fillId="2" borderId="61" xfId="1" applyNumberFormat="1" applyFont="1" applyFill="1" applyBorder="1" applyAlignment="1">
      <alignment vertical="center"/>
    </xf>
    <xf numFmtId="4" fontId="3" fillId="2" borderId="60" xfId="1" applyNumberFormat="1" applyFont="1" applyFill="1" applyBorder="1" applyAlignment="1">
      <alignment vertical="center"/>
    </xf>
    <xf numFmtId="165" fontId="3" fillId="2" borderId="50" xfId="0" applyNumberFormat="1" applyFont="1" applyFill="1" applyBorder="1" applyAlignment="1">
      <alignment vertical="center"/>
    </xf>
    <xf numFmtId="165" fontId="3" fillId="2" borderId="60" xfId="0" applyNumberFormat="1" applyFont="1" applyFill="1" applyBorder="1" applyAlignment="1">
      <alignment vertical="center"/>
    </xf>
    <xf numFmtId="165" fontId="3" fillId="2" borderId="32" xfId="0" applyNumberFormat="1" applyFont="1" applyFill="1" applyBorder="1" applyAlignment="1"/>
    <xf numFmtId="170" fontId="5" fillId="0" borderId="76" xfId="0" applyNumberFormat="1" applyFont="1" applyFill="1" applyBorder="1" applyAlignment="1">
      <alignment horizontal="center" vertical="center"/>
    </xf>
    <xf numFmtId="170" fontId="5" fillId="0" borderId="77" xfId="0" applyNumberFormat="1" applyFont="1" applyFill="1" applyBorder="1" applyAlignment="1">
      <alignment horizontal="center" vertical="center"/>
    </xf>
    <xf numFmtId="170" fontId="5" fillId="0" borderId="79" xfId="0" applyNumberFormat="1" applyFont="1" applyFill="1" applyBorder="1" applyAlignment="1">
      <alignment horizontal="center" vertical="center"/>
    </xf>
    <xf numFmtId="170" fontId="5" fillId="0" borderId="82" xfId="0" applyNumberFormat="1" applyFont="1" applyFill="1" applyBorder="1" applyAlignment="1">
      <alignment horizontal="center" vertical="center"/>
    </xf>
    <xf numFmtId="37" fontId="3" fillId="0" borderId="108" xfId="0" applyNumberFormat="1" applyFont="1" applyFill="1" applyBorder="1" applyAlignment="1">
      <alignment vertical="center"/>
    </xf>
    <xf numFmtId="3" fontId="3" fillId="0" borderId="67" xfId="2" applyNumberFormat="1" applyFont="1" applyFill="1" applyBorder="1" applyAlignment="1">
      <alignment vertical="center"/>
    </xf>
    <xf numFmtId="166" fontId="4" fillId="0" borderId="136" xfId="1" applyNumberFormat="1" applyFont="1" applyFill="1" applyBorder="1" applyAlignment="1">
      <alignment horizontal="right" vertical="center"/>
    </xf>
    <xf numFmtId="165" fontId="3" fillId="0" borderId="102" xfId="0" applyNumberFormat="1" applyFont="1" applyFill="1" applyBorder="1" applyAlignment="1"/>
    <xf numFmtId="165" fontId="3" fillId="0" borderId="103" xfId="0" applyNumberFormat="1" applyFont="1" applyFill="1" applyBorder="1" applyAlignment="1">
      <alignment vertical="center"/>
    </xf>
    <xf numFmtId="4" fontId="4" fillId="0" borderId="102" xfId="0" applyNumberFormat="1" applyFont="1" applyFill="1" applyBorder="1" applyAlignment="1"/>
    <xf numFmtId="165" fontId="3" fillId="0" borderId="88" xfId="0" applyNumberFormat="1" applyFont="1" applyFill="1" applyBorder="1" applyAlignment="1">
      <alignment vertical="center"/>
    </xf>
    <xf numFmtId="165" fontId="3" fillId="0" borderId="138" xfId="0" applyNumberFormat="1" applyFont="1" applyFill="1" applyBorder="1" applyAlignment="1">
      <alignment vertical="center"/>
    </xf>
    <xf numFmtId="165" fontId="3" fillId="0" borderId="22" xfId="0" quotePrefix="1" applyNumberFormat="1" applyFont="1" applyFill="1" applyBorder="1" applyAlignment="1">
      <alignment vertical="center"/>
    </xf>
    <xf numFmtId="165" fontId="3" fillId="0" borderId="35" xfId="0" quotePrefix="1" applyNumberFormat="1" applyFont="1" applyBorder="1" applyAlignment="1">
      <alignment vertical="center"/>
    </xf>
    <xf numFmtId="165" fontId="3" fillId="0" borderId="22" xfId="0" quotePrefix="1" applyNumberFormat="1" applyFont="1" applyBorder="1" applyAlignment="1">
      <alignment vertical="center"/>
    </xf>
    <xf numFmtId="165" fontId="4" fillId="0" borderId="7" xfId="0" applyNumberFormat="1" applyFont="1" applyBorder="1" applyAlignment="1">
      <alignment vertical="center"/>
    </xf>
    <xf numFmtId="165" fontId="3" fillId="0" borderId="45" xfId="0" applyNumberFormat="1" applyFont="1" applyFill="1" applyBorder="1" applyAlignment="1">
      <alignment horizontal="left" vertical="center" wrapText="1"/>
    </xf>
    <xf numFmtId="165" fontId="3" fillId="0" borderId="88" xfId="0" applyNumberFormat="1" applyFont="1" applyFill="1" applyBorder="1" applyAlignment="1"/>
    <xf numFmtId="166" fontId="4" fillId="0" borderId="60" xfId="1" applyNumberFormat="1" applyFont="1" applyFill="1" applyBorder="1" applyAlignment="1">
      <alignment vertical="center"/>
    </xf>
    <xf numFmtId="166" fontId="4" fillId="0" borderId="59" xfId="1" applyNumberFormat="1" applyFont="1" applyFill="1" applyBorder="1" applyAlignment="1">
      <alignment vertical="center"/>
    </xf>
    <xf numFmtId="165" fontId="3" fillId="0" borderId="6" xfId="0" applyNumberFormat="1" applyFont="1" applyFill="1" applyBorder="1" applyAlignment="1">
      <alignment horizontal="right" vertical="center" wrapText="1"/>
    </xf>
    <xf numFmtId="167" fontId="3" fillId="0" borderId="54" xfId="0" applyNumberFormat="1" applyFont="1" applyFill="1" applyBorder="1" applyAlignment="1">
      <alignment horizontal="left" vertical="center" wrapText="1"/>
    </xf>
    <xf numFmtId="170" fontId="4" fillId="0" borderId="80" xfId="0" applyNumberFormat="1" applyFont="1" applyFill="1" applyBorder="1" applyAlignment="1">
      <alignment horizontal="center"/>
    </xf>
    <xf numFmtId="165" fontId="3" fillId="0" borderId="13" xfId="0" applyNumberFormat="1" applyFont="1" applyFill="1" applyBorder="1" applyAlignment="1"/>
    <xf numFmtId="170" fontId="3" fillId="0" borderId="13" xfId="0" applyNumberFormat="1" applyFont="1" applyFill="1" applyBorder="1" applyAlignment="1">
      <alignment horizontal="center"/>
    </xf>
    <xf numFmtId="0" fontId="6" fillId="22" borderId="13" xfId="0" applyNumberFormat="1" applyFont="1" applyFill="1" applyBorder="1" applyAlignment="1">
      <alignment horizontal="right" vertical="center" wrapText="1" readingOrder="1"/>
    </xf>
    <xf numFmtId="165" fontId="3" fillId="0" borderId="13" xfId="0" applyNumberFormat="1" applyFont="1" applyFill="1" applyBorder="1" applyAlignment="1">
      <alignment horizontal="right"/>
    </xf>
    <xf numFmtId="165" fontId="4" fillId="0" borderId="13" xfId="0" applyNumberFormat="1" applyFont="1" applyFill="1" applyBorder="1" applyAlignment="1"/>
    <xf numFmtId="170" fontId="4" fillId="0" borderId="13" xfId="0" applyNumberFormat="1" applyFont="1" applyFill="1" applyBorder="1" applyAlignment="1">
      <alignment horizontal="center"/>
    </xf>
    <xf numFmtId="165" fontId="4" fillId="0" borderId="26" xfId="0" applyNumberFormat="1" applyFont="1" applyFill="1" applyBorder="1" applyAlignment="1"/>
    <xf numFmtId="165" fontId="3" fillId="0" borderId="26" xfId="0" applyNumberFormat="1" applyFont="1" applyFill="1" applyBorder="1" applyAlignment="1"/>
    <xf numFmtId="165" fontId="3" fillId="0" borderId="22" xfId="0" applyNumberFormat="1" applyFont="1" applyBorder="1"/>
    <xf numFmtId="165" fontId="3" fillId="0" borderId="57" xfId="0" applyNumberFormat="1" applyFont="1" applyBorder="1"/>
    <xf numFmtId="165" fontId="3" fillId="0" borderId="32" xfId="0" applyNumberFormat="1" applyFont="1" applyBorder="1" applyAlignment="1">
      <alignment vertical="center"/>
    </xf>
    <xf numFmtId="165" fontId="3" fillId="0" borderId="19" xfId="0" quotePrefix="1" applyNumberFormat="1" applyFont="1" applyBorder="1" applyAlignment="1">
      <alignment vertical="center"/>
    </xf>
    <xf numFmtId="165" fontId="3" fillId="0" borderId="23" xfId="0" quotePrefix="1" applyNumberFormat="1" applyFont="1" applyBorder="1" applyAlignment="1">
      <alignment vertical="center"/>
    </xf>
    <xf numFmtId="165" fontId="3" fillId="0" borderId="23" xfId="0" applyNumberFormat="1" applyFont="1" applyBorder="1" applyAlignment="1">
      <alignment horizontal="right" vertical="center"/>
    </xf>
    <xf numFmtId="37" fontId="3" fillId="0" borderId="43" xfId="0" applyNumberFormat="1" applyFont="1" applyFill="1" applyBorder="1" applyAlignment="1">
      <alignment vertical="center"/>
    </xf>
    <xf numFmtId="165" fontId="3" fillId="7" borderId="49" xfId="0" applyNumberFormat="1" applyFont="1" applyFill="1" applyBorder="1" applyAlignment="1">
      <alignment horizontal="left" vertical="center" wrapText="1"/>
    </xf>
    <xf numFmtId="0" fontId="3" fillId="0" borderId="31" xfId="0" applyNumberFormat="1" applyFont="1" applyFill="1" applyBorder="1" applyAlignment="1">
      <alignment horizontal="left" vertical="center" wrapText="1"/>
    </xf>
    <xf numFmtId="3" fontId="4" fillId="0" borderId="6" xfId="0" applyNumberFormat="1" applyFont="1" applyBorder="1" applyAlignment="1">
      <alignment vertical="center"/>
    </xf>
    <xf numFmtId="9" fontId="3" fillId="0" borderId="123" xfId="2" applyFont="1" applyFill="1" applyBorder="1" applyAlignment="1">
      <alignment horizontal="center" vertical="center"/>
    </xf>
    <xf numFmtId="166" fontId="3" fillId="0" borderId="24" xfId="1" applyNumberFormat="1" applyFont="1" applyFill="1" applyBorder="1" applyAlignment="1">
      <alignment vertical="center"/>
    </xf>
    <xf numFmtId="165" fontId="3" fillId="0" borderId="59" xfId="0" quotePrefix="1" applyNumberFormat="1" applyFont="1" applyFill="1" applyBorder="1" applyAlignment="1">
      <alignment vertical="center"/>
    </xf>
    <xf numFmtId="165" fontId="3" fillId="0" borderId="29" xfId="0" quotePrefix="1" applyNumberFormat="1" applyFont="1" applyFill="1" applyBorder="1" applyAlignment="1"/>
    <xf numFmtId="165" fontId="3" fillId="0" borderId="95" xfId="0" applyNumberFormat="1" applyFont="1" applyFill="1" applyBorder="1" applyAlignment="1">
      <alignment vertical="center"/>
    </xf>
    <xf numFmtId="165" fontId="3" fillId="0" borderId="80" xfId="0" applyNumberFormat="1" applyFont="1" applyFill="1" applyBorder="1" applyAlignment="1">
      <alignment vertical="center"/>
    </xf>
    <xf numFmtId="165" fontId="3" fillId="0" borderId="123" xfId="0" applyNumberFormat="1" applyFont="1" applyFill="1" applyBorder="1" applyAlignment="1">
      <alignment horizontal="center" vertical="center"/>
    </xf>
    <xf numFmtId="165" fontId="4" fillId="0" borderId="28" xfId="0" applyNumberFormat="1" applyFont="1" applyFill="1" applyBorder="1" applyAlignment="1"/>
    <xf numFmtId="0" fontId="4" fillId="0" borderId="139" xfId="0" applyFont="1" applyFill="1" applyBorder="1" applyAlignment="1">
      <alignment horizontal="left" vertical="center" wrapText="1"/>
    </xf>
    <xf numFmtId="0" fontId="4" fillId="0" borderId="139" xfId="0" applyFont="1" applyFill="1" applyBorder="1" applyAlignment="1">
      <alignment vertical="center"/>
    </xf>
    <xf numFmtId="43" fontId="4" fillId="0" borderId="135" xfId="1" applyFont="1" applyFill="1" applyBorder="1" applyAlignment="1">
      <alignment vertical="center"/>
    </xf>
    <xf numFmtId="9" fontId="4" fillId="0" borderId="139" xfId="2" applyFont="1" applyFill="1" applyBorder="1" applyAlignment="1">
      <alignment horizontal="center" vertical="center"/>
    </xf>
    <xf numFmtId="43" fontId="4" fillId="0" borderId="140" xfId="1" applyFont="1" applyFill="1" applyBorder="1" applyAlignment="1">
      <alignment vertical="center"/>
    </xf>
    <xf numFmtId="43" fontId="4" fillId="0" borderId="137" xfId="1" applyFont="1" applyFill="1" applyBorder="1" applyAlignment="1">
      <alignment vertical="center"/>
    </xf>
    <xf numFmtId="0" fontId="4" fillId="0" borderId="136" xfId="0" applyFont="1" applyFill="1" applyBorder="1" applyAlignment="1"/>
    <xf numFmtId="165" fontId="3" fillId="0" borderId="141" xfId="0" applyNumberFormat="1" applyFont="1" applyFill="1" applyBorder="1" applyAlignment="1">
      <alignment vertical="center"/>
    </xf>
    <xf numFmtId="0" fontId="4" fillId="0" borderId="136" xfId="0" applyFont="1" applyFill="1" applyBorder="1" applyAlignment="1">
      <alignment vertical="center"/>
    </xf>
    <xf numFmtId="166" fontId="4" fillId="0" borderId="137" xfId="1" applyNumberFormat="1" applyFont="1" applyFill="1" applyBorder="1" applyAlignment="1">
      <alignment horizontal="right"/>
    </xf>
    <xf numFmtId="3" fontId="4" fillId="0" borderId="138" xfId="0" applyNumberFormat="1" applyFont="1" applyFill="1" applyBorder="1" applyAlignment="1">
      <alignment vertical="center"/>
    </xf>
    <xf numFmtId="165" fontId="4" fillId="0" borderId="72" xfId="0" applyNumberFormat="1" applyFont="1" applyFill="1" applyBorder="1" applyAlignment="1">
      <alignment horizontal="right" vertical="center"/>
    </xf>
    <xf numFmtId="49" fontId="3" fillId="11" borderId="1" xfId="0" applyNumberFormat="1" applyFont="1" applyFill="1" applyBorder="1" applyAlignment="1">
      <alignment horizontal="center" vertical="center"/>
    </xf>
    <xf numFmtId="49" fontId="3" fillId="11" borderId="2" xfId="0" applyNumberFormat="1" applyFont="1" applyFill="1" applyBorder="1" applyAlignment="1">
      <alignment horizontal="center" vertical="center"/>
    </xf>
    <xf numFmtId="0" fontId="9" fillId="0" borderId="84" xfId="0" applyFont="1" applyBorder="1" applyAlignment="1">
      <alignment horizontal="left"/>
    </xf>
    <xf numFmtId="0" fontId="9" fillId="0" borderId="30" xfId="0" applyFont="1" applyBorder="1" applyAlignment="1">
      <alignment horizontal="left"/>
    </xf>
    <xf numFmtId="164" fontId="3" fillId="11" borderId="5" xfId="0" applyNumberFormat="1" applyFont="1" applyFill="1" applyBorder="1" applyAlignment="1">
      <alignment horizontal="center" vertical="center"/>
    </xf>
    <xf numFmtId="37" fontId="3" fillId="7" borderId="1" xfId="0" applyNumberFormat="1" applyFont="1" applyFill="1" applyBorder="1" applyAlignment="1">
      <alignment horizontal="left" vertical="center"/>
    </xf>
    <xf numFmtId="0" fontId="9" fillId="0" borderId="97" xfId="0" applyFont="1" applyBorder="1" applyAlignment="1">
      <alignment horizontal="left"/>
    </xf>
    <xf numFmtId="0" fontId="9" fillId="0" borderId="84" xfId="0" applyFont="1" applyBorder="1"/>
    <xf numFmtId="0" fontId="9" fillId="0" borderId="30" xfId="0" applyFont="1" applyBorder="1"/>
    <xf numFmtId="0" fontId="20" fillId="0" borderId="0" xfId="0" applyFont="1" applyAlignment="1"/>
    <xf numFmtId="171" fontId="9" fillId="0" borderId="0" xfId="10" applyNumberFormat="1" applyFont="1"/>
    <xf numFmtId="171" fontId="9" fillId="14" borderId="31" xfId="10" applyNumberFormat="1" applyFont="1" applyFill="1" applyBorder="1" applyAlignment="1">
      <alignment horizontal="center" vertical="center" wrapText="1"/>
    </xf>
    <xf numFmtId="172" fontId="9" fillId="14" borderId="31" xfId="1" applyNumberFormat="1" applyFont="1" applyFill="1" applyBorder="1" applyAlignment="1">
      <alignment horizontal="center" vertical="center" wrapText="1"/>
    </xf>
    <xf numFmtId="44" fontId="9" fillId="0" borderId="31" xfId="10" applyFont="1" applyBorder="1"/>
    <xf numFmtId="44" fontId="9" fillId="0" borderId="31" xfId="10" applyFont="1" applyBorder="1" applyAlignment="1">
      <alignment horizontal="right"/>
    </xf>
    <xf numFmtId="171" fontId="9" fillId="0" borderId="31" xfId="0" applyNumberFormat="1" applyFont="1" applyFill="1" applyBorder="1" applyAlignment="1">
      <alignment vertical="center"/>
    </xf>
    <xf numFmtId="44" fontId="9" fillId="2" borderId="31" xfId="10" applyFont="1" applyFill="1" applyBorder="1"/>
    <xf numFmtId="171" fontId="9" fillId="0" borderId="31" xfId="10" applyNumberFormat="1" applyFont="1" applyFill="1" applyBorder="1"/>
    <xf numFmtId="171" fontId="9" fillId="16" borderId="31" xfId="10" applyNumberFormat="1" applyFont="1" applyFill="1" applyBorder="1" applyAlignment="1">
      <alignment horizontal="right"/>
    </xf>
    <xf numFmtId="172" fontId="9" fillId="0" borderId="0" xfId="1" applyNumberFormat="1" applyFont="1" applyAlignment="1">
      <alignment horizontal="left"/>
    </xf>
    <xf numFmtId="17" fontId="9" fillId="14" borderId="31" xfId="10" applyNumberFormat="1" applyFont="1" applyFill="1" applyBorder="1" applyAlignment="1">
      <alignment horizontal="center" vertical="center" wrapText="1"/>
    </xf>
    <xf numFmtId="165" fontId="3" fillId="0" borderId="3" xfId="0" applyNumberFormat="1" applyFont="1" applyFill="1" applyBorder="1" applyAlignment="1">
      <alignment horizontal="left" vertical="center" wrapText="1"/>
    </xf>
    <xf numFmtId="165" fontId="3" fillId="7" borderId="8" xfId="0" applyNumberFormat="1" applyFont="1" applyFill="1" applyBorder="1" applyAlignment="1">
      <alignment vertical="center"/>
    </xf>
    <xf numFmtId="165" fontId="3" fillId="7" borderId="8" xfId="0" applyNumberFormat="1" applyFont="1" applyFill="1" applyBorder="1" applyAlignment="1">
      <alignment horizontal="right" vertical="center"/>
    </xf>
    <xf numFmtId="165" fontId="3" fillId="7" borderId="16" xfId="0" applyNumberFormat="1" applyFont="1" applyFill="1" applyBorder="1" applyAlignment="1">
      <alignment horizontal="left" vertical="center" wrapText="1"/>
    </xf>
    <xf numFmtId="167" fontId="3" fillId="0" borderId="84" xfId="0" applyNumberFormat="1" applyFont="1" applyFill="1" applyBorder="1" applyAlignment="1">
      <alignment horizontal="left" vertical="center" wrapText="1"/>
    </xf>
    <xf numFmtId="0" fontId="4" fillId="0" borderId="141" xfId="0" applyFont="1" applyFill="1" applyBorder="1" applyAlignment="1">
      <alignment horizontal="left" vertical="center" wrapText="1"/>
    </xf>
    <xf numFmtId="0" fontId="4" fillId="0" borderId="84" xfId="0" applyFont="1" applyFill="1" applyBorder="1" applyAlignment="1">
      <alignment horizontal="left" vertical="center" wrapText="1"/>
    </xf>
    <xf numFmtId="165" fontId="3" fillId="19" borderId="8" xfId="0" applyNumberFormat="1" applyFont="1" applyFill="1" applyBorder="1" applyAlignment="1">
      <alignment horizontal="right" vertical="center"/>
    </xf>
    <xf numFmtId="0" fontId="4" fillId="0" borderId="17" xfId="0" applyFont="1" applyFill="1" applyBorder="1" applyAlignment="1">
      <alignment vertical="center"/>
    </xf>
    <xf numFmtId="165" fontId="3" fillId="0" borderId="11" xfId="0" applyNumberFormat="1" applyFont="1" applyFill="1" applyBorder="1" applyAlignment="1">
      <alignment horizontal="right" vertical="center"/>
    </xf>
    <xf numFmtId="165" fontId="3" fillId="0" borderId="17" xfId="0" applyNumberFormat="1" applyFont="1" applyFill="1" applyBorder="1" applyAlignment="1"/>
    <xf numFmtId="165" fontId="3" fillId="0" borderId="41" xfId="0" applyNumberFormat="1" applyFont="1" applyFill="1" applyBorder="1" applyAlignment="1"/>
    <xf numFmtId="37" fontId="3" fillId="9" borderId="1" xfId="0" applyNumberFormat="1" applyFont="1" applyFill="1" applyBorder="1" applyAlignment="1">
      <alignment vertical="center"/>
    </xf>
    <xf numFmtId="0" fontId="4" fillId="0" borderId="42" xfId="0" applyFont="1" applyBorder="1" applyAlignment="1">
      <alignment horizontal="left"/>
    </xf>
    <xf numFmtId="3" fontId="4" fillId="0" borderId="52" xfId="0" applyNumberFormat="1" applyFont="1" applyBorder="1" applyAlignment="1">
      <alignment horizontal="left"/>
    </xf>
    <xf numFmtId="37" fontId="3" fillId="8" borderId="1" xfId="0" applyNumberFormat="1" applyFont="1" applyFill="1" applyBorder="1" applyAlignment="1">
      <alignment horizontal="left" vertical="center"/>
    </xf>
    <xf numFmtId="37" fontId="3" fillId="7" borderId="1" xfId="0" applyNumberFormat="1" applyFont="1" applyFill="1" applyBorder="1" applyAlignment="1">
      <alignment horizontal="left" vertical="center"/>
    </xf>
    <xf numFmtId="37" fontId="3" fillId="8" borderId="16" xfId="0" applyNumberFormat="1" applyFont="1" applyFill="1" applyBorder="1" applyAlignment="1">
      <alignment horizontal="center" vertical="center"/>
    </xf>
    <xf numFmtId="37" fontId="3" fillId="7" borderId="1" xfId="0" applyNumberFormat="1" applyFont="1" applyFill="1" applyBorder="1" applyAlignment="1">
      <alignment horizontal="center" vertical="center"/>
    </xf>
    <xf numFmtId="170" fontId="3" fillId="0" borderId="50" xfId="0" applyNumberFormat="1" applyFont="1" applyFill="1" applyBorder="1" applyAlignment="1">
      <alignment horizontal="center" vertical="center"/>
    </xf>
    <xf numFmtId="170" fontId="5" fillId="0" borderId="31" xfId="0" applyNumberFormat="1" applyFont="1" applyFill="1" applyBorder="1" applyAlignment="1">
      <alignment horizontal="center" vertical="center"/>
    </xf>
    <xf numFmtId="1" fontId="4" fillId="0" borderId="22" xfId="1" applyNumberFormat="1" applyFont="1" applyFill="1" applyBorder="1"/>
    <xf numFmtId="165" fontId="5" fillId="0" borderId="22" xfId="0" applyNumberFormat="1" applyFont="1" applyFill="1" applyBorder="1" applyAlignment="1"/>
    <xf numFmtId="0" fontId="3" fillId="0" borderId="22" xfId="0" applyNumberFormat="1" applyFont="1" applyFill="1" applyBorder="1" applyAlignment="1"/>
    <xf numFmtId="166" fontId="3" fillId="0" borderId="36" xfId="0" applyNumberFormat="1" applyFont="1" applyFill="1" applyBorder="1" applyAlignment="1">
      <alignment vertical="center"/>
    </xf>
    <xf numFmtId="165" fontId="3" fillId="0" borderId="60" xfId="0" quotePrefix="1" applyNumberFormat="1" applyFont="1" applyBorder="1" applyAlignment="1">
      <alignment vertical="center"/>
    </xf>
    <xf numFmtId="165" fontId="3" fillId="7" borderId="19" xfId="0" applyNumberFormat="1" applyFont="1" applyFill="1" applyBorder="1" applyAlignment="1">
      <alignment vertical="center" wrapText="1"/>
    </xf>
    <xf numFmtId="1" fontId="4" fillId="0" borderId="6" xfId="0" applyNumberFormat="1" applyFont="1" applyBorder="1" applyAlignment="1">
      <alignment vertical="center"/>
    </xf>
    <xf numFmtId="165" fontId="3" fillId="0" borderId="6" xfId="0" applyNumberFormat="1" applyFont="1" applyFill="1" applyBorder="1" applyAlignment="1">
      <alignment vertical="center" wrapText="1"/>
    </xf>
    <xf numFmtId="0" fontId="4" fillId="0" borderId="56" xfId="0" applyFont="1" applyFill="1" applyBorder="1" applyAlignment="1">
      <alignment vertical="center"/>
    </xf>
    <xf numFmtId="165" fontId="3" fillId="0" borderId="112" xfId="0" applyNumberFormat="1" applyFont="1" applyFill="1" applyBorder="1" applyAlignment="1">
      <alignment horizontal="right" vertical="center"/>
    </xf>
    <xf numFmtId="0" fontId="4" fillId="0" borderId="79" xfId="0" applyFont="1" applyFill="1" applyBorder="1" applyAlignment="1">
      <alignment horizontal="left" vertical="center" wrapText="1"/>
    </xf>
    <xf numFmtId="0" fontId="4" fillId="0" borderId="72" xfId="0" applyFont="1" applyFill="1" applyBorder="1" applyAlignment="1">
      <alignment vertical="center"/>
    </xf>
    <xf numFmtId="0" fontId="4" fillId="0" borderId="21" xfId="0" applyFont="1" applyFill="1" applyBorder="1" applyAlignment="1">
      <alignment horizontal="left" vertical="center" wrapText="1"/>
    </xf>
    <xf numFmtId="0" fontId="4" fillId="0" borderId="44" xfId="0" applyFont="1" applyFill="1" applyBorder="1" applyAlignment="1">
      <alignment horizontal="left" vertical="center" wrapText="1"/>
    </xf>
    <xf numFmtId="165" fontId="3" fillId="0" borderId="20" xfId="0" applyNumberFormat="1" applyFont="1" applyFill="1" applyBorder="1" applyAlignment="1"/>
    <xf numFmtId="165" fontId="3" fillId="0" borderId="112" xfId="0" applyNumberFormat="1" applyFont="1" applyFill="1" applyBorder="1" applyAlignment="1"/>
    <xf numFmtId="165" fontId="3" fillId="0" borderId="101" xfId="0" applyNumberFormat="1" applyFont="1" applyFill="1" applyBorder="1" applyAlignment="1">
      <alignment horizontal="right"/>
    </xf>
    <xf numFmtId="165" fontId="4" fillId="0" borderId="12" xfId="0" applyNumberFormat="1" applyFont="1" applyFill="1" applyBorder="1" applyAlignment="1">
      <alignment vertical="center"/>
    </xf>
    <xf numFmtId="3" fontId="4" fillId="0" borderId="101" xfId="0" applyNumberFormat="1" applyFont="1" applyFill="1" applyBorder="1" applyAlignment="1">
      <alignment horizontal="right"/>
    </xf>
    <xf numFmtId="3" fontId="4" fillId="0" borderId="102" xfId="0" applyNumberFormat="1" applyFont="1" applyFill="1" applyBorder="1" applyAlignment="1"/>
    <xf numFmtId="4" fontId="4" fillId="0" borderId="107" xfId="0" applyNumberFormat="1" applyFont="1" applyFill="1" applyBorder="1" applyAlignment="1"/>
    <xf numFmtId="0" fontId="4" fillId="0" borderId="41" xfId="0" applyFont="1" applyBorder="1" applyAlignment="1">
      <alignment vertical="center"/>
    </xf>
    <xf numFmtId="0" fontId="4" fillId="0" borderId="109" xfId="0" applyFont="1" applyBorder="1" applyAlignment="1">
      <alignment vertical="center"/>
    </xf>
    <xf numFmtId="0" fontId="4" fillId="0" borderId="96" xfId="0" applyFont="1" applyBorder="1" applyAlignment="1">
      <alignment vertical="center"/>
    </xf>
    <xf numFmtId="0" fontId="4" fillId="0" borderId="142" xfId="0" applyFont="1" applyBorder="1" applyAlignment="1">
      <alignment vertical="center"/>
    </xf>
    <xf numFmtId="0" fontId="4" fillId="0" borderId="113" xfId="0" applyFont="1" applyBorder="1" applyAlignment="1">
      <alignment vertical="center"/>
    </xf>
    <xf numFmtId="0" fontId="4" fillId="0" borderId="66" xfId="0" applyFont="1" applyBorder="1" applyAlignment="1">
      <alignment vertical="center"/>
    </xf>
    <xf numFmtId="0" fontId="4" fillId="0" borderId="106" xfId="0" applyFont="1" applyBorder="1" applyAlignment="1">
      <alignment vertical="center"/>
    </xf>
    <xf numFmtId="0" fontId="4" fillId="0" borderId="74" xfId="0" applyFont="1" applyBorder="1" applyAlignment="1">
      <alignment vertical="center"/>
    </xf>
    <xf numFmtId="165" fontId="4" fillId="2" borderId="12" xfId="0" applyNumberFormat="1" applyFont="1" applyFill="1" applyBorder="1" applyAlignment="1">
      <alignment vertical="center"/>
    </xf>
    <xf numFmtId="0" fontId="4" fillId="0" borderId="2" xfId="0" applyFont="1" applyFill="1" applyBorder="1" applyAlignment="1">
      <alignment horizontal="center" vertical="center" wrapText="1"/>
    </xf>
    <xf numFmtId="0" fontId="4" fillId="0" borderId="2" xfId="0" applyFont="1" applyFill="1" applyBorder="1" applyAlignment="1">
      <alignment vertical="center"/>
    </xf>
    <xf numFmtId="165" fontId="3" fillId="0" borderId="37" xfId="0" applyNumberFormat="1" applyFont="1" applyFill="1" applyBorder="1" applyAlignment="1">
      <alignment horizontal="right" vertical="center"/>
    </xf>
    <xf numFmtId="165" fontId="3" fillId="0" borderId="37" xfId="0" applyNumberFormat="1" applyFont="1" applyFill="1" applyBorder="1" applyAlignment="1">
      <alignment vertical="center"/>
    </xf>
    <xf numFmtId="170" fontId="3" fillId="0" borderId="37" xfId="0" applyNumberFormat="1" applyFont="1" applyFill="1" applyBorder="1" applyAlignment="1">
      <alignment horizontal="center" vertical="center"/>
    </xf>
    <xf numFmtId="167" fontId="3" fillId="0" borderId="17" xfId="0" applyNumberFormat="1" applyFont="1" applyFill="1" applyBorder="1" applyAlignment="1">
      <alignment horizontal="left" vertical="center" wrapText="1"/>
    </xf>
    <xf numFmtId="165" fontId="3" fillId="0" borderId="60" xfId="0" applyNumberFormat="1" applyFont="1" applyBorder="1" applyAlignment="1">
      <alignment vertical="center"/>
    </xf>
    <xf numFmtId="0" fontId="4" fillId="0" borderId="22" xfId="0" applyFont="1" applyFill="1" applyBorder="1" applyAlignment="1">
      <alignment vertical="center"/>
    </xf>
    <xf numFmtId="170" fontId="3" fillId="0" borderId="41" xfId="0" applyNumberFormat="1" applyFont="1" applyFill="1" applyBorder="1" applyAlignment="1">
      <alignment horizontal="center" vertical="center"/>
    </xf>
    <xf numFmtId="165" fontId="3" fillId="0" borderId="96" xfId="0" applyNumberFormat="1" applyFont="1" applyBorder="1"/>
    <xf numFmtId="165" fontId="3" fillId="0" borderId="56" xfId="0" applyNumberFormat="1" applyFont="1" applyFill="1" applyBorder="1" applyAlignment="1">
      <alignment horizontal="right" vertical="center"/>
    </xf>
    <xf numFmtId="170" fontId="3" fillId="0" borderId="68" xfId="0" applyNumberFormat="1" applyFont="1" applyFill="1" applyBorder="1" applyAlignment="1">
      <alignment horizontal="center" vertical="center"/>
    </xf>
    <xf numFmtId="165" fontId="3" fillId="0" borderId="106" xfId="0" applyNumberFormat="1" applyFont="1" applyFill="1" applyBorder="1" applyAlignment="1">
      <alignment horizontal="right" vertical="center"/>
    </xf>
    <xf numFmtId="165" fontId="4" fillId="0" borderId="77" xfId="0" applyNumberFormat="1" applyFont="1" applyFill="1" applyBorder="1" applyAlignment="1">
      <alignment horizontal="right"/>
    </xf>
    <xf numFmtId="165" fontId="3" fillId="0" borderId="60" xfId="0" applyNumberFormat="1" applyFont="1" applyFill="1" applyBorder="1" applyAlignment="1"/>
    <xf numFmtId="169" fontId="3" fillId="0" borderId="61" xfId="0" applyNumberFormat="1" applyFont="1" applyFill="1" applyBorder="1" applyAlignment="1"/>
    <xf numFmtId="165" fontId="3" fillId="0" borderId="60" xfId="0" applyNumberFormat="1" applyFont="1" applyBorder="1"/>
    <xf numFmtId="170" fontId="3" fillId="0" borderId="21" xfId="0" applyNumberFormat="1" applyFont="1" applyFill="1" applyBorder="1" applyAlignment="1">
      <alignment horizontal="center"/>
    </xf>
    <xf numFmtId="0" fontId="4" fillId="0" borderId="60" xfId="0" applyFont="1" applyFill="1" applyBorder="1" applyAlignment="1">
      <alignment vertical="center"/>
    </xf>
    <xf numFmtId="170" fontId="3" fillId="0" borderId="79" xfId="0" applyNumberFormat="1" applyFont="1" applyFill="1" applyBorder="1" applyAlignment="1">
      <alignment horizontal="center"/>
    </xf>
    <xf numFmtId="167" fontId="3" fillId="0" borderId="123" xfId="0" applyNumberFormat="1" applyFont="1" applyFill="1" applyBorder="1" applyAlignment="1">
      <alignment horizontal="left" vertical="center" wrapText="1"/>
    </xf>
    <xf numFmtId="165" fontId="3" fillId="0" borderId="24" xfId="0" applyNumberFormat="1" applyFont="1" applyFill="1" applyBorder="1" applyAlignment="1"/>
    <xf numFmtId="0" fontId="3" fillId="0" borderId="63" xfId="0" applyNumberFormat="1" applyFont="1" applyFill="1" applyBorder="1" applyAlignment="1"/>
    <xf numFmtId="170" fontId="4" fillId="0" borderId="79" xfId="0" applyNumberFormat="1" applyFont="1" applyFill="1" applyBorder="1" applyAlignment="1">
      <alignment horizontal="center"/>
    </xf>
    <xf numFmtId="165" fontId="3" fillId="0" borderId="108" xfId="0" applyNumberFormat="1" applyFont="1" applyFill="1" applyBorder="1" applyAlignment="1">
      <alignment horizontal="right" vertical="center"/>
    </xf>
    <xf numFmtId="167" fontId="3" fillId="0" borderId="68" xfId="0" applyNumberFormat="1" applyFont="1" applyFill="1" applyBorder="1" applyAlignment="1">
      <alignment horizontal="left" vertical="center" wrapText="1"/>
    </xf>
    <xf numFmtId="165" fontId="3" fillId="0" borderId="66" xfId="0" applyNumberFormat="1" applyFont="1" applyFill="1" applyBorder="1" applyAlignment="1"/>
    <xf numFmtId="165" fontId="3" fillId="0" borderId="82" xfId="0" applyNumberFormat="1" applyFont="1" applyFill="1" applyBorder="1" applyAlignment="1"/>
    <xf numFmtId="165" fontId="3" fillId="0" borderId="12" xfId="0" applyNumberFormat="1" applyFont="1" applyFill="1" applyBorder="1" applyAlignment="1"/>
    <xf numFmtId="165" fontId="3" fillId="0" borderId="67" xfId="0" applyNumberFormat="1" applyFont="1" applyFill="1" applyBorder="1" applyAlignment="1"/>
    <xf numFmtId="170" fontId="3" fillId="0" borderId="78" xfId="0" applyNumberFormat="1" applyFont="1" applyFill="1" applyBorder="1" applyAlignment="1">
      <alignment horizontal="center"/>
    </xf>
    <xf numFmtId="165" fontId="3" fillId="0" borderId="96" xfId="0" applyNumberFormat="1" applyFont="1" applyFill="1" applyBorder="1" applyAlignment="1"/>
    <xf numFmtId="170" fontId="3" fillId="0" borderId="82" xfId="0" applyNumberFormat="1" applyFont="1" applyFill="1" applyBorder="1" applyAlignment="1">
      <alignment horizontal="center"/>
    </xf>
    <xf numFmtId="165" fontId="3" fillId="0" borderId="68" xfId="0" applyNumberFormat="1" applyFont="1" applyFill="1" applyBorder="1" applyAlignment="1"/>
    <xf numFmtId="0" fontId="6" fillId="22" borderId="56" xfId="0" applyNumberFormat="1" applyFont="1" applyFill="1" applyBorder="1" applyAlignment="1">
      <alignment horizontal="right" vertical="center" wrapText="1" readingOrder="1"/>
    </xf>
    <xf numFmtId="170" fontId="3" fillId="0" borderId="74" xfId="0" applyNumberFormat="1" applyFont="1" applyFill="1" applyBorder="1" applyAlignment="1">
      <alignment horizontal="center"/>
    </xf>
    <xf numFmtId="0" fontId="3" fillId="0" borderId="66" xfId="0" applyNumberFormat="1" applyFont="1" applyFill="1" applyBorder="1" applyAlignment="1"/>
    <xf numFmtId="165" fontId="4" fillId="0" borderId="56" xfId="0" applyNumberFormat="1" applyFont="1" applyFill="1" applyBorder="1" applyAlignment="1"/>
    <xf numFmtId="165" fontId="3" fillId="0" borderId="56" xfId="0" applyNumberFormat="1" applyFont="1" applyFill="1" applyBorder="1" applyAlignment="1">
      <alignment horizontal="right"/>
    </xf>
    <xf numFmtId="165" fontId="4" fillId="0" borderId="75" xfId="0" applyNumberFormat="1" applyFont="1" applyFill="1" applyBorder="1" applyAlignment="1"/>
    <xf numFmtId="170" fontId="4" fillId="0" borderId="82" xfId="0" applyNumberFormat="1" applyFont="1" applyFill="1" applyBorder="1" applyAlignment="1">
      <alignment horizontal="center"/>
    </xf>
    <xf numFmtId="165" fontId="4" fillId="0" borderId="41" xfId="0" applyNumberFormat="1" applyFont="1" applyFill="1" applyBorder="1" applyAlignment="1">
      <alignment horizontal="right"/>
    </xf>
    <xf numFmtId="165" fontId="3" fillId="0" borderId="41" xfId="0" applyNumberFormat="1" applyFont="1" applyFill="1" applyBorder="1" applyAlignment="1">
      <alignment horizontal="right" vertical="center"/>
    </xf>
    <xf numFmtId="165" fontId="3" fillId="0" borderId="2" xfId="0" applyNumberFormat="1" applyFont="1" applyFill="1" applyBorder="1" applyAlignment="1"/>
    <xf numFmtId="165" fontId="4" fillId="0" borderId="46" xfId="0" applyNumberFormat="1" applyFont="1" applyFill="1" applyBorder="1" applyAlignment="1">
      <alignment horizontal="center"/>
    </xf>
    <xf numFmtId="0" fontId="4" fillId="0" borderId="2" xfId="0" applyFont="1" applyBorder="1" applyAlignment="1"/>
    <xf numFmtId="9" fontId="9" fillId="15" borderId="32" xfId="7" applyNumberFormat="1" applyFont="1" applyFill="1" applyBorder="1" applyAlignment="1">
      <alignment horizontal="center" vertical="center"/>
    </xf>
    <xf numFmtId="0" fontId="4" fillId="0" borderId="12" xfId="0" applyFont="1" applyBorder="1" applyAlignment="1">
      <alignment horizontal="left"/>
    </xf>
    <xf numFmtId="3" fontId="4" fillId="0" borderId="66" xfId="0" applyNumberFormat="1" applyFont="1" applyBorder="1" applyAlignment="1">
      <alignment horizontal="left"/>
    </xf>
    <xf numFmtId="165" fontId="3" fillId="19" borderId="2" xfId="0" applyNumberFormat="1" applyFont="1" applyFill="1" applyBorder="1" applyAlignment="1">
      <alignment vertical="center"/>
    </xf>
    <xf numFmtId="165" fontId="3" fillId="19" borderId="1" xfId="0" applyNumberFormat="1" applyFont="1" applyFill="1" applyBorder="1" applyAlignment="1">
      <alignment vertical="center"/>
    </xf>
    <xf numFmtId="37" fontId="3" fillId="9" borderId="1" xfId="0" applyNumberFormat="1" applyFont="1" applyFill="1" applyBorder="1" applyAlignment="1">
      <alignment horizontal="center" vertical="center"/>
    </xf>
    <xf numFmtId="166" fontId="4" fillId="10" borderId="6" xfId="0" applyNumberFormat="1" applyFont="1" applyFill="1" applyBorder="1" applyAlignment="1">
      <alignment horizontal="center" vertical="center"/>
    </xf>
    <xf numFmtId="166" fontId="4" fillId="10" borderId="46" xfId="0" applyNumberFormat="1" applyFont="1" applyFill="1" applyBorder="1" applyAlignment="1">
      <alignment horizontal="center" vertical="center"/>
    </xf>
    <xf numFmtId="0" fontId="4" fillId="0" borderId="0" xfId="0" applyFont="1" applyAlignment="1">
      <alignment horizontal="center" vertical="center"/>
    </xf>
    <xf numFmtId="165" fontId="3" fillId="4" borderId="8" xfId="0" applyNumberFormat="1" applyFont="1" applyFill="1" applyBorder="1" applyAlignment="1">
      <alignment horizontal="right" vertical="center"/>
    </xf>
    <xf numFmtId="165" fontId="4" fillId="0" borderId="0" xfId="0" applyNumberFormat="1" applyFont="1" applyFill="1" applyAlignment="1">
      <alignment horizontal="center" vertical="center"/>
    </xf>
    <xf numFmtId="43" fontId="4" fillId="0" borderId="0" xfId="0" applyNumberFormat="1" applyFont="1" applyFill="1" applyAlignment="1">
      <alignment horizontal="center" vertical="center"/>
    </xf>
    <xf numFmtId="10" fontId="4" fillId="0" borderId="0" xfId="2" applyNumberFormat="1" applyFont="1" applyAlignment="1">
      <alignment horizontal="center" vertical="center"/>
    </xf>
    <xf numFmtId="166" fontId="5" fillId="0" borderId="0" xfId="0" applyNumberFormat="1" applyFont="1" applyFill="1" applyAlignment="1">
      <alignment horizontal="center" vertical="center"/>
    </xf>
    <xf numFmtId="166" fontId="4" fillId="0" borderId="0" xfId="0" applyNumberFormat="1" applyFont="1" applyFill="1" applyAlignment="1">
      <alignment horizontal="center" vertical="center"/>
    </xf>
    <xf numFmtId="0" fontId="4" fillId="2" borderId="0" xfId="0" applyFont="1" applyFill="1" applyAlignment="1">
      <alignment horizontal="center"/>
    </xf>
    <xf numFmtId="3" fontId="4" fillId="0" borderId="0" xfId="0" applyNumberFormat="1" applyFont="1" applyAlignment="1">
      <alignment horizontal="center"/>
    </xf>
    <xf numFmtId="0" fontId="4" fillId="0" borderId="15" xfId="0" applyFont="1" applyFill="1" applyBorder="1" applyAlignment="1">
      <alignment horizontal="left" vertical="center" wrapText="1"/>
    </xf>
    <xf numFmtId="166" fontId="4" fillId="0" borderId="0" xfId="1" applyNumberFormat="1" applyFont="1" applyAlignment="1">
      <alignment vertical="center"/>
    </xf>
    <xf numFmtId="166" fontId="4" fillId="0" borderId="0" xfId="0" applyNumberFormat="1" applyFont="1" applyAlignment="1">
      <alignment horizontal="center" vertical="center"/>
    </xf>
    <xf numFmtId="166" fontId="4" fillId="0" borderId="0" xfId="1" applyNumberFormat="1" applyFont="1" applyFill="1" applyBorder="1" applyAlignment="1">
      <alignment vertical="center"/>
    </xf>
    <xf numFmtId="166" fontId="4" fillId="0" borderId="0" xfId="1" applyNumberFormat="1" applyFont="1"/>
    <xf numFmtId="166" fontId="4" fillId="0" borderId="13" xfId="1" applyNumberFormat="1" applyFont="1" applyFill="1" applyBorder="1" applyAlignment="1">
      <alignment vertical="center"/>
    </xf>
    <xf numFmtId="3" fontId="4" fillId="0" borderId="0" xfId="0" applyNumberFormat="1" applyFont="1" applyAlignment="1">
      <alignment vertical="center"/>
    </xf>
    <xf numFmtId="165" fontId="22" fillId="0" borderId="33" xfId="0" applyNumberFormat="1" applyFont="1" applyFill="1" applyBorder="1" applyAlignment="1"/>
    <xf numFmtId="166" fontId="17" fillId="0" borderId="17" xfId="1" applyNumberFormat="1" applyFont="1" applyFill="1" applyBorder="1"/>
    <xf numFmtId="165" fontId="22" fillId="0" borderId="17" xfId="0" applyNumberFormat="1" applyFont="1" applyFill="1" applyBorder="1" applyAlignment="1"/>
    <xf numFmtId="165" fontId="22" fillId="0" borderId="55" xfId="0" applyNumberFormat="1" applyFont="1" applyFill="1" applyBorder="1" applyAlignment="1"/>
    <xf numFmtId="165" fontId="22" fillId="0" borderId="33" xfId="0" applyNumberFormat="1" applyFont="1" applyFill="1" applyBorder="1" applyAlignment="1">
      <alignment vertical="center"/>
    </xf>
    <xf numFmtId="165" fontId="22" fillId="0" borderId="17" xfId="0" applyNumberFormat="1" applyFont="1" applyFill="1" applyBorder="1" applyAlignment="1">
      <alignment vertical="center"/>
    </xf>
    <xf numFmtId="165" fontId="22" fillId="0" borderId="41" xfId="0" applyNumberFormat="1" applyFont="1" applyFill="1" applyBorder="1" applyAlignment="1">
      <alignment vertical="center"/>
    </xf>
    <xf numFmtId="165" fontId="22" fillId="0" borderId="33" xfId="0" quotePrefix="1" applyNumberFormat="1" applyFont="1" applyFill="1" applyBorder="1" applyAlignment="1">
      <alignment vertical="center"/>
    </xf>
    <xf numFmtId="165" fontId="22" fillId="0" borderId="17" xfId="0" quotePrefix="1" applyNumberFormat="1" applyFont="1" applyFill="1" applyBorder="1" applyAlignment="1">
      <alignment vertical="center"/>
    </xf>
    <xf numFmtId="43" fontId="22" fillId="0" borderId="17" xfId="1" quotePrefix="1" applyFont="1" applyFill="1" applyBorder="1" applyAlignment="1">
      <alignment vertical="center"/>
    </xf>
    <xf numFmtId="43" fontId="22" fillId="0" borderId="17" xfId="1" applyFont="1" applyFill="1" applyBorder="1" applyAlignment="1">
      <alignment vertical="center"/>
    </xf>
    <xf numFmtId="165" fontId="17" fillId="0" borderId="8" xfId="0" applyNumberFormat="1" applyFont="1" applyFill="1" applyBorder="1" applyAlignment="1"/>
    <xf numFmtId="165" fontId="17" fillId="0" borderId="8" xfId="0" applyNumberFormat="1" applyFont="1" applyFill="1" applyBorder="1" applyAlignment="1">
      <alignment vertical="center"/>
    </xf>
    <xf numFmtId="165" fontId="17" fillId="0" borderId="38" xfId="0" applyNumberFormat="1" applyFont="1" applyFill="1" applyBorder="1" applyAlignment="1">
      <alignment vertical="center"/>
    </xf>
    <xf numFmtId="165" fontId="17" fillId="0" borderId="33" xfId="0" applyNumberFormat="1" applyFont="1" applyFill="1" applyBorder="1" applyAlignment="1">
      <alignment vertical="center"/>
    </xf>
    <xf numFmtId="165" fontId="17" fillId="0" borderId="17" xfId="0" applyNumberFormat="1" applyFont="1" applyFill="1" applyBorder="1" applyAlignment="1">
      <alignment vertical="center"/>
    </xf>
    <xf numFmtId="165" fontId="22" fillId="0" borderId="38" xfId="0" applyNumberFormat="1" applyFont="1" applyFill="1" applyBorder="1" applyAlignment="1">
      <alignment vertical="center"/>
    </xf>
    <xf numFmtId="165" fontId="17" fillId="0" borderId="41" xfId="0" applyNumberFormat="1" applyFont="1" applyFill="1" applyBorder="1" applyAlignment="1">
      <alignment vertical="center"/>
    </xf>
    <xf numFmtId="165" fontId="17" fillId="0" borderId="11" xfId="0" applyNumberFormat="1" applyFont="1" applyFill="1" applyBorder="1" applyAlignment="1">
      <alignment vertical="center"/>
    </xf>
    <xf numFmtId="165" fontId="22" fillId="0" borderId="20" xfId="0" applyNumberFormat="1" applyFont="1" applyFill="1" applyBorder="1" applyAlignment="1">
      <alignment vertical="center"/>
    </xf>
    <xf numFmtId="166" fontId="22" fillId="0" borderId="107" xfId="1" applyNumberFormat="1" applyFont="1" applyFill="1" applyBorder="1" applyAlignment="1">
      <alignment vertical="center"/>
    </xf>
    <xf numFmtId="166" fontId="22" fillId="0" borderId="33" xfId="1" applyNumberFormat="1" applyFont="1" applyFill="1" applyBorder="1" applyAlignment="1">
      <alignment vertical="center"/>
    </xf>
    <xf numFmtId="166" fontId="22" fillId="0" borderId="17" xfId="1" applyNumberFormat="1" applyFont="1" applyFill="1" applyBorder="1" applyAlignment="1">
      <alignment vertical="center"/>
    </xf>
    <xf numFmtId="165" fontId="22" fillId="0" borderId="107" xfId="0" applyNumberFormat="1" applyFont="1" applyFill="1" applyBorder="1" applyAlignment="1">
      <alignment vertical="center"/>
    </xf>
    <xf numFmtId="166" fontId="17" fillId="0" borderId="20" xfId="1" applyNumberFormat="1" applyFont="1" applyFill="1" applyBorder="1" applyAlignment="1">
      <alignment vertical="center"/>
    </xf>
    <xf numFmtId="166" fontId="17" fillId="0" borderId="107" xfId="1" applyNumberFormat="1" applyFont="1" applyFill="1" applyBorder="1" applyAlignment="1">
      <alignment vertical="center"/>
    </xf>
    <xf numFmtId="166" fontId="17" fillId="0" borderId="17" xfId="1" applyNumberFormat="1" applyFont="1" applyFill="1" applyBorder="1" applyAlignment="1">
      <alignment vertical="center"/>
    </xf>
    <xf numFmtId="166" fontId="17" fillId="0" borderId="88" xfId="1" applyNumberFormat="1" applyFont="1" applyFill="1" applyBorder="1" applyAlignment="1">
      <alignment vertical="center"/>
    </xf>
    <xf numFmtId="165" fontId="22" fillId="0" borderId="88" xfId="0" applyNumberFormat="1" applyFont="1" applyFill="1" applyBorder="1" applyAlignment="1">
      <alignment vertical="center"/>
    </xf>
    <xf numFmtId="166" fontId="22" fillId="0" borderId="73" xfId="1" applyNumberFormat="1" applyFont="1" applyFill="1" applyBorder="1" applyAlignment="1">
      <alignment vertical="center"/>
    </xf>
    <xf numFmtId="165" fontId="22" fillId="0" borderId="96" xfId="0" applyNumberFormat="1" applyFont="1" applyFill="1" applyBorder="1" applyAlignment="1">
      <alignment vertical="center"/>
    </xf>
    <xf numFmtId="166" fontId="22" fillId="0" borderId="66" xfId="1" applyNumberFormat="1" applyFont="1" applyFill="1" applyBorder="1" applyAlignment="1">
      <alignment vertical="center"/>
    </xf>
    <xf numFmtId="166" fontId="22" fillId="0" borderId="41" xfId="1" applyNumberFormat="1" applyFont="1" applyFill="1" applyBorder="1" applyAlignment="1">
      <alignment vertical="center"/>
    </xf>
    <xf numFmtId="165" fontId="22" fillId="0" borderId="11" xfId="0" applyNumberFormat="1" applyFont="1" applyFill="1" applyBorder="1" applyAlignment="1">
      <alignment vertical="center"/>
    </xf>
    <xf numFmtId="165" fontId="22" fillId="0" borderId="65" xfId="0" applyNumberFormat="1" applyFont="1" applyFill="1" applyBorder="1" applyAlignment="1">
      <alignment vertical="center"/>
    </xf>
    <xf numFmtId="165" fontId="22" fillId="0" borderId="15" xfId="0" applyNumberFormat="1" applyFont="1" applyFill="1" applyBorder="1" applyAlignment="1">
      <alignment vertical="center"/>
    </xf>
    <xf numFmtId="165" fontId="22" fillId="0" borderId="15" xfId="0" applyNumberFormat="1" applyFont="1" applyFill="1" applyBorder="1"/>
    <xf numFmtId="165" fontId="22" fillId="0" borderId="66" xfId="0" applyNumberFormat="1" applyFont="1" applyFill="1" applyBorder="1" applyAlignment="1">
      <alignment vertical="center"/>
    </xf>
    <xf numFmtId="165" fontId="22" fillId="0" borderId="108" xfId="0" applyNumberFormat="1" applyFont="1" applyFill="1" applyBorder="1" applyAlignment="1">
      <alignment vertical="center"/>
    </xf>
    <xf numFmtId="165" fontId="22" fillId="0" borderId="108" xfId="0" applyNumberFormat="1" applyFont="1" applyFill="1" applyBorder="1" applyAlignment="1"/>
    <xf numFmtId="165" fontId="22" fillId="0" borderId="41" xfId="0" applyNumberFormat="1" applyFont="1" applyFill="1" applyBorder="1" applyAlignment="1"/>
    <xf numFmtId="166" fontId="17" fillId="2" borderId="28" xfId="1" applyNumberFormat="1" applyFont="1" applyFill="1" applyBorder="1" applyAlignment="1">
      <alignment horizontal="right"/>
    </xf>
    <xf numFmtId="166" fontId="17" fillId="2" borderId="56" xfId="1" applyNumberFormat="1" applyFont="1" applyFill="1" applyBorder="1" applyAlignment="1">
      <alignment horizontal="right"/>
    </xf>
    <xf numFmtId="165" fontId="22" fillId="0" borderId="45" xfId="0" applyNumberFormat="1" applyFont="1" applyFill="1" applyBorder="1" applyAlignment="1">
      <alignment vertical="center"/>
    </xf>
    <xf numFmtId="166" fontId="17" fillId="2" borderId="80" xfId="1" applyNumberFormat="1" applyFont="1" applyFill="1" applyBorder="1" applyAlignment="1"/>
    <xf numFmtId="166" fontId="17" fillId="2" borderId="82" xfId="1" applyNumberFormat="1" applyFont="1" applyFill="1" applyBorder="1" applyAlignment="1"/>
    <xf numFmtId="165" fontId="22" fillId="0" borderId="8" xfId="0" applyNumberFormat="1" applyFont="1" applyFill="1" applyBorder="1" applyAlignment="1">
      <alignment horizontal="right" vertical="center"/>
    </xf>
    <xf numFmtId="165" fontId="22" fillId="0" borderId="71" xfId="0" applyNumberFormat="1" applyFont="1" applyFill="1" applyBorder="1" applyAlignment="1">
      <alignment horizontal="right" vertical="center"/>
    </xf>
    <xf numFmtId="165" fontId="22" fillId="0" borderId="73" xfId="0" applyNumberFormat="1" applyFont="1" applyFill="1" applyBorder="1" applyAlignment="1">
      <alignment horizontal="right" vertical="center"/>
    </xf>
    <xf numFmtId="165" fontId="22" fillId="0" borderId="73" xfId="0" applyNumberFormat="1" applyFont="1" applyFill="1" applyBorder="1" applyAlignment="1">
      <alignment vertical="center"/>
    </xf>
    <xf numFmtId="165" fontId="22" fillId="0" borderId="82" xfId="0" applyNumberFormat="1" applyFont="1" applyFill="1" applyBorder="1" applyAlignment="1">
      <alignment horizontal="right" vertical="center"/>
    </xf>
    <xf numFmtId="165" fontId="22" fillId="0" borderId="74" xfId="0" applyNumberFormat="1" applyFont="1" applyFill="1" applyBorder="1" applyAlignment="1">
      <alignment horizontal="right" vertical="center"/>
    </xf>
    <xf numFmtId="165" fontId="22" fillId="0" borderId="33" xfId="0" applyNumberFormat="1" applyFont="1" applyFill="1" applyBorder="1" applyAlignment="1">
      <alignment horizontal="right" vertical="center"/>
    </xf>
    <xf numFmtId="165" fontId="22" fillId="0" borderId="38" xfId="0" applyNumberFormat="1" applyFont="1" applyFill="1" applyBorder="1" applyAlignment="1">
      <alignment horizontal="right" vertical="center"/>
    </xf>
    <xf numFmtId="165" fontId="22" fillId="0" borderId="74" xfId="0" applyNumberFormat="1" applyFont="1" applyFill="1" applyBorder="1" applyAlignment="1">
      <alignment vertical="center"/>
    </xf>
    <xf numFmtId="165" fontId="22" fillId="0" borderId="8" xfId="0" applyNumberFormat="1" applyFont="1" applyFill="1" applyBorder="1" applyAlignment="1">
      <alignment vertical="center"/>
    </xf>
    <xf numFmtId="37" fontId="3" fillId="23" borderId="16" xfId="0" applyNumberFormat="1" applyFont="1" applyFill="1" applyBorder="1" applyAlignment="1">
      <alignment horizontal="left" vertical="center"/>
    </xf>
    <xf numFmtId="165" fontId="3" fillId="23" borderId="8" xfId="0" applyNumberFormat="1" applyFont="1" applyFill="1" applyBorder="1" applyAlignment="1">
      <alignment horizontal="right" vertical="center"/>
    </xf>
    <xf numFmtId="165" fontId="3" fillId="23" borderId="4" xfId="0" applyNumberFormat="1" applyFont="1" applyFill="1" applyBorder="1" applyAlignment="1">
      <alignment horizontal="right" vertical="center"/>
    </xf>
    <xf numFmtId="37" fontId="3" fillId="24" borderId="1" xfId="0" applyNumberFormat="1" applyFont="1" applyFill="1" applyBorder="1" applyAlignment="1">
      <alignment horizontal="left" vertical="center"/>
    </xf>
    <xf numFmtId="165" fontId="3" fillId="24" borderId="45" xfId="0" applyNumberFormat="1" applyFont="1" applyFill="1" applyBorder="1" applyAlignment="1">
      <alignment vertical="center"/>
    </xf>
    <xf numFmtId="165" fontId="3" fillId="24" borderId="5" xfId="0" applyNumberFormat="1" applyFont="1" applyFill="1" applyBorder="1" applyAlignment="1">
      <alignment vertical="center"/>
    </xf>
    <xf numFmtId="165" fontId="3" fillId="24" borderId="45" xfId="0" applyNumberFormat="1" applyFont="1" applyFill="1" applyBorder="1" applyAlignment="1">
      <alignment horizontal="right" vertical="center"/>
    </xf>
    <xf numFmtId="165" fontId="3" fillId="24" borderId="5" xfId="0" applyNumberFormat="1" applyFont="1" applyFill="1" applyBorder="1" applyAlignment="1">
      <alignment horizontal="right" vertical="center"/>
    </xf>
    <xf numFmtId="165" fontId="3" fillId="24" borderId="8" xfId="0" applyNumberFormat="1" applyFont="1" applyFill="1" applyBorder="1" applyAlignment="1">
      <alignment horizontal="right" vertical="center"/>
    </xf>
    <xf numFmtId="166" fontId="3" fillId="24" borderId="8" xfId="1" applyNumberFormat="1" applyFont="1" applyFill="1" applyBorder="1" applyAlignment="1">
      <alignment vertical="center"/>
    </xf>
    <xf numFmtId="165" fontId="3" fillId="24" borderId="8" xfId="0" applyNumberFormat="1" applyFont="1" applyFill="1" applyBorder="1" applyAlignment="1">
      <alignment vertical="center"/>
    </xf>
    <xf numFmtId="165" fontId="3" fillId="24" borderId="14" xfId="0" applyNumberFormat="1" applyFont="1" applyFill="1" applyBorder="1" applyAlignment="1">
      <alignment horizontal="right" vertical="center"/>
    </xf>
    <xf numFmtId="37" fontId="3" fillId="21" borderId="8" xfId="0" applyNumberFormat="1" applyFont="1" applyFill="1" applyBorder="1" applyAlignment="1">
      <alignment vertical="center"/>
    </xf>
    <xf numFmtId="37" fontId="3" fillId="7" borderId="1" xfId="0" applyNumberFormat="1" applyFont="1" applyFill="1" applyBorder="1" applyAlignment="1">
      <alignment horizontal="left" vertical="center"/>
    </xf>
    <xf numFmtId="43" fontId="4" fillId="0" borderId="0" xfId="1" applyFont="1" applyFill="1" applyBorder="1" applyAlignment="1">
      <alignment vertical="center"/>
    </xf>
    <xf numFmtId="164" fontId="3" fillId="11" borderId="2" xfId="0" applyNumberFormat="1" applyFont="1" applyFill="1" applyBorder="1" applyAlignment="1">
      <alignment horizontal="center" vertical="center"/>
    </xf>
    <xf numFmtId="164" fontId="3" fillId="11" borderId="8" xfId="0" applyNumberFormat="1" applyFont="1" applyFill="1" applyBorder="1" applyAlignment="1">
      <alignment horizontal="center" vertical="center"/>
    </xf>
    <xf numFmtId="165" fontId="3" fillId="24" borderId="8" xfId="1" applyNumberFormat="1" applyFont="1" applyFill="1" applyBorder="1" applyAlignment="1">
      <alignment vertical="center"/>
    </xf>
    <xf numFmtId="166" fontId="3" fillId="0" borderId="8" xfId="1" applyNumberFormat="1" applyFont="1" applyFill="1" applyBorder="1" applyAlignment="1">
      <alignment vertical="center"/>
    </xf>
    <xf numFmtId="166" fontId="3" fillId="23" borderId="8" xfId="1" applyNumberFormat="1" applyFont="1" applyFill="1" applyBorder="1" applyAlignment="1">
      <alignment vertical="center"/>
    </xf>
    <xf numFmtId="166" fontId="22" fillId="0" borderId="20" xfId="1" applyNumberFormat="1" applyFont="1" applyFill="1" applyBorder="1" applyAlignment="1">
      <alignment vertical="center"/>
    </xf>
    <xf numFmtId="165" fontId="3" fillId="24" borderId="1" xfId="0" applyNumberFormat="1" applyFont="1" applyFill="1" applyBorder="1" applyAlignment="1">
      <alignment horizontal="right" vertical="center"/>
    </xf>
    <xf numFmtId="165" fontId="17" fillId="0" borderId="71" xfId="0" applyNumberFormat="1" applyFont="1" applyFill="1" applyBorder="1" applyAlignment="1">
      <alignment vertical="center"/>
    </xf>
    <xf numFmtId="165" fontId="22" fillId="0" borderId="71" xfId="0" applyNumberFormat="1" applyFont="1" applyFill="1" applyBorder="1" applyAlignment="1">
      <alignment vertical="center"/>
    </xf>
    <xf numFmtId="165" fontId="22" fillId="0" borderId="73" xfId="0" applyNumberFormat="1" applyFont="1" applyFill="1" applyBorder="1" applyAlignment="1"/>
    <xf numFmtId="166" fontId="17" fillId="0" borderId="73" xfId="1" applyNumberFormat="1" applyFont="1" applyFill="1" applyBorder="1"/>
    <xf numFmtId="165" fontId="22" fillId="0" borderId="1" xfId="0" applyNumberFormat="1" applyFont="1" applyFill="1" applyBorder="1" applyAlignment="1">
      <alignment vertical="center"/>
    </xf>
    <xf numFmtId="166" fontId="3" fillId="21" borderId="8" xfId="1" applyNumberFormat="1" applyFont="1" applyFill="1" applyBorder="1" applyAlignment="1">
      <alignment vertical="center"/>
    </xf>
    <xf numFmtId="165" fontId="3" fillId="24" borderId="1" xfId="0" applyNumberFormat="1" applyFont="1" applyFill="1" applyBorder="1" applyAlignment="1">
      <alignment vertical="center"/>
    </xf>
    <xf numFmtId="165" fontId="3" fillId="0" borderId="2" xfId="0" applyNumberFormat="1" applyFont="1" applyFill="1" applyBorder="1" applyAlignment="1">
      <alignment vertical="center"/>
    </xf>
    <xf numFmtId="165" fontId="22" fillId="0" borderId="65" xfId="0" applyNumberFormat="1" applyFont="1" applyFill="1" applyBorder="1" applyAlignment="1"/>
    <xf numFmtId="166" fontId="17" fillId="0" borderId="20" xfId="1" applyNumberFormat="1" applyFont="1" applyFill="1" applyBorder="1"/>
    <xf numFmtId="165" fontId="22" fillId="0" borderId="20" xfId="0" applyNumberFormat="1" applyFont="1" applyFill="1" applyBorder="1" applyAlignment="1"/>
    <xf numFmtId="165" fontId="22" fillId="0" borderId="12" xfId="0" applyNumberFormat="1" applyFont="1" applyFill="1" applyBorder="1" applyAlignment="1"/>
    <xf numFmtId="165" fontId="22" fillId="0" borderId="65" xfId="0" quotePrefix="1" applyNumberFormat="1" applyFont="1" applyFill="1" applyBorder="1" applyAlignment="1">
      <alignment vertical="center"/>
    </xf>
    <xf numFmtId="165" fontId="22" fillId="0" borderId="20" xfId="0" quotePrefix="1" applyNumberFormat="1" applyFont="1" applyFill="1" applyBorder="1" applyAlignment="1">
      <alignment vertical="center"/>
    </xf>
    <xf numFmtId="43" fontId="22" fillId="0" borderId="20" xfId="1" quotePrefix="1" applyFont="1" applyFill="1" applyBorder="1" applyAlignment="1">
      <alignment vertical="center"/>
    </xf>
    <xf numFmtId="165" fontId="17" fillId="0" borderId="1" xfId="0" applyNumberFormat="1" applyFont="1" applyFill="1" applyBorder="1" applyAlignment="1"/>
    <xf numFmtId="165" fontId="22" fillId="0" borderId="5" xfId="0" applyNumberFormat="1" applyFont="1" applyFill="1" applyBorder="1" applyAlignment="1">
      <alignment vertical="center"/>
    </xf>
    <xf numFmtId="165" fontId="22" fillId="0" borderId="43" xfId="0" applyNumberFormat="1" applyFont="1" applyFill="1" applyBorder="1" applyAlignment="1"/>
    <xf numFmtId="165" fontId="17" fillId="0" borderId="73" xfId="1" applyNumberFormat="1" applyFont="1" applyFill="1" applyBorder="1"/>
    <xf numFmtId="165" fontId="22" fillId="0" borderId="70" xfId="0" applyNumberFormat="1" applyFont="1" applyFill="1" applyBorder="1" applyAlignment="1"/>
    <xf numFmtId="165" fontId="22" fillId="0" borderId="43" xfId="0" applyNumberFormat="1" applyFont="1" applyFill="1" applyBorder="1" applyAlignment="1">
      <alignment vertical="center"/>
    </xf>
    <xf numFmtId="165" fontId="22" fillId="0" borderId="43" xfId="0" quotePrefix="1" applyNumberFormat="1" applyFont="1" applyFill="1" applyBorder="1" applyAlignment="1">
      <alignment vertical="center"/>
    </xf>
    <xf numFmtId="165" fontId="22" fillId="0" borderId="73" xfId="0" quotePrefix="1" applyNumberFormat="1" applyFont="1" applyFill="1" applyBorder="1" applyAlignment="1">
      <alignment vertical="center"/>
    </xf>
    <xf numFmtId="165" fontId="22" fillId="0" borderId="73" xfId="1" quotePrefix="1" applyNumberFormat="1" applyFont="1" applyFill="1" applyBorder="1" applyAlignment="1">
      <alignment vertical="center"/>
    </xf>
    <xf numFmtId="165" fontId="17" fillId="0" borderId="14" xfId="0" applyNumberFormat="1" applyFont="1" applyFill="1" applyBorder="1" applyAlignment="1"/>
    <xf numFmtId="166" fontId="3" fillId="21" borderId="6" xfId="1" applyNumberFormat="1" applyFont="1" applyFill="1" applyBorder="1" applyAlignment="1">
      <alignment vertical="center"/>
    </xf>
    <xf numFmtId="165" fontId="3" fillId="24" borderId="6" xfId="0" applyNumberFormat="1" applyFont="1" applyFill="1" applyBorder="1" applyAlignment="1">
      <alignment vertical="center"/>
    </xf>
    <xf numFmtId="166" fontId="3" fillId="0" borderId="6" xfId="1" applyNumberFormat="1" applyFont="1" applyFill="1" applyBorder="1" applyAlignment="1">
      <alignment vertical="center"/>
    </xf>
    <xf numFmtId="165" fontId="22" fillId="0" borderId="36" xfId="0" applyNumberFormat="1" applyFont="1" applyFill="1" applyBorder="1" applyAlignment="1"/>
    <xf numFmtId="166" fontId="17" fillId="0" borderId="23" xfId="1" applyNumberFormat="1" applyFont="1" applyFill="1" applyBorder="1"/>
    <xf numFmtId="165" fontId="17" fillId="0" borderId="23" xfId="1" applyNumberFormat="1" applyFont="1" applyFill="1" applyBorder="1"/>
    <xf numFmtId="165" fontId="22" fillId="0" borderId="23" xfId="0" applyNumberFormat="1" applyFont="1" applyFill="1" applyBorder="1" applyAlignment="1"/>
    <xf numFmtId="165" fontId="22" fillId="0" borderId="28" xfId="0" applyNumberFormat="1" applyFont="1" applyFill="1" applyBorder="1" applyAlignment="1"/>
    <xf numFmtId="165" fontId="22" fillId="0" borderId="36" xfId="0" applyNumberFormat="1" applyFont="1" applyFill="1" applyBorder="1" applyAlignment="1">
      <alignment vertical="center"/>
    </xf>
    <xf numFmtId="165" fontId="22" fillId="0" borderId="23" xfId="0" applyNumberFormat="1" applyFont="1" applyFill="1" applyBorder="1" applyAlignment="1">
      <alignment vertical="center"/>
    </xf>
    <xf numFmtId="165" fontId="22" fillId="0" borderId="56" xfId="0" applyNumberFormat="1" applyFont="1" applyFill="1" applyBorder="1" applyAlignment="1">
      <alignment vertical="center"/>
    </xf>
    <xf numFmtId="165" fontId="22" fillId="0" borderId="36" xfId="0" quotePrefix="1" applyNumberFormat="1" applyFont="1" applyFill="1" applyBorder="1" applyAlignment="1">
      <alignment vertical="center"/>
    </xf>
    <xf numFmtId="165" fontId="22" fillId="0" borderId="23" xfId="0" quotePrefix="1" applyNumberFormat="1" applyFont="1" applyFill="1" applyBorder="1" applyAlignment="1">
      <alignment vertical="center"/>
    </xf>
    <xf numFmtId="43" fontId="22" fillId="0" borderId="23" xfId="1" quotePrefix="1" applyFont="1" applyFill="1" applyBorder="1" applyAlignment="1">
      <alignment vertical="center"/>
    </xf>
    <xf numFmtId="43" fontId="22" fillId="0" borderId="23" xfId="1" applyFont="1" applyFill="1" applyBorder="1" applyAlignment="1">
      <alignment vertical="center"/>
    </xf>
    <xf numFmtId="165" fontId="17" fillId="0" borderId="6" xfId="0" applyNumberFormat="1" applyFont="1" applyFill="1" applyBorder="1" applyAlignment="1"/>
    <xf numFmtId="165" fontId="22" fillId="0" borderId="6" xfId="0" applyNumberFormat="1" applyFont="1" applyFill="1" applyBorder="1" applyAlignment="1">
      <alignment vertical="center"/>
    </xf>
    <xf numFmtId="37" fontId="3" fillId="0" borderId="65" xfId="0" applyNumberFormat="1" applyFont="1" applyFill="1" applyBorder="1" applyAlignment="1">
      <alignment vertical="center"/>
    </xf>
    <xf numFmtId="37" fontId="3" fillId="0" borderId="15" xfId="0" applyNumberFormat="1" applyFont="1" applyFill="1" applyBorder="1" applyAlignment="1">
      <alignment vertical="center"/>
    </xf>
    <xf numFmtId="165" fontId="3" fillId="7" borderId="14" xfId="0" applyNumberFormat="1" applyFont="1" applyFill="1" applyBorder="1" applyAlignment="1">
      <alignment vertical="center"/>
    </xf>
    <xf numFmtId="165" fontId="17" fillId="0" borderId="73" xfId="0" applyNumberFormat="1" applyFont="1" applyFill="1" applyBorder="1" applyAlignment="1">
      <alignment vertical="center"/>
    </xf>
    <xf numFmtId="165" fontId="17" fillId="0" borderId="69" xfId="0" applyNumberFormat="1" applyFont="1" applyFill="1" applyBorder="1" applyAlignment="1">
      <alignment vertical="center"/>
    </xf>
    <xf numFmtId="166" fontId="3" fillId="23" borderId="6" xfId="1" applyNumberFormat="1" applyFont="1" applyFill="1" applyBorder="1" applyAlignment="1">
      <alignment vertical="center"/>
    </xf>
    <xf numFmtId="165" fontId="17" fillId="0" borderId="32" xfId="0" applyNumberFormat="1" applyFont="1" applyFill="1" applyBorder="1" applyAlignment="1">
      <alignment vertical="center"/>
    </xf>
    <xf numFmtId="165" fontId="17" fillId="0" borderId="32" xfId="0" quotePrefix="1" applyNumberFormat="1" applyFont="1" applyFill="1" applyBorder="1" applyAlignment="1">
      <alignment vertical="center"/>
    </xf>
    <xf numFmtId="165" fontId="17" fillId="0" borderId="23" xfId="0" applyNumberFormat="1" applyFont="1" applyFill="1" applyBorder="1" applyAlignment="1">
      <alignment vertical="center"/>
    </xf>
    <xf numFmtId="165" fontId="17" fillId="0" borderId="27" xfId="0" applyNumberFormat="1" applyFont="1" applyFill="1" applyBorder="1" applyAlignment="1">
      <alignment vertical="center"/>
    </xf>
    <xf numFmtId="166" fontId="3" fillId="24" borderId="1" xfId="1" applyNumberFormat="1" applyFont="1" applyFill="1" applyBorder="1" applyAlignment="1">
      <alignment vertical="center"/>
    </xf>
    <xf numFmtId="165" fontId="3" fillId="24" borderId="14" xfId="1" applyNumberFormat="1" applyFont="1" applyFill="1" applyBorder="1" applyAlignment="1">
      <alignment vertical="center"/>
    </xf>
    <xf numFmtId="166" fontId="3" fillId="24" borderId="6" xfId="1" applyNumberFormat="1" applyFont="1" applyFill="1" applyBorder="1" applyAlignment="1">
      <alignment vertical="center"/>
    </xf>
    <xf numFmtId="165" fontId="3" fillId="19" borderId="143" xfId="0" applyNumberFormat="1" applyFont="1" applyFill="1" applyBorder="1" applyAlignment="1">
      <alignment vertical="center"/>
    </xf>
    <xf numFmtId="165" fontId="17" fillId="0" borderId="88" xfId="1" applyNumberFormat="1" applyFont="1" applyFill="1" applyBorder="1" applyAlignment="1">
      <alignment vertical="center"/>
    </xf>
    <xf numFmtId="166" fontId="22" fillId="0" borderId="23" xfId="1" applyNumberFormat="1" applyFont="1" applyFill="1" applyBorder="1" applyAlignment="1">
      <alignment vertical="center"/>
    </xf>
    <xf numFmtId="166" fontId="17" fillId="0" borderId="23" xfId="1" applyNumberFormat="1" applyFont="1" applyFill="1" applyBorder="1" applyAlignment="1">
      <alignment vertical="center"/>
    </xf>
    <xf numFmtId="165" fontId="17" fillId="0" borderId="23" xfId="1" applyNumberFormat="1" applyFont="1" applyFill="1" applyBorder="1" applyAlignment="1">
      <alignment vertical="center"/>
    </xf>
    <xf numFmtId="165" fontId="17" fillId="0" borderId="61" xfId="0" applyNumberFormat="1" applyFont="1" applyFill="1" applyBorder="1" applyAlignment="1">
      <alignment vertical="center"/>
    </xf>
    <xf numFmtId="165" fontId="17" fillId="0" borderId="60" xfId="0" applyNumberFormat="1" applyFont="1" applyFill="1" applyBorder="1" applyAlignment="1">
      <alignment vertical="center"/>
    </xf>
    <xf numFmtId="165" fontId="17" fillId="0" borderId="67" xfId="0" applyNumberFormat="1" applyFont="1" applyFill="1" applyBorder="1" applyAlignment="1">
      <alignment vertical="center"/>
    </xf>
    <xf numFmtId="165" fontId="3" fillId="7" borderId="46" xfId="0" applyNumberFormat="1" applyFont="1" applyFill="1" applyBorder="1" applyAlignment="1">
      <alignment vertical="center"/>
    </xf>
    <xf numFmtId="165" fontId="17" fillId="0" borderId="77" xfId="0" applyNumberFormat="1" applyFont="1" applyFill="1" applyBorder="1" applyAlignment="1">
      <alignment vertical="center"/>
    </xf>
    <xf numFmtId="165" fontId="17" fillId="0" borderId="79" xfId="0" applyNumberFormat="1" applyFont="1" applyFill="1" applyBorder="1" applyAlignment="1">
      <alignment vertical="center"/>
    </xf>
    <xf numFmtId="165" fontId="17" fillId="0" borderId="78" xfId="0" applyNumberFormat="1" applyFont="1" applyFill="1" applyBorder="1" applyAlignment="1">
      <alignment vertical="center"/>
    </xf>
    <xf numFmtId="165" fontId="22" fillId="0" borderId="25" xfId="0" applyNumberFormat="1" applyFont="1" applyFill="1" applyBorder="1" applyAlignment="1">
      <alignment vertical="center"/>
    </xf>
    <xf numFmtId="165" fontId="3" fillId="19" borderId="14" xfId="0" applyNumberFormat="1" applyFont="1" applyFill="1" applyBorder="1" applyAlignment="1">
      <alignment vertical="center"/>
    </xf>
    <xf numFmtId="165" fontId="22" fillId="0" borderId="69" xfId="0" applyNumberFormat="1" applyFont="1" applyFill="1" applyBorder="1" applyAlignment="1">
      <alignment vertical="center"/>
    </xf>
    <xf numFmtId="165" fontId="22" fillId="0" borderId="32" xfId="0" applyNumberFormat="1" applyFont="1" applyFill="1" applyBorder="1" applyAlignment="1">
      <alignment vertical="center"/>
    </xf>
    <xf numFmtId="165" fontId="22" fillId="0" borderId="27" xfId="0" applyNumberFormat="1" applyFont="1" applyFill="1" applyBorder="1" applyAlignment="1">
      <alignment vertical="center"/>
    </xf>
    <xf numFmtId="165" fontId="22" fillId="0" borderId="94" xfId="0" applyNumberFormat="1" applyFont="1" applyFill="1" applyBorder="1" applyAlignment="1">
      <alignment vertical="center"/>
    </xf>
    <xf numFmtId="165" fontId="22" fillId="0" borderId="87" xfId="0" applyNumberFormat="1" applyFont="1" applyFill="1" applyBorder="1" applyAlignment="1">
      <alignment vertical="center"/>
    </xf>
    <xf numFmtId="165" fontId="22" fillId="0" borderId="87" xfId="0" applyNumberFormat="1" applyFont="1" applyFill="1" applyBorder="1"/>
    <xf numFmtId="165" fontId="22" fillId="0" borderId="32" xfId="0" applyNumberFormat="1" applyFont="1" applyFill="1" applyBorder="1"/>
    <xf numFmtId="165" fontId="22" fillId="0" borderId="24" xfId="0" applyNumberFormat="1" applyFont="1" applyFill="1" applyBorder="1" applyAlignment="1">
      <alignment vertical="center"/>
    </xf>
    <xf numFmtId="165" fontId="22" fillId="0" borderId="72" xfId="0" applyNumberFormat="1" applyFont="1" applyFill="1" applyBorder="1" applyAlignment="1">
      <alignment vertical="center"/>
    </xf>
    <xf numFmtId="165" fontId="22" fillId="0" borderId="29" xfId="0" applyNumberFormat="1" applyFont="1" applyFill="1" applyBorder="1" applyAlignment="1">
      <alignment vertical="center"/>
    </xf>
    <xf numFmtId="165" fontId="3" fillId="24" borderId="14" xfId="0" applyNumberFormat="1" applyFont="1" applyFill="1" applyBorder="1" applyAlignment="1">
      <alignment vertical="center"/>
    </xf>
    <xf numFmtId="43" fontId="22" fillId="0" borderId="20" xfId="1" applyFont="1" applyFill="1" applyBorder="1" applyAlignment="1">
      <alignment vertical="center"/>
    </xf>
    <xf numFmtId="165" fontId="17" fillId="0" borderId="1" xfId="0" applyNumberFormat="1" applyFont="1" applyFill="1" applyBorder="1" applyAlignment="1">
      <alignment vertical="center"/>
    </xf>
    <xf numFmtId="165" fontId="22" fillId="0" borderId="35" xfId="0" applyNumberFormat="1" applyFont="1" applyFill="1" applyBorder="1" applyAlignment="1"/>
    <xf numFmtId="166" fontId="17" fillId="0" borderId="22" xfId="1" applyNumberFormat="1" applyFont="1" applyFill="1" applyBorder="1"/>
    <xf numFmtId="165" fontId="22" fillId="0" borderId="22" xfId="0" applyNumberFormat="1" applyFont="1" applyFill="1" applyBorder="1" applyAlignment="1"/>
    <xf numFmtId="165" fontId="22" fillId="0" borderId="57" xfId="0" applyNumberFormat="1" applyFont="1" applyFill="1" applyBorder="1" applyAlignment="1"/>
    <xf numFmtId="165" fontId="22" fillId="0" borderId="35" xfId="0" applyNumberFormat="1" applyFont="1" applyFill="1" applyBorder="1" applyAlignment="1">
      <alignment vertical="center"/>
    </xf>
    <xf numFmtId="165" fontId="22" fillId="0" borderId="22" xfId="0" applyNumberFormat="1" applyFont="1" applyFill="1" applyBorder="1" applyAlignment="1">
      <alignment vertical="center"/>
    </xf>
    <xf numFmtId="165" fontId="22" fillId="0" borderId="75" xfId="0" applyNumberFormat="1" applyFont="1" applyFill="1" applyBorder="1" applyAlignment="1">
      <alignment vertical="center"/>
    </xf>
    <xf numFmtId="165" fontId="22" fillId="0" borderId="35" xfId="0" quotePrefix="1" applyNumberFormat="1" applyFont="1" applyFill="1" applyBorder="1" applyAlignment="1">
      <alignment vertical="center"/>
    </xf>
    <xf numFmtId="165" fontId="22" fillId="0" borderId="22" xfId="0" quotePrefix="1" applyNumberFormat="1" applyFont="1" applyFill="1" applyBorder="1" applyAlignment="1">
      <alignment vertical="center"/>
    </xf>
    <xf numFmtId="43" fontId="22" fillId="0" borderId="22" xfId="1" applyFont="1" applyFill="1" applyBorder="1" applyAlignment="1">
      <alignment vertical="center"/>
    </xf>
    <xf numFmtId="165" fontId="17" fillId="0" borderId="5" xfId="0" applyNumberFormat="1" applyFont="1" applyFill="1" applyBorder="1" applyAlignment="1">
      <alignment vertical="center"/>
    </xf>
    <xf numFmtId="165" fontId="22" fillId="0" borderId="76" xfId="0" applyNumberFormat="1" applyFont="1" applyFill="1" applyBorder="1" applyAlignment="1"/>
    <xf numFmtId="165" fontId="17" fillId="0" borderId="79" xfId="1" applyNumberFormat="1" applyFont="1" applyFill="1" applyBorder="1"/>
    <xf numFmtId="165" fontId="22" fillId="0" borderId="79" xfId="0" applyNumberFormat="1" applyFont="1" applyFill="1" applyBorder="1" applyAlignment="1"/>
    <xf numFmtId="165" fontId="22" fillId="0" borderId="80" xfId="0" applyNumberFormat="1" applyFont="1" applyFill="1" applyBorder="1" applyAlignment="1"/>
    <xf numFmtId="165" fontId="22" fillId="0" borderId="76" xfId="0" applyNumberFormat="1" applyFont="1" applyFill="1" applyBorder="1" applyAlignment="1">
      <alignment vertical="center"/>
    </xf>
    <xf numFmtId="165" fontId="22" fillId="0" borderId="79" xfId="0" applyNumberFormat="1" applyFont="1" applyFill="1" applyBorder="1" applyAlignment="1">
      <alignment vertical="center"/>
    </xf>
    <xf numFmtId="165" fontId="22" fillId="0" borderId="82" xfId="0" applyNumberFormat="1" applyFont="1" applyFill="1" applyBorder="1" applyAlignment="1">
      <alignment vertical="center"/>
    </xf>
    <xf numFmtId="165" fontId="22" fillId="0" borderId="76" xfId="0" quotePrefix="1" applyNumberFormat="1" applyFont="1" applyFill="1" applyBorder="1" applyAlignment="1">
      <alignment vertical="center"/>
    </xf>
    <xf numFmtId="165" fontId="22" fillId="0" borderId="79" xfId="0" quotePrefix="1" applyNumberFormat="1" applyFont="1" applyFill="1" applyBorder="1" applyAlignment="1">
      <alignment vertical="center"/>
    </xf>
    <xf numFmtId="165" fontId="22" fillId="0" borderId="79" xfId="1" quotePrefix="1" applyNumberFormat="1" applyFont="1" applyFill="1" applyBorder="1" applyAlignment="1">
      <alignment vertical="center"/>
    </xf>
    <xf numFmtId="165" fontId="17" fillId="0" borderId="46" xfId="0" applyNumberFormat="1" applyFont="1" applyFill="1" applyBorder="1" applyAlignment="1"/>
    <xf numFmtId="43" fontId="22" fillId="0" borderId="22" xfId="1" quotePrefix="1" applyFont="1" applyFill="1" applyBorder="1" applyAlignment="1">
      <alignment vertical="center"/>
    </xf>
    <xf numFmtId="165" fontId="3" fillId="7" borderId="2" xfId="0" applyNumberFormat="1" applyFont="1" applyFill="1" applyBorder="1" applyAlignment="1">
      <alignment vertical="center"/>
    </xf>
    <xf numFmtId="165" fontId="17" fillId="0" borderId="94" xfId="0" applyNumberFormat="1" applyFont="1" applyFill="1" applyBorder="1" applyAlignment="1">
      <alignment vertical="center"/>
    </xf>
    <xf numFmtId="165" fontId="17" fillId="0" borderId="87" xfId="0" applyNumberFormat="1" applyFont="1" applyFill="1" applyBorder="1" applyAlignment="1">
      <alignment vertical="center"/>
    </xf>
    <xf numFmtId="165" fontId="17" fillId="0" borderId="88" xfId="0" applyNumberFormat="1" applyFont="1" applyFill="1" applyBorder="1" applyAlignment="1">
      <alignment vertical="center"/>
    </xf>
    <xf numFmtId="165" fontId="17" fillId="0" borderId="13" xfId="0" applyNumberFormat="1" applyFont="1" applyFill="1" applyBorder="1" applyAlignment="1">
      <alignment vertical="center"/>
    </xf>
    <xf numFmtId="165" fontId="3" fillId="7" borderId="1" xfId="0" applyNumberFormat="1" applyFont="1" applyFill="1" applyBorder="1" applyAlignment="1">
      <alignment vertical="center"/>
    </xf>
    <xf numFmtId="165" fontId="17" fillId="0" borderId="65" xfId="0" applyNumberFormat="1" applyFont="1" applyFill="1" applyBorder="1" applyAlignment="1">
      <alignment vertical="center"/>
    </xf>
    <xf numFmtId="165" fontId="17" fillId="0" borderId="15" xfId="0" applyNumberFormat="1" applyFont="1" applyFill="1" applyBorder="1" applyAlignment="1">
      <alignment vertical="center"/>
    </xf>
    <xf numFmtId="165" fontId="17" fillId="0" borderId="20" xfId="0" applyNumberFormat="1" applyFont="1" applyFill="1" applyBorder="1" applyAlignment="1">
      <alignment vertical="center"/>
    </xf>
    <xf numFmtId="165" fontId="17" fillId="0" borderId="25" xfId="0" applyNumberFormat="1" applyFont="1" applyFill="1" applyBorder="1" applyAlignment="1">
      <alignment vertical="center"/>
    </xf>
    <xf numFmtId="165" fontId="3" fillId="7" borderId="1" xfId="0" applyNumberFormat="1" applyFont="1" applyFill="1" applyBorder="1" applyAlignment="1">
      <alignment horizontal="right" vertical="center"/>
    </xf>
    <xf numFmtId="166" fontId="3" fillId="0" borderId="33" xfId="1" applyNumberFormat="1" applyFont="1" applyFill="1" applyBorder="1" applyAlignment="1">
      <alignment vertical="center"/>
    </xf>
    <xf numFmtId="166" fontId="17" fillId="0" borderId="41" xfId="1" applyNumberFormat="1" applyFont="1" applyFill="1" applyBorder="1"/>
    <xf numFmtId="166" fontId="17" fillId="0" borderId="8" xfId="1" applyNumberFormat="1" applyFont="1" applyFill="1" applyBorder="1"/>
    <xf numFmtId="166" fontId="4" fillId="25" borderId="8" xfId="1" applyNumberFormat="1" applyFont="1" applyFill="1" applyBorder="1"/>
    <xf numFmtId="165" fontId="3" fillId="24" borderId="6" xfId="1" applyNumberFormat="1" applyFont="1" applyFill="1" applyBorder="1" applyAlignment="1">
      <alignment vertical="center"/>
    </xf>
    <xf numFmtId="165" fontId="3" fillId="24" borderId="2" xfId="0" applyNumberFormat="1" applyFont="1" applyFill="1" applyBorder="1" applyAlignment="1">
      <alignment vertical="center"/>
    </xf>
    <xf numFmtId="166" fontId="22" fillId="0" borderId="65" xfId="1" applyNumberFormat="1" applyFont="1" applyFill="1" applyBorder="1" applyAlignment="1">
      <alignment vertical="center"/>
    </xf>
    <xf numFmtId="166" fontId="22" fillId="0" borderId="88" xfId="1" applyNumberFormat="1" applyFont="1" applyFill="1" applyBorder="1" applyAlignment="1">
      <alignment vertical="center"/>
    </xf>
    <xf numFmtId="165" fontId="17" fillId="0" borderId="79" xfId="1" applyNumberFormat="1" applyFont="1" applyFill="1" applyBorder="1" applyAlignment="1">
      <alignment vertical="center"/>
    </xf>
    <xf numFmtId="165" fontId="3" fillId="19" borderId="1" xfId="0" applyNumberFormat="1" applyFont="1" applyFill="1" applyBorder="1" applyAlignment="1">
      <alignment horizontal="right" vertical="center"/>
    </xf>
    <xf numFmtId="165" fontId="22" fillId="0" borderId="40" xfId="0" applyNumberFormat="1" applyFont="1" applyFill="1" applyBorder="1" applyAlignment="1">
      <alignment vertical="center"/>
    </xf>
    <xf numFmtId="165" fontId="22" fillId="0" borderId="77" xfId="0" applyNumberFormat="1" applyFont="1" applyFill="1" applyBorder="1" applyAlignment="1">
      <alignment vertical="center"/>
    </xf>
    <xf numFmtId="165" fontId="22" fillId="0" borderId="71" xfId="0" applyNumberFormat="1" applyFont="1" applyFill="1" applyBorder="1"/>
    <xf numFmtId="165" fontId="22" fillId="0" borderId="24" xfId="0" applyNumberFormat="1" applyFont="1" applyFill="1" applyBorder="1" applyAlignment="1"/>
    <xf numFmtId="165" fontId="22" fillId="0" borderId="66" xfId="0" applyNumberFormat="1" applyFont="1" applyFill="1" applyBorder="1" applyAlignment="1"/>
    <xf numFmtId="165" fontId="22" fillId="0" borderId="88" xfId="0" applyNumberFormat="1" applyFont="1" applyFill="1" applyBorder="1" applyAlignment="1"/>
    <xf numFmtId="166" fontId="17" fillId="0" borderId="88" xfId="1" applyNumberFormat="1" applyFont="1" applyFill="1" applyBorder="1"/>
    <xf numFmtId="165" fontId="17" fillId="0" borderId="88" xfId="1" applyNumberFormat="1" applyFont="1" applyFill="1" applyBorder="1"/>
    <xf numFmtId="165" fontId="22" fillId="0" borderId="95" xfId="0" applyNumberFormat="1" applyFont="1" applyFill="1" applyBorder="1" applyAlignment="1">
      <alignment vertical="center"/>
    </xf>
    <xf numFmtId="165" fontId="22" fillId="0" borderId="29" xfId="0" applyNumberFormat="1" applyFont="1" applyFill="1" applyBorder="1" applyAlignment="1"/>
    <xf numFmtId="165" fontId="22" fillId="0" borderId="56" xfId="0" applyNumberFormat="1" applyFont="1" applyFill="1" applyBorder="1" applyAlignment="1"/>
    <xf numFmtId="165" fontId="3" fillId="19" borderId="2" xfId="0" applyNumberFormat="1" applyFont="1" applyFill="1" applyBorder="1" applyAlignment="1">
      <alignment horizontal="right" vertical="center"/>
    </xf>
    <xf numFmtId="165" fontId="3" fillId="23" borderId="1" xfId="0" applyNumberFormat="1" applyFont="1" applyFill="1" applyBorder="1" applyAlignment="1">
      <alignment horizontal="right" vertical="center"/>
    </xf>
    <xf numFmtId="165" fontId="3" fillId="4" borderId="1" xfId="0" applyNumberFormat="1" applyFont="1" applyFill="1" applyBorder="1" applyAlignment="1">
      <alignment horizontal="right" vertical="center"/>
    </xf>
    <xf numFmtId="165" fontId="3" fillId="23" borderId="14" xfId="0" applyNumberFormat="1" applyFont="1" applyFill="1" applyBorder="1" applyAlignment="1">
      <alignment horizontal="right" vertical="center"/>
    </xf>
    <xf numFmtId="165" fontId="3" fillId="4" borderId="14" xfId="0" applyNumberFormat="1" applyFont="1" applyFill="1" applyBorder="1" applyAlignment="1">
      <alignment horizontal="right" vertical="center"/>
    </xf>
    <xf numFmtId="165" fontId="3" fillId="23" borderId="6" xfId="0" applyNumberFormat="1" applyFont="1" applyFill="1" applyBorder="1" applyAlignment="1">
      <alignment horizontal="right" vertical="center"/>
    </xf>
    <xf numFmtId="165" fontId="3" fillId="23" borderId="2" xfId="0" applyNumberFormat="1" applyFont="1" applyFill="1" applyBorder="1" applyAlignment="1">
      <alignment horizontal="right" vertical="center"/>
    </xf>
    <xf numFmtId="165" fontId="3" fillId="4" borderId="2" xfId="0" applyNumberFormat="1" applyFont="1" applyFill="1" applyBorder="1" applyAlignment="1">
      <alignment horizontal="right" vertical="center"/>
    </xf>
    <xf numFmtId="165" fontId="22" fillId="0" borderId="12" xfId="0" quotePrefix="1" applyNumberFormat="1" applyFont="1" applyFill="1" applyBorder="1" applyAlignment="1">
      <alignment vertical="center"/>
    </xf>
    <xf numFmtId="165" fontId="22" fillId="0" borderId="28" xfId="0" quotePrefix="1" applyNumberFormat="1" applyFont="1" applyFill="1" applyBorder="1" applyAlignment="1">
      <alignment vertical="center"/>
    </xf>
    <xf numFmtId="165" fontId="22" fillId="0" borderId="70" xfId="0" quotePrefix="1" applyNumberFormat="1" applyFont="1" applyFill="1" applyBorder="1" applyAlignment="1">
      <alignment vertical="center"/>
    </xf>
    <xf numFmtId="165" fontId="22" fillId="0" borderId="80" xfId="0" quotePrefix="1" applyNumberFormat="1" applyFont="1" applyFill="1" applyBorder="1" applyAlignment="1">
      <alignment vertical="center"/>
    </xf>
    <xf numFmtId="165" fontId="22" fillId="0" borderId="57" xfId="0" quotePrefix="1" applyNumberFormat="1" applyFont="1" applyFill="1" applyBorder="1" applyAlignment="1">
      <alignment vertical="center"/>
    </xf>
    <xf numFmtId="165" fontId="22" fillId="0" borderId="55" xfId="0" applyNumberFormat="1" applyFont="1" applyFill="1" applyBorder="1" applyAlignment="1">
      <alignment vertical="center"/>
    </xf>
    <xf numFmtId="166" fontId="17" fillId="0" borderId="55" xfId="1" applyNumberFormat="1" applyFont="1" applyFill="1" applyBorder="1"/>
    <xf numFmtId="0" fontId="3" fillId="0" borderId="128" xfId="0" applyNumberFormat="1" applyFont="1" applyFill="1" applyBorder="1" applyAlignment="1">
      <alignment horizontal="left" vertical="center" wrapText="1"/>
    </xf>
    <xf numFmtId="37" fontId="3" fillId="0" borderId="144" xfId="0" applyNumberFormat="1" applyFont="1" applyFill="1" applyBorder="1" applyAlignment="1">
      <alignment vertical="center"/>
    </xf>
    <xf numFmtId="165" fontId="22" fillId="0" borderId="67" xfId="0" quotePrefix="1" applyNumberFormat="1" applyFont="1" applyFill="1" applyBorder="1" applyAlignment="1">
      <alignment vertical="center"/>
    </xf>
    <xf numFmtId="0" fontId="4" fillId="0" borderId="0" xfId="0" applyFont="1" applyFill="1" applyAlignment="1">
      <alignment vertical="center"/>
    </xf>
    <xf numFmtId="0" fontId="3" fillId="0" borderId="24" xfId="0" applyNumberFormat="1" applyFont="1" applyFill="1" applyBorder="1" applyAlignment="1">
      <alignment horizontal="left" vertical="center" wrapText="1"/>
    </xf>
    <xf numFmtId="0" fontId="3" fillId="0" borderId="20" xfId="0" applyNumberFormat="1" applyFont="1" applyFill="1" applyBorder="1" applyAlignment="1">
      <alignment horizontal="left" vertical="center" wrapText="1"/>
    </xf>
    <xf numFmtId="37" fontId="3" fillId="0" borderId="17" xfId="0" applyNumberFormat="1" applyFont="1" applyFill="1" applyBorder="1" applyAlignment="1">
      <alignment vertical="center"/>
    </xf>
    <xf numFmtId="165" fontId="22" fillId="0" borderId="17" xfId="0" applyNumberFormat="1" applyFont="1" applyFill="1" applyBorder="1" applyAlignment="1">
      <alignment vertical="center"/>
    </xf>
    <xf numFmtId="165" fontId="22" fillId="0" borderId="73" xfId="0" applyNumberFormat="1" applyFont="1" applyFill="1" applyBorder="1" applyAlignment="1">
      <alignment vertical="center"/>
    </xf>
    <xf numFmtId="165" fontId="22" fillId="0" borderId="73" xfId="0" quotePrefix="1" applyNumberFormat="1" applyFont="1" applyFill="1" applyBorder="1" applyAlignment="1">
      <alignment vertical="center"/>
    </xf>
    <xf numFmtId="165" fontId="22" fillId="0" borderId="22" xfId="0" quotePrefix="1" applyNumberFormat="1" applyFont="1" applyFill="1" applyBorder="1" applyAlignment="1">
      <alignment vertical="center"/>
    </xf>
    <xf numFmtId="165" fontId="22" fillId="0" borderId="36" xfId="0" applyNumberFormat="1" applyFont="1" applyFill="1" applyBorder="1" applyAlignment="1"/>
    <xf numFmtId="0" fontId="3" fillId="0" borderId="0" xfId="0" applyNumberFormat="1" applyFont="1" applyFill="1" applyBorder="1" applyAlignment="1">
      <alignment horizontal="left" vertical="center" wrapText="1"/>
    </xf>
    <xf numFmtId="165" fontId="22" fillId="0" borderId="56" xfId="0" quotePrefix="1" applyNumberFormat="1" applyFont="1" applyFill="1" applyBorder="1" applyAlignment="1">
      <alignment vertical="center"/>
    </xf>
    <xf numFmtId="165" fontId="22" fillId="0" borderId="83" xfId="0" applyNumberFormat="1" applyFont="1" applyFill="1" applyBorder="1" applyAlignment="1">
      <alignment vertical="center"/>
    </xf>
    <xf numFmtId="166" fontId="17" fillId="0" borderId="108" xfId="1" applyNumberFormat="1" applyFont="1" applyFill="1" applyBorder="1"/>
    <xf numFmtId="165" fontId="22" fillId="0" borderId="0" xfId="0" applyNumberFormat="1" applyFont="1" applyFill="1" applyBorder="1" applyAlignment="1">
      <alignment vertical="center"/>
    </xf>
    <xf numFmtId="166" fontId="22" fillId="0" borderId="24" xfId="1" applyNumberFormat="1" applyFont="1" applyFill="1" applyBorder="1" applyAlignment="1">
      <alignment vertical="center"/>
    </xf>
    <xf numFmtId="166" fontId="22" fillId="0" borderId="59" xfId="1" applyNumberFormat="1" applyFont="1" applyFill="1" applyBorder="1" applyAlignment="1">
      <alignment vertical="center"/>
    </xf>
    <xf numFmtId="43" fontId="4" fillId="0" borderId="2" xfId="1" applyFont="1" applyFill="1" applyBorder="1" applyAlignment="1">
      <alignment vertical="center"/>
    </xf>
    <xf numFmtId="165" fontId="22" fillId="0" borderId="68" xfId="0" applyNumberFormat="1" applyFont="1" applyFill="1" applyBorder="1" applyAlignment="1">
      <alignment vertical="center"/>
    </xf>
    <xf numFmtId="37" fontId="3" fillId="0" borderId="82" xfId="0" applyNumberFormat="1" applyFont="1" applyFill="1" applyBorder="1" applyAlignment="1">
      <alignment vertical="center"/>
    </xf>
    <xf numFmtId="37" fontId="3" fillId="0" borderId="69" xfId="0" applyNumberFormat="1" applyFont="1" applyFill="1" applyBorder="1" applyAlignment="1">
      <alignment vertical="center"/>
    </xf>
    <xf numFmtId="37" fontId="3" fillId="0" borderId="56" xfId="0" applyNumberFormat="1" applyFont="1" applyFill="1" applyBorder="1" applyAlignment="1">
      <alignment vertical="center"/>
    </xf>
    <xf numFmtId="165" fontId="22" fillId="0" borderId="70" xfId="0" applyNumberFormat="1" applyFont="1" applyFill="1" applyBorder="1" applyAlignment="1">
      <alignment vertical="center"/>
    </xf>
    <xf numFmtId="165" fontId="22" fillId="0" borderId="21" xfId="0" applyNumberFormat="1" applyFont="1" applyFill="1" applyBorder="1" applyAlignment="1">
      <alignment vertical="center"/>
    </xf>
    <xf numFmtId="165" fontId="22" fillId="0" borderId="80" xfId="0" applyNumberFormat="1" applyFont="1" applyFill="1" applyBorder="1" applyAlignment="1">
      <alignment vertical="center"/>
    </xf>
    <xf numFmtId="37" fontId="3" fillId="0" borderId="78" xfId="0" applyNumberFormat="1" applyFont="1" applyFill="1" applyBorder="1" applyAlignment="1">
      <alignment vertical="center"/>
    </xf>
    <xf numFmtId="166" fontId="22" fillId="0" borderId="62" xfId="1" applyNumberFormat="1" applyFont="1" applyFill="1" applyBorder="1" applyAlignment="1">
      <alignment vertical="center"/>
    </xf>
    <xf numFmtId="37" fontId="3" fillId="0" borderId="27" xfId="0" applyNumberFormat="1" applyFont="1" applyFill="1" applyBorder="1" applyAlignment="1">
      <alignment vertical="center"/>
    </xf>
    <xf numFmtId="166" fontId="22" fillId="0" borderId="60" xfId="1" applyNumberFormat="1" applyFont="1" applyFill="1" applyBorder="1" applyAlignment="1">
      <alignment vertical="center"/>
    </xf>
    <xf numFmtId="37" fontId="22" fillId="0" borderId="68" xfId="0" applyNumberFormat="1" applyFont="1" applyFill="1" applyBorder="1" applyAlignment="1">
      <alignment vertical="center"/>
    </xf>
    <xf numFmtId="37" fontId="22" fillId="0" borderId="56" xfId="0" applyNumberFormat="1" applyFont="1" applyFill="1" applyBorder="1" applyAlignment="1">
      <alignment vertical="center"/>
    </xf>
    <xf numFmtId="37" fontId="3" fillId="0" borderId="10" xfId="0" applyNumberFormat="1" applyFont="1" applyFill="1" applyBorder="1" applyAlignment="1">
      <alignment vertical="center"/>
    </xf>
    <xf numFmtId="43" fontId="22" fillId="0" borderId="24" xfId="1" applyFont="1" applyFill="1" applyBorder="1" applyAlignment="1">
      <alignment vertical="center"/>
    </xf>
    <xf numFmtId="43" fontId="22" fillId="0" borderId="67" xfId="1" applyFont="1" applyFill="1" applyBorder="1" applyAlignment="1">
      <alignment vertical="center"/>
    </xf>
    <xf numFmtId="43" fontId="22" fillId="0" borderId="21" xfId="1" applyFont="1" applyFill="1" applyBorder="1" applyAlignment="1">
      <alignment vertical="center"/>
    </xf>
    <xf numFmtId="43" fontId="22" fillId="0" borderId="13" xfId="1" applyFont="1" applyFill="1" applyBorder="1" applyAlignment="1">
      <alignment vertical="center"/>
    </xf>
    <xf numFmtId="43" fontId="22" fillId="0" borderId="68" xfId="1" applyFont="1" applyFill="1" applyBorder="1" applyAlignment="1">
      <alignment vertical="center"/>
    </xf>
    <xf numFmtId="43" fontId="22" fillId="0" borderId="25" xfId="1" applyFont="1" applyFill="1" applyBorder="1" applyAlignment="1">
      <alignment vertical="center"/>
    </xf>
    <xf numFmtId="43" fontId="22" fillId="0" borderId="27" xfId="1" applyFont="1" applyFill="1" applyBorder="1" applyAlignment="1">
      <alignment vertical="center"/>
    </xf>
    <xf numFmtId="43" fontId="22" fillId="0" borderId="56" xfId="1" applyFont="1" applyFill="1" applyBorder="1" applyAlignment="1">
      <alignment vertical="center"/>
    </xf>
    <xf numFmtId="43" fontId="22" fillId="0" borderId="60" xfId="1" applyFont="1" applyFill="1" applyBorder="1" applyAlignment="1">
      <alignment vertical="center"/>
    </xf>
    <xf numFmtId="43" fontId="22" fillId="0" borderId="10" xfId="1" applyFont="1" applyFill="1" applyBorder="1" applyAlignment="1">
      <alignment vertical="center"/>
    </xf>
    <xf numFmtId="43" fontId="22" fillId="0" borderId="47" xfId="1" applyFont="1" applyFill="1" applyBorder="1" applyAlignment="1">
      <alignment vertical="center"/>
    </xf>
    <xf numFmtId="43" fontId="22" fillId="0" borderId="44" xfId="1" applyFont="1" applyFill="1" applyBorder="1" applyAlignment="1">
      <alignment vertical="center"/>
    </xf>
    <xf numFmtId="43" fontId="22" fillId="0" borderId="72" xfId="1" applyFont="1" applyFill="1" applyBorder="1" applyAlignment="1">
      <alignment vertical="center"/>
    </xf>
    <xf numFmtId="43" fontId="22" fillId="0" borderId="41" xfId="1" applyFont="1" applyFill="1" applyBorder="1" applyAlignment="1">
      <alignment vertical="center"/>
    </xf>
    <xf numFmtId="0" fontId="23" fillId="0" borderId="0" xfId="0" applyFont="1"/>
    <xf numFmtId="1" fontId="23" fillId="0" borderId="0" xfId="2" applyNumberFormat="1" applyFont="1"/>
    <xf numFmtId="43" fontId="23" fillId="0" borderId="0" xfId="1" applyFont="1"/>
    <xf numFmtId="0" fontId="26" fillId="25" borderId="31" xfId="32" applyFont="1" applyFill="1" applyBorder="1" applyAlignment="1">
      <alignment horizontal="left" vertical="center"/>
    </xf>
    <xf numFmtId="165" fontId="24" fillId="2" borderId="31" xfId="9" applyNumberFormat="1" applyFont="1" applyFill="1" applyBorder="1" applyAlignment="1">
      <alignment horizontal="center" vertical="center"/>
    </xf>
    <xf numFmtId="10" fontId="24" fillId="26" borderId="31" xfId="2" applyNumberFormat="1" applyFont="1" applyFill="1" applyBorder="1" applyAlignment="1">
      <alignment horizontal="center" vertical="center"/>
    </xf>
    <xf numFmtId="10" fontId="24" fillId="27" borderId="31" xfId="2" applyNumberFormat="1" applyFont="1" applyFill="1" applyBorder="1" applyAlignment="1">
      <alignment horizontal="center" vertical="center"/>
    </xf>
    <xf numFmtId="10" fontId="24" fillId="0" borderId="31" xfId="2" applyNumberFormat="1" applyFont="1" applyFill="1" applyBorder="1" applyAlignment="1">
      <alignment horizontal="center" vertical="center"/>
    </xf>
    <xf numFmtId="0" fontId="26" fillId="25" borderId="31" xfId="32" applyFont="1" applyFill="1" applyBorder="1" applyAlignment="1">
      <alignment horizontal="center" vertical="center"/>
    </xf>
    <xf numFmtId="10" fontId="24" fillId="2" borderId="31" xfId="2" applyNumberFormat="1" applyFont="1" applyFill="1" applyBorder="1" applyAlignment="1">
      <alignment horizontal="center" vertical="center"/>
    </xf>
    <xf numFmtId="165" fontId="24" fillId="0" borderId="31" xfId="9" applyNumberFormat="1" applyFont="1" applyFill="1" applyBorder="1" applyAlignment="1">
      <alignment horizontal="center" vertical="center"/>
    </xf>
    <xf numFmtId="10" fontId="24" fillId="0" borderId="31" xfId="9" applyNumberFormat="1" applyFont="1" applyFill="1" applyBorder="1" applyAlignment="1">
      <alignment horizontal="center" vertical="center"/>
    </xf>
    <xf numFmtId="10" fontId="24" fillId="2" borderId="31" xfId="1" applyNumberFormat="1" applyFont="1" applyFill="1" applyBorder="1" applyAlignment="1">
      <alignment horizontal="center" vertical="center"/>
    </xf>
    <xf numFmtId="10" fontId="24" fillId="0" borderId="31" xfId="1" applyNumberFormat="1" applyFont="1" applyFill="1" applyBorder="1" applyAlignment="1">
      <alignment horizontal="center" vertical="center"/>
    </xf>
    <xf numFmtId="166" fontId="23" fillId="0" borderId="31" xfId="1" applyNumberFormat="1" applyFont="1" applyBorder="1"/>
    <xf numFmtId="166" fontId="23" fillId="0" borderId="0" xfId="1" applyNumberFormat="1" applyFont="1" applyBorder="1"/>
    <xf numFmtId="169" fontId="26" fillId="0" borderId="31" xfId="9" applyNumberFormat="1" applyFont="1" applyFill="1" applyBorder="1" applyAlignment="1">
      <alignment horizontal="center" vertical="center"/>
    </xf>
    <xf numFmtId="166" fontId="26" fillId="0" borderId="31" xfId="32" applyNumberFormat="1" applyFont="1" applyBorder="1" applyAlignment="1">
      <alignment horizontal="center" vertical="center"/>
    </xf>
    <xf numFmtId="1" fontId="27" fillId="0" borderId="31" xfId="2" applyNumberFormat="1" applyFont="1" applyBorder="1" applyAlignment="1">
      <alignment horizontal="center"/>
    </xf>
    <xf numFmtId="0" fontId="28" fillId="0" borderId="0" xfId="0" applyFont="1"/>
    <xf numFmtId="44" fontId="29" fillId="0" borderId="0" xfId="0" applyNumberFormat="1" applyFont="1"/>
    <xf numFmtId="0" fontId="29" fillId="0" borderId="0" xfId="0" applyFont="1"/>
    <xf numFmtId="0" fontId="30" fillId="28" borderId="0" xfId="0" applyFont="1" applyFill="1"/>
    <xf numFmtId="44" fontId="31" fillId="28" borderId="0" xfId="0" applyNumberFormat="1" applyFont="1" applyFill="1"/>
    <xf numFmtId="0" fontId="29" fillId="25" borderId="0" xfId="0" applyFont="1" applyFill="1"/>
    <xf numFmtId="44" fontId="32" fillId="25" borderId="0" xfId="0" applyNumberFormat="1" applyFont="1" applyFill="1"/>
    <xf numFmtId="0" fontId="33" fillId="2" borderId="0" xfId="0" applyFont="1" applyFill="1"/>
    <xf numFmtId="44" fontId="34" fillId="29" borderId="0" xfId="0" applyNumberFormat="1" applyFont="1" applyFill="1"/>
    <xf numFmtId="44" fontId="32" fillId="0" borderId="0" xfId="0" applyNumberFormat="1" applyFont="1"/>
    <xf numFmtId="0" fontId="33" fillId="0" borderId="0" xfId="0" applyFont="1"/>
    <xf numFmtId="44" fontId="35" fillId="30" borderId="0" xfId="0" applyNumberFormat="1" applyFont="1" applyFill="1"/>
    <xf numFmtId="2" fontId="4" fillId="0" borderId="0" xfId="0" applyNumberFormat="1" applyFont="1" applyBorder="1"/>
    <xf numFmtId="166" fontId="4" fillId="21" borderId="8" xfId="1" applyNumberFormat="1" applyFont="1" applyFill="1" applyBorder="1"/>
    <xf numFmtId="165" fontId="22" fillId="0" borderId="27" xfId="0" quotePrefix="1" applyNumberFormat="1" applyFont="1" applyFill="1" applyBorder="1" applyAlignment="1">
      <alignment vertical="center"/>
    </xf>
    <xf numFmtId="165" fontId="22" fillId="0" borderId="29" xfId="0" quotePrefix="1" applyNumberFormat="1" applyFont="1" applyFill="1" applyBorder="1" applyAlignment="1">
      <alignment vertical="center"/>
    </xf>
    <xf numFmtId="165" fontId="22" fillId="0" borderId="60" xfId="0" quotePrefix="1" applyNumberFormat="1" applyFont="1" applyFill="1" applyBorder="1" applyAlignment="1">
      <alignment vertical="center"/>
    </xf>
    <xf numFmtId="165" fontId="22" fillId="0" borderId="82" xfId="0" quotePrefix="1" applyNumberFormat="1" applyFont="1" applyFill="1" applyBorder="1" applyAlignment="1">
      <alignment vertical="center"/>
    </xf>
    <xf numFmtId="165" fontId="22" fillId="0" borderId="44" xfId="0" quotePrefix="1" applyNumberFormat="1" applyFont="1" applyFill="1" applyBorder="1" applyAlignment="1">
      <alignment vertical="center"/>
    </xf>
    <xf numFmtId="165" fontId="22" fillId="0" borderId="21" xfId="0" quotePrefix="1" applyNumberFormat="1" applyFont="1" applyFill="1" applyBorder="1" applyAlignment="1">
      <alignment vertical="center"/>
    </xf>
    <xf numFmtId="165" fontId="22" fillId="0" borderId="59" xfId="0" quotePrefix="1" applyNumberFormat="1" applyFont="1" applyFill="1" applyBorder="1" applyAlignment="1">
      <alignment vertical="center"/>
    </xf>
    <xf numFmtId="0" fontId="3" fillId="0" borderId="97" xfId="0" applyNumberFormat="1" applyFont="1" applyFill="1" applyBorder="1" applyAlignment="1">
      <alignment horizontal="left" vertical="center" wrapText="1"/>
    </xf>
    <xf numFmtId="37" fontId="3" fillId="0" borderId="145" xfId="0" applyNumberFormat="1" applyFont="1" applyFill="1" applyBorder="1" applyAlignment="1">
      <alignment vertical="center"/>
    </xf>
    <xf numFmtId="165" fontId="22" fillId="0" borderId="78" xfId="0" quotePrefix="1" applyNumberFormat="1" applyFont="1" applyFill="1" applyBorder="1" applyAlignment="1">
      <alignment vertical="center"/>
    </xf>
    <xf numFmtId="165" fontId="22" fillId="0" borderId="26" xfId="0" quotePrefix="1" applyNumberFormat="1" applyFont="1" applyFill="1" applyBorder="1" applyAlignment="1">
      <alignment vertical="center"/>
    </xf>
    <xf numFmtId="166" fontId="17" fillId="0" borderId="11" xfId="1" applyNumberFormat="1" applyFont="1" applyFill="1" applyBorder="1"/>
    <xf numFmtId="165" fontId="22" fillId="0" borderId="83" xfId="0" quotePrefix="1" applyNumberFormat="1" applyFont="1" applyFill="1" applyBorder="1" applyAlignment="1">
      <alignment vertical="center"/>
    </xf>
    <xf numFmtId="0" fontId="4" fillId="0" borderId="25" xfId="0" applyFont="1" applyFill="1" applyBorder="1" applyAlignment="1">
      <alignment horizontal="center" vertical="center" wrapText="1"/>
    </xf>
    <xf numFmtId="0" fontId="3" fillId="0" borderId="146" xfId="0" applyNumberFormat="1" applyFont="1" applyFill="1" applyBorder="1" applyAlignment="1">
      <alignment horizontal="left" vertical="center" wrapText="1"/>
    </xf>
    <xf numFmtId="165" fontId="3" fillId="7" borderId="46" xfId="0" applyNumberFormat="1" applyFont="1" applyFill="1" applyBorder="1" applyAlignment="1">
      <alignment horizontal="left" vertical="center" wrapText="1"/>
    </xf>
    <xf numFmtId="37" fontId="3" fillId="0" borderId="147" xfId="0" applyNumberFormat="1" applyFont="1" applyFill="1" applyBorder="1" applyAlignment="1">
      <alignment vertical="center"/>
    </xf>
    <xf numFmtId="165" fontId="3" fillId="0" borderId="8" xfId="0" applyNumberFormat="1" applyFont="1" applyFill="1" applyBorder="1" applyAlignment="1">
      <alignment horizontal="left" vertical="center" wrapText="1"/>
    </xf>
    <xf numFmtId="167" fontId="3" fillId="0" borderId="79" xfId="0" applyNumberFormat="1" applyFont="1" applyFill="1" applyBorder="1" applyAlignment="1">
      <alignment horizontal="left" vertical="center" wrapText="1"/>
    </xf>
    <xf numFmtId="167" fontId="3" fillId="0" borderId="130" xfId="0" applyNumberFormat="1" applyFont="1" applyFill="1" applyBorder="1" applyAlignment="1">
      <alignment horizontal="left" vertical="center" wrapText="1"/>
    </xf>
    <xf numFmtId="167" fontId="3" fillId="0" borderId="83" xfId="0" applyNumberFormat="1" applyFont="1" applyFill="1" applyBorder="1" applyAlignment="1">
      <alignment horizontal="left" vertical="center" wrapText="1"/>
    </xf>
    <xf numFmtId="165" fontId="22" fillId="0" borderId="123" xfId="0" applyNumberFormat="1" applyFont="1" applyFill="1" applyBorder="1" applyAlignment="1">
      <alignment vertical="center"/>
    </xf>
    <xf numFmtId="43" fontId="22" fillId="0" borderId="0" xfId="1" applyFont="1" applyFill="1" applyBorder="1" applyAlignment="1">
      <alignment vertical="center"/>
    </xf>
    <xf numFmtId="43" fontId="22" fillId="0" borderId="123" xfId="1" applyFont="1" applyFill="1" applyBorder="1" applyAlignment="1">
      <alignment vertical="center"/>
    </xf>
    <xf numFmtId="166" fontId="22" fillId="0" borderId="12" xfId="1" applyNumberFormat="1" applyFont="1" applyFill="1" applyBorder="1" applyAlignment="1">
      <alignment vertical="center"/>
    </xf>
    <xf numFmtId="165" fontId="22" fillId="0" borderId="28" xfId="0" applyNumberFormat="1" applyFont="1" applyFill="1" applyBorder="1" applyAlignment="1">
      <alignment vertical="center"/>
    </xf>
    <xf numFmtId="43" fontId="22" fillId="0" borderId="28" xfId="1" applyFont="1" applyFill="1" applyBorder="1" applyAlignment="1">
      <alignment vertical="center"/>
    </xf>
    <xf numFmtId="43" fontId="22" fillId="0" borderId="29" xfId="1" applyFont="1" applyFill="1" applyBorder="1" applyAlignment="1">
      <alignment vertical="center"/>
    </xf>
    <xf numFmtId="43" fontId="22" fillId="0" borderId="59" xfId="1" applyFont="1" applyFill="1" applyBorder="1" applyAlignment="1">
      <alignment vertical="center"/>
    </xf>
    <xf numFmtId="165" fontId="22" fillId="0" borderId="44" xfId="0" applyNumberFormat="1" applyFont="1" applyFill="1" applyBorder="1" applyAlignment="1">
      <alignment vertical="center"/>
    </xf>
    <xf numFmtId="37" fontId="3" fillId="0" borderId="24" xfId="0" applyNumberFormat="1" applyFont="1" applyFill="1" applyBorder="1" applyAlignment="1">
      <alignment vertical="center"/>
    </xf>
    <xf numFmtId="165" fontId="22" fillId="0" borderId="72" xfId="0" applyNumberFormat="1" applyFont="1" applyFill="1" applyBorder="1" applyAlignment="1">
      <alignment horizontal="right" vertical="center"/>
    </xf>
    <xf numFmtId="167" fontId="3" fillId="0" borderId="27" xfId="0" applyNumberFormat="1" applyFont="1" applyFill="1" applyBorder="1" applyAlignment="1">
      <alignment horizontal="left" vertical="center" wrapText="1"/>
    </xf>
    <xf numFmtId="165" fontId="3" fillId="0" borderId="0" xfId="0" applyNumberFormat="1" applyFont="1" applyAlignment="1">
      <alignment vertical="center"/>
    </xf>
    <xf numFmtId="165" fontId="3" fillId="0" borderId="0" xfId="0" applyNumberFormat="1" applyFont="1"/>
    <xf numFmtId="165" fontId="22" fillId="0" borderId="6" xfId="0" applyNumberFormat="1" applyFont="1" applyBorder="1" applyAlignment="1">
      <alignment vertical="center"/>
    </xf>
    <xf numFmtId="4" fontId="0" fillId="0" borderId="36" xfId="0" applyNumberFormat="1" applyFill="1" applyBorder="1"/>
    <xf numFmtId="4" fontId="0" fillId="0" borderId="23" xfId="0" applyNumberFormat="1" applyFill="1" applyBorder="1"/>
    <xf numFmtId="165" fontId="22" fillId="0" borderId="23" xfId="0" applyNumberFormat="1" applyFont="1" applyFill="1" applyBorder="1"/>
    <xf numFmtId="165" fontId="22" fillId="0" borderId="70" xfId="0" applyNumberFormat="1" applyFont="1" applyFill="1" applyBorder="1" applyAlignment="1">
      <alignment horizontal="right" vertical="center"/>
    </xf>
    <xf numFmtId="165" fontId="22" fillId="0" borderId="0" xfId="0" applyNumberFormat="1" applyFont="1" applyFill="1" applyBorder="1" applyAlignment="1">
      <alignment horizontal="right" vertical="center"/>
    </xf>
    <xf numFmtId="37" fontId="3" fillId="0" borderId="12" xfId="0" applyNumberFormat="1" applyFont="1" applyFill="1" applyBorder="1" applyAlignment="1">
      <alignment vertical="center"/>
    </xf>
    <xf numFmtId="167" fontId="3" fillId="0" borderId="16" xfId="0" applyNumberFormat="1" applyFont="1" applyFill="1" applyBorder="1" applyAlignment="1">
      <alignment horizontal="left" vertical="center" wrapText="1"/>
    </xf>
    <xf numFmtId="165" fontId="3" fillId="19" borderId="4" xfId="0" applyNumberFormat="1" applyFont="1" applyFill="1" applyBorder="1" applyAlignment="1">
      <alignment horizontal="right" vertical="center"/>
    </xf>
    <xf numFmtId="0" fontId="4" fillId="0" borderId="0" xfId="0" applyFont="1" applyFill="1" applyBorder="1" applyAlignment="1">
      <alignment horizontal="center" vertical="center" wrapText="1"/>
    </xf>
    <xf numFmtId="37" fontId="3" fillId="0" borderId="25" xfId="0" applyNumberFormat="1" applyFont="1" applyFill="1" applyBorder="1" applyAlignment="1">
      <alignment vertical="center"/>
    </xf>
    <xf numFmtId="165" fontId="22" fillId="0" borderId="15" xfId="0" applyNumberFormat="1" applyFont="1" applyFill="1" applyBorder="1" applyAlignment="1">
      <alignment horizontal="right" vertical="center"/>
    </xf>
    <xf numFmtId="165" fontId="22" fillId="0" borderId="20" xfId="0" applyNumberFormat="1" applyFont="1" applyFill="1" applyBorder="1" applyAlignment="1">
      <alignment horizontal="right" vertical="center"/>
    </xf>
    <xf numFmtId="165" fontId="22" fillId="0" borderId="66" xfId="0" applyNumberFormat="1" applyFont="1" applyFill="1" applyBorder="1" applyAlignment="1">
      <alignment horizontal="right" vertical="center"/>
    </xf>
    <xf numFmtId="167" fontId="3" fillId="0" borderId="33" xfId="0" applyNumberFormat="1" applyFont="1" applyFill="1" applyBorder="1" applyAlignment="1">
      <alignment horizontal="left" vertical="center" wrapText="1"/>
    </xf>
    <xf numFmtId="165" fontId="22" fillId="0" borderId="87" xfId="0" applyNumberFormat="1" applyFont="1" applyFill="1" applyBorder="1" applyAlignment="1">
      <alignment horizontal="right" vertical="center"/>
    </xf>
    <xf numFmtId="165" fontId="22" fillId="0" borderId="88" xfId="0" applyNumberFormat="1" applyFont="1" applyFill="1" applyBorder="1" applyAlignment="1">
      <alignment horizontal="right" vertical="center"/>
    </xf>
    <xf numFmtId="165" fontId="22" fillId="0" borderId="96" xfId="0" applyNumberFormat="1" applyFont="1" applyFill="1" applyBorder="1" applyAlignment="1">
      <alignment horizontal="right" vertical="center"/>
    </xf>
    <xf numFmtId="0" fontId="3" fillId="0" borderId="108" xfId="0" applyNumberFormat="1" applyFont="1" applyFill="1" applyBorder="1" applyAlignment="1">
      <alignment horizontal="left" vertical="center" wrapText="1"/>
    </xf>
    <xf numFmtId="0" fontId="3" fillId="0" borderId="17" xfId="0" applyNumberFormat="1" applyFont="1" applyFill="1" applyBorder="1" applyAlignment="1">
      <alignment horizontal="left" vertical="center" wrapText="1"/>
    </xf>
    <xf numFmtId="0" fontId="3" fillId="0" borderId="41" xfId="0" applyNumberFormat="1" applyFont="1" applyFill="1" applyBorder="1" applyAlignment="1">
      <alignment horizontal="left" vertical="center" wrapText="1"/>
    </xf>
    <xf numFmtId="0" fontId="3" fillId="0" borderId="55" xfId="0" applyNumberFormat="1" applyFont="1" applyFill="1" applyBorder="1" applyAlignment="1">
      <alignment horizontal="left" vertical="center" wrapText="1"/>
    </xf>
    <xf numFmtId="165" fontId="3" fillId="0" borderId="2" xfId="0" applyNumberFormat="1" applyFont="1" applyFill="1" applyBorder="1" applyAlignment="1">
      <alignment horizontal="right" vertical="center"/>
    </xf>
    <xf numFmtId="166" fontId="3" fillId="0" borderId="8" xfId="1" applyNumberFormat="1" applyFont="1" applyFill="1" applyBorder="1" applyAlignment="1">
      <alignment horizontal="right" vertical="center"/>
    </xf>
    <xf numFmtId="165" fontId="22" fillId="0" borderId="16" xfId="0" applyNumberFormat="1" applyFont="1" applyFill="1" applyBorder="1" applyAlignment="1">
      <alignment horizontal="right"/>
    </xf>
    <xf numFmtId="165" fontId="22" fillId="0" borderId="45" xfId="0" applyNumberFormat="1" applyFont="1" applyFill="1" applyBorder="1" applyAlignment="1">
      <alignment horizontal="right"/>
    </xf>
    <xf numFmtId="165" fontId="22" fillId="0" borderId="14" xfId="0" applyNumberFormat="1" applyFont="1" applyFill="1" applyBorder="1" applyAlignment="1">
      <alignment horizontal="right"/>
    </xf>
    <xf numFmtId="166" fontId="17" fillId="0" borderId="33" xfId="1" applyNumberFormat="1" applyFont="1" applyFill="1" applyBorder="1" applyAlignment="1">
      <alignment horizontal="right"/>
    </xf>
    <xf numFmtId="166" fontId="17" fillId="0" borderId="41" xfId="1" applyNumberFormat="1" applyFont="1" applyFill="1" applyBorder="1" applyAlignment="1">
      <alignment horizontal="right"/>
    </xf>
    <xf numFmtId="165" fontId="22" fillId="0" borderId="12" xfId="0" applyNumberFormat="1" applyFont="1" applyFill="1" applyBorder="1" applyAlignment="1">
      <alignment horizontal="right"/>
    </xf>
    <xf numFmtId="165" fontId="17" fillId="0" borderId="45" xfId="1" applyNumberFormat="1" applyFont="1" applyFill="1" applyBorder="1" applyAlignment="1">
      <alignment horizontal="right"/>
    </xf>
    <xf numFmtId="165" fontId="22" fillId="0" borderId="33" xfId="0" applyNumberFormat="1" applyFont="1" applyFill="1" applyBorder="1" applyAlignment="1">
      <alignment horizontal="right"/>
    </xf>
    <xf numFmtId="165" fontId="3" fillId="0" borderId="1" xfId="0" applyNumberFormat="1" applyFont="1" applyFill="1" applyBorder="1" applyAlignment="1">
      <alignment horizontal="right" vertical="center"/>
    </xf>
    <xf numFmtId="166" fontId="3" fillId="0" borderId="46" xfId="1" applyNumberFormat="1" applyFont="1" applyFill="1" applyBorder="1" applyAlignment="1">
      <alignment horizontal="right" vertical="center"/>
    </xf>
    <xf numFmtId="37" fontId="3" fillId="0" borderId="16" xfId="0" applyNumberFormat="1" applyFont="1" applyFill="1" applyBorder="1" applyAlignment="1">
      <alignment vertical="center"/>
    </xf>
    <xf numFmtId="165" fontId="22" fillId="0" borderId="1" xfId="0" applyNumberFormat="1" applyFont="1" applyFill="1" applyBorder="1" applyAlignment="1">
      <alignment horizontal="right"/>
    </xf>
    <xf numFmtId="165" fontId="22" fillId="0" borderId="6" xfId="0" applyNumberFormat="1" applyFont="1" applyFill="1" applyBorder="1" applyAlignment="1">
      <alignment horizontal="right"/>
    </xf>
    <xf numFmtId="165" fontId="22" fillId="0" borderId="108" xfId="0" applyNumberFormat="1" applyFont="1" applyFill="1" applyBorder="1" applyAlignment="1">
      <alignment horizontal="right"/>
    </xf>
    <xf numFmtId="166" fontId="3" fillId="0" borderId="27" xfId="1" applyNumberFormat="1" applyFont="1" applyFill="1" applyBorder="1" applyAlignment="1">
      <alignment horizontal="right" vertical="center"/>
    </xf>
    <xf numFmtId="165" fontId="22" fillId="0" borderId="65" xfId="0" applyNumberFormat="1" applyFont="1" applyFill="1" applyBorder="1" applyAlignment="1">
      <alignment horizontal="right" vertical="center"/>
    </xf>
    <xf numFmtId="165" fontId="22" fillId="0" borderId="36" xfId="0" applyNumberFormat="1" applyFont="1" applyFill="1" applyBorder="1" applyAlignment="1">
      <alignment horizontal="right" vertical="center"/>
    </xf>
    <xf numFmtId="165" fontId="22" fillId="0" borderId="76" xfId="0" applyNumberFormat="1" applyFont="1" applyFill="1" applyBorder="1" applyAlignment="1">
      <alignment horizontal="right" vertical="center"/>
    </xf>
    <xf numFmtId="165" fontId="22" fillId="0" borderId="23" xfId="0" applyNumberFormat="1" applyFont="1" applyFill="1" applyBorder="1" applyAlignment="1">
      <alignment horizontal="right" vertical="center"/>
    </xf>
    <xf numFmtId="165" fontId="22" fillId="0" borderId="79" xfId="0" applyNumberFormat="1" applyFont="1" applyFill="1" applyBorder="1" applyAlignment="1">
      <alignment horizontal="right" vertical="center"/>
    </xf>
    <xf numFmtId="165" fontId="22" fillId="0" borderId="56" xfId="0" applyNumberFormat="1" applyFont="1" applyFill="1" applyBorder="1" applyAlignment="1">
      <alignment horizontal="right" vertical="center"/>
    </xf>
    <xf numFmtId="166" fontId="3" fillId="21" borderId="8" xfId="1" applyNumberFormat="1" applyFont="1" applyFill="1" applyBorder="1" applyAlignment="1">
      <alignment horizontal="right" vertical="center"/>
    </xf>
    <xf numFmtId="165" fontId="22" fillId="0" borderId="35" xfId="0" applyNumberFormat="1" applyFont="1" applyFill="1" applyBorder="1" applyAlignment="1">
      <alignment horizontal="right" vertical="center"/>
    </xf>
    <xf numFmtId="165" fontId="22" fillId="0" borderId="22" xfId="0" applyNumberFormat="1" applyFont="1" applyFill="1" applyBorder="1" applyAlignment="1">
      <alignment horizontal="right" vertical="center"/>
    </xf>
    <xf numFmtId="165" fontId="22" fillId="0" borderId="75" xfId="0" applyNumberFormat="1" applyFont="1" applyFill="1" applyBorder="1" applyAlignment="1">
      <alignment horizontal="right" vertical="center"/>
    </xf>
    <xf numFmtId="165" fontId="3" fillId="0" borderId="18" xfId="0" applyNumberFormat="1" applyFont="1" applyFill="1" applyBorder="1" applyAlignment="1">
      <alignment horizontal="right" vertical="center"/>
    </xf>
    <xf numFmtId="166" fontId="3" fillId="0" borderId="6" xfId="1" applyNumberFormat="1" applyFont="1" applyFill="1" applyBorder="1" applyAlignment="1">
      <alignment horizontal="right" vertical="center"/>
    </xf>
    <xf numFmtId="165" fontId="3" fillId="0" borderId="19" xfId="0" applyNumberFormat="1" applyFont="1" applyFill="1" applyBorder="1" applyAlignment="1">
      <alignment horizontal="right" vertical="center"/>
    </xf>
    <xf numFmtId="165" fontId="22" fillId="0" borderId="35" xfId="0" quotePrefix="1" applyNumberFormat="1" applyFont="1" applyFill="1" applyBorder="1" applyAlignment="1">
      <alignment horizontal="right" vertical="center"/>
    </xf>
    <xf numFmtId="165" fontId="22" fillId="0" borderId="36" xfId="0" quotePrefix="1" applyNumberFormat="1" applyFont="1" applyFill="1" applyBorder="1" applyAlignment="1">
      <alignment horizontal="right" vertical="center"/>
    </xf>
    <xf numFmtId="165" fontId="22" fillId="0" borderId="76" xfId="0" quotePrefix="1" applyNumberFormat="1" applyFont="1" applyFill="1" applyBorder="1" applyAlignment="1">
      <alignment horizontal="right" vertical="center"/>
    </xf>
    <xf numFmtId="165" fontId="22" fillId="0" borderId="22" xfId="0" quotePrefix="1" applyNumberFormat="1" applyFont="1" applyFill="1" applyBorder="1" applyAlignment="1">
      <alignment horizontal="right" vertical="center"/>
    </xf>
    <xf numFmtId="165" fontId="22" fillId="0" borderId="23" xfId="0" quotePrefix="1" applyNumberFormat="1" applyFont="1" applyFill="1" applyBorder="1" applyAlignment="1">
      <alignment horizontal="right" vertical="center"/>
    </xf>
    <xf numFmtId="165" fontId="22" fillId="0" borderId="79" xfId="0" quotePrefix="1" applyNumberFormat="1" applyFont="1" applyFill="1" applyBorder="1" applyAlignment="1">
      <alignment horizontal="right" vertical="center"/>
    </xf>
    <xf numFmtId="43" fontId="22" fillId="0" borderId="22" xfId="1" applyFont="1" applyFill="1" applyBorder="1" applyAlignment="1">
      <alignment horizontal="right" vertical="center"/>
    </xf>
    <xf numFmtId="43" fontId="22" fillId="0" borderId="23" xfId="1" quotePrefix="1" applyFont="1" applyFill="1" applyBorder="1" applyAlignment="1">
      <alignment horizontal="right" vertical="center"/>
    </xf>
    <xf numFmtId="166" fontId="17" fillId="0" borderId="22" xfId="1" applyNumberFormat="1" applyFont="1" applyFill="1" applyBorder="1" applyAlignment="1">
      <alignment horizontal="right"/>
    </xf>
    <xf numFmtId="166" fontId="17" fillId="0" borderId="23" xfId="1" applyNumberFormat="1" applyFont="1" applyFill="1" applyBorder="1" applyAlignment="1">
      <alignment horizontal="right"/>
    </xf>
    <xf numFmtId="165" fontId="17" fillId="0" borderId="23" xfId="1" applyNumberFormat="1" applyFont="1" applyFill="1" applyBorder="1" applyAlignment="1">
      <alignment horizontal="right"/>
    </xf>
    <xf numFmtId="165" fontId="22" fillId="0" borderId="60" xfId="0" quotePrefix="1" applyNumberFormat="1" applyFont="1" applyFill="1" applyBorder="1" applyAlignment="1">
      <alignment horizontal="right" vertical="center"/>
    </xf>
    <xf numFmtId="165" fontId="22" fillId="0" borderId="57" xfId="0" quotePrefix="1" applyNumberFormat="1" applyFont="1" applyFill="1" applyBorder="1" applyAlignment="1">
      <alignment horizontal="right" vertical="center"/>
    </xf>
    <xf numFmtId="165" fontId="22" fillId="0" borderId="28" xfId="0" quotePrefix="1" applyNumberFormat="1" applyFont="1" applyFill="1" applyBorder="1" applyAlignment="1">
      <alignment horizontal="right" vertical="center"/>
    </xf>
    <xf numFmtId="165" fontId="22" fillId="0" borderId="67" xfId="0" quotePrefix="1" applyNumberFormat="1" applyFont="1" applyFill="1" applyBorder="1" applyAlignment="1">
      <alignment horizontal="right" vertical="center"/>
    </xf>
    <xf numFmtId="165" fontId="22" fillId="0" borderId="56" xfId="0" quotePrefix="1" applyNumberFormat="1" applyFont="1" applyFill="1" applyBorder="1" applyAlignment="1">
      <alignment horizontal="right" vertical="center"/>
    </xf>
    <xf numFmtId="0" fontId="3" fillId="0" borderId="12" xfId="0" applyNumberFormat="1" applyFont="1" applyFill="1" applyBorder="1" applyAlignment="1">
      <alignment horizontal="left" vertical="center" wrapText="1"/>
    </xf>
    <xf numFmtId="166" fontId="17" fillId="0" borderId="63" xfId="1" applyNumberFormat="1" applyFont="1" applyFill="1" applyBorder="1" applyAlignment="1">
      <alignment horizontal="right"/>
    </xf>
    <xf numFmtId="165" fontId="22" fillId="0" borderId="40" xfId="0" quotePrefix="1" applyNumberFormat="1" applyFont="1" applyFill="1" applyBorder="1" applyAlignment="1">
      <alignment horizontal="right" vertical="center"/>
    </xf>
    <xf numFmtId="166" fontId="3" fillId="21" borderId="6" xfId="1" applyNumberFormat="1" applyFont="1" applyFill="1" applyBorder="1" applyAlignment="1">
      <alignment horizontal="right" vertical="center"/>
    </xf>
    <xf numFmtId="165" fontId="3" fillId="24" borderId="6" xfId="0" applyNumberFormat="1" applyFont="1" applyFill="1" applyBorder="1" applyAlignment="1">
      <alignment horizontal="right" vertical="center"/>
    </xf>
    <xf numFmtId="165" fontId="22" fillId="0" borderId="65" xfId="0" applyNumberFormat="1" applyFont="1" applyFill="1" applyBorder="1" applyAlignment="1">
      <alignment horizontal="right"/>
    </xf>
    <xf numFmtId="165" fontId="22" fillId="0" borderId="36" xfId="0" applyNumberFormat="1" applyFont="1" applyFill="1" applyBorder="1" applyAlignment="1">
      <alignment horizontal="right"/>
    </xf>
    <xf numFmtId="165" fontId="22" fillId="0" borderId="35" xfId="0" applyNumberFormat="1" applyFont="1" applyFill="1" applyBorder="1" applyAlignment="1">
      <alignment horizontal="right"/>
    </xf>
    <xf numFmtId="165" fontId="22" fillId="0" borderId="22" xfId="0" applyNumberFormat="1" applyFont="1" applyFill="1" applyBorder="1" applyAlignment="1">
      <alignment horizontal="right"/>
    </xf>
    <xf numFmtId="165" fontId="22" fillId="0" borderId="23" xfId="0" applyNumberFormat="1" applyFont="1" applyFill="1" applyBorder="1" applyAlignment="1">
      <alignment horizontal="right"/>
    </xf>
    <xf numFmtId="166" fontId="17" fillId="0" borderId="55" xfId="1" applyNumberFormat="1" applyFont="1" applyFill="1" applyBorder="1" applyAlignment="1">
      <alignment horizontal="right"/>
    </xf>
    <xf numFmtId="166" fontId="17" fillId="0" borderId="108" xfId="1" applyNumberFormat="1" applyFont="1" applyFill="1" applyBorder="1" applyAlignment="1">
      <alignment horizontal="right"/>
    </xf>
    <xf numFmtId="166" fontId="3" fillId="0" borderId="11" xfId="1" applyNumberFormat="1" applyFont="1" applyFill="1" applyBorder="1" applyAlignment="1">
      <alignment horizontal="right" vertical="center"/>
    </xf>
    <xf numFmtId="165" fontId="22" fillId="0" borderId="43" xfId="0" applyNumberFormat="1" applyFont="1" applyFill="1" applyBorder="1" applyAlignment="1">
      <alignment horizontal="right" vertical="center"/>
    </xf>
    <xf numFmtId="166" fontId="17" fillId="0" borderId="17" xfId="1" applyNumberFormat="1" applyFont="1" applyFill="1" applyBorder="1" applyAlignment="1">
      <alignment horizontal="right"/>
    </xf>
    <xf numFmtId="165" fontId="3" fillId="0" borderId="16" xfId="0" applyNumberFormat="1" applyFont="1" applyFill="1" applyBorder="1" applyAlignment="1">
      <alignment horizontal="right" vertical="center"/>
    </xf>
    <xf numFmtId="165" fontId="22" fillId="0" borderId="65" xfId="0" quotePrefix="1" applyNumberFormat="1" applyFont="1" applyFill="1" applyBorder="1" applyAlignment="1">
      <alignment horizontal="right" vertical="center"/>
    </xf>
    <xf numFmtId="165" fontId="22" fillId="0" borderId="43" xfId="0" quotePrefix="1" applyNumberFormat="1" applyFont="1" applyFill="1" applyBorder="1" applyAlignment="1">
      <alignment horizontal="right" vertical="center"/>
    </xf>
    <xf numFmtId="165" fontId="22" fillId="0" borderId="20" xfId="0" quotePrefix="1" applyNumberFormat="1" applyFont="1" applyFill="1" applyBorder="1" applyAlignment="1">
      <alignment horizontal="right" vertical="center"/>
    </xf>
    <xf numFmtId="165" fontId="22" fillId="0" borderId="73" xfId="0" quotePrefix="1" applyNumberFormat="1" applyFont="1" applyFill="1" applyBorder="1" applyAlignment="1">
      <alignment horizontal="right" vertical="center"/>
    </xf>
    <xf numFmtId="165" fontId="22" fillId="0" borderId="73" xfId="1" quotePrefix="1" applyNumberFormat="1" applyFont="1" applyFill="1" applyBorder="1" applyAlignment="1">
      <alignment horizontal="right" vertical="center"/>
    </xf>
    <xf numFmtId="43" fontId="22" fillId="0" borderId="20" xfId="1" applyFont="1" applyFill="1" applyBorder="1" applyAlignment="1">
      <alignment horizontal="right" vertical="center"/>
    </xf>
    <xf numFmtId="43" fontId="22" fillId="0" borderId="22" xfId="1" quotePrefix="1" applyFont="1" applyFill="1" applyBorder="1" applyAlignment="1">
      <alignment horizontal="right" vertical="center"/>
    </xf>
    <xf numFmtId="43" fontId="22" fillId="0" borderId="17" xfId="1" applyFont="1" applyFill="1" applyBorder="1" applyAlignment="1">
      <alignment horizontal="right" vertical="center"/>
    </xf>
    <xf numFmtId="166" fontId="17" fillId="0" borderId="24" xfId="1" applyNumberFormat="1" applyFont="1" applyFill="1" applyBorder="1" applyAlignment="1">
      <alignment horizontal="right"/>
    </xf>
    <xf numFmtId="165" fontId="17" fillId="0" borderId="72" xfId="1" applyNumberFormat="1" applyFont="1" applyFill="1" applyBorder="1" applyAlignment="1">
      <alignment horizontal="right"/>
    </xf>
    <xf numFmtId="165" fontId="17" fillId="0" borderId="73" xfId="1" applyNumberFormat="1" applyFont="1" applyFill="1" applyBorder="1" applyAlignment="1">
      <alignment horizontal="right"/>
    </xf>
    <xf numFmtId="165" fontId="22" fillId="0" borderId="33" xfId="0" quotePrefix="1" applyNumberFormat="1" applyFont="1" applyFill="1" applyBorder="1" applyAlignment="1">
      <alignment horizontal="right" vertical="center"/>
    </xf>
    <xf numFmtId="165" fontId="22" fillId="0" borderId="41" xfId="0" quotePrefix="1" applyNumberFormat="1" applyFont="1" applyFill="1" applyBorder="1" applyAlignment="1">
      <alignment horizontal="right" vertical="center"/>
    </xf>
    <xf numFmtId="165" fontId="22" fillId="0" borderId="15" xfId="0" quotePrefix="1" applyNumberFormat="1" applyFont="1" applyFill="1" applyBorder="1" applyAlignment="1">
      <alignment horizontal="right" vertical="center"/>
    </xf>
    <xf numFmtId="166" fontId="17" fillId="0" borderId="38" xfId="1" applyNumberFormat="1" applyFont="1" applyFill="1" applyBorder="1" applyAlignment="1">
      <alignment horizontal="right"/>
    </xf>
    <xf numFmtId="165" fontId="22" fillId="0" borderId="12" xfId="0" quotePrefix="1" applyNumberFormat="1" applyFont="1" applyFill="1" applyBorder="1" applyAlignment="1">
      <alignment horizontal="right" vertical="center"/>
    </xf>
    <xf numFmtId="165" fontId="22" fillId="0" borderId="59" xfId="0" quotePrefix="1" applyNumberFormat="1" applyFont="1" applyFill="1" applyBorder="1" applyAlignment="1">
      <alignment horizontal="right" vertical="center"/>
    </xf>
    <xf numFmtId="165" fontId="22" fillId="0" borderId="29" xfId="0" quotePrefix="1" applyNumberFormat="1" applyFont="1" applyFill="1" applyBorder="1" applyAlignment="1">
      <alignment horizontal="right" vertical="center"/>
    </xf>
    <xf numFmtId="0" fontId="4" fillId="0" borderId="41" xfId="0" applyFont="1" applyFill="1" applyBorder="1" applyAlignment="1">
      <alignment horizontal="center" vertical="center" wrapText="1"/>
    </xf>
    <xf numFmtId="165" fontId="17" fillId="0" borderId="61" xfId="0" applyNumberFormat="1" applyFont="1" applyFill="1" applyBorder="1" applyAlignment="1">
      <alignment horizontal="right" vertical="center"/>
    </xf>
    <xf numFmtId="165" fontId="17" fillId="0" borderId="32" xfId="0" applyNumberFormat="1" applyFont="1" applyFill="1" applyBorder="1" applyAlignment="1">
      <alignment horizontal="right" vertical="center"/>
    </xf>
    <xf numFmtId="165" fontId="17" fillId="0" borderId="32" xfId="0" quotePrefix="1" applyNumberFormat="1" applyFont="1" applyFill="1" applyBorder="1" applyAlignment="1">
      <alignment horizontal="right" vertical="center"/>
    </xf>
    <xf numFmtId="165" fontId="17" fillId="0" borderId="77" xfId="0" applyNumberFormat="1" applyFont="1" applyFill="1" applyBorder="1" applyAlignment="1">
      <alignment horizontal="right" vertical="center"/>
    </xf>
    <xf numFmtId="165" fontId="17" fillId="0" borderId="59" xfId="0" applyNumberFormat="1" applyFont="1" applyFill="1" applyBorder="1" applyAlignment="1">
      <alignment horizontal="right" vertical="center"/>
    </xf>
    <xf numFmtId="165" fontId="17" fillId="0" borderId="36" xfId="0" applyNumberFormat="1" applyFont="1" applyFill="1" applyBorder="1" applyAlignment="1">
      <alignment horizontal="right" vertical="center"/>
    </xf>
    <xf numFmtId="165" fontId="17" fillId="0" borderId="60" xfId="0" applyNumberFormat="1" applyFont="1" applyFill="1" applyBorder="1" applyAlignment="1">
      <alignment horizontal="right" vertical="center"/>
    </xf>
    <xf numFmtId="165" fontId="17" fillId="0" borderId="67" xfId="0" applyNumberFormat="1" applyFont="1" applyFill="1" applyBorder="1" applyAlignment="1">
      <alignment horizontal="right" vertical="center"/>
    </xf>
    <xf numFmtId="0" fontId="4" fillId="0" borderId="38" xfId="0" applyFont="1" applyFill="1" applyBorder="1" applyAlignment="1">
      <alignment vertical="center"/>
    </xf>
    <xf numFmtId="165" fontId="22" fillId="0" borderId="24" xfId="0" applyNumberFormat="1" applyFont="1" applyFill="1" applyBorder="1" applyAlignment="1">
      <alignment horizontal="right" vertical="center"/>
    </xf>
    <xf numFmtId="165" fontId="22" fillId="0" borderId="29" xfId="0" applyNumberFormat="1" applyFont="1" applyFill="1" applyBorder="1" applyAlignment="1">
      <alignment horizontal="right" vertical="center"/>
    </xf>
    <xf numFmtId="165" fontId="22" fillId="0" borderId="95" xfId="0" applyNumberFormat="1" applyFont="1" applyFill="1" applyBorder="1" applyAlignment="1">
      <alignment horizontal="right" vertical="center"/>
    </xf>
    <xf numFmtId="165" fontId="22" fillId="0" borderId="32" xfId="0" applyNumberFormat="1" applyFont="1" applyFill="1" applyBorder="1" applyAlignment="1">
      <alignment horizontal="right" vertical="center"/>
    </xf>
    <xf numFmtId="166" fontId="17" fillId="0" borderId="20" xfId="1" applyNumberFormat="1" applyFont="1" applyFill="1" applyBorder="1" applyAlignment="1">
      <alignment horizontal="right" vertical="center"/>
    </xf>
    <xf numFmtId="166" fontId="17" fillId="0" borderId="23" xfId="1" applyNumberFormat="1" applyFont="1" applyFill="1" applyBorder="1" applyAlignment="1">
      <alignment horizontal="right" vertical="center"/>
    </xf>
    <xf numFmtId="165" fontId="17" fillId="0" borderId="88" xfId="1" applyNumberFormat="1" applyFont="1" applyFill="1" applyBorder="1" applyAlignment="1">
      <alignment horizontal="right" vertical="center"/>
    </xf>
    <xf numFmtId="43" fontId="22" fillId="0" borderId="24" xfId="1" applyFont="1" applyFill="1" applyBorder="1" applyAlignment="1">
      <alignment horizontal="right" vertical="center"/>
    </xf>
    <xf numFmtId="43" fontId="22" fillId="0" borderId="72" xfId="1" applyFont="1" applyFill="1" applyBorder="1" applyAlignment="1">
      <alignment horizontal="right" vertical="center"/>
    </xf>
    <xf numFmtId="43" fontId="22" fillId="0" borderId="41" xfId="1" applyFont="1" applyFill="1" applyBorder="1" applyAlignment="1">
      <alignment horizontal="right" vertical="center"/>
    </xf>
    <xf numFmtId="165" fontId="22" fillId="0" borderId="12" xfId="0" applyNumberFormat="1" applyFont="1" applyFill="1" applyBorder="1" applyAlignment="1">
      <alignment horizontal="right" vertical="center"/>
    </xf>
    <xf numFmtId="165" fontId="22" fillId="0" borderId="25" xfId="0" applyNumberFormat="1" applyFont="1" applyFill="1" applyBorder="1" applyAlignment="1">
      <alignment horizontal="right" vertical="center"/>
    </xf>
    <xf numFmtId="165" fontId="22" fillId="0" borderId="108" xfId="0" applyNumberFormat="1" applyFont="1" applyFill="1" applyBorder="1" applyAlignment="1">
      <alignment horizontal="right" vertical="center"/>
    </xf>
    <xf numFmtId="37" fontId="3" fillId="7" borderId="4" xfId="0" applyNumberFormat="1" applyFont="1" applyFill="1" applyBorder="1" applyAlignment="1">
      <alignment vertical="center"/>
    </xf>
    <xf numFmtId="165" fontId="3" fillId="19" borderId="18" xfId="0" applyNumberFormat="1" applyFont="1" applyFill="1" applyBorder="1" applyAlignment="1">
      <alignment horizontal="right" vertical="center"/>
    </xf>
    <xf numFmtId="165" fontId="22" fillId="0" borderId="16" xfId="0" applyNumberFormat="1" applyFont="1" applyFill="1" applyBorder="1" applyAlignment="1">
      <alignment horizontal="right" vertical="center"/>
    </xf>
    <xf numFmtId="165" fontId="22" fillId="0" borderId="37" xfId="0" applyNumberFormat="1" applyFont="1" applyFill="1" applyBorder="1" applyAlignment="1">
      <alignment horizontal="right" vertical="center"/>
    </xf>
    <xf numFmtId="165" fontId="22" fillId="0" borderId="15" xfId="0" applyNumberFormat="1" applyFont="1" applyFill="1" applyBorder="1" applyAlignment="1">
      <alignment horizontal="right"/>
    </xf>
    <xf numFmtId="165" fontId="22" fillId="0" borderId="32" xfId="0" applyNumberFormat="1" applyFont="1" applyFill="1" applyBorder="1" applyAlignment="1">
      <alignment horizontal="right"/>
    </xf>
    <xf numFmtId="165" fontId="22" fillId="0" borderId="87" xfId="0" applyNumberFormat="1" applyFont="1" applyFill="1" applyBorder="1" applyAlignment="1">
      <alignment horizontal="right"/>
    </xf>
    <xf numFmtId="0" fontId="4" fillId="0" borderId="12" xfId="0" applyFont="1" applyFill="1" applyBorder="1" applyAlignment="1">
      <alignment horizontal="left" vertical="center" wrapText="1"/>
    </xf>
    <xf numFmtId="0" fontId="4" fillId="0" borderId="108" xfId="0" applyFont="1" applyFill="1" applyBorder="1" applyAlignment="1">
      <alignment vertical="center"/>
    </xf>
    <xf numFmtId="167" fontId="3" fillId="0" borderId="47" xfId="0" applyNumberFormat="1" applyFont="1" applyFill="1" applyBorder="1" applyAlignment="1">
      <alignment horizontal="left" vertical="center" wrapText="1"/>
    </xf>
    <xf numFmtId="165" fontId="22" fillId="0" borderId="56" xfId="0" applyNumberFormat="1" applyFont="1" applyFill="1" applyBorder="1" applyAlignment="1">
      <alignment horizontal="right"/>
    </xf>
    <xf numFmtId="166" fontId="17" fillId="0" borderId="15" xfId="1" applyNumberFormat="1" applyFont="1" applyFill="1" applyBorder="1" applyAlignment="1">
      <alignment horizontal="right"/>
    </xf>
    <xf numFmtId="166" fontId="17" fillId="0" borderId="32" xfId="1" applyNumberFormat="1" applyFont="1" applyFill="1" applyBorder="1" applyAlignment="1">
      <alignment horizontal="right"/>
    </xf>
    <xf numFmtId="166" fontId="17" fillId="0" borderId="71" xfId="1" applyNumberFormat="1" applyFont="1" applyFill="1" applyBorder="1" applyAlignment="1">
      <alignment horizontal="right"/>
    </xf>
    <xf numFmtId="166" fontId="17" fillId="0" borderId="20" xfId="1" applyNumberFormat="1" applyFont="1" applyFill="1" applyBorder="1" applyAlignment="1">
      <alignment horizontal="right"/>
    </xf>
    <xf numFmtId="165" fontId="3" fillId="19" borderId="19" xfId="0" applyNumberFormat="1" applyFont="1" applyFill="1" applyBorder="1" applyAlignment="1">
      <alignment horizontal="left" vertical="center" wrapText="1"/>
    </xf>
    <xf numFmtId="37" fontId="3" fillId="19" borderId="16" xfId="0" applyNumberFormat="1" applyFont="1" applyFill="1" applyBorder="1" applyAlignment="1">
      <alignment vertical="center"/>
    </xf>
    <xf numFmtId="165" fontId="3" fillId="19" borderId="37" xfId="0" applyNumberFormat="1" applyFont="1" applyFill="1" applyBorder="1" applyAlignment="1">
      <alignment horizontal="right" vertical="center"/>
    </xf>
    <xf numFmtId="165" fontId="3" fillId="19" borderId="16" xfId="0" applyNumberFormat="1" applyFont="1" applyFill="1" applyBorder="1" applyAlignment="1">
      <alignment horizontal="right" vertical="center"/>
    </xf>
    <xf numFmtId="0" fontId="4" fillId="0" borderId="41" xfId="0" applyFont="1" applyFill="1" applyBorder="1" applyAlignment="1">
      <alignment horizontal="left" vertical="top" wrapText="1"/>
    </xf>
    <xf numFmtId="0" fontId="4" fillId="0" borderId="41" xfId="0" applyFont="1" applyBorder="1"/>
    <xf numFmtId="49" fontId="8" fillId="11" borderId="8" xfId="0" applyNumberFormat="1" applyFont="1" applyFill="1" applyBorder="1" applyAlignment="1">
      <alignment horizontal="center" vertical="center"/>
    </xf>
    <xf numFmtId="164" fontId="8" fillId="11" borderId="2" xfId="0" applyNumberFormat="1" applyFont="1" applyFill="1" applyBorder="1" applyAlignment="1">
      <alignment horizontal="center" vertical="center"/>
    </xf>
    <xf numFmtId="164" fontId="8" fillId="11" borderId="6" xfId="0" applyNumberFormat="1" applyFont="1" applyFill="1" applyBorder="1" applyAlignment="1">
      <alignment horizontal="center" vertical="center"/>
    </xf>
    <xf numFmtId="164" fontId="8" fillId="11" borderId="8" xfId="0" applyNumberFormat="1" applyFont="1" applyFill="1" applyBorder="1" applyAlignment="1">
      <alignment horizontal="center" vertical="center"/>
    </xf>
    <xf numFmtId="166" fontId="8" fillId="23" borderId="6" xfId="1" applyNumberFormat="1" applyFont="1" applyFill="1" applyBorder="1" applyAlignment="1">
      <alignment vertical="center"/>
    </xf>
    <xf numFmtId="167" fontId="8" fillId="0" borderId="65" xfId="0" applyNumberFormat="1" applyFont="1" applyFill="1" applyBorder="1" applyAlignment="1">
      <alignment horizontal="left" vertical="center" wrapText="1"/>
    </xf>
    <xf numFmtId="167" fontId="8" fillId="0" borderId="15" xfId="0" applyNumberFormat="1" applyFont="1" applyFill="1" applyBorder="1" applyAlignment="1">
      <alignment horizontal="left" vertical="center" wrapText="1"/>
    </xf>
    <xf numFmtId="167" fontId="8" fillId="0" borderId="25" xfId="0" applyNumberFormat="1" applyFont="1" applyFill="1" applyBorder="1" applyAlignment="1">
      <alignment horizontal="left" vertical="center" wrapText="1"/>
    </xf>
    <xf numFmtId="164" fontId="8" fillId="11" borderId="1" xfId="0" applyNumberFormat="1" applyFont="1" applyFill="1" applyBorder="1" applyAlignment="1">
      <alignment horizontal="center" vertical="center"/>
    </xf>
    <xf numFmtId="49" fontId="8" fillId="0" borderId="0" xfId="0" applyNumberFormat="1" applyFont="1" applyFill="1" applyBorder="1" applyAlignment="1">
      <alignment horizontal="center" vertical="center"/>
    </xf>
    <xf numFmtId="164" fontId="8" fillId="0" borderId="0" xfId="0" applyNumberFormat="1" applyFont="1" applyFill="1" applyBorder="1" applyAlignment="1">
      <alignment horizontal="center" vertical="center"/>
    </xf>
    <xf numFmtId="0" fontId="0" fillId="0" borderId="0" xfId="0" applyFont="1" applyFill="1" applyBorder="1"/>
    <xf numFmtId="165" fontId="8" fillId="24" borderId="1" xfId="0" applyNumberFormat="1" applyFont="1" applyFill="1" applyBorder="1" applyAlignment="1">
      <alignment horizontal="right" vertical="center"/>
    </xf>
    <xf numFmtId="165" fontId="8" fillId="24" borderId="8" xfId="0" applyNumberFormat="1" applyFont="1" applyFill="1" applyBorder="1" applyAlignment="1">
      <alignment horizontal="right" vertical="center"/>
    </xf>
    <xf numFmtId="166" fontId="13" fillId="25" borderId="8" xfId="1" applyNumberFormat="1" applyFont="1" applyFill="1" applyBorder="1"/>
    <xf numFmtId="166" fontId="0" fillId="0" borderId="33" xfId="1" applyNumberFormat="1" applyFont="1" applyFill="1" applyBorder="1"/>
    <xf numFmtId="166" fontId="0" fillId="0" borderId="41" xfId="1" applyNumberFormat="1" applyFont="1" applyFill="1" applyBorder="1"/>
    <xf numFmtId="166" fontId="0" fillId="0" borderId="8" xfId="1" applyNumberFormat="1" applyFont="1" applyFill="1" applyBorder="1"/>
    <xf numFmtId="166" fontId="0" fillId="0" borderId="17" xfId="1" applyNumberFormat="1" applyFont="1" applyFill="1" applyBorder="1"/>
    <xf numFmtId="0" fontId="13" fillId="0" borderId="0" xfId="0" applyFont="1" applyAlignment="1">
      <alignment horizontal="center" vertical="top" wrapText="1"/>
    </xf>
    <xf numFmtId="0" fontId="13" fillId="0" borderId="0" xfId="0" applyFont="1"/>
    <xf numFmtId="43" fontId="13" fillId="0" borderId="0" xfId="1" applyFont="1" applyFill="1" applyBorder="1"/>
    <xf numFmtId="0" fontId="13" fillId="0" borderId="0" xfId="0" applyFont="1" applyAlignment="1">
      <alignment horizontal="center"/>
    </xf>
    <xf numFmtId="43" fontId="13" fillId="0" borderId="0" xfId="0" applyNumberFormat="1" applyFont="1"/>
    <xf numFmtId="165" fontId="13" fillId="0" borderId="0" xfId="0" applyNumberFormat="1" applyFont="1"/>
    <xf numFmtId="166" fontId="13" fillId="0" borderId="0" xfId="1" applyNumberFormat="1" applyFont="1" applyAlignment="1">
      <alignment vertical="center"/>
    </xf>
    <xf numFmtId="49" fontId="8" fillId="0" borderId="0" xfId="0" applyNumberFormat="1" applyFont="1" applyAlignment="1">
      <alignment horizontal="center" vertical="center"/>
    </xf>
    <xf numFmtId="0" fontId="13" fillId="0" borderId="0" xfId="0" applyFont="1" applyAlignment="1">
      <alignment horizontal="center" vertical="center"/>
    </xf>
    <xf numFmtId="0" fontId="13" fillId="0" borderId="0" xfId="0" applyFont="1" applyAlignment="1">
      <alignment vertical="center"/>
    </xf>
    <xf numFmtId="164" fontId="8" fillId="0" borderId="0" xfId="0" applyNumberFormat="1" applyFont="1" applyAlignment="1">
      <alignment horizontal="center" vertical="center"/>
    </xf>
    <xf numFmtId="164" fontId="8" fillId="11" borderId="45" xfId="0" applyNumberFormat="1" applyFont="1" applyFill="1" applyBorder="1" applyAlignment="1">
      <alignment horizontal="center" vertical="center"/>
    </xf>
    <xf numFmtId="166" fontId="13" fillId="0" borderId="0" xfId="0" applyNumberFormat="1" applyFont="1" applyAlignment="1">
      <alignment horizontal="center" vertical="center"/>
    </xf>
    <xf numFmtId="166" fontId="8" fillId="21" borderId="6" xfId="1" applyNumberFormat="1" applyFont="1" applyFill="1" applyBorder="1" applyAlignment="1">
      <alignment horizontal="right" vertical="center"/>
    </xf>
    <xf numFmtId="165" fontId="8" fillId="24" borderId="6" xfId="0" applyNumberFormat="1" applyFont="1" applyFill="1" applyBorder="1" applyAlignment="1">
      <alignment horizontal="right" vertical="center"/>
    </xf>
    <xf numFmtId="165" fontId="8" fillId="24" borderId="2" xfId="0" applyNumberFormat="1" applyFont="1" applyFill="1" applyBorder="1" applyAlignment="1">
      <alignment horizontal="right" vertical="center"/>
    </xf>
    <xf numFmtId="165" fontId="8" fillId="0" borderId="0" xfId="0" applyNumberFormat="1" applyFont="1" applyAlignment="1">
      <alignment horizontal="right" vertical="center"/>
    </xf>
    <xf numFmtId="166" fontId="8" fillId="21" borderId="14" xfId="1" applyNumberFormat="1" applyFont="1" applyFill="1" applyBorder="1" applyAlignment="1">
      <alignment horizontal="right" vertical="center"/>
    </xf>
    <xf numFmtId="165" fontId="13" fillId="0" borderId="0" xfId="0" applyNumberFormat="1" applyFont="1" applyAlignment="1">
      <alignment horizontal="center" vertical="center"/>
    </xf>
    <xf numFmtId="10" fontId="13" fillId="0" borderId="0" xfId="2" applyNumberFormat="1" applyFont="1" applyAlignment="1">
      <alignment horizontal="center" vertical="center"/>
    </xf>
    <xf numFmtId="4" fontId="13" fillId="2" borderId="0" xfId="0" applyNumberFormat="1" applyFont="1" applyFill="1" applyAlignment="1">
      <alignment vertical="center"/>
    </xf>
    <xf numFmtId="0" fontId="13" fillId="2" borderId="0" xfId="0" applyFont="1" applyFill="1" applyAlignment="1">
      <alignment vertical="center"/>
    </xf>
    <xf numFmtId="166" fontId="8" fillId="0" borderId="8" xfId="1" applyNumberFormat="1" applyFont="1" applyFill="1" applyBorder="1" applyAlignment="1">
      <alignment horizontal="right" vertical="center"/>
    </xf>
    <xf numFmtId="165" fontId="8" fillId="0" borderId="5" xfId="0" applyNumberFormat="1" applyFont="1" applyBorder="1" applyAlignment="1">
      <alignment horizontal="right" vertical="center"/>
    </xf>
    <xf numFmtId="165" fontId="9" fillId="0" borderId="8" xfId="0" applyNumberFormat="1" applyFont="1" applyBorder="1" applyAlignment="1">
      <alignment horizontal="right" vertical="center"/>
    </xf>
    <xf numFmtId="165" fontId="9" fillId="0" borderId="0" xfId="0" applyNumberFormat="1" applyFont="1" applyAlignment="1">
      <alignment horizontal="right" vertical="center"/>
    </xf>
    <xf numFmtId="165" fontId="8" fillId="0" borderId="8" xfId="0" applyNumberFormat="1" applyFont="1" applyBorder="1" applyAlignment="1">
      <alignment horizontal="right" vertical="center"/>
    </xf>
    <xf numFmtId="166" fontId="8" fillId="0" borderId="14" xfId="1" applyNumberFormat="1" applyFont="1" applyFill="1" applyBorder="1" applyAlignment="1">
      <alignment horizontal="right" vertical="center"/>
    </xf>
    <xf numFmtId="43" fontId="13" fillId="0" borderId="0" xfId="1" applyFont="1" applyFill="1" applyAlignment="1">
      <alignment horizontal="center" vertical="center"/>
    </xf>
    <xf numFmtId="165" fontId="9" fillId="0" borderId="45" xfId="0" applyNumberFormat="1" applyFont="1" applyBorder="1" applyAlignment="1">
      <alignment horizontal="right"/>
    </xf>
    <xf numFmtId="165" fontId="9" fillId="0" borderId="8" xfId="0" applyNumberFormat="1" applyFont="1" applyBorder="1" applyAlignment="1">
      <alignment horizontal="right"/>
    </xf>
    <xf numFmtId="165" fontId="9" fillId="0" borderId="0" xfId="0" applyNumberFormat="1" applyFont="1" applyAlignment="1">
      <alignment horizontal="right"/>
    </xf>
    <xf numFmtId="165" fontId="9" fillId="0" borderId="1" xfId="0" applyNumberFormat="1" applyFont="1" applyBorder="1" applyAlignment="1">
      <alignment horizontal="right"/>
    </xf>
    <xf numFmtId="165" fontId="9" fillId="0" borderId="6" xfId="0" applyNumberFormat="1" applyFont="1" applyBorder="1" applyAlignment="1">
      <alignment horizontal="right"/>
    </xf>
    <xf numFmtId="165" fontId="9" fillId="0" borderId="46" xfId="0" applyNumberFormat="1" applyFont="1" applyBorder="1" applyAlignment="1">
      <alignment horizontal="right"/>
    </xf>
    <xf numFmtId="165" fontId="9" fillId="0" borderId="65" xfId="0" applyNumberFormat="1" applyFont="1" applyBorder="1" applyAlignment="1">
      <alignment horizontal="right"/>
    </xf>
    <xf numFmtId="165" fontId="9" fillId="0" borderId="36" xfId="0" applyNumberFormat="1" applyFont="1" applyBorder="1" applyAlignment="1">
      <alignment horizontal="right"/>
    </xf>
    <xf numFmtId="165" fontId="9" fillId="0" borderId="64" xfId="0" applyNumberFormat="1" applyFont="1" applyBorder="1" applyAlignment="1">
      <alignment horizontal="right"/>
    </xf>
    <xf numFmtId="166" fontId="0" fillId="0" borderId="33" xfId="1" applyNumberFormat="1" applyFont="1" applyFill="1" applyBorder="1" applyAlignment="1">
      <alignment horizontal="right"/>
    </xf>
    <xf numFmtId="165" fontId="0" fillId="0" borderId="33" xfId="1" applyNumberFormat="1" applyFont="1" applyFill="1" applyBorder="1" applyAlignment="1">
      <alignment horizontal="right"/>
    </xf>
    <xf numFmtId="166" fontId="0" fillId="0" borderId="34" xfId="1" applyNumberFormat="1" applyFont="1" applyFill="1" applyBorder="1" applyAlignment="1">
      <alignment horizontal="right"/>
    </xf>
    <xf numFmtId="165" fontId="13" fillId="0" borderId="0" xfId="0" applyNumberFormat="1" applyFont="1" applyAlignment="1">
      <alignment vertical="center"/>
    </xf>
    <xf numFmtId="166" fontId="0" fillId="0" borderId="41" xfId="1" applyNumberFormat="1" applyFont="1" applyFill="1" applyBorder="1" applyAlignment="1">
      <alignment horizontal="right"/>
    </xf>
    <xf numFmtId="165" fontId="0" fillId="0" borderId="17" xfId="1" applyNumberFormat="1" applyFont="1" applyFill="1" applyBorder="1" applyAlignment="1">
      <alignment horizontal="right"/>
    </xf>
    <xf numFmtId="166" fontId="0" fillId="0" borderId="68" xfId="1" applyNumberFormat="1" applyFont="1" applyFill="1" applyBorder="1" applyAlignment="1">
      <alignment horizontal="right"/>
    </xf>
    <xf numFmtId="165" fontId="0" fillId="0" borderId="6" xfId="1" applyNumberFormat="1" applyFont="1" applyFill="1" applyBorder="1" applyAlignment="1">
      <alignment horizontal="right"/>
    </xf>
    <xf numFmtId="165" fontId="9" fillId="0" borderId="60" xfId="0" applyNumberFormat="1" applyFont="1" applyBorder="1" applyAlignment="1">
      <alignment horizontal="right"/>
    </xf>
    <xf numFmtId="165" fontId="9" fillId="0" borderId="23" xfId="0" applyNumberFormat="1" applyFont="1" applyBorder="1" applyAlignment="1">
      <alignment horizontal="right"/>
    </xf>
    <xf numFmtId="165" fontId="0" fillId="0" borderId="23" xfId="1" applyNumberFormat="1" applyFont="1" applyFill="1" applyBorder="1" applyAlignment="1">
      <alignment horizontal="right"/>
    </xf>
    <xf numFmtId="165" fontId="9" fillId="0" borderId="33" xfId="0" applyNumberFormat="1" applyFont="1" applyBorder="1" applyAlignment="1">
      <alignment horizontal="right"/>
    </xf>
    <xf numFmtId="165" fontId="0" fillId="0" borderId="41" xfId="1" applyNumberFormat="1" applyFont="1" applyFill="1" applyBorder="1" applyAlignment="1">
      <alignment horizontal="right"/>
    </xf>
    <xf numFmtId="165" fontId="8" fillId="0" borderId="1" xfId="0" applyNumberFormat="1" applyFont="1" applyBorder="1" applyAlignment="1">
      <alignment horizontal="right" vertical="center"/>
    </xf>
    <xf numFmtId="166" fontId="8" fillId="0" borderId="27" xfId="1" applyNumberFormat="1" applyFont="1" applyFill="1" applyBorder="1" applyAlignment="1">
      <alignment horizontal="right" vertical="center"/>
    </xf>
    <xf numFmtId="165" fontId="8" fillId="0" borderId="6" xfId="0" applyNumberFormat="1" applyFont="1" applyBorder="1" applyAlignment="1">
      <alignment horizontal="right" vertical="center"/>
    </xf>
    <xf numFmtId="165" fontId="8" fillId="0" borderId="46" xfId="0" applyNumberFormat="1" applyFont="1" applyBorder="1" applyAlignment="1">
      <alignment horizontal="right" vertical="center"/>
    </xf>
    <xf numFmtId="165" fontId="8" fillId="0" borderId="45" xfId="0" applyNumberFormat="1" applyFont="1" applyBorder="1" applyAlignment="1">
      <alignment horizontal="right" vertical="center"/>
    </xf>
    <xf numFmtId="166" fontId="8" fillId="0" borderId="6" xfId="1" applyNumberFormat="1" applyFont="1" applyFill="1" applyBorder="1" applyAlignment="1">
      <alignment horizontal="right" vertical="center"/>
    </xf>
    <xf numFmtId="165" fontId="9" fillId="0" borderId="65" xfId="0" applyNumberFormat="1" applyFont="1" applyBorder="1" applyAlignment="1">
      <alignment horizontal="right" vertical="center"/>
    </xf>
    <xf numFmtId="165" fontId="9" fillId="0" borderId="36" xfId="0" applyNumberFormat="1" applyFont="1" applyBorder="1" applyAlignment="1">
      <alignment horizontal="right" vertical="center"/>
    </xf>
    <xf numFmtId="165" fontId="9" fillId="0" borderId="33" xfId="0" applyNumberFormat="1" applyFont="1" applyBorder="1" applyAlignment="1">
      <alignment horizontal="right" vertical="center"/>
    </xf>
    <xf numFmtId="165" fontId="9" fillId="0" borderId="76" xfId="0" applyNumberFormat="1" applyFont="1" applyBorder="1" applyAlignment="1">
      <alignment horizontal="right" vertical="center"/>
    </xf>
    <xf numFmtId="165" fontId="9" fillId="0" borderId="64" xfId="0" applyNumberFormat="1" applyFont="1" applyBorder="1" applyAlignment="1">
      <alignment horizontal="right" vertical="center"/>
    </xf>
    <xf numFmtId="165" fontId="9" fillId="0" borderId="43" xfId="0" applyNumberFormat="1" applyFont="1" applyBorder="1" applyAlignment="1">
      <alignment horizontal="right" vertical="center"/>
    </xf>
    <xf numFmtId="165" fontId="9" fillId="0" borderId="38" xfId="0" applyNumberFormat="1" applyFont="1" applyBorder="1" applyAlignment="1">
      <alignment horizontal="right" vertical="center"/>
    </xf>
    <xf numFmtId="166" fontId="0" fillId="0" borderId="73" xfId="1" applyNumberFormat="1" applyFont="1" applyFill="1" applyBorder="1" applyAlignment="1">
      <alignment horizontal="right"/>
    </xf>
    <xf numFmtId="43" fontId="13" fillId="0" borderId="0" xfId="0" applyNumberFormat="1" applyFont="1" applyAlignment="1">
      <alignment horizontal="center" vertical="center"/>
    </xf>
    <xf numFmtId="165" fontId="9" fillId="0" borderId="20" xfId="0" applyNumberFormat="1" applyFont="1" applyBorder="1" applyAlignment="1">
      <alignment horizontal="right" vertical="center"/>
    </xf>
    <xf numFmtId="165" fontId="9" fillId="0" borderId="23" xfId="0" applyNumberFormat="1" applyFont="1" applyBorder="1" applyAlignment="1">
      <alignment horizontal="right" vertical="center"/>
    </xf>
    <xf numFmtId="165" fontId="9" fillId="0" borderId="17" xfId="0" applyNumberFormat="1" applyFont="1" applyBorder="1" applyAlignment="1">
      <alignment horizontal="right" vertical="center"/>
    </xf>
    <xf numFmtId="165" fontId="9" fillId="0" borderId="79" xfId="0" applyNumberFormat="1" applyFont="1" applyBorder="1" applyAlignment="1">
      <alignment horizontal="right" vertical="center"/>
    </xf>
    <xf numFmtId="165" fontId="9" fillId="0" borderId="60" xfId="0" applyNumberFormat="1" applyFont="1" applyBorder="1" applyAlignment="1">
      <alignment horizontal="right" vertical="center"/>
    </xf>
    <xf numFmtId="165" fontId="9" fillId="0" borderId="73" xfId="0" applyNumberFormat="1" applyFont="1" applyBorder="1" applyAlignment="1">
      <alignment horizontal="right" vertical="center"/>
    </xf>
    <xf numFmtId="165" fontId="9" fillId="0" borderId="66" xfId="0" applyNumberFormat="1" applyFont="1" applyBorder="1" applyAlignment="1">
      <alignment horizontal="right" vertical="center"/>
    </xf>
    <xf numFmtId="165" fontId="9" fillId="0" borderId="56" xfId="0" applyNumberFormat="1" applyFont="1" applyBorder="1" applyAlignment="1">
      <alignment horizontal="right" vertical="center"/>
    </xf>
    <xf numFmtId="165" fontId="9" fillId="0" borderId="96" xfId="0" applyNumberFormat="1" applyFont="1" applyBorder="1" applyAlignment="1">
      <alignment horizontal="right" vertical="center"/>
    </xf>
    <xf numFmtId="165" fontId="9" fillId="0" borderId="41" xfId="0" applyNumberFormat="1" applyFont="1" applyBorder="1" applyAlignment="1">
      <alignment horizontal="right" vertical="center"/>
    </xf>
    <xf numFmtId="165" fontId="9" fillId="0" borderId="82" xfId="0" applyNumberFormat="1" applyFont="1" applyBorder="1" applyAlignment="1">
      <alignment horizontal="right" vertical="center"/>
    </xf>
    <xf numFmtId="165" fontId="9" fillId="0" borderId="67" xfId="0" applyNumberFormat="1" applyFont="1" applyBorder="1" applyAlignment="1">
      <alignment horizontal="right" vertical="center"/>
    </xf>
    <xf numFmtId="165" fontId="8" fillId="0" borderId="16" xfId="0" applyNumberFormat="1" applyFont="1" applyBorder="1" applyAlignment="1">
      <alignment horizontal="right" vertical="center"/>
    </xf>
    <xf numFmtId="165" fontId="8" fillId="0" borderId="19" xfId="0" applyNumberFormat="1" applyFont="1" applyBorder="1" applyAlignment="1">
      <alignment horizontal="right" vertical="center"/>
    </xf>
    <xf numFmtId="165" fontId="8" fillId="0" borderId="4" xfId="0" applyNumberFormat="1" applyFont="1" applyBorder="1" applyAlignment="1">
      <alignment horizontal="right" vertical="center"/>
    </xf>
    <xf numFmtId="165" fontId="8" fillId="0" borderId="81" xfId="0" applyNumberFormat="1" applyFont="1" applyBorder="1" applyAlignment="1">
      <alignment horizontal="right" vertical="center"/>
    </xf>
    <xf numFmtId="165" fontId="8" fillId="0" borderId="49" xfId="0" applyNumberFormat="1" applyFont="1" applyBorder="1" applyAlignment="1">
      <alignment horizontal="right" vertical="center"/>
    </xf>
    <xf numFmtId="43" fontId="13" fillId="0" borderId="0" xfId="1" applyFont="1" applyFill="1" applyAlignment="1">
      <alignment vertical="center"/>
    </xf>
    <xf numFmtId="165" fontId="9" fillId="0" borderId="65" xfId="0" quotePrefix="1" applyNumberFormat="1" applyFont="1" applyBorder="1" applyAlignment="1">
      <alignment horizontal="right" vertical="center"/>
    </xf>
    <xf numFmtId="165" fontId="9" fillId="0" borderId="36" xfId="0" quotePrefix="1" applyNumberFormat="1" applyFont="1" applyBorder="1" applyAlignment="1">
      <alignment horizontal="right" vertical="center"/>
    </xf>
    <xf numFmtId="165" fontId="9" fillId="0" borderId="94" xfId="0" quotePrefix="1" applyNumberFormat="1" applyFont="1" applyBorder="1" applyAlignment="1">
      <alignment horizontal="right" vertical="center"/>
    </xf>
    <xf numFmtId="165" fontId="9" fillId="0" borderId="33" xfId="0" quotePrefix="1" applyNumberFormat="1" applyFont="1" applyBorder="1" applyAlignment="1">
      <alignment horizontal="right" vertical="center"/>
    </xf>
    <xf numFmtId="165" fontId="9" fillId="0" borderId="0" xfId="0" quotePrefix="1" applyNumberFormat="1" applyFont="1" applyAlignment="1">
      <alignment horizontal="right" vertical="center"/>
    </xf>
    <xf numFmtId="165" fontId="9" fillId="0" borderId="76" xfId="0" quotePrefix="1" applyNumberFormat="1" applyFont="1" applyBorder="1" applyAlignment="1">
      <alignment horizontal="right" vertical="center"/>
    </xf>
    <xf numFmtId="165" fontId="9" fillId="0" borderId="64" xfId="0" quotePrefix="1" applyNumberFormat="1" applyFont="1" applyBorder="1" applyAlignment="1">
      <alignment horizontal="right" vertical="center"/>
    </xf>
    <xf numFmtId="165" fontId="9" fillId="0" borderId="20" xfId="0" quotePrefix="1" applyNumberFormat="1" applyFont="1" applyBorder="1" applyAlignment="1">
      <alignment horizontal="right" vertical="center"/>
    </xf>
    <xf numFmtId="165" fontId="9" fillId="0" borderId="23" xfId="0" quotePrefix="1" applyNumberFormat="1" applyFont="1" applyBorder="1" applyAlignment="1">
      <alignment horizontal="right" vertical="center"/>
    </xf>
    <xf numFmtId="165" fontId="9" fillId="0" borderId="88" xfId="0" quotePrefix="1" applyNumberFormat="1" applyFont="1" applyBorder="1" applyAlignment="1">
      <alignment horizontal="right" vertical="center"/>
    </xf>
    <xf numFmtId="165" fontId="9" fillId="0" borderId="17" xfId="0" quotePrefix="1" applyNumberFormat="1" applyFont="1" applyBorder="1" applyAlignment="1">
      <alignment horizontal="right" vertical="center"/>
    </xf>
    <xf numFmtId="165" fontId="9" fillId="0" borderId="79" xfId="0" quotePrefix="1" applyNumberFormat="1" applyFont="1" applyBorder="1" applyAlignment="1">
      <alignment horizontal="right" vertical="center"/>
    </xf>
    <xf numFmtId="165" fontId="9" fillId="0" borderId="60" xfId="0" quotePrefix="1" applyNumberFormat="1" applyFont="1" applyBorder="1" applyAlignment="1">
      <alignment horizontal="right" vertical="center"/>
    </xf>
    <xf numFmtId="43" fontId="9" fillId="0" borderId="20" xfId="1" quotePrefix="1" applyFont="1" applyFill="1" applyBorder="1" applyAlignment="1">
      <alignment horizontal="right" vertical="center"/>
    </xf>
    <xf numFmtId="43" fontId="9" fillId="0" borderId="23" xfId="1" quotePrefix="1" applyFont="1" applyFill="1" applyBorder="1" applyAlignment="1">
      <alignment horizontal="right" vertical="center"/>
    </xf>
    <xf numFmtId="43" fontId="9" fillId="0" borderId="23" xfId="1" applyFont="1" applyFill="1" applyBorder="1" applyAlignment="1">
      <alignment horizontal="right" vertical="center"/>
    </xf>
    <xf numFmtId="165" fontId="9" fillId="0" borderId="17" xfId="1" quotePrefix="1" applyNumberFormat="1" applyFont="1" applyFill="1" applyBorder="1" applyAlignment="1">
      <alignment horizontal="right" vertical="center"/>
    </xf>
    <xf numFmtId="165" fontId="9" fillId="0" borderId="0" xfId="1" quotePrefix="1" applyNumberFormat="1" applyFont="1" applyFill="1" applyBorder="1" applyAlignment="1">
      <alignment horizontal="right" vertical="center"/>
    </xf>
    <xf numFmtId="43" fontId="9" fillId="0" borderId="20" xfId="1" applyFont="1" applyFill="1" applyBorder="1" applyAlignment="1">
      <alignment horizontal="right" vertical="center"/>
    </xf>
    <xf numFmtId="165" fontId="9" fillId="0" borderId="79" xfId="1" quotePrefix="1" applyNumberFormat="1" applyFont="1" applyFill="1" applyBorder="1" applyAlignment="1">
      <alignment horizontal="right" vertical="center"/>
    </xf>
    <xf numFmtId="43" fontId="9" fillId="0" borderId="60" xfId="1" applyFont="1" applyFill="1" applyBorder="1" applyAlignment="1">
      <alignment horizontal="right" vertical="center"/>
    </xf>
    <xf numFmtId="43" fontId="9" fillId="0" borderId="60" xfId="1" quotePrefix="1" applyFont="1" applyFill="1" applyBorder="1" applyAlignment="1">
      <alignment horizontal="right" vertical="center"/>
    </xf>
    <xf numFmtId="43" fontId="9" fillId="0" borderId="17" xfId="1" applyFont="1" applyFill="1" applyBorder="1" applyAlignment="1">
      <alignment horizontal="right" vertical="center"/>
    </xf>
    <xf numFmtId="166" fontId="0" fillId="0" borderId="24" xfId="1" applyNumberFormat="1" applyFont="1" applyFill="1" applyBorder="1" applyAlignment="1">
      <alignment horizontal="right"/>
    </xf>
    <xf numFmtId="166" fontId="0" fillId="0" borderId="29" xfId="1" applyNumberFormat="1" applyFont="1" applyFill="1" applyBorder="1" applyAlignment="1">
      <alignment horizontal="right"/>
    </xf>
    <xf numFmtId="165" fontId="0" fillId="0" borderId="29" xfId="1" applyNumberFormat="1" applyFont="1" applyFill="1" applyBorder="1" applyAlignment="1">
      <alignment horizontal="right"/>
    </xf>
    <xf numFmtId="165" fontId="0" fillId="0" borderId="108" xfId="1" applyNumberFormat="1" applyFont="1" applyFill="1" applyBorder="1" applyAlignment="1">
      <alignment horizontal="right"/>
    </xf>
    <xf numFmtId="165" fontId="0" fillId="0" borderId="83" xfId="1" applyNumberFormat="1" applyFont="1" applyFill="1" applyBorder="1" applyAlignment="1">
      <alignment horizontal="right"/>
    </xf>
    <xf numFmtId="166" fontId="0" fillId="0" borderId="59" xfId="1" applyNumberFormat="1" applyFont="1" applyFill="1" applyBorder="1" applyAlignment="1">
      <alignment horizontal="right"/>
    </xf>
    <xf numFmtId="166" fontId="0" fillId="0" borderId="60" xfId="1" applyNumberFormat="1" applyFont="1" applyFill="1" applyBorder="1" applyAlignment="1">
      <alignment horizontal="right"/>
    </xf>
    <xf numFmtId="166" fontId="0" fillId="0" borderId="23" xfId="1" applyNumberFormat="1" applyFont="1" applyFill="1" applyBorder="1" applyAlignment="1">
      <alignment horizontal="right"/>
    </xf>
    <xf numFmtId="165" fontId="0" fillId="0" borderId="73" xfId="1" applyNumberFormat="1" applyFont="1" applyFill="1" applyBorder="1" applyAlignment="1">
      <alignment horizontal="right"/>
    </xf>
    <xf numFmtId="43" fontId="9" fillId="0" borderId="108" xfId="1" applyFont="1" applyFill="1" applyBorder="1" applyAlignment="1">
      <alignment horizontal="right" vertical="center"/>
    </xf>
    <xf numFmtId="166" fontId="0" fillId="0" borderId="72" xfId="1" applyNumberFormat="1" applyFont="1" applyFill="1" applyBorder="1" applyAlignment="1">
      <alignment horizontal="right"/>
    </xf>
    <xf numFmtId="165" fontId="9" fillId="0" borderId="4" xfId="0" quotePrefix="1" applyNumberFormat="1" applyFont="1" applyBorder="1" applyAlignment="1">
      <alignment horizontal="right" vertical="center"/>
    </xf>
    <xf numFmtId="165" fontId="9" fillId="0" borderId="56" xfId="0" quotePrefix="1" applyNumberFormat="1" applyFont="1" applyBorder="1" applyAlignment="1">
      <alignment horizontal="right" vertical="center"/>
    </xf>
    <xf numFmtId="165" fontId="9" fillId="0" borderId="11" xfId="0" quotePrefix="1" applyNumberFormat="1" applyFont="1" applyBorder="1" applyAlignment="1">
      <alignment horizontal="right" vertical="center"/>
    </xf>
    <xf numFmtId="165" fontId="9" fillId="0" borderId="41" xfId="0" quotePrefix="1" applyNumberFormat="1" applyFont="1" applyBorder="1" applyAlignment="1">
      <alignment horizontal="right" vertical="center"/>
    </xf>
    <xf numFmtId="165" fontId="9" fillId="0" borderId="15" xfId="0" quotePrefix="1" applyNumberFormat="1" applyFont="1" applyBorder="1" applyAlignment="1">
      <alignment horizontal="right" vertical="center"/>
    </xf>
    <xf numFmtId="165" fontId="9" fillId="0" borderId="32" xfId="0" quotePrefix="1" applyNumberFormat="1" applyFont="1" applyBorder="1" applyAlignment="1">
      <alignment horizontal="right" vertical="center"/>
    </xf>
    <xf numFmtId="165" fontId="9" fillId="0" borderId="38" xfId="0" quotePrefix="1" applyNumberFormat="1" applyFont="1" applyBorder="1" applyAlignment="1">
      <alignment horizontal="right" vertical="center"/>
    </xf>
    <xf numFmtId="165" fontId="9" fillId="0" borderId="77" xfId="0" quotePrefix="1" applyNumberFormat="1" applyFont="1" applyBorder="1" applyAlignment="1">
      <alignment horizontal="right" vertical="center"/>
    </xf>
    <xf numFmtId="165" fontId="9" fillId="0" borderId="61" xfId="0" quotePrefix="1" applyNumberFormat="1" applyFont="1" applyBorder="1" applyAlignment="1">
      <alignment horizontal="right" vertical="center"/>
    </xf>
    <xf numFmtId="166" fontId="0" fillId="0" borderId="71" xfId="1" applyNumberFormat="1" applyFont="1" applyFill="1" applyBorder="1" applyAlignment="1">
      <alignment horizontal="right"/>
    </xf>
    <xf numFmtId="165" fontId="9" fillId="0" borderId="21" xfId="0" quotePrefix="1" applyNumberFormat="1" applyFont="1" applyBorder="1" applyAlignment="1">
      <alignment horizontal="right" vertical="center"/>
    </xf>
    <xf numFmtId="165" fontId="9" fillId="0" borderId="28" xfId="0" quotePrefix="1" applyNumberFormat="1" applyFont="1" applyBorder="1" applyAlignment="1">
      <alignment horizontal="right" vertical="center"/>
    </xf>
    <xf numFmtId="165" fontId="9" fillId="0" borderId="59" xfId="0" quotePrefix="1" applyNumberFormat="1" applyFont="1" applyBorder="1" applyAlignment="1">
      <alignment horizontal="right" vertical="center"/>
    </xf>
    <xf numFmtId="165" fontId="9" fillId="0" borderId="29" xfId="0" quotePrefix="1" applyNumberFormat="1" applyFont="1" applyBorder="1" applyAlignment="1">
      <alignment horizontal="right" vertical="center"/>
    </xf>
    <xf numFmtId="165" fontId="9" fillId="0" borderId="80" xfId="0" quotePrefix="1" applyNumberFormat="1" applyFont="1" applyBorder="1" applyAlignment="1">
      <alignment horizontal="right" vertical="center"/>
    </xf>
    <xf numFmtId="165" fontId="9" fillId="0" borderId="62" xfId="0" quotePrefix="1" applyNumberFormat="1" applyFont="1" applyBorder="1" applyAlignment="1">
      <alignment horizontal="right" vertical="center"/>
    </xf>
    <xf numFmtId="165" fontId="9" fillId="0" borderId="44" xfId="0" quotePrefix="1" applyNumberFormat="1" applyFont="1" applyBorder="1" applyAlignment="1">
      <alignment horizontal="right" vertical="center"/>
    </xf>
    <xf numFmtId="165" fontId="9" fillId="0" borderId="55" xfId="0" applyNumberFormat="1" applyFont="1" applyBorder="1" applyAlignment="1">
      <alignment horizontal="right" vertical="center"/>
    </xf>
    <xf numFmtId="166" fontId="0" fillId="0" borderId="70" xfId="1" applyNumberFormat="1" applyFont="1" applyFill="1" applyBorder="1" applyAlignment="1">
      <alignment horizontal="right"/>
    </xf>
    <xf numFmtId="165" fontId="9" fillId="0" borderId="55" xfId="0" quotePrefix="1" applyNumberFormat="1" applyFont="1" applyBorder="1" applyAlignment="1">
      <alignment horizontal="right" vertical="center"/>
    </xf>
    <xf numFmtId="165" fontId="9" fillId="0" borderId="67" xfId="0" quotePrefix="1" applyNumberFormat="1" applyFont="1" applyBorder="1" applyAlignment="1">
      <alignment horizontal="right" vertical="center"/>
    </xf>
    <xf numFmtId="165" fontId="9" fillId="0" borderId="11" xfId="0" applyNumberFormat="1" applyFont="1" applyBorder="1" applyAlignment="1">
      <alignment horizontal="right" vertical="center"/>
    </xf>
    <xf numFmtId="166" fontId="0" fillId="0" borderId="69" xfId="1" applyNumberFormat="1" applyFont="1" applyFill="1" applyBorder="1" applyAlignment="1">
      <alignment horizontal="right"/>
    </xf>
    <xf numFmtId="0" fontId="13" fillId="0" borderId="0" xfId="0" applyFont="1" applyAlignment="1">
      <alignment horizontal="center" vertical="center" wrapText="1"/>
    </xf>
    <xf numFmtId="4" fontId="13" fillId="0" borderId="0" xfId="0" applyNumberFormat="1" applyFont="1" applyAlignment="1">
      <alignment vertical="center"/>
    </xf>
    <xf numFmtId="165" fontId="9" fillId="0" borderId="0" xfId="0" applyNumberFormat="1" applyFont="1" applyAlignment="1">
      <alignment vertical="center"/>
    </xf>
    <xf numFmtId="166" fontId="13" fillId="0" borderId="0" xfId="1" applyNumberFormat="1" applyFont="1" applyBorder="1" applyAlignment="1">
      <alignment vertical="center"/>
    </xf>
    <xf numFmtId="0" fontId="13" fillId="0" borderId="0" xfId="0" applyFont="1" applyAlignment="1">
      <alignment vertical="top" wrapText="1"/>
    </xf>
    <xf numFmtId="0" fontId="13" fillId="2" borderId="0" xfId="0" applyFont="1" applyFill="1"/>
    <xf numFmtId="37" fontId="8" fillId="9" borderId="1" xfId="0" applyNumberFormat="1" applyFont="1" applyFill="1" applyBorder="1" applyAlignment="1">
      <alignment horizontal="center" vertical="center"/>
    </xf>
    <xf numFmtId="166" fontId="13" fillId="10" borderId="6" xfId="0" applyNumberFormat="1" applyFont="1" applyFill="1" applyBorder="1" applyAlignment="1">
      <alignment horizontal="center" vertical="center"/>
    </xf>
    <xf numFmtId="166" fontId="13" fillId="10" borderId="7" xfId="0" applyNumberFormat="1" applyFont="1" applyFill="1" applyBorder="1" applyAlignment="1">
      <alignment horizontal="center" vertical="center"/>
    </xf>
    <xf numFmtId="166" fontId="13" fillId="10" borderId="5" xfId="0" applyNumberFormat="1" applyFont="1" applyFill="1" applyBorder="1" applyAlignment="1">
      <alignment horizontal="center" vertical="center"/>
    </xf>
    <xf numFmtId="166" fontId="13" fillId="10" borderId="14" xfId="0" applyNumberFormat="1" applyFont="1" applyFill="1" applyBorder="1" applyAlignment="1">
      <alignment horizontal="center" vertical="center"/>
    </xf>
    <xf numFmtId="166" fontId="13" fillId="10" borderId="46" xfId="0" applyNumberFormat="1" applyFont="1" applyFill="1" applyBorder="1" applyAlignment="1">
      <alignment horizontal="center" vertical="center"/>
    </xf>
    <xf numFmtId="0" fontId="13" fillId="0" borderId="12" xfId="0" applyFont="1" applyBorder="1" applyAlignment="1">
      <alignment horizontal="left"/>
    </xf>
    <xf numFmtId="166" fontId="0" fillId="2" borderId="28" xfId="1" applyNumberFormat="1" applyFont="1" applyFill="1" applyBorder="1" applyAlignment="1">
      <alignment horizontal="right"/>
    </xf>
    <xf numFmtId="166" fontId="0" fillId="2" borderId="44" xfId="1" applyNumberFormat="1" applyFont="1" applyFill="1" applyBorder="1" applyAlignment="1">
      <alignment horizontal="right"/>
    </xf>
    <xf numFmtId="166" fontId="0" fillId="0" borderId="0" xfId="1" applyNumberFormat="1" applyFont="1" applyFill="1" applyBorder="1" applyAlignment="1">
      <alignment horizontal="right"/>
    </xf>
    <xf numFmtId="166" fontId="0" fillId="2" borderId="57" xfId="1" applyNumberFormat="1" applyFont="1" applyFill="1" applyBorder="1" applyAlignment="1">
      <alignment horizontal="right"/>
    </xf>
    <xf numFmtId="166" fontId="0" fillId="2" borderId="70" xfId="1" applyNumberFormat="1" applyFont="1" applyFill="1" applyBorder="1" applyAlignment="1"/>
    <xf numFmtId="166" fontId="0" fillId="2" borderId="80" xfId="1" applyNumberFormat="1" applyFont="1" applyFill="1" applyBorder="1" applyAlignment="1"/>
    <xf numFmtId="3" fontId="13" fillId="0" borderId="0" xfId="0" applyNumberFormat="1" applyFont="1" applyAlignment="1">
      <alignment vertical="top" wrapText="1"/>
    </xf>
    <xf numFmtId="3" fontId="13" fillId="0" borderId="66" xfId="0" applyNumberFormat="1" applyFont="1" applyBorder="1" applyAlignment="1">
      <alignment horizontal="left"/>
    </xf>
    <xf numFmtId="166" fontId="0" fillId="2" borderId="56" xfId="1" applyNumberFormat="1" applyFont="1" applyFill="1" applyBorder="1" applyAlignment="1">
      <alignment horizontal="right"/>
    </xf>
    <xf numFmtId="166" fontId="0" fillId="2" borderId="68" xfId="1" applyNumberFormat="1" applyFont="1" applyFill="1" applyBorder="1" applyAlignment="1">
      <alignment horizontal="right"/>
    </xf>
    <xf numFmtId="166" fontId="0" fillId="2" borderId="75" xfId="1" applyNumberFormat="1" applyFont="1" applyFill="1" applyBorder="1" applyAlignment="1">
      <alignment horizontal="right"/>
    </xf>
    <xf numFmtId="166" fontId="0" fillId="2" borderId="74" xfId="1" applyNumberFormat="1" applyFont="1" applyFill="1" applyBorder="1" applyAlignment="1"/>
    <xf numFmtId="166" fontId="0" fillId="2" borderId="82" xfId="1" applyNumberFormat="1" applyFont="1" applyFill="1" applyBorder="1" applyAlignment="1"/>
    <xf numFmtId="3" fontId="13" fillId="0" borderId="0" xfId="0" applyNumberFormat="1" applyFont="1"/>
    <xf numFmtId="3" fontId="13" fillId="0" borderId="0" xfId="0" applyNumberFormat="1" applyFont="1" applyAlignment="1">
      <alignment horizontal="center"/>
    </xf>
    <xf numFmtId="39" fontId="13" fillId="0" borderId="0" xfId="0" applyNumberFormat="1" applyFont="1"/>
    <xf numFmtId="9" fontId="13" fillId="0" borderId="0" xfId="2" applyFont="1" applyBorder="1"/>
    <xf numFmtId="9" fontId="13" fillId="0" borderId="0" xfId="2" applyFont="1" applyFill="1" applyBorder="1"/>
    <xf numFmtId="2" fontId="13" fillId="0" borderId="0" xfId="0" applyNumberFormat="1" applyFont="1"/>
    <xf numFmtId="43" fontId="13" fillId="0" borderId="0" xfId="1" applyFont="1" applyAlignment="1">
      <alignment horizontal="center"/>
    </xf>
    <xf numFmtId="43" fontId="13" fillId="0" borderId="0" xfId="1" applyFont="1" applyFill="1" applyBorder="1" applyAlignment="1">
      <alignment horizontal="center"/>
    </xf>
    <xf numFmtId="43" fontId="13" fillId="0" borderId="0" xfId="2" applyNumberFormat="1" applyFont="1"/>
    <xf numFmtId="43" fontId="13" fillId="0" borderId="0" xfId="2" applyNumberFormat="1" applyFont="1" applyFill="1" applyBorder="1"/>
    <xf numFmtId="9" fontId="13" fillId="0" borderId="0" xfId="2" applyFont="1"/>
    <xf numFmtId="0" fontId="0" fillId="0" borderId="0" xfId="0" applyFont="1"/>
    <xf numFmtId="165" fontId="8" fillId="7" borderId="6" xfId="0" applyNumberFormat="1" applyFont="1" applyFill="1" applyBorder="1" applyAlignment="1">
      <alignment horizontal="left" vertical="center" wrapText="1"/>
    </xf>
    <xf numFmtId="37" fontId="8" fillId="19" borderId="1" xfId="0" applyNumberFormat="1" applyFont="1" applyFill="1" applyBorder="1" applyAlignment="1">
      <alignment vertical="center"/>
    </xf>
    <xf numFmtId="165" fontId="8" fillId="19" borderId="1" xfId="0" applyNumberFormat="1" applyFont="1" applyFill="1" applyBorder="1" applyAlignment="1">
      <alignment horizontal="right" vertical="center"/>
    </xf>
    <xf numFmtId="166" fontId="8" fillId="23" borderId="6" xfId="1" applyNumberFormat="1" applyFont="1" applyFill="1" applyBorder="1" applyAlignment="1">
      <alignment horizontal="right" vertical="center"/>
    </xf>
    <xf numFmtId="165" fontId="8" fillId="19" borderId="6" xfId="0" applyNumberFormat="1" applyFont="1" applyFill="1" applyBorder="1" applyAlignment="1">
      <alignment horizontal="right" vertical="center"/>
    </xf>
    <xf numFmtId="165" fontId="8" fillId="19" borderId="2" xfId="0" applyNumberFormat="1" applyFont="1" applyFill="1" applyBorder="1" applyAlignment="1">
      <alignment horizontal="right" vertical="center"/>
    </xf>
    <xf numFmtId="165" fontId="8" fillId="19" borderId="8" xfId="0" applyNumberFormat="1" applyFont="1" applyFill="1" applyBorder="1" applyAlignment="1">
      <alignment horizontal="right" vertical="center"/>
    </xf>
    <xf numFmtId="165" fontId="8" fillId="0" borderId="0" xfId="0" applyNumberFormat="1" applyFont="1" applyFill="1" applyBorder="1" applyAlignment="1">
      <alignment horizontal="right" vertical="center"/>
    </xf>
    <xf numFmtId="166" fontId="8" fillId="23" borderId="8" xfId="1" applyNumberFormat="1" applyFont="1" applyFill="1" applyBorder="1" applyAlignment="1">
      <alignment horizontal="right" vertical="center"/>
    </xf>
    <xf numFmtId="166" fontId="13" fillId="25" borderId="8" xfId="1" applyNumberFormat="1" applyFont="1" applyFill="1" applyBorder="1" applyAlignment="1">
      <alignment horizontal="right"/>
    </xf>
    <xf numFmtId="165" fontId="9" fillId="0" borderId="0" xfId="0" applyNumberFormat="1" applyFont="1" applyFill="1" applyBorder="1" applyAlignment="1">
      <alignment horizontal="right" vertical="center"/>
    </xf>
    <xf numFmtId="166" fontId="0" fillId="0" borderId="108" xfId="1" applyNumberFormat="1" applyFont="1" applyFill="1" applyBorder="1" applyAlignment="1">
      <alignment horizontal="right"/>
    </xf>
    <xf numFmtId="37" fontId="8" fillId="0" borderId="33" xfId="0" applyNumberFormat="1" applyFont="1" applyFill="1" applyBorder="1" applyAlignment="1">
      <alignment vertical="center"/>
    </xf>
    <xf numFmtId="165" fontId="9" fillId="0" borderId="36" xfId="0" applyNumberFormat="1" applyFont="1" applyFill="1" applyBorder="1" applyAlignment="1">
      <alignment horizontal="right" vertical="center"/>
    </xf>
    <xf numFmtId="165" fontId="9" fillId="0" borderId="33" xfId="0" applyNumberFormat="1" applyFont="1" applyFill="1" applyBorder="1" applyAlignment="1">
      <alignment horizontal="right" vertical="center"/>
    </xf>
    <xf numFmtId="37" fontId="8" fillId="0" borderId="38" xfId="0" applyNumberFormat="1" applyFont="1" applyFill="1" applyBorder="1" applyAlignment="1">
      <alignment vertical="center"/>
    </xf>
    <xf numFmtId="165" fontId="9" fillId="0" borderId="38" xfId="0" applyNumberFormat="1" applyFont="1" applyFill="1" applyBorder="1" applyAlignment="1">
      <alignment horizontal="right" vertical="center"/>
    </xf>
    <xf numFmtId="166" fontId="0" fillId="0" borderId="38" xfId="1" applyNumberFormat="1" applyFont="1" applyFill="1" applyBorder="1" applyAlignment="1">
      <alignment horizontal="right"/>
    </xf>
    <xf numFmtId="165" fontId="9" fillId="0" borderId="15" xfId="0" applyNumberFormat="1" applyFont="1" applyFill="1" applyBorder="1" applyAlignment="1">
      <alignment horizontal="right" vertical="center"/>
    </xf>
    <xf numFmtId="165" fontId="9" fillId="0" borderId="32" xfId="0" applyNumberFormat="1" applyFont="1" applyFill="1" applyBorder="1" applyAlignment="1">
      <alignment horizontal="right" vertical="center"/>
    </xf>
    <xf numFmtId="166" fontId="0" fillId="0" borderId="17" xfId="1" applyNumberFormat="1" applyFont="1" applyFill="1" applyBorder="1" applyAlignment="1">
      <alignment horizontal="right"/>
    </xf>
    <xf numFmtId="165" fontId="9" fillId="0" borderId="56" xfId="0" applyNumberFormat="1" applyFont="1" applyFill="1" applyBorder="1" applyAlignment="1">
      <alignment horizontal="right" vertical="center"/>
    </xf>
    <xf numFmtId="165" fontId="9" fillId="0" borderId="41" xfId="0" applyNumberFormat="1" applyFont="1" applyFill="1" applyBorder="1" applyAlignment="1">
      <alignment horizontal="right" vertical="center"/>
    </xf>
    <xf numFmtId="37" fontId="8" fillId="0" borderId="17" xfId="0" applyNumberFormat="1" applyFont="1" applyFill="1" applyBorder="1" applyAlignment="1">
      <alignment vertical="center"/>
    </xf>
    <xf numFmtId="37" fontId="8" fillId="7" borderId="8" xfId="0" applyNumberFormat="1" applyFont="1" applyFill="1" applyBorder="1" applyAlignment="1">
      <alignment vertical="center"/>
    </xf>
    <xf numFmtId="165" fontId="8" fillId="19" borderId="1" xfId="0" applyNumberFormat="1" applyFont="1" applyFill="1" applyBorder="1" applyAlignment="1">
      <alignment vertical="center"/>
    </xf>
    <xf numFmtId="165" fontId="8" fillId="19" borderId="6" xfId="0" applyNumberFormat="1" applyFont="1" applyFill="1" applyBorder="1" applyAlignment="1">
      <alignment vertical="center"/>
    </xf>
    <xf numFmtId="165" fontId="8" fillId="19" borderId="2" xfId="0" applyNumberFormat="1" applyFont="1" applyFill="1" applyBorder="1" applyAlignment="1">
      <alignment vertical="center"/>
    </xf>
    <xf numFmtId="165" fontId="8" fillId="19" borderId="14" xfId="0" applyNumberFormat="1" applyFont="1" applyFill="1" applyBorder="1" applyAlignment="1">
      <alignment vertical="center"/>
    </xf>
    <xf numFmtId="165" fontId="9" fillId="0" borderId="20" xfId="0" applyNumberFormat="1" applyFont="1" applyFill="1" applyBorder="1" applyAlignment="1">
      <alignment horizontal="right" vertical="center"/>
    </xf>
    <xf numFmtId="165" fontId="9" fillId="0" borderId="23" xfId="0" applyNumberFormat="1" applyFont="1" applyFill="1" applyBorder="1" applyAlignment="1">
      <alignment horizontal="right" vertical="center"/>
    </xf>
    <xf numFmtId="165" fontId="9" fillId="0" borderId="65" xfId="0" applyNumberFormat="1" applyFont="1" applyFill="1" applyBorder="1" applyAlignment="1">
      <alignment horizontal="right" vertical="center"/>
    </xf>
    <xf numFmtId="165" fontId="9" fillId="0" borderId="73" xfId="0" applyNumberFormat="1" applyFont="1" applyFill="1" applyBorder="1" applyAlignment="1">
      <alignment horizontal="right" vertical="center"/>
    </xf>
    <xf numFmtId="165" fontId="9" fillId="0" borderId="24" xfId="0" applyNumberFormat="1" applyFont="1" applyFill="1" applyBorder="1" applyAlignment="1">
      <alignment horizontal="right" vertical="center"/>
    </xf>
    <xf numFmtId="165" fontId="9" fillId="0" borderId="29" xfId="0" applyNumberFormat="1" applyFont="1" applyFill="1" applyBorder="1" applyAlignment="1">
      <alignment horizontal="right" vertical="center"/>
    </xf>
    <xf numFmtId="165" fontId="9" fillId="0" borderId="95" xfId="0" applyNumberFormat="1" applyFont="1" applyFill="1" applyBorder="1" applyAlignment="1">
      <alignment horizontal="right" vertical="center"/>
    </xf>
    <xf numFmtId="165" fontId="9" fillId="0" borderId="72" xfId="0" applyNumberFormat="1" applyFont="1" applyFill="1" applyBorder="1" applyAlignment="1">
      <alignment horizontal="right" vertical="center"/>
    </xf>
    <xf numFmtId="37" fontId="8" fillId="0" borderId="41" xfId="0" applyNumberFormat="1" applyFont="1" applyFill="1" applyBorder="1" applyAlignment="1">
      <alignment vertical="center"/>
    </xf>
    <xf numFmtId="165" fontId="9" fillId="0" borderId="71" xfId="0" applyNumberFormat="1" applyFont="1" applyFill="1" applyBorder="1" applyAlignment="1">
      <alignment horizontal="right" vertical="center"/>
    </xf>
    <xf numFmtId="166" fontId="0" fillId="0" borderId="20" xfId="1" applyNumberFormat="1" applyFont="1" applyFill="1" applyBorder="1" applyAlignment="1">
      <alignment horizontal="right" vertical="center"/>
    </xf>
    <xf numFmtId="166" fontId="0" fillId="0" borderId="23" xfId="1" applyNumberFormat="1" applyFont="1" applyFill="1" applyBorder="1" applyAlignment="1">
      <alignment horizontal="right" vertical="center"/>
    </xf>
    <xf numFmtId="165" fontId="0" fillId="0" borderId="0" xfId="1" applyNumberFormat="1" applyFont="1" applyFill="1" applyBorder="1" applyAlignment="1">
      <alignment horizontal="right" vertical="center"/>
    </xf>
    <xf numFmtId="165" fontId="0" fillId="0" borderId="73" xfId="1" applyNumberFormat="1" applyFont="1" applyFill="1" applyBorder="1" applyAlignment="1">
      <alignment horizontal="right" vertical="center"/>
    </xf>
    <xf numFmtId="165" fontId="8" fillId="19" borderId="8" xfId="0" applyNumberFormat="1" applyFont="1" applyFill="1" applyBorder="1" applyAlignment="1">
      <alignment vertical="center"/>
    </xf>
    <xf numFmtId="165" fontId="9" fillId="0" borderId="17" xfId="0" applyNumberFormat="1" applyFont="1" applyFill="1" applyBorder="1" applyAlignment="1">
      <alignment horizontal="right" vertical="center"/>
    </xf>
    <xf numFmtId="165" fontId="9" fillId="0" borderId="108" xfId="0" applyNumberFormat="1" applyFont="1" applyFill="1" applyBorder="1" applyAlignment="1">
      <alignment horizontal="right" vertical="center"/>
    </xf>
    <xf numFmtId="165" fontId="0" fillId="0" borderId="17" xfId="1" applyNumberFormat="1" applyFont="1" applyFill="1" applyBorder="1" applyAlignment="1">
      <alignment horizontal="right" vertical="center"/>
    </xf>
    <xf numFmtId="165" fontId="8" fillId="19" borderId="45" xfId="0" applyNumberFormat="1" applyFont="1" applyFill="1" applyBorder="1" applyAlignment="1">
      <alignment vertical="center"/>
    </xf>
    <xf numFmtId="165" fontId="8" fillId="19" borderId="45" xfId="0" applyNumberFormat="1" applyFont="1" applyFill="1" applyBorder="1" applyAlignment="1">
      <alignment horizontal="right" vertical="center"/>
    </xf>
    <xf numFmtId="166" fontId="13" fillId="0" borderId="0" xfId="1" applyNumberFormat="1" applyFont="1" applyFill="1" applyAlignment="1">
      <alignment vertical="center"/>
    </xf>
    <xf numFmtId="165" fontId="8" fillId="19" borderId="14" xfId="0" applyNumberFormat="1" applyFont="1" applyFill="1" applyBorder="1" applyAlignment="1">
      <alignment horizontal="right" vertical="center"/>
    </xf>
    <xf numFmtId="165" fontId="8" fillId="19" borderId="46" xfId="0" applyNumberFormat="1" applyFont="1" applyFill="1" applyBorder="1" applyAlignment="1">
      <alignment horizontal="right" vertical="center"/>
    </xf>
    <xf numFmtId="166" fontId="8" fillId="23" borderId="5" xfId="1" applyNumberFormat="1" applyFont="1" applyFill="1" applyBorder="1" applyAlignment="1">
      <alignment horizontal="right" vertical="center"/>
    </xf>
    <xf numFmtId="165" fontId="8" fillId="19" borderId="6" xfId="0" applyNumberFormat="1" applyFont="1" applyFill="1" applyBorder="1" applyAlignment="1">
      <alignment horizontal="left" vertical="center" wrapText="1"/>
    </xf>
    <xf numFmtId="166" fontId="0" fillId="0" borderId="15" xfId="1" applyNumberFormat="1" applyFont="1" applyFill="1" applyBorder="1" applyAlignment="1">
      <alignment horizontal="right"/>
    </xf>
    <xf numFmtId="166" fontId="0" fillId="0" borderId="32" xfId="1" applyNumberFormat="1" applyFont="1" applyFill="1" applyBorder="1" applyAlignment="1">
      <alignment horizontal="right"/>
    </xf>
    <xf numFmtId="166" fontId="0" fillId="0" borderId="20" xfId="1" applyNumberFormat="1" applyFont="1" applyFill="1" applyBorder="1" applyAlignment="1">
      <alignment horizontal="right"/>
    </xf>
    <xf numFmtId="166" fontId="0" fillId="0" borderId="55" xfId="1" applyNumberFormat="1" applyFont="1" applyFill="1" applyBorder="1" applyAlignment="1">
      <alignment horizontal="right"/>
    </xf>
    <xf numFmtId="164" fontId="8" fillId="11" borderId="5" xfId="0" applyNumberFormat="1" applyFont="1" applyFill="1" applyBorder="1" applyAlignment="1">
      <alignment horizontal="center" vertical="center"/>
    </xf>
    <xf numFmtId="166" fontId="8" fillId="23" borderId="5" xfId="1" applyNumberFormat="1" applyFont="1" applyFill="1" applyBorder="1" applyAlignment="1">
      <alignment vertical="center"/>
    </xf>
    <xf numFmtId="165" fontId="22" fillId="0" borderId="0" xfId="0" quotePrefix="1" applyNumberFormat="1" applyFont="1" applyFill="1" applyBorder="1" applyAlignment="1">
      <alignment horizontal="right" vertical="center"/>
    </xf>
    <xf numFmtId="166" fontId="17" fillId="0" borderId="0" xfId="1" applyNumberFormat="1" applyFont="1" applyFill="1" applyBorder="1" applyAlignment="1">
      <alignment horizontal="right"/>
    </xf>
    <xf numFmtId="43" fontId="4" fillId="0" borderId="0" xfId="1" applyFont="1" applyFill="1" applyBorder="1" applyAlignment="1">
      <alignment horizontal="center" vertical="center"/>
    </xf>
    <xf numFmtId="0" fontId="4" fillId="0" borderId="38" xfId="0" applyFont="1" applyFill="1" applyBorder="1" applyAlignment="1">
      <alignment horizontal="center" vertical="center" wrapText="1"/>
    </xf>
    <xf numFmtId="0" fontId="3" fillId="0" borderId="73" xfId="0" applyNumberFormat="1" applyFont="1" applyFill="1" applyBorder="1" applyAlignment="1">
      <alignment horizontal="left" vertical="center" wrapText="1"/>
    </xf>
    <xf numFmtId="0" fontId="3" fillId="0" borderId="13" xfId="0" applyNumberFormat="1" applyFont="1" applyFill="1" applyBorder="1" applyAlignment="1">
      <alignment horizontal="left" vertical="center" wrapText="1"/>
    </xf>
    <xf numFmtId="165" fontId="17" fillId="0" borderId="40" xfId="0" applyNumberFormat="1" applyFont="1" applyFill="1" applyBorder="1" applyAlignment="1">
      <alignment horizontal="right" vertical="center"/>
    </xf>
    <xf numFmtId="165" fontId="17" fillId="0" borderId="22" xfId="0" applyNumberFormat="1" applyFont="1" applyFill="1" applyBorder="1" applyAlignment="1">
      <alignment horizontal="right" vertical="center"/>
    </xf>
    <xf numFmtId="165" fontId="17" fillId="0" borderId="75" xfId="0" applyNumberFormat="1" applyFont="1" applyFill="1" applyBorder="1" applyAlignment="1">
      <alignment horizontal="right" vertical="center"/>
    </xf>
    <xf numFmtId="167" fontId="3" fillId="0" borderId="105" xfId="0" applyNumberFormat="1" applyFont="1" applyFill="1" applyBorder="1" applyAlignment="1">
      <alignment horizontal="left" vertical="center" wrapText="1"/>
    </xf>
    <xf numFmtId="165" fontId="17" fillId="0" borderId="23" xfId="0" applyNumberFormat="1" applyFont="1" applyFill="1" applyBorder="1" applyAlignment="1">
      <alignment horizontal="right" vertical="center"/>
    </xf>
    <xf numFmtId="165" fontId="17" fillId="0" borderId="79" xfId="0" applyNumberFormat="1" applyFont="1" applyFill="1" applyBorder="1" applyAlignment="1">
      <alignment horizontal="right" vertical="center"/>
    </xf>
    <xf numFmtId="43" fontId="22" fillId="0" borderId="21" xfId="1" quotePrefix="1" applyFont="1" applyFill="1" applyBorder="1" applyAlignment="1">
      <alignment horizontal="right" vertical="center"/>
    </xf>
    <xf numFmtId="43" fontId="22" fillId="0" borderId="75" xfId="1" quotePrefix="1" applyFont="1" applyFill="1" applyBorder="1" applyAlignment="1">
      <alignment horizontal="right" vertical="center"/>
    </xf>
    <xf numFmtId="37" fontId="8" fillId="3" borderId="4" xfId="0" applyNumberFormat="1" applyFont="1" applyFill="1" applyBorder="1" applyAlignment="1">
      <alignment vertical="center" wrapText="1"/>
    </xf>
    <xf numFmtId="37" fontId="8" fillId="3" borderId="11" xfId="0" applyNumberFormat="1" applyFont="1" applyFill="1" applyBorder="1" applyAlignment="1">
      <alignment vertical="center" wrapText="1"/>
    </xf>
    <xf numFmtId="37" fontId="8" fillId="11" borderId="4" xfId="0" applyNumberFormat="1" applyFont="1" applyFill="1" applyBorder="1" applyAlignment="1">
      <alignment vertical="center"/>
    </xf>
    <xf numFmtId="37" fontId="8" fillId="11" borderId="11" xfId="0" applyNumberFormat="1" applyFont="1" applyFill="1" applyBorder="1" applyAlignment="1">
      <alignment vertical="center"/>
    </xf>
    <xf numFmtId="165" fontId="9" fillId="0" borderId="4" xfId="0" applyNumberFormat="1" applyFont="1" applyFill="1" applyBorder="1" applyAlignment="1">
      <alignment vertical="center"/>
    </xf>
    <xf numFmtId="165" fontId="9" fillId="0" borderId="11" xfId="0" applyNumberFormat="1" applyFont="1" applyFill="1" applyBorder="1" applyAlignment="1">
      <alignment vertical="center"/>
    </xf>
    <xf numFmtId="165" fontId="17" fillId="0" borderId="133" xfId="0" applyNumberFormat="1" applyFont="1" applyFill="1" applyBorder="1" applyAlignment="1">
      <alignment horizontal="right"/>
    </xf>
    <xf numFmtId="4" fontId="4" fillId="0" borderId="106" xfId="0" applyNumberFormat="1" applyFont="1" applyBorder="1" applyAlignment="1">
      <alignment horizontal="right" vertical="center"/>
    </xf>
    <xf numFmtId="165" fontId="17" fillId="0" borderId="0" xfId="0" applyNumberFormat="1" applyFont="1" applyFill="1" applyBorder="1" applyAlignment="1">
      <alignment horizontal="right"/>
    </xf>
    <xf numFmtId="4" fontId="4" fillId="0" borderId="0" xfId="0" applyNumberFormat="1" applyFont="1" applyBorder="1" applyAlignment="1">
      <alignment horizontal="right" vertical="center"/>
    </xf>
    <xf numFmtId="166" fontId="4" fillId="0" borderId="0" xfId="1" applyNumberFormat="1" applyFont="1" applyBorder="1" applyAlignment="1">
      <alignment horizontal="right" vertical="center"/>
    </xf>
    <xf numFmtId="166" fontId="4" fillId="0" borderId="0" xfId="1" applyNumberFormat="1" applyFont="1" applyAlignment="1">
      <alignment horizontal="right" vertical="center"/>
    </xf>
    <xf numFmtId="166" fontId="3" fillId="24" borderId="1" xfId="1" applyNumberFormat="1" applyFont="1" applyFill="1" applyBorder="1" applyAlignment="1">
      <alignment horizontal="right" vertical="center"/>
    </xf>
    <xf numFmtId="166" fontId="3" fillId="24" borderId="6" xfId="1" applyNumberFormat="1" applyFont="1" applyFill="1" applyBorder="1" applyAlignment="1">
      <alignment horizontal="right" vertical="center"/>
    </xf>
    <xf numFmtId="165" fontId="3" fillId="24" borderId="6" xfId="1" applyNumberFormat="1" applyFont="1" applyFill="1" applyBorder="1" applyAlignment="1">
      <alignment horizontal="right" vertical="center"/>
    </xf>
    <xf numFmtId="165" fontId="3" fillId="24" borderId="14" xfId="1" applyNumberFormat="1" applyFont="1" applyFill="1" applyBorder="1" applyAlignment="1">
      <alignment horizontal="right" vertical="center"/>
    </xf>
    <xf numFmtId="165" fontId="3" fillId="24" borderId="8" xfId="1" applyNumberFormat="1" applyFont="1" applyFill="1" applyBorder="1" applyAlignment="1">
      <alignment horizontal="right" vertical="center"/>
    </xf>
    <xf numFmtId="166" fontId="3" fillId="24" borderId="8" xfId="1" applyNumberFormat="1" applyFont="1" applyFill="1" applyBorder="1" applyAlignment="1">
      <alignment horizontal="right" vertical="center"/>
    </xf>
    <xf numFmtId="165" fontId="3" fillId="24" borderId="2" xfId="0" applyNumberFormat="1" applyFont="1" applyFill="1" applyBorder="1" applyAlignment="1">
      <alignment horizontal="right" vertical="center"/>
    </xf>
    <xf numFmtId="43" fontId="4" fillId="0" borderId="0" xfId="1" applyFont="1" applyAlignment="1">
      <alignment horizontal="right" vertical="center"/>
    </xf>
    <xf numFmtId="3" fontId="4" fillId="0" borderId="0" xfId="0" applyNumberFormat="1" applyFont="1" applyAlignment="1">
      <alignment horizontal="right" vertical="center"/>
    </xf>
    <xf numFmtId="166" fontId="3" fillId="23" borderId="6" xfId="1" applyNumberFormat="1" applyFont="1" applyFill="1" applyBorder="1" applyAlignment="1">
      <alignment horizontal="right" vertical="center"/>
    </xf>
    <xf numFmtId="165" fontId="3" fillId="7" borderId="2" xfId="0" applyNumberFormat="1" applyFont="1" applyFill="1" applyBorder="1" applyAlignment="1">
      <alignment horizontal="right" vertical="center"/>
    </xf>
    <xf numFmtId="166" fontId="4" fillId="25" borderId="8" xfId="1" applyNumberFormat="1" applyFont="1" applyFill="1" applyBorder="1" applyAlignment="1">
      <alignment horizontal="right"/>
    </xf>
    <xf numFmtId="166" fontId="17" fillId="0" borderId="8" xfId="1" applyNumberFormat="1" applyFont="1" applyFill="1" applyBorder="1" applyAlignment="1">
      <alignment horizontal="right"/>
    </xf>
    <xf numFmtId="165" fontId="22" fillId="0" borderId="64" xfId="0" applyNumberFormat="1" applyFont="1" applyFill="1" applyBorder="1" applyAlignment="1">
      <alignment horizontal="right" vertical="center"/>
    </xf>
    <xf numFmtId="165" fontId="22" fillId="0" borderId="91" xfId="0" applyNumberFormat="1" applyFont="1" applyFill="1" applyBorder="1" applyAlignment="1">
      <alignment horizontal="right" vertical="center"/>
    </xf>
    <xf numFmtId="165" fontId="22" fillId="0" borderId="105" xfId="0" applyNumberFormat="1" applyFont="1" applyFill="1" applyBorder="1" applyAlignment="1">
      <alignment horizontal="right" vertical="center"/>
    </xf>
    <xf numFmtId="165" fontId="22" fillId="0" borderId="116" xfId="0" applyNumberFormat="1" applyFont="1" applyFill="1" applyBorder="1" applyAlignment="1">
      <alignment horizontal="right" vertical="center"/>
    </xf>
    <xf numFmtId="166" fontId="17" fillId="0" borderId="36" xfId="1" applyNumberFormat="1" applyFont="1" applyFill="1" applyBorder="1" applyAlignment="1">
      <alignment horizontal="right"/>
    </xf>
    <xf numFmtId="0" fontId="4" fillId="0" borderId="0" xfId="0" applyFont="1" applyFill="1" applyBorder="1" applyAlignment="1">
      <alignment horizontal="right" vertical="center"/>
    </xf>
    <xf numFmtId="166" fontId="4" fillId="0" borderId="0" xfId="1" applyNumberFormat="1" applyFont="1" applyFill="1" applyBorder="1" applyAlignment="1">
      <alignment horizontal="right" vertical="center"/>
    </xf>
    <xf numFmtId="165" fontId="3" fillId="19" borderId="143" xfId="0" applyNumberFormat="1" applyFont="1" applyFill="1" applyBorder="1" applyAlignment="1">
      <alignment horizontal="right" vertical="center"/>
    </xf>
    <xf numFmtId="43" fontId="4" fillId="0" borderId="2" xfId="1" applyFont="1" applyFill="1" applyBorder="1" applyAlignment="1">
      <alignment horizontal="right" vertical="center"/>
    </xf>
    <xf numFmtId="43" fontId="4" fillId="0" borderId="0" xfId="1" applyFont="1" applyFill="1" applyBorder="1" applyAlignment="1">
      <alignment horizontal="right" vertical="center"/>
    </xf>
    <xf numFmtId="166" fontId="4" fillId="0" borderId="13" xfId="1" applyNumberFormat="1" applyFont="1" applyFill="1" applyBorder="1" applyAlignment="1">
      <alignment horizontal="right" vertical="center"/>
    </xf>
    <xf numFmtId="43" fontId="4" fillId="0" borderId="0" xfId="1" applyFont="1" applyFill="1" applyAlignment="1">
      <alignment horizontal="right" vertical="center"/>
    </xf>
    <xf numFmtId="166" fontId="4" fillId="0" borderId="0" xfId="1" applyNumberFormat="1" applyFont="1" applyFill="1" applyAlignment="1">
      <alignment horizontal="right" vertical="center"/>
    </xf>
    <xf numFmtId="165" fontId="3" fillId="0" borderId="0" xfId="0" applyNumberFormat="1" applyFont="1" applyAlignment="1">
      <alignment horizontal="right" vertical="center"/>
    </xf>
    <xf numFmtId="166" fontId="3" fillId="23" borderId="19" xfId="1" applyNumberFormat="1" applyFont="1" applyFill="1" applyBorder="1" applyAlignment="1">
      <alignment horizontal="right" vertical="center"/>
    </xf>
    <xf numFmtId="165" fontId="3" fillId="19" borderId="19" xfId="0" applyNumberFormat="1" applyFont="1" applyFill="1" applyBorder="1" applyAlignment="1">
      <alignment horizontal="right" vertical="center"/>
    </xf>
    <xf numFmtId="166" fontId="4" fillId="25" borderId="4" xfId="1" applyNumberFormat="1" applyFont="1" applyFill="1" applyBorder="1" applyAlignment="1">
      <alignment horizontal="right"/>
    </xf>
    <xf numFmtId="166" fontId="3" fillId="23" borderId="8" xfId="1" applyNumberFormat="1" applyFont="1" applyFill="1" applyBorder="1" applyAlignment="1">
      <alignment horizontal="right" vertical="center"/>
    </xf>
    <xf numFmtId="165" fontId="3" fillId="0" borderId="0" xfId="0" applyNumberFormat="1" applyFont="1" applyFill="1" applyBorder="1" applyAlignment="1">
      <alignment horizontal="right"/>
    </xf>
    <xf numFmtId="165" fontId="3" fillId="0" borderId="0" xfId="0" applyNumberFormat="1" applyFont="1" applyAlignment="1">
      <alignment horizontal="right"/>
    </xf>
    <xf numFmtId="170" fontId="3" fillId="0" borderId="0" xfId="0" applyNumberFormat="1" applyFont="1" applyFill="1" applyBorder="1" applyAlignment="1">
      <alignment horizontal="right"/>
    </xf>
    <xf numFmtId="165" fontId="3" fillId="0" borderId="106" xfId="0" applyNumberFormat="1" applyFont="1" applyFill="1" applyBorder="1" applyAlignment="1">
      <alignment horizontal="right"/>
    </xf>
    <xf numFmtId="0" fontId="4" fillId="0" borderId="0" xfId="0" applyFont="1" applyAlignment="1">
      <alignment horizontal="right"/>
    </xf>
    <xf numFmtId="166" fontId="4" fillId="0" borderId="0" xfId="1" applyNumberFormat="1" applyFont="1" applyAlignment="1">
      <alignment horizontal="right"/>
    </xf>
    <xf numFmtId="0" fontId="4" fillId="2" borderId="0" xfId="0" applyFont="1" applyFill="1" applyBorder="1" applyAlignment="1">
      <alignment horizontal="right"/>
    </xf>
    <xf numFmtId="43" fontId="9" fillId="0" borderId="21" xfId="1" quotePrefix="1" applyFont="1" applyFill="1" applyBorder="1" applyAlignment="1">
      <alignment horizontal="right" vertical="center"/>
    </xf>
    <xf numFmtId="43" fontId="9" fillId="0" borderId="66" xfId="1" quotePrefix="1" applyFont="1" applyFill="1" applyBorder="1" applyAlignment="1">
      <alignment horizontal="right" vertical="center"/>
    </xf>
    <xf numFmtId="166" fontId="8" fillId="0" borderId="6" xfId="1" applyNumberFormat="1" applyFont="1" applyFill="1" applyBorder="1" applyAlignment="1">
      <alignment vertical="center"/>
    </xf>
    <xf numFmtId="166" fontId="13" fillId="0" borderId="8" xfId="1" applyNumberFormat="1" applyFont="1" applyFill="1" applyBorder="1"/>
    <xf numFmtId="165" fontId="9" fillId="0" borderId="57" xfId="0" quotePrefix="1" applyNumberFormat="1" applyFont="1" applyBorder="1" applyAlignment="1">
      <alignment horizontal="right" vertical="center"/>
    </xf>
    <xf numFmtId="165" fontId="9" fillId="0" borderId="75" xfId="0" quotePrefix="1" applyNumberFormat="1" applyFont="1" applyBorder="1" applyAlignment="1">
      <alignment horizontal="right" vertical="center"/>
    </xf>
    <xf numFmtId="37" fontId="22" fillId="0" borderId="20" xfId="0" applyNumberFormat="1" applyFont="1" applyFill="1" applyBorder="1" applyAlignment="1">
      <alignment horizontal="right" vertical="center"/>
    </xf>
    <xf numFmtId="166" fontId="3" fillId="0" borderId="1" xfId="1" applyNumberFormat="1" applyFont="1" applyFill="1" applyBorder="1" applyAlignment="1">
      <alignment horizontal="right" vertical="center"/>
    </xf>
    <xf numFmtId="165" fontId="3" fillId="7" borderId="8" xfId="0" applyNumberFormat="1" applyFont="1" applyFill="1" applyBorder="1" applyAlignment="1">
      <alignment horizontal="left" vertical="center" wrapText="1"/>
    </xf>
    <xf numFmtId="166" fontId="22" fillId="0" borderId="16" xfId="0" applyNumberFormat="1" applyFont="1" applyFill="1" applyBorder="1" applyAlignment="1">
      <alignment horizontal="right"/>
    </xf>
    <xf numFmtId="166" fontId="22" fillId="0" borderId="11" xfId="0" applyNumberFormat="1" applyFont="1" applyFill="1" applyBorder="1" applyAlignment="1">
      <alignment horizontal="right"/>
    </xf>
    <xf numFmtId="166" fontId="22" fillId="0" borderId="36" xfId="0" applyNumberFormat="1" applyFont="1" applyFill="1" applyBorder="1" applyAlignment="1">
      <alignment horizontal="right" vertical="center"/>
    </xf>
    <xf numFmtId="166" fontId="22" fillId="0" borderId="23" xfId="0" applyNumberFormat="1" applyFont="1" applyFill="1" applyBorder="1" applyAlignment="1">
      <alignment horizontal="right" vertical="center"/>
    </xf>
    <xf numFmtId="166" fontId="22" fillId="0" borderId="56" xfId="0" applyNumberFormat="1" applyFont="1" applyFill="1" applyBorder="1" applyAlignment="1">
      <alignment horizontal="right" vertical="center"/>
    </xf>
    <xf numFmtId="166" fontId="22" fillId="0" borderId="0" xfId="0" quotePrefix="1" applyNumberFormat="1" applyFont="1" applyFill="1" applyBorder="1" applyAlignment="1">
      <alignment horizontal="right" vertical="center"/>
    </xf>
    <xf numFmtId="166" fontId="4" fillId="0" borderId="0" xfId="0" applyNumberFormat="1" applyFont="1" applyBorder="1" applyAlignment="1">
      <alignment horizontal="right" vertical="center"/>
    </xf>
    <xf numFmtId="166" fontId="4" fillId="0" borderId="0" xfId="0" applyNumberFormat="1" applyFont="1" applyAlignment="1">
      <alignment horizontal="right" vertical="center"/>
    </xf>
    <xf numFmtId="166" fontId="17" fillId="0" borderId="32" xfId="0" applyNumberFormat="1" applyFont="1" applyFill="1" applyBorder="1" applyAlignment="1">
      <alignment horizontal="right" vertical="center"/>
    </xf>
    <xf numFmtId="166" fontId="17" fillId="0" borderId="28" xfId="0" applyNumberFormat="1" applyFont="1" applyFill="1" applyBorder="1" applyAlignment="1">
      <alignment horizontal="right" vertical="center"/>
    </xf>
    <xf numFmtId="166" fontId="17" fillId="0" borderId="36" xfId="0" applyNumberFormat="1" applyFont="1" applyFill="1" applyBorder="1" applyAlignment="1">
      <alignment horizontal="right" vertical="center"/>
    </xf>
    <xf numFmtId="166" fontId="17" fillId="0" borderId="27" xfId="0" applyNumberFormat="1" applyFont="1" applyFill="1" applyBorder="1" applyAlignment="1">
      <alignment horizontal="right" vertical="center"/>
    </xf>
    <xf numFmtId="166" fontId="22" fillId="0" borderId="29" xfId="0" applyNumberFormat="1" applyFont="1" applyFill="1" applyBorder="1" applyAlignment="1">
      <alignment horizontal="right" vertical="center"/>
    </xf>
    <xf numFmtId="166" fontId="22" fillId="0" borderId="32" xfId="0" applyNumberFormat="1" applyFont="1" applyFill="1" applyBorder="1" applyAlignment="1">
      <alignment horizontal="right" vertical="center"/>
    </xf>
    <xf numFmtId="166" fontId="4" fillId="0" borderId="2" xfId="1" applyNumberFormat="1" applyFont="1" applyFill="1" applyBorder="1" applyAlignment="1">
      <alignment horizontal="right" vertical="center"/>
    </xf>
    <xf numFmtId="166" fontId="22" fillId="0" borderId="28" xfId="0" applyNumberFormat="1" applyFont="1" applyFill="1" applyBorder="1" applyAlignment="1">
      <alignment horizontal="right" vertical="center"/>
    </xf>
    <xf numFmtId="166" fontId="22" fillId="0" borderId="27" xfId="0" applyNumberFormat="1" applyFont="1" applyFill="1" applyBorder="1" applyAlignment="1">
      <alignment horizontal="right" vertical="center"/>
    </xf>
    <xf numFmtId="166" fontId="3" fillId="0" borderId="0" xfId="0" applyNumberFormat="1" applyFont="1" applyFill="1" applyBorder="1" applyAlignment="1">
      <alignment horizontal="right" vertical="center"/>
    </xf>
    <xf numFmtId="166" fontId="22" fillId="0" borderId="19" xfId="0" applyNumberFormat="1" applyFont="1" applyFill="1" applyBorder="1" applyAlignment="1">
      <alignment horizontal="right" vertical="center"/>
    </xf>
    <xf numFmtId="166" fontId="22" fillId="0" borderId="32" xfId="0" applyNumberFormat="1" applyFont="1" applyFill="1" applyBorder="1" applyAlignment="1">
      <alignment horizontal="right"/>
    </xf>
    <xf numFmtId="166" fontId="22" fillId="0" borderId="36" xfId="0" applyNumberFormat="1" applyFont="1" applyFill="1" applyBorder="1" applyAlignment="1">
      <alignment horizontal="right"/>
    </xf>
    <xf numFmtId="166" fontId="22" fillId="0" borderId="56" xfId="0" applyNumberFormat="1" applyFont="1" applyFill="1" applyBorder="1" applyAlignment="1">
      <alignment horizontal="right"/>
    </xf>
    <xf numFmtId="166" fontId="3" fillId="0" borderId="0" xfId="0" applyNumberFormat="1" applyFont="1" applyFill="1" applyBorder="1" applyAlignment="1">
      <alignment horizontal="right"/>
    </xf>
    <xf numFmtId="166" fontId="22" fillId="0" borderId="116" xfId="0" applyNumberFormat="1" applyFont="1" applyFill="1" applyBorder="1" applyAlignment="1">
      <alignment horizontal="right" vertical="center"/>
    </xf>
    <xf numFmtId="166" fontId="22" fillId="0" borderId="106" xfId="0" applyNumberFormat="1" applyFont="1" applyFill="1" applyBorder="1" applyAlignment="1">
      <alignment horizontal="right"/>
    </xf>
    <xf numFmtId="166" fontId="4" fillId="2" borderId="0" xfId="0" applyNumberFormat="1" applyFont="1" applyFill="1" applyBorder="1" applyAlignment="1">
      <alignment horizontal="right"/>
    </xf>
    <xf numFmtId="166" fontId="3" fillId="23" borderId="6" xfId="0" applyNumberFormat="1" applyFont="1" applyFill="1" applyBorder="1" applyAlignment="1">
      <alignment horizontal="right" vertical="center"/>
    </xf>
    <xf numFmtId="166" fontId="3" fillId="4" borderId="1" xfId="0" applyNumberFormat="1" applyFont="1" applyFill="1" applyBorder="1" applyAlignment="1">
      <alignment horizontal="right" vertical="center"/>
    </xf>
    <xf numFmtId="166" fontId="3" fillId="4" borderId="0" xfId="0" applyNumberFormat="1" applyFont="1" applyFill="1" applyBorder="1" applyAlignment="1">
      <alignment horizontal="right" vertical="center"/>
    </xf>
    <xf numFmtId="166" fontId="4" fillId="2" borderId="0" xfId="0" applyNumberFormat="1" applyFont="1" applyFill="1" applyBorder="1"/>
    <xf numFmtId="166" fontId="4" fillId="0" borderId="0" xfId="0" applyNumberFormat="1" applyFont="1" applyBorder="1"/>
    <xf numFmtId="166" fontId="4" fillId="0" borderId="0" xfId="2" applyNumberFormat="1" applyFont="1" applyBorder="1"/>
    <xf numFmtId="166" fontId="4" fillId="0" borderId="0" xfId="0" applyNumberFormat="1" applyFont="1"/>
    <xf numFmtId="166" fontId="4" fillId="0" borderId="0" xfId="1" applyNumberFormat="1" applyFont="1" applyAlignment="1">
      <alignment horizontal="center"/>
    </xf>
    <xf numFmtId="166" fontId="4" fillId="0" borderId="0" xfId="2" applyNumberFormat="1" applyFont="1"/>
    <xf numFmtId="166" fontId="3" fillId="11" borderId="5" xfId="0" applyNumberFormat="1" applyFont="1" applyFill="1" applyBorder="1" applyAlignment="1">
      <alignment horizontal="center" vertical="center"/>
    </xf>
    <xf numFmtId="37" fontId="3" fillId="7" borderId="1" xfId="0" applyNumberFormat="1" applyFont="1" applyFill="1" applyBorder="1" applyAlignment="1">
      <alignment horizontal="left" vertical="center"/>
    </xf>
    <xf numFmtId="165" fontId="22" fillId="0" borderId="49" xfId="0" applyNumberFormat="1" applyFont="1" applyFill="1" applyBorder="1" applyAlignment="1">
      <alignment horizontal="right" vertical="center"/>
    </xf>
    <xf numFmtId="165" fontId="22" fillId="0" borderId="19" xfId="0" applyNumberFormat="1" applyFont="1" applyFill="1" applyBorder="1" applyAlignment="1">
      <alignment horizontal="right" vertical="center"/>
    </xf>
    <xf numFmtId="165" fontId="22" fillId="0" borderId="27" xfId="0" applyNumberFormat="1" applyFont="1" applyFill="1" applyBorder="1" applyAlignment="1">
      <alignment horizontal="right" vertical="center"/>
    </xf>
    <xf numFmtId="165" fontId="22" fillId="0" borderId="81" xfId="0" applyNumberFormat="1" applyFont="1" applyFill="1" applyBorder="1" applyAlignment="1">
      <alignment horizontal="right" vertical="center"/>
    </xf>
    <xf numFmtId="165" fontId="22" fillId="0" borderId="28" xfId="0" applyNumberFormat="1" applyFont="1" applyFill="1" applyBorder="1" applyAlignment="1">
      <alignment horizontal="right" vertical="center"/>
    </xf>
    <xf numFmtId="165" fontId="17" fillId="0" borderId="27" xfId="0" applyNumberFormat="1" applyFont="1" applyFill="1" applyBorder="1" applyAlignment="1">
      <alignment horizontal="right" vertical="center"/>
    </xf>
    <xf numFmtId="165" fontId="17" fillId="0" borderId="78" xfId="0" applyNumberFormat="1" applyFont="1" applyFill="1" applyBorder="1" applyAlignment="1">
      <alignment horizontal="right" vertical="center"/>
    </xf>
    <xf numFmtId="165" fontId="17" fillId="0" borderId="28" xfId="0" applyNumberFormat="1" applyFont="1" applyFill="1" applyBorder="1" applyAlignment="1">
      <alignment horizontal="right" vertical="center"/>
    </xf>
    <xf numFmtId="165" fontId="17" fillId="0" borderId="80" xfId="0" applyNumberFormat="1" applyFont="1" applyFill="1" applyBorder="1" applyAlignment="1">
      <alignment horizontal="right" vertical="center"/>
    </xf>
    <xf numFmtId="165" fontId="22" fillId="0" borderId="26" xfId="0" quotePrefix="1" applyNumberFormat="1" applyFont="1" applyFill="1" applyBorder="1" applyAlignment="1">
      <alignment horizontal="right" vertical="center"/>
    </xf>
    <xf numFmtId="165" fontId="22" fillId="0" borderId="17" xfId="0" applyNumberFormat="1" applyFont="1" applyFill="1" applyBorder="1" applyAlignment="1">
      <alignment horizontal="right"/>
    </xf>
    <xf numFmtId="165" fontId="22" fillId="0" borderId="41" xfId="0" applyNumberFormat="1" applyFont="1" applyFill="1" applyBorder="1" applyAlignment="1">
      <alignment horizontal="right"/>
    </xf>
    <xf numFmtId="165" fontId="22" fillId="0" borderId="55" xfId="0" applyNumberFormat="1" applyFont="1" applyFill="1" applyBorder="1" applyAlignment="1">
      <alignment horizontal="right" vertical="center"/>
    </xf>
    <xf numFmtId="165" fontId="22" fillId="0" borderId="38" xfId="0" applyNumberFormat="1" applyFont="1" applyFill="1" applyBorder="1" applyAlignment="1">
      <alignment horizontal="right" vertical="center"/>
    </xf>
    <xf numFmtId="165" fontId="22" fillId="0" borderId="17" xfId="0" applyNumberFormat="1" applyFont="1" applyFill="1" applyBorder="1" applyAlignment="1">
      <alignment horizontal="right" vertical="center"/>
    </xf>
    <xf numFmtId="165" fontId="22" fillId="0" borderId="41" xfId="0" applyNumberFormat="1" applyFont="1" applyFill="1" applyBorder="1" applyAlignment="1">
      <alignment horizontal="right" vertical="center"/>
    </xf>
    <xf numFmtId="165" fontId="22" fillId="0" borderId="27" xfId="0" quotePrefix="1" applyNumberFormat="1" applyFont="1" applyFill="1" applyBorder="1" applyAlignment="1">
      <alignment horizontal="right" vertical="center"/>
    </xf>
    <xf numFmtId="165" fontId="22" fillId="0" borderId="4" xfId="0" applyNumberFormat="1" applyFont="1" applyFill="1" applyBorder="1" applyAlignment="1">
      <alignment horizontal="right" vertical="center"/>
    </xf>
    <xf numFmtId="165" fontId="22" fillId="0" borderId="55" xfId="0" applyNumberFormat="1" applyFont="1" applyFill="1" applyBorder="1" applyAlignment="1">
      <alignment horizontal="right" vertical="center"/>
    </xf>
    <xf numFmtId="165" fontId="22" fillId="0" borderId="17" xfId="0" applyNumberFormat="1" applyFont="1" applyFill="1" applyBorder="1" applyAlignment="1">
      <alignment horizontal="right"/>
    </xf>
    <xf numFmtId="165" fontId="22" fillId="0" borderId="41" xfId="0" applyNumberFormat="1" applyFont="1" applyFill="1" applyBorder="1" applyAlignment="1">
      <alignment horizontal="right"/>
    </xf>
    <xf numFmtId="165" fontId="22" fillId="0" borderId="19" xfId="0" applyNumberFormat="1" applyFont="1" applyFill="1" applyBorder="1" applyAlignment="1">
      <alignment horizontal="right"/>
    </xf>
    <xf numFmtId="165" fontId="22" fillId="0" borderId="27" xfId="0" applyNumberFormat="1" applyFont="1" applyFill="1" applyBorder="1" applyAlignment="1">
      <alignment horizontal="right"/>
    </xf>
    <xf numFmtId="165" fontId="22" fillId="0" borderId="28" xfId="0" applyNumberFormat="1" applyFont="1" applyFill="1" applyBorder="1" applyAlignment="1">
      <alignment horizontal="right"/>
    </xf>
    <xf numFmtId="165" fontId="22" fillId="0" borderId="67" xfId="0" applyNumberFormat="1" applyFont="1" applyFill="1" applyBorder="1" applyAlignment="1">
      <alignment horizontal="right"/>
    </xf>
    <xf numFmtId="165" fontId="22" fillId="0" borderId="60" xfId="0" applyNumberFormat="1" applyFont="1" applyFill="1" applyBorder="1" applyAlignment="1">
      <alignment horizontal="right"/>
    </xf>
    <xf numFmtId="165" fontId="22" fillId="0" borderId="59" xfId="0" applyNumberFormat="1" applyFont="1" applyFill="1" applyBorder="1" applyAlignment="1">
      <alignment horizontal="right"/>
    </xf>
    <xf numFmtId="165" fontId="22" fillId="0" borderId="29" xfId="0" applyNumberFormat="1" applyFont="1" applyFill="1" applyBorder="1" applyAlignment="1">
      <alignment horizontal="right"/>
    </xf>
    <xf numFmtId="165" fontId="17" fillId="0" borderId="56" xfId="0" applyNumberFormat="1" applyFont="1" applyFill="1" applyBorder="1" applyAlignment="1">
      <alignment horizontal="right" vertical="center"/>
    </xf>
    <xf numFmtId="165" fontId="22" fillId="0" borderId="60" xfId="0" applyNumberFormat="1" applyFont="1" applyFill="1" applyBorder="1" applyAlignment="1">
      <alignment horizontal="right" vertical="center"/>
    </xf>
    <xf numFmtId="166" fontId="17" fillId="0" borderId="72" xfId="1" applyNumberFormat="1" applyFont="1" applyFill="1" applyBorder="1" applyAlignment="1">
      <alignment horizontal="right"/>
    </xf>
    <xf numFmtId="166" fontId="17" fillId="0" borderId="74" xfId="1" applyNumberFormat="1" applyFont="1" applyFill="1" applyBorder="1" applyAlignment="1">
      <alignment horizontal="right"/>
    </xf>
    <xf numFmtId="166" fontId="17" fillId="0" borderId="50" xfId="1" applyNumberFormat="1" applyFont="1" applyFill="1" applyBorder="1" applyAlignment="1">
      <alignment horizontal="right"/>
    </xf>
    <xf numFmtId="166" fontId="17" fillId="0" borderId="73" xfId="1" applyNumberFormat="1" applyFont="1" applyFill="1" applyBorder="1" applyAlignment="1">
      <alignment horizontal="right"/>
    </xf>
    <xf numFmtId="165" fontId="17" fillId="0" borderId="74" xfId="1" applyNumberFormat="1" applyFont="1" applyFill="1" applyBorder="1" applyAlignment="1">
      <alignment horizontal="right"/>
    </xf>
    <xf numFmtId="37" fontId="22" fillId="0" borderId="21" xfId="0" applyNumberFormat="1" applyFont="1" applyFill="1" applyBorder="1" applyAlignment="1">
      <alignment horizontal="right" vertical="center"/>
    </xf>
    <xf numFmtId="37" fontId="22" fillId="0" borderId="34" xfId="0" applyNumberFormat="1" applyFont="1" applyFill="1" applyBorder="1" applyAlignment="1">
      <alignment horizontal="right" vertical="center"/>
    </xf>
    <xf numFmtId="166" fontId="22" fillId="0" borderId="75" xfId="1" quotePrefix="1" applyNumberFormat="1" applyFont="1" applyFill="1" applyBorder="1" applyAlignment="1">
      <alignment horizontal="right" vertical="center"/>
    </xf>
    <xf numFmtId="43" fontId="22" fillId="0" borderId="67" xfId="1" quotePrefix="1" applyFont="1" applyFill="1" applyBorder="1" applyAlignment="1">
      <alignment horizontal="right" vertical="center"/>
    </xf>
    <xf numFmtId="166" fontId="22" fillId="0" borderId="22" xfId="1" quotePrefix="1" applyNumberFormat="1" applyFont="1" applyFill="1" applyBorder="1" applyAlignment="1">
      <alignment horizontal="right" vertical="center"/>
    </xf>
    <xf numFmtId="43" fontId="22" fillId="0" borderId="60" xfId="1" quotePrefix="1" applyFont="1" applyFill="1" applyBorder="1" applyAlignment="1">
      <alignment horizontal="right" vertical="center"/>
    </xf>
    <xf numFmtId="166" fontId="22" fillId="0" borderId="23" xfId="1" quotePrefix="1" applyNumberFormat="1" applyFont="1" applyFill="1" applyBorder="1" applyAlignment="1">
      <alignment horizontal="right" vertical="center"/>
    </xf>
    <xf numFmtId="166" fontId="22" fillId="0" borderId="88" xfId="0" applyNumberFormat="1" applyFont="1" applyFill="1" applyBorder="1" applyAlignment="1">
      <alignment horizontal="right" vertical="center"/>
    </xf>
    <xf numFmtId="37" fontId="22" fillId="0" borderId="60" xfId="0" applyNumberFormat="1" applyFont="1" applyFill="1" applyBorder="1" applyAlignment="1">
      <alignment horizontal="right" vertical="center"/>
    </xf>
    <xf numFmtId="166" fontId="22" fillId="0" borderId="37" xfId="1" applyNumberFormat="1" applyFont="1" applyFill="1" applyBorder="1" applyAlignment="1">
      <alignment horizontal="right" vertical="center"/>
    </xf>
    <xf numFmtId="166" fontId="22" fillId="0" borderId="96" xfId="0" quotePrefix="1" applyNumberFormat="1" applyFont="1" applyFill="1" applyBorder="1" applyAlignment="1">
      <alignment horizontal="right" vertical="center"/>
    </xf>
    <xf numFmtId="166" fontId="17" fillId="0" borderId="56" xfId="1" applyNumberFormat="1" applyFont="1" applyFill="1" applyBorder="1" applyAlignment="1">
      <alignment horizontal="right"/>
    </xf>
    <xf numFmtId="166" fontId="22" fillId="0" borderId="22" xfId="0" quotePrefix="1" applyNumberFormat="1" applyFont="1" applyFill="1" applyBorder="1" applyAlignment="1">
      <alignment horizontal="right" vertical="center"/>
    </xf>
    <xf numFmtId="166" fontId="22" fillId="0" borderId="88" xfId="0" quotePrefix="1" applyNumberFormat="1" applyFont="1" applyFill="1" applyBorder="1" applyAlignment="1">
      <alignment horizontal="right" vertical="center"/>
    </xf>
    <xf numFmtId="166" fontId="22" fillId="0" borderId="94" xfId="0" quotePrefix="1" applyNumberFormat="1" applyFont="1" applyFill="1" applyBorder="1" applyAlignment="1">
      <alignment horizontal="right" vertical="center"/>
    </xf>
    <xf numFmtId="165" fontId="22" fillId="0" borderId="64" xfId="0" quotePrefix="1" applyNumberFormat="1" applyFont="1" applyFill="1" applyBorder="1" applyAlignment="1">
      <alignment horizontal="right" vertical="center"/>
    </xf>
    <xf numFmtId="166" fontId="22" fillId="0" borderId="94" xfId="0" applyNumberFormat="1" applyFont="1" applyFill="1" applyBorder="1" applyAlignment="1">
      <alignment horizontal="right"/>
    </xf>
    <xf numFmtId="166" fontId="22" fillId="0" borderId="88" xfId="0" applyNumberFormat="1" applyFont="1" applyFill="1" applyBorder="1" applyAlignment="1">
      <alignment horizontal="right"/>
    </xf>
    <xf numFmtId="166" fontId="22" fillId="0" borderId="96" xfId="0" applyNumberFormat="1" applyFont="1" applyFill="1" applyBorder="1" applyAlignment="1">
      <alignment horizontal="right"/>
    </xf>
    <xf numFmtId="165" fontId="22" fillId="0" borderId="60" xfId="0" applyNumberFormat="1" applyFont="1" applyFill="1" applyBorder="1" applyAlignment="1">
      <alignment horizontal="right" vertical="center"/>
    </xf>
    <xf numFmtId="166" fontId="22" fillId="0" borderId="35" xfId="0" applyNumberFormat="1" applyFont="1" applyFill="1" applyBorder="1" applyAlignment="1">
      <alignment horizontal="right"/>
    </xf>
    <xf numFmtId="166" fontId="22" fillId="0" borderId="22" xfId="0" applyNumberFormat="1" applyFont="1" applyFill="1" applyBorder="1" applyAlignment="1">
      <alignment horizontal="right"/>
    </xf>
    <xf numFmtId="166" fontId="22" fillId="0" borderId="75" xfId="0" applyNumberFormat="1" applyFont="1" applyFill="1" applyBorder="1" applyAlignment="1">
      <alignment horizontal="right"/>
    </xf>
    <xf numFmtId="166" fontId="17" fillId="0" borderId="94" xfId="0" applyNumberFormat="1" applyFont="1" applyFill="1" applyBorder="1" applyAlignment="1">
      <alignment horizontal="right" vertical="center"/>
    </xf>
    <xf numFmtId="166" fontId="17" fillId="0" borderId="96" xfId="0" applyNumberFormat="1" applyFont="1" applyBorder="1" applyAlignment="1">
      <alignment horizontal="right" vertical="center"/>
    </xf>
    <xf numFmtId="165" fontId="22" fillId="0" borderId="34" xfId="0" applyNumberFormat="1" applyFont="1" applyFill="1" applyBorder="1" applyAlignment="1">
      <alignment horizontal="right"/>
    </xf>
    <xf numFmtId="165" fontId="22" fillId="0" borderId="68" xfId="0" applyNumberFormat="1" applyFont="1" applyFill="1" applyBorder="1" applyAlignment="1">
      <alignment horizontal="right"/>
    </xf>
    <xf numFmtId="165" fontId="22" fillId="0" borderId="61" xfId="0" applyNumberFormat="1" applyFont="1" applyFill="1" applyBorder="1" applyAlignment="1">
      <alignment horizontal="right" vertical="center"/>
    </xf>
    <xf numFmtId="43" fontId="9" fillId="0" borderId="20" xfId="1" quotePrefix="1" applyFont="1" applyBorder="1" applyAlignment="1">
      <alignment horizontal="right" vertical="center"/>
    </xf>
    <xf numFmtId="43" fontId="9" fillId="0" borderId="66" xfId="1" quotePrefix="1" applyFont="1" applyBorder="1" applyAlignment="1">
      <alignment horizontal="right" vertical="center"/>
    </xf>
    <xf numFmtId="43" fontId="9" fillId="0" borderId="60" xfId="1" quotePrefix="1" applyFont="1" applyBorder="1" applyAlignment="1">
      <alignment horizontal="right" vertical="center"/>
    </xf>
    <xf numFmtId="43" fontId="9" fillId="0" borderId="23" xfId="1" quotePrefix="1" applyFont="1" applyBorder="1" applyAlignment="1">
      <alignment horizontal="right" vertical="center"/>
    </xf>
    <xf numFmtId="165" fontId="9" fillId="0" borderId="79" xfId="0" applyNumberFormat="1" applyFont="1" applyFill="1" applyBorder="1" applyAlignment="1">
      <alignment horizontal="right" vertical="center"/>
    </xf>
    <xf numFmtId="166" fontId="5" fillId="24" borderId="6" xfId="1" applyNumberFormat="1" applyFont="1" applyFill="1" applyBorder="1" applyAlignment="1">
      <alignment horizontal="right" vertical="center"/>
    </xf>
    <xf numFmtId="44" fontId="35" fillId="29" borderId="0" xfId="0" applyNumberFormat="1" applyFont="1" applyFill="1"/>
    <xf numFmtId="164" fontId="8" fillId="11" borderId="46" xfId="0" applyNumberFormat="1" applyFont="1" applyFill="1" applyBorder="1" applyAlignment="1">
      <alignment horizontal="center" vertical="center"/>
    </xf>
    <xf numFmtId="0" fontId="38" fillId="0" borderId="8" xfId="33" applyNumberFormat="1" applyFill="1" applyBorder="1" applyAlignment="1">
      <alignment horizontal="left" vertical="center" wrapText="1"/>
    </xf>
    <xf numFmtId="0" fontId="38" fillId="0" borderId="41" xfId="33" applyNumberFormat="1" applyFill="1" applyBorder="1" applyAlignment="1">
      <alignment horizontal="left" vertical="center" wrapText="1"/>
    </xf>
    <xf numFmtId="0" fontId="38" fillId="0" borderId="55" xfId="33" applyNumberFormat="1" applyFill="1" applyBorder="1" applyAlignment="1">
      <alignment horizontal="left" vertical="center" wrapText="1"/>
    </xf>
    <xf numFmtId="0" fontId="38" fillId="0" borderId="4" xfId="33" applyNumberFormat="1" applyFill="1" applyBorder="1" applyAlignment="1">
      <alignment horizontal="left" vertical="center" wrapText="1"/>
    </xf>
    <xf numFmtId="0" fontId="38" fillId="0" borderId="108" xfId="33" applyNumberFormat="1" applyFill="1" applyBorder="1" applyAlignment="1">
      <alignment horizontal="left" vertical="center" wrapText="1"/>
    </xf>
    <xf numFmtId="0" fontId="38" fillId="0" borderId="17" xfId="33" applyNumberFormat="1" applyFill="1" applyBorder="1" applyAlignment="1">
      <alignment horizontal="left" vertical="center" wrapText="1"/>
    </xf>
    <xf numFmtId="0" fontId="38" fillId="0" borderId="15" xfId="33" applyNumberFormat="1" applyFill="1" applyBorder="1" applyAlignment="1">
      <alignment horizontal="left" vertical="center" wrapText="1"/>
    </xf>
    <xf numFmtId="0" fontId="38" fillId="0" borderId="20" xfId="33" applyNumberFormat="1" applyFill="1" applyBorder="1" applyAlignment="1">
      <alignment horizontal="left" vertical="center" wrapText="1"/>
    </xf>
    <xf numFmtId="0" fontId="38" fillId="0" borderId="24" xfId="33" applyNumberFormat="1" applyFill="1" applyBorder="1" applyAlignment="1">
      <alignment horizontal="left" vertical="center" wrapText="1"/>
    </xf>
    <xf numFmtId="0" fontId="38" fillId="0" borderId="43" xfId="33" applyNumberFormat="1" applyFill="1" applyBorder="1" applyAlignment="1">
      <alignment horizontal="left" vertical="center" wrapText="1"/>
    </xf>
    <xf numFmtId="0" fontId="38" fillId="0" borderId="66" xfId="33" applyNumberFormat="1" applyFill="1" applyBorder="1" applyAlignment="1">
      <alignment horizontal="left" vertical="center" wrapText="1"/>
    </xf>
    <xf numFmtId="0" fontId="38" fillId="0" borderId="12" xfId="33" applyNumberFormat="1" applyFill="1" applyBorder="1" applyAlignment="1">
      <alignment horizontal="left" vertical="center" wrapText="1"/>
    </xf>
    <xf numFmtId="0" fontId="38" fillId="0" borderId="0" xfId="33" applyNumberFormat="1" applyFill="1" applyBorder="1" applyAlignment="1">
      <alignment horizontal="left" vertical="center" wrapText="1"/>
    </xf>
    <xf numFmtId="0" fontId="38" fillId="0" borderId="73" xfId="33" applyNumberFormat="1" applyFill="1" applyBorder="1" applyAlignment="1">
      <alignment horizontal="left" vertical="center" wrapText="1"/>
    </xf>
    <xf numFmtId="0" fontId="38" fillId="0" borderId="13" xfId="33" applyNumberFormat="1" applyFill="1" applyBorder="1" applyAlignment="1">
      <alignment horizontal="left" vertical="center" wrapText="1"/>
    </xf>
    <xf numFmtId="167" fontId="38" fillId="0" borderId="65" xfId="33" applyNumberFormat="1" applyFill="1" applyBorder="1" applyAlignment="1">
      <alignment horizontal="left" vertical="center" wrapText="1"/>
    </xf>
    <xf numFmtId="167" fontId="38" fillId="0" borderId="12" xfId="33" applyNumberFormat="1" applyFill="1" applyBorder="1" applyAlignment="1">
      <alignment horizontal="left" vertical="center" wrapText="1"/>
    </xf>
    <xf numFmtId="167" fontId="38" fillId="0" borderId="20" xfId="33" applyNumberFormat="1" applyFill="1" applyBorder="1" applyAlignment="1">
      <alignment horizontal="left" vertical="center" wrapText="1"/>
    </xf>
    <xf numFmtId="167" fontId="38" fillId="0" borderId="66" xfId="33" applyNumberFormat="1" applyFill="1" applyBorder="1" applyAlignment="1">
      <alignment horizontal="left" vertical="center" wrapText="1"/>
    </xf>
    <xf numFmtId="167" fontId="38" fillId="0" borderId="15" xfId="33" applyNumberFormat="1" applyFill="1" applyBorder="1" applyAlignment="1">
      <alignment horizontal="left" vertical="center" wrapText="1"/>
    </xf>
    <xf numFmtId="167" fontId="38" fillId="0" borderId="25" xfId="33" applyNumberFormat="1" applyFill="1" applyBorder="1" applyAlignment="1">
      <alignment horizontal="left" vertical="center" wrapText="1"/>
    </xf>
    <xf numFmtId="167" fontId="38" fillId="0" borderId="38" xfId="33" applyNumberFormat="1" applyFill="1" applyBorder="1" applyAlignment="1">
      <alignment horizontal="left" vertical="center" wrapText="1"/>
    </xf>
    <xf numFmtId="167" fontId="38" fillId="0" borderId="17" xfId="33" applyNumberFormat="1" applyFill="1" applyBorder="1" applyAlignment="1">
      <alignment horizontal="left" vertical="center" wrapText="1"/>
    </xf>
    <xf numFmtId="167" fontId="38" fillId="0" borderId="41" xfId="33" applyNumberFormat="1" applyFill="1" applyBorder="1" applyAlignment="1">
      <alignment horizontal="left" vertical="center" wrapText="1"/>
    </xf>
    <xf numFmtId="0" fontId="38" fillId="0" borderId="12" xfId="33" applyFill="1" applyBorder="1" applyAlignment="1">
      <alignment horizontal="left" vertical="center" wrapText="1"/>
    </xf>
    <xf numFmtId="167" fontId="38" fillId="0" borderId="0" xfId="33" applyNumberFormat="1" applyFill="1" applyBorder="1" applyAlignment="1">
      <alignment horizontal="left" vertical="center" wrapText="1"/>
    </xf>
    <xf numFmtId="167" fontId="38" fillId="0" borderId="33" xfId="33" applyNumberFormat="1" applyFill="1" applyBorder="1" applyAlignment="1">
      <alignment horizontal="left" vertical="center" wrapText="1"/>
    </xf>
    <xf numFmtId="167" fontId="38" fillId="0" borderId="47" xfId="33" applyNumberFormat="1" applyFill="1" applyBorder="1" applyAlignment="1">
      <alignment horizontal="left" vertical="center" wrapText="1"/>
    </xf>
    <xf numFmtId="165" fontId="8" fillId="19" borderId="16" xfId="0" applyNumberFormat="1" applyFont="1" applyFill="1" applyBorder="1" applyAlignment="1">
      <alignment horizontal="right" vertical="center"/>
    </xf>
    <xf numFmtId="166" fontId="8" fillId="23" borderId="19" xfId="1" applyNumberFormat="1" applyFont="1" applyFill="1" applyBorder="1" applyAlignment="1">
      <alignment horizontal="right" vertical="center"/>
    </xf>
    <xf numFmtId="165" fontId="9" fillId="0" borderId="34" xfId="0" applyNumberFormat="1" applyFont="1" applyFill="1" applyBorder="1" applyAlignment="1">
      <alignment horizontal="right" vertical="center"/>
    </xf>
    <xf numFmtId="165" fontId="9" fillId="0" borderId="76" xfId="0" applyNumberFormat="1" applyFont="1" applyFill="1" applyBorder="1" applyAlignment="1">
      <alignment horizontal="right" vertical="center"/>
    </xf>
    <xf numFmtId="165" fontId="22" fillId="0" borderId="19" xfId="0" applyNumberFormat="1" applyFont="1" applyFill="1" applyBorder="1" applyAlignment="1">
      <alignment horizontal="right" vertical="center"/>
    </xf>
    <xf numFmtId="165" fontId="22" fillId="0" borderId="28" xfId="0" applyNumberFormat="1" applyFont="1" applyFill="1" applyBorder="1" applyAlignment="1">
      <alignment horizontal="right" vertical="center"/>
    </xf>
    <xf numFmtId="165" fontId="22" fillId="0" borderId="81" xfId="0" applyNumberFormat="1" applyFont="1" applyFill="1" applyBorder="1" applyAlignment="1">
      <alignment horizontal="right" vertical="center"/>
    </xf>
    <xf numFmtId="165" fontId="17" fillId="0" borderId="78" xfId="0" applyNumberFormat="1" applyFont="1" applyFill="1" applyBorder="1" applyAlignment="1">
      <alignment horizontal="right" vertical="center"/>
    </xf>
    <xf numFmtId="165" fontId="17" fillId="0" borderId="28" xfId="0" applyNumberFormat="1" applyFont="1" applyFill="1" applyBorder="1" applyAlignment="1">
      <alignment horizontal="right" vertical="center"/>
    </xf>
    <xf numFmtId="165" fontId="17" fillId="0" borderId="80" xfId="0" applyNumberFormat="1" applyFont="1" applyFill="1" applyBorder="1" applyAlignment="1">
      <alignment horizontal="right" vertical="center"/>
    </xf>
    <xf numFmtId="165" fontId="22" fillId="0" borderId="64" xfId="0" applyNumberFormat="1" applyFont="1" applyFill="1" applyBorder="1" applyAlignment="1">
      <alignment horizontal="right" vertical="center"/>
    </xf>
    <xf numFmtId="165" fontId="22" fillId="0" borderId="64" xfId="0" applyNumberFormat="1" applyFont="1" applyFill="1" applyBorder="1" applyAlignment="1">
      <alignment horizontal="right" vertical="center"/>
    </xf>
    <xf numFmtId="165" fontId="9" fillId="0" borderId="78" xfId="0" quotePrefix="1" applyNumberFormat="1" applyFont="1" applyBorder="1" applyAlignment="1">
      <alignment horizontal="right" vertical="center"/>
    </xf>
    <xf numFmtId="165" fontId="9" fillId="0" borderId="38" xfId="0" applyNumberFormat="1" applyFont="1" applyBorder="1" applyAlignment="1">
      <alignment horizontal="right"/>
    </xf>
    <xf numFmtId="165" fontId="9" fillId="0" borderId="27" xfId="0" quotePrefix="1" applyNumberFormat="1" applyFont="1" applyBorder="1" applyAlignment="1">
      <alignment horizontal="right" vertical="center"/>
    </xf>
    <xf numFmtId="165" fontId="9" fillId="0" borderId="4" xfId="0" applyNumberFormat="1" applyFont="1" applyBorder="1" applyAlignment="1">
      <alignment horizontal="right"/>
    </xf>
    <xf numFmtId="165" fontId="9" fillId="0" borderId="55" xfId="0" applyNumberFormat="1" applyFont="1" applyBorder="1" applyAlignment="1">
      <alignment horizontal="right"/>
    </xf>
    <xf numFmtId="165" fontId="9" fillId="0" borderId="11" xfId="0" applyNumberFormat="1" applyFont="1" applyBorder="1" applyAlignment="1">
      <alignment horizontal="right"/>
    </xf>
    <xf numFmtId="165" fontId="0" fillId="0" borderId="4" xfId="1" applyNumberFormat="1" applyFont="1" applyFill="1" applyBorder="1" applyAlignment="1">
      <alignment horizontal="right"/>
    </xf>
    <xf numFmtId="165" fontId="0" fillId="0" borderId="11" xfId="1" applyNumberFormat="1" applyFont="1" applyFill="1" applyBorder="1" applyAlignment="1">
      <alignment horizontal="right"/>
    </xf>
    <xf numFmtId="165" fontId="0" fillId="0" borderId="0" xfId="1" applyNumberFormat="1" applyFont="1" applyFill="1" applyBorder="1" applyAlignment="1">
      <alignment horizontal="right"/>
    </xf>
    <xf numFmtId="37" fontId="22" fillId="0" borderId="76" xfId="0" applyNumberFormat="1" applyFont="1" applyFill="1" applyBorder="1" applyAlignment="1">
      <alignment horizontal="right" vertical="center"/>
    </xf>
    <xf numFmtId="37" fontId="22" fillId="0" borderId="79" xfId="0" applyNumberFormat="1" applyFont="1" applyFill="1" applyBorder="1" applyAlignment="1">
      <alignment horizontal="right" vertical="center"/>
    </xf>
    <xf numFmtId="165" fontId="22" fillId="0" borderId="63" xfId="0" quotePrefix="1" applyNumberFormat="1" applyFont="1" applyFill="1" applyBorder="1" applyAlignment="1">
      <alignment horizontal="right" vertical="center"/>
    </xf>
    <xf numFmtId="165" fontId="17" fillId="0" borderId="29" xfId="0" applyNumberFormat="1" applyFont="1" applyFill="1" applyBorder="1" applyAlignment="1">
      <alignment horizontal="right" vertical="center"/>
    </xf>
    <xf numFmtId="43" fontId="4" fillId="0" borderId="2" xfId="1" applyFont="1" applyBorder="1" applyAlignment="1">
      <alignment horizontal="right" vertical="center"/>
    </xf>
    <xf numFmtId="166" fontId="22" fillId="0" borderId="36" xfId="1" quotePrefix="1" applyNumberFormat="1" applyFont="1" applyFill="1" applyBorder="1" applyAlignment="1">
      <alignment horizontal="right" vertical="center"/>
    </xf>
    <xf numFmtId="165" fontId="22" fillId="0" borderId="49" xfId="0" applyNumberFormat="1" applyFont="1" applyFill="1" applyBorder="1" applyAlignment="1">
      <alignment horizontal="right" vertical="center"/>
    </xf>
    <xf numFmtId="165" fontId="22" fillId="0" borderId="28" xfId="0" applyNumberFormat="1" applyFont="1" applyFill="1" applyBorder="1" applyAlignment="1">
      <alignment horizontal="right" vertical="center"/>
    </xf>
    <xf numFmtId="165" fontId="22" fillId="0" borderId="19" xfId="0" applyNumberFormat="1" applyFont="1" applyFill="1" applyBorder="1" applyAlignment="1">
      <alignment horizontal="right"/>
    </xf>
    <xf numFmtId="165" fontId="22" fillId="0" borderId="27" xfId="0" applyNumberFormat="1" applyFont="1" applyFill="1" applyBorder="1" applyAlignment="1">
      <alignment horizontal="right"/>
    </xf>
    <xf numFmtId="165" fontId="22" fillId="0" borderId="60" xfId="0" applyNumberFormat="1" applyFont="1" applyFill="1" applyBorder="1" applyAlignment="1">
      <alignment horizontal="right" vertical="center"/>
    </xf>
    <xf numFmtId="165" fontId="22" fillId="0" borderId="67" xfId="0" applyNumberFormat="1" applyFont="1" applyFill="1" applyBorder="1" applyAlignment="1">
      <alignment horizontal="right" vertical="center"/>
    </xf>
    <xf numFmtId="37" fontId="8" fillId="3" borderId="4" xfId="0" applyNumberFormat="1" applyFont="1" applyFill="1" applyBorder="1" applyAlignment="1">
      <alignment horizontal="center" vertical="center" wrapText="1"/>
    </xf>
    <xf numFmtId="165" fontId="9" fillId="0" borderId="50" xfId="0" applyNumberFormat="1" applyFont="1" applyBorder="1" applyAlignment="1">
      <alignment horizontal="right"/>
    </xf>
    <xf numFmtId="165" fontId="9" fillId="0" borderId="69" xfId="0" applyNumberFormat="1" applyFont="1" applyBorder="1" applyAlignment="1">
      <alignment horizontal="right"/>
    </xf>
    <xf numFmtId="165" fontId="9" fillId="0" borderId="78" xfId="0" quotePrefix="1" applyNumberFormat="1" applyFont="1" applyBorder="1" applyAlignment="1">
      <alignment horizontal="right" vertical="center"/>
    </xf>
    <xf numFmtId="165" fontId="9" fillId="0" borderId="49" xfId="0" applyNumberFormat="1" applyFont="1" applyFill="1" applyBorder="1" applyAlignment="1">
      <alignment horizontal="right" vertical="center"/>
    </xf>
    <xf numFmtId="165" fontId="9" fillId="0" borderId="28" xfId="0" applyNumberFormat="1" applyFont="1" applyFill="1" applyBorder="1" applyAlignment="1">
      <alignment horizontal="right" vertical="center"/>
    </xf>
    <xf numFmtId="165" fontId="9" fillId="0" borderId="4" xfId="0" applyNumberFormat="1" applyFont="1" applyFill="1" applyBorder="1" applyAlignment="1">
      <alignment horizontal="right" vertical="center"/>
    </xf>
    <xf numFmtId="165" fontId="22" fillId="0" borderId="2" xfId="0" applyNumberFormat="1" applyFont="1" applyFill="1" applyBorder="1" applyAlignment="1">
      <alignment horizontal="right" vertical="center"/>
    </xf>
    <xf numFmtId="43" fontId="22" fillId="0" borderId="66" xfId="1" applyFont="1" applyFill="1" applyBorder="1" applyAlignment="1">
      <alignment horizontal="right"/>
    </xf>
    <xf numFmtId="166" fontId="17" fillId="0" borderId="43" xfId="1" applyNumberFormat="1" applyFont="1" applyFill="1" applyBorder="1" applyAlignment="1">
      <alignment horizontal="right"/>
    </xf>
    <xf numFmtId="166" fontId="3" fillId="0" borderId="14" xfId="1" applyNumberFormat="1" applyFont="1" applyFill="1" applyBorder="1" applyAlignment="1">
      <alignment horizontal="right" vertical="center"/>
    </xf>
    <xf numFmtId="166" fontId="17" fillId="0" borderId="94" xfId="1" applyNumberFormat="1" applyFont="1" applyFill="1" applyBorder="1" applyAlignment="1">
      <alignment horizontal="right"/>
    </xf>
    <xf numFmtId="165" fontId="22" fillId="0" borderId="77" xfId="0" applyNumberFormat="1" applyFont="1" applyFill="1" applyBorder="1" applyAlignment="1">
      <alignment horizontal="right" vertical="center"/>
    </xf>
    <xf numFmtId="165" fontId="17" fillId="0" borderId="79" xfId="1" applyNumberFormat="1" applyFont="1" applyFill="1" applyBorder="1" applyAlignment="1">
      <alignment horizontal="right" vertical="center"/>
    </xf>
    <xf numFmtId="165" fontId="22" fillId="0" borderId="83" xfId="0" applyNumberFormat="1" applyFont="1" applyFill="1" applyBorder="1" applyAlignment="1">
      <alignment horizontal="right" vertical="center"/>
    </xf>
    <xf numFmtId="165" fontId="22" fillId="0" borderId="21" xfId="0" applyNumberFormat="1" applyFont="1" applyFill="1" applyBorder="1" applyAlignment="1">
      <alignment horizontal="right" vertical="center"/>
    </xf>
    <xf numFmtId="166" fontId="17" fillId="0" borderId="4" xfId="1" applyNumberFormat="1" applyFont="1" applyFill="1" applyBorder="1" applyAlignment="1">
      <alignment horizontal="right"/>
    </xf>
    <xf numFmtId="166" fontId="22" fillId="0" borderId="4" xfId="1" applyNumberFormat="1" applyFont="1" applyFill="1" applyBorder="1" applyAlignment="1">
      <alignment horizontal="right" vertical="center"/>
    </xf>
    <xf numFmtId="166" fontId="8" fillId="21" borderId="8" xfId="1" applyNumberFormat="1" applyFont="1" applyFill="1" applyBorder="1" applyAlignment="1">
      <alignment horizontal="right" vertical="center"/>
    </xf>
    <xf numFmtId="166" fontId="8" fillId="21" borderId="2" xfId="1" applyNumberFormat="1" applyFont="1" applyFill="1" applyBorder="1" applyAlignment="1">
      <alignment horizontal="right" vertical="center"/>
    </xf>
    <xf numFmtId="166" fontId="8" fillId="0" borderId="5" xfId="1" applyNumberFormat="1" applyFont="1" applyFill="1" applyBorder="1" applyAlignment="1">
      <alignment horizontal="right" vertical="center"/>
    </xf>
    <xf numFmtId="37" fontId="8" fillId="0" borderId="4" xfId="0" applyNumberFormat="1" applyFont="1" applyBorder="1" applyAlignment="1">
      <alignment vertical="center"/>
    </xf>
    <xf numFmtId="165" fontId="9" fillId="0" borderId="37" xfId="0" applyNumberFormat="1" applyFont="1" applyBorder="1" applyAlignment="1">
      <alignment horizontal="right"/>
    </xf>
    <xf numFmtId="165" fontId="9" fillId="0" borderId="7" xfId="0" applyNumberFormat="1" applyFont="1" applyBorder="1" applyAlignment="1">
      <alignment horizontal="right"/>
    </xf>
    <xf numFmtId="166" fontId="9" fillId="0" borderId="50" xfId="1" applyNumberFormat="1" applyFont="1" applyFill="1" applyBorder="1" applyAlignment="1">
      <alignment horizontal="right" vertical="center"/>
    </xf>
    <xf numFmtId="0" fontId="8" fillId="0" borderId="4" xfId="0" applyFont="1" applyBorder="1" applyAlignment="1">
      <alignment horizontal="left" vertical="center" wrapText="1"/>
    </xf>
    <xf numFmtId="37" fontId="8" fillId="0" borderId="33" xfId="0" applyNumberFormat="1" applyFont="1" applyBorder="1" applyAlignment="1">
      <alignment vertical="center"/>
    </xf>
    <xf numFmtId="166" fontId="0" fillId="0" borderId="35" xfId="1" applyNumberFormat="1" applyFont="1" applyFill="1" applyBorder="1" applyAlignment="1">
      <alignment horizontal="right"/>
    </xf>
    <xf numFmtId="166" fontId="0" fillId="0" borderId="36" xfId="1" applyNumberFormat="1" applyFont="1" applyFill="1" applyBorder="1" applyAlignment="1">
      <alignment horizontal="right"/>
    </xf>
    <xf numFmtId="166" fontId="0" fillId="0" borderId="94" xfId="1" applyNumberFormat="1" applyFont="1" applyFill="1" applyBorder="1" applyAlignment="1">
      <alignment horizontal="right"/>
    </xf>
    <xf numFmtId="165" fontId="9" fillId="0" borderId="55" xfId="0" applyNumberFormat="1" applyFont="1" applyBorder="1" applyAlignment="1">
      <alignment horizontal="right" vertical="center"/>
    </xf>
    <xf numFmtId="37" fontId="8" fillId="0" borderId="41" xfId="0" applyNumberFormat="1" applyFont="1" applyBorder="1" applyAlignment="1">
      <alignment vertical="center"/>
    </xf>
    <xf numFmtId="166" fontId="0" fillId="0" borderId="96" xfId="1" applyNumberFormat="1" applyFont="1" applyFill="1" applyBorder="1" applyAlignment="1">
      <alignment horizontal="right"/>
    </xf>
    <xf numFmtId="166" fontId="0" fillId="0" borderId="75" xfId="1" applyNumberFormat="1" applyFont="1" applyFill="1" applyBorder="1" applyAlignment="1">
      <alignment horizontal="right"/>
    </xf>
    <xf numFmtId="37" fontId="8" fillId="0" borderId="55" xfId="0" applyNumberFormat="1" applyFont="1" applyBorder="1" applyAlignment="1">
      <alignment vertical="center"/>
    </xf>
    <xf numFmtId="165" fontId="9" fillId="0" borderId="13" xfId="0" applyNumberFormat="1" applyFont="1" applyBorder="1" applyAlignment="1">
      <alignment horizontal="right"/>
    </xf>
    <xf numFmtId="165" fontId="9" fillId="0" borderId="20" xfId="0" applyNumberFormat="1" applyFont="1" applyBorder="1" applyAlignment="1">
      <alignment horizontal="right"/>
    </xf>
    <xf numFmtId="166" fontId="0" fillId="0" borderId="17" xfId="1" applyNumberFormat="1" applyFont="1" applyFill="1" applyBorder="1" applyAlignment="1">
      <alignment horizontal="right" vertical="center"/>
    </xf>
    <xf numFmtId="165" fontId="9" fillId="0" borderId="94" xfId="0" applyNumberFormat="1" applyFont="1" applyBorder="1" applyAlignment="1">
      <alignment horizontal="right"/>
    </xf>
    <xf numFmtId="37" fontId="8" fillId="0" borderId="17" xfId="0" applyNumberFormat="1" applyFont="1" applyBorder="1" applyAlignment="1">
      <alignment vertical="center"/>
    </xf>
    <xf numFmtId="165" fontId="9" fillId="0" borderId="88" xfId="0" applyNumberFormat="1" applyFont="1" applyBorder="1" applyAlignment="1">
      <alignment horizontal="right"/>
    </xf>
    <xf numFmtId="165" fontId="9" fillId="0" borderId="21" xfId="0" applyNumberFormat="1" applyFont="1" applyBorder="1" applyAlignment="1">
      <alignment horizontal="right"/>
    </xf>
    <xf numFmtId="165" fontId="9" fillId="0" borderId="96" xfId="0" applyNumberFormat="1" applyFont="1" applyBorder="1" applyAlignment="1">
      <alignment horizontal="right"/>
    </xf>
    <xf numFmtId="165" fontId="9" fillId="0" borderId="95" xfId="0" applyNumberFormat="1" applyFont="1" applyBorder="1" applyAlignment="1">
      <alignment horizontal="right"/>
    </xf>
    <xf numFmtId="165" fontId="9" fillId="0" borderId="38" xfId="0" applyNumberFormat="1" applyFont="1" applyBorder="1" applyAlignment="1">
      <alignment horizontal="right" vertical="center"/>
    </xf>
    <xf numFmtId="37" fontId="8" fillId="0" borderId="38" xfId="0" applyNumberFormat="1" applyFont="1" applyBorder="1" applyAlignment="1">
      <alignment vertical="center"/>
    </xf>
    <xf numFmtId="165" fontId="9" fillId="0" borderId="35" xfId="0" applyNumberFormat="1" applyFont="1" applyBorder="1" applyAlignment="1">
      <alignment horizontal="right"/>
    </xf>
    <xf numFmtId="165" fontId="9" fillId="0" borderId="60" xfId="0" applyNumberFormat="1" applyFont="1" applyBorder="1" applyAlignment="1">
      <alignment horizontal="right" vertical="center"/>
    </xf>
    <xf numFmtId="165" fontId="9" fillId="0" borderId="22" xfId="0" applyNumberFormat="1" applyFont="1" applyBorder="1" applyAlignment="1">
      <alignment horizontal="right"/>
    </xf>
    <xf numFmtId="165" fontId="9" fillId="0" borderId="11" xfId="0" applyNumberFormat="1" applyFont="1" applyBorder="1" applyAlignment="1">
      <alignment horizontal="right" vertical="center"/>
    </xf>
    <xf numFmtId="166" fontId="8" fillId="0" borderId="7" xfId="1" applyNumberFormat="1" applyFont="1" applyFill="1" applyBorder="1" applyAlignment="1">
      <alignment horizontal="right" vertical="center"/>
    </xf>
    <xf numFmtId="0" fontId="8" fillId="0" borderId="16" xfId="0" applyFont="1" applyBorder="1" applyAlignment="1">
      <alignment horizontal="left" vertical="center" wrapText="1"/>
    </xf>
    <xf numFmtId="0" fontId="8" fillId="0" borderId="24" xfId="0" applyFont="1" applyBorder="1" applyAlignment="1">
      <alignment horizontal="left" vertical="center" wrapText="1"/>
    </xf>
    <xf numFmtId="37" fontId="8" fillId="0" borderId="108" xfId="0" applyNumberFormat="1" applyFont="1" applyBorder="1" applyAlignment="1">
      <alignment vertical="center"/>
    </xf>
    <xf numFmtId="165" fontId="9" fillId="0" borderId="34" xfId="0" quotePrefix="1" applyNumberFormat="1" applyFont="1" applyBorder="1" applyAlignment="1">
      <alignment horizontal="right" vertical="center"/>
    </xf>
    <xf numFmtId="165" fontId="9" fillId="0" borderId="96" xfId="0" quotePrefix="1" applyNumberFormat="1" applyFont="1" applyBorder="1" applyAlignment="1">
      <alignment horizontal="right" vertical="center"/>
    </xf>
    <xf numFmtId="37" fontId="9" fillId="0" borderId="15" xfId="0" applyNumberFormat="1" applyFont="1" applyBorder="1" applyAlignment="1">
      <alignment horizontal="right" vertical="center"/>
    </xf>
    <xf numFmtId="37" fontId="9" fillId="0" borderId="20" xfId="0" applyNumberFormat="1" applyFont="1" applyBorder="1" applyAlignment="1">
      <alignment horizontal="right" vertical="center"/>
    </xf>
    <xf numFmtId="165" fontId="9" fillId="0" borderId="63" xfId="0" quotePrefix="1" applyNumberFormat="1" applyFont="1" applyBorder="1" applyAlignment="1">
      <alignment horizontal="right" vertical="center"/>
    </xf>
    <xf numFmtId="43" fontId="9" fillId="0" borderId="22" xfId="1" quotePrefix="1" applyFont="1" applyBorder="1" applyAlignment="1">
      <alignment horizontal="right" vertical="center"/>
    </xf>
    <xf numFmtId="43" fontId="9" fillId="0" borderId="56" xfId="1" quotePrefix="1" applyFont="1" applyBorder="1" applyAlignment="1">
      <alignment horizontal="right" vertical="center"/>
    </xf>
    <xf numFmtId="165" fontId="9" fillId="0" borderId="68" xfId="0" quotePrefix="1" applyNumberFormat="1" applyFont="1" applyBorder="1" applyAlignment="1">
      <alignment horizontal="right" vertical="center"/>
    </xf>
    <xf numFmtId="165" fontId="0" fillId="0" borderId="0" xfId="0" applyNumberFormat="1"/>
    <xf numFmtId="165" fontId="0" fillId="0" borderId="37" xfId="0" applyNumberFormat="1" applyBorder="1"/>
    <xf numFmtId="165" fontId="9" fillId="0" borderId="37" xfId="0" applyNumberFormat="1" applyFont="1" applyBorder="1" applyAlignment="1">
      <alignment vertical="center"/>
    </xf>
    <xf numFmtId="165" fontId="8" fillId="0" borderId="0" xfId="0" applyNumberFormat="1" applyFont="1" applyAlignment="1">
      <alignment vertical="center"/>
    </xf>
    <xf numFmtId="167" fontId="8" fillId="0" borderId="15" xfId="0" applyNumberFormat="1" applyFont="1" applyBorder="1" applyAlignment="1">
      <alignment horizontal="left" vertical="center" wrapText="1"/>
    </xf>
    <xf numFmtId="165" fontId="9" fillId="0" borderId="24" xfId="0" applyNumberFormat="1" applyFont="1" applyBorder="1" applyAlignment="1">
      <alignment horizontal="right" vertical="center"/>
    </xf>
    <xf numFmtId="165" fontId="9" fillId="0" borderId="29" xfId="0" applyNumberFormat="1" applyFont="1" applyBorder="1" applyAlignment="1">
      <alignment horizontal="right" vertical="center"/>
    </xf>
    <xf numFmtId="165" fontId="9" fillId="0" borderId="95" xfId="0" applyNumberFormat="1" applyFont="1" applyBorder="1" applyAlignment="1">
      <alignment horizontal="right" vertical="center"/>
    </xf>
    <xf numFmtId="165" fontId="9" fillId="0" borderId="108" xfId="0" applyNumberFormat="1" applyFont="1" applyBorder="1" applyAlignment="1">
      <alignment horizontal="right" vertical="center"/>
    </xf>
    <xf numFmtId="165" fontId="9" fillId="0" borderId="72" xfId="0" applyNumberFormat="1" applyFont="1" applyBorder="1" applyAlignment="1">
      <alignment horizontal="right" vertical="center"/>
    </xf>
    <xf numFmtId="165" fontId="9" fillId="0" borderId="4" xfId="0" applyNumberFormat="1" applyFont="1" applyBorder="1" applyAlignment="1">
      <alignment horizontal="right" vertical="center"/>
    </xf>
    <xf numFmtId="165" fontId="9" fillId="0" borderId="50" xfId="0" applyNumberFormat="1" applyFont="1" applyBorder="1" applyAlignment="1">
      <alignment horizontal="right" vertical="center"/>
    </xf>
    <xf numFmtId="165" fontId="9" fillId="0" borderId="69" xfId="0" applyNumberFormat="1" applyFont="1" applyBorder="1" applyAlignment="1">
      <alignment horizontal="right" vertical="center"/>
    </xf>
    <xf numFmtId="165" fontId="9" fillId="0" borderId="15" xfId="0" applyNumberFormat="1" applyFont="1" applyBorder="1" applyAlignment="1">
      <alignment horizontal="right" vertical="center"/>
    </xf>
    <xf numFmtId="165" fontId="9" fillId="0" borderId="32" xfId="0" applyNumberFormat="1" applyFont="1" applyBorder="1" applyAlignment="1">
      <alignment horizontal="right" vertical="center"/>
    </xf>
    <xf numFmtId="165" fontId="9" fillId="0" borderId="71" xfId="0" applyNumberFormat="1" applyFont="1" applyBorder="1" applyAlignment="1">
      <alignment horizontal="right" vertical="center"/>
    </xf>
    <xf numFmtId="165" fontId="9" fillId="0" borderId="87" xfId="0" applyNumberFormat="1" applyFont="1" applyBorder="1" applyAlignment="1">
      <alignment horizontal="right" vertical="center"/>
    </xf>
    <xf numFmtId="165" fontId="9" fillId="0" borderId="16" xfId="0" applyNumberFormat="1" applyFont="1" applyBorder="1" applyAlignment="1">
      <alignment horizontal="right" vertical="center"/>
    </xf>
    <xf numFmtId="165" fontId="9" fillId="0" borderId="19" xfId="0" applyNumberFormat="1" applyFont="1" applyBorder="1" applyAlignment="1">
      <alignment horizontal="right" vertical="center"/>
    </xf>
    <xf numFmtId="165" fontId="9" fillId="0" borderId="37" xfId="0" applyNumberFormat="1" applyFont="1" applyBorder="1" applyAlignment="1">
      <alignment horizontal="right" vertical="center"/>
    </xf>
    <xf numFmtId="37" fontId="8" fillId="0" borderId="11" xfId="0" applyNumberFormat="1" applyFont="1" applyBorder="1" applyAlignment="1">
      <alignment vertical="center"/>
    </xf>
    <xf numFmtId="165" fontId="9" fillId="0" borderId="27" xfId="0" applyNumberFormat="1" applyFont="1" applyBorder="1" applyAlignment="1">
      <alignment horizontal="right" vertical="center"/>
    </xf>
    <xf numFmtId="165" fontId="9" fillId="0" borderId="15" xfId="0" applyNumberFormat="1" applyFont="1" applyBorder="1" applyAlignment="1">
      <alignment horizontal="right"/>
    </xf>
    <xf numFmtId="165" fontId="9" fillId="0" borderId="32" xfId="0" applyNumberFormat="1" applyFont="1" applyBorder="1" applyAlignment="1">
      <alignment horizontal="right"/>
    </xf>
    <xf numFmtId="165" fontId="9" fillId="0" borderId="87" xfId="0" applyNumberFormat="1" applyFont="1" applyBorder="1" applyAlignment="1">
      <alignment horizontal="right"/>
    </xf>
    <xf numFmtId="165" fontId="9" fillId="0" borderId="12" xfId="0" applyNumberFormat="1" applyFont="1" applyBorder="1" applyAlignment="1">
      <alignment horizontal="right" vertical="center"/>
    </xf>
    <xf numFmtId="165" fontId="9" fillId="0" borderId="28" xfId="0" applyNumberFormat="1" applyFont="1" applyBorder="1" applyAlignment="1">
      <alignment horizontal="right" vertical="center"/>
    </xf>
    <xf numFmtId="0" fontId="0" fillId="0" borderId="0" xfId="0" quotePrefix="1"/>
    <xf numFmtId="165" fontId="8" fillId="0" borderId="45" xfId="0" applyNumberFormat="1" applyFont="1" applyBorder="1" applyAlignment="1">
      <alignment vertical="center"/>
    </xf>
    <xf numFmtId="165" fontId="8" fillId="0" borderId="6" xfId="0" applyNumberFormat="1" applyFont="1" applyBorder="1" applyAlignment="1">
      <alignment vertical="center"/>
    </xf>
    <xf numFmtId="165" fontId="8" fillId="0" borderId="46" xfId="0" applyNumberFormat="1" applyFont="1" applyBorder="1" applyAlignment="1">
      <alignment vertical="center"/>
    </xf>
    <xf numFmtId="165" fontId="8" fillId="0" borderId="1" xfId="0" applyNumberFormat="1" applyFont="1" applyBorder="1" applyAlignment="1">
      <alignment vertical="center"/>
    </xf>
    <xf numFmtId="37" fontId="8" fillId="0" borderId="65" xfId="0" applyNumberFormat="1" applyFont="1" applyBorder="1" applyAlignment="1">
      <alignment vertical="center"/>
    </xf>
    <xf numFmtId="165" fontId="0" fillId="0" borderId="61" xfId="0" applyNumberFormat="1" applyBorder="1" applyAlignment="1">
      <alignment horizontal="right" vertical="center"/>
    </xf>
    <xf numFmtId="165" fontId="0" fillId="0" borderId="32" xfId="0" applyNumberFormat="1" applyBorder="1" applyAlignment="1">
      <alignment horizontal="right" vertical="center"/>
    </xf>
    <xf numFmtId="165" fontId="0" fillId="0" borderId="32" xfId="0" quotePrefix="1" applyNumberFormat="1" applyBorder="1" applyAlignment="1">
      <alignment horizontal="right" vertical="center"/>
    </xf>
    <xf numFmtId="165" fontId="0" fillId="0" borderId="77" xfId="0" applyNumberFormat="1" applyBorder="1" applyAlignment="1">
      <alignment horizontal="right" vertical="center"/>
    </xf>
    <xf numFmtId="165" fontId="0" fillId="0" borderId="71" xfId="0" applyNumberFormat="1" applyBorder="1" applyAlignment="1">
      <alignment horizontal="right" vertical="center"/>
    </xf>
    <xf numFmtId="165" fontId="0" fillId="0" borderId="0" xfId="0" applyNumberFormat="1" applyAlignment="1">
      <alignment horizontal="right" vertical="center"/>
    </xf>
    <xf numFmtId="165" fontId="0" fillId="0" borderId="38" xfId="0" applyNumberFormat="1" applyBorder="1" applyAlignment="1">
      <alignment horizontal="right" vertical="center"/>
    </xf>
    <xf numFmtId="165" fontId="9" fillId="0" borderId="33" xfId="0" applyNumberFormat="1" applyFont="1" applyBorder="1" applyAlignment="1">
      <alignment vertical="center"/>
    </xf>
    <xf numFmtId="37" fontId="8" fillId="0" borderId="12" xfId="0" applyNumberFormat="1" applyFont="1" applyBorder="1" applyAlignment="1">
      <alignment vertical="center"/>
    </xf>
    <xf numFmtId="165" fontId="0" fillId="0" borderId="59" xfId="0" applyNumberFormat="1" applyBorder="1" applyAlignment="1">
      <alignment horizontal="right" vertical="center"/>
    </xf>
    <xf numFmtId="165" fontId="0" fillId="0" borderId="70" xfId="0" applyNumberFormat="1" applyBorder="1" applyAlignment="1">
      <alignment horizontal="right" vertical="center"/>
    </xf>
    <xf numFmtId="165" fontId="0" fillId="0" borderId="55" xfId="0" applyNumberFormat="1" applyBorder="1" applyAlignment="1">
      <alignment horizontal="right" vertical="center"/>
    </xf>
    <xf numFmtId="165" fontId="9" fillId="0" borderId="41" xfId="0" applyNumberFormat="1" applyFont="1" applyBorder="1" applyAlignment="1">
      <alignment vertical="center"/>
    </xf>
    <xf numFmtId="165" fontId="0" fillId="0" borderId="36" xfId="0" applyNumberFormat="1" applyBorder="1" applyAlignment="1">
      <alignment horizontal="right" vertical="center"/>
    </xf>
    <xf numFmtId="165" fontId="0" fillId="0" borderId="50" xfId="0" applyNumberFormat="1" applyBorder="1" applyAlignment="1">
      <alignment horizontal="right" vertical="center"/>
    </xf>
    <xf numFmtId="165" fontId="0" fillId="0" borderId="4" xfId="0" applyNumberFormat="1" applyBorder="1" applyAlignment="1">
      <alignment horizontal="right" vertical="center"/>
    </xf>
    <xf numFmtId="167" fontId="8" fillId="0" borderId="66" xfId="0" applyNumberFormat="1" applyFont="1" applyBorder="1" applyAlignment="1">
      <alignment horizontal="left" vertical="center" wrapText="1"/>
    </xf>
    <xf numFmtId="37" fontId="8" fillId="0" borderId="25" xfId="0" applyNumberFormat="1" applyFont="1" applyBorder="1" applyAlignment="1">
      <alignment vertical="center"/>
    </xf>
    <xf numFmtId="165" fontId="0" fillId="0" borderId="27" xfId="0" applyNumberFormat="1" applyBorder="1" applyAlignment="1">
      <alignment horizontal="right" vertical="center"/>
    </xf>
    <xf numFmtId="165" fontId="0" fillId="0" borderId="69" xfId="0" applyNumberFormat="1" applyBorder="1" applyAlignment="1">
      <alignment horizontal="right" vertical="center"/>
    </xf>
    <xf numFmtId="165" fontId="0" fillId="0" borderId="11" xfId="0" applyNumberFormat="1" applyBorder="1" applyAlignment="1">
      <alignment horizontal="right" vertical="center"/>
    </xf>
    <xf numFmtId="165" fontId="9" fillId="0" borderId="8" xfId="0" applyNumberFormat="1" applyFont="1" applyBorder="1" applyAlignment="1">
      <alignment vertical="center"/>
    </xf>
    <xf numFmtId="165" fontId="0" fillId="0" borderId="8" xfId="0" applyNumberFormat="1" applyBorder="1" applyAlignment="1">
      <alignment horizontal="right" vertical="center"/>
    </xf>
    <xf numFmtId="37" fontId="8" fillId="0" borderId="15" xfId="0" applyNumberFormat="1" applyFont="1" applyBorder="1" applyAlignment="1">
      <alignment vertical="center"/>
    </xf>
    <xf numFmtId="165" fontId="0" fillId="0" borderId="62" xfId="0" applyNumberFormat="1" applyBorder="1" applyAlignment="1">
      <alignment horizontal="right" vertical="center"/>
    </xf>
    <xf numFmtId="165" fontId="0" fillId="0" borderId="28" xfId="0" applyNumberFormat="1" applyBorder="1" applyAlignment="1">
      <alignment horizontal="right" vertical="center"/>
    </xf>
    <xf numFmtId="165" fontId="0" fillId="0" borderId="80" xfId="0" applyNumberFormat="1" applyBorder="1" applyAlignment="1">
      <alignment horizontal="right" vertical="center"/>
    </xf>
    <xf numFmtId="167" fontId="8" fillId="0" borderId="20" xfId="0" applyNumberFormat="1" applyFont="1" applyBorder="1" applyAlignment="1">
      <alignment horizontal="left" vertical="center" wrapText="1"/>
    </xf>
    <xf numFmtId="165" fontId="0" fillId="0" borderId="49" xfId="0" applyNumberFormat="1" applyBorder="1" applyAlignment="1">
      <alignment vertical="center"/>
    </xf>
    <xf numFmtId="165" fontId="0" fillId="0" borderId="47" xfId="0" applyNumberFormat="1" applyBorder="1" applyAlignment="1">
      <alignment vertical="center"/>
    </xf>
    <xf numFmtId="165" fontId="0" fillId="0" borderId="60" xfId="0" applyNumberFormat="1" applyBorder="1" applyAlignment="1">
      <alignment horizontal="right" vertical="center"/>
    </xf>
    <xf numFmtId="165" fontId="9" fillId="0" borderId="17" xfId="0" applyNumberFormat="1" applyFont="1" applyBorder="1" applyAlignment="1">
      <alignment vertical="center"/>
    </xf>
    <xf numFmtId="165" fontId="0" fillId="0" borderId="76" xfId="0" applyNumberFormat="1" applyBorder="1" applyAlignment="1">
      <alignment horizontal="right" vertical="center"/>
    </xf>
    <xf numFmtId="165" fontId="0" fillId="0" borderId="33" xfId="0" applyNumberFormat="1" applyBorder="1" applyAlignment="1">
      <alignment horizontal="right" vertical="center"/>
    </xf>
    <xf numFmtId="165" fontId="0" fillId="0" borderId="64" xfId="0" applyNumberFormat="1" applyBorder="1" applyAlignment="1">
      <alignment horizontal="right" vertical="center"/>
    </xf>
    <xf numFmtId="165" fontId="0" fillId="0" borderId="34" xfId="0" applyNumberFormat="1" applyBorder="1" applyAlignment="1">
      <alignment horizontal="right" vertical="center"/>
    </xf>
    <xf numFmtId="165" fontId="0" fillId="0" borderId="23" xfId="0" applyNumberFormat="1" applyBorder="1" applyAlignment="1">
      <alignment horizontal="right" vertical="center"/>
    </xf>
    <xf numFmtId="165" fontId="0" fillId="0" borderId="17" xfId="0" applyNumberFormat="1" applyBorder="1" applyAlignment="1">
      <alignment horizontal="right" vertical="center"/>
    </xf>
    <xf numFmtId="37" fontId="8" fillId="0" borderId="66" xfId="0" applyNumberFormat="1" applyFont="1" applyBorder="1" applyAlignment="1">
      <alignment vertical="center"/>
    </xf>
    <xf numFmtId="165" fontId="0" fillId="0" borderId="67" xfId="0" applyNumberFormat="1" applyBorder="1" applyAlignment="1">
      <alignment horizontal="right" vertical="center"/>
    </xf>
    <xf numFmtId="165" fontId="0" fillId="0" borderId="78" xfId="0" applyNumberFormat="1" applyBorder="1" applyAlignment="1">
      <alignment horizontal="right" vertical="center"/>
    </xf>
    <xf numFmtId="165" fontId="9" fillId="0" borderId="40" xfId="0" applyNumberFormat="1" applyFont="1" applyBorder="1" applyAlignment="1">
      <alignment horizontal="right" vertical="center"/>
    </xf>
    <xf numFmtId="167" fontId="8" fillId="0" borderId="65" xfId="0" applyNumberFormat="1" applyFont="1" applyBorder="1" applyAlignment="1">
      <alignment horizontal="left" vertical="center" wrapText="1"/>
    </xf>
    <xf numFmtId="165" fontId="9" fillId="0" borderId="35" xfId="0" applyNumberFormat="1" applyFont="1" applyBorder="1" applyAlignment="1">
      <alignment horizontal="right" vertical="center"/>
    </xf>
    <xf numFmtId="165" fontId="9" fillId="0" borderId="70" xfId="0" applyNumberFormat="1" applyFont="1" applyBorder="1" applyAlignment="1">
      <alignment horizontal="right" vertical="center"/>
    </xf>
    <xf numFmtId="167" fontId="8" fillId="0" borderId="25" xfId="0" applyNumberFormat="1" applyFont="1" applyBorder="1" applyAlignment="1">
      <alignment horizontal="left" vertical="center" wrapText="1"/>
    </xf>
    <xf numFmtId="165" fontId="9" fillId="0" borderId="26" xfId="0" applyNumberFormat="1" applyFont="1" applyBorder="1" applyAlignment="1">
      <alignment horizontal="right" vertical="center"/>
    </xf>
    <xf numFmtId="165" fontId="9" fillId="0" borderId="74" xfId="0" applyNumberFormat="1" applyFont="1" applyBorder="1" applyAlignment="1">
      <alignment horizontal="right" vertical="center"/>
    </xf>
    <xf numFmtId="165" fontId="9" fillId="0" borderId="75" xfId="0" applyNumberFormat="1" applyFont="1" applyBorder="1" applyAlignment="1">
      <alignment horizontal="right" vertical="center"/>
    </xf>
    <xf numFmtId="0" fontId="0" fillId="0" borderId="12" xfId="0" applyBorder="1"/>
    <xf numFmtId="166" fontId="8" fillId="23" borderId="6" xfId="1" applyNumberFormat="1" applyFont="1" applyFill="1" applyBorder="1" applyAlignment="1">
      <alignment horizontal="left" vertical="center"/>
    </xf>
    <xf numFmtId="165" fontId="9" fillId="0" borderId="36" xfId="0" applyNumberFormat="1" applyFont="1" applyBorder="1" applyAlignment="1">
      <alignment horizontal="left" vertical="center"/>
    </xf>
    <xf numFmtId="165" fontId="9" fillId="0" borderId="23" xfId="0" applyNumberFormat="1" applyFont="1" applyBorder="1" applyAlignment="1">
      <alignment horizontal="left" vertical="center"/>
    </xf>
    <xf numFmtId="165" fontId="9" fillId="0" borderId="29" xfId="0" applyNumberFormat="1" applyFont="1" applyBorder="1" applyAlignment="1">
      <alignment horizontal="left" vertical="center"/>
    </xf>
    <xf numFmtId="165" fontId="9" fillId="0" borderId="56" xfId="0" applyNumberFormat="1" applyFont="1" applyBorder="1" applyAlignment="1">
      <alignment horizontal="left" vertical="center"/>
    </xf>
    <xf numFmtId="165" fontId="9" fillId="0" borderId="28" xfId="0" applyNumberFormat="1" applyFont="1" applyBorder="1" applyAlignment="1">
      <alignment horizontal="left" vertical="center"/>
    </xf>
    <xf numFmtId="165" fontId="9" fillId="0" borderId="36" xfId="0" applyNumberFormat="1" applyFont="1" applyBorder="1" applyAlignment="1">
      <alignment horizontal="left"/>
    </xf>
    <xf numFmtId="165" fontId="9" fillId="0" borderId="56" xfId="0" applyNumberFormat="1" applyFont="1" applyBorder="1" applyAlignment="1">
      <alignment horizontal="left"/>
    </xf>
    <xf numFmtId="165" fontId="9" fillId="0" borderId="56" xfId="0" applyNumberFormat="1" applyFont="1" applyBorder="1" applyAlignment="1">
      <alignment horizontal="right"/>
    </xf>
    <xf numFmtId="165" fontId="9" fillId="0" borderId="32" xfId="0" applyNumberFormat="1" applyFont="1" applyBorder="1" applyAlignment="1">
      <alignment horizontal="left" vertical="center"/>
    </xf>
    <xf numFmtId="166" fontId="0" fillId="0" borderId="32" xfId="1" applyNumberFormat="1" applyFont="1" applyFill="1" applyBorder="1" applyAlignment="1">
      <alignment horizontal="left"/>
    </xf>
    <xf numFmtId="166" fontId="0" fillId="0" borderId="23" xfId="1" applyNumberFormat="1" applyFont="1" applyFill="1" applyBorder="1" applyAlignment="1">
      <alignment horizontal="left"/>
    </xf>
    <xf numFmtId="165" fontId="9" fillId="0" borderId="57" xfId="0" applyNumberFormat="1" applyFont="1" applyBorder="1" applyAlignment="1">
      <alignment horizontal="right" vertical="center"/>
    </xf>
    <xf numFmtId="165" fontId="9" fillId="0" borderId="25" xfId="0" applyNumberFormat="1" applyFont="1" applyBorder="1" applyAlignment="1">
      <alignment horizontal="right" vertical="center"/>
    </xf>
    <xf numFmtId="165" fontId="8" fillId="0" borderId="11" xfId="0" applyNumberFormat="1" applyFont="1" applyBorder="1" applyAlignment="1">
      <alignment horizontal="right" vertical="center"/>
    </xf>
    <xf numFmtId="165" fontId="22" fillId="0" borderId="94" xfId="0" applyNumberFormat="1" applyFont="1" applyFill="1" applyBorder="1" applyAlignment="1">
      <alignment horizontal="right"/>
    </xf>
    <xf numFmtId="165" fontId="22" fillId="0" borderId="8" xfId="0" applyNumberFormat="1" applyFont="1" applyFill="1" applyBorder="1" applyAlignment="1">
      <alignment horizontal="right"/>
    </xf>
    <xf numFmtId="165" fontId="9" fillId="18" borderId="28" xfId="0" applyNumberFormat="1" applyFont="1" applyFill="1" applyBorder="1" applyAlignment="1">
      <alignment horizontal="right" vertical="center"/>
    </xf>
    <xf numFmtId="165" fontId="9" fillId="18" borderId="32" xfId="0" applyNumberFormat="1" applyFont="1" applyFill="1" applyBorder="1" applyAlignment="1">
      <alignment horizontal="right" vertical="center"/>
    </xf>
    <xf numFmtId="165" fontId="22" fillId="0" borderId="106" xfId="0" applyNumberFormat="1" applyFont="1" applyFill="1" applyBorder="1" applyAlignment="1">
      <alignment horizontal="right"/>
    </xf>
    <xf numFmtId="165" fontId="22" fillId="0" borderId="49" xfId="0" applyNumberFormat="1" applyFont="1" applyFill="1" applyBorder="1" applyAlignment="1">
      <alignment vertical="center"/>
    </xf>
    <xf numFmtId="165" fontId="22" fillId="0" borderId="47" xfId="0" applyNumberFormat="1" applyFont="1" applyFill="1" applyBorder="1" applyAlignment="1">
      <alignment vertical="center"/>
    </xf>
    <xf numFmtId="165" fontId="0" fillId="0" borderId="56" xfId="0" applyNumberFormat="1" applyBorder="1" applyAlignment="1">
      <alignment horizontal="right" vertical="center"/>
    </xf>
    <xf numFmtId="49" fontId="8" fillId="0" borderId="55" xfId="0" applyNumberFormat="1" applyFont="1" applyBorder="1" applyAlignment="1">
      <alignment horizontal="center" vertical="center"/>
    </xf>
    <xf numFmtId="164" fontId="8" fillId="0" borderId="55" xfId="0" applyNumberFormat="1" applyFont="1" applyBorder="1" applyAlignment="1">
      <alignment horizontal="center" vertical="center"/>
    </xf>
    <xf numFmtId="164" fontId="8" fillId="0" borderId="12" xfId="0" applyNumberFormat="1" applyFont="1" applyBorder="1" applyAlignment="1">
      <alignment horizontal="center" vertical="center"/>
    </xf>
    <xf numFmtId="165" fontId="3" fillId="0" borderId="55" xfId="0" applyNumberFormat="1" applyFont="1" applyBorder="1" applyAlignment="1">
      <alignment horizontal="right" vertical="center"/>
    </xf>
    <xf numFmtId="165" fontId="22" fillId="0" borderId="55" xfId="0" applyNumberFormat="1" applyFont="1" applyBorder="1" applyAlignment="1">
      <alignment horizontal="right" vertical="center"/>
    </xf>
    <xf numFmtId="165" fontId="22" fillId="0" borderId="0" xfId="0" applyNumberFormat="1" applyFont="1" applyAlignment="1">
      <alignment horizontal="right" vertical="center"/>
    </xf>
    <xf numFmtId="165" fontId="9" fillId="0" borderId="55" xfId="0" applyNumberFormat="1" applyFont="1" applyBorder="1" applyAlignment="1">
      <alignment vertical="center"/>
    </xf>
    <xf numFmtId="165" fontId="22" fillId="0" borderId="12" xfId="0" applyNumberFormat="1" applyFont="1" applyBorder="1" applyAlignment="1">
      <alignment horizontal="right" vertical="center"/>
    </xf>
    <xf numFmtId="165" fontId="22" fillId="0" borderId="44" xfId="0" applyNumberFormat="1" applyFont="1" applyBorder="1" applyAlignment="1">
      <alignment horizontal="right" vertical="center"/>
    </xf>
    <xf numFmtId="165" fontId="9" fillId="0" borderId="80" xfId="0" applyNumberFormat="1" applyFont="1" applyBorder="1" applyAlignment="1">
      <alignment horizontal="right" vertical="center"/>
    </xf>
    <xf numFmtId="165" fontId="9" fillId="0" borderId="61" xfId="0" applyNumberFormat="1" applyFont="1" applyBorder="1" applyAlignment="1">
      <alignment horizontal="right" vertical="center"/>
    </xf>
    <xf numFmtId="165" fontId="9" fillId="0" borderId="77" xfId="0" applyNumberFormat="1" applyFont="1" applyBorder="1" applyAlignment="1">
      <alignment horizontal="right" vertical="center"/>
    </xf>
    <xf numFmtId="165" fontId="9" fillId="0" borderId="108" xfId="0" applyNumberFormat="1" applyFont="1" applyBorder="1" applyAlignment="1">
      <alignment vertical="center"/>
    </xf>
    <xf numFmtId="165" fontId="9" fillId="0" borderId="11" xfId="0" applyNumberFormat="1" applyFont="1" applyBorder="1" applyAlignment="1">
      <alignment vertical="center"/>
    </xf>
    <xf numFmtId="165" fontId="9" fillId="0" borderId="14" xfId="0" applyNumberFormat="1" applyFont="1" applyBorder="1" applyAlignment="1">
      <alignment horizontal="right" vertical="center"/>
    </xf>
    <xf numFmtId="165" fontId="9" fillId="0" borderId="21" xfId="0" applyNumberFormat="1" applyFont="1" applyBorder="1" applyAlignment="1">
      <alignment horizontal="right" vertical="center"/>
    </xf>
    <xf numFmtId="165" fontId="22" fillId="0" borderId="70" xfId="0" applyNumberFormat="1" applyFont="1" applyBorder="1" applyAlignment="1">
      <alignment horizontal="right" vertical="center"/>
    </xf>
    <xf numFmtId="0" fontId="0" fillId="0" borderId="101" xfId="0" applyBorder="1"/>
    <xf numFmtId="166" fontId="0" fillId="0" borderId="43" xfId="1" applyNumberFormat="1" applyFont="1" applyFill="1" applyBorder="1" applyAlignment="1">
      <alignment horizontal="right"/>
    </xf>
    <xf numFmtId="165" fontId="9" fillId="18" borderId="40" xfId="0" applyNumberFormat="1" applyFont="1" applyFill="1" applyBorder="1" applyAlignment="1">
      <alignment horizontal="right" vertical="center"/>
    </xf>
    <xf numFmtId="165" fontId="22" fillId="0" borderId="19" xfId="0" applyNumberFormat="1" applyFont="1" applyFill="1" applyBorder="1" applyAlignment="1">
      <alignment vertical="center"/>
    </xf>
    <xf numFmtId="165" fontId="22" fillId="0" borderId="81" xfId="0" applyNumberFormat="1" applyFont="1" applyFill="1" applyBorder="1" applyAlignment="1">
      <alignment vertical="center"/>
    </xf>
    <xf numFmtId="165" fontId="22" fillId="0" borderId="78" xfId="0" applyNumberFormat="1" applyFont="1" applyFill="1" applyBorder="1" applyAlignment="1">
      <alignment vertical="center"/>
    </xf>
    <xf numFmtId="165" fontId="22" fillId="0" borderId="4" xfId="0" applyNumberFormat="1" applyFont="1" applyFill="1" applyBorder="1" applyAlignment="1">
      <alignment vertical="center"/>
    </xf>
    <xf numFmtId="165" fontId="8" fillId="7" borderId="8" xfId="0" applyNumberFormat="1" applyFont="1" applyFill="1" applyBorder="1" applyAlignment="1">
      <alignment horizontal="left" vertical="center" wrapText="1"/>
    </xf>
    <xf numFmtId="166" fontId="9" fillId="0" borderId="23" xfId="0" applyNumberFormat="1" applyFont="1" applyFill="1" applyBorder="1" applyAlignment="1">
      <alignment horizontal="right" vertical="center"/>
    </xf>
    <xf numFmtId="165" fontId="9" fillId="0" borderId="88" xfId="0" applyNumberFormat="1" applyFont="1" applyFill="1" applyBorder="1" applyAlignment="1">
      <alignment horizontal="right" vertical="center"/>
    </xf>
    <xf numFmtId="165" fontId="9" fillId="0" borderId="60" xfId="0" applyNumberFormat="1" applyFont="1" applyFill="1" applyBorder="1" applyAlignment="1">
      <alignment horizontal="right" vertical="center"/>
    </xf>
    <xf numFmtId="167" fontId="8" fillId="0" borderId="84" xfId="0" applyNumberFormat="1" applyFont="1" applyFill="1" applyBorder="1" applyAlignment="1">
      <alignment horizontal="left" vertical="center" wrapText="1"/>
    </xf>
    <xf numFmtId="167" fontId="8" fillId="0" borderId="12" xfId="0" applyNumberFormat="1" applyFont="1" applyFill="1" applyBorder="1" applyAlignment="1">
      <alignment horizontal="left" vertical="center" wrapText="1"/>
    </xf>
    <xf numFmtId="37" fontId="8" fillId="0" borderId="108" xfId="0" applyNumberFormat="1" applyFont="1" applyFill="1" applyBorder="1" applyAlignment="1">
      <alignment vertical="center"/>
    </xf>
    <xf numFmtId="166" fontId="9" fillId="0" borderId="29" xfId="0" applyNumberFormat="1" applyFont="1" applyFill="1" applyBorder="1" applyAlignment="1">
      <alignment horizontal="right" vertical="center"/>
    </xf>
    <xf numFmtId="165" fontId="9" fillId="0" borderId="82" xfId="0" applyNumberFormat="1" applyFont="1" applyFill="1" applyBorder="1" applyAlignment="1">
      <alignment horizontal="right" vertical="center"/>
    </xf>
    <xf numFmtId="166" fontId="9" fillId="0" borderId="36" xfId="0" applyNumberFormat="1" applyFont="1" applyFill="1" applyBorder="1" applyAlignment="1">
      <alignment horizontal="right" vertical="center"/>
    </xf>
    <xf numFmtId="166" fontId="9" fillId="0" borderId="56" xfId="0" applyNumberFormat="1" applyFont="1" applyFill="1" applyBorder="1" applyAlignment="1">
      <alignment horizontal="right" vertical="center"/>
    </xf>
    <xf numFmtId="166" fontId="9" fillId="0" borderId="32" xfId="0" applyNumberFormat="1" applyFont="1" applyFill="1" applyBorder="1" applyAlignment="1">
      <alignment horizontal="right" vertical="center"/>
    </xf>
    <xf numFmtId="165" fontId="9" fillId="0" borderId="87" xfId="0" applyNumberFormat="1" applyFont="1" applyFill="1" applyBorder="1" applyAlignment="1">
      <alignment horizontal="right" vertical="center"/>
    </xf>
    <xf numFmtId="165" fontId="9" fillId="0" borderId="77" xfId="0" applyNumberFormat="1" applyFont="1" applyFill="1" applyBorder="1" applyAlignment="1">
      <alignment horizontal="right" vertical="center"/>
    </xf>
    <xf numFmtId="0" fontId="13" fillId="0" borderId="15" xfId="0" applyFont="1" applyFill="1" applyBorder="1" applyAlignment="1">
      <alignment horizontal="left" vertical="center" wrapText="1"/>
    </xf>
    <xf numFmtId="0" fontId="13" fillId="0" borderId="17" xfId="0" applyFont="1" applyFill="1" applyBorder="1" applyAlignment="1">
      <alignment vertical="center"/>
    </xf>
    <xf numFmtId="165" fontId="0" fillId="0" borderId="88" xfId="1" applyNumberFormat="1" applyFont="1" applyFill="1" applyBorder="1" applyAlignment="1">
      <alignment horizontal="right" vertical="center"/>
    </xf>
    <xf numFmtId="165" fontId="0" fillId="0" borderId="79" xfId="1" applyNumberFormat="1" applyFont="1" applyFill="1" applyBorder="1" applyAlignment="1">
      <alignment horizontal="right" vertical="center"/>
    </xf>
    <xf numFmtId="165" fontId="9" fillId="0" borderId="67" xfId="0" applyNumberFormat="1" applyFont="1" applyFill="1" applyBorder="1" applyAlignment="1">
      <alignment horizontal="right" vertical="center"/>
    </xf>
    <xf numFmtId="165" fontId="9" fillId="0" borderId="83" xfId="0" applyNumberFormat="1" applyFont="1" applyFill="1" applyBorder="1" applyAlignment="1">
      <alignment horizontal="right" vertical="center"/>
    </xf>
    <xf numFmtId="167" fontId="8" fillId="0" borderId="33" xfId="0" applyNumberFormat="1" applyFont="1" applyFill="1" applyBorder="1" applyAlignment="1">
      <alignment horizontal="left" vertical="center" wrapText="1"/>
    </xf>
    <xf numFmtId="0" fontId="13" fillId="0" borderId="44" xfId="0" applyFont="1" applyFill="1" applyBorder="1" applyAlignment="1">
      <alignment horizontal="left" vertical="center" wrapText="1"/>
    </xf>
    <xf numFmtId="0" fontId="13" fillId="0" borderId="38" xfId="0" applyFont="1" applyFill="1" applyBorder="1" applyAlignment="1">
      <alignment vertical="center"/>
    </xf>
    <xf numFmtId="167" fontId="8" fillId="0" borderId="79" xfId="0" applyNumberFormat="1" applyFont="1" applyFill="1" applyBorder="1" applyAlignment="1">
      <alignment horizontal="left" vertical="center" wrapText="1"/>
    </xf>
    <xf numFmtId="167" fontId="8" fillId="0" borderId="83" xfId="0" applyNumberFormat="1" applyFont="1" applyFill="1" applyBorder="1" applyAlignment="1">
      <alignment horizontal="left" vertical="center" wrapText="1"/>
    </xf>
    <xf numFmtId="43" fontId="9" fillId="0" borderId="24" xfId="1" applyFont="1" applyFill="1" applyBorder="1" applyAlignment="1">
      <alignment horizontal="right" vertical="center"/>
    </xf>
    <xf numFmtId="167" fontId="8" fillId="0" borderId="130" xfId="0" applyNumberFormat="1" applyFont="1" applyFill="1" applyBorder="1" applyAlignment="1">
      <alignment horizontal="left" vertical="center" wrapText="1"/>
    </xf>
    <xf numFmtId="43" fontId="9" fillId="0" borderId="66" xfId="1" applyFont="1" applyFill="1" applyBorder="1" applyAlignment="1">
      <alignment horizontal="right" vertical="center"/>
    </xf>
    <xf numFmtId="165" fontId="9" fillId="0" borderId="68" xfId="0" applyNumberFormat="1" applyFont="1" applyFill="1" applyBorder="1" applyAlignment="1">
      <alignment horizontal="right" vertical="center"/>
    </xf>
    <xf numFmtId="165" fontId="9" fillId="0" borderId="0" xfId="0" applyNumberFormat="1" applyFont="1" applyFill="1" applyBorder="1" applyAlignment="1">
      <alignment vertical="center"/>
    </xf>
    <xf numFmtId="165" fontId="9" fillId="0" borderId="18" xfId="0" applyNumberFormat="1" applyFont="1" applyFill="1" applyBorder="1" applyAlignment="1">
      <alignment horizontal="right"/>
    </xf>
    <xf numFmtId="165" fontId="9" fillId="0" borderId="63" xfId="0" applyNumberFormat="1" applyFont="1" applyFill="1" applyBorder="1" applyAlignment="1">
      <alignment horizontal="right"/>
    </xf>
    <xf numFmtId="165" fontId="9" fillId="0" borderId="22" xfId="0" applyNumberFormat="1" applyFont="1" applyFill="1" applyBorder="1" applyAlignment="1">
      <alignment horizontal="right"/>
    </xf>
    <xf numFmtId="165" fontId="9" fillId="0" borderId="57" xfId="0" applyNumberFormat="1" applyFont="1" applyFill="1" applyBorder="1" applyAlignment="1">
      <alignment horizontal="right"/>
    </xf>
    <xf numFmtId="165" fontId="9" fillId="0" borderId="75" xfId="0" applyNumberFormat="1" applyFont="1" applyFill="1" applyBorder="1" applyAlignment="1">
      <alignment horizontal="right"/>
    </xf>
    <xf numFmtId="165" fontId="9" fillId="0" borderId="26" xfId="0" applyNumberFormat="1" applyFont="1" applyFill="1" applyBorder="1" applyAlignment="1">
      <alignment horizontal="right"/>
    </xf>
    <xf numFmtId="43" fontId="9" fillId="0" borderId="41" xfId="1" applyFont="1" applyFill="1" applyBorder="1" applyAlignment="1">
      <alignment horizontal="right" vertical="center"/>
    </xf>
    <xf numFmtId="164" fontId="8" fillId="11" borderId="14" xfId="0" applyNumberFormat="1" applyFont="1" applyFill="1" applyBorder="1" applyAlignment="1">
      <alignment horizontal="center" vertical="center"/>
    </xf>
    <xf numFmtId="165" fontId="8" fillId="19" borderId="7" xfId="0" applyNumberFormat="1" applyFont="1" applyFill="1" applyBorder="1" applyAlignment="1">
      <alignment horizontal="right" vertical="center"/>
    </xf>
    <xf numFmtId="165" fontId="9" fillId="0" borderId="21" xfId="0" applyNumberFormat="1" applyFont="1" applyFill="1" applyBorder="1" applyAlignment="1">
      <alignment horizontal="right" vertical="center"/>
    </xf>
    <xf numFmtId="165" fontId="9" fillId="0" borderId="44" xfId="0" applyNumberFormat="1" applyFont="1" applyFill="1" applyBorder="1" applyAlignment="1">
      <alignment horizontal="right" vertical="center"/>
    </xf>
    <xf numFmtId="166" fontId="0" fillId="0" borderId="11" xfId="1" applyNumberFormat="1" applyFont="1" applyFill="1" applyBorder="1" applyAlignment="1">
      <alignment horizontal="right"/>
    </xf>
    <xf numFmtId="165" fontId="9" fillId="0" borderId="0" xfId="0" applyNumberFormat="1" applyFont="1" applyBorder="1" applyAlignment="1">
      <alignment horizontal="right" vertical="center"/>
    </xf>
    <xf numFmtId="165" fontId="3" fillId="0" borderId="70" xfId="0" applyNumberFormat="1" applyFont="1" applyBorder="1" applyAlignment="1">
      <alignment horizontal="right" vertical="center"/>
    </xf>
    <xf numFmtId="0" fontId="0" fillId="0" borderId="37" xfId="0" applyBorder="1"/>
    <xf numFmtId="165" fontId="22" fillId="0" borderId="4" xfId="0" applyNumberFormat="1" applyFont="1" applyFill="1" applyBorder="1" applyAlignment="1">
      <alignment horizontal="right" vertical="center"/>
    </xf>
    <xf numFmtId="165" fontId="22" fillId="0" borderId="11" xfId="0" applyNumberFormat="1" applyFont="1" applyFill="1" applyBorder="1" applyAlignment="1">
      <alignment horizontal="right" vertical="center"/>
    </xf>
    <xf numFmtId="165" fontId="22" fillId="0" borderId="47" xfId="0" applyNumberFormat="1" applyFont="1" applyFill="1" applyBorder="1" applyAlignment="1">
      <alignment horizontal="right" vertical="center"/>
    </xf>
    <xf numFmtId="165" fontId="22" fillId="0" borderId="64" xfId="0" applyNumberFormat="1" applyFont="1" applyFill="1" applyBorder="1" applyAlignment="1">
      <alignment horizontal="right" vertical="center"/>
    </xf>
    <xf numFmtId="165" fontId="22" fillId="0" borderId="60" xfId="0" applyNumberFormat="1" applyFont="1" applyFill="1" applyBorder="1" applyAlignment="1">
      <alignment horizontal="right" vertical="center"/>
    </xf>
    <xf numFmtId="165" fontId="22" fillId="0" borderId="67" xfId="0" applyNumberFormat="1" applyFont="1" applyFill="1" applyBorder="1" applyAlignment="1">
      <alignment horizontal="right" vertical="center"/>
    </xf>
    <xf numFmtId="165" fontId="17" fillId="0" borderId="49" xfId="0" applyNumberFormat="1" applyFont="1" applyFill="1" applyBorder="1" applyAlignment="1">
      <alignment horizontal="right" vertical="center"/>
    </xf>
    <xf numFmtId="165" fontId="17" fillId="0" borderId="47" xfId="0" applyNumberFormat="1" applyFont="1" applyFill="1" applyBorder="1" applyAlignment="1">
      <alignment horizontal="right" vertical="center"/>
    </xf>
    <xf numFmtId="165" fontId="22" fillId="0" borderId="81" xfId="0" applyNumberFormat="1" applyFont="1" applyFill="1" applyBorder="1" applyAlignment="1">
      <alignment horizontal="right" vertical="center"/>
    </xf>
    <xf numFmtId="165" fontId="22" fillId="0" borderId="78" xfId="0" applyNumberFormat="1" applyFont="1" applyFill="1" applyBorder="1" applyAlignment="1">
      <alignment horizontal="right" vertical="center"/>
    </xf>
    <xf numFmtId="165" fontId="17" fillId="0" borderId="19" xfId="0" applyNumberFormat="1" applyFont="1" applyFill="1" applyBorder="1" applyAlignment="1">
      <alignment horizontal="right" vertical="center"/>
    </xf>
    <xf numFmtId="165" fontId="17" fillId="0" borderId="27" xfId="0" applyNumberFormat="1" applyFont="1" applyFill="1" applyBorder="1" applyAlignment="1">
      <alignment horizontal="right" vertical="center"/>
    </xf>
    <xf numFmtId="165" fontId="17" fillId="0" borderId="81" xfId="0" applyNumberFormat="1" applyFont="1" applyFill="1" applyBorder="1" applyAlignment="1">
      <alignment horizontal="right" vertical="center"/>
    </xf>
    <xf numFmtId="165" fontId="17" fillId="0" borderId="62" xfId="0" applyNumberFormat="1" applyFont="1" applyFill="1" applyBorder="1" applyAlignment="1">
      <alignment horizontal="right" vertical="center"/>
    </xf>
    <xf numFmtId="165" fontId="17" fillId="0" borderId="28" xfId="0" applyNumberFormat="1" applyFont="1" applyFill="1" applyBorder="1" applyAlignment="1">
      <alignment horizontal="right" vertical="center"/>
    </xf>
    <xf numFmtId="165" fontId="17" fillId="0" borderId="80" xfId="0" applyNumberFormat="1" applyFont="1" applyFill="1" applyBorder="1" applyAlignment="1">
      <alignment horizontal="right" vertical="center"/>
    </xf>
    <xf numFmtId="165" fontId="22" fillId="0" borderId="19" xfId="0" applyNumberFormat="1" applyFont="1" applyFill="1" applyBorder="1" applyAlignment="1">
      <alignment horizontal="right" vertical="center"/>
    </xf>
    <xf numFmtId="165" fontId="22" fillId="0" borderId="27" xfId="0" applyNumberFormat="1" applyFont="1" applyFill="1" applyBorder="1" applyAlignment="1">
      <alignment horizontal="right" vertical="center"/>
    </xf>
    <xf numFmtId="165" fontId="22" fillId="0" borderId="28" xfId="0" applyNumberFormat="1" applyFont="1" applyFill="1" applyBorder="1" applyAlignment="1">
      <alignment horizontal="right" vertical="center"/>
    </xf>
    <xf numFmtId="165" fontId="22" fillId="0" borderId="19" xfId="0" applyNumberFormat="1" applyFont="1" applyFill="1" applyBorder="1" applyAlignment="1">
      <alignment horizontal="right"/>
    </xf>
    <xf numFmtId="165" fontId="22" fillId="0" borderId="27" xfId="0" applyNumberFormat="1" applyFont="1" applyFill="1" applyBorder="1" applyAlignment="1">
      <alignment horizontal="right"/>
    </xf>
    <xf numFmtId="0" fontId="0" fillId="0" borderId="4" xfId="0" applyFill="1" applyBorder="1"/>
    <xf numFmtId="0" fontId="0" fillId="0" borderId="55" xfId="0" applyFill="1" applyBorder="1"/>
    <xf numFmtId="37" fontId="8" fillId="0" borderId="71" xfId="0" applyNumberFormat="1" applyFont="1" applyBorder="1" applyAlignment="1">
      <alignment vertical="center"/>
    </xf>
    <xf numFmtId="37" fontId="8" fillId="0" borderId="71" xfId="0" quotePrefix="1" applyNumberFormat="1" applyFont="1" applyBorder="1" applyAlignment="1">
      <alignment vertical="center"/>
    </xf>
    <xf numFmtId="37" fontId="8" fillId="0" borderId="40" xfId="0" applyNumberFormat="1" applyFont="1" applyBorder="1" applyAlignment="1">
      <alignment vertical="center"/>
    </xf>
    <xf numFmtId="37" fontId="8" fillId="0" borderId="73" xfId="0" applyNumberFormat="1" applyFont="1" applyBorder="1" applyAlignment="1">
      <alignment vertical="center"/>
    </xf>
    <xf numFmtId="37" fontId="8" fillId="0" borderId="69" xfId="0" applyNumberFormat="1" applyFont="1" applyBorder="1" applyAlignment="1">
      <alignment vertical="center"/>
    </xf>
    <xf numFmtId="0" fontId="0" fillId="0" borderId="136" xfId="0" applyFill="1" applyBorder="1"/>
    <xf numFmtId="0" fontId="0" fillId="0" borderId="139" xfId="0" applyFill="1" applyBorder="1"/>
    <xf numFmtId="0" fontId="0" fillId="0" borderId="133" xfId="0" applyFill="1" applyBorder="1"/>
    <xf numFmtId="0" fontId="0" fillId="0" borderId="101" xfId="0" applyFill="1" applyBorder="1"/>
    <xf numFmtId="165" fontId="22" fillId="0" borderId="47" xfId="0" applyNumberFormat="1" applyFont="1" applyFill="1" applyBorder="1" applyAlignment="1">
      <alignment horizontal="right" vertical="center"/>
    </xf>
    <xf numFmtId="165" fontId="22" fillId="0" borderId="27" xfId="0" applyNumberFormat="1" applyFont="1" applyFill="1" applyBorder="1" applyAlignment="1">
      <alignment horizontal="right" vertical="center"/>
    </xf>
    <xf numFmtId="165" fontId="22" fillId="0" borderId="78" xfId="0" applyNumberFormat="1" applyFont="1" applyFill="1" applyBorder="1" applyAlignment="1">
      <alignment horizontal="right" vertical="center"/>
    </xf>
    <xf numFmtId="165" fontId="22" fillId="0" borderId="27" xfId="0" applyNumberFormat="1" applyFont="1" applyFill="1" applyBorder="1" applyAlignment="1">
      <alignment horizontal="right"/>
    </xf>
    <xf numFmtId="165" fontId="17" fillId="0" borderId="47" xfId="0" applyNumberFormat="1" applyFont="1" applyFill="1" applyBorder="1" applyAlignment="1">
      <alignment horizontal="right" vertical="center"/>
    </xf>
    <xf numFmtId="165" fontId="17" fillId="0" borderId="27" xfId="0" applyNumberFormat="1" applyFont="1" applyFill="1" applyBorder="1" applyAlignment="1">
      <alignment horizontal="right" vertical="center"/>
    </xf>
    <xf numFmtId="165" fontId="22" fillId="0" borderId="64" xfId="0" applyNumberFormat="1" applyFont="1" applyFill="1" applyBorder="1" applyAlignment="1">
      <alignment horizontal="right" vertical="center"/>
    </xf>
    <xf numFmtId="165" fontId="22" fillId="0" borderId="60" xfId="0" applyNumberFormat="1" applyFont="1" applyFill="1" applyBorder="1" applyAlignment="1">
      <alignment horizontal="right" vertical="center"/>
    </xf>
    <xf numFmtId="165" fontId="22" fillId="0" borderId="67" xfId="0" applyNumberFormat="1" applyFont="1" applyFill="1" applyBorder="1" applyAlignment="1">
      <alignment horizontal="right" vertical="center"/>
    </xf>
    <xf numFmtId="165" fontId="22" fillId="0" borderId="59" xfId="0" applyNumberFormat="1" applyFont="1" applyFill="1" applyBorder="1" applyAlignment="1">
      <alignment horizontal="right" vertical="center"/>
    </xf>
    <xf numFmtId="165" fontId="22" fillId="0" borderId="13" xfId="0" applyNumberFormat="1" applyFont="1" applyFill="1" applyBorder="1" applyAlignment="1">
      <alignment horizontal="right" vertical="center"/>
    </xf>
    <xf numFmtId="37" fontId="3" fillId="0" borderId="7" xfId="0" applyNumberFormat="1" applyFont="1" applyFill="1" applyBorder="1" applyAlignment="1">
      <alignment vertical="center"/>
    </xf>
    <xf numFmtId="167" fontId="3" fillId="0" borderId="6" xfId="0" applyNumberFormat="1" applyFont="1" applyFill="1" applyBorder="1" applyAlignment="1">
      <alignment horizontal="left" vertical="center" wrapText="1"/>
    </xf>
    <xf numFmtId="166" fontId="3" fillId="0" borderId="2" xfId="0" applyNumberFormat="1" applyFont="1" applyFill="1" applyBorder="1" applyAlignment="1">
      <alignment horizontal="right"/>
    </xf>
    <xf numFmtId="165" fontId="22" fillId="0" borderId="6" xfId="0" applyNumberFormat="1" applyFont="1" applyFill="1" applyBorder="1" applyAlignment="1">
      <alignment horizontal="right" vertical="center"/>
    </xf>
    <xf numFmtId="165" fontId="22" fillId="0" borderId="46" xfId="0" applyNumberFormat="1" applyFont="1" applyFill="1" applyBorder="1" applyAlignment="1">
      <alignment horizontal="right" vertical="center"/>
    </xf>
    <xf numFmtId="165" fontId="22" fillId="0" borderId="1" xfId="0" applyNumberFormat="1" applyFont="1" applyFill="1" applyBorder="1" applyAlignment="1">
      <alignment horizontal="right" vertical="center"/>
    </xf>
    <xf numFmtId="165" fontId="22" fillId="0" borderId="14" xfId="0" applyNumberFormat="1" applyFont="1" applyFill="1" applyBorder="1" applyAlignment="1">
      <alignment horizontal="right" vertical="center"/>
    </xf>
    <xf numFmtId="167" fontId="3" fillId="0" borderId="2" xfId="0" applyNumberFormat="1" applyFont="1" applyFill="1" applyBorder="1" applyAlignment="1">
      <alignment horizontal="left" vertical="center" wrapText="1"/>
    </xf>
    <xf numFmtId="0" fontId="4" fillId="0" borderId="2" xfId="0" applyFont="1" applyFill="1" applyBorder="1" applyAlignment="1">
      <alignment horizontal="right" vertical="center"/>
    </xf>
    <xf numFmtId="165" fontId="22" fillId="0" borderId="69" xfId="0" applyNumberFormat="1" applyFont="1" applyFill="1" applyBorder="1" applyAlignment="1">
      <alignment horizontal="right" vertical="center"/>
    </xf>
    <xf numFmtId="166" fontId="22" fillId="0" borderId="6" xfId="0" applyNumberFormat="1" applyFont="1" applyFill="1" applyBorder="1" applyAlignment="1">
      <alignment horizontal="right" vertical="center"/>
    </xf>
    <xf numFmtId="0" fontId="4" fillId="0" borderId="16" xfId="0" applyFont="1" applyBorder="1" applyAlignment="1">
      <alignment horizontal="right"/>
    </xf>
    <xf numFmtId="165" fontId="3" fillId="0" borderId="57" xfId="0" applyNumberFormat="1" applyFont="1" applyFill="1" applyBorder="1" applyAlignment="1">
      <alignment horizontal="right"/>
    </xf>
    <xf numFmtId="165" fontId="3" fillId="0" borderId="81" xfId="0" applyNumberFormat="1" applyFont="1" applyFill="1" applyBorder="1" applyAlignment="1">
      <alignment horizontal="right"/>
    </xf>
    <xf numFmtId="165" fontId="3" fillId="0" borderId="74" xfId="0" applyNumberFormat="1" applyFont="1" applyFill="1" applyBorder="1" applyAlignment="1">
      <alignment horizontal="right"/>
    </xf>
    <xf numFmtId="0" fontId="4" fillId="0" borderId="62" xfId="0" applyFont="1" applyBorder="1" applyAlignment="1">
      <alignment horizontal="right"/>
    </xf>
    <xf numFmtId="0" fontId="4" fillId="0" borderId="67" xfId="0" applyFont="1" applyBorder="1" applyAlignment="1">
      <alignment horizontal="right"/>
    </xf>
    <xf numFmtId="165" fontId="3" fillId="0" borderId="76" xfId="0" applyNumberFormat="1" applyFont="1" applyFill="1" applyBorder="1" applyAlignment="1">
      <alignment horizontal="right"/>
    </xf>
    <xf numFmtId="165" fontId="3" fillId="0" borderId="49" xfId="0" applyNumberFormat="1" applyFont="1" applyFill="1" applyBorder="1" applyAlignment="1">
      <alignment horizontal="right"/>
    </xf>
    <xf numFmtId="165" fontId="3" fillId="0" borderId="19" xfId="0" applyNumberFormat="1" applyFont="1" applyFill="1" applyBorder="1" applyAlignment="1">
      <alignment horizontal="right"/>
    </xf>
    <xf numFmtId="0" fontId="4" fillId="0" borderId="24" xfId="0" applyFont="1" applyBorder="1" applyAlignment="1">
      <alignment horizontal="right"/>
    </xf>
    <xf numFmtId="165" fontId="17" fillId="0" borderId="49" xfId="0" applyNumberFormat="1" applyFont="1" applyFill="1" applyBorder="1" applyAlignment="1">
      <alignment vertical="center"/>
    </xf>
    <xf numFmtId="166" fontId="17" fillId="0" borderId="56" xfId="0" applyNumberFormat="1" applyFont="1" applyFill="1" applyBorder="1" applyAlignment="1">
      <alignment horizontal="right" vertical="center"/>
    </xf>
    <xf numFmtId="165" fontId="17" fillId="0" borderId="82" xfId="0" applyNumberFormat="1" applyFont="1" applyFill="1" applyBorder="1" applyAlignment="1">
      <alignment horizontal="right" vertical="center"/>
    </xf>
    <xf numFmtId="165" fontId="17" fillId="0" borderId="64" xfId="0" applyNumberFormat="1" applyFont="1" applyFill="1" applyBorder="1" applyAlignment="1">
      <alignment vertical="center"/>
    </xf>
    <xf numFmtId="165" fontId="17" fillId="0" borderId="83" xfId="0" applyNumberFormat="1" applyFont="1" applyFill="1" applyBorder="1" applyAlignment="1">
      <alignment horizontal="right" vertical="center"/>
    </xf>
    <xf numFmtId="165" fontId="17" fillId="0" borderId="64" xfId="0" applyNumberFormat="1" applyFont="1" applyFill="1" applyBorder="1" applyAlignment="1">
      <alignment horizontal="right" vertical="center"/>
    </xf>
    <xf numFmtId="166" fontId="17" fillId="0" borderId="19" xfId="0" applyNumberFormat="1" applyFont="1" applyFill="1" applyBorder="1" applyAlignment="1">
      <alignment horizontal="right" vertical="center"/>
    </xf>
    <xf numFmtId="166" fontId="17" fillId="0" borderId="23" xfId="0" applyNumberFormat="1" applyFont="1" applyFill="1" applyBorder="1" applyAlignment="1">
      <alignment horizontal="right" vertical="center"/>
    </xf>
    <xf numFmtId="165" fontId="17" fillId="0" borderId="62" xfId="0" applyNumberFormat="1" applyFont="1" applyFill="1" applyBorder="1" applyAlignment="1">
      <alignment vertical="center"/>
    </xf>
    <xf numFmtId="165" fontId="17" fillId="0" borderId="80" xfId="0" applyNumberFormat="1" applyFont="1" applyFill="1" applyBorder="1" applyAlignment="1">
      <alignment vertical="center"/>
    </xf>
    <xf numFmtId="165" fontId="17" fillId="0" borderId="76" xfId="0" applyNumberFormat="1" applyFont="1" applyFill="1" applyBorder="1" applyAlignment="1">
      <alignment horizontal="right" vertical="center"/>
    </xf>
    <xf numFmtId="165" fontId="17" fillId="0" borderId="28" xfId="0" applyNumberFormat="1" applyFont="1" applyFill="1" applyBorder="1" applyAlignment="1">
      <alignment vertical="center"/>
    </xf>
    <xf numFmtId="166" fontId="17" fillId="0" borderId="11" xfId="1" applyNumberFormat="1" applyFont="1" applyFill="1" applyBorder="1" applyAlignment="1">
      <alignment horizontal="right"/>
    </xf>
    <xf numFmtId="165" fontId="22" fillId="0" borderId="68" xfId="0" applyNumberFormat="1" applyFont="1" applyFill="1" applyBorder="1" applyAlignment="1">
      <alignment horizontal="right" vertical="center"/>
    </xf>
    <xf numFmtId="165" fontId="22" fillId="0" borderId="19" xfId="0" applyNumberFormat="1" applyFont="1" applyBorder="1" applyAlignment="1">
      <alignment horizontal="right"/>
    </xf>
    <xf numFmtId="165" fontId="22" fillId="0" borderId="56" xfId="0" applyNumberFormat="1" applyFont="1" applyBorder="1" applyAlignment="1">
      <alignment horizontal="right"/>
    </xf>
    <xf numFmtId="165" fontId="3" fillId="0" borderId="70" xfId="0" applyNumberFormat="1" applyFont="1" applyFill="1" applyBorder="1" applyAlignment="1">
      <alignment horizontal="right"/>
    </xf>
    <xf numFmtId="0" fontId="4" fillId="0" borderId="12" xfId="0" applyFont="1" applyBorder="1" applyAlignment="1">
      <alignment horizontal="right"/>
    </xf>
    <xf numFmtId="166" fontId="4" fillId="0" borderId="55" xfId="1" applyNumberFormat="1" applyFont="1" applyBorder="1" applyAlignment="1">
      <alignment horizontal="right"/>
    </xf>
    <xf numFmtId="0" fontId="4" fillId="0" borderId="15" xfId="0" applyFont="1" applyBorder="1" applyAlignment="1">
      <alignment horizontal="right"/>
    </xf>
    <xf numFmtId="165" fontId="3" fillId="0" borderId="39" xfId="0" applyNumberFormat="1" applyFont="1" applyFill="1" applyBorder="1" applyAlignment="1">
      <alignment horizontal="right"/>
    </xf>
    <xf numFmtId="165" fontId="3" fillId="0" borderId="77" xfId="0" applyNumberFormat="1" applyFont="1" applyFill="1" applyBorder="1" applyAlignment="1">
      <alignment horizontal="right"/>
    </xf>
    <xf numFmtId="0" fontId="4" fillId="0" borderId="61" xfId="0" applyFont="1" applyBorder="1" applyAlignment="1">
      <alignment horizontal="right"/>
    </xf>
    <xf numFmtId="165" fontId="22" fillId="0" borderId="44" xfId="0" applyNumberFormat="1" applyFont="1" applyFill="1" applyBorder="1" applyAlignment="1">
      <alignment horizontal="right"/>
    </xf>
    <xf numFmtId="165" fontId="17" fillId="0" borderId="13" xfId="0" applyNumberFormat="1" applyFont="1" applyFill="1" applyBorder="1" applyAlignment="1">
      <alignment horizontal="right" vertical="center"/>
    </xf>
    <xf numFmtId="43" fontId="22" fillId="0" borderId="0" xfId="1" applyFont="1" applyFill="1" applyBorder="1" applyAlignment="1">
      <alignment horizontal="right" vertical="center"/>
    </xf>
    <xf numFmtId="43" fontId="22" fillId="0" borderId="60" xfId="1" applyFont="1" applyFill="1" applyBorder="1" applyAlignment="1">
      <alignment horizontal="right" vertical="center"/>
    </xf>
    <xf numFmtId="43" fontId="22" fillId="0" borderId="67" xfId="1" applyFont="1" applyFill="1" applyBorder="1" applyAlignment="1">
      <alignment horizontal="right" vertical="center"/>
    </xf>
    <xf numFmtId="43" fontId="22" fillId="0" borderId="56" xfId="1" applyFont="1" applyFill="1" applyBorder="1" applyAlignment="1">
      <alignment horizontal="right"/>
    </xf>
    <xf numFmtId="43" fontId="22" fillId="0" borderId="47" xfId="1" applyFont="1" applyFill="1" applyBorder="1" applyAlignment="1">
      <alignment horizontal="right" vertical="center"/>
    </xf>
    <xf numFmtId="165" fontId="22" fillId="0" borderId="10" xfId="0" applyNumberFormat="1" applyFont="1" applyFill="1" applyBorder="1" applyAlignment="1">
      <alignment horizontal="right" vertical="center"/>
    </xf>
    <xf numFmtId="43" fontId="22" fillId="0" borderId="25" xfId="1" applyFont="1" applyFill="1" applyBorder="1" applyAlignment="1">
      <alignment horizontal="right" vertical="center"/>
    </xf>
    <xf numFmtId="43" fontId="22" fillId="0" borderId="11" xfId="1" applyFont="1" applyFill="1" applyBorder="1" applyAlignment="1">
      <alignment horizontal="right" vertical="center"/>
    </xf>
    <xf numFmtId="167" fontId="3" fillId="0" borderId="96" xfId="0" applyNumberFormat="1" applyFont="1" applyFill="1" applyBorder="1" applyAlignment="1">
      <alignment horizontal="left" vertical="center" wrapText="1"/>
    </xf>
    <xf numFmtId="166" fontId="22" fillId="0" borderId="3" xfId="0" applyNumberFormat="1" applyFont="1" applyFill="1" applyBorder="1" applyAlignment="1">
      <alignment horizontal="right" vertical="center"/>
    </xf>
    <xf numFmtId="165" fontId="22" fillId="0" borderId="3" xfId="0" applyNumberFormat="1" applyFont="1" applyFill="1" applyBorder="1" applyAlignment="1">
      <alignment horizontal="right"/>
    </xf>
    <xf numFmtId="165" fontId="22" fillId="0" borderId="3" xfId="0" applyNumberFormat="1" applyFont="1" applyFill="1" applyBorder="1" applyAlignment="1">
      <alignment horizontal="right" vertical="center"/>
    </xf>
    <xf numFmtId="37" fontId="3" fillId="0" borderId="74" xfId="0" applyNumberFormat="1" applyFont="1" applyFill="1" applyBorder="1" applyAlignment="1">
      <alignment vertical="center"/>
    </xf>
    <xf numFmtId="166" fontId="17" fillId="0" borderId="69" xfId="1" applyNumberFormat="1" applyFont="1" applyFill="1" applyBorder="1" applyAlignment="1">
      <alignment horizontal="right"/>
    </xf>
    <xf numFmtId="165" fontId="3" fillId="0" borderId="73" xfId="0" applyNumberFormat="1" applyFont="1" applyFill="1" applyBorder="1" applyAlignment="1">
      <alignment horizontal="right" vertical="center"/>
    </xf>
    <xf numFmtId="165" fontId="3" fillId="0" borderId="69" xfId="0" applyNumberFormat="1" applyFont="1" applyFill="1" applyBorder="1" applyAlignment="1">
      <alignment horizontal="right" vertical="center"/>
    </xf>
    <xf numFmtId="165" fontId="22" fillId="0" borderId="102" xfId="0" applyNumberFormat="1" applyFont="1" applyFill="1" applyBorder="1" applyAlignment="1">
      <alignment horizontal="right" vertical="center"/>
    </xf>
    <xf numFmtId="165" fontId="17" fillId="0" borderId="50" xfId="0" applyNumberFormat="1" applyFont="1" applyFill="1" applyBorder="1" applyAlignment="1">
      <alignment horizontal="right" vertical="center"/>
    </xf>
    <xf numFmtId="165" fontId="17" fillId="0" borderId="69" xfId="0" applyNumberFormat="1" applyFont="1" applyFill="1" applyBorder="1" applyAlignment="1">
      <alignment horizontal="right" vertical="center"/>
    </xf>
    <xf numFmtId="165" fontId="3" fillId="0" borderId="13" xfId="0" applyNumberFormat="1" applyFont="1" applyFill="1" applyBorder="1" applyAlignment="1">
      <alignment horizontal="right" vertical="center"/>
    </xf>
    <xf numFmtId="165" fontId="17" fillId="0" borderId="74" xfId="0" applyNumberFormat="1" applyFont="1" applyFill="1" applyBorder="1" applyAlignment="1">
      <alignment horizontal="right" vertical="center"/>
    </xf>
    <xf numFmtId="165" fontId="17" fillId="0" borderId="43" xfId="0" applyNumberFormat="1" applyFont="1" applyFill="1" applyBorder="1" applyAlignment="1">
      <alignment horizontal="right" vertical="center"/>
    </xf>
    <xf numFmtId="43" fontId="17" fillId="0" borderId="19" xfId="1" applyFont="1" applyFill="1" applyBorder="1" applyAlignment="1">
      <alignment horizontal="right" vertical="center"/>
    </xf>
    <xf numFmtId="167" fontId="3" fillId="0" borderId="50" xfId="0" applyNumberFormat="1" applyFont="1" applyFill="1" applyBorder="1" applyAlignment="1">
      <alignment horizontal="left" vertical="center" wrapText="1"/>
    </xf>
    <xf numFmtId="167" fontId="3" fillId="0" borderId="74" xfId="0" applyNumberFormat="1" applyFont="1" applyFill="1" applyBorder="1" applyAlignment="1">
      <alignment horizontal="left" vertical="center" wrapText="1"/>
    </xf>
    <xf numFmtId="167" fontId="3" fillId="0" borderId="11" xfId="0" applyNumberFormat="1" applyFont="1" applyFill="1" applyBorder="1" applyAlignment="1">
      <alignment horizontal="left" vertical="center" wrapText="1"/>
    </xf>
    <xf numFmtId="165" fontId="22" fillId="0" borderId="94" xfId="0" applyNumberFormat="1" applyFont="1" applyFill="1" applyBorder="1" applyAlignment="1">
      <alignment horizontal="right" vertical="center"/>
    </xf>
    <xf numFmtId="165" fontId="22" fillId="0" borderId="103" xfId="0" applyNumberFormat="1" applyFont="1" applyFill="1" applyBorder="1" applyAlignment="1">
      <alignment horizontal="right" vertical="center"/>
    </xf>
    <xf numFmtId="0" fontId="4" fillId="0" borderId="33" xfId="0" applyFont="1" applyFill="1" applyBorder="1"/>
    <xf numFmtId="165" fontId="3" fillId="0" borderId="88" xfId="0" applyNumberFormat="1" applyFont="1" applyFill="1" applyBorder="1" applyAlignment="1">
      <alignment horizontal="right"/>
    </xf>
    <xf numFmtId="166" fontId="22" fillId="0" borderId="21" xfId="0" applyNumberFormat="1" applyFont="1" applyFill="1" applyBorder="1" applyAlignment="1">
      <alignment horizontal="right"/>
    </xf>
    <xf numFmtId="165" fontId="3" fillId="0" borderId="73" xfId="0" applyNumberFormat="1" applyFont="1" applyFill="1" applyBorder="1" applyAlignment="1">
      <alignment horizontal="right"/>
    </xf>
    <xf numFmtId="0" fontId="4" fillId="0" borderId="60" xfId="0" applyFont="1" applyBorder="1" applyAlignment="1">
      <alignment horizontal="right"/>
    </xf>
    <xf numFmtId="165" fontId="22" fillId="0" borderId="23" xfId="0" applyNumberFormat="1" applyFont="1" applyBorder="1" applyAlignment="1">
      <alignment horizontal="right"/>
    </xf>
    <xf numFmtId="165" fontId="3" fillId="0" borderId="20" xfId="0" applyNumberFormat="1" applyFont="1" applyFill="1" applyBorder="1" applyAlignment="1">
      <alignment horizontal="right"/>
    </xf>
    <xf numFmtId="165" fontId="22" fillId="0" borderId="21" xfId="0" applyNumberFormat="1" applyFont="1" applyFill="1" applyBorder="1" applyAlignment="1">
      <alignment horizontal="right"/>
    </xf>
    <xf numFmtId="165" fontId="3" fillId="0" borderId="95" xfId="0" applyNumberFormat="1" applyFont="1" applyFill="1" applyBorder="1" applyAlignment="1">
      <alignment horizontal="right"/>
    </xf>
    <xf numFmtId="167" fontId="3" fillId="0" borderId="108" xfId="0" applyNumberFormat="1" applyFont="1" applyFill="1" applyBorder="1" applyAlignment="1">
      <alignment horizontal="left" vertical="center" wrapText="1"/>
    </xf>
    <xf numFmtId="166" fontId="4" fillId="0" borderId="74" xfId="1" applyNumberFormat="1" applyFont="1" applyBorder="1" applyAlignment="1">
      <alignment horizontal="right"/>
    </xf>
    <xf numFmtId="165" fontId="3" fillId="19" borderId="81" xfId="0" applyNumberFormat="1" applyFont="1" applyFill="1" applyBorder="1" applyAlignment="1">
      <alignment horizontal="right" vertical="center"/>
    </xf>
    <xf numFmtId="165" fontId="3" fillId="0" borderId="72" xfId="0" applyNumberFormat="1" applyFont="1" applyFill="1" applyBorder="1" applyAlignment="1">
      <alignment horizontal="right"/>
    </xf>
    <xf numFmtId="165" fontId="3" fillId="0" borderId="22" xfId="0" applyNumberFormat="1" applyFont="1" applyFill="1" applyBorder="1" applyAlignment="1">
      <alignment horizontal="right"/>
    </xf>
    <xf numFmtId="165" fontId="3" fillId="0" borderId="75" xfId="0" applyNumberFormat="1" applyFont="1" applyFill="1" applyBorder="1" applyAlignment="1">
      <alignment horizontal="right"/>
    </xf>
    <xf numFmtId="165" fontId="3" fillId="0" borderId="63" xfId="0" applyNumberFormat="1" applyFont="1" applyFill="1" applyBorder="1" applyAlignment="1">
      <alignment horizontal="right"/>
    </xf>
    <xf numFmtId="166" fontId="22" fillId="0" borderId="29" xfId="0" applyNumberFormat="1" applyFont="1" applyFill="1" applyBorder="1" applyAlignment="1">
      <alignment horizontal="right"/>
    </xf>
    <xf numFmtId="165" fontId="3" fillId="0" borderId="60" xfId="0" applyNumberFormat="1" applyFont="1" applyFill="1" applyBorder="1" applyAlignment="1">
      <alignment horizontal="right"/>
    </xf>
    <xf numFmtId="165" fontId="3" fillId="0" borderId="67" xfId="0" applyNumberFormat="1" applyFont="1" applyFill="1" applyBorder="1" applyAlignment="1">
      <alignment horizontal="right"/>
    </xf>
    <xf numFmtId="165" fontId="3" fillId="0" borderId="83" xfId="0" applyNumberFormat="1" applyFont="1" applyFill="1" applyBorder="1" applyAlignment="1">
      <alignment horizontal="right"/>
    </xf>
    <xf numFmtId="165" fontId="3" fillId="0" borderId="79" xfId="0" applyNumberFormat="1" applyFont="1" applyFill="1" applyBorder="1" applyAlignment="1">
      <alignment horizontal="right"/>
    </xf>
    <xf numFmtId="0" fontId="4" fillId="0" borderId="59" xfId="0" applyFont="1" applyBorder="1" applyAlignment="1">
      <alignment horizontal="right"/>
    </xf>
    <xf numFmtId="165" fontId="3" fillId="0" borderId="123" xfId="0" applyNumberFormat="1" applyFont="1" applyFill="1" applyBorder="1" applyAlignment="1">
      <alignment horizontal="right"/>
    </xf>
    <xf numFmtId="166" fontId="4" fillId="0" borderId="72" xfId="1" applyNumberFormat="1" applyFont="1" applyBorder="1" applyAlignment="1">
      <alignment horizontal="right"/>
    </xf>
    <xf numFmtId="166" fontId="4" fillId="0" borderId="17" xfId="1" applyNumberFormat="1" applyFont="1" applyBorder="1" applyAlignment="1">
      <alignment horizontal="right"/>
    </xf>
    <xf numFmtId="166" fontId="4" fillId="0" borderId="108" xfId="1" applyNumberFormat="1" applyFont="1" applyBorder="1" applyAlignment="1">
      <alignment horizontal="right"/>
    </xf>
    <xf numFmtId="0" fontId="4" fillId="0" borderId="72" xfId="0" applyFont="1" applyBorder="1"/>
    <xf numFmtId="0" fontId="4" fillId="0" borderId="74" xfId="0" applyFont="1" applyBorder="1"/>
    <xf numFmtId="0" fontId="4" fillId="0" borderId="72" xfId="0" applyFont="1" applyFill="1" applyBorder="1" applyAlignment="1">
      <alignment horizontal="left" vertical="top" wrapText="1"/>
    </xf>
    <xf numFmtId="0" fontId="4" fillId="0" borderId="74" xfId="0" applyFont="1" applyFill="1" applyBorder="1" applyAlignment="1">
      <alignment horizontal="left" vertical="top" wrapText="1"/>
    </xf>
    <xf numFmtId="0" fontId="4" fillId="19" borderId="1" xfId="0" applyFont="1" applyFill="1" applyBorder="1" applyAlignment="1">
      <alignment horizontal="center" vertical="top" wrapText="1"/>
    </xf>
    <xf numFmtId="0" fontId="4" fillId="19" borderId="8" xfId="0" applyFont="1" applyFill="1" applyBorder="1" applyAlignment="1">
      <alignment vertical="center"/>
    </xf>
    <xf numFmtId="165" fontId="3" fillId="19" borderId="2" xfId="0" applyNumberFormat="1" applyFont="1" applyFill="1" applyBorder="1" applyAlignment="1">
      <alignment horizontal="right"/>
    </xf>
    <xf numFmtId="165" fontId="3" fillId="19" borderId="6" xfId="0" applyNumberFormat="1" applyFont="1" applyFill="1" applyBorder="1" applyAlignment="1">
      <alignment horizontal="right"/>
    </xf>
    <xf numFmtId="165" fontId="3" fillId="19" borderId="46" xfId="0" applyNumberFormat="1" applyFont="1" applyFill="1" applyBorder="1" applyAlignment="1">
      <alignment horizontal="right"/>
    </xf>
    <xf numFmtId="0" fontId="4" fillId="19" borderId="2" xfId="0" applyFont="1" applyFill="1" applyBorder="1" applyAlignment="1">
      <alignment horizontal="right"/>
    </xf>
    <xf numFmtId="166" fontId="4" fillId="19" borderId="2" xfId="1" applyNumberFormat="1" applyFont="1" applyFill="1" applyBorder="1" applyAlignment="1">
      <alignment horizontal="right"/>
    </xf>
    <xf numFmtId="166" fontId="3" fillId="19" borderId="6" xfId="0" applyNumberFormat="1" applyFont="1" applyFill="1" applyBorder="1" applyAlignment="1">
      <alignment horizontal="right"/>
    </xf>
    <xf numFmtId="0" fontId="4" fillId="19" borderId="45" xfId="0" applyFont="1" applyFill="1" applyBorder="1" applyAlignment="1">
      <alignment horizontal="right"/>
    </xf>
    <xf numFmtId="165" fontId="3" fillId="19" borderId="7" xfId="0" applyNumberFormat="1" applyFont="1" applyFill="1" applyBorder="1" applyAlignment="1">
      <alignment horizontal="right"/>
    </xf>
    <xf numFmtId="165" fontId="3" fillId="19" borderId="45" xfId="0" applyNumberFormat="1" applyFont="1" applyFill="1" applyBorder="1" applyAlignment="1">
      <alignment horizontal="right"/>
    </xf>
    <xf numFmtId="0" fontId="4" fillId="19" borderId="5" xfId="0" applyFont="1" applyFill="1" applyBorder="1" applyAlignment="1">
      <alignment horizontal="right"/>
    </xf>
    <xf numFmtId="166" fontId="4" fillId="19" borderId="8" xfId="1" applyNumberFormat="1" applyFont="1" applyFill="1" applyBorder="1" applyAlignment="1">
      <alignment horizontal="right"/>
    </xf>
    <xf numFmtId="165" fontId="4" fillId="19" borderId="45" xfId="0" applyNumberFormat="1" applyFont="1" applyFill="1" applyBorder="1" applyAlignment="1">
      <alignment horizontal="right"/>
    </xf>
    <xf numFmtId="167" fontId="3" fillId="0" borderId="1" xfId="0" applyNumberFormat="1" applyFont="1" applyFill="1" applyBorder="1" applyAlignment="1">
      <alignment horizontal="left" vertical="center" wrapText="1"/>
    </xf>
    <xf numFmtId="165" fontId="22" fillId="0" borderId="19" xfId="0" applyNumberFormat="1" applyFont="1" applyFill="1" applyBorder="1" applyAlignment="1">
      <alignment horizontal="right"/>
    </xf>
    <xf numFmtId="0" fontId="4" fillId="0" borderId="1" xfId="0" applyFont="1" applyFill="1" applyBorder="1" applyAlignment="1">
      <alignment horizontal="left" vertical="center" wrapText="1"/>
    </xf>
    <xf numFmtId="0" fontId="4" fillId="0" borderId="8" xfId="0" applyFont="1" applyFill="1" applyBorder="1" applyAlignment="1">
      <alignment vertical="center"/>
    </xf>
    <xf numFmtId="0" fontId="4" fillId="18" borderId="17" xfId="0" applyFont="1" applyFill="1" applyBorder="1" applyAlignment="1">
      <alignment vertical="center"/>
    </xf>
    <xf numFmtId="37" fontId="3" fillId="18" borderId="17" xfId="0" applyNumberFormat="1" applyFont="1" applyFill="1" applyBorder="1" applyAlignment="1">
      <alignment vertical="center"/>
    </xf>
    <xf numFmtId="43" fontId="4" fillId="0" borderId="12" xfId="1" applyFont="1" applyFill="1" applyBorder="1" applyAlignment="1">
      <alignment vertical="center"/>
    </xf>
    <xf numFmtId="167" fontId="3" fillId="0" borderId="12" xfId="0" applyNumberFormat="1" applyFont="1" applyFill="1" applyBorder="1" applyAlignment="1">
      <alignment horizontal="left" vertical="center"/>
    </xf>
    <xf numFmtId="167" fontId="3" fillId="0" borderId="96" xfId="0" applyNumberFormat="1" applyFont="1" applyFill="1" applyBorder="1" applyAlignment="1">
      <alignment horizontal="left" vertical="center"/>
    </xf>
    <xf numFmtId="166" fontId="22" fillId="0" borderId="95" xfId="0" applyNumberFormat="1" applyFont="1" applyFill="1" applyBorder="1" applyAlignment="1">
      <alignment horizontal="right" vertical="center"/>
    </xf>
    <xf numFmtId="165" fontId="22" fillId="0" borderId="123" xfId="0" applyNumberFormat="1" applyFont="1" applyFill="1" applyBorder="1" applyAlignment="1">
      <alignment horizontal="right" vertical="center"/>
    </xf>
    <xf numFmtId="37" fontId="3" fillId="0" borderId="72" xfId="0" applyNumberFormat="1" applyFont="1" applyFill="1" applyBorder="1" applyAlignment="1">
      <alignment vertical="center"/>
    </xf>
    <xf numFmtId="166" fontId="17" fillId="0" borderId="13" xfId="1" applyNumberFormat="1" applyFont="1" applyFill="1" applyBorder="1" applyAlignment="1">
      <alignment horizontal="right"/>
    </xf>
    <xf numFmtId="166" fontId="17" fillId="0" borderId="70" xfId="1" applyNumberFormat="1" applyFont="1" applyFill="1" applyBorder="1" applyAlignment="1">
      <alignment horizontal="right"/>
    </xf>
    <xf numFmtId="165" fontId="22" fillId="0" borderId="50" xfId="0" applyNumberFormat="1" applyFont="1" applyFill="1" applyBorder="1" applyAlignment="1">
      <alignment horizontal="right" vertical="center"/>
    </xf>
    <xf numFmtId="167" fontId="3" fillId="0" borderId="43" xfId="0" applyNumberFormat="1" applyFont="1" applyFill="1" applyBorder="1" applyAlignment="1">
      <alignment horizontal="left" vertical="center" wrapText="1"/>
    </xf>
    <xf numFmtId="167" fontId="3" fillId="0" borderId="73" xfId="0" applyNumberFormat="1" applyFont="1" applyFill="1" applyBorder="1" applyAlignment="1">
      <alignment horizontal="left" vertical="center" wrapText="1"/>
    </xf>
    <xf numFmtId="167" fontId="3" fillId="0" borderId="69" xfId="0" applyNumberFormat="1" applyFont="1" applyFill="1" applyBorder="1" applyAlignment="1">
      <alignment horizontal="left" vertical="center" wrapText="1"/>
    </xf>
    <xf numFmtId="165" fontId="17" fillId="0" borderId="65" xfId="0" applyNumberFormat="1" applyFont="1" applyFill="1" applyBorder="1" applyAlignment="1">
      <alignment horizontal="right" vertical="center"/>
    </xf>
    <xf numFmtId="165" fontId="17" fillId="0" borderId="94" xfId="0" applyNumberFormat="1" applyFont="1" applyFill="1" applyBorder="1" applyAlignment="1">
      <alignment horizontal="right" vertical="center"/>
    </xf>
    <xf numFmtId="165" fontId="17" fillId="0" borderId="73" xfId="0" applyNumberFormat="1" applyFont="1" applyFill="1" applyBorder="1" applyAlignment="1">
      <alignment horizontal="right" vertical="center"/>
    </xf>
    <xf numFmtId="165" fontId="22" fillId="0" borderId="89" xfId="0" applyNumberFormat="1" applyFont="1" applyFill="1" applyBorder="1" applyAlignment="1">
      <alignment horizontal="right"/>
    </xf>
    <xf numFmtId="166" fontId="4" fillId="0" borderId="12" xfId="1" applyNumberFormat="1" applyFont="1" applyFill="1" applyBorder="1" applyAlignment="1">
      <alignment vertical="center"/>
    </xf>
    <xf numFmtId="167" fontId="3" fillId="0" borderId="72" xfId="0" applyNumberFormat="1" applyFont="1" applyFill="1" applyBorder="1" applyAlignment="1">
      <alignment horizontal="left" vertical="center" wrapText="1"/>
    </xf>
    <xf numFmtId="165" fontId="22" fillId="0" borderId="26" xfId="0" applyNumberFormat="1" applyFont="1" applyFill="1" applyBorder="1" applyAlignment="1">
      <alignment horizontal="right" vertical="center"/>
    </xf>
    <xf numFmtId="43" fontId="22" fillId="0" borderId="23" xfId="1" applyFont="1" applyFill="1" applyBorder="1" applyAlignment="1">
      <alignment horizontal="right" vertical="center"/>
    </xf>
    <xf numFmtId="165" fontId="22" fillId="0" borderId="61" xfId="0" quotePrefix="1" applyNumberFormat="1" applyFont="1" applyFill="1" applyBorder="1" applyAlignment="1">
      <alignment horizontal="right" vertical="center"/>
    </xf>
    <xf numFmtId="166" fontId="22" fillId="0" borderId="40" xfId="0" quotePrefix="1" applyNumberFormat="1" applyFont="1" applyFill="1" applyBorder="1" applyAlignment="1">
      <alignment horizontal="right" vertical="center"/>
    </xf>
    <xf numFmtId="165" fontId="22" fillId="0" borderId="71" xfId="0" quotePrefix="1" applyNumberFormat="1" applyFont="1" applyFill="1" applyBorder="1" applyAlignment="1">
      <alignment horizontal="right" vertical="center"/>
    </xf>
    <xf numFmtId="165" fontId="22" fillId="0" borderId="32" xfId="0" quotePrefix="1" applyNumberFormat="1" applyFont="1" applyFill="1" applyBorder="1" applyAlignment="1">
      <alignment horizontal="right" vertical="center"/>
    </xf>
    <xf numFmtId="165" fontId="17" fillId="0" borderId="1" xfId="0" applyNumberFormat="1" applyFont="1" applyFill="1" applyBorder="1" applyAlignment="1">
      <alignment horizontal="right"/>
    </xf>
    <xf numFmtId="166" fontId="4" fillId="0" borderId="2" xfId="0" applyNumberFormat="1" applyFont="1" applyBorder="1" applyAlignment="1">
      <alignment horizontal="right" vertical="center"/>
    </xf>
    <xf numFmtId="165" fontId="17" fillId="0" borderId="2" xfId="0" applyNumberFormat="1" applyFont="1" applyFill="1" applyBorder="1" applyAlignment="1">
      <alignment horizontal="right"/>
    </xf>
    <xf numFmtId="4" fontId="4" fillId="0" borderId="2" xfId="0" applyNumberFormat="1" applyFont="1" applyBorder="1" applyAlignment="1">
      <alignment horizontal="right" vertical="center"/>
    </xf>
    <xf numFmtId="166" fontId="4" fillId="0" borderId="2" xfId="1" applyNumberFormat="1" applyFont="1" applyBorder="1" applyAlignment="1">
      <alignment horizontal="right" vertical="center"/>
    </xf>
    <xf numFmtId="166" fontId="4" fillId="0" borderId="14" xfId="1" applyNumberFormat="1" applyFont="1" applyBorder="1" applyAlignment="1">
      <alignment horizontal="right" vertical="center"/>
    </xf>
    <xf numFmtId="165" fontId="17" fillId="0" borderId="8" xfId="0" applyNumberFormat="1" applyFont="1" applyFill="1" applyBorder="1" applyAlignment="1">
      <alignment horizontal="right"/>
    </xf>
    <xf numFmtId="4" fontId="4" fillId="0" borderId="1" xfId="0" applyNumberFormat="1" applyFont="1" applyBorder="1" applyAlignment="1">
      <alignment horizontal="right" vertical="center"/>
    </xf>
    <xf numFmtId="4" fontId="4" fillId="0" borderId="8" xfId="0" applyNumberFormat="1" applyFont="1" applyBorder="1" applyAlignment="1">
      <alignment horizontal="right" vertical="center"/>
    </xf>
    <xf numFmtId="165" fontId="17" fillId="0" borderId="14" xfId="0" applyNumberFormat="1" applyFont="1" applyFill="1" applyBorder="1" applyAlignment="1">
      <alignment horizontal="right"/>
    </xf>
    <xf numFmtId="166" fontId="4" fillId="0" borderId="8" xfId="1" applyNumberFormat="1" applyFont="1" applyBorder="1" applyAlignment="1">
      <alignment horizontal="right" vertical="center"/>
    </xf>
    <xf numFmtId="166" fontId="22" fillId="0" borderId="87" xfId="0" quotePrefix="1" applyNumberFormat="1" applyFont="1" applyFill="1" applyBorder="1" applyAlignment="1">
      <alignment horizontal="right" vertical="center"/>
    </xf>
    <xf numFmtId="165" fontId="22" fillId="0" borderId="77" xfId="0" quotePrefix="1" applyNumberFormat="1" applyFont="1" applyFill="1" applyBorder="1" applyAlignment="1">
      <alignment horizontal="right" vertical="center"/>
    </xf>
    <xf numFmtId="166" fontId="17" fillId="0" borderId="29" xfId="1" applyNumberFormat="1" applyFont="1" applyFill="1" applyBorder="1" applyAlignment="1">
      <alignment horizontal="right"/>
    </xf>
    <xf numFmtId="37" fontId="22" fillId="0" borderId="23" xfId="0" applyNumberFormat="1" applyFont="1" applyFill="1" applyBorder="1" applyAlignment="1">
      <alignment horizontal="right" vertical="center"/>
    </xf>
    <xf numFmtId="37" fontId="22" fillId="0" borderId="77" xfId="0" applyNumberFormat="1" applyFont="1" applyFill="1" applyBorder="1" applyAlignment="1">
      <alignment horizontal="right" vertical="center"/>
    </xf>
    <xf numFmtId="165" fontId="17" fillId="0" borderId="17" xfId="1" applyNumberFormat="1" applyFont="1" applyFill="1" applyBorder="1" applyAlignment="1">
      <alignment horizontal="right"/>
    </xf>
    <xf numFmtId="166" fontId="17" fillId="0" borderId="60" xfId="1" applyNumberFormat="1" applyFont="1" applyFill="1" applyBorder="1" applyAlignment="1">
      <alignment horizontal="right"/>
    </xf>
    <xf numFmtId="37" fontId="22" fillId="0" borderId="39" xfId="0" applyNumberFormat="1" applyFont="1" applyFill="1" applyBorder="1" applyAlignment="1">
      <alignment horizontal="right" vertical="center"/>
    </xf>
    <xf numFmtId="165" fontId="17" fillId="0" borderId="79" xfId="1" applyNumberFormat="1" applyFont="1" applyFill="1" applyBorder="1" applyAlignment="1">
      <alignment horizontal="right"/>
    </xf>
    <xf numFmtId="165" fontId="22" fillId="0" borderId="82" xfId="0" quotePrefix="1" applyNumberFormat="1" applyFont="1" applyFill="1" applyBorder="1" applyAlignment="1">
      <alignment horizontal="right" vertical="center"/>
    </xf>
    <xf numFmtId="165" fontId="22" fillId="0" borderId="74" xfId="0" quotePrefix="1" applyNumberFormat="1" applyFont="1" applyFill="1" applyBorder="1" applyAlignment="1">
      <alignment horizontal="right" vertical="center"/>
    </xf>
    <xf numFmtId="165" fontId="22" fillId="0" borderId="66" xfId="0" quotePrefix="1" applyNumberFormat="1" applyFont="1" applyFill="1" applyBorder="1" applyAlignment="1">
      <alignment horizontal="right" vertical="center"/>
    </xf>
    <xf numFmtId="165" fontId="22" fillId="0" borderId="75" xfId="0" quotePrefix="1" applyNumberFormat="1" applyFont="1" applyFill="1" applyBorder="1" applyAlignment="1">
      <alignment horizontal="right" vertical="center"/>
    </xf>
    <xf numFmtId="165" fontId="17" fillId="0" borderId="161" xfId="0" applyNumberFormat="1" applyFont="1" applyFill="1" applyBorder="1" applyAlignment="1">
      <alignment horizontal="right"/>
    </xf>
    <xf numFmtId="4" fontId="4" fillId="0" borderId="162" xfId="0" applyNumberFormat="1" applyFont="1" applyBorder="1" applyAlignment="1">
      <alignment horizontal="right" vertical="center"/>
    </xf>
    <xf numFmtId="4" fontId="4" fillId="0" borderId="56" xfId="0" applyNumberFormat="1" applyFont="1" applyBorder="1" applyAlignment="1">
      <alignment horizontal="right" vertical="center"/>
    </xf>
    <xf numFmtId="0" fontId="3" fillId="0" borderId="74" xfId="0" applyNumberFormat="1" applyFont="1" applyFill="1" applyBorder="1" applyAlignment="1">
      <alignment horizontal="left" vertical="center" wrapText="1"/>
    </xf>
    <xf numFmtId="37" fontId="22" fillId="0" borderId="82" xfId="0" applyNumberFormat="1" applyFont="1" applyFill="1" applyBorder="1" applyAlignment="1">
      <alignment horizontal="right" vertical="center"/>
    </xf>
    <xf numFmtId="165" fontId="22" fillId="0" borderId="68" xfId="0" quotePrefix="1" applyNumberFormat="1" applyFont="1" applyFill="1" applyBorder="1" applyAlignment="1">
      <alignment horizontal="right" vertical="center"/>
    </xf>
    <xf numFmtId="0" fontId="4" fillId="0" borderId="37" xfId="0" applyFont="1" applyBorder="1"/>
    <xf numFmtId="165" fontId="22" fillId="0" borderId="13" xfId="0" quotePrefix="1" applyNumberFormat="1" applyFont="1" applyFill="1" applyBorder="1" applyAlignment="1">
      <alignment horizontal="right" vertical="center"/>
    </xf>
    <xf numFmtId="43" fontId="22" fillId="0" borderId="66" xfId="1" quotePrefix="1" applyFont="1" applyFill="1" applyBorder="1" applyAlignment="1">
      <alignment horizontal="right" vertical="center"/>
    </xf>
    <xf numFmtId="166" fontId="22" fillId="0" borderId="56" xfId="1" quotePrefix="1" applyNumberFormat="1" applyFont="1" applyFill="1" applyBorder="1" applyAlignment="1">
      <alignment horizontal="right" vertical="center"/>
    </xf>
    <xf numFmtId="37" fontId="22" fillId="0" borderId="73" xfId="0" applyNumberFormat="1" applyFont="1" applyFill="1" applyBorder="1" applyAlignment="1">
      <alignment horizontal="right" vertical="center"/>
    </xf>
    <xf numFmtId="37" fontId="22" fillId="0" borderId="74" xfId="0" applyNumberFormat="1" applyFont="1" applyFill="1" applyBorder="1" applyAlignment="1">
      <alignment horizontal="right" vertical="center"/>
    </xf>
    <xf numFmtId="43" fontId="22" fillId="0" borderId="56" xfId="1" quotePrefix="1" applyFont="1" applyFill="1" applyBorder="1" applyAlignment="1">
      <alignment horizontal="right" vertical="center"/>
    </xf>
    <xf numFmtId="165" fontId="22" fillId="0" borderId="34" xfId="0" quotePrefix="1" applyNumberFormat="1" applyFont="1" applyFill="1" applyBorder="1" applyAlignment="1">
      <alignment horizontal="right" vertical="center"/>
    </xf>
    <xf numFmtId="165" fontId="22" fillId="0" borderId="21" xfId="0" quotePrefix="1" applyNumberFormat="1" applyFont="1" applyFill="1" applyBorder="1" applyAlignment="1">
      <alignment horizontal="right" vertical="center"/>
    </xf>
    <xf numFmtId="43" fontId="22" fillId="0" borderId="88" xfId="1" applyFont="1" applyFill="1" applyBorder="1" applyAlignment="1">
      <alignment horizontal="right" vertical="center"/>
    </xf>
    <xf numFmtId="165" fontId="22" fillId="0" borderId="79" xfId="1" quotePrefix="1" applyNumberFormat="1" applyFont="1" applyFill="1" applyBorder="1" applyAlignment="1">
      <alignment horizontal="right" vertical="center"/>
    </xf>
    <xf numFmtId="165" fontId="4" fillId="0" borderId="8" xfId="0" applyNumberFormat="1" applyFont="1" applyFill="1" applyBorder="1" applyAlignment="1">
      <alignment horizontal="right"/>
    </xf>
    <xf numFmtId="165" fontId="4" fillId="0" borderId="2" xfId="0" applyNumberFormat="1" applyFont="1" applyFill="1" applyBorder="1" applyAlignment="1">
      <alignment horizontal="right"/>
    </xf>
    <xf numFmtId="44" fontId="0" fillId="0" borderId="0" xfId="0" applyNumberFormat="1"/>
    <xf numFmtId="165" fontId="9" fillId="0" borderId="49" xfId="0" applyNumberFormat="1" applyFont="1" applyBorder="1" applyAlignment="1">
      <alignment vertical="center"/>
    </xf>
    <xf numFmtId="165" fontId="9" fillId="0" borderId="47" xfId="0" applyNumberFormat="1" applyFont="1" applyBorder="1" applyAlignment="1">
      <alignment vertical="center"/>
    </xf>
    <xf numFmtId="0" fontId="9" fillId="14" borderId="84" xfId="0" applyFont="1" applyFill="1" applyBorder="1" applyAlignment="1">
      <alignment horizontal="center" vertical="center" wrapText="1"/>
    </xf>
    <xf numFmtId="0" fontId="9" fillId="14" borderId="30" xfId="0" quotePrefix="1" applyFont="1" applyFill="1" applyBorder="1" applyAlignment="1">
      <alignment horizontal="center" vertical="center" wrapText="1"/>
    </xf>
    <xf numFmtId="0" fontId="9" fillId="0" borderId="84" xfId="0" applyFont="1" applyBorder="1" applyAlignment="1">
      <alignment horizontal="left"/>
    </xf>
    <xf numFmtId="0" fontId="9" fillId="0" borderId="30" xfId="0" applyFont="1" applyBorder="1" applyAlignment="1">
      <alignment horizontal="left"/>
    </xf>
    <xf numFmtId="0" fontId="9" fillId="16" borderId="84" xfId="0" applyFont="1" applyFill="1" applyBorder="1" applyAlignment="1">
      <alignment horizontal="left"/>
    </xf>
    <xf numFmtId="0" fontId="9" fillId="16" borderId="30" xfId="0" applyFont="1" applyFill="1" applyBorder="1" applyAlignment="1">
      <alignment horizontal="left"/>
    </xf>
    <xf numFmtId="49" fontId="3" fillId="11" borderId="1" xfId="0" applyNumberFormat="1" applyFont="1" applyFill="1" applyBorder="1" applyAlignment="1">
      <alignment horizontal="center" vertical="center"/>
    </xf>
    <xf numFmtId="49" fontId="3" fillId="11" borderId="2" xfId="0" applyNumberFormat="1" applyFont="1" applyFill="1" applyBorder="1" applyAlignment="1">
      <alignment horizontal="center" vertical="center"/>
    </xf>
    <xf numFmtId="49" fontId="3" fillId="11" borderId="14" xfId="0" applyNumberFormat="1" applyFont="1" applyFill="1" applyBorder="1" applyAlignment="1">
      <alignment horizontal="center" vertical="center"/>
    </xf>
    <xf numFmtId="37" fontId="3" fillId="3" borderId="49" xfId="0" applyNumberFormat="1" applyFont="1" applyFill="1" applyBorder="1" applyAlignment="1">
      <alignment horizontal="center" vertical="center" wrapText="1"/>
    </xf>
    <xf numFmtId="37" fontId="3" fillId="3" borderId="47" xfId="0" applyNumberFormat="1" applyFont="1" applyFill="1" applyBorder="1" applyAlignment="1">
      <alignment horizontal="center" vertical="center" wrapText="1"/>
    </xf>
    <xf numFmtId="37" fontId="3" fillId="3" borderId="3" xfId="0" applyNumberFormat="1" applyFont="1" applyFill="1" applyBorder="1" applyAlignment="1">
      <alignment horizontal="center" vertical="center" wrapText="1"/>
    </xf>
    <xf numFmtId="37" fontId="3" fillId="3" borderId="58" xfId="0" applyNumberFormat="1" applyFont="1" applyFill="1" applyBorder="1" applyAlignment="1">
      <alignment horizontal="center" vertical="center" wrapText="1"/>
    </xf>
    <xf numFmtId="37" fontId="3" fillId="11" borderId="9" xfId="0" applyNumberFormat="1" applyFont="1" applyFill="1" applyBorder="1" applyAlignment="1">
      <alignment horizontal="center" vertical="center"/>
    </xf>
    <xf numFmtId="37" fontId="3" fillId="11" borderId="48" xfId="0" applyNumberFormat="1" applyFont="1" applyFill="1" applyBorder="1" applyAlignment="1">
      <alignment horizontal="center" vertical="center"/>
    </xf>
    <xf numFmtId="9" fontId="3" fillId="11" borderId="37" xfId="2" applyFont="1" applyFill="1" applyBorder="1" applyAlignment="1">
      <alignment horizontal="center" vertical="center" wrapText="1"/>
    </xf>
    <xf numFmtId="9" fontId="3" fillId="11" borderId="13" xfId="2" applyFont="1" applyFill="1" applyBorder="1" applyAlignment="1">
      <alignment horizontal="center" vertical="center" wrapText="1"/>
    </xf>
    <xf numFmtId="164" fontId="3" fillId="12" borderId="16" xfId="0" applyNumberFormat="1" applyFont="1" applyFill="1" applyBorder="1" applyAlignment="1">
      <alignment horizontal="center" vertical="center" wrapText="1"/>
    </xf>
    <xf numFmtId="164" fontId="3" fillId="12" borderId="25" xfId="0" applyNumberFormat="1" applyFont="1" applyFill="1" applyBorder="1" applyAlignment="1">
      <alignment horizontal="center" vertical="center" wrapText="1"/>
    </xf>
    <xf numFmtId="37" fontId="3" fillId="9" borderId="1" xfId="0" applyNumberFormat="1" applyFont="1" applyFill="1" applyBorder="1" applyAlignment="1">
      <alignment vertical="center"/>
    </xf>
    <xf numFmtId="37" fontId="3" fillId="9" borderId="2" xfId="0" applyNumberFormat="1" applyFont="1" applyFill="1" applyBorder="1" applyAlignment="1">
      <alignment vertical="center"/>
    </xf>
    <xf numFmtId="0" fontId="4" fillId="0" borderId="42" xfId="0" applyFont="1" applyBorder="1" applyAlignment="1">
      <alignment horizontal="left"/>
    </xf>
    <xf numFmtId="0" fontId="4" fillId="0" borderId="97" xfId="0" applyFont="1" applyBorder="1" applyAlignment="1">
      <alignment horizontal="left"/>
    </xf>
    <xf numFmtId="0" fontId="4" fillId="0" borderId="30" xfId="0" applyFont="1" applyBorder="1" applyAlignment="1">
      <alignment horizontal="left"/>
    </xf>
    <xf numFmtId="3" fontId="4" fillId="0" borderId="52" xfId="0" applyNumberFormat="1" applyFont="1" applyBorder="1" applyAlignment="1">
      <alignment horizontal="left"/>
    </xf>
    <xf numFmtId="3" fontId="4" fillId="0" borderId="98" xfId="0" applyNumberFormat="1" applyFont="1" applyBorder="1" applyAlignment="1">
      <alignment horizontal="left"/>
    </xf>
    <xf numFmtId="3" fontId="4" fillId="0" borderId="53" xfId="0" applyNumberFormat="1" applyFont="1" applyBorder="1" applyAlignment="1">
      <alignment horizontal="left"/>
    </xf>
    <xf numFmtId="164" fontId="3" fillId="11" borderId="50" xfId="0" applyNumberFormat="1" applyFont="1" applyFill="1" applyBorder="1" applyAlignment="1">
      <alignment horizontal="center" vertical="center" wrapText="1"/>
    </xf>
    <xf numFmtId="164" fontId="3" fillId="11" borderId="69" xfId="0" applyNumberFormat="1" applyFont="1" applyFill="1" applyBorder="1" applyAlignment="1">
      <alignment horizontal="center" vertical="center" wrapText="1"/>
    </xf>
    <xf numFmtId="164" fontId="3" fillId="11" borderId="4" xfId="0" applyNumberFormat="1" applyFont="1" applyFill="1" applyBorder="1" applyAlignment="1">
      <alignment horizontal="center" vertical="center" wrapText="1"/>
    </xf>
    <xf numFmtId="164" fontId="3" fillId="11" borderId="11" xfId="0" applyNumberFormat="1" applyFont="1" applyFill="1" applyBorder="1" applyAlignment="1">
      <alignment horizontal="center" vertical="center" wrapText="1"/>
    </xf>
    <xf numFmtId="37" fontId="3" fillId="7" borderId="1" xfId="0" applyNumberFormat="1" applyFont="1" applyFill="1" applyBorder="1" applyAlignment="1">
      <alignment horizontal="center" vertical="center"/>
    </xf>
    <xf numFmtId="37" fontId="3" fillId="7" borderId="2" xfId="0" applyNumberFormat="1" applyFont="1" applyFill="1" applyBorder="1" applyAlignment="1">
      <alignment horizontal="center" vertical="center"/>
    </xf>
    <xf numFmtId="37" fontId="3" fillId="8" borderId="1" xfId="0" applyNumberFormat="1" applyFont="1" applyFill="1" applyBorder="1" applyAlignment="1">
      <alignment horizontal="left" vertical="center"/>
    </xf>
    <xf numFmtId="37" fontId="3" fillId="8" borderId="2" xfId="0" applyNumberFormat="1" applyFont="1" applyFill="1" applyBorder="1" applyAlignment="1">
      <alignment horizontal="left" vertical="center"/>
    </xf>
    <xf numFmtId="37" fontId="3" fillId="7" borderId="1" xfId="0" applyNumberFormat="1" applyFont="1" applyFill="1" applyBorder="1" applyAlignment="1">
      <alignment horizontal="left" vertical="center"/>
    </xf>
    <xf numFmtId="37" fontId="3" fillId="7" borderId="2" xfId="0" applyNumberFormat="1" applyFont="1" applyFill="1" applyBorder="1" applyAlignment="1">
      <alignment horizontal="left" vertical="center"/>
    </xf>
    <xf numFmtId="37" fontId="3" fillId="7" borderId="5" xfId="0" applyNumberFormat="1" applyFont="1" applyFill="1" applyBorder="1" applyAlignment="1">
      <alignment horizontal="left" vertical="center"/>
    </xf>
    <xf numFmtId="37" fontId="3" fillId="8" borderId="16" xfId="0" applyNumberFormat="1" applyFont="1" applyFill="1" applyBorder="1" applyAlignment="1">
      <alignment horizontal="center" vertical="center"/>
    </xf>
    <xf numFmtId="37" fontId="3" fillId="8" borderId="37" xfId="0" applyNumberFormat="1" applyFont="1" applyFill="1" applyBorder="1" applyAlignment="1">
      <alignment horizontal="center" vertical="center"/>
    </xf>
    <xf numFmtId="37" fontId="3" fillId="8" borderId="50" xfId="0" applyNumberFormat="1" applyFont="1" applyFill="1" applyBorder="1" applyAlignment="1">
      <alignment horizontal="center" vertical="center"/>
    </xf>
    <xf numFmtId="37" fontId="3" fillId="20" borderId="1" xfId="0" applyNumberFormat="1" applyFont="1" applyFill="1" applyBorder="1" applyAlignment="1">
      <alignment horizontal="center" vertical="center"/>
    </xf>
    <xf numFmtId="37" fontId="3" fillId="20" borderId="2" xfId="0" applyNumberFormat="1" applyFont="1" applyFill="1" applyBorder="1" applyAlignment="1">
      <alignment horizontal="center" vertical="center"/>
    </xf>
    <xf numFmtId="37" fontId="3" fillId="3" borderId="4" xfId="0" applyNumberFormat="1" applyFont="1" applyFill="1" applyBorder="1" applyAlignment="1">
      <alignment horizontal="center" vertical="center" wrapText="1"/>
    </xf>
    <xf numFmtId="37" fontId="3" fillId="3" borderId="11" xfId="0" applyNumberFormat="1" applyFont="1" applyFill="1" applyBorder="1" applyAlignment="1">
      <alignment horizontal="center" vertical="center" wrapText="1"/>
    </xf>
    <xf numFmtId="37" fontId="3" fillId="11" borderId="4" xfId="0" applyNumberFormat="1" applyFont="1" applyFill="1" applyBorder="1" applyAlignment="1">
      <alignment horizontal="center" vertical="center"/>
    </xf>
    <xf numFmtId="37" fontId="3" fillId="11" borderId="11" xfId="0" applyNumberFormat="1" applyFont="1" applyFill="1" applyBorder="1" applyAlignment="1">
      <alignment horizontal="center" vertical="center"/>
    </xf>
    <xf numFmtId="0" fontId="21" fillId="0" borderId="0" xfId="0" applyFont="1" applyAlignment="1">
      <alignment horizontal="center"/>
    </xf>
    <xf numFmtId="0" fontId="4" fillId="19" borderId="1" xfId="0" applyFont="1" applyFill="1" applyBorder="1" applyAlignment="1">
      <alignment horizontal="center" vertical="center"/>
    </xf>
    <xf numFmtId="0" fontId="4" fillId="19" borderId="14" xfId="0" applyFont="1" applyFill="1" applyBorder="1" applyAlignment="1">
      <alignment horizontal="center" vertical="center"/>
    </xf>
    <xf numFmtId="165" fontId="22" fillId="0" borderId="81" xfId="0" applyNumberFormat="1" applyFont="1" applyFill="1" applyBorder="1" applyAlignment="1">
      <alignment horizontal="center" vertical="center"/>
    </xf>
    <xf numFmtId="165" fontId="22" fillId="0" borderId="78" xfId="0" applyNumberFormat="1" applyFont="1" applyFill="1" applyBorder="1" applyAlignment="1">
      <alignment horizontal="center" vertical="center"/>
    </xf>
    <xf numFmtId="165" fontId="22" fillId="0" borderId="19" xfId="0" applyNumberFormat="1" applyFont="1" applyFill="1" applyBorder="1" applyAlignment="1">
      <alignment horizontal="center" vertical="center"/>
    </xf>
    <xf numFmtId="165" fontId="22" fillId="0" borderId="27" xfId="0" applyNumberFormat="1" applyFont="1" applyFill="1" applyBorder="1" applyAlignment="1">
      <alignment horizontal="center" vertical="center"/>
    </xf>
    <xf numFmtId="165" fontId="22" fillId="0" borderId="49" xfId="0" applyNumberFormat="1" applyFont="1" applyFill="1" applyBorder="1" applyAlignment="1">
      <alignment horizontal="center" vertical="center"/>
    </xf>
    <xf numFmtId="165" fontId="22" fillId="0" borderId="47" xfId="0" applyNumberFormat="1" applyFont="1" applyFill="1" applyBorder="1" applyAlignment="1">
      <alignment horizontal="center" vertical="center"/>
    </xf>
    <xf numFmtId="37" fontId="3" fillId="24" borderId="7" xfId="0" applyNumberFormat="1" applyFont="1" applyFill="1" applyBorder="1" applyAlignment="1">
      <alignment horizontal="center" vertical="center"/>
    </xf>
    <xf numFmtId="37" fontId="3" fillId="24" borderId="14" xfId="0" applyNumberFormat="1" applyFont="1" applyFill="1" applyBorder="1" applyAlignment="1">
      <alignment horizontal="center" vertical="center"/>
    </xf>
    <xf numFmtId="165" fontId="17" fillId="0" borderId="49" xfId="0" applyNumberFormat="1" applyFont="1" applyFill="1" applyBorder="1" applyAlignment="1">
      <alignment horizontal="right" vertical="center"/>
    </xf>
    <xf numFmtId="165" fontId="17" fillId="0" borderId="47" xfId="0" applyNumberFormat="1" applyFont="1" applyFill="1" applyBorder="1" applyAlignment="1">
      <alignment horizontal="right" vertical="center"/>
    </xf>
    <xf numFmtId="165" fontId="17" fillId="0" borderId="19" xfId="0" applyNumberFormat="1" applyFont="1" applyFill="1" applyBorder="1" applyAlignment="1">
      <alignment horizontal="right" vertical="center"/>
    </xf>
    <xf numFmtId="165" fontId="17" fillId="0" borderId="27" xfId="0" applyNumberFormat="1" applyFont="1" applyFill="1" applyBorder="1" applyAlignment="1">
      <alignment horizontal="right" vertical="center"/>
    </xf>
    <xf numFmtId="165" fontId="17" fillId="0" borderId="81" xfId="0" applyNumberFormat="1" applyFont="1" applyFill="1" applyBorder="1" applyAlignment="1">
      <alignment horizontal="right" vertical="center"/>
    </xf>
    <xf numFmtId="165" fontId="17" fillId="0" borderId="78" xfId="0" applyNumberFormat="1" applyFont="1" applyFill="1" applyBorder="1" applyAlignment="1">
      <alignment horizontal="right" vertical="center"/>
    </xf>
    <xf numFmtId="165" fontId="17" fillId="0" borderId="62" xfId="0" applyNumberFormat="1" applyFont="1" applyFill="1" applyBorder="1" applyAlignment="1">
      <alignment horizontal="right" vertical="center"/>
    </xf>
    <xf numFmtId="165" fontId="17" fillId="0" borderId="28" xfId="0" applyNumberFormat="1" applyFont="1" applyFill="1" applyBorder="1" applyAlignment="1">
      <alignment horizontal="right" vertical="center"/>
    </xf>
    <xf numFmtId="165" fontId="17" fillId="0" borderId="80" xfId="0" applyNumberFormat="1" applyFont="1" applyFill="1" applyBorder="1" applyAlignment="1">
      <alignment horizontal="right" vertical="center"/>
    </xf>
    <xf numFmtId="165" fontId="22" fillId="0" borderId="4" xfId="0" applyNumberFormat="1" applyFont="1" applyFill="1" applyBorder="1" applyAlignment="1">
      <alignment horizontal="right" vertical="center"/>
    </xf>
    <xf numFmtId="165" fontId="22" fillId="0" borderId="55" xfId="0" applyNumberFormat="1" applyFont="1" applyFill="1" applyBorder="1" applyAlignment="1">
      <alignment horizontal="right" vertical="center"/>
    </xf>
    <xf numFmtId="165" fontId="22" fillId="0" borderId="11" xfId="0" applyNumberFormat="1" applyFont="1" applyFill="1" applyBorder="1" applyAlignment="1">
      <alignment horizontal="right" vertical="center"/>
    </xf>
    <xf numFmtId="165" fontId="22" fillId="0" borderId="4" xfId="0" applyNumberFormat="1" applyFont="1" applyFill="1" applyBorder="1" applyAlignment="1">
      <alignment horizontal="right"/>
    </xf>
    <xf numFmtId="165" fontId="22" fillId="0" borderId="55" xfId="0" applyNumberFormat="1" applyFont="1" applyFill="1" applyBorder="1" applyAlignment="1">
      <alignment horizontal="right"/>
    </xf>
    <xf numFmtId="165" fontId="22" fillId="0" borderId="11" xfId="0" applyNumberFormat="1" applyFont="1" applyFill="1" applyBorder="1" applyAlignment="1">
      <alignment horizontal="right"/>
    </xf>
    <xf numFmtId="49" fontId="3" fillId="11" borderId="16" xfId="0" applyNumberFormat="1" applyFont="1" applyFill="1" applyBorder="1" applyAlignment="1">
      <alignment horizontal="center" vertical="center"/>
    </xf>
    <xf numFmtId="49" fontId="3" fillId="11" borderId="37" xfId="0" applyNumberFormat="1" applyFont="1" applyFill="1" applyBorder="1" applyAlignment="1">
      <alignment horizontal="center" vertical="center"/>
    </xf>
    <xf numFmtId="49" fontId="3" fillId="11" borderId="50" xfId="0" applyNumberFormat="1" applyFont="1" applyFill="1" applyBorder="1" applyAlignment="1">
      <alignment horizontal="center" vertical="center"/>
    </xf>
    <xf numFmtId="49" fontId="3" fillId="11" borderId="25" xfId="0" applyNumberFormat="1" applyFont="1" applyFill="1" applyBorder="1" applyAlignment="1">
      <alignment horizontal="center" vertical="center"/>
    </xf>
    <xf numFmtId="49" fontId="3" fillId="11" borderId="13" xfId="0" applyNumberFormat="1" applyFont="1" applyFill="1" applyBorder="1" applyAlignment="1">
      <alignment horizontal="center" vertical="center"/>
    </xf>
    <xf numFmtId="49" fontId="3" fillId="11" borderId="69" xfId="0" applyNumberFormat="1" applyFont="1" applyFill="1" applyBorder="1" applyAlignment="1">
      <alignment horizontal="center" vertical="center"/>
    </xf>
    <xf numFmtId="164" fontId="3" fillId="11" borderId="55" xfId="0" applyNumberFormat="1" applyFont="1" applyFill="1" applyBorder="1" applyAlignment="1">
      <alignment horizontal="center" vertical="center" wrapText="1"/>
    </xf>
    <xf numFmtId="165" fontId="17" fillId="0" borderId="81" xfId="1" applyNumberFormat="1" applyFont="1" applyFill="1" applyBorder="1" applyAlignment="1">
      <alignment horizontal="right"/>
    </xf>
    <xf numFmtId="165" fontId="17" fillId="0" borderId="78" xfId="1" applyNumberFormat="1" applyFont="1" applyFill="1" applyBorder="1" applyAlignment="1">
      <alignment horizontal="right"/>
    </xf>
    <xf numFmtId="165" fontId="22" fillId="0" borderId="81" xfId="0" quotePrefix="1" applyNumberFormat="1" applyFont="1" applyFill="1" applyBorder="1" applyAlignment="1">
      <alignment horizontal="right" vertical="center"/>
    </xf>
    <xf numFmtId="165" fontId="22" fillId="0" borderId="78" xfId="0" quotePrefix="1" applyNumberFormat="1" applyFont="1" applyFill="1" applyBorder="1" applyAlignment="1">
      <alignment horizontal="right" vertical="center"/>
    </xf>
    <xf numFmtId="165" fontId="22" fillId="0" borderId="49" xfId="0" quotePrefix="1" applyNumberFormat="1" applyFont="1" applyFill="1" applyBorder="1" applyAlignment="1">
      <alignment horizontal="right" vertical="center"/>
    </xf>
    <xf numFmtId="165" fontId="22" fillId="0" borderId="47" xfId="0" quotePrefix="1" applyNumberFormat="1" applyFont="1" applyFill="1" applyBorder="1" applyAlignment="1">
      <alignment horizontal="right" vertical="center"/>
    </xf>
    <xf numFmtId="165" fontId="17" fillId="0" borderId="4" xfId="0" applyNumberFormat="1" applyFont="1" applyFill="1" applyBorder="1" applyAlignment="1">
      <alignment horizontal="right" vertical="center"/>
    </xf>
    <xf numFmtId="165" fontId="17" fillId="0" borderId="11" xfId="0" applyNumberFormat="1" applyFont="1" applyFill="1" applyBorder="1" applyAlignment="1">
      <alignment horizontal="right" vertical="center"/>
    </xf>
    <xf numFmtId="37" fontId="3" fillId="7" borderId="7" xfId="0" applyNumberFormat="1" applyFont="1" applyFill="1" applyBorder="1" applyAlignment="1">
      <alignment horizontal="center" vertical="center"/>
    </xf>
    <xf numFmtId="37" fontId="3" fillId="24" borderId="1" xfId="0" applyNumberFormat="1" applyFont="1" applyFill="1" applyBorder="1" applyAlignment="1">
      <alignment horizontal="center" vertical="center"/>
    </xf>
    <xf numFmtId="166" fontId="17" fillId="0" borderId="49" xfId="1" applyNumberFormat="1" applyFont="1" applyFill="1" applyBorder="1" applyAlignment="1">
      <alignment horizontal="right"/>
    </xf>
    <xf numFmtId="166" fontId="17" fillId="0" borderId="47" xfId="1" applyNumberFormat="1" applyFont="1" applyFill="1" applyBorder="1" applyAlignment="1">
      <alignment horizontal="right"/>
    </xf>
    <xf numFmtId="165" fontId="17" fillId="0" borderId="19" xfId="1" applyNumberFormat="1" applyFont="1" applyFill="1" applyBorder="1" applyAlignment="1">
      <alignment horizontal="right"/>
    </xf>
    <xf numFmtId="165" fontId="17" fillId="0" borderId="27" xfId="1" applyNumberFormat="1" applyFont="1" applyFill="1" applyBorder="1" applyAlignment="1">
      <alignment horizontal="right"/>
    </xf>
    <xf numFmtId="37" fontId="3" fillId="0" borderId="1" xfId="0" applyNumberFormat="1" applyFont="1" applyFill="1" applyBorder="1" applyAlignment="1">
      <alignment horizontal="center" vertical="center"/>
    </xf>
    <xf numFmtId="37" fontId="3" fillId="0" borderId="14" xfId="0" applyNumberFormat="1" applyFont="1" applyFill="1" applyBorder="1" applyAlignment="1">
      <alignment horizontal="center" vertical="center"/>
    </xf>
    <xf numFmtId="166" fontId="17" fillId="0" borderId="16" xfId="1" applyNumberFormat="1" applyFont="1" applyFill="1" applyBorder="1" applyAlignment="1">
      <alignment horizontal="right"/>
    </xf>
    <xf numFmtId="166" fontId="17" fillId="0" borderId="25" xfId="1" applyNumberFormat="1" applyFont="1" applyFill="1" applyBorder="1" applyAlignment="1">
      <alignment horizontal="right"/>
    </xf>
    <xf numFmtId="165" fontId="22" fillId="0" borderId="49" xfId="0" applyNumberFormat="1" applyFont="1" applyFill="1" applyBorder="1" applyAlignment="1">
      <alignment horizontal="right" vertical="center"/>
    </xf>
    <xf numFmtId="165" fontId="22" fillId="0" borderId="62" xfId="0" applyNumberFormat="1" applyFont="1" applyFill="1" applyBorder="1" applyAlignment="1">
      <alignment horizontal="right" vertical="center"/>
    </xf>
    <xf numFmtId="165" fontId="22" fillId="0" borderId="47" xfId="0" applyNumberFormat="1" applyFont="1" applyFill="1" applyBorder="1" applyAlignment="1">
      <alignment horizontal="right" vertical="center"/>
    </xf>
    <xf numFmtId="165" fontId="17" fillId="0" borderId="37" xfId="1" applyNumberFormat="1" applyFont="1" applyFill="1" applyBorder="1" applyAlignment="1">
      <alignment horizontal="right"/>
    </xf>
    <xf numFmtId="165" fontId="17" fillId="0" borderId="0" xfId="1" applyNumberFormat="1" applyFont="1" applyFill="1" applyBorder="1" applyAlignment="1">
      <alignment horizontal="right"/>
    </xf>
    <xf numFmtId="165" fontId="17" fillId="0" borderId="13" xfId="1" applyNumberFormat="1" applyFont="1" applyFill="1" applyBorder="1" applyAlignment="1">
      <alignment horizontal="right"/>
    </xf>
    <xf numFmtId="165" fontId="22" fillId="0" borderId="149" xfId="0" applyNumberFormat="1" applyFont="1" applyFill="1" applyBorder="1" applyAlignment="1">
      <alignment horizontal="right"/>
    </xf>
    <xf numFmtId="165" fontId="22" fillId="0" borderId="148" xfId="0" applyNumberFormat="1" applyFont="1" applyFill="1" applyBorder="1" applyAlignment="1">
      <alignment horizontal="right"/>
    </xf>
    <xf numFmtId="165" fontId="22" fillId="0" borderId="150" xfId="0" applyNumberFormat="1" applyFont="1" applyFill="1" applyBorder="1" applyAlignment="1">
      <alignment horizontal="right"/>
    </xf>
    <xf numFmtId="165" fontId="17" fillId="0" borderId="49" xfId="1" applyNumberFormat="1" applyFont="1" applyFill="1" applyBorder="1" applyAlignment="1">
      <alignment horizontal="right"/>
    </xf>
    <xf numFmtId="165" fontId="17" fillId="0" borderId="47" xfId="1" applyNumberFormat="1" applyFont="1" applyFill="1" applyBorder="1" applyAlignment="1">
      <alignment horizontal="right"/>
    </xf>
    <xf numFmtId="165" fontId="22" fillId="0" borderId="64" xfId="0" applyNumberFormat="1" applyFont="1" applyFill="1" applyBorder="1" applyAlignment="1">
      <alignment horizontal="right" vertical="center"/>
    </xf>
    <xf numFmtId="165" fontId="22" fillId="0" borderId="60" xfId="0" applyNumberFormat="1" applyFont="1" applyFill="1" applyBorder="1" applyAlignment="1">
      <alignment horizontal="right" vertical="center"/>
    </xf>
    <xf numFmtId="165" fontId="22" fillId="0" borderId="67" xfId="0" applyNumberFormat="1" applyFont="1" applyFill="1" applyBorder="1" applyAlignment="1">
      <alignment horizontal="right" vertical="center"/>
    </xf>
    <xf numFmtId="165" fontId="17" fillId="0" borderId="28" xfId="1" applyNumberFormat="1" applyFont="1" applyFill="1" applyBorder="1" applyAlignment="1">
      <alignment horizontal="right"/>
    </xf>
    <xf numFmtId="165" fontId="22" fillId="0" borderId="81" xfId="0" applyNumberFormat="1" applyFont="1" applyFill="1" applyBorder="1" applyAlignment="1">
      <alignment horizontal="right"/>
    </xf>
    <xf numFmtId="165" fontId="22" fillId="0" borderId="80" xfId="0" applyNumberFormat="1" applyFont="1" applyFill="1" applyBorder="1" applyAlignment="1">
      <alignment horizontal="right"/>
    </xf>
    <xf numFmtId="165" fontId="22" fillId="0" borderId="78" xfId="0" applyNumberFormat="1" applyFont="1" applyFill="1" applyBorder="1" applyAlignment="1">
      <alignment horizontal="right"/>
    </xf>
    <xf numFmtId="165" fontId="22" fillId="0" borderId="38" xfId="0" applyNumberFormat="1" applyFont="1" applyFill="1" applyBorder="1" applyAlignment="1">
      <alignment horizontal="right"/>
    </xf>
    <xf numFmtId="165" fontId="22" fillId="0" borderId="17" xfId="0" applyNumberFormat="1" applyFont="1" applyFill="1" applyBorder="1" applyAlignment="1">
      <alignment horizontal="right"/>
    </xf>
    <xf numFmtId="165" fontId="22" fillId="0" borderId="41" xfId="0" applyNumberFormat="1" applyFont="1" applyFill="1" applyBorder="1" applyAlignment="1">
      <alignment horizontal="right"/>
    </xf>
    <xf numFmtId="165" fontId="17" fillId="0" borderId="155" xfId="1" applyNumberFormat="1" applyFont="1" applyFill="1" applyBorder="1" applyAlignment="1">
      <alignment horizontal="right"/>
    </xf>
    <xf numFmtId="165" fontId="17" fillId="0" borderId="154" xfId="1" applyNumberFormat="1" applyFont="1" applyFill="1" applyBorder="1" applyAlignment="1">
      <alignment horizontal="right"/>
    </xf>
    <xf numFmtId="165" fontId="17" fillId="0" borderId="151" xfId="1" applyNumberFormat="1" applyFont="1" applyFill="1" applyBorder="1" applyAlignment="1">
      <alignment horizontal="right"/>
    </xf>
    <xf numFmtId="165" fontId="17" fillId="0" borderId="55" xfId="0" applyNumberFormat="1" applyFont="1" applyFill="1" applyBorder="1" applyAlignment="1">
      <alignment horizontal="right" vertical="center"/>
    </xf>
    <xf numFmtId="165" fontId="17" fillId="0" borderId="154" xfId="0" applyNumberFormat="1" applyFont="1" applyFill="1" applyBorder="1" applyAlignment="1">
      <alignment horizontal="right"/>
    </xf>
    <xf numFmtId="165" fontId="17" fillId="0" borderId="151" xfId="0" applyNumberFormat="1" applyFont="1" applyFill="1" applyBorder="1" applyAlignment="1">
      <alignment horizontal="right"/>
    </xf>
    <xf numFmtId="165" fontId="22" fillId="0" borderId="19" xfId="0" quotePrefix="1" applyNumberFormat="1" applyFont="1" applyFill="1" applyBorder="1" applyAlignment="1">
      <alignment horizontal="right" vertical="center"/>
    </xf>
    <xf numFmtId="165" fontId="22" fillId="0" borderId="27" xfId="0" quotePrefix="1" applyNumberFormat="1" applyFont="1" applyFill="1" applyBorder="1" applyAlignment="1">
      <alignment horizontal="right" vertical="center"/>
    </xf>
    <xf numFmtId="165" fontId="3" fillId="0" borderId="1" xfId="0" applyNumberFormat="1" applyFont="1" applyFill="1" applyBorder="1" applyAlignment="1">
      <alignment horizontal="center" vertical="center" wrapText="1"/>
    </xf>
    <xf numFmtId="165" fontId="3" fillId="0" borderId="14" xfId="0" applyNumberFormat="1" applyFont="1" applyFill="1" applyBorder="1" applyAlignment="1">
      <alignment horizontal="center" vertical="center" wrapText="1"/>
    </xf>
    <xf numFmtId="165" fontId="22" fillId="0" borderId="81" xfId="0" applyNumberFormat="1" applyFont="1" applyFill="1" applyBorder="1" applyAlignment="1">
      <alignment horizontal="right" vertical="center"/>
    </xf>
    <xf numFmtId="165" fontId="22" fillId="0" borderId="78" xfId="0" applyNumberFormat="1" applyFont="1" applyFill="1" applyBorder="1" applyAlignment="1">
      <alignment horizontal="right" vertical="center"/>
    </xf>
    <xf numFmtId="165" fontId="17" fillId="0" borderId="154" xfId="0" applyNumberFormat="1" applyFont="1" applyFill="1" applyBorder="1" applyAlignment="1">
      <alignment horizontal="right" vertical="center"/>
    </xf>
    <xf numFmtId="165" fontId="17" fillId="0" borderId="151" xfId="0" applyNumberFormat="1" applyFont="1" applyFill="1" applyBorder="1" applyAlignment="1">
      <alignment horizontal="right" vertical="center"/>
    </xf>
    <xf numFmtId="165" fontId="17" fillId="0" borderId="49" xfId="0" applyNumberFormat="1" applyFont="1" applyFill="1" applyBorder="1" applyAlignment="1">
      <alignment horizontal="right"/>
    </xf>
    <xf numFmtId="165" fontId="17" fillId="0" borderId="47" xfId="0" applyNumberFormat="1" applyFont="1" applyFill="1" applyBorder="1" applyAlignment="1">
      <alignment horizontal="right"/>
    </xf>
    <xf numFmtId="165" fontId="17" fillId="0" borderId="59" xfId="0" applyNumberFormat="1" applyFont="1" applyFill="1" applyBorder="1" applyAlignment="1">
      <alignment horizontal="right" vertical="center"/>
    </xf>
    <xf numFmtId="165" fontId="17" fillId="0" borderId="29" xfId="0" applyNumberFormat="1" applyFont="1" applyFill="1" applyBorder="1" applyAlignment="1">
      <alignment horizontal="right" vertical="center"/>
    </xf>
    <xf numFmtId="165" fontId="17" fillId="0" borderId="83" xfId="0" applyNumberFormat="1" applyFont="1" applyFill="1" applyBorder="1" applyAlignment="1">
      <alignment horizontal="right" vertical="center"/>
    </xf>
    <xf numFmtId="165" fontId="22" fillId="0" borderId="19" xfId="0" applyNumberFormat="1" applyFont="1" applyFill="1" applyBorder="1" applyAlignment="1">
      <alignment horizontal="right" vertical="center"/>
    </xf>
    <xf numFmtId="165" fontId="22" fillId="0" borderId="27" xfId="0" applyNumberFormat="1" applyFont="1" applyFill="1" applyBorder="1" applyAlignment="1">
      <alignment horizontal="right" vertical="center"/>
    </xf>
    <xf numFmtId="165" fontId="22" fillId="0" borderId="28" xfId="0" applyNumberFormat="1" applyFont="1" applyFill="1" applyBorder="1" applyAlignment="1">
      <alignment horizontal="right" vertical="center"/>
    </xf>
    <xf numFmtId="165" fontId="22" fillId="0" borderId="80" xfId="0" applyNumberFormat="1" applyFont="1" applyFill="1" applyBorder="1" applyAlignment="1">
      <alignment horizontal="right" vertical="center"/>
    </xf>
    <xf numFmtId="165" fontId="22" fillId="0" borderId="49" xfId="0" applyNumberFormat="1" applyFont="1" applyFill="1" applyBorder="1" applyAlignment="1">
      <alignment horizontal="right"/>
    </xf>
    <xf numFmtId="165" fontId="22" fillId="0" borderId="47" xfId="0" applyNumberFormat="1" applyFont="1" applyFill="1" applyBorder="1" applyAlignment="1">
      <alignment horizontal="right"/>
    </xf>
    <xf numFmtId="165" fontId="22" fillId="0" borderId="19" xfId="0" applyNumberFormat="1" applyFont="1" applyFill="1" applyBorder="1" applyAlignment="1">
      <alignment horizontal="right"/>
    </xf>
    <xf numFmtId="165" fontId="22" fillId="0" borderId="27" xfId="0" applyNumberFormat="1" applyFont="1" applyFill="1" applyBorder="1" applyAlignment="1">
      <alignment horizontal="right"/>
    </xf>
    <xf numFmtId="165" fontId="22" fillId="0" borderId="155" xfId="0" applyNumberFormat="1" applyFont="1" applyFill="1" applyBorder="1" applyAlignment="1">
      <alignment horizontal="right" vertical="center"/>
    </xf>
    <xf numFmtId="165" fontId="22" fillId="0" borderId="151" xfId="0" applyNumberFormat="1" applyFont="1" applyFill="1" applyBorder="1" applyAlignment="1">
      <alignment horizontal="right" vertical="center"/>
    </xf>
    <xf numFmtId="165" fontId="22" fillId="0" borderId="152" xfId="0" applyNumberFormat="1" applyFont="1" applyFill="1" applyBorder="1" applyAlignment="1">
      <alignment horizontal="right" vertical="center"/>
    </xf>
    <xf numFmtId="165" fontId="22" fillId="0" borderId="104" xfId="0" applyNumberFormat="1" applyFont="1" applyFill="1" applyBorder="1" applyAlignment="1">
      <alignment horizontal="right" vertical="center"/>
    </xf>
    <xf numFmtId="165" fontId="22" fillId="0" borderId="149" xfId="0" applyNumberFormat="1" applyFont="1" applyFill="1" applyBorder="1" applyAlignment="1">
      <alignment horizontal="right" vertical="center"/>
    </xf>
    <xf numFmtId="165" fontId="22" fillId="0" borderId="150" xfId="0" applyNumberFormat="1" applyFont="1" applyFill="1" applyBorder="1" applyAlignment="1">
      <alignment horizontal="right" vertical="center"/>
    </xf>
    <xf numFmtId="165" fontId="22" fillId="0" borderId="153" xfId="0" applyNumberFormat="1" applyFont="1" applyFill="1" applyBorder="1" applyAlignment="1">
      <alignment horizontal="right" vertical="center"/>
    </xf>
    <xf numFmtId="165" fontId="22" fillId="0" borderId="114" xfId="0" applyNumberFormat="1" applyFont="1" applyFill="1" applyBorder="1" applyAlignment="1">
      <alignment horizontal="right" vertical="center"/>
    </xf>
    <xf numFmtId="165" fontId="17" fillId="0" borderId="62" xfId="1" applyNumberFormat="1" applyFont="1" applyFill="1" applyBorder="1" applyAlignment="1">
      <alignment horizontal="right"/>
    </xf>
    <xf numFmtId="165" fontId="9" fillId="0" borderId="4" xfId="0" applyNumberFormat="1" applyFont="1" applyBorder="1" applyAlignment="1">
      <alignment horizontal="right" vertical="center"/>
    </xf>
    <xf numFmtId="165" fontId="9" fillId="0" borderId="11" xfId="0" applyNumberFormat="1" applyFont="1" applyBorder="1" applyAlignment="1">
      <alignment horizontal="right" vertical="center"/>
    </xf>
    <xf numFmtId="166" fontId="0" fillId="0" borderId="4" xfId="1" applyNumberFormat="1" applyFont="1" applyFill="1" applyBorder="1" applyAlignment="1">
      <alignment horizontal="right" vertical="center"/>
    </xf>
    <xf numFmtId="166" fontId="0" fillId="0" borderId="11" xfId="1" applyNumberFormat="1" applyFont="1" applyFill="1" applyBorder="1" applyAlignment="1">
      <alignment horizontal="right" vertical="center"/>
    </xf>
    <xf numFmtId="165" fontId="9" fillId="0" borderId="55" xfId="0" applyNumberFormat="1" applyFont="1" applyBorder="1" applyAlignment="1">
      <alignment horizontal="right" vertical="center"/>
    </xf>
    <xf numFmtId="165" fontId="9" fillId="0" borderId="108" xfId="0" applyNumberFormat="1" applyFont="1" applyBorder="1" applyAlignment="1">
      <alignment horizontal="right" vertical="center"/>
    </xf>
    <xf numFmtId="165" fontId="9" fillId="0" borderId="38" xfId="0" applyNumberFormat="1" applyFont="1" applyBorder="1" applyAlignment="1">
      <alignment horizontal="right" vertical="center"/>
    </xf>
    <xf numFmtId="165" fontId="9" fillId="0" borderId="81" xfId="0" applyNumberFormat="1" applyFont="1" applyBorder="1" applyAlignment="1">
      <alignment horizontal="right"/>
    </xf>
    <xf numFmtId="165" fontId="9" fillId="0" borderId="80" xfId="0" applyNumberFormat="1" applyFont="1" applyBorder="1" applyAlignment="1">
      <alignment horizontal="right"/>
    </xf>
    <xf numFmtId="165" fontId="9" fillId="0" borderId="78" xfId="0" applyNumberFormat="1" applyFont="1" applyBorder="1" applyAlignment="1">
      <alignment horizontal="right"/>
    </xf>
    <xf numFmtId="165" fontId="9" fillId="0" borderId="64" xfId="0" applyNumberFormat="1" applyFont="1" applyBorder="1" applyAlignment="1">
      <alignment horizontal="right" vertical="center"/>
    </xf>
    <xf numFmtId="165" fontId="9" fillId="0" borderId="60" xfId="0" applyNumberFormat="1" applyFont="1" applyBorder="1" applyAlignment="1">
      <alignment horizontal="right" vertical="center"/>
    </xf>
    <xf numFmtId="165" fontId="9" fillId="0" borderId="67" xfId="0" applyNumberFormat="1" applyFont="1" applyBorder="1" applyAlignment="1">
      <alignment horizontal="right" vertical="center"/>
    </xf>
    <xf numFmtId="165" fontId="9" fillId="0" borderId="49" xfId="0" quotePrefix="1" applyNumberFormat="1" applyFont="1" applyBorder="1" applyAlignment="1">
      <alignment horizontal="right" vertical="center"/>
    </xf>
    <xf numFmtId="165" fontId="9" fillId="0" borderId="47" xfId="0" quotePrefix="1" applyNumberFormat="1" applyFont="1" applyBorder="1" applyAlignment="1">
      <alignment horizontal="right" vertical="center"/>
    </xf>
    <xf numFmtId="165" fontId="9" fillId="0" borderId="19" xfId="0" quotePrefix="1" applyNumberFormat="1" applyFont="1" applyBorder="1" applyAlignment="1">
      <alignment horizontal="right" vertical="center"/>
    </xf>
    <xf numFmtId="165" fontId="9" fillId="0" borderId="27" xfId="0" quotePrefix="1" applyNumberFormat="1" applyFont="1" applyBorder="1" applyAlignment="1">
      <alignment horizontal="right" vertical="center"/>
    </xf>
    <xf numFmtId="165" fontId="9" fillId="0" borderId="81" xfId="0" quotePrefix="1" applyNumberFormat="1" applyFont="1" applyBorder="1" applyAlignment="1">
      <alignment horizontal="right" vertical="center"/>
    </xf>
    <xf numFmtId="165" fontId="9" fillId="0" borderId="78" xfId="0" quotePrefix="1" applyNumberFormat="1" applyFont="1" applyBorder="1" applyAlignment="1">
      <alignment horizontal="right" vertical="center"/>
    </xf>
    <xf numFmtId="37" fontId="8" fillId="24" borderId="1" xfId="0" applyNumberFormat="1" applyFont="1" applyFill="1" applyBorder="1" applyAlignment="1">
      <alignment horizontal="center" vertical="center"/>
    </xf>
    <xf numFmtId="37" fontId="8" fillId="24" borderId="14" xfId="0" applyNumberFormat="1" applyFont="1" applyFill="1" applyBorder="1" applyAlignment="1">
      <alignment horizontal="center" vertical="center"/>
    </xf>
    <xf numFmtId="165" fontId="0" fillId="0" borderId="19" xfId="1" applyNumberFormat="1" applyFont="1" applyFill="1" applyBorder="1" applyAlignment="1">
      <alignment horizontal="right" vertical="center"/>
    </xf>
    <xf numFmtId="165" fontId="0" fillId="0" borderId="28" xfId="1" applyNumberFormat="1" applyFont="1" applyFill="1" applyBorder="1" applyAlignment="1">
      <alignment horizontal="right" vertical="center"/>
    </xf>
    <xf numFmtId="165" fontId="0" fillId="0" borderId="27" xfId="1" applyNumberFormat="1" applyFont="1" applyFill="1" applyBorder="1" applyAlignment="1">
      <alignment horizontal="right" vertical="center"/>
    </xf>
    <xf numFmtId="37" fontId="8" fillId="0" borderId="1" xfId="0" applyNumberFormat="1" applyFont="1" applyBorder="1" applyAlignment="1">
      <alignment horizontal="center" vertical="center"/>
    </xf>
    <xf numFmtId="37" fontId="8" fillId="0" borderId="14" xfId="0" applyNumberFormat="1" applyFont="1" applyBorder="1" applyAlignment="1">
      <alignment horizontal="center" vertical="center"/>
    </xf>
    <xf numFmtId="165" fontId="9" fillId="0" borderId="16" xfId="0" quotePrefix="1" applyNumberFormat="1" applyFont="1" applyBorder="1" applyAlignment="1">
      <alignment horizontal="right" vertical="center"/>
    </xf>
    <xf numFmtId="165" fontId="9" fillId="0" borderId="25" xfId="0" quotePrefix="1" applyNumberFormat="1" applyFont="1" applyBorder="1" applyAlignment="1">
      <alignment horizontal="right" vertical="center"/>
    </xf>
    <xf numFmtId="165" fontId="9" fillId="0" borderId="49" xfId="0" applyNumberFormat="1" applyFont="1" applyBorder="1" applyAlignment="1">
      <alignment horizontal="right" vertical="center"/>
    </xf>
    <xf numFmtId="165" fontId="9" fillId="0" borderId="62" xfId="0" applyNumberFormat="1" applyFont="1" applyBorder="1" applyAlignment="1">
      <alignment horizontal="right" vertical="center"/>
    </xf>
    <xf numFmtId="165" fontId="9" fillId="0" borderId="47" xfId="0" applyNumberFormat="1" applyFont="1" applyBorder="1" applyAlignment="1">
      <alignment horizontal="right" vertical="center"/>
    </xf>
    <xf numFmtId="165" fontId="0" fillId="0" borderId="156" xfId="1" applyNumberFormat="1" applyFont="1" applyFill="1" applyBorder="1" applyAlignment="1">
      <alignment horizontal="right" vertical="center"/>
    </xf>
    <xf numFmtId="165" fontId="0" fillId="0" borderId="157" xfId="1" applyNumberFormat="1" applyFont="1" applyFill="1" applyBorder="1" applyAlignment="1">
      <alignment horizontal="right" vertical="center"/>
    </xf>
    <xf numFmtId="165" fontId="0" fillId="0" borderId="158" xfId="1" applyNumberFormat="1" applyFont="1" applyFill="1" applyBorder="1" applyAlignment="1">
      <alignment horizontal="right" vertical="center"/>
    </xf>
    <xf numFmtId="165" fontId="9" fillId="0" borderId="50" xfId="0" applyNumberFormat="1" applyFont="1" applyBorder="1" applyAlignment="1">
      <alignment horizontal="right"/>
    </xf>
    <xf numFmtId="165" fontId="9" fillId="0" borderId="70" xfId="0" applyNumberFormat="1" applyFont="1" applyBorder="1" applyAlignment="1">
      <alignment horizontal="right"/>
    </xf>
    <xf numFmtId="165" fontId="9" fillId="0" borderId="69" xfId="0" applyNumberFormat="1" applyFont="1" applyBorder="1" applyAlignment="1">
      <alignment horizontal="right"/>
    </xf>
    <xf numFmtId="165" fontId="0" fillId="0" borderId="3" xfId="1" applyNumberFormat="1" applyFont="1" applyFill="1" applyBorder="1" applyAlignment="1">
      <alignment horizontal="right" vertical="center"/>
    </xf>
    <xf numFmtId="165" fontId="0" fillId="0" borderId="10" xfId="1" applyNumberFormat="1" applyFont="1" applyFill="1" applyBorder="1" applyAlignment="1">
      <alignment horizontal="right" vertical="center"/>
    </xf>
    <xf numFmtId="165" fontId="0" fillId="0" borderId="81" xfId="1" applyNumberFormat="1" applyFont="1" applyFill="1" applyBorder="1" applyAlignment="1">
      <alignment horizontal="right"/>
    </xf>
    <xf numFmtId="165" fontId="0" fillId="0" borderId="78" xfId="1" applyNumberFormat="1" applyFont="1" applyFill="1" applyBorder="1" applyAlignment="1">
      <alignment horizontal="right"/>
    </xf>
    <xf numFmtId="166" fontId="0" fillId="0" borderId="49" xfId="1" applyNumberFormat="1" applyFont="1" applyFill="1" applyBorder="1" applyAlignment="1">
      <alignment horizontal="right" vertical="center"/>
    </xf>
    <xf numFmtId="166" fontId="0" fillId="0" borderId="47" xfId="1" applyNumberFormat="1" applyFont="1" applyFill="1" applyBorder="1" applyAlignment="1">
      <alignment horizontal="right" vertical="center"/>
    </xf>
    <xf numFmtId="164" fontId="8" fillId="11" borderId="4" xfId="0" applyNumberFormat="1" applyFont="1" applyFill="1" applyBorder="1" applyAlignment="1">
      <alignment horizontal="center" vertical="center" wrapText="1"/>
    </xf>
    <xf numFmtId="164" fontId="8" fillId="11" borderId="11" xfId="0" applyNumberFormat="1" applyFont="1" applyFill="1" applyBorder="1" applyAlignment="1">
      <alignment horizontal="center" vertical="center" wrapText="1"/>
    </xf>
    <xf numFmtId="166" fontId="0" fillId="0" borderId="16" xfId="1" applyNumberFormat="1" applyFont="1" applyFill="1" applyBorder="1" applyAlignment="1">
      <alignment horizontal="right" vertical="center"/>
    </xf>
    <xf numFmtId="166" fontId="0" fillId="0" borderId="25" xfId="1" applyNumberFormat="1" applyFont="1" applyFill="1" applyBorder="1" applyAlignment="1">
      <alignment horizontal="right" vertical="center"/>
    </xf>
    <xf numFmtId="49" fontId="8" fillId="11" borderId="4" xfId="0" applyNumberFormat="1" applyFont="1" applyFill="1" applyBorder="1" applyAlignment="1">
      <alignment horizontal="center" vertical="center"/>
    </xf>
    <xf numFmtId="49" fontId="8" fillId="11" borderId="55" xfId="0" applyNumberFormat="1" applyFont="1" applyFill="1" applyBorder="1" applyAlignment="1">
      <alignment horizontal="center" vertical="center"/>
    </xf>
    <xf numFmtId="49" fontId="8" fillId="11" borderId="11" xfId="0" applyNumberFormat="1" applyFont="1" applyFill="1" applyBorder="1" applyAlignment="1">
      <alignment horizontal="center" vertical="center"/>
    </xf>
    <xf numFmtId="164" fontId="8" fillId="11" borderId="50" xfId="0" applyNumberFormat="1" applyFont="1" applyFill="1" applyBorder="1" applyAlignment="1">
      <alignment horizontal="center" vertical="center" wrapText="1"/>
    </xf>
    <xf numFmtId="164" fontId="8" fillId="11" borderId="69" xfId="0" applyNumberFormat="1" applyFont="1" applyFill="1" applyBorder="1" applyAlignment="1">
      <alignment horizontal="center" vertical="center" wrapText="1"/>
    </xf>
    <xf numFmtId="49" fontId="8" fillId="11" borderId="1" xfId="0" applyNumberFormat="1" applyFont="1" applyFill="1" applyBorder="1" applyAlignment="1">
      <alignment horizontal="center" vertical="center"/>
    </xf>
    <xf numFmtId="49" fontId="8" fillId="11" borderId="2" xfId="0" applyNumberFormat="1" applyFont="1" applyFill="1" applyBorder="1" applyAlignment="1">
      <alignment horizontal="center" vertical="center"/>
    </xf>
    <xf numFmtId="49" fontId="8" fillId="11" borderId="14" xfId="0" applyNumberFormat="1" applyFont="1" applyFill="1" applyBorder="1" applyAlignment="1">
      <alignment horizontal="center" vertical="center"/>
    </xf>
    <xf numFmtId="37" fontId="8" fillId="3" borderId="4" xfId="0" applyNumberFormat="1" applyFont="1" applyFill="1" applyBorder="1" applyAlignment="1">
      <alignment horizontal="center" vertical="center" wrapText="1"/>
    </xf>
    <xf numFmtId="37" fontId="8" fillId="3" borderId="11" xfId="0" applyNumberFormat="1" applyFont="1" applyFill="1" applyBorder="1" applyAlignment="1">
      <alignment horizontal="center" vertical="center" wrapText="1"/>
    </xf>
    <xf numFmtId="37" fontId="8" fillId="11" borderId="4" xfId="0" applyNumberFormat="1" applyFont="1" applyFill="1" applyBorder="1" applyAlignment="1">
      <alignment horizontal="center" vertical="center"/>
    </xf>
    <xf numFmtId="37" fontId="8" fillId="11" borderId="11" xfId="0" applyNumberFormat="1" applyFont="1" applyFill="1" applyBorder="1" applyAlignment="1">
      <alignment horizontal="center" vertical="center"/>
    </xf>
    <xf numFmtId="165" fontId="9" fillId="0" borderId="81" xfId="0" applyNumberFormat="1" applyFont="1" applyFill="1" applyBorder="1" applyAlignment="1">
      <alignment horizontal="right" vertical="center"/>
    </xf>
    <xf numFmtId="165" fontId="9" fillId="0" borderId="78" xfId="0" applyNumberFormat="1" applyFont="1" applyFill="1" applyBorder="1" applyAlignment="1">
      <alignment horizontal="right" vertical="center"/>
    </xf>
    <xf numFmtId="165" fontId="9" fillId="0" borderId="49" xfId="0" applyNumberFormat="1" applyFont="1" applyFill="1" applyBorder="1" applyAlignment="1">
      <alignment horizontal="right" vertical="center"/>
    </xf>
    <xf numFmtId="165" fontId="9" fillId="0" borderId="47" xfId="0" applyNumberFormat="1" applyFont="1" applyFill="1" applyBorder="1" applyAlignment="1">
      <alignment horizontal="right" vertical="center"/>
    </xf>
    <xf numFmtId="165" fontId="9" fillId="0" borderId="19" xfId="0" applyNumberFormat="1" applyFont="1" applyFill="1" applyBorder="1" applyAlignment="1">
      <alignment horizontal="right" vertical="center"/>
    </xf>
    <xf numFmtId="165" fontId="9" fillId="0" borderId="27" xfId="0" applyNumberFormat="1" applyFont="1" applyFill="1" applyBorder="1" applyAlignment="1">
      <alignment horizontal="right" vertical="center"/>
    </xf>
    <xf numFmtId="165" fontId="9" fillId="0" borderId="3" xfId="0" applyNumberFormat="1" applyFont="1" applyFill="1" applyBorder="1" applyAlignment="1">
      <alignment horizontal="right" vertical="center"/>
    </xf>
    <xf numFmtId="165" fontId="9" fillId="0" borderId="10" xfId="0" applyNumberFormat="1" applyFont="1" applyFill="1" applyBorder="1" applyAlignment="1">
      <alignment horizontal="right" vertical="center"/>
    </xf>
    <xf numFmtId="165" fontId="9" fillId="0" borderId="4" xfId="0" applyNumberFormat="1" applyFont="1" applyBorder="1" applyAlignment="1">
      <alignment horizontal="center" vertical="center"/>
    </xf>
    <xf numFmtId="165" fontId="9" fillId="0" borderId="11" xfId="0" applyNumberFormat="1" applyFont="1" applyBorder="1" applyAlignment="1">
      <alignment horizontal="center" vertical="center"/>
    </xf>
    <xf numFmtId="165" fontId="9" fillId="0" borderId="19" xfId="0" applyNumberFormat="1" applyFont="1" applyBorder="1" applyAlignment="1">
      <alignment horizontal="right" vertical="center"/>
    </xf>
    <xf numFmtId="165" fontId="9" fillId="0" borderId="27" xfId="0" applyNumberFormat="1" applyFont="1" applyBorder="1" applyAlignment="1">
      <alignment horizontal="right" vertical="center"/>
    </xf>
    <xf numFmtId="165" fontId="9" fillId="0" borderId="81" xfId="0" applyNumberFormat="1" applyFont="1" applyBorder="1" applyAlignment="1">
      <alignment horizontal="right" vertical="center"/>
    </xf>
    <xf numFmtId="165" fontId="9" fillId="0" borderId="78" xfId="0" applyNumberFormat="1" applyFont="1" applyBorder="1" applyAlignment="1">
      <alignment horizontal="right" vertical="center"/>
    </xf>
    <xf numFmtId="37" fontId="8" fillId="11" borderId="4" xfId="0" applyNumberFormat="1" applyFont="1" applyFill="1" applyBorder="1" applyAlignment="1">
      <alignment horizontal="center" vertical="center" wrapText="1"/>
    </xf>
    <xf numFmtId="37" fontId="8" fillId="11" borderId="55" xfId="0" applyNumberFormat="1" applyFont="1" applyFill="1" applyBorder="1" applyAlignment="1">
      <alignment horizontal="center" vertical="center" wrapText="1"/>
    </xf>
    <xf numFmtId="37" fontId="8" fillId="11" borderId="11" xfId="0" applyNumberFormat="1" applyFont="1" applyFill="1" applyBorder="1" applyAlignment="1">
      <alignment horizontal="center" vertical="center" wrapText="1"/>
    </xf>
    <xf numFmtId="165" fontId="0" fillId="0" borderId="49" xfId="0" applyNumberFormat="1" applyBorder="1" applyAlignment="1">
      <alignment horizontal="right" vertical="center"/>
    </xf>
    <xf numFmtId="165" fontId="0" fillId="0" borderId="62" xfId="0" applyNumberFormat="1" applyBorder="1" applyAlignment="1">
      <alignment horizontal="right" vertical="center"/>
    </xf>
    <xf numFmtId="165" fontId="0" fillId="0" borderId="47" xfId="0" applyNumberFormat="1" applyBorder="1" applyAlignment="1">
      <alignment horizontal="right" vertical="center"/>
    </xf>
    <xf numFmtId="165" fontId="0" fillId="0" borderId="19" xfId="0" applyNumberFormat="1" applyBorder="1" applyAlignment="1">
      <alignment horizontal="right" vertical="center"/>
    </xf>
    <xf numFmtId="165" fontId="0" fillId="0" borderId="28" xfId="0" applyNumberFormat="1" applyBorder="1" applyAlignment="1">
      <alignment horizontal="right" vertical="center"/>
    </xf>
    <xf numFmtId="165" fontId="0" fillId="0" borderId="27" xfId="0" applyNumberFormat="1" applyBorder="1" applyAlignment="1">
      <alignment horizontal="right" vertical="center"/>
    </xf>
    <xf numFmtId="165" fontId="0" fillId="0" borderId="81" xfId="0" applyNumberFormat="1" applyBorder="1" applyAlignment="1">
      <alignment horizontal="right" vertical="center"/>
    </xf>
    <xf numFmtId="165" fontId="0" fillId="0" borderId="80" xfId="0" applyNumberFormat="1" applyBorder="1" applyAlignment="1">
      <alignment horizontal="right" vertical="center"/>
    </xf>
    <xf numFmtId="165" fontId="0" fillId="0" borderId="78" xfId="0" applyNumberFormat="1" applyBorder="1" applyAlignment="1">
      <alignment horizontal="right" vertical="center"/>
    </xf>
    <xf numFmtId="165" fontId="9" fillId="0" borderId="55" xfId="0" applyNumberFormat="1" applyFont="1" applyBorder="1" applyAlignment="1">
      <alignment horizontal="center" vertical="center"/>
    </xf>
    <xf numFmtId="166" fontId="0" fillId="0" borderId="4" xfId="1" applyNumberFormat="1" applyFont="1" applyFill="1" applyBorder="1" applyAlignment="1">
      <alignment horizontal="center" vertical="center"/>
    </xf>
    <xf numFmtId="166" fontId="0" fillId="0" borderId="55" xfId="1" applyNumberFormat="1" applyFont="1" applyFill="1" applyBorder="1" applyAlignment="1">
      <alignment horizontal="center" vertical="center"/>
    </xf>
    <xf numFmtId="166" fontId="0" fillId="0" borderId="11" xfId="1" applyNumberFormat="1" applyFont="1" applyFill="1" applyBorder="1" applyAlignment="1">
      <alignment horizontal="center" vertical="center"/>
    </xf>
    <xf numFmtId="165" fontId="0" fillId="18" borderId="62" xfId="0" applyNumberFormat="1" applyFill="1" applyBorder="1" applyAlignment="1">
      <alignment horizontal="right" vertical="center"/>
    </xf>
    <xf numFmtId="49" fontId="8" fillId="11" borderId="9" xfId="0" applyNumberFormat="1" applyFont="1" applyFill="1" applyBorder="1" applyAlignment="1">
      <alignment horizontal="center" vertical="center"/>
    </xf>
    <xf numFmtId="49" fontId="8" fillId="11" borderId="147" xfId="0" applyNumberFormat="1" applyFont="1" applyFill="1" applyBorder="1" applyAlignment="1">
      <alignment horizontal="center" vertical="center"/>
    </xf>
    <xf numFmtId="49" fontId="8" fillId="11" borderId="160" xfId="0" applyNumberFormat="1" applyFont="1" applyFill="1" applyBorder="1" applyAlignment="1">
      <alignment horizontal="center" vertical="center"/>
    </xf>
    <xf numFmtId="49" fontId="8" fillId="11" borderId="159" xfId="0" applyNumberFormat="1" applyFont="1" applyFill="1" applyBorder="1" applyAlignment="1">
      <alignment horizontal="center" vertical="center"/>
    </xf>
    <xf numFmtId="165" fontId="9" fillId="0" borderId="49" xfId="0" applyNumberFormat="1" applyFont="1" applyBorder="1" applyAlignment="1">
      <alignment horizontal="center" vertical="center"/>
    </xf>
    <xf numFmtId="165" fontId="9" fillId="0" borderId="62" xfId="0" applyNumberFormat="1" applyFont="1" applyBorder="1" applyAlignment="1">
      <alignment horizontal="center" vertical="center"/>
    </xf>
    <xf numFmtId="165" fontId="9" fillId="0" borderId="47" xfId="0" applyNumberFormat="1" applyFont="1" applyBorder="1" applyAlignment="1">
      <alignment horizontal="center" vertical="center"/>
    </xf>
    <xf numFmtId="165" fontId="9" fillId="0" borderId="19" xfId="0" applyNumberFormat="1" applyFont="1" applyBorder="1" applyAlignment="1">
      <alignment horizontal="center" vertical="center"/>
    </xf>
    <xf numFmtId="165" fontId="9" fillId="0" borderId="28" xfId="0" applyNumberFormat="1" applyFont="1" applyBorder="1" applyAlignment="1">
      <alignment horizontal="center" vertical="center"/>
    </xf>
    <xf numFmtId="165" fontId="9" fillId="0" borderId="27" xfId="0" applyNumberFormat="1" applyFont="1" applyBorder="1" applyAlignment="1">
      <alignment horizontal="center" vertical="center"/>
    </xf>
    <xf numFmtId="165" fontId="9" fillId="0" borderId="81" xfId="0" applyNumberFormat="1" applyFont="1" applyBorder="1" applyAlignment="1">
      <alignment horizontal="center" vertical="center"/>
    </xf>
    <xf numFmtId="165" fontId="9" fillId="0" borderId="80" xfId="0" applyNumberFormat="1" applyFont="1" applyBorder="1" applyAlignment="1">
      <alignment horizontal="center" vertical="center"/>
    </xf>
    <xf numFmtId="165" fontId="9" fillId="0" borderId="78" xfId="0" applyNumberFormat="1" applyFont="1" applyBorder="1" applyAlignment="1">
      <alignment horizontal="center" vertical="center"/>
    </xf>
    <xf numFmtId="49" fontId="8" fillId="11" borderId="50" xfId="0" applyNumberFormat="1" applyFont="1" applyFill="1" applyBorder="1" applyAlignment="1">
      <alignment horizontal="center" vertical="center"/>
    </xf>
    <xf numFmtId="49" fontId="8" fillId="11" borderId="69" xfId="0" applyNumberFormat="1" applyFont="1" applyFill="1" applyBorder="1" applyAlignment="1">
      <alignment horizontal="center" vertical="center"/>
    </xf>
    <xf numFmtId="165" fontId="9" fillId="0" borderId="28" xfId="0" applyNumberFormat="1" applyFont="1" applyBorder="1" applyAlignment="1">
      <alignment horizontal="right" vertical="center"/>
    </xf>
    <xf numFmtId="165" fontId="9" fillId="0" borderId="80" xfId="0" applyNumberFormat="1" applyFont="1" applyBorder="1" applyAlignment="1">
      <alignment horizontal="right" vertical="center"/>
    </xf>
    <xf numFmtId="165" fontId="9" fillId="0" borderId="49" xfId="0" applyNumberFormat="1" applyFont="1" applyBorder="1" applyAlignment="1">
      <alignment horizontal="right"/>
    </xf>
    <xf numFmtId="165" fontId="9" fillId="0" borderId="47" xfId="0" applyNumberFormat="1" applyFont="1" applyBorder="1" applyAlignment="1">
      <alignment horizontal="right"/>
    </xf>
    <xf numFmtId="165" fontId="9" fillId="0" borderId="50" xfId="0" applyNumberFormat="1" applyFont="1" applyBorder="1" applyAlignment="1">
      <alignment horizontal="right" vertical="center"/>
    </xf>
    <xf numFmtId="165" fontId="9" fillId="0" borderId="70" xfId="0" applyNumberFormat="1" applyFont="1" applyBorder="1" applyAlignment="1">
      <alignment horizontal="right" vertical="center"/>
    </xf>
    <xf numFmtId="165" fontId="9" fillId="0" borderId="69" xfId="0" applyNumberFormat="1" applyFont="1" applyBorder="1" applyAlignment="1">
      <alignment horizontal="right" vertical="center"/>
    </xf>
    <xf numFmtId="165" fontId="9" fillId="0" borderId="4" xfId="0" applyNumberFormat="1" applyFont="1" applyBorder="1" applyAlignment="1">
      <alignment horizontal="right"/>
    </xf>
    <xf numFmtId="165" fontId="9" fillId="0" borderId="11" xfId="0" applyNumberFormat="1" applyFont="1" applyBorder="1" applyAlignment="1">
      <alignment horizontal="right"/>
    </xf>
    <xf numFmtId="165" fontId="9" fillId="0" borderId="50" xfId="0" applyNumberFormat="1" applyFont="1" applyBorder="1" applyAlignment="1">
      <alignment horizontal="center" vertical="center"/>
    </xf>
    <xf numFmtId="165" fontId="9" fillId="0" borderId="69" xfId="0" applyNumberFormat="1" applyFont="1" applyBorder="1" applyAlignment="1">
      <alignment horizontal="center" vertical="center"/>
    </xf>
  </cellXfs>
  <cellStyles count="34">
    <cellStyle name="Comma" xfId="9"/>
    <cellStyle name="Comma 2" xfId="16"/>
    <cellStyle name="Comma 2 2" xfId="30"/>
    <cellStyle name="Comma 3" xfId="23"/>
    <cellStyle name="Hiperlink" xfId="33" builtinId="8"/>
    <cellStyle name="Moeda" xfId="10" builtinId="4"/>
    <cellStyle name="Moeda 138 3" xfId="3"/>
    <cellStyle name="Moeda 138 3 2" xfId="12"/>
    <cellStyle name="Moeda 138 3 2 2" xfId="26"/>
    <cellStyle name="Moeda 138 3 3" xfId="19"/>
    <cellStyle name="Moeda 2" xfId="4"/>
    <cellStyle name="Moeda 23 3" xfId="5"/>
    <cellStyle name="Moeda 23 3 2" xfId="13"/>
    <cellStyle name="Moeda 23 3 2 2" xfId="27"/>
    <cellStyle name="Moeda 23 3 3" xfId="20"/>
    <cellStyle name="Moeda 24 3" xfId="6"/>
    <cellStyle name="Moeda 24 3 2" xfId="14"/>
    <cellStyle name="Moeda 24 3 2 2" xfId="28"/>
    <cellStyle name="Moeda 24 3 3" xfId="21"/>
    <cellStyle name="Moeda 3" xfId="17"/>
    <cellStyle name="Moeda 3 2" xfId="31"/>
    <cellStyle name="Moeda 4" xfId="24"/>
    <cellStyle name="Normal" xfId="0" builtinId="0"/>
    <cellStyle name="Normal 2" xfId="7"/>
    <cellStyle name="Normal_Objetivos_Operadora_Mercado" xfId="32"/>
    <cellStyle name="Porcentagem" xfId="2" builtinId="5"/>
    <cellStyle name="Vírgula" xfId="1" builtinId="3"/>
    <cellStyle name="Vírgula 2" xfId="11"/>
    <cellStyle name="Vírgula 2 2" xfId="25"/>
    <cellStyle name="Vírgula 3" xfId="18"/>
    <cellStyle name="Vírgula 6" xfId="8"/>
    <cellStyle name="Vírgula 6 2" xfId="15"/>
    <cellStyle name="Vírgula 6 2 2" xfId="29"/>
    <cellStyle name="Vírgula 6 3" xfId="22"/>
  </cellStyles>
  <dxfs count="13">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00"/>
      <color rgb="FF00FF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pt-BR" sz="1400" b="1">
                <a:solidFill>
                  <a:schemeClr val="tx1"/>
                </a:solidFill>
                <a:latin typeface="Times New Roman" panose="02020603050405020304" pitchFamily="18" charset="0"/>
                <a:cs typeface="Times New Roman" panose="02020603050405020304" pitchFamily="18" charset="0"/>
              </a:rPr>
              <a:t>Receita</a:t>
            </a:r>
            <a:r>
              <a:rPr lang="pt-BR" sz="1400" b="1" baseline="0">
                <a:solidFill>
                  <a:schemeClr val="tx1"/>
                </a:solidFill>
                <a:latin typeface="Times New Roman" panose="02020603050405020304" pitchFamily="18" charset="0"/>
                <a:cs typeface="Times New Roman" panose="02020603050405020304" pitchFamily="18" charset="0"/>
              </a:rPr>
              <a:t> Orçada x Realizada</a:t>
            </a:r>
            <a:endParaRPr lang="pt-BR" sz="1400" b="1">
              <a:solidFill>
                <a:schemeClr val="tx1"/>
              </a:solidFill>
              <a:latin typeface="Times New Roman" panose="02020603050405020304" pitchFamily="18" charset="0"/>
              <a:cs typeface="Times New Roman" panose="02020603050405020304" pitchFamily="18" charset="0"/>
            </a:endParaRPr>
          </a:p>
        </c:rich>
      </c:tx>
      <c:layout/>
      <c:overlay val="0"/>
      <c:spPr>
        <a:noFill/>
        <a:ln>
          <a:noFill/>
        </a:ln>
        <a:effectLst/>
      </c:spPr>
    </c:title>
    <c:autoTitleDeleted val="0"/>
    <c:plotArea>
      <c:layout/>
      <c:barChart>
        <c:barDir val="col"/>
        <c:grouping val="clustered"/>
        <c:varyColors val="0"/>
        <c:ser>
          <c:idx val="0"/>
          <c:order val="0"/>
          <c:tx>
            <c:strRef>
              <c:f>Desvios_2022!$A$17</c:f>
              <c:strCache>
                <c:ptCount val="1"/>
                <c:pt idx="0">
                  <c:v>Receita Orçada</c:v>
                </c:pt>
              </c:strCache>
            </c:strRef>
          </c:tx>
          <c:spPr>
            <a:solidFill>
              <a:schemeClr val="accent1"/>
            </a:solidFill>
            <a:ln>
              <a:noFill/>
            </a:ln>
            <a:effectLst/>
          </c:spPr>
          <c:invertIfNegative val="0"/>
          <c:cat>
            <c:strRef>
              <c:f>Desvios_2022!$B$16:$M$16</c:f>
              <c:strCache>
                <c:ptCount val="12"/>
                <c:pt idx="0">
                  <c:v>Jan </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Desvios_2022!$B$17:$M$17</c:f>
              <c:numCache>
                <c:formatCode>#,##0_ ;[Red]\-#,##0\ </c:formatCode>
                <c:ptCount val="12"/>
                <c:pt idx="0">
                  <c:v>20957848.276193332</c:v>
                </c:pt>
                <c:pt idx="1">
                  <c:v>20957848.276193332</c:v>
                </c:pt>
                <c:pt idx="2">
                  <c:v>20957848.276193332</c:v>
                </c:pt>
                <c:pt idx="3">
                  <c:v>20961435.879143331</c:v>
                </c:pt>
                <c:pt idx="4">
                  <c:v>21698657.746683333</c:v>
                </c:pt>
                <c:pt idx="5">
                  <c:v>22003879.087863334</c:v>
                </c:pt>
                <c:pt idx="6">
                  <c:v>22038954.845723331</c:v>
                </c:pt>
                <c:pt idx="7">
                  <c:v>22133965.53754333</c:v>
                </c:pt>
                <c:pt idx="8">
                  <c:v>22194970.131253332</c:v>
                </c:pt>
                <c:pt idx="9">
                  <c:v>21696416.377253331</c:v>
                </c:pt>
                <c:pt idx="10">
                  <c:v>21929386.14511333</c:v>
                </c:pt>
                <c:pt idx="11">
                  <c:v>21758426.14514333</c:v>
                </c:pt>
              </c:numCache>
            </c:numRef>
          </c:val>
          <c:extLst xmlns:c16r2="http://schemas.microsoft.com/office/drawing/2015/06/chart">
            <c:ext xmlns:c16="http://schemas.microsoft.com/office/drawing/2014/chart" uri="{C3380CC4-5D6E-409C-BE32-E72D297353CC}">
              <c16:uniqueId val="{00000000-1F5B-4A0D-9ACB-59F3F8B0C9A5}"/>
            </c:ext>
          </c:extLst>
        </c:ser>
        <c:ser>
          <c:idx val="1"/>
          <c:order val="1"/>
          <c:tx>
            <c:strRef>
              <c:f>Desvios_2022!$A$18</c:f>
              <c:strCache>
                <c:ptCount val="1"/>
                <c:pt idx="0">
                  <c:v>Receita Realizada</c:v>
                </c:pt>
              </c:strCache>
            </c:strRef>
          </c:tx>
          <c:spPr>
            <a:solidFill>
              <a:schemeClr val="accent2"/>
            </a:solidFill>
            <a:ln>
              <a:noFill/>
            </a:ln>
            <a:effectLst/>
          </c:spPr>
          <c:invertIfNegative val="0"/>
          <c:cat>
            <c:strRef>
              <c:f>Desvios_2022!$B$16:$M$16</c:f>
              <c:strCache>
                <c:ptCount val="12"/>
                <c:pt idx="0">
                  <c:v>Jan </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Desvios_2022!$B$18:$M$18</c:f>
              <c:numCache>
                <c:formatCode>#,##0_ ;[Red]\-#,##0\ </c:formatCode>
                <c:ptCount val="12"/>
                <c:pt idx="0">
                  <c:v>23024404</c:v>
                </c:pt>
                <c:pt idx="1">
                  <c:v>21677806.41</c:v>
                </c:pt>
                <c:pt idx="2">
                  <c:v>23899743.07</c:v>
                </c:pt>
                <c:pt idx="3">
                  <c:v>0</c:v>
                </c:pt>
                <c:pt idx="4">
                  <c:v>0</c:v>
                </c:pt>
                <c:pt idx="5">
                  <c:v>0</c:v>
                </c:pt>
                <c:pt idx="6">
                  <c:v>0</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1-1F5B-4A0D-9ACB-59F3F8B0C9A5}"/>
            </c:ext>
          </c:extLst>
        </c:ser>
        <c:dLbls>
          <c:showLegendKey val="0"/>
          <c:showVal val="0"/>
          <c:showCatName val="0"/>
          <c:showSerName val="0"/>
          <c:showPercent val="0"/>
          <c:showBubbleSize val="0"/>
        </c:dLbls>
        <c:gapWidth val="219"/>
        <c:overlap val="-27"/>
        <c:axId val="237019648"/>
        <c:axId val="212156416"/>
      </c:barChart>
      <c:catAx>
        <c:axId val="23701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2156416"/>
        <c:crosses val="autoZero"/>
        <c:auto val="1"/>
        <c:lblAlgn val="ctr"/>
        <c:lblOffset val="100"/>
        <c:noMultiLvlLbl val="0"/>
      </c:catAx>
      <c:valAx>
        <c:axId val="212156416"/>
        <c:scaling>
          <c:orientation val="minMax"/>
        </c:scaling>
        <c:delete val="0"/>
        <c:axPos val="l"/>
        <c:majorGridlines>
          <c:spPr>
            <a:ln w="9525" cap="flat" cmpd="sng" algn="ctr">
              <a:solidFill>
                <a:schemeClr val="tx1">
                  <a:lumMod val="15000"/>
                  <a:lumOff val="85000"/>
                </a:schemeClr>
              </a:solidFill>
              <a:round/>
            </a:ln>
            <a:effectLst/>
          </c:spPr>
        </c:majorGridlines>
        <c:numFmt formatCode="#,##0_ ;[Red]\-#,##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70196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1">
                <a:solidFill>
                  <a:schemeClr val="tx1"/>
                </a:solidFill>
                <a:latin typeface="Times New Roman" panose="02020603050405020304" pitchFamily="18" charset="0"/>
                <a:cs typeface="Times New Roman" panose="02020603050405020304" pitchFamily="18" charset="0"/>
              </a:rPr>
              <a:t>Resultado</a:t>
            </a:r>
            <a:r>
              <a:rPr lang="pt-BR" b="1" baseline="0">
                <a:solidFill>
                  <a:schemeClr val="tx1"/>
                </a:solidFill>
                <a:latin typeface="Times New Roman" panose="02020603050405020304" pitchFamily="18" charset="0"/>
                <a:cs typeface="Times New Roman" panose="02020603050405020304" pitchFamily="18" charset="0"/>
              </a:rPr>
              <a:t> Orçado x Realizado</a:t>
            </a:r>
            <a:endParaRPr lang="pt-BR" b="1">
              <a:solidFill>
                <a:schemeClr val="tx1"/>
              </a:solidFill>
              <a:latin typeface="Times New Roman" panose="02020603050405020304" pitchFamily="18" charset="0"/>
              <a:cs typeface="Times New Roman" panose="02020603050405020304" pitchFamily="18" charset="0"/>
            </a:endParaRPr>
          </a:p>
        </c:rich>
      </c:tx>
      <c:layout/>
      <c:overlay val="0"/>
      <c:spPr>
        <a:noFill/>
        <a:ln>
          <a:noFill/>
        </a:ln>
        <a:effectLst/>
      </c:spPr>
    </c:title>
    <c:autoTitleDeleted val="0"/>
    <c:plotArea>
      <c:layout/>
      <c:barChart>
        <c:barDir val="col"/>
        <c:grouping val="clustered"/>
        <c:varyColors val="0"/>
        <c:ser>
          <c:idx val="0"/>
          <c:order val="0"/>
          <c:tx>
            <c:strRef>
              <c:f>Desvios_2022!$A$41</c:f>
              <c:strCache>
                <c:ptCount val="1"/>
                <c:pt idx="0">
                  <c:v>Despesa Orçada</c:v>
                </c:pt>
              </c:strCache>
            </c:strRef>
          </c:tx>
          <c:spPr>
            <a:solidFill>
              <a:schemeClr val="accent1"/>
            </a:solidFill>
            <a:ln>
              <a:noFill/>
            </a:ln>
            <a:effectLst/>
          </c:spPr>
          <c:invertIfNegative val="0"/>
          <c:cat>
            <c:strRef>
              <c:f>Desvios_2022!$B$40:$M$40</c:f>
              <c:strCache>
                <c:ptCount val="12"/>
                <c:pt idx="0">
                  <c:v>Jan </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Desvios_2022!$B$41:$M$41</c:f>
              <c:numCache>
                <c:formatCode>#,##0_ ;[Red]\-#,##0\ </c:formatCode>
                <c:ptCount val="12"/>
                <c:pt idx="0">
                  <c:v>20206923.562399998</c:v>
                </c:pt>
                <c:pt idx="1">
                  <c:v>20207723.562399998</c:v>
                </c:pt>
                <c:pt idx="2">
                  <c:v>20357923.562399998</c:v>
                </c:pt>
                <c:pt idx="3">
                  <c:v>20357423.562399998</c:v>
                </c:pt>
                <c:pt idx="4">
                  <c:v>20663858.562399998</c:v>
                </c:pt>
                <c:pt idx="5">
                  <c:v>21213982.623199999</c:v>
                </c:pt>
                <c:pt idx="6">
                  <c:v>21213582.623199999</c:v>
                </c:pt>
                <c:pt idx="7">
                  <c:v>21215082.623199999</c:v>
                </c:pt>
                <c:pt idx="8">
                  <c:v>21245582.623199999</c:v>
                </c:pt>
                <c:pt idx="9">
                  <c:v>21245082.623199999</c:v>
                </c:pt>
                <c:pt idx="10">
                  <c:v>21365582.623199999</c:v>
                </c:pt>
                <c:pt idx="11">
                  <c:v>21365082.623199999</c:v>
                </c:pt>
              </c:numCache>
            </c:numRef>
          </c:val>
          <c:extLst xmlns:c16r2="http://schemas.microsoft.com/office/drawing/2015/06/chart">
            <c:ext xmlns:c16="http://schemas.microsoft.com/office/drawing/2014/chart" uri="{C3380CC4-5D6E-409C-BE32-E72D297353CC}">
              <c16:uniqueId val="{00000000-52FE-40AA-A71F-DAEC5B9D1431}"/>
            </c:ext>
          </c:extLst>
        </c:ser>
        <c:ser>
          <c:idx val="1"/>
          <c:order val="1"/>
          <c:tx>
            <c:strRef>
              <c:f>Desvios_2022!$A$42</c:f>
              <c:strCache>
                <c:ptCount val="1"/>
                <c:pt idx="0">
                  <c:v>Despesa Realizada</c:v>
                </c:pt>
              </c:strCache>
            </c:strRef>
          </c:tx>
          <c:spPr>
            <a:solidFill>
              <a:schemeClr val="accent2"/>
            </a:solidFill>
            <a:ln>
              <a:noFill/>
            </a:ln>
            <a:effectLst/>
          </c:spPr>
          <c:invertIfNegative val="0"/>
          <c:cat>
            <c:strRef>
              <c:f>Desvios_2022!$B$40:$M$40</c:f>
              <c:strCache>
                <c:ptCount val="12"/>
                <c:pt idx="0">
                  <c:v>Jan </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Desvios_2022!$B$42:$M$42</c:f>
              <c:numCache>
                <c:formatCode>#,##0_ ;[Red]\-#,##0\ </c:formatCode>
                <c:ptCount val="12"/>
                <c:pt idx="0">
                  <c:v>20696206</c:v>
                </c:pt>
                <c:pt idx="1">
                  <c:v>22610767.879999999</c:v>
                </c:pt>
                <c:pt idx="2">
                  <c:v>22109536.440000001</c:v>
                </c:pt>
                <c:pt idx="3">
                  <c:v>0</c:v>
                </c:pt>
                <c:pt idx="4">
                  <c:v>0</c:v>
                </c:pt>
                <c:pt idx="5">
                  <c:v>0</c:v>
                </c:pt>
                <c:pt idx="6">
                  <c:v>0</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1-52FE-40AA-A71F-DAEC5B9D1431}"/>
            </c:ext>
          </c:extLst>
        </c:ser>
        <c:dLbls>
          <c:showLegendKey val="0"/>
          <c:showVal val="0"/>
          <c:showCatName val="0"/>
          <c:showSerName val="0"/>
          <c:showPercent val="0"/>
          <c:showBubbleSize val="0"/>
        </c:dLbls>
        <c:gapWidth val="219"/>
        <c:overlap val="-27"/>
        <c:axId val="237020672"/>
        <c:axId val="212161024"/>
      </c:barChart>
      <c:catAx>
        <c:axId val="23702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2161024"/>
        <c:crosses val="autoZero"/>
        <c:auto val="1"/>
        <c:lblAlgn val="ctr"/>
        <c:lblOffset val="100"/>
        <c:noMultiLvlLbl val="0"/>
      </c:catAx>
      <c:valAx>
        <c:axId val="212161024"/>
        <c:scaling>
          <c:orientation val="minMax"/>
        </c:scaling>
        <c:delete val="0"/>
        <c:axPos val="l"/>
        <c:majorGridlines>
          <c:spPr>
            <a:ln w="9525" cap="flat" cmpd="sng" algn="ctr">
              <a:solidFill>
                <a:schemeClr val="tx1">
                  <a:lumMod val="15000"/>
                  <a:lumOff val="85000"/>
                </a:schemeClr>
              </a:solidFill>
              <a:round/>
            </a:ln>
            <a:effectLst/>
          </c:spPr>
        </c:majorGridlines>
        <c:numFmt formatCode="#,##0_ ;[Red]\-#,##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70206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1">
                <a:solidFill>
                  <a:schemeClr val="tx1"/>
                </a:solidFill>
                <a:latin typeface="Times New Roman" panose="02020603050405020304" pitchFamily="18" charset="0"/>
                <a:cs typeface="Times New Roman" panose="02020603050405020304" pitchFamily="18" charset="0"/>
              </a:rPr>
              <a:t>Resultado</a:t>
            </a:r>
            <a:r>
              <a:rPr lang="pt-BR" b="1" baseline="0">
                <a:solidFill>
                  <a:schemeClr val="tx1"/>
                </a:solidFill>
                <a:latin typeface="Times New Roman" panose="02020603050405020304" pitchFamily="18" charset="0"/>
                <a:cs typeface="Times New Roman" panose="02020603050405020304" pitchFamily="18" charset="0"/>
              </a:rPr>
              <a:t> Orçado x Realizado</a:t>
            </a:r>
            <a:endParaRPr lang="pt-BR" b="1">
              <a:solidFill>
                <a:schemeClr val="tx1"/>
              </a:solidFill>
              <a:latin typeface="Times New Roman" panose="02020603050405020304" pitchFamily="18" charset="0"/>
              <a:cs typeface="Times New Roman" panose="02020603050405020304" pitchFamily="18" charset="0"/>
            </a:endParaRPr>
          </a:p>
        </c:rich>
      </c:tx>
      <c:layout/>
      <c:overlay val="0"/>
      <c:spPr>
        <a:noFill/>
        <a:ln>
          <a:noFill/>
        </a:ln>
        <a:effectLst/>
      </c:spPr>
    </c:title>
    <c:autoTitleDeleted val="0"/>
    <c:plotArea>
      <c:layout/>
      <c:barChart>
        <c:barDir val="col"/>
        <c:grouping val="clustered"/>
        <c:varyColors val="0"/>
        <c:ser>
          <c:idx val="0"/>
          <c:order val="0"/>
          <c:tx>
            <c:strRef>
              <c:f>Desvios_2022!$A$64</c:f>
              <c:strCache>
                <c:ptCount val="1"/>
                <c:pt idx="0">
                  <c:v>Resultado Orçado</c:v>
                </c:pt>
              </c:strCache>
            </c:strRef>
          </c:tx>
          <c:spPr>
            <a:solidFill>
              <a:schemeClr val="accent1"/>
            </a:solidFill>
            <a:ln>
              <a:noFill/>
            </a:ln>
            <a:effectLst/>
          </c:spPr>
          <c:invertIfNegative val="0"/>
          <c:cat>
            <c:strRef>
              <c:f>Desvios_2022!$B$63:$M$63</c:f>
              <c:strCache>
                <c:ptCount val="12"/>
                <c:pt idx="0">
                  <c:v>Jan </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Desvios_2022!$B$64:$M$64</c:f>
              <c:numCache>
                <c:formatCode>#,##0_ ;[Red]\-#,##0\ </c:formatCode>
                <c:ptCount val="12"/>
                <c:pt idx="0">
                  <c:v>874391.85</c:v>
                </c:pt>
                <c:pt idx="1">
                  <c:v>874391.66</c:v>
                </c:pt>
                <c:pt idx="2">
                  <c:v>851797.62</c:v>
                </c:pt>
                <c:pt idx="3">
                  <c:v>851797.62</c:v>
                </c:pt>
                <c:pt idx="4">
                  <c:v>851797.62</c:v>
                </c:pt>
                <c:pt idx="5">
                  <c:v>851797.62</c:v>
                </c:pt>
                <c:pt idx="6">
                  <c:v>826474.64</c:v>
                </c:pt>
                <c:pt idx="7">
                  <c:v>805289.64</c:v>
                </c:pt>
                <c:pt idx="8">
                  <c:v>805289.64</c:v>
                </c:pt>
                <c:pt idx="9">
                  <c:v>805289.64</c:v>
                </c:pt>
                <c:pt idx="10">
                  <c:v>805289.64</c:v>
                </c:pt>
                <c:pt idx="11">
                  <c:v>805289.64</c:v>
                </c:pt>
              </c:numCache>
            </c:numRef>
          </c:val>
          <c:extLst xmlns:c16r2="http://schemas.microsoft.com/office/drawing/2015/06/chart">
            <c:ext xmlns:c16="http://schemas.microsoft.com/office/drawing/2014/chart" uri="{C3380CC4-5D6E-409C-BE32-E72D297353CC}">
              <c16:uniqueId val="{00000000-49E0-450D-941C-11947950E4E4}"/>
            </c:ext>
          </c:extLst>
        </c:ser>
        <c:ser>
          <c:idx val="1"/>
          <c:order val="1"/>
          <c:tx>
            <c:strRef>
              <c:f>Desvios_2022!$A$65</c:f>
              <c:strCache>
                <c:ptCount val="1"/>
                <c:pt idx="0">
                  <c:v>Resultado Realizado</c:v>
                </c:pt>
              </c:strCache>
            </c:strRef>
          </c:tx>
          <c:spPr>
            <a:solidFill>
              <a:schemeClr val="accent2"/>
            </a:solidFill>
            <a:ln>
              <a:noFill/>
            </a:ln>
            <a:effectLst/>
          </c:spPr>
          <c:invertIfNegative val="0"/>
          <c:cat>
            <c:strRef>
              <c:f>Desvios_2022!$B$63:$M$63</c:f>
              <c:strCache>
                <c:ptCount val="12"/>
                <c:pt idx="0">
                  <c:v>Jan </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Desvios_2022!$B$65:$M$65</c:f>
              <c:numCache>
                <c:formatCode>#,##0_ ;[Red]\-#,##0\ </c:formatCode>
                <c:ptCount val="12"/>
                <c:pt idx="0">
                  <c:v>2328198</c:v>
                </c:pt>
                <c:pt idx="1">
                  <c:v>-932961.47</c:v>
                </c:pt>
                <c:pt idx="2">
                  <c:v>1790206.63</c:v>
                </c:pt>
                <c:pt idx="3">
                  <c:v>0</c:v>
                </c:pt>
                <c:pt idx="4">
                  <c:v>0</c:v>
                </c:pt>
                <c:pt idx="5">
                  <c:v>0</c:v>
                </c:pt>
                <c:pt idx="6">
                  <c:v>0</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1-49E0-450D-941C-11947950E4E4}"/>
            </c:ext>
          </c:extLst>
        </c:ser>
        <c:dLbls>
          <c:showLegendKey val="0"/>
          <c:showVal val="0"/>
          <c:showCatName val="0"/>
          <c:showSerName val="0"/>
          <c:showPercent val="0"/>
          <c:showBubbleSize val="0"/>
        </c:dLbls>
        <c:gapWidth val="219"/>
        <c:overlap val="-27"/>
        <c:axId val="237021696"/>
        <c:axId val="212163328"/>
      </c:barChart>
      <c:catAx>
        <c:axId val="2370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2163328"/>
        <c:crosses val="autoZero"/>
        <c:auto val="1"/>
        <c:lblAlgn val="ctr"/>
        <c:lblOffset val="100"/>
        <c:noMultiLvlLbl val="0"/>
      </c:catAx>
      <c:valAx>
        <c:axId val="212163328"/>
        <c:scaling>
          <c:orientation val="minMax"/>
        </c:scaling>
        <c:delete val="0"/>
        <c:axPos val="l"/>
        <c:majorGridlines>
          <c:spPr>
            <a:ln w="9525" cap="flat" cmpd="sng" algn="ctr">
              <a:solidFill>
                <a:schemeClr val="tx1">
                  <a:lumMod val="15000"/>
                  <a:lumOff val="85000"/>
                </a:schemeClr>
              </a:solidFill>
              <a:round/>
            </a:ln>
            <a:effectLst/>
          </c:spPr>
        </c:majorGridlines>
        <c:numFmt formatCode="#,##0_ ;[Red]\-#,##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70216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142874</xdr:colOff>
      <xdr:row>0</xdr:row>
      <xdr:rowOff>9525</xdr:rowOff>
    </xdr:from>
    <xdr:to>
      <xdr:col>1</xdr:col>
      <xdr:colOff>2416967</xdr:colOff>
      <xdr:row>3</xdr:row>
      <xdr:rowOff>127521</xdr:rowOff>
    </xdr:to>
    <xdr:pic>
      <xdr:nvPicPr>
        <xdr:cNvPr id="2" name="Picture 25" descr="Logo_SC_cinza">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srcRect t="9151" b="13197"/>
        <a:stretch>
          <a:fillRect/>
        </a:stretch>
      </xdr:blipFill>
      <xdr:spPr bwMode="auto">
        <a:xfrm>
          <a:off x="142874" y="9525"/>
          <a:ext cx="1016793" cy="718071"/>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142874</xdr:colOff>
      <xdr:row>0</xdr:row>
      <xdr:rowOff>9525</xdr:rowOff>
    </xdr:from>
    <xdr:to>
      <xdr:col>1</xdr:col>
      <xdr:colOff>2416967</xdr:colOff>
      <xdr:row>3</xdr:row>
      <xdr:rowOff>127521</xdr:rowOff>
    </xdr:to>
    <xdr:pic>
      <xdr:nvPicPr>
        <xdr:cNvPr id="2" name="Picture 25" descr="Logo_SC_cinza">
          <a:extLst>
            <a:ext uri="{FF2B5EF4-FFF2-40B4-BE49-F238E27FC236}">
              <a16:creationId xmlns=""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t="9151" b="13197"/>
        <a:stretch>
          <a:fillRect/>
        </a:stretch>
      </xdr:blipFill>
      <xdr:spPr bwMode="auto">
        <a:xfrm>
          <a:off x="142874" y="9525"/>
          <a:ext cx="1016793" cy="718071"/>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119063</xdr:colOff>
      <xdr:row>0</xdr:row>
      <xdr:rowOff>107156</xdr:rowOff>
    </xdr:from>
    <xdr:to>
      <xdr:col>1</xdr:col>
      <xdr:colOff>404813</xdr:colOff>
      <xdr:row>3</xdr:row>
      <xdr:rowOff>17910</xdr:rowOff>
    </xdr:to>
    <xdr:pic>
      <xdr:nvPicPr>
        <xdr:cNvPr id="4" name="Imagem 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119063" y="107156"/>
          <a:ext cx="1952625" cy="589410"/>
        </a:xfrm>
        <a:prstGeom prst="rect">
          <a:avLst/>
        </a:prstGeom>
      </xdr:spPr>
    </xdr:pic>
    <xdr:clientData/>
  </xdr:twoCellAnchor>
  <xdr:twoCellAnchor editAs="oneCell">
    <xdr:from>
      <xdr:col>0</xdr:col>
      <xdr:colOff>119063</xdr:colOff>
      <xdr:row>0</xdr:row>
      <xdr:rowOff>107156</xdr:rowOff>
    </xdr:from>
    <xdr:to>
      <xdr:col>0</xdr:col>
      <xdr:colOff>523876</xdr:colOff>
      <xdr:row>3</xdr:row>
      <xdr:rowOff>17910</xdr:rowOff>
    </xdr:to>
    <xdr:pic>
      <xdr:nvPicPr>
        <xdr:cNvPr id="3" name="Imagem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19063" y="107156"/>
          <a:ext cx="1952625" cy="5965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119060</xdr:colOff>
      <xdr:row>0</xdr:row>
      <xdr:rowOff>154780</xdr:rowOff>
    </xdr:from>
    <xdr:to>
      <xdr:col>1</xdr:col>
      <xdr:colOff>404810</xdr:colOff>
      <xdr:row>3</xdr:row>
      <xdr:rowOff>65534</xdr:rowOff>
    </xdr:to>
    <xdr:pic>
      <xdr:nvPicPr>
        <xdr:cNvPr id="2" name="Imagem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19060" y="154780"/>
          <a:ext cx="1952625" cy="5894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154778</xdr:colOff>
      <xdr:row>0</xdr:row>
      <xdr:rowOff>59531</xdr:rowOff>
    </xdr:from>
    <xdr:to>
      <xdr:col>1</xdr:col>
      <xdr:colOff>2107403</xdr:colOff>
      <xdr:row>3</xdr:row>
      <xdr:rowOff>130968</xdr:rowOff>
    </xdr:to>
    <xdr:pic>
      <xdr:nvPicPr>
        <xdr:cNvPr id="2" name="Imagem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54778" y="59531"/>
          <a:ext cx="1952625" cy="7500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154778</xdr:colOff>
      <xdr:row>0</xdr:row>
      <xdr:rowOff>59531</xdr:rowOff>
    </xdr:from>
    <xdr:to>
      <xdr:col>1</xdr:col>
      <xdr:colOff>2107403</xdr:colOff>
      <xdr:row>3</xdr:row>
      <xdr:rowOff>130968</xdr:rowOff>
    </xdr:to>
    <xdr:pic>
      <xdr:nvPicPr>
        <xdr:cNvPr id="2" name="Imagem 1">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54778" y="59531"/>
          <a:ext cx="1952625" cy="7572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154778</xdr:colOff>
      <xdr:row>0</xdr:row>
      <xdr:rowOff>59531</xdr:rowOff>
    </xdr:from>
    <xdr:to>
      <xdr:col>1</xdr:col>
      <xdr:colOff>2107403</xdr:colOff>
      <xdr:row>3</xdr:row>
      <xdr:rowOff>99218</xdr:rowOff>
    </xdr:to>
    <xdr:pic>
      <xdr:nvPicPr>
        <xdr:cNvPr id="2" name="Imagem 1">
          <a:extLst>
            <a:ext uri="{FF2B5EF4-FFF2-40B4-BE49-F238E27FC236}">
              <a16:creationId xmlns="" xmlns:a16="http://schemas.microsoft.com/office/drawing/2014/main" id="{73BB7445-E3E8-427A-917C-F952A275C947}"/>
            </a:ext>
          </a:extLst>
        </xdr:cNvPr>
        <xdr:cNvPicPr>
          <a:picLocks noChangeAspect="1"/>
        </xdr:cNvPicPr>
      </xdr:nvPicPr>
      <xdr:blipFill>
        <a:blip xmlns:r="http://schemas.openxmlformats.org/officeDocument/2006/relationships" r:embed="rId1"/>
        <a:stretch>
          <a:fillRect/>
        </a:stretch>
      </xdr:blipFill>
      <xdr:spPr>
        <a:xfrm>
          <a:off x="1583528" y="59531"/>
          <a:ext cx="1952625" cy="7540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240503</xdr:colOff>
      <xdr:row>0</xdr:row>
      <xdr:rowOff>173832</xdr:rowOff>
    </xdr:from>
    <xdr:to>
      <xdr:col>1</xdr:col>
      <xdr:colOff>1821599</xdr:colOff>
      <xdr:row>2</xdr:row>
      <xdr:rowOff>200026</xdr:rowOff>
    </xdr:to>
    <xdr:pic>
      <xdr:nvPicPr>
        <xdr:cNvPr id="2" name="Imagem 1">
          <a:extLst>
            <a:ext uri="{FF2B5EF4-FFF2-40B4-BE49-F238E27FC236}">
              <a16:creationId xmlns="" xmlns:a16="http://schemas.microsoft.com/office/drawing/2014/main" id="{DDD68016-226C-47BF-8692-E73725D734DE}"/>
            </a:ext>
          </a:extLst>
        </xdr:cNvPr>
        <xdr:cNvPicPr>
          <a:picLocks noChangeAspect="1"/>
        </xdr:cNvPicPr>
      </xdr:nvPicPr>
      <xdr:blipFill>
        <a:blip xmlns:r="http://schemas.openxmlformats.org/officeDocument/2006/relationships" r:embed="rId1"/>
        <a:stretch>
          <a:fillRect/>
        </a:stretch>
      </xdr:blipFill>
      <xdr:spPr>
        <a:xfrm>
          <a:off x="240503" y="173832"/>
          <a:ext cx="2524071" cy="483394"/>
        </a:xfrm>
        <a:prstGeom prst="rect">
          <a:avLst/>
        </a:prstGeom>
      </xdr:spPr>
    </xdr:pic>
    <xdr:clientData/>
  </xdr:twoCellAnchor>
  <xdr:twoCellAnchor editAs="oneCell">
    <xdr:from>
      <xdr:col>0</xdr:col>
      <xdr:colOff>240503</xdr:colOff>
      <xdr:row>0</xdr:row>
      <xdr:rowOff>173832</xdr:rowOff>
    </xdr:from>
    <xdr:to>
      <xdr:col>1</xdr:col>
      <xdr:colOff>1821599</xdr:colOff>
      <xdr:row>2</xdr:row>
      <xdr:rowOff>200026</xdr:rowOff>
    </xdr:to>
    <xdr:pic>
      <xdr:nvPicPr>
        <xdr:cNvPr id="3" name="Imagem 2">
          <a:extLst>
            <a:ext uri="{FF2B5EF4-FFF2-40B4-BE49-F238E27FC236}">
              <a16:creationId xmlns="" xmlns:a16="http://schemas.microsoft.com/office/drawing/2014/main" id="{BBC00B4B-6C03-4E4C-940F-BE3B96CCD4D7}"/>
            </a:ext>
          </a:extLst>
        </xdr:cNvPr>
        <xdr:cNvPicPr>
          <a:picLocks noChangeAspect="1"/>
        </xdr:cNvPicPr>
      </xdr:nvPicPr>
      <xdr:blipFill>
        <a:blip xmlns:r="http://schemas.openxmlformats.org/officeDocument/2006/relationships" r:embed="rId1"/>
        <a:stretch>
          <a:fillRect/>
        </a:stretch>
      </xdr:blipFill>
      <xdr:spPr>
        <a:xfrm>
          <a:off x="240503" y="173832"/>
          <a:ext cx="2524071" cy="4833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152400</xdr:colOff>
      <xdr:row>0</xdr:row>
      <xdr:rowOff>180975</xdr:rowOff>
    </xdr:from>
    <xdr:to>
      <xdr:col>1</xdr:col>
      <xdr:colOff>1721635</xdr:colOff>
      <xdr:row>3</xdr:row>
      <xdr:rowOff>28575</xdr:rowOff>
    </xdr:to>
    <xdr:pic>
      <xdr:nvPicPr>
        <xdr:cNvPr id="2" name="Imagem 1">
          <a:extLst>
            <a:ext uri="{FF2B5EF4-FFF2-40B4-BE49-F238E27FC236}">
              <a16:creationId xmlns="" xmlns:a16="http://schemas.microsoft.com/office/drawing/2014/main" id="{47E09715-A58B-4B79-8C10-5E0C7CB0F746}"/>
            </a:ext>
          </a:extLst>
        </xdr:cNvPr>
        <xdr:cNvPicPr>
          <a:picLocks noChangeAspect="1"/>
        </xdr:cNvPicPr>
      </xdr:nvPicPr>
      <xdr:blipFill>
        <a:blip xmlns:r="http://schemas.openxmlformats.org/officeDocument/2006/relationships" r:embed="rId1"/>
        <a:stretch>
          <a:fillRect/>
        </a:stretch>
      </xdr:blipFill>
      <xdr:spPr>
        <a:xfrm>
          <a:off x="152400" y="180975"/>
          <a:ext cx="2188360" cy="419100"/>
        </a:xfrm>
        <a:prstGeom prst="rect">
          <a:avLst/>
        </a:prstGeom>
      </xdr:spPr>
    </xdr:pic>
    <xdr:clientData/>
  </xdr:twoCellAnchor>
  <xdr:twoCellAnchor editAs="oneCell">
    <xdr:from>
      <xdr:col>0</xdr:col>
      <xdr:colOff>152400</xdr:colOff>
      <xdr:row>0</xdr:row>
      <xdr:rowOff>180975</xdr:rowOff>
    </xdr:from>
    <xdr:to>
      <xdr:col>1</xdr:col>
      <xdr:colOff>1721635</xdr:colOff>
      <xdr:row>3</xdr:row>
      <xdr:rowOff>28575</xdr:rowOff>
    </xdr:to>
    <xdr:pic>
      <xdr:nvPicPr>
        <xdr:cNvPr id="3" name="Imagem 2">
          <a:extLst>
            <a:ext uri="{FF2B5EF4-FFF2-40B4-BE49-F238E27FC236}">
              <a16:creationId xmlns="" xmlns:a16="http://schemas.microsoft.com/office/drawing/2014/main" id="{49F189E6-6DAD-4DF6-AA9D-3A46F4EF175F}"/>
            </a:ext>
          </a:extLst>
        </xdr:cNvPr>
        <xdr:cNvPicPr>
          <a:picLocks noChangeAspect="1"/>
        </xdr:cNvPicPr>
      </xdr:nvPicPr>
      <xdr:blipFill>
        <a:blip xmlns:r="http://schemas.openxmlformats.org/officeDocument/2006/relationships" r:embed="rId1"/>
        <a:stretch>
          <a:fillRect/>
        </a:stretch>
      </xdr:blipFill>
      <xdr:spPr>
        <a:xfrm>
          <a:off x="152400" y="180975"/>
          <a:ext cx="2188360" cy="419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276226</xdr:colOff>
      <xdr:row>0</xdr:row>
      <xdr:rowOff>152401</xdr:rowOff>
    </xdr:from>
    <xdr:to>
      <xdr:col>1</xdr:col>
      <xdr:colOff>1609726</xdr:colOff>
      <xdr:row>2</xdr:row>
      <xdr:rowOff>143531</xdr:rowOff>
    </xdr:to>
    <xdr:pic>
      <xdr:nvPicPr>
        <xdr:cNvPr id="2" name="Imagem 1">
          <a:extLst>
            <a:ext uri="{FF2B5EF4-FFF2-40B4-BE49-F238E27FC236}">
              <a16:creationId xmlns="" xmlns:a16="http://schemas.microsoft.com/office/drawing/2014/main" id="{543557C9-C23D-42CC-9AEB-5DA434826FF4}"/>
            </a:ext>
          </a:extLst>
        </xdr:cNvPr>
        <xdr:cNvPicPr>
          <a:picLocks noChangeAspect="1"/>
        </xdr:cNvPicPr>
      </xdr:nvPicPr>
      <xdr:blipFill>
        <a:blip xmlns:r="http://schemas.openxmlformats.org/officeDocument/2006/relationships" r:embed="rId1"/>
        <a:stretch>
          <a:fillRect/>
        </a:stretch>
      </xdr:blipFill>
      <xdr:spPr>
        <a:xfrm>
          <a:off x="276226" y="152401"/>
          <a:ext cx="1943100" cy="372130"/>
        </a:xfrm>
        <a:prstGeom prst="rect">
          <a:avLst/>
        </a:prstGeom>
      </xdr:spPr>
    </xdr:pic>
    <xdr:clientData/>
  </xdr:twoCellAnchor>
  <xdr:twoCellAnchor editAs="oneCell">
    <xdr:from>
      <xdr:col>0</xdr:col>
      <xdr:colOff>276226</xdr:colOff>
      <xdr:row>0</xdr:row>
      <xdr:rowOff>152401</xdr:rowOff>
    </xdr:from>
    <xdr:to>
      <xdr:col>1</xdr:col>
      <xdr:colOff>1609726</xdr:colOff>
      <xdr:row>3</xdr:row>
      <xdr:rowOff>47625</xdr:rowOff>
    </xdr:to>
    <xdr:pic>
      <xdr:nvPicPr>
        <xdr:cNvPr id="3" name="Imagem 2">
          <a:extLst>
            <a:ext uri="{FF2B5EF4-FFF2-40B4-BE49-F238E27FC236}">
              <a16:creationId xmlns="" xmlns:a16="http://schemas.microsoft.com/office/drawing/2014/main" id="{16335362-4D8A-4005-94B7-6CA9F4BB9C08}"/>
            </a:ext>
          </a:extLst>
        </xdr:cNvPr>
        <xdr:cNvPicPr>
          <a:picLocks noChangeAspect="1"/>
        </xdr:cNvPicPr>
      </xdr:nvPicPr>
      <xdr:blipFill>
        <a:blip xmlns:r="http://schemas.openxmlformats.org/officeDocument/2006/relationships" r:embed="rId1"/>
        <a:stretch>
          <a:fillRect/>
        </a:stretch>
      </xdr:blipFill>
      <xdr:spPr>
        <a:xfrm>
          <a:off x="276226" y="152401"/>
          <a:ext cx="1943100" cy="4667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152400</xdr:colOff>
      <xdr:row>0</xdr:row>
      <xdr:rowOff>133350</xdr:rowOff>
    </xdr:from>
    <xdr:to>
      <xdr:col>1</xdr:col>
      <xdr:colOff>1588731</xdr:colOff>
      <xdr:row>3</xdr:row>
      <xdr:rowOff>9250</xdr:rowOff>
    </xdr:to>
    <xdr:pic>
      <xdr:nvPicPr>
        <xdr:cNvPr id="2" name="Imagem 1">
          <a:extLst>
            <a:ext uri="{FF2B5EF4-FFF2-40B4-BE49-F238E27FC236}">
              <a16:creationId xmlns="" xmlns:a16="http://schemas.microsoft.com/office/drawing/2014/main" id="{90404813-56A7-47DF-826B-B94B1BA09D68}"/>
            </a:ext>
          </a:extLst>
        </xdr:cNvPr>
        <xdr:cNvPicPr>
          <a:picLocks noChangeAspect="1"/>
        </xdr:cNvPicPr>
      </xdr:nvPicPr>
      <xdr:blipFill>
        <a:blip xmlns:r="http://schemas.openxmlformats.org/officeDocument/2006/relationships" r:embed="rId1"/>
        <a:stretch>
          <a:fillRect/>
        </a:stretch>
      </xdr:blipFill>
      <xdr:spPr>
        <a:xfrm>
          <a:off x="152400" y="133350"/>
          <a:ext cx="2293581" cy="447400"/>
        </a:xfrm>
        <a:prstGeom prst="rect">
          <a:avLst/>
        </a:prstGeom>
      </xdr:spPr>
    </xdr:pic>
    <xdr:clientData/>
  </xdr:twoCellAnchor>
  <xdr:twoCellAnchor editAs="oneCell">
    <xdr:from>
      <xdr:col>0</xdr:col>
      <xdr:colOff>152400</xdr:colOff>
      <xdr:row>0</xdr:row>
      <xdr:rowOff>133350</xdr:rowOff>
    </xdr:from>
    <xdr:to>
      <xdr:col>1</xdr:col>
      <xdr:colOff>1588731</xdr:colOff>
      <xdr:row>3</xdr:row>
      <xdr:rowOff>9250</xdr:rowOff>
    </xdr:to>
    <xdr:pic>
      <xdr:nvPicPr>
        <xdr:cNvPr id="3" name="Imagem 2">
          <a:extLst>
            <a:ext uri="{FF2B5EF4-FFF2-40B4-BE49-F238E27FC236}">
              <a16:creationId xmlns="" xmlns:a16="http://schemas.microsoft.com/office/drawing/2014/main" id="{6481EA62-B921-433A-982A-1ED4BA769FC1}"/>
            </a:ext>
          </a:extLst>
        </xdr:cNvPr>
        <xdr:cNvPicPr>
          <a:picLocks noChangeAspect="1"/>
        </xdr:cNvPicPr>
      </xdr:nvPicPr>
      <xdr:blipFill>
        <a:blip xmlns:r="http://schemas.openxmlformats.org/officeDocument/2006/relationships" r:embed="rId1"/>
        <a:stretch>
          <a:fillRect/>
        </a:stretch>
      </xdr:blipFill>
      <xdr:spPr>
        <a:xfrm>
          <a:off x="152400" y="133350"/>
          <a:ext cx="2293581" cy="447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133350</xdr:rowOff>
    </xdr:from>
    <xdr:to>
      <xdr:col>1</xdr:col>
      <xdr:colOff>1504950</xdr:colOff>
      <xdr:row>3</xdr:row>
      <xdr:rowOff>1474</xdr:rowOff>
    </xdr:to>
    <xdr:pic>
      <xdr:nvPicPr>
        <xdr:cNvPr id="2" name="Imagem 1">
          <a:extLst>
            <a:ext uri="{FF2B5EF4-FFF2-40B4-BE49-F238E27FC236}">
              <a16:creationId xmlns="" xmlns:a16="http://schemas.microsoft.com/office/drawing/2014/main" id="{0EAB14FB-5939-4187-8D3D-70FEA55CA4B6}"/>
            </a:ext>
          </a:extLst>
        </xdr:cNvPr>
        <xdr:cNvPicPr>
          <a:picLocks noChangeAspect="1"/>
        </xdr:cNvPicPr>
      </xdr:nvPicPr>
      <xdr:blipFill>
        <a:blip xmlns:r="http://schemas.openxmlformats.org/officeDocument/2006/relationships" r:embed="rId1"/>
        <a:stretch>
          <a:fillRect/>
        </a:stretch>
      </xdr:blipFill>
      <xdr:spPr>
        <a:xfrm>
          <a:off x="66675" y="133350"/>
          <a:ext cx="2295525" cy="43962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104775</xdr:rowOff>
    </xdr:from>
    <xdr:to>
      <xdr:col>1</xdr:col>
      <xdr:colOff>1485900</xdr:colOff>
      <xdr:row>2</xdr:row>
      <xdr:rowOff>163399</xdr:rowOff>
    </xdr:to>
    <xdr:pic>
      <xdr:nvPicPr>
        <xdr:cNvPr id="2" name="Imagem 1">
          <a:extLst>
            <a:ext uri="{FF2B5EF4-FFF2-40B4-BE49-F238E27FC236}">
              <a16:creationId xmlns="" xmlns:a16="http://schemas.microsoft.com/office/drawing/2014/main" id="{A7B6AACA-6249-4A57-B332-BFD87BA791B3}"/>
            </a:ext>
          </a:extLst>
        </xdr:cNvPr>
        <xdr:cNvPicPr>
          <a:picLocks noChangeAspect="1"/>
        </xdr:cNvPicPr>
      </xdr:nvPicPr>
      <xdr:blipFill>
        <a:blip xmlns:r="http://schemas.openxmlformats.org/officeDocument/2006/relationships" r:embed="rId1"/>
        <a:stretch>
          <a:fillRect/>
        </a:stretch>
      </xdr:blipFill>
      <xdr:spPr>
        <a:xfrm>
          <a:off x="47625" y="104775"/>
          <a:ext cx="2295525" cy="439624"/>
        </a:xfrm>
        <a:prstGeom prst="rect">
          <a:avLst/>
        </a:prstGeom>
      </xdr:spPr>
    </xdr:pic>
    <xdr:clientData/>
  </xdr:twoCellAnchor>
  <xdr:twoCellAnchor editAs="oneCell">
    <xdr:from>
      <xdr:col>0</xdr:col>
      <xdr:colOff>47625</xdr:colOff>
      <xdr:row>0</xdr:row>
      <xdr:rowOff>104775</xdr:rowOff>
    </xdr:from>
    <xdr:to>
      <xdr:col>1</xdr:col>
      <xdr:colOff>1485900</xdr:colOff>
      <xdr:row>2</xdr:row>
      <xdr:rowOff>163399</xdr:rowOff>
    </xdr:to>
    <xdr:pic>
      <xdr:nvPicPr>
        <xdr:cNvPr id="3" name="Imagem 2">
          <a:extLst>
            <a:ext uri="{FF2B5EF4-FFF2-40B4-BE49-F238E27FC236}">
              <a16:creationId xmlns="" xmlns:a16="http://schemas.microsoft.com/office/drawing/2014/main" id="{8F5F5205-72E0-4E8F-AE2A-E2201C6C03D9}"/>
            </a:ext>
          </a:extLst>
        </xdr:cNvPr>
        <xdr:cNvPicPr>
          <a:picLocks noChangeAspect="1"/>
        </xdr:cNvPicPr>
      </xdr:nvPicPr>
      <xdr:blipFill>
        <a:blip xmlns:r="http://schemas.openxmlformats.org/officeDocument/2006/relationships" r:embed="rId1"/>
        <a:stretch>
          <a:fillRect/>
        </a:stretch>
      </xdr:blipFill>
      <xdr:spPr>
        <a:xfrm>
          <a:off x="47625" y="104775"/>
          <a:ext cx="2295525" cy="43962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200025</xdr:colOff>
      <xdr:row>0</xdr:row>
      <xdr:rowOff>161925</xdr:rowOff>
    </xdr:from>
    <xdr:to>
      <xdr:col>1</xdr:col>
      <xdr:colOff>1276350</xdr:colOff>
      <xdr:row>2</xdr:row>
      <xdr:rowOff>151231</xdr:rowOff>
    </xdr:to>
    <xdr:pic>
      <xdr:nvPicPr>
        <xdr:cNvPr id="2" name="Imagem 1">
          <a:extLst>
            <a:ext uri="{FF2B5EF4-FFF2-40B4-BE49-F238E27FC236}">
              <a16:creationId xmlns="" xmlns:a16="http://schemas.microsoft.com/office/drawing/2014/main" id="{3D74620C-BE17-4D84-85FC-6AA5A0B67345}"/>
            </a:ext>
          </a:extLst>
        </xdr:cNvPr>
        <xdr:cNvPicPr>
          <a:picLocks noChangeAspect="1"/>
        </xdr:cNvPicPr>
      </xdr:nvPicPr>
      <xdr:blipFill>
        <a:blip xmlns:r="http://schemas.openxmlformats.org/officeDocument/2006/relationships" r:embed="rId1"/>
        <a:stretch>
          <a:fillRect/>
        </a:stretch>
      </xdr:blipFill>
      <xdr:spPr>
        <a:xfrm>
          <a:off x="200025" y="161925"/>
          <a:ext cx="1933575" cy="370306"/>
        </a:xfrm>
        <a:prstGeom prst="rect">
          <a:avLst/>
        </a:prstGeom>
      </xdr:spPr>
    </xdr:pic>
    <xdr:clientData/>
  </xdr:twoCellAnchor>
  <xdr:twoCellAnchor editAs="oneCell">
    <xdr:from>
      <xdr:col>0</xdr:col>
      <xdr:colOff>200025</xdr:colOff>
      <xdr:row>0</xdr:row>
      <xdr:rowOff>161925</xdr:rowOff>
    </xdr:from>
    <xdr:to>
      <xdr:col>1</xdr:col>
      <xdr:colOff>1276350</xdr:colOff>
      <xdr:row>3</xdr:row>
      <xdr:rowOff>85725</xdr:rowOff>
    </xdr:to>
    <xdr:pic>
      <xdr:nvPicPr>
        <xdr:cNvPr id="3" name="Imagem 2">
          <a:extLst>
            <a:ext uri="{FF2B5EF4-FFF2-40B4-BE49-F238E27FC236}">
              <a16:creationId xmlns="" xmlns:a16="http://schemas.microsoft.com/office/drawing/2014/main" id="{A84E7325-DFE4-4BB7-927C-A525CA95C795}"/>
            </a:ext>
          </a:extLst>
        </xdr:cNvPr>
        <xdr:cNvPicPr>
          <a:picLocks noChangeAspect="1"/>
        </xdr:cNvPicPr>
      </xdr:nvPicPr>
      <xdr:blipFill>
        <a:blip xmlns:r="http://schemas.openxmlformats.org/officeDocument/2006/relationships" r:embed="rId1"/>
        <a:stretch>
          <a:fillRect/>
        </a:stretch>
      </xdr:blipFill>
      <xdr:spPr>
        <a:xfrm>
          <a:off x="200025" y="161925"/>
          <a:ext cx="1933575" cy="495300"/>
        </a:xfrm>
        <a:prstGeom prst="rect">
          <a:avLst/>
        </a:prstGeom>
      </xdr:spPr>
    </xdr:pic>
    <xdr:clientData/>
  </xdr:twoCellAnchor>
  <xdr:twoCellAnchor editAs="oneCell">
    <xdr:from>
      <xdr:col>0</xdr:col>
      <xdr:colOff>200025</xdr:colOff>
      <xdr:row>0</xdr:row>
      <xdr:rowOff>161925</xdr:rowOff>
    </xdr:from>
    <xdr:to>
      <xdr:col>1</xdr:col>
      <xdr:colOff>1276350</xdr:colOff>
      <xdr:row>2</xdr:row>
      <xdr:rowOff>151231</xdr:rowOff>
    </xdr:to>
    <xdr:pic>
      <xdr:nvPicPr>
        <xdr:cNvPr id="4" name="Imagem 3">
          <a:extLst>
            <a:ext uri="{FF2B5EF4-FFF2-40B4-BE49-F238E27FC236}">
              <a16:creationId xmlns="" xmlns:a16="http://schemas.microsoft.com/office/drawing/2014/main" id="{1157DBDD-0267-4DEE-B97B-55D0AA333D82}"/>
            </a:ext>
          </a:extLst>
        </xdr:cNvPr>
        <xdr:cNvPicPr>
          <a:picLocks noChangeAspect="1"/>
        </xdr:cNvPicPr>
      </xdr:nvPicPr>
      <xdr:blipFill>
        <a:blip xmlns:r="http://schemas.openxmlformats.org/officeDocument/2006/relationships" r:embed="rId1"/>
        <a:stretch>
          <a:fillRect/>
        </a:stretch>
      </xdr:blipFill>
      <xdr:spPr>
        <a:xfrm>
          <a:off x="200025" y="161925"/>
          <a:ext cx="1933575" cy="37030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142874</xdr:rowOff>
    </xdr:from>
    <xdr:to>
      <xdr:col>1</xdr:col>
      <xdr:colOff>1877174</xdr:colOff>
      <xdr:row>3</xdr:row>
      <xdr:rowOff>47625</xdr:rowOff>
    </xdr:to>
    <xdr:pic>
      <xdr:nvPicPr>
        <xdr:cNvPr id="2" name="Imagem 1">
          <a:extLst>
            <a:ext uri="{FF2B5EF4-FFF2-40B4-BE49-F238E27FC236}">
              <a16:creationId xmlns="" xmlns:a16="http://schemas.microsoft.com/office/drawing/2014/main" id="{E2EC8B83-E3A2-4427-97C1-CA2D53679F55}"/>
            </a:ext>
          </a:extLst>
        </xdr:cNvPr>
        <xdr:cNvPicPr>
          <a:picLocks noChangeAspect="1"/>
        </xdr:cNvPicPr>
      </xdr:nvPicPr>
      <xdr:blipFill>
        <a:blip xmlns:r="http://schemas.openxmlformats.org/officeDocument/2006/relationships" r:embed="rId1"/>
        <a:stretch>
          <a:fillRect/>
        </a:stretch>
      </xdr:blipFill>
      <xdr:spPr>
        <a:xfrm>
          <a:off x="0" y="142874"/>
          <a:ext cx="2486774" cy="476251"/>
        </a:xfrm>
        <a:prstGeom prst="rect">
          <a:avLst/>
        </a:prstGeom>
      </xdr:spPr>
    </xdr:pic>
    <xdr:clientData/>
  </xdr:twoCellAnchor>
  <xdr:twoCellAnchor editAs="oneCell">
    <xdr:from>
      <xdr:col>0</xdr:col>
      <xdr:colOff>0</xdr:colOff>
      <xdr:row>0</xdr:row>
      <xdr:rowOff>142874</xdr:rowOff>
    </xdr:from>
    <xdr:to>
      <xdr:col>1</xdr:col>
      <xdr:colOff>1877174</xdr:colOff>
      <xdr:row>3</xdr:row>
      <xdr:rowOff>47625</xdr:rowOff>
    </xdr:to>
    <xdr:pic>
      <xdr:nvPicPr>
        <xdr:cNvPr id="3" name="Imagem 2">
          <a:extLst>
            <a:ext uri="{FF2B5EF4-FFF2-40B4-BE49-F238E27FC236}">
              <a16:creationId xmlns="" xmlns:a16="http://schemas.microsoft.com/office/drawing/2014/main" id="{93DD54B5-F7B8-4C1E-9C85-2C79F1F289A3}"/>
            </a:ext>
          </a:extLst>
        </xdr:cNvPr>
        <xdr:cNvPicPr>
          <a:picLocks noChangeAspect="1"/>
        </xdr:cNvPicPr>
      </xdr:nvPicPr>
      <xdr:blipFill>
        <a:blip xmlns:r="http://schemas.openxmlformats.org/officeDocument/2006/relationships" r:embed="rId1"/>
        <a:stretch>
          <a:fillRect/>
        </a:stretch>
      </xdr:blipFill>
      <xdr:spPr>
        <a:xfrm>
          <a:off x="0" y="142874"/>
          <a:ext cx="2486774" cy="47625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1447800</xdr:colOff>
      <xdr:row>0</xdr:row>
      <xdr:rowOff>0</xdr:rowOff>
    </xdr:from>
    <xdr:to>
      <xdr:col>13</xdr:col>
      <xdr:colOff>9525</xdr:colOff>
      <xdr:row>14</xdr:row>
      <xdr:rowOff>4762</xdr:rowOff>
    </xdr:to>
    <xdr:graphicFrame macro="">
      <xdr:nvGraphicFramePr>
        <xdr:cNvPr id="6" name="Gráfico 5">
          <a:extLst>
            <a:ext uri="{FF2B5EF4-FFF2-40B4-BE49-F238E27FC236}">
              <a16:creationId xmlns="" xmlns:a16="http://schemas.microsoft.com/office/drawing/2014/main" id="{00000000-0008-0000-0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28574</xdr:colOff>
      <xdr:row>24</xdr:row>
      <xdr:rowOff>61912</xdr:rowOff>
    </xdr:from>
    <xdr:to>
      <xdr:col>12</xdr:col>
      <xdr:colOff>609599</xdr:colOff>
      <xdr:row>38</xdr:row>
      <xdr:rowOff>4762</xdr:rowOff>
    </xdr:to>
    <xdr:graphicFrame macro="">
      <xdr:nvGraphicFramePr>
        <xdr:cNvPr id="7" name="Gráfico 6">
          <a:extLst>
            <a:ext uri="{FF2B5EF4-FFF2-40B4-BE49-F238E27FC236}">
              <a16:creationId xmlns="" xmlns:a16="http://schemas.microsoft.com/office/drawing/2014/main" id="{00000000-0008-0000-0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76200</xdr:colOff>
      <xdr:row>47</xdr:row>
      <xdr:rowOff>42862</xdr:rowOff>
    </xdr:from>
    <xdr:to>
      <xdr:col>12</xdr:col>
      <xdr:colOff>542925</xdr:colOff>
      <xdr:row>60</xdr:row>
      <xdr:rowOff>185737</xdr:rowOff>
    </xdr:to>
    <xdr:graphicFrame macro="">
      <xdr:nvGraphicFramePr>
        <xdr:cNvPr id="8" name="Gráfico 7">
          <a:extLst>
            <a:ext uri="{FF2B5EF4-FFF2-40B4-BE49-F238E27FC236}">
              <a16:creationId xmlns=""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jvicente/Downloads/r_balancete_sc%2002-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contabilidade\Concilia&#231;&#227;o%20Santa%20Casa%202022\Or&#231;amento\Or&#231;amento%202022\Planilha%20Or&#231;amento\bALANCETE%20OR&#199;AMENTO%20CALCUL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_balancete_sc 02-2022"/>
    </sheetNames>
    <sheetDataSet>
      <sheetData sheetId="0" refreshError="1">
        <row r="1">
          <cell r="A1" t="str">
            <v>Red.</v>
          </cell>
          <cell r="B1" t="str">
            <v>Conta</v>
          </cell>
          <cell r="C1" t="str">
            <v>Descrição</v>
          </cell>
          <cell r="D1" t="str">
            <v>Saldo Anterior</v>
          </cell>
          <cell r="F1" t="str">
            <v>Valor Débito</v>
          </cell>
          <cell r="H1" t="str">
            <v>Valor Crédito</v>
          </cell>
          <cell r="I1" t="str">
            <v>Movimento</v>
          </cell>
          <cell r="J1" t="str">
            <v>Saldo Atual</v>
          </cell>
        </row>
        <row r="2">
          <cell r="A2">
            <v>3</v>
          </cell>
          <cell r="B2">
            <v>1</v>
          </cell>
          <cell r="C2" t="str">
            <v>ATIVO</v>
          </cell>
          <cell r="D2">
            <v>173360980.19</v>
          </cell>
          <cell r="E2" t="str">
            <v>D</v>
          </cell>
          <cell r="G2">
            <v>126018725.72</v>
          </cell>
          <cell r="H2">
            <v>126252979.51000001</v>
          </cell>
          <cell r="I2">
            <v>-234253.79</v>
          </cell>
          <cell r="J2">
            <v>173126726.40000001</v>
          </cell>
          <cell r="K2" t="str">
            <v>D</v>
          </cell>
        </row>
        <row r="3">
          <cell r="A3">
            <v>4</v>
          </cell>
          <cell r="B3" t="str">
            <v>1.1</v>
          </cell>
          <cell r="C3" t="str">
            <v>ATIVO CIRCULANTE</v>
          </cell>
          <cell r="D3">
            <v>80587469.829999998</v>
          </cell>
          <cell r="E3" t="str">
            <v>D</v>
          </cell>
          <cell r="G3">
            <v>119717387.92</v>
          </cell>
          <cell r="H3">
            <v>122664400.67</v>
          </cell>
          <cell r="I3">
            <v>-2947012.75</v>
          </cell>
          <cell r="J3">
            <v>77640457.079999998</v>
          </cell>
          <cell r="K3" t="str">
            <v>D</v>
          </cell>
        </row>
        <row r="4">
          <cell r="A4">
            <v>5</v>
          </cell>
          <cell r="B4" t="str">
            <v>1.1.01</v>
          </cell>
          <cell r="C4" t="str">
            <v>DISPONIVEL</v>
          </cell>
          <cell r="D4">
            <v>35593278.109999999</v>
          </cell>
          <cell r="E4" t="str">
            <v>D</v>
          </cell>
          <cell r="G4">
            <v>79557659.909999996</v>
          </cell>
          <cell r="H4">
            <v>80191026.689999998</v>
          </cell>
          <cell r="I4">
            <v>-633366.78</v>
          </cell>
          <cell r="J4">
            <v>34959911.329999998</v>
          </cell>
          <cell r="K4" t="str">
            <v>D</v>
          </cell>
        </row>
        <row r="5">
          <cell r="A5">
            <v>6</v>
          </cell>
          <cell r="B5" t="str">
            <v>1.1.01.010</v>
          </cell>
          <cell r="C5" t="str">
            <v>CAIXA</v>
          </cell>
          <cell r="D5">
            <v>14771.75</v>
          </cell>
          <cell r="E5" t="str">
            <v>D</v>
          </cell>
          <cell r="G5">
            <v>217342.43</v>
          </cell>
          <cell r="H5">
            <v>208099.58</v>
          </cell>
          <cell r="I5">
            <v>9242.85</v>
          </cell>
          <cell r="J5">
            <v>24014.6</v>
          </cell>
          <cell r="K5" t="str">
            <v>D</v>
          </cell>
        </row>
        <row r="6">
          <cell r="A6">
            <v>28</v>
          </cell>
          <cell r="B6" t="str">
            <v>1.1.01.010.0003</v>
          </cell>
          <cell r="C6" t="str">
            <v>CAIXA AMBULATORIO</v>
          </cell>
          <cell r="D6">
            <v>20</v>
          </cell>
          <cell r="E6" t="str">
            <v>D</v>
          </cell>
          <cell r="G6">
            <v>0</v>
          </cell>
          <cell r="H6">
            <v>0</v>
          </cell>
          <cell r="I6">
            <v>0</v>
          </cell>
          <cell r="J6">
            <v>20</v>
          </cell>
          <cell r="K6" t="str">
            <v>D</v>
          </cell>
        </row>
        <row r="7">
          <cell r="A7">
            <v>32381</v>
          </cell>
          <cell r="B7" t="str">
            <v>1.1.01.010.0004</v>
          </cell>
          <cell r="C7" t="str">
            <v>CAIXA AMBULATORIO PI</v>
          </cell>
          <cell r="D7">
            <v>50</v>
          </cell>
          <cell r="E7" t="str">
            <v>D</v>
          </cell>
          <cell r="G7">
            <v>0</v>
          </cell>
          <cell r="H7">
            <v>0</v>
          </cell>
          <cell r="I7">
            <v>0</v>
          </cell>
          <cell r="J7">
            <v>50</v>
          </cell>
          <cell r="K7" t="str">
            <v>D</v>
          </cell>
        </row>
        <row r="8">
          <cell r="A8">
            <v>37816</v>
          </cell>
          <cell r="B8" t="str">
            <v>1.1.01.010.0005</v>
          </cell>
          <cell r="C8" t="str">
            <v xml:space="preserve">CAIXA AMBULATORIO CLINICA </v>
          </cell>
          <cell r="D8">
            <v>572</v>
          </cell>
          <cell r="E8" t="str">
            <v>D</v>
          </cell>
          <cell r="G8">
            <v>22575.88</v>
          </cell>
          <cell r="H8">
            <v>21682</v>
          </cell>
          <cell r="I8">
            <v>893.88</v>
          </cell>
          <cell r="J8">
            <v>1465.88</v>
          </cell>
          <cell r="K8" t="str">
            <v>D</v>
          </cell>
        </row>
        <row r="9">
          <cell r="A9">
            <v>24</v>
          </cell>
          <cell r="B9" t="str">
            <v>1.1.01.010.0006</v>
          </cell>
          <cell r="C9" t="str">
            <v>CAIXA CENTRAL  STA CASA</v>
          </cell>
          <cell r="D9">
            <v>10091.74</v>
          </cell>
          <cell r="E9" t="str">
            <v>D</v>
          </cell>
          <cell r="G9">
            <v>105093.8</v>
          </cell>
          <cell r="H9">
            <v>101084.41</v>
          </cell>
          <cell r="I9">
            <v>4009.39</v>
          </cell>
          <cell r="J9">
            <v>14101.13</v>
          </cell>
          <cell r="K9" t="str">
            <v>D</v>
          </cell>
        </row>
        <row r="10">
          <cell r="A10">
            <v>25</v>
          </cell>
          <cell r="B10" t="str">
            <v>1.1.01.010.0008</v>
          </cell>
          <cell r="C10" t="str">
            <v>CAIXA INTERNACAO STA CASA</v>
          </cell>
          <cell r="D10">
            <v>63</v>
          </cell>
          <cell r="E10" t="str">
            <v>D</v>
          </cell>
          <cell r="G10">
            <v>7218.79</v>
          </cell>
          <cell r="H10">
            <v>7221.79</v>
          </cell>
          <cell r="I10">
            <v>-3</v>
          </cell>
          <cell r="J10">
            <v>60</v>
          </cell>
          <cell r="K10" t="str">
            <v>D</v>
          </cell>
        </row>
        <row r="11">
          <cell r="A11">
            <v>12339</v>
          </cell>
          <cell r="B11" t="str">
            <v>1.1.01.010.0009</v>
          </cell>
          <cell r="C11" t="str">
            <v>CAIXA MATERNIDADE</v>
          </cell>
          <cell r="D11">
            <v>66.86</v>
          </cell>
          <cell r="E11" t="str">
            <v>D</v>
          </cell>
          <cell r="G11">
            <v>12529.31</v>
          </cell>
          <cell r="H11">
            <v>8063.97</v>
          </cell>
          <cell r="I11">
            <v>4465.34</v>
          </cell>
          <cell r="J11">
            <v>4532.2</v>
          </cell>
          <cell r="K11" t="str">
            <v>D</v>
          </cell>
        </row>
        <row r="12">
          <cell r="A12">
            <v>12341</v>
          </cell>
          <cell r="B12" t="str">
            <v>1.1.01.010.0010</v>
          </cell>
          <cell r="C12" t="str">
            <v>CAIXA P A</v>
          </cell>
          <cell r="D12">
            <v>170</v>
          </cell>
          <cell r="E12" t="str">
            <v>D</v>
          </cell>
          <cell r="G12">
            <v>1890</v>
          </cell>
          <cell r="H12">
            <v>2040</v>
          </cell>
          <cell r="I12">
            <v>-150</v>
          </cell>
          <cell r="J12">
            <v>20</v>
          </cell>
          <cell r="K12" t="str">
            <v>D</v>
          </cell>
        </row>
        <row r="13">
          <cell r="A13">
            <v>27</v>
          </cell>
          <cell r="B13" t="str">
            <v>1.1.01.010.0011</v>
          </cell>
          <cell r="C13" t="str">
            <v>CAIXA PRONTO INFANCIA</v>
          </cell>
          <cell r="D13">
            <v>50</v>
          </cell>
          <cell r="E13" t="str">
            <v>D</v>
          </cell>
          <cell r="G13">
            <v>7010.7</v>
          </cell>
          <cell r="H13">
            <v>6505.31</v>
          </cell>
          <cell r="I13">
            <v>505.39</v>
          </cell>
          <cell r="J13">
            <v>555.39</v>
          </cell>
          <cell r="K13" t="str">
            <v>D</v>
          </cell>
        </row>
        <row r="14">
          <cell r="A14">
            <v>51163</v>
          </cell>
          <cell r="B14" t="str">
            <v>1.1.01.010.0012</v>
          </cell>
          <cell r="C14" t="str">
            <v>CAIXA RADIOLOGIA</v>
          </cell>
          <cell r="D14">
            <v>1598.15</v>
          </cell>
          <cell r="E14" t="str">
            <v>D</v>
          </cell>
          <cell r="G14">
            <v>24116.95</v>
          </cell>
          <cell r="H14">
            <v>25215.1</v>
          </cell>
          <cell r="I14">
            <v>-1098.1500000000001</v>
          </cell>
          <cell r="J14">
            <v>500</v>
          </cell>
          <cell r="K14" t="str">
            <v>D</v>
          </cell>
        </row>
        <row r="15">
          <cell r="A15">
            <v>51206</v>
          </cell>
          <cell r="B15" t="str">
            <v>1.1.01.010.0013</v>
          </cell>
          <cell r="C15" t="str">
            <v>CAIXA CLINICA CENTRO</v>
          </cell>
          <cell r="D15">
            <v>730</v>
          </cell>
          <cell r="E15" t="str">
            <v>D</v>
          </cell>
          <cell r="G15">
            <v>12210</v>
          </cell>
          <cell r="H15">
            <v>11840</v>
          </cell>
          <cell r="I15">
            <v>370</v>
          </cell>
          <cell r="J15">
            <v>1100</v>
          </cell>
          <cell r="K15" t="str">
            <v>D</v>
          </cell>
        </row>
        <row r="16">
          <cell r="A16">
            <v>52715</v>
          </cell>
          <cell r="B16" t="str">
            <v>1.1.01.010.0015</v>
          </cell>
          <cell r="C16" t="str">
            <v>CAIXA JACAREI</v>
          </cell>
          <cell r="D16">
            <v>500</v>
          </cell>
          <cell r="E16" t="str">
            <v>D</v>
          </cell>
          <cell r="G16">
            <v>1810</v>
          </cell>
          <cell r="H16">
            <v>2110</v>
          </cell>
          <cell r="I16">
            <v>-300</v>
          </cell>
          <cell r="J16">
            <v>200</v>
          </cell>
          <cell r="K16" t="str">
            <v>D</v>
          </cell>
        </row>
        <row r="17">
          <cell r="A17">
            <v>52916</v>
          </cell>
          <cell r="B17" t="str">
            <v>1.1.01.010.0017</v>
          </cell>
          <cell r="C17" t="str">
            <v>CAIXA CLINICA CARAGUA</v>
          </cell>
          <cell r="D17">
            <v>200</v>
          </cell>
          <cell r="E17" t="str">
            <v>D</v>
          </cell>
          <cell r="G17">
            <v>2790</v>
          </cell>
          <cell r="H17">
            <v>2890</v>
          </cell>
          <cell r="I17">
            <v>-100</v>
          </cell>
          <cell r="J17">
            <v>100</v>
          </cell>
          <cell r="K17" t="str">
            <v>D</v>
          </cell>
        </row>
        <row r="18">
          <cell r="A18">
            <v>52659</v>
          </cell>
          <cell r="B18" t="str">
            <v>1.1.01.010.0018</v>
          </cell>
          <cell r="C18" t="str">
            <v>CAIXA CENTRO EXAMES</v>
          </cell>
          <cell r="D18">
            <v>50</v>
          </cell>
          <cell r="E18" t="str">
            <v>D</v>
          </cell>
          <cell r="G18">
            <v>2810</v>
          </cell>
          <cell r="H18">
            <v>2460</v>
          </cell>
          <cell r="I18">
            <v>350</v>
          </cell>
          <cell r="J18">
            <v>400</v>
          </cell>
          <cell r="K18" t="str">
            <v>D</v>
          </cell>
        </row>
        <row r="19">
          <cell r="A19">
            <v>54470</v>
          </cell>
          <cell r="B19" t="str">
            <v>1.1.01.010.0019</v>
          </cell>
          <cell r="C19" t="str">
            <v>CAIXA TAUBATE</v>
          </cell>
          <cell r="D19">
            <v>360</v>
          </cell>
          <cell r="E19" t="str">
            <v>D</v>
          </cell>
          <cell r="G19">
            <v>7150</v>
          </cell>
          <cell r="H19">
            <v>6750</v>
          </cell>
          <cell r="I19">
            <v>400</v>
          </cell>
          <cell r="J19">
            <v>760</v>
          </cell>
          <cell r="K19" t="str">
            <v>D</v>
          </cell>
        </row>
        <row r="20">
          <cell r="A20">
            <v>54471</v>
          </cell>
          <cell r="B20" t="str">
            <v>1.1.01.010.0020</v>
          </cell>
          <cell r="C20" t="str">
            <v>CAIXA CRUZEIRO</v>
          </cell>
          <cell r="D20">
            <v>100</v>
          </cell>
          <cell r="E20" t="str">
            <v>D</v>
          </cell>
          <cell r="G20">
            <v>140</v>
          </cell>
          <cell r="H20">
            <v>240</v>
          </cell>
          <cell r="I20">
            <v>-100</v>
          </cell>
          <cell r="J20">
            <v>0</v>
          </cell>
          <cell r="K20" t="str">
            <v>D</v>
          </cell>
        </row>
        <row r="21">
          <cell r="A21">
            <v>54586</v>
          </cell>
          <cell r="B21" t="str">
            <v>1.1.01.010.0021</v>
          </cell>
          <cell r="C21" t="str">
            <v>CAIXA ULTRASSONOGRAFIA</v>
          </cell>
          <cell r="D21">
            <v>50</v>
          </cell>
          <cell r="E21" t="str">
            <v>D</v>
          </cell>
          <cell r="G21">
            <v>6432</v>
          </cell>
          <cell r="H21">
            <v>6432</v>
          </cell>
          <cell r="I21">
            <v>0</v>
          </cell>
          <cell r="J21">
            <v>50</v>
          </cell>
          <cell r="K21" t="str">
            <v>D</v>
          </cell>
        </row>
        <row r="22">
          <cell r="A22">
            <v>55420</v>
          </cell>
          <cell r="B22" t="str">
            <v>1.1.01.010.0022</v>
          </cell>
          <cell r="C22" t="str">
            <v>CAIXA CLINICA FLORIANO</v>
          </cell>
          <cell r="D22">
            <v>100</v>
          </cell>
          <cell r="E22" t="str">
            <v>D</v>
          </cell>
          <cell r="G22">
            <v>3565</v>
          </cell>
          <cell r="H22">
            <v>3565</v>
          </cell>
          <cell r="I22">
            <v>0</v>
          </cell>
          <cell r="J22">
            <v>100</v>
          </cell>
          <cell r="K22" t="str">
            <v>D</v>
          </cell>
        </row>
        <row r="23">
          <cell r="A23">
            <v>46</v>
          </cell>
          <cell r="B23" t="str">
            <v>1.1.01.020</v>
          </cell>
          <cell r="C23" t="str">
            <v>BANCO CONTA MOVIMENTO</v>
          </cell>
          <cell r="D23">
            <v>898204.24</v>
          </cell>
          <cell r="E23" t="str">
            <v>D</v>
          </cell>
          <cell r="G23">
            <v>68527936.459999993</v>
          </cell>
          <cell r="H23">
            <v>68337952.75</v>
          </cell>
          <cell r="I23">
            <v>189983.71</v>
          </cell>
          <cell r="J23">
            <v>1088187.95</v>
          </cell>
          <cell r="K23" t="str">
            <v>D</v>
          </cell>
        </row>
        <row r="24">
          <cell r="A24">
            <v>57</v>
          </cell>
          <cell r="B24" t="str">
            <v>1.1.01.020.0010</v>
          </cell>
          <cell r="C24" t="str">
            <v>SAFRA CC 471-2</v>
          </cell>
          <cell r="D24">
            <v>0</v>
          </cell>
          <cell r="E24" t="str">
            <v>D</v>
          </cell>
          <cell r="G24">
            <v>5564.2</v>
          </cell>
          <cell r="H24">
            <v>0</v>
          </cell>
          <cell r="I24">
            <v>5564.2</v>
          </cell>
          <cell r="J24">
            <v>5564.2</v>
          </cell>
          <cell r="K24" t="str">
            <v>D</v>
          </cell>
        </row>
        <row r="25">
          <cell r="A25">
            <v>94</v>
          </cell>
          <cell r="B25" t="str">
            <v>1.1.01.020.0012</v>
          </cell>
          <cell r="C25" t="str">
            <v>BRASIL AG 3358-8 CC 2137-7</v>
          </cell>
          <cell r="D25">
            <v>0</v>
          </cell>
          <cell r="E25" t="str">
            <v>D</v>
          </cell>
          <cell r="G25">
            <v>4237191.88</v>
          </cell>
          <cell r="H25">
            <v>4237191.88</v>
          </cell>
          <cell r="I25">
            <v>0</v>
          </cell>
          <cell r="J25">
            <v>0</v>
          </cell>
          <cell r="K25" t="str">
            <v>D</v>
          </cell>
        </row>
        <row r="26">
          <cell r="A26">
            <v>109</v>
          </cell>
          <cell r="B26" t="str">
            <v>1.1.01.020.0013</v>
          </cell>
          <cell r="C26" t="str">
            <v xml:space="preserve">SANTANDER AG 2021 CC </v>
          </cell>
          <cell r="D26">
            <v>961.25</v>
          </cell>
          <cell r="E26" t="str">
            <v>D</v>
          </cell>
          <cell r="G26">
            <v>6146644.2599999998</v>
          </cell>
          <cell r="H26">
            <v>6146415.9500000002</v>
          </cell>
          <cell r="I26">
            <v>228.31</v>
          </cell>
          <cell r="J26">
            <v>1189.56</v>
          </cell>
          <cell r="K26" t="str">
            <v>D</v>
          </cell>
        </row>
        <row r="27">
          <cell r="A27">
            <v>107</v>
          </cell>
          <cell r="B27" t="str">
            <v>1.1.01.020.0014</v>
          </cell>
          <cell r="C27" t="str">
            <v xml:space="preserve">SANTANDER AG 2021 CC </v>
          </cell>
          <cell r="D27">
            <v>20214.68</v>
          </cell>
          <cell r="E27" t="str">
            <v>D</v>
          </cell>
          <cell r="G27">
            <v>29798241.870000001</v>
          </cell>
          <cell r="H27">
            <v>29722472.699999999</v>
          </cell>
          <cell r="I27">
            <v>75769.17</v>
          </cell>
          <cell r="J27">
            <v>95983.85</v>
          </cell>
          <cell r="K27" t="str">
            <v>D</v>
          </cell>
        </row>
        <row r="28">
          <cell r="A28">
            <v>99</v>
          </cell>
          <cell r="B28" t="str">
            <v>1.1.01.020.0016</v>
          </cell>
          <cell r="C28" t="str">
            <v>BRADESCO AG 3373 CC 6741-5</v>
          </cell>
          <cell r="D28">
            <v>0</v>
          </cell>
          <cell r="E28" t="str">
            <v>D</v>
          </cell>
          <cell r="G28">
            <v>1142832.0900000001</v>
          </cell>
          <cell r="H28">
            <v>1142832.0900000001</v>
          </cell>
          <cell r="I28">
            <v>0</v>
          </cell>
          <cell r="J28">
            <v>0</v>
          </cell>
          <cell r="K28" t="str">
            <v>D</v>
          </cell>
        </row>
        <row r="29">
          <cell r="A29">
            <v>98</v>
          </cell>
          <cell r="B29" t="str">
            <v>1.1.01.020.0017</v>
          </cell>
          <cell r="C29" t="str">
            <v>BRADESCO AG 3373 CC 7790-9</v>
          </cell>
          <cell r="D29">
            <v>0</v>
          </cell>
          <cell r="E29" t="str">
            <v>D</v>
          </cell>
          <cell r="G29">
            <v>211337.35</v>
          </cell>
          <cell r="H29">
            <v>211337.35</v>
          </cell>
          <cell r="I29">
            <v>0</v>
          </cell>
          <cell r="J29">
            <v>0</v>
          </cell>
          <cell r="K29" t="str">
            <v>D</v>
          </cell>
        </row>
        <row r="30">
          <cell r="A30">
            <v>73</v>
          </cell>
          <cell r="B30" t="str">
            <v>1.1.01.020.0020</v>
          </cell>
          <cell r="C30" t="str">
            <v>BRASIL AG 3358-8 CC 1280-7</v>
          </cell>
          <cell r="D30">
            <v>0</v>
          </cell>
          <cell r="E30" t="str">
            <v>D</v>
          </cell>
          <cell r="G30">
            <v>4394112.33</v>
          </cell>
          <cell r="H30">
            <v>4394112.33</v>
          </cell>
          <cell r="I30">
            <v>0</v>
          </cell>
          <cell r="J30">
            <v>0</v>
          </cell>
          <cell r="K30" t="str">
            <v>D</v>
          </cell>
        </row>
        <row r="31">
          <cell r="A31">
            <v>32767</v>
          </cell>
          <cell r="B31" t="str">
            <v>1.1.01.020.0022</v>
          </cell>
          <cell r="C31" t="str">
            <v>ITAU AG 0250 CC 46979-8</v>
          </cell>
          <cell r="D31">
            <v>0</v>
          </cell>
          <cell r="E31" t="str">
            <v>D</v>
          </cell>
          <cell r="G31">
            <v>1157535.73</v>
          </cell>
          <cell r="H31">
            <v>1157535.73</v>
          </cell>
          <cell r="I31">
            <v>0</v>
          </cell>
          <cell r="J31">
            <v>0</v>
          </cell>
          <cell r="K31" t="str">
            <v>D</v>
          </cell>
        </row>
        <row r="32">
          <cell r="A32">
            <v>71</v>
          </cell>
          <cell r="B32" t="str">
            <v>1.1.01.020.0025</v>
          </cell>
          <cell r="C32" t="str">
            <v xml:space="preserve">SANTANDER AG 0093  CC </v>
          </cell>
          <cell r="D32">
            <v>5945.47</v>
          </cell>
          <cell r="E32" t="str">
            <v>D</v>
          </cell>
          <cell r="G32">
            <v>5842111.46</v>
          </cell>
          <cell r="H32">
            <v>5840768.3499999996</v>
          </cell>
          <cell r="I32">
            <v>1343.11</v>
          </cell>
          <cell r="J32">
            <v>7288.58</v>
          </cell>
          <cell r="K32" t="str">
            <v>D</v>
          </cell>
        </row>
        <row r="33">
          <cell r="A33">
            <v>79</v>
          </cell>
          <cell r="B33" t="str">
            <v>1.1.01.020.0031</v>
          </cell>
          <cell r="C33" t="str">
            <v>BRASIL AG 3358-8 CC 987-3</v>
          </cell>
          <cell r="D33">
            <v>0</v>
          </cell>
          <cell r="E33" t="str">
            <v>D</v>
          </cell>
          <cell r="G33">
            <v>700061.1</v>
          </cell>
          <cell r="H33">
            <v>700061.1</v>
          </cell>
          <cell r="I33">
            <v>0</v>
          </cell>
          <cell r="J33">
            <v>0</v>
          </cell>
          <cell r="K33" t="str">
            <v>D</v>
          </cell>
        </row>
        <row r="34">
          <cell r="A34">
            <v>50869</v>
          </cell>
          <cell r="B34" t="str">
            <v>1.1.01.020.0033</v>
          </cell>
          <cell r="C34" t="str">
            <v>BRASIL AG 33588 CC 6200-6</v>
          </cell>
          <cell r="D34">
            <v>0</v>
          </cell>
          <cell r="E34" t="str">
            <v>D</v>
          </cell>
          <cell r="G34">
            <v>169919.95</v>
          </cell>
          <cell r="H34">
            <v>169919.95</v>
          </cell>
          <cell r="I34">
            <v>0</v>
          </cell>
          <cell r="J34">
            <v>0</v>
          </cell>
          <cell r="K34" t="str">
            <v>D</v>
          </cell>
        </row>
        <row r="35">
          <cell r="A35">
            <v>52006</v>
          </cell>
          <cell r="B35" t="str">
            <v>1.1.01.020.0037</v>
          </cell>
          <cell r="C35" t="str">
            <v>BRASIL AG 1897 CC 9923-6</v>
          </cell>
          <cell r="D35">
            <v>0</v>
          </cell>
          <cell r="E35" t="str">
            <v>D</v>
          </cell>
          <cell r="G35">
            <v>211437.46</v>
          </cell>
          <cell r="H35">
            <v>211437.46</v>
          </cell>
          <cell r="I35">
            <v>0</v>
          </cell>
          <cell r="J35">
            <v>0</v>
          </cell>
          <cell r="K35" t="str">
            <v>D</v>
          </cell>
        </row>
        <row r="36">
          <cell r="A36">
            <v>52440</v>
          </cell>
          <cell r="B36" t="str">
            <v>1.1.01.020.0038</v>
          </cell>
          <cell r="C36" t="str">
            <v xml:space="preserve">SANTANDER AG 2021 CC </v>
          </cell>
          <cell r="D36">
            <v>142.84</v>
          </cell>
          <cell r="E36" t="str">
            <v>D</v>
          </cell>
          <cell r="G36">
            <v>194776.75</v>
          </cell>
          <cell r="H36">
            <v>193515.6</v>
          </cell>
          <cell r="I36">
            <v>1261.1500000000001</v>
          </cell>
          <cell r="J36">
            <v>1403.99</v>
          </cell>
          <cell r="K36" t="str">
            <v>D</v>
          </cell>
        </row>
        <row r="37">
          <cell r="A37">
            <v>53794</v>
          </cell>
          <cell r="B37" t="str">
            <v>1.1.01.020.0041</v>
          </cell>
          <cell r="C37" t="str">
            <v xml:space="preserve">SANTANDER AG 2021 CC </v>
          </cell>
          <cell r="D37">
            <v>0</v>
          </cell>
          <cell r="E37" t="str">
            <v>D</v>
          </cell>
          <cell r="G37">
            <v>10550000</v>
          </cell>
          <cell r="H37">
            <v>10550000</v>
          </cell>
          <cell r="I37">
            <v>0</v>
          </cell>
          <cell r="J37">
            <v>0</v>
          </cell>
          <cell r="K37" t="str">
            <v>D</v>
          </cell>
        </row>
        <row r="38">
          <cell r="A38">
            <v>54093</v>
          </cell>
          <cell r="B38" t="str">
            <v>1.1.01.020.0042</v>
          </cell>
          <cell r="C38" t="str">
            <v>BCO BRASIL AG 3358 CC 6854-</v>
          </cell>
          <cell r="D38">
            <v>0</v>
          </cell>
          <cell r="E38" t="str">
            <v>D</v>
          </cell>
          <cell r="G38">
            <v>54.95</v>
          </cell>
          <cell r="H38">
            <v>54.95</v>
          </cell>
          <cell r="I38">
            <v>0</v>
          </cell>
          <cell r="J38">
            <v>0</v>
          </cell>
          <cell r="K38" t="str">
            <v>D</v>
          </cell>
        </row>
        <row r="39">
          <cell r="A39">
            <v>54095</v>
          </cell>
          <cell r="B39" t="str">
            <v>1.1.01.020.0043</v>
          </cell>
          <cell r="C39" t="str">
            <v>BCO BRASIL AG 3358 CC 6864-</v>
          </cell>
          <cell r="D39">
            <v>0</v>
          </cell>
          <cell r="E39" t="str">
            <v>D</v>
          </cell>
          <cell r="G39">
            <v>54.95</v>
          </cell>
          <cell r="H39">
            <v>54.95</v>
          </cell>
          <cell r="I39">
            <v>0</v>
          </cell>
          <cell r="J39">
            <v>0</v>
          </cell>
          <cell r="K39" t="str">
            <v>D</v>
          </cell>
        </row>
        <row r="40">
          <cell r="A40">
            <v>54258</v>
          </cell>
          <cell r="B40" t="str">
            <v>1.1.01.020.0045</v>
          </cell>
          <cell r="C40" t="str">
            <v xml:space="preserve">BANCO BRASIL AG 3358-8 CC </v>
          </cell>
          <cell r="D40">
            <v>0</v>
          </cell>
          <cell r="E40" t="str">
            <v>D</v>
          </cell>
          <cell r="G40">
            <v>1200834.08</v>
          </cell>
          <cell r="H40">
            <v>1200834.08</v>
          </cell>
          <cell r="I40">
            <v>0</v>
          </cell>
          <cell r="J40">
            <v>0</v>
          </cell>
          <cell r="K40" t="str">
            <v>D</v>
          </cell>
        </row>
        <row r="41">
          <cell r="A41">
            <v>54264</v>
          </cell>
          <cell r="B41" t="str">
            <v>1.1.01.020.0046</v>
          </cell>
          <cell r="C41" t="str">
            <v xml:space="preserve">BCO BRASIL AG 3358-8 CC </v>
          </cell>
          <cell r="D41">
            <v>0</v>
          </cell>
          <cell r="E41" t="str">
            <v>D</v>
          </cell>
          <cell r="G41">
            <v>54.95</v>
          </cell>
          <cell r="H41">
            <v>54.95</v>
          </cell>
          <cell r="I41">
            <v>0</v>
          </cell>
          <cell r="J41">
            <v>0</v>
          </cell>
          <cell r="K41" t="str">
            <v>D</v>
          </cell>
        </row>
        <row r="42">
          <cell r="A42">
            <v>54510</v>
          </cell>
          <cell r="B42" t="str">
            <v>1.1.01.020.0047</v>
          </cell>
          <cell r="C42" t="str">
            <v xml:space="preserve">BANCO BRASIL AG 3358-8 </v>
          </cell>
          <cell r="D42">
            <v>0</v>
          </cell>
          <cell r="E42" t="str">
            <v>D</v>
          </cell>
          <cell r="G42">
            <v>54.95</v>
          </cell>
          <cell r="H42">
            <v>54.95</v>
          </cell>
          <cell r="I42">
            <v>0</v>
          </cell>
          <cell r="J42">
            <v>0</v>
          </cell>
          <cell r="K42" t="str">
            <v>D</v>
          </cell>
        </row>
        <row r="43">
          <cell r="A43">
            <v>54512</v>
          </cell>
          <cell r="B43" t="str">
            <v>1.1.01.020.0048</v>
          </cell>
          <cell r="C43" t="str">
            <v xml:space="preserve">BANCO BRASIL AG 3358-8 </v>
          </cell>
          <cell r="D43">
            <v>0</v>
          </cell>
          <cell r="E43" t="str">
            <v>D</v>
          </cell>
          <cell r="G43">
            <v>54.95</v>
          </cell>
          <cell r="H43">
            <v>54.95</v>
          </cell>
          <cell r="I43">
            <v>0</v>
          </cell>
          <cell r="J43">
            <v>0</v>
          </cell>
          <cell r="K43" t="str">
            <v>D</v>
          </cell>
        </row>
        <row r="44">
          <cell r="A44">
            <v>54518</v>
          </cell>
          <cell r="B44" t="str">
            <v>1.1.01.020.0051</v>
          </cell>
          <cell r="C44" t="str">
            <v xml:space="preserve">BANCO BRASIL AG 3358-8 </v>
          </cell>
          <cell r="D44">
            <v>0</v>
          </cell>
          <cell r="E44" t="str">
            <v>D</v>
          </cell>
          <cell r="G44">
            <v>54.95</v>
          </cell>
          <cell r="H44">
            <v>54.95</v>
          </cell>
          <cell r="I44">
            <v>0</v>
          </cell>
          <cell r="J44">
            <v>0</v>
          </cell>
          <cell r="K44" t="str">
            <v>D</v>
          </cell>
        </row>
        <row r="45">
          <cell r="A45">
            <v>54520</v>
          </cell>
          <cell r="B45" t="str">
            <v>1.1.01.020.0052</v>
          </cell>
          <cell r="C45" t="str">
            <v xml:space="preserve">BANCO BRASIL AG 3358-8 </v>
          </cell>
          <cell r="D45">
            <v>0</v>
          </cell>
          <cell r="E45" t="str">
            <v>D</v>
          </cell>
          <cell r="G45">
            <v>54.95</v>
          </cell>
          <cell r="H45">
            <v>54.95</v>
          </cell>
          <cell r="I45">
            <v>0</v>
          </cell>
          <cell r="J45">
            <v>0</v>
          </cell>
          <cell r="K45" t="str">
            <v>D</v>
          </cell>
        </row>
        <row r="46">
          <cell r="A46">
            <v>54641</v>
          </cell>
          <cell r="B46" t="str">
            <v>1.1.01.020.0059</v>
          </cell>
          <cell r="C46" t="str">
            <v xml:space="preserve">BANCO BRASIL AG 3358-8 CC </v>
          </cell>
          <cell r="D46">
            <v>0</v>
          </cell>
          <cell r="E46" t="str">
            <v>D</v>
          </cell>
          <cell r="G46">
            <v>54.95</v>
          </cell>
          <cell r="H46">
            <v>54.95</v>
          </cell>
          <cell r="I46">
            <v>0</v>
          </cell>
          <cell r="J46">
            <v>0</v>
          </cell>
          <cell r="K46" t="str">
            <v>D</v>
          </cell>
        </row>
        <row r="47">
          <cell r="A47">
            <v>54661</v>
          </cell>
          <cell r="B47" t="str">
            <v>1.1.01.020.0060</v>
          </cell>
          <cell r="C47" t="str">
            <v xml:space="preserve">BCO BRASIL AG 3358-8 CC </v>
          </cell>
          <cell r="D47">
            <v>0</v>
          </cell>
          <cell r="E47" t="str">
            <v>D</v>
          </cell>
          <cell r="G47">
            <v>54.95</v>
          </cell>
          <cell r="H47">
            <v>54.95</v>
          </cell>
          <cell r="I47">
            <v>0</v>
          </cell>
          <cell r="J47">
            <v>0</v>
          </cell>
          <cell r="K47" t="str">
            <v>D</v>
          </cell>
        </row>
        <row r="48">
          <cell r="A48">
            <v>54662</v>
          </cell>
          <cell r="B48" t="str">
            <v>1.1.01.020.0061</v>
          </cell>
          <cell r="C48" t="str">
            <v xml:space="preserve">BCO BRASIL AG 3358-8 CC </v>
          </cell>
          <cell r="D48">
            <v>0</v>
          </cell>
          <cell r="E48" t="str">
            <v>D</v>
          </cell>
          <cell r="G48">
            <v>54.95</v>
          </cell>
          <cell r="H48">
            <v>54.95</v>
          </cell>
          <cell r="I48">
            <v>0</v>
          </cell>
          <cell r="J48">
            <v>0</v>
          </cell>
          <cell r="K48" t="str">
            <v>D</v>
          </cell>
        </row>
        <row r="49">
          <cell r="A49">
            <v>54711</v>
          </cell>
          <cell r="B49" t="str">
            <v>1.1.01.020.0062</v>
          </cell>
          <cell r="C49" t="str">
            <v xml:space="preserve">BCO SANTANDER OBRA </v>
          </cell>
          <cell r="D49">
            <v>100</v>
          </cell>
          <cell r="E49" t="str">
            <v>D</v>
          </cell>
          <cell r="G49">
            <v>1730039.31</v>
          </cell>
          <cell r="H49">
            <v>1720981.54</v>
          </cell>
          <cell r="I49">
            <v>9057.77</v>
          </cell>
          <cell r="J49">
            <v>9157.77</v>
          </cell>
          <cell r="K49" t="str">
            <v>D</v>
          </cell>
        </row>
        <row r="50">
          <cell r="A50">
            <v>54874</v>
          </cell>
          <cell r="B50" t="str">
            <v>1.1.01.020.0063</v>
          </cell>
          <cell r="C50" t="str">
            <v xml:space="preserve">BANCO BRADESCO </v>
          </cell>
          <cell r="D50">
            <v>870840</v>
          </cell>
          <cell r="E50" t="str">
            <v>D</v>
          </cell>
          <cell r="G50">
            <v>96760</v>
          </cell>
          <cell r="H50">
            <v>0</v>
          </cell>
          <cell r="I50">
            <v>96760</v>
          </cell>
          <cell r="J50">
            <v>967600</v>
          </cell>
          <cell r="K50" t="str">
            <v>D</v>
          </cell>
        </row>
        <row r="51">
          <cell r="A51">
            <v>54875</v>
          </cell>
          <cell r="B51" t="str">
            <v>1.1.01.020.0064</v>
          </cell>
          <cell r="C51" t="str">
            <v xml:space="preserve">BANCO BRADESCO </v>
          </cell>
          <cell r="D51">
            <v>0</v>
          </cell>
          <cell r="E51" t="str">
            <v>D</v>
          </cell>
          <cell r="G51">
            <v>737987.14</v>
          </cell>
          <cell r="H51">
            <v>737987.14</v>
          </cell>
          <cell r="I51">
            <v>0</v>
          </cell>
          <cell r="J51">
            <v>0</v>
          </cell>
          <cell r="K51" t="str">
            <v>D</v>
          </cell>
        </row>
        <row r="52">
          <cell r="A52">
            <v>141</v>
          </cell>
          <cell r="B52" t="str">
            <v>1.1.01.030</v>
          </cell>
          <cell r="C52" t="str">
            <v>BANCOS CONTA APLICACOES</v>
          </cell>
          <cell r="D52">
            <v>33413855.640000001</v>
          </cell>
          <cell r="E52" t="str">
            <v>D</v>
          </cell>
          <cell r="G52">
            <v>10787181.48</v>
          </cell>
          <cell r="H52">
            <v>11631710.550000001</v>
          </cell>
          <cell r="I52">
            <v>-844529.07</v>
          </cell>
          <cell r="J52">
            <v>32569326.57</v>
          </cell>
          <cell r="K52" t="str">
            <v>D</v>
          </cell>
        </row>
        <row r="53">
          <cell r="A53">
            <v>33929</v>
          </cell>
          <cell r="B53" t="str">
            <v>1.1.01.030.0001</v>
          </cell>
          <cell r="C53" t="str">
            <v xml:space="preserve">BRADESCO CAPITALIZACAO </v>
          </cell>
          <cell r="D53">
            <v>1935877.32</v>
          </cell>
          <cell r="E53" t="str">
            <v>D</v>
          </cell>
          <cell r="G53">
            <v>50222.27</v>
          </cell>
          <cell r="H53">
            <v>34006.15</v>
          </cell>
          <cell r="I53">
            <v>16216.12</v>
          </cell>
          <cell r="J53">
            <v>1952093.44</v>
          </cell>
          <cell r="K53" t="str">
            <v>D</v>
          </cell>
        </row>
        <row r="54">
          <cell r="A54">
            <v>26395</v>
          </cell>
          <cell r="B54" t="str">
            <v>1.1.01.030.0002</v>
          </cell>
          <cell r="C54" t="str">
            <v xml:space="preserve">BRADESCO CAPITALIZACAO </v>
          </cell>
          <cell r="D54">
            <v>2000000</v>
          </cell>
          <cell r="E54" t="str">
            <v>D</v>
          </cell>
          <cell r="G54">
            <v>25000</v>
          </cell>
          <cell r="H54">
            <v>0</v>
          </cell>
          <cell r="I54">
            <v>25000</v>
          </cell>
          <cell r="J54">
            <v>2025000</v>
          </cell>
          <cell r="K54" t="str">
            <v>D</v>
          </cell>
        </row>
        <row r="55">
          <cell r="A55">
            <v>138</v>
          </cell>
          <cell r="B55" t="str">
            <v>1.1.01.030.0008</v>
          </cell>
          <cell r="C55" t="str">
            <v xml:space="preserve">SANTANDER PREMIUM AG </v>
          </cell>
          <cell r="D55">
            <v>12360955.24</v>
          </cell>
          <cell r="E55" t="str">
            <v>D</v>
          </cell>
          <cell r="G55">
            <v>9434001.2899999991</v>
          </cell>
          <cell r="H55">
            <v>8585063.8100000005</v>
          </cell>
          <cell r="I55">
            <v>848937.48</v>
          </cell>
          <cell r="J55">
            <v>13209892.720000001</v>
          </cell>
          <cell r="K55" t="str">
            <v>D</v>
          </cell>
        </row>
        <row r="56">
          <cell r="A56">
            <v>51954</v>
          </cell>
          <cell r="B56" t="str">
            <v>1.1.01.030.0021</v>
          </cell>
          <cell r="C56" t="str">
            <v>BRASIL  AG 3358-8 CC 2137-7</v>
          </cell>
          <cell r="D56">
            <v>743349</v>
          </cell>
          <cell r="E56" t="str">
            <v>D</v>
          </cell>
          <cell r="G56">
            <v>21196.5</v>
          </cell>
          <cell r="H56">
            <v>0</v>
          </cell>
          <cell r="I56">
            <v>21196.5</v>
          </cell>
          <cell r="J56">
            <v>764545.5</v>
          </cell>
          <cell r="K56" t="str">
            <v>D</v>
          </cell>
        </row>
        <row r="57">
          <cell r="A57">
            <v>38099</v>
          </cell>
          <cell r="B57" t="str">
            <v>1.1.01.030.0024</v>
          </cell>
          <cell r="C57" t="str">
            <v xml:space="preserve">SANTANDER AG 2021 CC </v>
          </cell>
          <cell r="D57">
            <v>447621.27</v>
          </cell>
          <cell r="E57" t="str">
            <v>D</v>
          </cell>
          <cell r="G57">
            <v>352394.53</v>
          </cell>
          <cell r="H57">
            <v>448268.04</v>
          </cell>
          <cell r="I57">
            <v>-95873.51</v>
          </cell>
          <cell r="J57">
            <v>351747.76</v>
          </cell>
          <cell r="K57" t="str">
            <v>D</v>
          </cell>
        </row>
        <row r="58">
          <cell r="A58">
            <v>38061</v>
          </cell>
          <cell r="B58" t="str">
            <v>1.1.01.030.0025</v>
          </cell>
          <cell r="C58" t="str">
            <v>SANTANDER AG 0093 CC13-</v>
          </cell>
          <cell r="D58">
            <v>2006.95</v>
          </cell>
          <cell r="E58" t="str">
            <v>D</v>
          </cell>
          <cell r="G58">
            <v>85771.51</v>
          </cell>
          <cell r="H58">
            <v>51935.09</v>
          </cell>
          <cell r="I58">
            <v>33836.42</v>
          </cell>
          <cell r="J58">
            <v>35843.370000000003</v>
          </cell>
          <cell r="K58" t="str">
            <v>D</v>
          </cell>
        </row>
        <row r="59">
          <cell r="A59">
            <v>52469</v>
          </cell>
          <cell r="B59" t="str">
            <v>1.1.01.030.0026</v>
          </cell>
          <cell r="C59" t="str">
            <v xml:space="preserve">SANTANDER AG 2021 CC </v>
          </cell>
          <cell r="D59">
            <v>352122.31</v>
          </cell>
          <cell r="E59" t="str">
            <v>D</v>
          </cell>
          <cell r="G59">
            <v>132122.6</v>
          </cell>
          <cell r="H59">
            <v>52045.88</v>
          </cell>
          <cell r="I59">
            <v>80076.72</v>
          </cell>
          <cell r="J59">
            <v>432199.03</v>
          </cell>
          <cell r="K59" t="str">
            <v>D</v>
          </cell>
        </row>
        <row r="60">
          <cell r="A60">
            <v>54214</v>
          </cell>
          <cell r="B60" t="str">
            <v>1.1.01.030.0034</v>
          </cell>
          <cell r="C60" t="str">
            <v xml:space="preserve">SANTANDER APLICAÇÃO AG </v>
          </cell>
          <cell r="D60">
            <v>2076883.85</v>
          </cell>
          <cell r="E60" t="str">
            <v>D</v>
          </cell>
          <cell r="G60">
            <v>17050.73</v>
          </cell>
          <cell r="H60">
            <v>0</v>
          </cell>
          <cell r="I60">
            <v>17050.73</v>
          </cell>
          <cell r="J60">
            <v>2093934.58</v>
          </cell>
          <cell r="K60" t="str">
            <v>D</v>
          </cell>
        </row>
        <row r="61">
          <cell r="A61">
            <v>54259</v>
          </cell>
          <cell r="B61" t="str">
            <v>1.1.01.030.0037</v>
          </cell>
          <cell r="C61" t="str">
            <v xml:space="preserve">BANCO BRASIL AG 3358-8 CC </v>
          </cell>
          <cell r="D61">
            <v>609724.79</v>
          </cell>
          <cell r="E61" t="str">
            <v>D</v>
          </cell>
          <cell r="G61">
            <v>565089.9</v>
          </cell>
          <cell r="H61">
            <v>636816.94999999995</v>
          </cell>
          <cell r="I61">
            <v>-71727.05</v>
          </cell>
          <cell r="J61">
            <v>537997.74</v>
          </cell>
          <cell r="K61" t="str">
            <v>D</v>
          </cell>
        </row>
        <row r="62">
          <cell r="A62">
            <v>54265</v>
          </cell>
          <cell r="B62" t="str">
            <v>1.1.01.030.0038</v>
          </cell>
          <cell r="C62" t="str">
            <v xml:space="preserve">BCO BRASIL AG 3358-8 CC </v>
          </cell>
          <cell r="D62">
            <v>100805.12</v>
          </cell>
          <cell r="E62" t="str">
            <v>D</v>
          </cell>
          <cell r="G62">
            <v>702.15</v>
          </cell>
          <cell r="H62">
            <v>0</v>
          </cell>
          <cell r="I62">
            <v>702.15</v>
          </cell>
          <cell r="J62">
            <v>101507.27</v>
          </cell>
          <cell r="K62" t="str">
            <v>D</v>
          </cell>
        </row>
        <row r="63">
          <cell r="A63">
            <v>54519</v>
          </cell>
          <cell r="B63" t="str">
            <v>1.1.01.030.0044</v>
          </cell>
          <cell r="C63" t="str">
            <v xml:space="preserve">BANCO BRASIL AG 3358-8 </v>
          </cell>
          <cell r="D63">
            <v>500811.56</v>
          </cell>
          <cell r="E63" t="str">
            <v>D</v>
          </cell>
          <cell r="G63">
            <v>3488.37</v>
          </cell>
          <cell r="H63">
            <v>0</v>
          </cell>
          <cell r="I63">
            <v>3488.37</v>
          </cell>
          <cell r="J63">
            <v>504299.93</v>
          </cell>
          <cell r="K63" t="str">
            <v>D</v>
          </cell>
        </row>
        <row r="64">
          <cell r="A64">
            <v>54521</v>
          </cell>
          <cell r="B64" t="str">
            <v>1.1.01.030.0045</v>
          </cell>
          <cell r="C64" t="str">
            <v xml:space="preserve">BANCO BRASIL AG 3358-8 </v>
          </cell>
          <cell r="D64">
            <v>508824.54</v>
          </cell>
          <cell r="E64" t="str">
            <v>D</v>
          </cell>
          <cell r="G64">
            <v>3544.18</v>
          </cell>
          <cell r="H64">
            <v>0</v>
          </cell>
          <cell r="I64">
            <v>3544.18</v>
          </cell>
          <cell r="J64">
            <v>512368.72</v>
          </cell>
          <cell r="K64" t="str">
            <v>D</v>
          </cell>
        </row>
        <row r="65">
          <cell r="A65">
            <v>54712</v>
          </cell>
          <cell r="B65" t="str">
            <v>1.1.01.030.0054</v>
          </cell>
          <cell r="C65" t="str">
            <v xml:space="preserve">BCO SANTANDER OBRA </v>
          </cell>
          <cell r="D65">
            <v>2709411.77</v>
          </cell>
          <cell r="E65" t="str">
            <v>D</v>
          </cell>
          <cell r="G65">
            <v>15297.77</v>
          </cell>
          <cell r="H65">
            <v>1730033.85</v>
          </cell>
          <cell r="I65">
            <v>-1714736.08</v>
          </cell>
          <cell r="J65">
            <v>994675.69</v>
          </cell>
          <cell r="K65" t="str">
            <v>D</v>
          </cell>
        </row>
        <row r="66">
          <cell r="A66">
            <v>55452</v>
          </cell>
          <cell r="B66" t="str">
            <v>1.1.01.030.0059</v>
          </cell>
          <cell r="C66" t="str">
            <v xml:space="preserve">BANCO BTG CC 281023-8 </v>
          </cell>
          <cell r="D66">
            <v>9064568.7300000004</v>
          </cell>
          <cell r="E66" t="str">
            <v>D</v>
          </cell>
          <cell r="G66">
            <v>81299.679999999993</v>
          </cell>
          <cell r="H66">
            <v>93540.78</v>
          </cell>
          <cell r="I66">
            <v>-12241.1</v>
          </cell>
          <cell r="J66">
            <v>9052327.6300000008</v>
          </cell>
          <cell r="K66" t="str">
            <v>D</v>
          </cell>
        </row>
        <row r="67">
          <cell r="A67">
            <v>55952</v>
          </cell>
          <cell r="B67" t="str">
            <v>1.1.01.030.0060</v>
          </cell>
          <cell r="C67" t="str">
            <v xml:space="preserve">XP INVESTIMENTOS AG 0001 </v>
          </cell>
          <cell r="D67">
            <v>893.19</v>
          </cell>
          <cell r="E67" t="str">
            <v>D</v>
          </cell>
          <cell r="G67">
            <v>0</v>
          </cell>
          <cell r="H67">
            <v>0</v>
          </cell>
          <cell r="I67">
            <v>0</v>
          </cell>
          <cell r="J67">
            <v>893.19</v>
          </cell>
          <cell r="K67" t="str">
            <v>D</v>
          </cell>
        </row>
        <row r="68">
          <cell r="A68">
            <v>53514</v>
          </cell>
          <cell r="B68" t="str">
            <v>1.1.01.040</v>
          </cell>
          <cell r="C68" t="str">
            <v xml:space="preserve">BANCO CONTA MOVIMENTO </v>
          </cell>
          <cell r="D68">
            <v>0</v>
          </cell>
          <cell r="E68" t="str">
            <v>D</v>
          </cell>
          <cell r="G68">
            <v>12881.7</v>
          </cell>
          <cell r="H68">
            <v>12881.7</v>
          </cell>
          <cell r="I68">
            <v>0</v>
          </cell>
          <cell r="J68">
            <v>0</v>
          </cell>
          <cell r="K68" t="str">
            <v>D</v>
          </cell>
        </row>
        <row r="69">
          <cell r="A69">
            <v>74</v>
          </cell>
          <cell r="B69" t="str">
            <v>1.1.01.040.0001</v>
          </cell>
          <cell r="C69" t="str">
            <v>BRASIL AG 3358-8 CC 156066-2</v>
          </cell>
          <cell r="D69">
            <v>0</v>
          </cell>
          <cell r="E69" t="str">
            <v>D</v>
          </cell>
          <cell r="G69">
            <v>1609.63</v>
          </cell>
          <cell r="H69">
            <v>1609.63</v>
          </cell>
          <cell r="I69">
            <v>0</v>
          </cell>
          <cell r="J69">
            <v>0</v>
          </cell>
          <cell r="K69" t="str">
            <v>D</v>
          </cell>
        </row>
        <row r="70">
          <cell r="A70">
            <v>52875</v>
          </cell>
          <cell r="B70" t="str">
            <v>1.1.01.040.0002</v>
          </cell>
          <cell r="C70" t="str">
            <v>BRASIL AG 3358 CC 6568</v>
          </cell>
          <cell r="D70">
            <v>0</v>
          </cell>
          <cell r="E70" t="str">
            <v>D</v>
          </cell>
          <cell r="G70">
            <v>156</v>
          </cell>
          <cell r="H70">
            <v>156</v>
          </cell>
          <cell r="I70">
            <v>0</v>
          </cell>
          <cell r="J70">
            <v>0</v>
          </cell>
          <cell r="K70" t="str">
            <v>D</v>
          </cell>
        </row>
        <row r="71">
          <cell r="A71">
            <v>53074</v>
          </cell>
          <cell r="B71" t="str">
            <v>1.1.01.040.0008</v>
          </cell>
          <cell r="C71" t="str">
            <v>BRASIL AG 3358-8 CC 6636-2</v>
          </cell>
          <cell r="D71">
            <v>0</v>
          </cell>
          <cell r="E71" t="str">
            <v>D</v>
          </cell>
          <cell r="G71">
            <v>300</v>
          </cell>
          <cell r="H71">
            <v>300</v>
          </cell>
          <cell r="I71">
            <v>0</v>
          </cell>
          <cell r="J71">
            <v>0</v>
          </cell>
          <cell r="K71" t="str">
            <v>D</v>
          </cell>
        </row>
        <row r="72">
          <cell r="A72">
            <v>52277</v>
          </cell>
          <cell r="B72" t="str">
            <v>1.1.01.040.0009</v>
          </cell>
          <cell r="C72" t="str">
            <v xml:space="preserve">BANCO DO BRASIL - 6472-6 - </v>
          </cell>
          <cell r="D72">
            <v>0</v>
          </cell>
          <cell r="E72" t="str">
            <v>D</v>
          </cell>
          <cell r="G72">
            <v>54.95</v>
          </cell>
          <cell r="H72">
            <v>54.95</v>
          </cell>
          <cell r="I72">
            <v>0</v>
          </cell>
          <cell r="J72">
            <v>0</v>
          </cell>
          <cell r="K72" t="str">
            <v>D</v>
          </cell>
        </row>
        <row r="73">
          <cell r="A73">
            <v>54066</v>
          </cell>
          <cell r="B73" t="str">
            <v>1.1.01.040.0010</v>
          </cell>
          <cell r="C73" t="str">
            <v>BRASIL AG 3358-8 CC 6839-X</v>
          </cell>
          <cell r="D73">
            <v>0</v>
          </cell>
          <cell r="E73" t="str">
            <v>D</v>
          </cell>
          <cell r="G73">
            <v>300</v>
          </cell>
          <cell r="H73">
            <v>300</v>
          </cell>
          <cell r="I73">
            <v>0</v>
          </cell>
          <cell r="J73">
            <v>0</v>
          </cell>
          <cell r="K73" t="str">
            <v>D</v>
          </cell>
        </row>
        <row r="74">
          <cell r="A74">
            <v>54556</v>
          </cell>
          <cell r="B74" t="str">
            <v>1.1.01.040.0017</v>
          </cell>
          <cell r="C74" t="str">
            <v>CEF AG 4293 CC 924139-6</v>
          </cell>
          <cell r="D74">
            <v>0</v>
          </cell>
          <cell r="E74" t="str">
            <v>D</v>
          </cell>
          <cell r="G74">
            <v>49</v>
          </cell>
          <cell r="H74">
            <v>49</v>
          </cell>
          <cell r="I74">
            <v>0</v>
          </cell>
          <cell r="J74">
            <v>0</v>
          </cell>
          <cell r="K74" t="str">
            <v>D</v>
          </cell>
        </row>
        <row r="75">
          <cell r="A75">
            <v>54765</v>
          </cell>
          <cell r="B75" t="str">
            <v>1.1.01.040.0019</v>
          </cell>
          <cell r="C75" t="str">
            <v>CEF AG 4293 CC 5509-5</v>
          </cell>
          <cell r="D75">
            <v>0</v>
          </cell>
          <cell r="E75" t="str">
            <v>D</v>
          </cell>
          <cell r="G75">
            <v>10412.120000000001</v>
          </cell>
          <cell r="H75">
            <v>10412.120000000001</v>
          </cell>
          <cell r="I75">
            <v>0</v>
          </cell>
          <cell r="J75">
            <v>0</v>
          </cell>
          <cell r="K75" t="str">
            <v>D</v>
          </cell>
        </row>
        <row r="76">
          <cell r="A76">
            <v>53515</v>
          </cell>
          <cell r="B76" t="str">
            <v>1.1.01.041</v>
          </cell>
          <cell r="C76" t="str">
            <v xml:space="preserve">BANCO CONTA APLICAÇÃO C/ </v>
          </cell>
          <cell r="D76">
            <v>1266446.48</v>
          </cell>
          <cell r="E76" t="str">
            <v>D</v>
          </cell>
          <cell r="G76">
            <v>12317.84</v>
          </cell>
          <cell r="H76">
            <v>382.11</v>
          </cell>
          <cell r="I76">
            <v>11935.73</v>
          </cell>
          <cell r="J76">
            <v>1278382.21</v>
          </cell>
          <cell r="K76" t="str">
            <v>D</v>
          </cell>
        </row>
        <row r="77">
          <cell r="A77">
            <v>53499</v>
          </cell>
          <cell r="B77" t="str">
            <v>1.1.01.041.0008</v>
          </cell>
          <cell r="C77" t="str">
            <v>BRASIL AG 3358-8 APLIC 6636-</v>
          </cell>
          <cell r="D77">
            <v>100162.31</v>
          </cell>
          <cell r="E77" t="str">
            <v>D</v>
          </cell>
          <cell r="G77">
            <v>697.68</v>
          </cell>
          <cell r="H77">
            <v>0</v>
          </cell>
          <cell r="I77">
            <v>697.68</v>
          </cell>
          <cell r="J77">
            <v>100859.99</v>
          </cell>
          <cell r="K77" t="str">
            <v>D</v>
          </cell>
        </row>
        <row r="78">
          <cell r="A78">
            <v>54557</v>
          </cell>
          <cell r="B78" t="str">
            <v>1.1.01.041.0016</v>
          </cell>
          <cell r="C78" t="str">
            <v>CEF AG 4293 CC 924139-6</v>
          </cell>
          <cell r="D78">
            <v>1166284.17</v>
          </cell>
          <cell r="E78" t="str">
            <v>D</v>
          </cell>
          <cell r="G78">
            <v>11620.16</v>
          </cell>
          <cell r="H78">
            <v>382.11</v>
          </cell>
          <cell r="I78">
            <v>11238.05</v>
          </cell>
          <cell r="J78">
            <v>1177522.22</v>
          </cell>
          <cell r="K78" t="str">
            <v>D</v>
          </cell>
        </row>
        <row r="79">
          <cell r="A79">
            <v>36555</v>
          </cell>
          <cell r="B79" t="str">
            <v>1.1.02</v>
          </cell>
          <cell r="C79" t="str">
            <v>CREDITOS A RECEBER</v>
          </cell>
          <cell r="D79">
            <v>35782819.93</v>
          </cell>
          <cell r="E79" t="str">
            <v>D</v>
          </cell>
          <cell r="G79">
            <v>23931514.550000001</v>
          </cell>
          <cell r="H79">
            <v>22827975.739999998</v>
          </cell>
          <cell r="I79">
            <v>1103538.81</v>
          </cell>
          <cell r="J79">
            <v>36886358.740000002</v>
          </cell>
          <cell r="K79" t="str">
            <v>D</v>
          </cell>
        </row>
        <row r="80">
          <cell r="A80">
            <v>36556</v>
          </cell>
          <cell r="B80" t="str">
            <v>1.1.02.010</v>
          </cell>
          <cell r="C80" t="str">
            <v>CONVENIOS</v>
          </cell>
          <cell r="D80">
            <v>15361569.539999999</v>
          </cell>
          <cell r="E80" t="str">
            <v>D</v>
          </cell>
          <cell r="G80">
            <v>16603686.210000001</v>
          </cell>
          <cell r="H80">
            <v>14759402.34</v>
          </cell>
          <cell r="I80">
            <v>1844283.87</v>
          </cell>
          <cell r="J80">
            <v>17205853.41</v>
          </cell>
          <cell r="K80" t="str">
            <v>D</v>
          </cell>
        </row>
        <row r="81">
          <cell r="A81">
            <v>395</v>
          </cell>
          <cell r="B81" t="str">
            <v>1.1.02.010.0002</v>
          </cell>
          <cell r="C81" t="str">
            <v>ABRANGE</v>
          </cell>
          <cell r="D81">
            <v>1465.49</v>
          </cell>
          <cell r="E81" t="str">
            <v>D</v>
          </cell>
          <cell r="G81">
            <v>1321.64</v>
          </cell>
          <cell r="H81">
            <v>62</v>
          </cell>
          <cell r="I81">
            <v>1259.6400000000001</v>
          </cell>
          <cell r="J81">
            <v>2725.13</v>
          </cell>
          <cell r="K81" t="str">
            <v>D</v>
          </cell>
        </row>
        <row r="82">
          <cell r="A82">
            <v>33136</v>
          </cell>
          <cell r="B82" t="str">
            <v>1.1.02.010.0004</v>
          </cell>
          <cell r="C82" t="str">
            <v>ALIANZ SAUDE</v>
          </cell>
          <cell r="D82">
            <v>6291.6</v>
          </cell>
          <cell r="E82" t="str">
            <v>D</v>
          </cell>
          <cell r="G82">
            <v>0</v>
          </cell>
          <cell r="H82">
            <v>0</v>
          </cell>
          <cell r="I82">
            <v>0</v>
          </cell>
          <cell r="J82">
            <v>6291.6</v>
          </cell>
          <cell r="K82" t="str">
            <v>D</v>
          </cell>
        </row>
        <row r="83">
          <cell r="A83">
            <v>396</v>
          </cell>
          <cell r="B83" t="str">
            <v>1.1.02.010.0005</v>
          </cell>
          <cell r="C83" t="str">
            <v>AMAFRESP</v>
          </cell>
          <cell r="D83">
            <v>3284.28</v>
          </cell>
          <cell r="E83" t="str">
            <v>D</v>
          </cell>
          <cell r="G83">
            <v>75</v>
          </cell>
          <cell r="H83">
            <v>1590.22</v>
          </cell>
          <cell r="I83">
            <v>-1515.22</v>
          </cell>
          <cell r="J83">
            <v>1769.06</v>
          </cell>
          <cell r="K83" t="str">
            <v>D</v>
          </cell>
        </row>
        <row r="84">
          <cell r="A84">
            <v>388</v>
          </cell>
          <cell r="B84" t="str">
            <v>1.1.02.010.0006</v>
          </cell>
          <cell r="C84" t="str">
            <v>AMBEP</v>
          </cell>
          <cell r="D84">
            <v>4540.3500000000004</v>
          </cell>
          <cell r="E84" t="str">
            <v>D</v>
          </cell>
          <cell r="G84">
            <v>0</v>
          </cell>
          <cell r="H84">
            <v>0</v>
          </cell>
          <cell r="I84">
            <v>0</v>
          </cell>
          <cell r="J84">
            <v>4540.3500000000004</v>
          </cell>
          <cell r="K84" t="str">
            <v>D</v>
          </cell>
        </row>
        <row r="85">
          <cell r="A85">
            <v>392</v>
          </cell>
          <cell r="B85" t="str">
            <v>1.1.02.010.0007</v>
          </cell>
          <cell r="C85" t="str">
            <v xml:space="preserve">AMIL CLINICA SAO JOSE S/C </v>
          </cell>
          <cell r="D85">
            <v>371184.58</v>
          </cell>
          <cell r="E85" t="str">
            <v>D</v>
          </cell>
          <cell r="G85">
            <v>120112.43</v>
          </cell>
          <cell r="H85">
            <v>123820.76</v>
          </cell>
          <cell r="I85">
            <v>-3708.33</v>
          </cell>
          <cell r="J85">
            <v>367476.25</v>
          </cell>
          <cell r="K85" t="str">
            <v>D</v>
          </cell>
        </row>
        <row r="86">
          <cell r="A86">
            <v>391</v>
          </cell>
          <cell r="B86" t="str">
            <v>1.1.02.010.0008</v>
          </cell>
          <cell r="C86" t="str">
            <v>ASSEFAZ</v>
          </cell>
          <cell r="D86">
            <v>137.4</v>
          </cell>
          <cell r="E86" t="str">
            <v>D</v>
          </cell>
          <cell r="G86">
            <v>0</v>
          </cell>
          <cell r="H86">
            <v>0</v>
          </cell>
          <cell r="I86">
            <v>0</v>
          </cell>
          <cell r="J86">
            <v>137.4</v>
          </cell>
          <cell r="K86" t="str">
            <v>D</v>
          </cell>
        </row>
        <row r="87">
          <cell r="A87">
            <v>51149</v>
          </cell>
          <cell r="B87" t="str">
            <v>1.1.02.010.0011</v>
          </cell>
          <cell r="C87" t="str">
            <v>ASSOCIACAO SANTA CASA SA</v>
          </cell>
          <cell r="D87">
            <v>1461875.3</v>
          </cell>
          <cell r="E87" t="str">
            <v>D</v>
          </cell>
          <cell r="G87">
            <v>11933744.789999999</v>
          </cell>
          <cell r="H87">
            <v>10814247.449999999</v>
          </cell>
          <cell r="I87">
            <v>1119497.3400000001</v>
          </cell>
          <cell r="J87">
            <v>2581372.64</v>
          </cell>
          <cell r="K87" t="str">
            <v>D</v>
          </cell>
        </row>
        <row r="88">
          <cell r="A88">
            <v>406</v>
          </cell>
          <cell r="B88" t="str">
            <v>1.1.02.010.0012</v>
          </cell>
          <cell r="C88" t="str">
            <v xml:space="preserve">ATIVIA  COOPERATIVA MEDICA </v>
          </cell>
          <cell r="D88">
            <v>946.66</v>
          </cell>
          <cell r="E88" t="str">
            <v>D</v>
          </cell>
          <cell r="G88">
            <v>0</v>
          </cell>
          <cell r="H88">
            <v>0</v>
          </cell>
          <cell r="I88">
            <v>0</v>
          </cell>
          <cell r="J88">
            <v>946.66</v>
          </cell>
          <cell r="K88" t="str">
            <v>D</v>
          </cell>
        </row>
        <row r="89">
          <cell r="A89">
            <v>394</v>
          </cell>
          <cell r="B89" t="str">
            <v>1.1.02.010.0014</v>
          </cell>
          <cell r="C89" t="str">
            <v xml:space="preserve">AVAMP ASSOC.V.PARAIBANA </v>
          </cell>
          <cell r="D89">
            <v>91101.73</v>
          </cell>
          <cell r="E89" t="str">
            <v>D</v>
          </cell>
          <cell r="G89">
            <v>209500.55</v>
          </cell>
          <cell r="H89">
            <v>43262.38</v>
          </cell>
          <cell r="I89">
            <v>166238.17000000001</v>
          </cell>
          <cell r="J89">
            <v>257339.9</v>
          </cell>
          <cell r="K89" t="str">
            <v>D</v>
          </cell>
        </row>
        <row r="90">
          <cell r="A90">
            <v>38252</v>
          </cell>
          <cell r="B90" t="str">
            <v>1.1.02.010.0016</v>
          </cell>
          <cell r="C90" t="str">
            <v>BENEFICENCIA CAMILIANA DO</v>
          </cell>
          <cell r="D90">
            <v>378</v>
          </cell>
          <cell r="E90" t="str">
            <v>D</v>
          </cell>
          <cell r="G90">
            <v>0</v>
          </cell>
          <cell r="H90">
            <v>0</v>
          </cell>
          <cell r="I90">
            <v>0</v>
          </cell>
          <cell r="J90">
            <v>378</v>
          </cell>
          <cell r="K90" t="str">
            <v>D</v>
          </cell>
        </row>
        <row r="91">
          <cell r="A91">
            <v>398</v>
          </cell>
          <cell r="B91" t="str">
            <v>1.1.02.010.0018</v>
          </cell>
          <cell r="C91" t="str">
            <v>BRADESCO SEGUROS</v>
          </cell>
          <cell r="D91">
            <v>435428.98</v>
          </cell>
          <cell r="E91" t="str">
            <v>D</v>
          </cell>
          <cell r="G91">
            <v>240881.94</v>
          </cell>
          <cell r="H91">
            <v>232163.27</v>
          </cell>
          <cell r="I91">
            <v>8718.67</v>
          </cell>
          <cell r="J91">
            <v>444147.65</v>
          </cell>
          <cell r="K91" t="str">
            <v>D</v>
          </cell>
        </row>
        <row r="92">
          <cell r="A92">
            <v>401</v>
          </cell>
          <cell r="B92" t="str">
            <v>1.1.02.010.0019</v>
          </cell>
          <cell r="C92" t="str">
            <v xml:space="preserve">CABESP CXA BENEF FUNC </v>
          </cell>
          <cell r="D92">
            <v>1147.8499999999999</v>
          </cell>
          <cell r="E92" t="str">
            <v>D</v>
          </cell>
          <cell r="G92">
            <v>300</v>
          </cell>
          <cell r="H92">
            <v>1072.8499999999999</v>
          </cell>
          <cell r="I92">
            <v>-772.85</v>
          </cell>
          <cell r="J92">
            <v>375</v>
          </cell>
          <cell r="K92" t="str">
            <v>D</v>
          </cell>
        </row>
        <row r="93">
          <cell r="A93">
            <v>37840</v>
          </cell>
          <cell r="B93" t="str">
            <v>1.1.02.010.0020</v>
          </cell>
          <cell r="C93" t="str">
            <v xml:space="preserve">CAIXA ECONOMICA FEDERAL </v>
          </cell>
          <cell r="D93">
            <v>60081.56</v>
          </cell>
          <cell r="E93" t="str">
            <v>D</v>
          </cell>
          <cell r="G93">
            <v>4251.62</v>
          </cell>
          <cell r="H93">
            <v>10362.120000000001</v>
          </cell>
          <cell r="I93">
            <v>-6110.5</v>
          </cell>
          <cell r="J93">
            <v>53971.06</v>
          </cell>
          <cell r="K93" t="str">
            <v>D</v>
          </cell>
        </row>
        <row r="94">
          <cell r="A94">
            <v>400</v>
          </cell>
          <cell r="B94" t="str">
            <v>1.1.02.010.0021</v>
          </cell>
          <cell r="C94" t="str">
            <v xml:space="preserve">CARE PLUS MEDIC. </v>
          </cell>
          <cell r="D94">
            <v>7670.47</v>
          </cell>
          <cell r="E94" t="str">
            <v>D</v>
          </cell>
          <cell r="G94">
            <v>796.48</v>
          </cell>
          <cell r="H94">
            <v>4521.1099999999997</v>
          </cell>
          <cell r="I94">
            <v>-3724.63</v>
          </cell>
          <cell r="J94">
            <v>3945.84</v>
          </cell>
          <cell r="K94" t="str">
            <v>D</v>
          </cell>
        </row>
        <row r="95">
          <cell r="A95">
            <v>402</v>
          </cell>
          <cell r="B95" t="str">
            <v>1.1.02.010.0022</v>
          </cell>
          <cell r="C95" t="str">
            <v xml:space="preserve">CASSI CXA ASSIST FUNC BCO </v>
          </cell>
          <cell r="D95">
            <v>168840.54</v>
          </cell>
          <cell r="E95" t="str">
            <v>D</v>
          </cell>
          <cell r="G95">
            <v>153200.64000000001</v>
          </cell>
          <cell r="H95">
            <v>33083</v>
          </cell>
          <cell r="I95">
            <v>120117.64</v>
          </cell>
          <cell r="J95">
            <v>288958.18</v>
          </cell>
          <cell r="K95" t="str">
            <v>D</v>
          </cell>
        </row>
        <row r="96">
          <cell r="A96">
            <v>33307</v>
          </cell>
          <cell r="B96" t="str">
            <v>1.1.02.010.0023</v>
          </cell>
          <cell r="C96" t="str">
            <v>CIME CIRURG MED LTDA</v>
          </cell>
          <cell r="D96">
            <v>264697.48</v>
          </cell>
          <cell r="E96" t="str">
            <v>D</v>
          </cell>
          <cell r="G96">
            <v>0</v>
          </cell>
          <cell r="H96">
            <v>0</v>
          </cell>
          <cell r="I96">
            <v>0</v>
          </cell>
          <cell r="J96">
            <v>264697.48</v>
          </cell>
          <cell r="K96" t="str">
            <v>D</v>
          </cell>
        </row>
        <row r="97">
          <cell r="A97">
            <v>51840</v>
          </cell>
          <cell r="B97" t="str">
            <v>1.1.02.010.0024</v>
          </cell>
          <cell r="C97" t="str">
            <v>COMANDO DA AERONAUTICA</v>
          </cell>
          <cell r="D97">
            <v>471057.5</v>
          </cell>
          <cell r="E97" t="str">
            <v>D</v>
          </cell>
          <cell r="G97">
            <v>40203.71</v>
          </cell>
          <cell r="H97">
            <v>0</v>
          </cell>
          <cell r="I97">
            <v>40203.71</v>
          </cell>
          <cell r="J97">
            <v>511261.21</v>
          </cell>
          <cell r="K97" t="str">
            <v>D</v>
          </cell>
        </row>
        <row r="98">
          <cell r="A98">
            <v>38307</v>
          </cell>
          <cell r="B98" t="str">
            <v>1.1.02.010.0025</v>
          </cell>
          <cell r="C98" t="str">
            <v>COMANDO DA MARINHA</v>
          </cell>
          <cell r="D98">
            <v>2076573.05</v>
          </cell>
          <cell r="E98" t="str">
            <v>D</v>
          </cell>
          <cell r="G98">
            <v>20275.28</v>
          </cell>
          <cell r="H98">
            <v>31089.25</v>
          </cell>
          <cell r="I98">
            <v>-10813.97</v>
          </cell>
          <cell r="J98">
            <v>2065759.08</v>
          </cell>
          <cell r="K98" t="str">
            <v>D</v>
          </cell>
        </row>
        <row r="99">
          <cell r="A99">
            <v>404</v>
          </cell>
          <cell r="B99" t="str">
            <v>1.1.02.010.0028</v>
          </cell>
          <cell r="C99" t="str">
            <v>CORREIO</v>
          </cell>
          <cell r="D99">
            <v>57898.43</v>
          </cell>
          <cell r="E99" t="str">
            <v>D</v>
          </cell>
          <cell r="G99">
            <v>17140.38</v>
          </cell>
          <cell r="H99">
            <v>24714.240000000002</v>
          </cell>
          <cell r="I99">
            <v>-7573.86</v>
          </cell>
          <cell r="J99">
            <v>50324.57</v>
          </cell>
          <cell r="K99" t="str">
            <v>D</v>
          </cell>
        </row>
        <row r="100">
          <cell r="A100">
            <v>50870</v>
          </cell>
          <cell r="B100" t="str">
            <v>1.1.02.010.0030</v>
          </cell>
          <cell r="C100" t="str">
            <v>ECONLIFE SAUDE LTDA</v>
          </cell>
          <cell r="D100">
            <v>164</v>
          </cell>
          <cell r="E100" t="str">
            <v>D</v>
          </cell>
          <cell r="G100">
            <v>0</v>
          </cell>
          <cell r="H100">
            <v>0</v>
          </cell>
          <cell r="I100">
            <v>0</v>
          </cell>
          <cell r="J100">
            <v>164</v>
          </cell>
          <cell r="K100" t="str">
            <v>D</v>
          </cell>
        </row>
        <row r="101">
          <cell r="A101">
            <v>52068</v>
          </cell>
          <cell r="B101" t="str">
            <v>1.1.02.010.0032</v>
          </cell>
          <cell r="C101" t="str">
            <v>EEAR ESCOLA ESPECIALISTAS</v>
          </cell>
          <cell r="D101">
            <v>2160.12</v>
          </cell>
          <cell r="E101" t="str">
            <v>D</v>
          </cell>
          <cell r="G101">
            <v>0</v>
          </cell>
          <cell r="H101">
            <v>0</v>
          </cell>
          <cell r="I101">
            <v>0</v>
          </cell>
          <cell r="J101">
            <v>2160.12</v>
          </cell>
          <cell r="K101" t="str">
            <v>D</v>
          </cell>
        </row>
        <row r="102">
          <cell r="A102">
            <v>416</v>
          </cell>
          <cell r="B102" t="str">
            <v>1.1.02.010.0034</v>
          </cell>
          <cell r="C102" t="str">
            <v>EMBRATEL</v>
          </cell>
          <cell r="D102">
            <v>460.92</v>
          </cell>
          <cell r="E102" t="str">
            <v>D</v>
          </cell>
          <cell r="G102">
            <v>0</v>
          </cell>
          <cell r="H102">
            <v>0</v>
          </cell>
          <cell r="I102">
            <v>0</v>
          </cell>
          <cell r="J102">
            <v>460.92</v>
          </cell>
          <cell r="K102" t="str">
            <v>D</v>
          </cell>
        </row>
        <row r="103">
          <cell r="A103">
            <v>12342</v>
          </cell>
          <cell r="B103" t="str">
            <v>1.1.02.010.0040</v>
          </cell>
          <cell r="C103" t="str">
            <v>FUNDACAO CESP</v>
          </cell>
          <cell r="D103">
            <v>69819.48</v>
          </cell>
          <cell r="E103" t="str">
            <v>D</v>
          </cell>
          <cell r="G103">
            <v>4147.47</v>
          </cell>
          <cell r="H103">
            <v>1074.08</v>
          </cell>
          <cell r="I103">
            <v>3073.39</v>
          </cell>
          <cell r="J103">
            <v>72892.87</v>
          </cell>
          <cell r="K103" t="str">
            <v>D</v>
          </cell>
        </row>
        <row r="104">
          <cell r="A104">
            <v>52519</v>
          </cell>
          <cell r="B104" t="str">
            <v>1.1.02.010.0041</v>
          </cell>
          <cell r="C104" t="str">
            <v>FUNDACAO SABESP DE SEGU</v>
          </cell>
          <cell r="D104">
            <v>35875.919999999998</v>
          </cell>
          <cell r="E104" t="str">
            <v>D</v>
          </cell>
          <cell r="G104">
            <v>0</v>
          </cell>
          <cell r="H104">
            <v>0</v>
          </cell>
          <cell r="I104">
            <v>0</v>
          </cell>
          <cell r="J104">
            <v>35875.919999999998</v>
          </cell>
          <cell r="K104" t="str">
            <v>D</v>
          </cell>
        </row>
        <row r="105">
          <cell r="A105">
            <v>32891</v>
          </cell>
          <cell r="B105" t="str">
            <v>1.1.02.010.0042</v>
          </cell>
          <cell r="C105" t="str">
            <v>FUSEX</v>
          </cell>
          <cell r="D105">
            <v>1252343.74</v>
          </cell>
          <cell r="E105" t="str">
            <v>D</v>
          </cell>
          <cell r="G105">
            <v>296669.68</v>
          </cell>
          <cell r="H105">
            <v>158337.79</v>
          </cell>
          <cell r="I105">
            <v>138331.89000000001</v>
          </cell>
          <cell r="J105">
            <v>1390675.63</v>
          </cell>
          <cell r="K105" t="str">
            <v>D</v>
          </cell>
        </row>
        <row r="106">
          <cell r="A106">
            <v>12344</v>
          </cell>
          <cell r="B106" t="str">
            <v>1.1.02.010.0043</v>
          </cell>
          <cell r="C106" t="str">
            <v>GAMA</v>
          </cell>
          <cell r="D106">
            <v>3001.64</v>
          </cell>
          <cell r="E106" t="str">
            <v>D</v>
          </cell>
          <cell r="G106">
            <v>0</v>
          </cell>
          <cell r="H106">
            <v>0</v>
          </cell>
          <cell r="I106">
            <v>0</v>
          </cell>
          <cell r="J106">
            <v>3001.64</v>
          </cell>
          <cell r="K106" t="str">
            <v>D</v>
          </cell>
        </row>
        <row r="107">
          <cell r="A107">
            <v>51341</v>
          </cell>
          <cell r="B107" t="str">
            <v>1.1.02.010.0044</v>
          </cell>
          <cell r="C107" t="str">
            <v xml:space="preserve">GM GENERAL MOTORS DO </v>
          </cell>
          <cell r="D107">
            <v>1476.13</v>
          </cell>
          <cell r="E107" t="str">
            <v>D</v>
          </cell>
          <cell r="G107">
            <v>0</v>
          </cell>
          <cell r="H107">
            <v>0</v>
          </cell>
          <cell r="I107">
            <v>0</v>
          </cell>
          <cell r="J107">
            <v>1476.13</v>
          </cell>
          <cell r="K107" t="str">
            <v>D</v>
          </cell>
        </row>
        <row r="108">
          <cell r="A108">
            <v>12348</v>
          </cell>
          <cell r="B108" t="str">
            <v>1.1.02.010.0045</v>
          </cell>
          <cell r="C108" t="str">
            <v>GOLDEN CROSS</v>
          </cell>
          <cell r="D108">
            <v>361.38</v>
          </cell>
          <cell r="E108" t="str">
            <v>D</v>
          </cell>
          <cell r="G108">
            <v>0</v>
          </cell>
          <cell r="H108">
            <v>0</v>
          </cell>
          <cell r="I108">
            <v>0</v>
          </cell>
          <cell r="J108">
            <v>361.38</v>
          </cell>
          <cell r="K108" t="str">
            <v>D</v>
          </cell>
        </row>
        <row r="109">
          <cell r="A109">
            <v>38173</v>
          </cell>
          <cell r="B109" t="str">
            <v>1.1.02.010.0048</v>
          </cell>
          <cell r="C109" t="str">
            <v xml:space="preserve">IAMSPE INSTIT DE ASSIST </v>
          </cell>
          <cell r="D109">
            <v>3538284.95</v>
          </cell>
          <cell r="E109" t="str">
            <v>D</v>
          </cell>
          <cell r="G109">
            <v>1165073.98</v>
          </cell>
          <cell r="H109">
            <v>917647.02</v>
          </cell>
          <cell r="I109">
            <v>247426.96</v>
          </cell>
          <cell r="J109">
            <v>3785711.91</v>
          </cell>
          <cell r="K109" t="str">
            <v>D</v>
          </cell>
        </row>
        <row r="110">
          <cell r="A110">
            <v>37685</v>
          </cell>
          <cell r="B110" t="str">
            <v>1.1.02.010.0049</v>
          </cell>
          <cell r="C110" t="str">
            <v xml:space="preserve">INTERMEDICA SISTEMAS DE </v>
          </cell>
          <cell r="D110">
            <v>251069.96</v>
          </cell>
          <cell r="E110" t="str">
            <v>D</v>
          </cell>
          <cell r="G110">
            <v>86903.73</v>
          </cell>
          <cell r="H110">
            <v>83689.48</v>
          </cell>
          <cell r="I110">
            <v>3214.25</v>
          </cell>
          <cell r="J110">
            <v>254284.21</v>
          </cell>
          <cell r="K110" t="str">
            <v>D</v>
          </cell>
        </row>
        <row r="111">
          <cell r="A111">
            <v>52105</v>
          </cell>
          <cell r="B111" t="str">
            <v>1.1.02.010.0051</v>
          </cell>
          <cell r="C111" t="str">
            <v>LEADER ASSISTENCIA MEDICA</v>
          </cell>
          <cell r="D111">
            <v>92175.13</v>
          </cell>
          <cell r="E111" t="str">
            <v>D</v>
          </cell>
          <cell r="G111">
            <v>0</v>
          </cell>
          <cell r="H111">
            <v>0</v>
          </cell>
          <cell r="I111">
            <v>0</v>
          </cell>
          <cell r="J111">
            <v>92175.13</v>
          </cell>
          <cell r="K111" t="str">
            <v>D</v>
          </cell>
        </row>
        <row r="112">
          <cell r="A112">
            <v>33913</v>
          </cell>
          <cell r="B112" t="str">
            <v>1.1.02.010.0052</v>
          </cell>
          <cell r="C112" t="str">
            <v>LIFE EMPRESARIAL SAUDE</v>
          </cell>
          <cell r="D112">
            <v>7497.65</v>
          </cell>
          <cell r="E112" t="str">
            <v>D</v>
          </cell>
          <cell r="G112">
            <v>1710.49</v>
          </cell>
          <cell r="H112">
            <v>3224.1</v>
          </cell>
          <cell r="I112">
            <v>-1513.61</v>
          </cell>
          <cell r="J112">
            <v>5984.04</v>
          </cell>
          <cell r="K112" t="str">
            <v>D</v>
          </cell>
        </row>
        <row r="113">
          <cell r="A113">
            <v>12360</v>
          </cell>
          <cell r="B113" t="str">
            <v>1.1.02.010.0053</v>
          </cell>
          <cell r="C113" t="str">
            <v>MARITIMA</v>
          </cell>
          <cell r="D113">
            <v>320.29000000000002</v>
          </cell>
          <cell r="E113" t="str">
            <v>D</v>
          </cell>
          <cell r="G113">
            <v>100.28</v>
          </cell>
          <cell r="H113">
            <v>0</v>
          </cell>
          <cell r="I113">
            <v>100.28</v>
          </cell>
          <cell r="J113">
            <v>420.57</v>
          </cell>
          <cell r="K113" t="str">
            <v>D</v>
          </cell>
        </row>
        <row r="114">
          <cell r="A114">
            <v>12361</v>
          </cell>
          <cell r="B114" t="str">
            <v>1.1.02.010.0055</v>
          </cell>
          <cell r="C114" t="str">
            <v>MEDISERVICE</v>
          </cell>
          <cell r="D114">
            <v>26285.75</v>
          </cell>
          <cell r="E114" t="str">
            <v>D</v>
          </cell>
          <cell r="G114">
            <v>18367.03</v>
          </cell>
          <cell r="H114">
            <v>9407.4599999999991</v>
          </cell>
          <cell r="I114">
            <v>8959.57</v>
          </cell>
          <cell r="J114">
            <v>35245.32</v>
          </cell>
          <cell r="K114" t="str">
            <v>D</v>
          </cell>
        </row>
        <row r="115">
          <cell r="A115">
            <v>12367</v>
          </cell>
          <cell r="B115" t="str">
            <v>1.1.02.010.0057</v>
          </cell>
          <cell r="C115" t="str">
            <v>NOTRE DAME</v>
          </cell>
          <cell r="D115">
            <v>212597.65</v>
          </cell>
          <cell r="E115" t="str">
            <v>D</v>
          </cell>
          <cell r="G115">
            <v>135272.75</v>
          </cell>
          <cell r="H115">
            <v>75599.360000000001</v>
          </cell>
          <cell r="I115">
            <v>59673.39</v>
          </cell>
          <cell r="J115">
            <v>272271.03999999998</v>
          </cell>
          <cell r="K115" t="str">
            <v>D</v>
          </cell>
        </row>
        <row r="116">
          <cell r="A116">
            <v>12371</v>
          </cell>
          <cell r="B116" t="str">
            <v>1.1.02.010.0059</v>
          </cell>
          <cell r="C116" t="str">
            <v xml:space="preserve">PETROBRAS PETROLEO </v>
          </cell>
          <cell r="D116">
            <v>75181.31</v>
          </cell>
          <cell r="E116" t="str">
            <v>D</v>
          </cell>
          <cell r="G116">
            <v>10749.78</v>
          </cell>
          <cell r="H116">
            <v>6838.69</v>
          </cell>
          <cell r="I116">
            <v>3911.09</v>
          </cell>
          <cell r="J116">
            <v>79092.399999999994</v>
          </cell>
          <cell r="K116" t="str">
            <v>D</v>
          </cell>
        </row>
        <row r="117">
          <cell r="A117">
            <v>12372</v>
          </cell>
          <cell r="B117" t="str">
            <v>1.1.02.010.0060</v>
          </cell>
          <cell r="C117" t="str">
            <v xml:space="preserve">PLANTEL PLANOS DE ASSIST </v>
          </cell>
          <cell r="D117">
            <v>127.14</v>
          </cell>
          <cell r="E117" t="str">
            <v>D</v>
          </cell>
          <cell r="G117">
            <v>0</v>
          </cell>
          <cell r="H117">
            <v>0</v>
          </cell>
          <cell r="I117">
            <v>0</v>
          </cell>
          <cell r="J117">
            <v>127.14</v>
          </cell>
          <cell r="K117" t="str">
            <v>D</v>
          </cell>
        </row>
        <row r="118">
          <cell r="A118">
            <v>12381</v>
          </cell>
          <cell r="B118" t="str">
            <v>1.1.02.010.0061</v>
          </cell>
          <cell r="C118" t="str">
            <v>PORTO SEGURO SAUDE SA</v>
          </cell>
          <cell r="D118">
            <v>162663.07</v>
          </cell>
          <cell r="E118" t="str">
            <v>D</v>
          </cell>
          <cell r="G118">
            <v>52422.77</v>
          </cell>
          <cell r="H118">
            <v>82939.100000000006</v>
          </cell>
          <cell r="I118">
            <v>-30516.33</v>
          </cell>
          <cell r="J118">
            <v>132146.74</v>
          </cell>
          <cell r="K118" t="str">
            <v>D</v>
          </cell>
        </row>
        <row r="119">
          <cell r="A119">
            <v>38594</v>
          </cell>
          <cell r="B119" t="str">
            <v>1.1.02.010.0062</v>
          </cell>
          <cell r="C119" t="str">
            <v xml:space="preserve">PREFEITURA MUNICIPAL DE </v>
          </cell>
          <cell r="D119">
            <v>260204.1</v>
          </cell>
          <cell r="E119" t="str">
            <v>D</v>
          </cell>
          <cell r="G119">
            <v>181051.01</v>
          </cell>
          <cell r="H119">
            <v>105188.31</v>
          </cell>
          <cell r="I119">
            <v>75862.7</v>
          </cell>
          <cell r="J119">
            <v>336066.8</v>
          </cell>
          <cell r="K119" t="str">
            <v>D</v>
          </cell>
        </row>
        <row r="120">
          <cell r="A120">
            <v>51326</v>
          </cell>
          <cell r="B120" t="str">
            <v>1.1.02.010.0064</v>
          </cell>
          <cell r="C120" t="str">
            <v xml:space="preserve">RM MEDICINA OCUPACIONAL </v>
          </cell>
          <cell r="D120">
            <v>903</v>
          </cell>
          <cell r="E120" t="str">
            <v>D</v>
          </cell>
          <cell r="G120">
            <v>0</v>
          </cell>
          <cell r="H120">
            <v>0</v>
          </cell>
          <cell r="I120">
            <v>0</v>
          </cell>
          <cell r="J120">
            <v>903</v>
          </cell>
          <cell r="K120" t="str">
            <v>D</v>
          </cell>
        </row>
        <row r="121">
          <cell r="A121">
            <v>37048</v>
          </cell>
          <cell r="B121" t="str">
            <v>1.1.02.010.0066</v>
          </cell>
          <cell r="C121" t="str">
            <v>SANTA CASA INTERLIGADAS</v>
          </cell>
          <cell r="D121">
            <v>434.44</v>
          </cell>
          <cell r="E121" t="str">
            <v>D</v>
          </cell>
          <cell r="G121">
            <v>0</v>
          </cell>
          <cell r="H121">
            <v>0</v>
          </cell>
          <cell r="I121">
            <v>0</v>
          </cell>
          <cell r="J121">
            <v>434.44</v>
          </cell>
          <cell r="K121" t="str">
            <v>D</v>
          </cell>
        </row>
        <row r="122">
          <cell r="A122">
            <v>37849</v>
          </cell>
          <cell r="B122" t="str">
            <v>1.1.02.010.0069</v>
          </cell>
          <cell r="C122" t="str">
            <v xml:space="preserve">SPDM ASSOCIACAO PAULISTA </v>
          </cell>
          <cell r="D122">
            <v>34641.730000000003</v>
          </cell>
          <cell r="E122" t="str">
            <v>D</v>
          </cell>
          <cell r="G122">
            <v>0</v>
          </cell>
          <cell r="H122">
            <v>34641.730000000003</v>
          </cell>
          <cell r="I122">
            <v>-34641.730000000003</v>
          </cell>
          <cell r="J122">
            <v>0</v>
          </cell>
          <cell r="K122" t="str">
            <v>D</v>
          </cell>
        </row>
        <row r="123">
          <cell r="A123">
            <v>12387</v>
          </cell>
          <cell r="B123" t="str">
            <v>1.1.02.010.0070</v>
          </cell>
          <cell r="C123" t="str">
            <v xml:space="preserve">SUL AMERICA SERV MEDICOS </v>
          </cell>
          <cell r="D123">
            <v>2017648.56</v>
          </cell>
          <cell r="E123" t="str">
            <v>D</v>
          </cell>
          <cell r="G123">
            <v>676032.72</v>
          </cell>
          <cell r="H123">
            <v>1236449.04</v>
          </cell>
          <cell r="I123">
            <v>-560416.31999999995</v>
          </cell>
          <cell r="J123">
            <v>1457232.24</v>
          </cell>
          <cell r="K123" t="str">
            <v>D</v>
          </cell>
        </row>
        <row r="124">
          <cell r="A124">
            <v>51224</v>
          </cell>
          <cell r="B124" t="str">
            <v>1.1.02.010.0074</v>
          </cell>
          <cell r="C124" t="str">
            <v xml:space="preserve">UNIAO EXERCITO BRASILEIRO </v>
          </cell>
          <cell r="D124">
            <v>3427.08</v>
          </cell>
          <cell r="E124" t="str">
            <v>D</v>
          </cell>
          <cell r="G124">
            <v>0</v>
          </cell>
          <cell r="H124">
            <v>0</v>
          </cell>
          <cell r="I124">
            <v>0</v>
          </cell>
          <cell r="J124">
            <v>3427.08</v>
          </cell>
          <cell r="K124" t="str">
            <v>D</v>
          </cell>
        </row>
        <row r="125">
          <cell r="A125">
            <v>12403</v>
          </cell>
          <cell r="B125" t="str">
            <v>1.1.02.010.0075</v>
          </cell>
          <cell r="C125" t="str">
            <v>UNIMED</v>
          </cell>
          <cell r="D125">
            <v>899521.93</v>
          </cell>
          <cell r="E125" t="str">
            <v>D</v>
          </cell>
          <cell r="G125">
            <v>553181.04</v>
          </cell>
          <cell r="H125">
            <v>443794.59</v>
          </cell>
          <cell r="I125">
            <v>109386.45</v>
          </cell>
          <cell r="J125">
            <v>1008908.38</v>
          </cell>
          <cell r="K125" t="str">
            <v>D</v>
          </cell>
        </row>
        <row r="126">
          <cell r="A126">
            <v>33975</v>
          </cell>
          <cell r="B126" t="str">
            <v>1.1.02.010.0076</v>
          </cell>
          <cell r="C126" t="str">
            <v>UNIMED INTERCAMBIO</v>
          </cell>
          <cell r="D126">
            <v>177322.05</v>
          </cell>
          <cell r="E126" t="str">
            <v>D</v>
          </cell>
          <cell r="G126">
            <v>392524.25</v>
          </cell>
          <cell r="H126">
            <v>134481.35</v>
          </cell>
          <cell r="I126">
            <v>258042.9</v>
          </cell>
          <cell r="J126">
            <v>435364.95</v>
          </cell>
          <cell r="K126" t="str">
            <v>D</v>
          </cell>
        </row>
        <row r="127">
          <cell r="A127">
            <v>52887</v>
          </cell>
          <cell r="B127" t="str">
            <v>1.1.02.010.0077</v>
          </cell>
          <cell r="C127" t="str">
            <v>UNIMED TAUBATE</v>
          </cell>
          <cell r="D127">
            <v>111156.37</v>
          </cell>
          <cell r="E127" t="str">
            <v>D</v>
          </cell>
          <cell r="G127">
            <v>0</v>
          </cell>
          <cell r="H127">
            <v>0</v>
          </cell>
          <cell r="I127">
            <v>0</v>
          </cell>
          <cell r="J127">
            <v>111156.37</v>
          </cell>
          <cell r="K127" t="str">
            <v>D</v>
          </cell>
        </row>
        <row r="128">
          <cell r="A128">
            <v>38921</v>
          </cell>
          <cell r="B128" t="str">
            <v>1.1.02.010.0078</v>
          </cell>
          <cell r="C128" t="str">
            <v>UNIMED DIARIA GLOBAL</v>
          </cell>
          <cell r="D128">
            <v>119043.92</v>
          </cell>
          <cell r="E128" t="str">
            <v>D</v>
          </cell>
          <cell r="G128">
            <v>0</v>
          </cell>
          <cell r="H128">
            <v>0</v>
          </cell>
          <cell r="I128">
            <v>0</v>
          </cell>
          <cell r="J128">
            <v>119043.92</v>
          </cell>
          <cell r="K128" t="str">
            <v>D</v>
          </cell>
        </row>
        <row r="129">
          <cell r="A129">
            <v>33098</v>
          </cell>
          <cell r="B129" t="str">
            <v>1.1.02.010.0079</v>
          </cell>
          <cell r="C129" t="str">
            <v xml:space="preserve">UNIMED VALE PARAIBA </v>
          </cell>
          <cell r="D129">
            <v>0</v>
          </cell>
          <cell r="E129" t="str">
            <v>D</v>
          </cell>
          <cell r="G129">
            <v>43965.32</v>
          </cell>
          <cell r="H129">
            <v>0</v>
          </cell>
          <cell r="I129">
            <v>43965.32</v>
          </cell>
          <cell r="J129">
            <v>43965.32</v>
          </cell>
          <cell r="K129" t="str">
            <v>D</v>
          </cell>
        </row>
        <row r="130">
          <cell r="A130">
            <v>33511</v>
          </cell>
          <cell r="B130" t="str">
            <v>1.1.02.010.0080</v>
          </cell>
          <cell r="C130" t="str">
            <v>USISAUDE</v>
          </cell>
          <cell r="D130">
            <v>251.63</v>
          </cell>
          <cell r="E130" t="str">
            <v>D</v>
          </cell>
          <cell r="G130">
            <v>0</v>
          </cell>
          <cell r="H130">
            <v>0</v>
          </cell>
          <cell r="I130">
            <v>0</v>
          </cell>
          <cell r="J130">
            <v>251.63</v>
          </cell>
          <cell r="K130" t="str">
            <v>D</v>
          </cell>
        </row>
        <row r="131">
          <cell r="A131">
            <v>54745</v>
          </cell>
          <cell r="B131" t="str">
            <v>1.1.02.010.0088</v>
          </cell>
          <cell r="C131" t="str">
            <v>BRADESCO SAÚDE</v>
          </cell>
          <cell r="D131">
            <v>320165.21000000002</v>
          </cell>
          <cell r="E131" t="str">
            <v>D</v>
          </cell>
          <cell r="G131">
            <v>175728.03</v>
          </cell>
          <cell r="H131">
            <v>3116.35</v>
          </cell>
          <cell r="I131">
            <v>172611.68</v>
          </cell>
          <cell r="J131">
            <v>492776.89</v>
          </cell>
          <cell r="K131" t="str">
            <v>D</v>
          </cell>
        </row>
        <row r="132">
          <cell r="A132">
            <v>55013</v>
          </cell>
          <cell r="B132" t="str">
            <v>1.1.02.010.0089</v>
          </cell>
          <cell r="C132" t="str">
            <v xml:space="preserve">GO CARE PLANOS DE SAUDE </v>
          </cell>
          <cell r="D132">
            <v>200382.04</v>
          </cell>
          <cell r="E132" t="str">
            <v>D</v>
          </cell>
          <cell r="G132">
            <v>67981.42</v>
          </cell>
          <cell r="H132">
            <v>142985.24</v>
          </cell>
          <cell r="I132">
            <v>-75003.820000000007</v>
          </cell>
          <cell r="J132">
            <v>125378.22</v>
          </cell>
          <cell r="K132" t="str">
            <v>D</v>
          </cell>
        </row>
        <row r="133">
          <cell r="A133">
            <v>54823</v>
          </cell>
          <cell r="B133" t="str">
            <v>1.1.02.011</v>
          </cell>
          <cell r="C133" t="str">
            <v>(-) PECLD CONVÊNIOS</v>
          </cell>
          <cell r="D133">
            <v>3000000</v>
          </cell>
          <cell r="E133" t="str">
            <v>C</v>
          </cell>
          <cell r="G133">
            <v>0</v>
          </cell>
          <cell r="H133">
            <v>0</v>
          </cell>
          <cell r="I133">
            <v>0</v>
          </cell>
          <cell r="J133">
            <v>3000000</v>
          </cell>
          <cell r="K133" t="str">
            <v>C</v>
          </cell>
        </row>
        <row r="134">
          <cell r="A134">
            <v>54824</v>
          </cell>
          <cell r="B134" t="str">
            <v>1.1.02.011.0001</v>
          </cell>
          <cell r="C134" t="str">
            <v>(-) PECLD CONVÊNIOS</v>
          </cell>
          <cell r="D134">
            <v>3000000</v>
          </cell>
          <cell r="E134" t="str">
            <v>C</v>
          </cell>
          <cell r="G134">
            <v>0</v>
          </cell>
          <cell r="H134">
            <v>0</v>
          </cell>
          <cell r="I134">
            <v>0</v>
          </cell>
          <cell r="J134">
            <v>3000000</v>
          </cell>
          <cell r="K134" t="str">
            <v>C</v>
          </cell>
        </row>
        <row r="135">
          <cell r="A135">
            <v>53060</v>
          </cell>
          <cell r="B135" t="str">
            <v>1.1.02.020</v>
          </cell>
          <cell r="C135" t="str">
            <v xml:space="preserve">PACIENTE PARTICULAR A </v>
          </cell>
          <cell r="D135">
            <v>0</v>
          </cell>
          <cell r="E135" t="str">
            <v>D</v>
          </cell>
          <cell r="G135">
            <v>195356.35</v>
          </cell>
          <cell r="H135">
            <v>143482.82</v>
          </cell>
          <cell r="I135">
            <v>51873.53</v>
          </cell>
          <cell r="J135">
            <v>51873.53</v>
          </cell>
          <cell r="K135" t="str">
            <v>D</v>
          </cell>
        </row>
        <row r="136">
          <cell r="A136">
            <v>12380</v>
          </cell>
          <cell r="B136" t="str">
            <v>1.1.02.020.0001</v>
          </cell>
          <cell r="C136" t="str">
            <v xml:space="preserve">PACIENTE PARTICULAR </v>
          </cell>
          <cell r="D136">
            <v>0</v>
          </cell>
          <cell r="E136" t="str">
            <v>D</v>
          </cell>
          <cell r="G136">
            <v>195356.35</v>
          </cell>
          <cell r="H136">
            <v>143482.82</v>
          </cell>
          <cell r="I136">
            <v>51873.53</v>
          </cell>
          <cell r="J136">
            <v>51873.53</v>
          </cell>
          <cell r="K136" t="str">
            <v>D</v>
          </cell>
        </row>
        <row r="137">
          <cell r="A137">
            <v>52376</v>
          </cell>
          <cell r="B137" t="str">
            <v>1.1.02.030</v>
          </cell>
          <cell r="C137" t="str">
            <v>GLOSAS A RECURSAR</v>
          </cell>
          <cell r="D137">
            <v>2037462.25</v>
          </cell>
          <cell r="E137" t="str">
            <v>D</v>
          </cell>
          <cell r="G137">
            <v>1119833.7</v>
          </cell>
          <cell r="H137">
            <v>786658.36</v>
          </cell>
          <cell r="I137">
            <v>333175.34000000003</v>
          </cell>
          <cell r="J137">
            <v>2370637.59</v>
          </cell>
          <cell r="K137" t="str">
            <v>D</v>
          </cell>
        </row>
        <row r="138">
          <cell r="A138">
            <v>52380</v>
          </cell>
          <cell r="B138" t="str">
            <v>1.1.02.030.0001</v>
          </cell>
          <cell r="C138" t="str">
            <v>GLOSAS A RECURSAR - AMIL</v>
          </cell>
          <cell r="D138">
            <v>15084.83</v>
          </cell>
          <cell r="E138" t="str">
            <v>D</v>
          </cell>
          <cell r="G138">
            <v>46218.41</v>
          </cell>
          <cell r="H138">
            <v>0</v>
          </cell>
          <cell r="I138">
            <v>46218.41</v>
          </cell>
          <cell r="J138">
            <v>61303.24</v>
          </cell>
          <cell r="K138" t="str">
            <v>D</v>
          </cell>
        </row>
        <row r="139">
          <cell r="A139">
            <v>52381</v>
          </cell>
          <cell r="B139" t="str">
            <v>1.1.02.030.0002</v>
          </cell>
          <cell r="C139" t="str">
            <v>GLOSAS A RECURSAR - ATIVIA</v>
          </cell>
          <cell r="D139">
            <v>16580.23</v>
          </cell>
          <cell r="E139" t="str">
            <v>D</v>
          </cell>
          <cell r="G139">
            <v>0</v>
          </cell>
          <cell r="H139">
            <v>7129.41</v>
          </cell>
          <cell r="I139">
            <v>-7129.41</v>
          </cell>
          <cell r="J139">
            <v>9450.82</v>
          </cell>
          <cell r="K139" t="str">
            <v>D</v>
          </cell>
        </row>
        <row r="140">
          <cell r="A140">
            <v>52382</v>
          </cell>
          <cell r="B140" t="str">
            <v>1.1.02.030.0003</v>
          </cell>
          <cell r="C140" t="str">
            <v xml:space="preserve">GLOSAS A RECURSAR - </v>
          </cell>
          <cell r="D140">
            <v>265980.31</v>
          </cell>
          <cell r="E140" t="str">
            <v>D</v>
          </cell>
          <cell r="G140">
            <v>30640.81</v>
          </cell>
          <cell r="H140">
            <v>77841.48</v>
          </cell>
          <cell r="I140">
            <v>-47200.67</v>
          </cell>
          <cell r="J140">
            <v>218779.64</v>
          </cell>
          <cell r="K140" t="str">
            <v>D</v>
          </cell>
        </row>
        <row r="141">
          <cell r="A141">
            <v>52383</v>
          </cell>
          <cell r="B141" t="str">
            <v>1.1.02.030.0004</v>
          </cell>
          <cell r="C141" t="str">
            <v>GLOSAS A RECURSAR - CASSI</v>
          </cell>
          <cell r="D141">
            <v>297.22000000000003</v>
          </cell>
          <cell r="E141" t="str">
            <v>D</v>
          </cell>
          <cell r="G141">
            <v>4192.1099999999997</v>
          </cell>
          <cell r="H141">
            <v>4192.1099999999997</v>
          </cell>
          <cell r="I141">
            <v>0</v>
          </cell>
          <cell r="J141">
            <v>297.22000000000003</v>
          </cell>
          <cell r="K141" t="str">
            <v>D</v>
          </cell>
        </row>
        <row r="142">
          <cell r="A142">
            <v>52384</v>
          </cell>
          <cell r="B142" t="str">
            <v>1.1.02.030.0005</v>
          </cell>
          <cell r="C142" t="str">
            <v>GLOSAS A RECURSAR - GAMA</v>
          </cell>
          <cell r="D142">
            <v>651.09</v>
          </cell>
          <cell r="E142" t="str">
            <v>D</v>
          </cell>
          <cell r="G142">
            <v>0</v>
          </cell>
          <cell r="H142">
            <v>0</v>
          </cell>
          <cell r="I142">
            <v>0</v>
          </cell>
          <cell r="J142">
            <v>651.09</v>
          </cell>
          <cell r="K142" t="str">
            <v>D</v>
          </cell>
        </row>
        <row r="143">
          <cell r="A143">
            <v>52385</v>
          </cell>
          <cell r="B143" t="str">
            <v>1.1.02.030.0006</v>
          </cell>
          <cell r="C143" t="str">
            <v xml:space="preserve">GLOSAS A RECURSAR - </v>
          </cell>
          <cell r="D143">
            <v>1462.49</v>
          </cell>
          <cell r="E143" t="str">
            <v>D</v>
          </cell>
          <cell r="G143">
            <v>0</v>
          </cell>
          <cell r="H143">
            <v>0</v>
          </cell>
          <cell r="I143">
            <v>0</v>
          </cell>
          <cell r="J143">
            <v>1462.49</v>
          </cell>
          <cell r="K143" t="str">
            <v>D</v>
          </cell>
        </row>
        <row r="144">
          <cell r="A144">
            <v>52386</v>
          </cell>
          <cell r="B144" t="str">
            <v>1.1.02.030.0007</v>
          </cell>
          <cell r="C144" t="str">
            <v xml:space="preserve">GLOSAS A RECURSAR - </v>
          </cell>
          <cell r="D144">
            <v>20056.41</v>
          </cell>
          <cell r="E144" t="str">
            <v>D</v>
          </cell>
          <cell r="G144">
            <v>1020</v>
          </cell>
          <cell r="H144">
            <v>0</v>
          </cell>
          <cell r="I144">
            <v>1020</v>
          </cell>
          <cell r="J144">
            <v>21076.41</v>
          </cell>
          <cell r="K144" t="str">
            <v>D</v>
          </cell>
        </row>
        <row r="145">
          <cell r="A145">
            <v>52387</v>
          </cell>
          <cell r="B145" t="str">
            <v>1.1.02.030.0008</v>
          </cell>
          <cell r="C145" t="str">
            <v xml:space="preserve">GLOSAS A RECURSAR - SUL </v>
          </cell>
          <cell r="D145">
            <v>144705.48000000001</v>
          </cell>
          <cell r="E145" t="str">
            <v>D</v>
          </cell>
          <cell r="G145">
            <v>153180.16</v>
          </cell>
          <cell r="H145">
            <v>23312.720000000001</v>
          </cell>
          <cell r="I145">
            <v>129867.44</v>
          </cell>
          <cell r="J145">
            <v>274572.92</v>
          </cell>
          <cell r="K145" t="str">
            <v>D</v>
          </cell>
        </row>
        <row r="146">
          <cell r="A146">
            <v>52388</v>
          </cell>
          <cell r="B146" t="str">
            <v>1.1.02.030.0009</v>
          </cell>
          <cell r="C146" t="str">
            <v xml:space="preserve">GLOSAS A RECURSAR - </v>
          </cell>
          <cell r="D146">
            <v>193445.82</v>
          </cell>
          <cell r="E146" t="str">
            <v>D</v>
          </cell>
          <cell r="G146">
            <v>20100.509999999998</v>
          </cell>
          <cell r="H146">
            <v>24416.86</v>
          </cell>
          <cell r="I146">
            <v>-4316.3500000000004</v>
          </cell>
          <cell r="J146">
            <v>189129.47</v>
          </cell>
          <cell r="K146" t="str">
            <v>D</v>
          </cell>
        </row>
        <row r="147">
          <cell r="A147">
            <v>52389</v>
          </cell>
          <cell r="B147" t="str">
            <v>1.1.02.030.0010</v>
          </cell>
          <cell r="C147" t="str">
            <v xml:space="preserve">GLOSAS A RECURSAR - </v>
          </cell>
          <cell r="D147">
            <v>5046.74</v>
          </cell>
          <cell r="E147" t="str">
            <v>D</v>
          </cell>
          <cell r="G147">
            <v>2151.7399999999998</v>
          </cell>
          <cell r="H147">
            <v>3319.82</v>
          </cell>
          <cell r="I147">
            <v>-1168.08</v>
          </cell>
          <cell r="J147">
            <v>3878.66</v>
          </cell>
          <cell r="K147" t="str">
            <v>D</v>
          </cell>
        </row>
        <row r="148">
          <cell r="A148">
            <v>52390</v>
          </cell>
          <cell r="B148" t="str">
            <v>1.1.02.030.0011</v>
          </cell>
          <cell r="C148" t="str">
            <v xml:space="preserve">GLOSAS A RECURSAR - </v>
          </cell>
          <cell r="D148">
            <v>890868.12</v>
          </cell>
          <cell r="E148" t="str">
            <v>D</v>
          </cell>
          <cell r="G148">
            <v>47517.02</v>
          </cell>
          <cell r="H148">
            <v>43574.64</v>
          </cell>
          <cell r="I148">
            <v>3942.38</v>
          </cell>
          <cell r="J148">
            <v>894810.5</v>
          </cell>
          <cell r="K148" t="str">
            <v>D</v>
          </cell>
        </row>
        <row r="149">
          <cell r="A149">
            <v>52391</v>
          </cell>
          <cell r="B149" t="str">
            <v>1.1.02.030.0012</v>
          </cell>
          <cell r="C149" t="str">
            <v xml:space="preserve">GLOSAS A RECURSAR - </v>
          </cell>
          <cell r="D149">
            <v>41025.11</v>
          </cell>
          <cell r="E149" t="str">
            <v>D</v>
          </cell>
          <cell r="G149">
            <v>22828.45</v>
          </cell>
          <cell r="H149">
            <v>40256.300000000003</v>
          </cell>
          <cell r="I149">
            <v>-17427.849999999999</v>
          </cell>
          <cell r="J149">
            <v>23597.26</v>
          </cell>
          <cell r="K149" t="str">
            <v>D</v>
          </cell>
        </row>
        <row r="150">
          <cell r="A150">
            <v>52392</v>
          </cell>
          <cell r="B150" t="str">
            <v>1.1.02.030.0013</v>
          </cell>
          <cell r="C150" t="str">
            <v xml:space="preserve">GLOSAS A RECURSAR - </v>
          </cell>
          <cell r="D150">
            <v>0</v>
          </cell>
          <cell r="E150" t="str">
            <v>D</v>
          </cell>
          <cell r="G150">
            <v>291.33999999999997</v>
          </cell>
          <cell r="H150">
            <v>0</v>
          </cell>
          <cell r="I150">
            <v>291.33999999999997</v>
          </cell>
          <cell r="J150">
            <v>291.33999999999997</v>
          </cell>
          <cell r="K150" t="str">
            <v>D</v>
          </cell>
        </row>
        <row r="151">
          <cell r="A151">
            <v>52393</v>
          </cell>
          <cell r="B151" t="str">
            <v>1.1.02.030.0014</v>
          </cell>
          <cell r="C151" t="str">
            <v xml:space="preserve">GLOSAS A RECURSAR - </v>
          </cell>
          <cell r="D151">
            <v>8833.2199999999993</v>
          </cell>
          <cell r="E151" t="str">
            <v>D</v>
          </cell>
          <cell r="G151">
            <v>6830.65</v>
          </cell>
          <cell r="H151">
            <v>8833.2199999999993</v>
          </cell>
          <cell r="I151">
            <v>-2002.57</v>
          </cell>
          <cell r="J151">
            <v>6830.65</v>
          </cell>
          <cell r="K151" t="str">
            <v>D</v>
          </cell>
        </row>
        <row r="152">
          <cell r="A152">
            <v>52415</v>
          </cell>
          <cell r="B152" t="str">
            <v>1.1.02.030.0016</v>
          </cell>
          <cell r="C152" t="str">
            <v xml:space="preserve">GLOSAS A RECURSAR - </v>
          </cell>
          <cell r="D152">
            <v>0</v>
          </cell>
          <cell r="E152" t="str">
            <v>D</v>
          </cell>
          <cell r="G152">
            <v>1431.48</v>
          </cell>
          <cell r="H152">
            <v>1431.48</v>
          </cell>
          <cell r="I152">
            <v>0</v>
          </cell>
          <cell r="J152">
            <v>0</v>
          </cell>
          <cell r="K152" t="str">
            <v>D</v>
          </cell>
        </row>
        <row r="153">
          <cell r="A153">
            <v>52477</v>
          </cell>
          <cell r="B153" t="str">
            <v>1.1.02.030.0017</v>
          </cell>
          <cell r="C153" t="str">
            <v xml:space="preserve">GLOSAS A RECURSAR - </v>
          </cell>
          <cell r="D153">
            <v>510.72</v>
          </cell>
          <cell r="E153" t="str">
            <v>D</v>
          </cell>
          <cell r="G153">
            <v>0</v>
          </cell>
          <cell r="H153">
            <v>0</v>
          </cell>
          <cell r="I153">
            <v>0</v>
          </cell>
          <cell r="J153">
            <v>510.72</v>
          </cell>
          <cell r="K153" t="str">
            <v>D</v>
          </cell>
        </row>
        <row r="154">
          <cell r="A154">
            <v>52478</v>
          </cell>
          <cell r="B154" t="str">
            <v>1.1.02.030.0018</v>
          </cell>
          <cell r="C154" t="str">
            <v xml:space="preserve">GLOSAS A RECURSAR - </v>
          </cell>
          <cell r="D154">
            <v>147.21</v>
          </cell>
          <cell r="E154" t="str">
            <v>D</v>
          </cell>
          <cell r="G154">
            <v>0</v>
          </cell>
          <cell r="H154">
            <v>0</v>
          </cell>
          <cell r="I154">
            <v>0</v>
          </cell>
          <cell r="J154">
            <v>147.21</v>
          </cell>
          <cell r="K154" t="str">
            <v>D</v>
          </cell>
        </row>
        <row r="155">
          <cell r="A155">
            <v>52479</v>
          </cell>
          <cell r="B155" t="str">
            <v>1.1.02.030.0019</v>
          </cell>
          <cell r="C155" t="str">
            <v xml:space="preserve">GLOSAS A RECURSAR - </v>
          </cell>
          <cell r="D155">
            <v>27922.9</v>
          </cell>
          <cell r="E155" t="str">
            <v>D</v>
          </cell>
          <cell r="G155">
            <v>15055.98</v>
          </cell>
          <cell r="H155">
            <v>26890.29</v>
          </cell>
          <cell r="I155">
            <v>-11834.31</v>
          </cell>
          <cell r="J155">
            <v>16088.59</v>
          </cell>
          <cell r="K155" t="str">
            <v>D</v>
          </cell>
        </row>
        <row r="156">
          <cell r="A156">
            <v>52480</v>
          </cell>
          <cell r="B156" t="str">
            <v>1.1.02.030.0020</v>
          </cell>
          <cell r="C156" t="str">
            <v xml:space="preserve">GLOSAS A RECURSAR - </v>
          </cell>
          <cell r="D156">
            <v>52051.68</v>
          </cell>
          <cell r="E156" t="str">
            <v>D</v>
          </cell>
          <cell r="G156">
            <v>0</v>
          </cell>
          <cell r="H156">
            <v>22296.04</v>
          </cell>
          <cell r="I156">
            <v>-22296.04</v>
          </cell>
          <cell r="J156">
            <v>29755.64</v>
          </cell>
          <cell r="K156" t="str">
            <v>D</v>
          </cell>
        </row>
        <row r="157">
          <cell r="A157">
            <v>52481</v>
          </cell>
          <cell r="B157" t="str">
            <v>1.1.02.030.0021</v>
          </cell>
          <cell r="C157" t="str">
            <v xml:space="preserve">GLOSAS A RECURSAR - </v>
          </cell>
          <cell r="D157">
            <v>1368.39</v>
          </cell>
          <cell r="E157" t="str">
            <v>D</v>
          </cell>
          <cell r="G157">
            <v>0</v>
          </cell>
          <cell r="H157">
            <v>0</v>
          </cell>
          <cell r="I157">
            <v>0</v>
          </cell>
          <cell r="J157">
            <v>1368.39</v>
          </cell>
          <cell r="K157" t="str">
            <v>D</v>
          </cell>
        </row>
        <row r="158">
          <cell r="A158">
            <v>52482</v>
          </cell>
          <cell r="B158" t="str">
            <v>1.1.02.030.0022</v>
          </cell>
          <cell r="C158" t="str">
            <v xml:space="preserve">GLOSAS A RECURSAR - CAIXA </v>
          </cell>
          <cell r="D158">
            <v>5106.79</v>
          </cell>
          <cell r="E158" t="str">
            <v>D</v>
          </cell>
          <cell r="G158">
            <v>0</v>
          </cell>
          <cell r="H158">
            <v>5106.79</v>
          </cell>
          <cell r="I158">
            <v>-5106.79</v>
          </cell>
          <cell r="J158">
            <v>0</v>
          </cell>
          <cell r="K158" t="str">
            <v>D</v>
          </cell>
        </row>
        <row r="159">
          <cell r="A159">
            <v>52483</v>
          </cell>
          <cell r="B159" t="str">
            <v>1.1.02.030.0023</v>
          </cell>
          <cell r="C159" t="str">
            <v xml:space="preserve">GLOSAS A RECURSAR - SAO </v>
          </cell>
          <cell r="D159">
            <v>2.89</v>
          </cell>
          <cell r="E159" t="str">
            <v>D</v>
          </cell>
          <cell r="G159">
            <v>0</v>
          </cell>
          <cell r="H159">
            <v>0</v>
          </cell>
          <cell r="I159">
            <v>0</v>
          </cell>
          <cell r="J159">
            <v>2.89</v>
          </cell>
          <cell r="K159" t="str">
            <v>D</v>
          </cell>
        </row>
        <row r="160">
          <cell r="A160">
            <v>53609</v>
          </cell>
          <cell r="B160" t="str">
            <v>1.1.02.030.0025</v>
          </cell>
          <cell r="C160" t="str">
            <v xml:space="preserve">GLOSAS A RECURSAR - </v>
          </cell>
          <cell r="D160">
            <v>763.61</v>
          </cell>
          <cell r="E160" t="str">
            <v>D</v>
          </cell>
          <cell r="G160">
            <v>0</v>
          </cell>
          <cell r="H160">
            <v>0</v>
          </cell>
          <cell r="I160">
            <v>0</v>
          </cell>
          <cell r="J160">
            <v>763.61</v>
          </cell>
          <cell r="K160" t="str">
            <v>D</v>
          </cell>
        </row>
        <row r="161">
          <cell r="A161">
            <v>53613</v>
          </cell>
          <cell r="B161" t="str">
            <v>1.1.02.030.0027</v>
          </cell>
          <cell r="C161" t="str">
            <v xml:space="preserve">GLOSAS A RECURSAR - </v>
          </cell>
          <cell r="D161">
            <v>203509.85</v>
          </cell>
          <cell r="E161" t="str">
            <v>D</v>
          </cell>
          <cell r="G161">
            <v>724267.9</v>
          </cell>
          <cell r="H161">
            <v>460020.45</v>
          </cell>
          <cell r="I161">
            <v>264247.45</v>
          </cell>
          <cell r="J161">
            <v>467757.3</v>
          </cell>
          <cell r="K161" t="str">
            <v>D</v>
          </cell>
        </row>
        <row r="162">
          <cell r="A162">
            <v>53623</v>
          </cell>
          <cell r="B162" t="str">
            <v>1.1.02.030.0032</v>
          </cell>
          <cell r="C162" t="str">
            <v xml:space="preserve">GLOSAS A RECURSAR - </v>
          </cell>
          <cell r="D162">
            <v>83.3</v>
          </cell>
          <cell r="E162" t="str">
            <v>D</v>
          </cell>
          <cell r="G162">
            <v>0</v>
          </cell>
          <cell r="H162">
            <v>0</v>
          </cell>
          <cell r="I162">
            <v>0</v>
          </cell>
          <cell r="J162">
            <v>83.3</v>
          </cell>
          <cell r="K162" t="str">
            <v>D</v>
          </cell>
        </row>
        <row r="163">
          <cell r="A163">
            <v>53627</v>
          </cell>
          <cell r="B163" t="str">
            <v>1.1.02.030.0034</v>
          </cell>
          <cell r="C163" t="str">
            <v xml:space="preserve">GLOSAS A RECURSAR - CARE </v>
          </cell>
          <cell r="D163">
            <v>0</v>
          </cell>
          <cell r="E163" t="str">
            <v>D</v>
          </cell>
          <cell r="G163">
            <v>1461.13</v>
          </cell>
          <cell r="H163">
            <v>0</v>
          </cell>
          <cell r="I163">
            <v>1461.13</v>
          </cell>
          <cell r="J163">
            <v>1461.13</v>
          </cell>
          <cell r="K163" t="str">
            <v>D</v>
          </cell>
        </row>
        <row r="164">
          <cell r="A164">
            <v>53631</v>
          </cell>
          <cell r="B164" t="str">
            <v>1.1.02.030.0036</v>
          </cell>
          <cell r="C164" t="str">
            <v xml:space="preserve">GLOSAS A RECURSAR - </v>
          </cell>
          <cell r="D164">
            <v>761.82</v>
          </cell>
          <cell r="E164" t="str">
            <v>D</v>
          </cell>
          <cell r="G164">
            <v>0</v>
          </cell>
          <cell r="H164">
            <v>0</v>
          </cell>
          <cell r="I164">
            <v>0</v>
          </cell>
          <cell r="J164">
            <v>761.82</v>
          </cell>
          <cell r="K164" t="str">
            <v>D</v>
          </cell>
        </row>
        <row r="165">
          <cell r="A165">
            <v>53633</v>
          </cell>
          <cell r="B165" t="str">
            <v>1.1.02.030.0037</v>
          </cell>
          <cell r="C165" t="str">
            <v xml:space="preserve">GLOSAS A RECURSAR - </v>
          </cell>
          <cell r="D165">
            <v>869.1</v>
          </cell>
          <cell r="E165" t="str">
            <v>D</v>
          </cell>
          <cell r="G165">
            <v>0</v>
          </cell>
          <cell r="H165">
            <v>0</v>
          </cell>
          <cell r="I165">
            <v>0</v>
          </cell>
          <cell r="J165">
            <v>869.1</v>
          </cell>
          <cell r="K165" t="str">
            <v>D</v>
          </cell>
        </row>
        <row r="166">
          <cell r="A166">
            <v>53635</v>
          </cell>
          <cell r="B166" t="str">
            <v>1.1.02.030.0038</v>
          </cell>
          <cell r="C166" t="str">
            <v xml:space="preserve">GLOSAS A RECURSAR - </v>
          </cell>
          <cell r="D166">
            <v>1387.75</v>
          </cell>
          <cell r="E166" t="str">
            <v>D</v>
          </cell>
          <cell r="G166">
            <v>0</v>
          </cell>
          <cell r="H166">
            <v>0</v>
          </cell>
          <cell r="I166">
            <v>0</v>
          </cell>
          <cell r="J166">
            <v>1387.75</v>
          </cell>
          <cell r="K166" t="str">
            <v>D</v>
          </cell>
        </row>
        <row r="167">
          <cell r="A167">
            <v>53637</v>
          </cell>
          <cell r="B167" t="str">
            <v>1.1.02.030.0039</v>
          </cell>
          <cell r="C167" t="str">
            <v xml:space="preserve">GLOSAS A RECURSAR - EEAR </v>
          </cell>
          <cell r="D167">
            <v>6</v>
          </cell>
          <cell r="E167" t="str">
            <v>D</v>
          </cell>
          <cell r="G167">
            <v>0</v>
          </cell>
          <cell r="H167">
            <v>0</v>
          </cell>
          <cell r="I167">
            <v>0</v>
          </cell>
          <cell r="J167">
            <v>6</v>
          </cell>
          <cell r="K167" t="str">
            <v>D</v>
          </cell>
        </row>
        <row r="168">
          <cell r="A168">
            <v>53639</v>
          </cell>
          <cell r="B168" t="str">
            <v>1.1.02.030.0040</v>
          </cell>
          <cell r="C168" t="str">
            <v xml:space="preserve">GLOSAS A RECURSAR - </v>
          </cell>
          <cell r="D168">
            <v>2.25</v>
          </cell>
          <cell r="E168" t="str">
            <v>D</v>
          </cell>
          <cell r="G168">
            <v>0</v>
          </cell>
          <cell r="H168">
            <v>0</v>
          </cell>
          <cell r="I168">
            <v>0</v>
          </cell>
          <cell r="J168">
            <v>2.25</v>
          </cell>
          <cell r="K168" t="str">
            <v>D</v>
          </cell>
        </row>
        <row r="169">
          <cell r="A169">
            <v>53642</v>
          </cell>
          <cell r="B169" t="str">
            <v>1.1.02.030.0041</v>
          </cell>
          <cell r="C169" t="str">
            <v xml:space="preserve">GLOSAS A RECURSAR - </v>
          </cell>
          <cell r="D169">
            <v>31970.400000000001</v>
          </cell>
          <cell r="E169" t="str">
            <v>D</v>
          </cell>
          <cell r="G169">
            <v>0</v>
          </cell>
          <cell r="H169">
            <v>4045.91</v>
          </cell>
          <cell r="I169">
            <v>-4045.91</v>
          </cell>
          <cell r="J169">
            <v>27924.49</v>
          </cell>
          <cell r="K169" t="str">
            <v>D</v>
          </cell>
        </row>
        <row r="170">
          <cell r="A170">
            <v>53644</v>
          </cell>
          <cell r="B170" t="str">
            <v>1.1.02.030.0042</v>
          </cell>
          <cell r="C170" t="str">
            <v xml:space="preserve">GLOSAS A RECURSAR - </v>
          </cell>
          <cell r="D170">
            <v>865.91</v>
          </cell>
          <cell r="E170" t="str">
            <v>D</v>
          </cell>
          <cell r="G170">
            <v>0</v>
          </cell>
          <cell r="H170">
            <v>0</v>
          </cell>
          <cell r="I170">
            <v>0</v>
          </cell>
          <cell r="J170">
            <v>865.91</v>
          </cell>
          <cell r="K170" t="str">
            <v>D</v>
          </cell>
        </row>
        <row r="171">
          <cell r="A171">
            <v>53647</v>
          </cell>
          <cell r="B171" t="str">
            <v>1.1.02.030.0043</v>
          </cell>
          <cell r="C171" t="str">
            <v xml:space="preserve">GLOSAS A RECURSAR - </v>
          </cell>
          <cell r="D171">
            <v>26077.66</v>
          </cell>
          <cell r="E171" t="str">
            <v>D</v>
          </cell>
          <cell r="G171">
            <v>9652.1</v>
          </cell>
          <cell r="H171">
            <v>13070.79</v>
          </cell>
          <cell r="I171">
            <v>-3418.69</v>
          </cell>
          <cell r="J171">
            <v>22658.97</v>
          </cell>
          <cell r="K171" t="str">
            <v>D</v>
          </cell>
        </row>
        <row r="172">
          <cell r="A172">
            <v>53655</v>
          </cell>
          <cell r="B172" t="str">
            <v>1.1.02.030.0046</v>
          </cell>
          <cell r="C172" t="str">
            <v xml:space="preserve">GLOSAS A RECURSAR - </v>
          </cell>
          <cell r="D172">
            <v>0.14000000000000001</v>
          </cell>
          <cell r="E172" t="str">
            <v>D</v>
          </cell>
          <cell r="G172">
            <v>0</v>
          </cell>
          <cell r="H172">
            <v>0</v>
          </cell>
          <cell r="I172">
            <v>0</v>
          </cell>
          <cell r="J172">
            <v>0.14000000000000001</v>
          </cell>
          <cell r="K172" t="str">
            <v>D</v>
          </cell>
        </row>
        <row r="173">
          <cell r="A173">
            <v>53658</v>
          </cell>
          <cell r="B173" t="str">
            <v>1.1.02.030.0047</v>
          </cell>
          <cell r="C173" t="str">
            <v xml:space="preserve">GLOSAS A RECURSAR - LIFE </v>
          </cell>
          <cell r="D173">
            <v>430.63</v>
          </cell>
          <cell r="E173" t="str">
            <v>D</v>
          </cell>
          <cell r="G173">
            <v>769.49</v>
          </cell>
          <cell r="H173">
            <v>430.63</v>
          </cell>
          <cell r="I173">
            <v>338.86</v>
          </cell>
          <cell r="J173">
            <v>769.49</v>
          </cell>
          <cell r="K173" t="str">
            <v>D</v>
          </cell>
        </row>
        <row r="174">
          <cell r="A174">
            <v>53675</v>
          </cell>
          <cell r="B174" t="str">
            <v>1.1.02.030.0055</v>
          </cell>
          <cell r="C174" t="str">
            <v xml:space="preserve">GLOSAS A RECURSAR - </v>
          </cell>
          <cell r="D174">
            <v>48878.96</v>
          </cell>
          <cell r="E174" t="str">
            <v>D</v>
          </cell>
          <cell r="G174">
            <v>4154.8999999999996</v>
          </cell>
          <cell r="H174">
            <v>1774.94</v>
          </cell>
          <cell r="I174">
            <v>2379.96</v>
          </cell>
          <cell r="J174">
            <v>51258.92</v>
          </cell>
          <cell r="K174" t="str">
            <v>D</v>
          </cell>
        </row>
        <row r="175">
          <cell r="A175">
            <v>53679</v>
          </cell>
          <cell r="B175" t="str">
            <v>1.1.02.030.0057</v>
          </cell>
          <cell r="C175" t="str">
            <v xml:space="preserve">GLOSAS A RECURSAR - </v>
          </cell>
          <cell r="D175">
            <v>3851.03</v>
          </cell>
          <cell r="E175" t="str">
            <v>D</v>
          </cell>
          <cell r="G175">
            <v>0</v>
          </cell>
          <cell r="H175">
            <v>0</v>
          </cell>
          <cell r="I175">
            <v>0</v>
          </cell>
          <cell r="J175">
            <v>3851.03</v>
          </cell>
          <cell r="K175" t="str">
            <v>D</v>
          </cell>
        </row>
        <row r="176">
          <cell r="A176">
            <v>53681</v>
          </cell>
          <cell r="B176" t="str">
            <v>1.1.02.030.0058</v>
          </cell>
          <cell r="C176" t="str">
            <v xml:space="preserve">GLOSAS A RECURSAR - </v>
          </cell>
          <cell r="D176">
            <v>2316.77</v>
          </cell>
          <cell r="E176" t="str">
            <v>D</v>
          </cell>
          <cell r="G176">
            <v>0</v>
          </cell>
          <cell r="H176">
            <v>0</v>
          </cell>
          <cell r="I176">
            <v>0</v>
          </cell>
          <cell r="J176">
            <v>2316.77</v>
          </cell>
          <cell r="K176" t="str">
            <v>D</v>
          </cell>
        </row>
        <row r="177">
          <cell r="A177">
            <v>53683</v>
          </cell>
          <cell r="B177" t="str">
            <v>1.1.02.030.0059</v>
          </cell>
          <cell r="C177" t="str">
            <v xml:space="preserve">GLOSAS A RECURSAR - </v>
          </cell>
          <cell r="D177">
            <v>3.73</v>
          </cell>
          <cell r="E177" t="str">
            <v>D</v>
          </cell>
          <cell r="G177">
            <v>0</v>
          </cell>
          <cell r="H177">
            <v>0</v>
          </cell>
          <cell r="I177">
            <v>0</v>
          </cell>
          <cell r="J177">
            <v>3.73</v>
          </cell>
          <cell r="K177" t="str">
            <v>D</v>
          </cell>
        </row>
        <row r="178">
          <cell r="A178">
            <v>53687</v>
          </cell>
          <cell r="B178" t="str">
            <v>1.1.02.030.0061</v>
          </cell>
          <cell r="C178" t="str">
            <v xml:space="preserve">GLOSAS A RECURSAR - </v>
          </cell>
          <cell r="D178">
            <v>4100</v>
          </cell>
          <cell r="E178" t="str">
            <v>D</v>
          </cell>
          <cell r="G178">
            <v>0</v>
          </cell>
          <cell r="H178">
            <v>0</v>
          </cell>
          <cell r="I178">
            <v>0</v>
          </cell>
          <cell r="J178">
            <v>4100</v>
          </cell>
          <cell r="K178" t="str">
            <v>D</v>
          </cell>
        </row>
        <row r="179">
          <cell r="A179">
            <v>54753</v>
          </cell>
          <cell r="B179" t="str">
            <v>1.1.02.030.0063</v>
          </cell>
          <cell r="C179" t="str">
            <v xml:space="preserve">GLOSAS A RECURSAR - </v>
          </cell>
          <cell r="D179">
            <v>8989.0300000000007</v>
          </cell>
          <cell r="E179" t="str">
            <v>D</v>
          </cell>
          <cell r="G179">
            <v>1765.41</v>
          </cell>
          <cell r="H179">
            <v>7267.82</v>
          </cell>
          <cell r="I179">
            <v>-5502.41</v>
          </cell>
          <cell r="J179">
            <v>3486.62</v>
          </cell>
          <cell r="K179" t="str">
            <v>D</v>
          </cell>
        </row>
        <row r="180">
          <cell r="A180">
            <v>55032</v>
          </cell>
          <cell r="B180" t="str">
            <v>1.1.02.030.0064</v>
          </cell>
          <cell r="C180" t="str">
            <v xml:space="preserve">GLOSAS A RECURSAR - GO </v>
          </cell>
          <cell r="D180">
            <v>11446.66</v>
          </cell>
          <cell r="E180" t="str">
            <v>D</v>
          </cell>
          <cell r="G180">
            <v>26304.11</v>
          </cell>
          <cell r="H180">
            <v>11446.66</v>
          </cell>
          <cell r="I180">
            <v>14857.45</v>
          </cell>
          <cell r="J180">
            <v>26304.11</v>
          </cell>
          <cell r="K180" t="str">
            <v>D</v>
          </cell>
        </row>
        <row r="181">
          <cell r="A181">
            <v>52395</v>
          </cell>
          <cell r="B181" t="str">
            <v>1.1.02.040</v>
          </cell>
          <cell r="C181" t="str">
            <v>GLOSAS RECURSADAS</v>
          </cell>
          <cell r="D181">
            <v>14580414.01</v>
          </cell>
          <cell r="E181" t="str">
            <v>D</v>
          </cell>
          <cell r="G181">
            <v>746135.64</v>
          </cell>
          <cell r="H181">
            <v>503394.29</v>
          </cell>
          <cell r="I181">
            <v>242741.35</v>
          </cell>
          <cell r="J181">
            <v>14823155.359999999</v>
          </cell>
          <cell r="K181" t="str">
            <v>D</v>
          </cell>
        </row>
        <row r="182">
          <cell r="A182">
            <v>52399</v>
          </cell>
          <cell r="B182" t="str">
            <v>1.1.02.040.0001</v>
          </cell>
          <cell r="C182" t="str">
            <v>GLOSAS RECURSADAS - AMIL</v>
          </cell>
          <cell r="D182">
            <v>2164844.17</v>
          </cell>
          <cell r="E182" t="str">
            <v>D</v>
          </cell>
          <cell r="G182">
            <v>0</v>
          </cell>
          <cell r="H182">
            <v>0</v>
          </cell>
          <cell r="I182">
            <v>0</v>
          </cell>
          <cell r="J182">
            <v>2164844.17</v>
          </cell>
          <cell r="K182" t="str">
            <v>D</v>
          </cell>
        </row>
        <row r="183">
          <cell r="A183">
            <v>52401</v>
          </cell>
          <cell r="B183" t="str">
            <v>1.1.02.040.0002</v>
          </cell>
          <cell r="C183" t="str">
            <v xml:space="preserve">GLOSAS RECURSADAS - </v>
          </cell>
          <cell r="D183">
            <v>575081.25</v>
          </cell>
          <cell r="E183" t="str">
            <v>D</v>
          </cell>
          <cell r="G183">
            <v>7129.41</v>
          </cell>
          <cell r="H183">
            <v>0</v>
          </cell>
          <cell r="I183">
            <v>7129.41</v>
          </cell>
          <cell r="J183">
            <v>582210.66</v>
          </cell>
          <cell r="K183" t="str">
            <v>D</v>
          </cell>
        </row>
        <row r="184">
          <cell r="A184">
            <v>52402</v>
          </cell>
          <cell r="B184" t="str">
            <v>1.1.02.040.0003</v>
          </cell>
          <cell r="C184" t="str">
            <v xml:space="preserve">GLOSAS RECURSADAS - </v>
          </cell>
          <cell r="D184">
            <v>385346.94</v>
          </cell>
          <cell r="E184" t="str">
            <v>D</v>
          </cell>
          <cell r="G184">
            <v>77468.5</v>
          </cell>
          <cell r="H184">
            <v>8463.9500000000007</v>
          </cell>
          <cell r="I184">
            <v>69004.55</v>
          </cell>
          <cell r="J184">
            <v>454351.49</v>
          </cell>
          <cell r="K184" t="str">
            <v>D</v>
          </cell>
        </row>
        <row r="185">
          <cell r="A185">
            <v>52403</v>
          </cell>
          <cell r="B185" t="str">
            <v>1.1.02.040.0004</v>
          </cell>
          <cell r="C185" t="str">
            <v xml:space="preserve">GLOSAS RECURSADAS - </v>
          </cell>
          <cell r="D185">
            <v>481124.78</v>
          </cell>
          <cell r="E185" t="str">
            <v>D</v>
          </cell>
          <cell r="G185">
            <v>4191.8</v>
          </cell>
          <cell r="H185">
            <v>0</v>
          </cell>
          <cell r="I185">
            <v>4191.8</v>
          </cell>
          <cell r="J185">
            <v>485316.58</v>
          </cell>
          <cell r="K185" t="str">
            <v>D</v>
          </cell>
        </row>
        <row r="186">
          <cell r="A186">
            <v>52404</v>
          </cell>
          <cell r="B186" t="str">
            <v>1.1.02.040.0005</v>
          </cell>
          <cell r="C186" t="str">
            <v xml:space="preserve">GLOSAS RECURSADAS - </v>
          </cell>
          <cell r="D186">
            <v>51633.120000000003</v>
          </cell>
          <cell r="E186" t="str">
            <v>D</v>
          </cell>
          <cell r="G186">
            <v>0</v>
          </cell>
          <cell r="H186">
            <v>0</v>
          </cell>
          <cell r="I186">
            <v>0</v>
          </cell>
          <cell r="J186">
            <v>51633.120000000003</v>
          </cell>
          <cell r="K186" t="str">
            <v>D</v>
          </cell>
        </row>
        <row r="187">
          <cell r="A187">
            <v>52405</v>
          </cell>
          <cell r="B187" t="str">
            <v>1.1.02.040.0006</v>
          </cell>
          <cell r="C187" t="str">
            <v xml:space="preserve">GLOSAS RECURSADAS - </v>
          </cell>
          <cell r="D187">
            <v>7556.16</v>
          </cell>
          <cell r="E187" t="str">
            <v>D</v>
          </cell>
          <cell r="G187">
            <v>0</v>
          </cell>
          <cell r="H187">
            <v>0</v>
          </cell>
          <cell r="I187">
            <v>0</v>
          </cell>
          <cell r="J187">
            <v>7556.16</v>
          </cell>
          <cell r="K187" t="str">
            <v>D</v>
          </cell>
        </row>
        <row r="188">
          <cell r="A188">
            <v>52406</v>
          </cell>
          <cell r="B188" t="str">
            <v>1.1.02.040.0007</v>
          </cell>
          <cell r="C188" t="str">
            <v xml:space="preserve">GLOSAS RECURSADAS - </v>
          </cell>
          <cell r="D188">
            <v>35220.65</v>
          </cell>
          <cell r="E188" t="str">
            <v>D</v>
          </cell>
          <cell r="G188">
            <v>0</v>
          </cell>
          <cell r="H188">
            <v>0</v>
          </cell>
          <cell r="I188">
            <v>0</v>
          </cell>
          <cell r="J188">
            <v>35220.65</v>
          </cell>
          <cell r="K188" t="str">
            <v>D</v>
          </cell>
        </row>
        <row r="189">
          <cell r="A189">
            <v>52407</v>
          </cell>
          <cell r="B189" t="str">
            <v>1.1.02.040.0008</v>
          </cell>
          <cell r="C189" t="str">
            <v xml:space="preserve">GLOSAS RECURSADAS - SUL </v>
          </cell>
          <cell r="D189">
            <v>2287718.46</v>
          </cell>
          <cell r="E189" t="str">
            <v>D</v>
          </cell>
          <cell r="G189">
            <v>23063.21</v>
          </cell>
          <cell r="H189">
            <v>15904.1</v>
          </cell>
          <cell r="I189">
            <v>7159.11</v>
          </cell>
          <cell r="J189">
            <v>2294877.5699999998</v>
          </cell>
          <cell r="K189" t="str">
            <v>D</v>
          </cell>
        </row>
        <row r="190">
          <cell r="A190">
            <v>52408</v>
          </cell>
          <cell r="B190" t="str">
            <v>1.1.02.040.0009</v>
          </cell>
          <cell r="C190" t="str">
            <v xml:space="preserve">GLOSAS RECURSADAS - </v>
          </cell>
          <cell r="D190">
            <v>1012729.58</v>
          </cell>
          <cell r="E190" t="str">
            <v>D</v>
          </cell>
          <cell r="G190">
            <v>23797.35</v>
          </cell>
          <cell r="H190">
            <v>2954.25</v>
          </cell>
          <cell r="I190">
            <v>20843.099999999999</v>
          </cell>
          <cell r="J190">
            <v>1033572.68</v>
          </cell>
          <cell r="K190" t="str">
            <v>D</v>
          </cell>
        </row>
        <row r="191">
          <cell r="A191">
            <v>52409</v>
          </cell>
          <cell r="B191" t="str">
            <v>1.1.02.040.0010</v>
          </cell>
          <cell r="C191" t="str">
            <v xml:space="preserve">GLOSAS RECURSADAS - </v>
          </cell>
          <cell r="D191">
            <v>341925.73</v>
          </cell>
          <cell r="E191" t="str">
            <v>D</v>
          </cell>
          <cell r="G191">
            <v>3319.77</v>
          </cell>
          <cell r="H191">
            <v>654.04999999999995</v>
          </cell>
          <cell r="I191">
            <v>2665.72</v>
          </cell>
          <cell r="J191">
            <v>344591.45</v>
          </cell>
          <cell r="K191" t="str">
            <v>D</v>
          </cell>
        </row>
        <row r="192">
          <cell r="A192">
            <v>52410</v>
          </cell>
          <cell r="B192" t="str">
            <v>1.1.02.040.0011</v>
          </cell>
          <cell r="C192" t="str">
            <v xml:space="preserve">GLOSAS RECURSADAS - </v>
          </cell>
          <cell r="D192">
            <v>2798658.36</v>
          </cell>
          <cell r="E192" t="str">
            <v>D</v>
          </cell>
          <cell r="G192">
            <v>43574.64</v>
          </cell>
          <cell r="H192">
            <v>0</v>
          </cell>
          <cell r="I192">
            <v>43574.64</v>
          </cell>
          <cell r="J192">
            <v>2842233</v>
          </cell>
          <cell r="K192" t="str">
            <v>D</v>
          </cell>
        </row>
        <row r="193">
          <cell r="A193">
            <v>52411</v>
          </cell>
          <cell r="B193" t="str">
            <v>1.1.02.040.0012</v>
          </cell>
          <cell r="C193" t="str">
            <v xml:space="preserve">GLOSAS RECURSADAS - </v>
          </cell>
          <cell r="D193">
            <v>701486.84</v>
          </cell>
          <cell r="E193" t="str">
            <v>D</v>
          </cell>
          <cell r="G193">
            <v>29343</v>
          </cell>
          <cell r="H193">
            <v>374.4</v>
          </cell>
          <cell r="I193">
            <v>28968.6</v>
          </cell>
          <cell r="J193">
            <v>730455.44</v>
          </cell>
          <cell r="K193" t="str">
            <v>D</v>
          </cell>
        </row>
        <row r="194">
          <cell r="A194">
            <v>52412</v>
          </cell>
          <cell r="B194" t="str">
            <v>1.1.02.040.0013</v>
          </cell>
          <cell r="C194" t="str">
            <v xml:space="preserve">GLOSAS RECURSADAS - </v>
          </cell>
          <cell r="D194">
            <v>33057.39</v>
          </cell>
          <cell r="E194" t="str">
            <v>D</v>
          </cell>
          <cell r="G194">
            <v>0</v>
          </cell>
          <cell r="H194">
            <v>0</v>
          </cell>
          <cell r="I194">
            <v>0</v>
          </cell>
          <cell r="J194">
            <v>33057.39</v>
          </cell>
          <cell r="K194" t="str">
            <v>D</v>
          </cell>
        </row>
        <row r="195">
          <cell r="A195">
            <v>52413</v>
          </cell>
          <cell r="B195" t="str">
            <v>1.1.02.040.0014</v>
          </cell>
          <cell r="C195" t="str">
            <v xml:space="preserve">GLOSAS RECURSADAS - </v>
          </cell>
          <cell r="D195">
            <v>71760.06</v>
          </cell>
          <cell r="E195" t="str">
            <v>D</v>
          </cell>
          <cell r="G195">
            <v>8803.02</v>
          </cell>
          <cell r="H195">
            <v>84.15</v>
          </cell>
          <cell r="I195">
            <v>8718.8700000000008</v>
          </cell>
          <cell r="J195">
            <v>80478.929999999993</v>
          </cell>
          <cell r="K195" t="str">
            <v>D</v>
          </cell>
        </row>
        <row r="196">
          <cell r="A196">
            <v>52414</v>
          </cell>
          <cell r="B196" t="str">
            <v>1.1.02.040.0015</v>
          </cell>
          <cell r="C196" t="str">
            <v xml:space="preserve">GLOSAS RECURSADAS - </v>
          </cell>
          <cell r="D196">
            <v>55276.97</v>
          </cell>
          <cell r="E196" t="str">
            <v>D</v>
          </cell>
          <cell r="G196">
            <v>0</v>
          </cell>
          <cell r="H196">
            <v>0</v>
          </cell>
          <cell r="I196">
            <v>0</v>
          </cell>
          <cell r="J196">
            <v>55276.97</v>
          </cell>
          <cell r="K196" t="str">
            <v>D</v>
          </cell>
        </row>
        <row r="197">
          <cell r="A197">
            <v>52416</v>
          </cell>
          <cell r="B197" t="str">
            <v>1.1.02.040.0016</v>
          </cell>
          <cell r="C197" t="str">
            <v xml:space="preserve">GLOSAS RECURSADAS - </v>
          </cell>
          <cell r="D197">
            <v>425077.17</v>
          </cell>
          <cell r="E197" t="str">
            <v>D</v>
          </cell>
          <cell r="G197">
            <v>1431.47</v>
          </cell>
          <cell r="H197">
            <v>10465.68</v>
          </cell>
          <cell r="I197">
            <v>-9034.2099999999991</v>
          </cell>
          <cell r="J197">
            <v>416042.96</v>
          </cell>
          <cell r="K197" t="str">
            <v>D</v>
          </cell>
        </row>
        <row r="198">
          <cell r="A198">
            <v>52484</v>
          </cell>
          <cell r="B198" t="str">
            <v>1.1.02.040.0017</v>
          </cell>
          <cell r="C198" t="str">
            <v xml:space="preserve">GLOSAS RECURSADAS - </v>
          </cell>
          <cell r="D198">
            <v>35319.019999999997</v>
          </cell>
          <cell r="E198" t="str">
            <v>D</v>
          </cell>
          <cell r="G198">
            <v>0</v>
          </cell>
          <cell r="H198">
            <v>0</v>
          </cell>
          <cell r="I198">
            <v>0</v>
          </cell>
          <cell r="J198">
            <v>35319.019999999997</v>
          </cell>
          <cell r="K198" t="str">
            <v>D</v>
          </cell>
        </row>
        <row r="199">
          <cell r="A199">
            <v>52485</v>
          </cell>
          <cell r="B199" t="str">
            <v>1.1.02.040.0018</v>
          </cell>
          <cell r="C199" t="str">
            <v xml:space="preserve">GLOSAS RECURSADAS - </v>
          </cell>
          <cell r="D199">
            <v>3504.74</v>
          </cell>
          <cell r="E199" t="str">
            <v>D</v>
          </cell>
          <cell r="G199">
            <v>0</v>
          </cell>
          <cell r="H199">
            <v>70</v>
          </cell>
          <cell r="I199">
            <v>-70</v>
          </cell>
          <cell r="J199">
            <v>3434.74</v>
          </cell>
          <cell r="K199" t="str">
            <v>D</v>
          </cell>
        </row>
        <row r="200">
          <cell r="A200">
            <v>52486</v>
          </cell>
          <cell r="B200" t="str">
            <v>1.1.02.040.0019</v>
          </cell>
          <cell r="C200" t="str">
            <v xml:space="preserve">GLOSAS RECURSADAS - </v>
          </cell>
          <cell r="D200">
            <v>630051.24</v>
          </cell>
          <cell r="E200" t="str">
            <v>D</v>
          </cell>
          <cell r="G200">
            <v>26285.279999999999</v>
          </cell>
          <cell r="H200">
            <v>0.01</v>
          </cell>
          <cell r="I200">
            <v>26285.27</v>
          </cell>
          <cell r="J200">
            <v>656336.51</v>
          </cell>
          <cell r="K200" t="str">
            <v>D</v>
          </cell>
        </row>
        <row r="201">
          <cell r="A201">
            <v>52487</v>
          </cell>
          <cell r="B201" t="str">
            <v>1.1.02.040.0020</v>
          </cell>
          <cell r="C201" t="str">
            <v xml:space="preserve">GLOSAS RECURSADAS - </v>
          </cell>
          <cell r="D201">
            <v>203597.92</v>
          </cell>
          <cell r="E201" t="str">
            <v>D</v>
          </cell>
          <cell r="G201">
            <v>8710.56</v>
          </cell>
          <cell r="H201">
            <v>0</v>
          </cell>
          <cell r="I201">
            <v>8710.56</v>
          </cell>
          <cell r="J201">
            <v>212308.48000000001</v>
          </cell>
          <cell r="K201" t="str">
            <v>D</v>
          </cell>
        </row>
        <row r="202">
          <cell r="A202">
            <v>52488</v>
          </cell>
          <cell r="B202" t="str">
            <v>1.1.02.040.0021</v>
          </cell>
          <cell r="C202" t="str">
            <v xml:space="preserve">GLOSAS RECURSADAS - </v>
          </cell>
          <cell r="D202">
            <v>7528.97</v>
          </cell>
          <cell r="E202" t="str">
            <v>D</v>
          </cell>
          <cell r="G202">
            <v>0</v>
          </cell>
          <cell r="H202">
            <v>0</v>
          </cell>
          <cell r="I202">
            <v>0</v>
          </cell>
          <cell r="J202">
            <v>7528.97</v>
          </cell>
          <cell r="K202" t="str">
            <v>D</v>
          </cell>
        </row>
        <row r="203">
          <cell r="A203">
            <v>52489</v>
          </cell>
          <cell r="B203" t="str">
            <v>1.1.02.040.0022</v>
          </cell>
          <cell r="C203" t="str">
            <v xml:space="preserve">GLOSAS RECURSADAS - SAO </v>
          </cell>
          <cell r="D203">
            <v>2436.6</v>
          </cell>
          <cell r="E203" t="str">
            <v>D</v>
          </cell>
          <cell r="G203">
            <v>0</v>
          </cell>
          <cell r="H203">
            <v>0</v>
          </cell>
          <cell r="I203">
            <v>0</v>
          </cell>
          <cell r="J203">
            <v>2436.6</v>
          </cell>
          <cell r="K203" t="str">
            <v>D</v>
          </cell>
        </row>
        <row r="204">
          <cell r="A204">
            <v>52490</v>
          </cell>
          <cell r="B204" t="str">
            <v>1.1.02.040.0023</v>
          </cell>
          <cell r="C204" t="str">
            <v xml:space="preserve">GLOSAS RECURSADAS - </v>
          </cell>
          <cell r="D204">
            <v>24380.17</v>
          </cell>
          <cell r="E204" t="str">
            <v>D</v>
          </cell>
          <cell r="G204">
            <v>5106.79</v>
          </cell>
          <cell r="H204">
            <v>0</v>
          </cell>
          <cell r="I204">
            <v>5106.79</v>
          </cell>
          <cell r="J204">
            <v>29486.959999999999</v>
          </cell>
          <cell r="K204" t="str">
            <v>D</v>
          </cell>
        </row>
        <row r="205">
          <cell r="A205">
            <v>53610</v>
          </cell>
          <cell r="B205" t="str">
            <v>1.1.02.040.0025</v>
          </cell>
          <cell r="C205" t="str">
            <v xml:space="preserve">GLOSAS RECURSADAS - </v>
          </cell>
          <cell r="D205">
            <v>16338.82</v>
          </cell>
          <cell r="E205" t="str">
            <v>D</v>
          </cell>
          <cell r="G205">
            <v>0</v>
          </cell>
          <cell r="H205">
            <v>1.72</v>
          </cell>
          <cell r="I205">
            <v>-1.72</v>
          </cell>
          <cell r="J205">
            <v>16337.1</v>
          </cell>
          <cell r="K205" t="str">
            <v>D</v>
          </cell>
        </row>
        <row r="206">
          <cell r="A206">
            <v>53612</v>
          </cell>
          <cell r="B206" t="str">
            <v>1.1.02.040.0026</v>
          </cell>
          <cell r="C206" t="str">
            <v xml:space="preserve">GLOSAS RECURSADAS - </v>
          </cell>
          <cell r="D206">
            <v>2345.84</v>
          </cell>
          <cell r="E206" t="str">
            <v>D</v>
          </cell>
          <cell r="G206">
            <v>0</v>
          </cell>
          <cell r="H206">
            <v>0</v>
          </cell>
          <cell r="I206">
            <v>0</v>
          </cell>
          <cell r="J206">
            <v>2345.84</v>
          </cell>
          <cell r="K206" t="str">
            <v>D</v>
          </cell>
        </row>
        <row r="207">
          <cell r="A207">
            <v>53614</v>
          </cell>
          <cell r="B207" t="str">
            <v>1.1.02.040.0027</v>
          </cell>
          <cell r="C207" t="str">
            <v xml:space="preserve">GLOSAS RECURSADAS - </v>
          </cell>
          <cell r="D207">
            <v>468014.2</v>
          </cell>
          <cell r="E207" t="str">
            <v>D</v>
          </cell>
          <cell r="G207">
            <v>460020.45</v>
          </cell>
          <cell r="H207">
            <v>460020.45</v>
          </cell>
          <cell r="I207">
            <v>0</v>
          </cell>
          <cell r="J207">
            <v>468014.2</v>
          </cell>
          <cell r="K207" t="str">
            <v>D</v>
          </cell>
        </row>
        <row r="208">
          <cell r="A208">
            <v>53620</v>
          </cell>
          <cell r="B208" t="str">
            <v>1.1.02.040.0030</v>
          </cell>
          <cell r="C208" t="str">
            <v xml:space="preserve">GLOSAS RECURSADAS - </v>
          </cell>
          <cell r="D208">
            <v>15985.31</v>
          </cell>
          <cell r="E208" t="str">
            <v>D</v>
          </cell>
          <cell r="G208">
            <v>0</v>
          </cell>
          <cell r="H208">
            <v>0</v>
          </cell>
          <cell r="I208">
            <v>0</v>
          </cell>
          <cell r="J208">
            <v>15985.31</v>
          </cell>
          <cell r="K208" t="str">
            <v>D</v>
          </cell>
        </row>
        <row r="209">
          <cell r="A209">
            <v>53624</v>
          </cell>
          <cell r="B209" t="str">
            <v>1.1.02.040.0032</v>
          </cell>
          <cell r="C209" t="str">
            <v xml:space="preserve">GLOSAS RECURSADAS - </v>
          </cell>
          <cell r="D209">
            <v>34246.97</v>
          </cell>
          <cell r="E209" t="str">
            <v>D</v>
          </cell>
          <cell r="G209">
            <v>0</v>
          </cell>
          <cell r="H209">
            <v>965.46</v>
          </cell>
          <cell r="I209">
            <v>-965.46</v>
          </cell>
          <cell r="J209">
            <v>33281.51</v>
          </cell>
          <cell r="K209" t="str">
            <v>D</v>
          </cell>
        </row>
        <row r="210">
          <cell r="A210">
            <v>53628</v>
          </cell>
          <cell r="B210" t="str">
            <v>1.1.02.040.0034</v>
          </cell>
          <cell r="C210" t="str">
            <v xml:space="preserve">GLOSAS RECURSADAS - CARE </v>
          </cell>
          <cell r="D210">
            <v>19065.650000000001</v>
          </cell>
          <cell r="E210" t="str">
            <v>D</v>
          </cell>
          <cell r="G210">
            <v>0</v>
          </cell>
          <cell r="H210">
            <v>0</v>
          </cell>
          <cell r="I210">
            <v>0</v>
          </cell>
          <cell r="J210">
            <v>19065.650000000001</v>
          </cell>
          <cell r="K210" t="str">
            <v>D</v>
          </cell>
        </row>
        <row r="211">
          <cell r="A211">
            <v>53630</v>
          </cell>
          <cell r="B211" t="str">
            <v>1.1.02.040.0035</v>
          </cell>
          <cell r="C211" t="str">
            <v xml:space="preserve">GLOSAS RECURSADAS - CIME </v>
          </cell>
          <cell r="D211">
            <v>10157.33</v>
          </cell>
          <cell r="E211" t="str">
            <v>D</v>
          </cell>
          <cell r="G211">
            <v>0</v>
          </cell>
          <cell r="H211">
            <v>0</v>
          </cell>
          <cell r="I211">
            <v>0</v>
          </cell>
          <cell r="J211">
            <v>10157.33</v>
          </cell>
          <cell r="K211" t="str">
            <v>D</v>
          </cell>
        </row>
        <row r="212">
          <cell r="A212">
            <v>53634</v>
          </cell>
          <cell r="B212" t="str">
            <v>1.1.02.040.0037</v>
          </cell>
          <cell r="C212" t="str">
            <v xml:space="preserve">GLOSAS RECURSADAS - </v>
          </cell>
          <cell r="D212">
            <v>417.75</v>
          </cell>
          <cell r="E212" t="str">
            <v>D</v>
          </cell>
          <cell r="G212">
            <v>0</v>
          </cell>
          <cell r="H212">
            <v>0</v>
          </cell>
          <cell r="I212">
            <v>0</v>
          </cell>
          <cell r="J212">
            <v>417.75</v>
          </cell>
          <cell r="K212" t="str">
            <v>D</v>
          </cell>
        </row>
        <row r="213">
          <cell r="A213">
            <v>53638</v>
          </cell>
          <cell r="B213" t="str">
            <v>1.1.02.040.0039</v>
          </cell>
          <cell r="C213" t="str">
            <v xml:space="preserve">GLOSAS RECURSADAS - EEAR </v>
          </cell>
          <cell r="D213">
            <v>1.52</v>
          </cell>
          <cell r="E213" t="str">
            <v>D</v>
          </cell>
          <cell r="G213">
            <v>0</v>
          </cell>
          <cell r="H213">
            <v>0</v>
          </cell>
          <cell r="I213">
            <v>0</v>
          </cell>
          <cell r="J213">
            <v>1.52</v>
          </cell>
          <cell r="K213" t="str">
            <v>D</v>
          </cell>
        </row>
        <row r="214">
          <cell r="A214">
            <v>53640</v>
          </cell>
          <cell r="B214" t="str">
            <v>1.1.02.040.0040</v>
          </cell>
          <cell r="C214" t="str">
            <v xml:space="preserve">GLOSAS RECURSADAS - </v>
          </cell>
          <cell r="D214">
            <v>1907.19</v>
          </cell>
          <cell r="E214" t="str">
            <v>D</v>
          </cell>
          <cell r="G214">
            <v>0</v>
          </cell>
          <cell r="H214">
            <v>0</v>
          </cell>
          <cell r="I214">
            <v>0</v>
          </cell>
          <cell r="J214">
            <v>1907.19</v>
          </cell>
          <cell r="K214" t="str">
            <v>D</v>
          </cell>
        </row>
        <row r="215">
          <cell r="A215">
            <v>53643</v>
          </cell>
          <cell r="B215" t="str">
            <v>1.1.02.040.0041</v>
          </cell>
          <cell r="C215" t="str">
            <v xml:space="preserve">GLOSAS RECURSADAS - </v>
          </cell>
          <cell r="D215">
            <v>120177.24</v>
          </cell>
          <cell r="E215" t="str">
            <v>D</v>
          </cell>
          <cell r="G215">
            <v>4038.21</v>
          </cell>
          <cell r="H215">
            <v>0</v>
          </cell>
          <cell r="I215">
            <v>4038.21</v>
          </cell>
          <cell r="J215">
            <v>124215.45</v>
          </cell>
          <cell r="K215" t="str">
            <v>D</v>
          </cell>
        </row>
        <row r="216">
          <cell r="A216">
            <v>53645</v>
          </cell>
          <cell r="B216" t="str">
            <v>1.1.02.040.0042</v>
          </cell>
          <cell r="C216" t="str">
            <v xml:space="preserve">GLOSAS RECURSADAS - </v>
          </cell>
          <cell r="D216">
            <v>23080.17</v>
          </cell>
          <cell r="E216" t="str">
            <v>D</v>
          </cell>
          <cell r="G216">
            <v>0</v>
          </cell>
          <cell r="H216">
            <v>0</v>
          </cell>
          <cell r="I216">
            <v>0</v>
          </cell>
          <cell r="J216">
            <v>23080.17</v>
          </cell>
          <cell r="K216" t="str">
            <v>D</v>
          </cell>
        </row>
        <row r="217">
          <cell r="A217">
            <v>53648</v>
          </cell>
          <cell r="B217" t="str">
            <v>1.1.02.040.0043</v>
          </cell>
          <cell r="C217" t="str">
            <v xml:space="preserve">GLOSAS RECURSADAS - </v>
          </cell>
          <cell r="D217">
            <v>70221.8</v>
          </cell>
          <cell r="E217" t="str">
            <v>D</v>
          </cell>
          <cell r="G217">
            <v>0</v>
          </cell>
          <cell r="H217">
            <v>89</v>
          </cell>
          <cell r="I217">
            <v>-89</v>
          </cell>
          <cell r="J217">
            <v>70132.800000000003</v>
          </cell>
          <cell r="K217" t="str">
            <v>D</v>
          </cell>
        </row>
        <row r="218">
          <cell r="A218">
            <v>53659</v>
          </cell>
          <cell r="B218" t="str">
            <v>1.1.02.040.0047</v>
          </cell>
          <cell r="C218" t="str">
            <v xml:space="preserve">GLOSAS RECURSADAS - LIFE </v>
          </cell>
          <cell r="D218">
            <v>4904.26</v>
          </cell>
          <cell r="E218" t="str">
            <v>D</v>
          </cell>
          <cell r="G218">
            <v>430.63</v>
          </cell>
          <cell r="H218">
            <v>187.64</v>
          </cell>
          <cell r="I218">
            <v>242.99</v>
          </cell>
          <cell r="J218">
            <v>5147.25</v>
          </cell>
          <cell r="K218" t="str">
            <v>D</v>
          </cell>
        </row>
        <row r="219">
          <cell r="A219">
            <v>53663</v>
          </cell>
          <cell r="B219" t="str">
            <v>1.1.02.040.0049</v>
          </cell>
          <cell r="C219" t="str">
            <v xml:space="preserve">GLOSAS RECURSADAS - </v>
          </cell>
          <cell r="D219">
            <v>2401.2800000000002</v>
          </cell>
          <cell r="E219" t="str">
            <v>D</v>
          </cell>
          <cell r="G219">
            <v>0</v>
          </cell>
          <cell r="H219">
            <v>0</v>
          </cell>
          <cell r="I219">
            <v>0</v>
          </cell>
          <cell r="J219">
            <v>2401.2800000000002</v>
          </cell>
          <cell r="K219" t="str">
            <v>D</v>
          </cell>
        </row>
        <row r="220">
          <cell r="A220">
            <v>53674</v>
          </cell>
          <cell r="B220" t="str">
            <v>1.1.02.040.0053</v>
          </cell>
          <cell r="C220" t="str">
            <v xml:space="preserve">GLOSAS RECURSADAS - </v>
          </cell>
          <cell r="D220">
            <v>8128.8</v>
          </cell>
          <cell r="E220" t="str">
            <v>D</v>
          </cell>
          <cell r="G220">
            <v>0</v>
          </cell>
          <cell r="H220">
            <v>0</v>
          </cell>
          <cell r="I220">
            <v>0</v>
          </cell>
          <cell r="J220">
            <v>8128.8</v>
          </cell>
          <cell r="K220" t="str">
            <v>D</v>
          </cell>
        </row>
        <row r="221">
          <cell r="A221">
            <v>53676</v>
          </cell>
          <cell r="B221" t="str">
            <v>1.1.02.040.0054</v>
          </cell>
          <cell r="C221" t="str">
            <v xml:space="preserve">GLOSAS RECURSADAS - </v>
          </cell>
          <cell r="D221">
            <v>1331203.28</v>
          </cell>
          <cell r="E221" t="str">
            <v>D</v>
          </cell>
          <cell r="G221">
            <v>1563.82</v>
          </cell>
          <cell r="H221">
            <v>3159.43</v>
          </cell>
          <cell r="I221">
            <v>-1595.61</v>
          </cell>
          <cell r="J221">
            <v>1329607.67</v>
          </cell>
          <cell r="K221" t="str">
            <v>D</v>
          </cell>
        </row>
        <row r="222">
          <cell r="A222">
            <v>53680</v>
          </cell>
          <cell r="B222" t="str">
            <v>1.1.02.040.0056</v>
          </cell>
          <cell r="C222" t="str">
            <v xml:space="preserve">GLOSAS RECURSADAS - </v>
          </cell>
          <cell r="D222">
            <v>2050.06</v>
          </cell>
          <cell r="E222" t="str">
            <v>D</v>
          </cell>
          <cell r="G222">
            <v>0</v>
          </cell>
          <cell r="H222">
            <v>0</v>
          </cell>
          <cell r="I222">
            <v>0</v>
          </cell>
          <cell r="J222">
            <v>2050.06</v>
          </cell>
          <cell r="K222" t="str">
            <v>D</v>
          </cell>
        </row>
        <row r="223">
          <cell r="A223">
            <v>53684</v>
          </cell>
          <cell r="B223" t="str">
            <v>1.1.02.040.0058</v>
          </cell>
          <cell r="C223" t="str">
            <v xml:space="preserve">GLOSAS RECURSADAS - </v>
          </cell>
          <cell r="D223">
            <v>14819.64</v>
          </cell>
          <cell r="E223" t="str">
            <v>D</v>
          </cell>
          <cell r="G223">
            <v>0</v>
          </cell>
          <cell r="H223">
            <v>0</v>
          </cell>
          <cell r="I223">
            <v>0</v>
          </cell>
          <cell r="J223">
            <v>14819.64</v>
          </cell>
          <cell r="K223" t="str">
            <v>D</v>
          </cell>
        </row>
        <row r="224">
          <cell r="A224">
            <v>53688</v>
          </cell>
          <cell r="B224" t="str">
            <v>1.1.02.040.0060</v>
          </cell>
          <cell r="C224" t="str">
            <v xml:space="preserve">GLOSAS RECURSADAS - </v>
          </cell>
          <cell r="D224">
            <v>76389.25</v>
          </cell>
          <cell r="E224" t="str">
            <v>D</v>
          </cell>
          <cell r="G224">
            <v>0</v>
          </cell>
          <cell r="H224">
            <v>0</v>
          </cell>
          <cell r="I224">
            <v>0</v>
          </cell>
          <cell r="J224">
            <v>76389.25</v>
          </cell>
          <cell r="K224" t="str">
            <v>D</v>
          </cell>
        </row>
        <row r="225">
          <cell r="A225">
            <v>54754</v>
          </cell>
          <cell r="B225" t="str">
            <v>1.1.02.040.0063</v>
          </cell>
          <cell r="C225" t="str">
            <v xml:space="preserve">GLOSAS RECURSADAS - </v>
          </cell>
          <cell r="D225">
            <v>12007.17</v>
          </cell>
          <cell r="E225" t="str">
            <v>D</v>
          </cell>
          <cell r="G225">
            <v>7262.16</v>
          </cell>
          <cell r="H225">
            <v>0</v>
          </cell>
          <cell r="I225">
            <v>7262.16</v>
          </cell>
          <cell r="J225">
            <v>19269.330000000002</v>
          </cell>
          <cell r="K225" t="str">
            <v>D</v>
          </cell>
        </row>
        <row r="226">
          <cell r="A226">
            <v>55033</v>
          </cell>
          <cell r="B226" t="str">
            <v>1.1.02.040.0064</v>
          </cell>
          <cell r="C226" t="str">
            <v xml:space="preserve">GLOSAS RECURSADAS - GO </v>
          </cell>
          <cell r="D226">
            <v>11234.19</v>
          </cell>
          <cell r="E226" t="str">
            <v>D</v>
          </cell>
          <cell r="G226">
            <v>10595.57</v>
          </cell>
          <cell r="H226">
            <v>0</v>
          </cell>
          <cell r="I226">
            <v>10595.57</v>
          </cell>
          <cell r="J226">
            <v>21829.759999999998</v>
          </cell>
          <cell r="K226" t="str">
            <v>D</v>
          </cell>
        </row>
        <row r="227">
          <cell r="A227">
            <v>37125</v>
          </cell>
          <cell r="B227" t="str">
            <v>1.1.02.050</v>
          </cell>
          <cell r="C227" t="str">
            <v xml:space="preserve">SUS - SISTEMA UNICO DE </v>
          </cell>
          <cell r="D227">
            <v>6633127.8399999999</v>
          </cell>
          <cell r="E227" t="str">
            <v>D</v>
          </cell>
          <cell r="G227">
            <v>5192143.68</v>
          </cell>
          <cell r="H227">
            <v>6542639.1699999999</v>
          </cell>
          <cell r="I227">
            <v>-1350495.49</v>
          </cell>
          <cell r="J227">
            <v>5282632.3499999996</v>
          </cell>
          <cell r="K227" t="str">
            <v>D</v>
          </cell>
        </row>
        <row r="228">
          <cell r="A228">
            <v>502</v>
          </cell>
          <cell r="B228" t="str">
            <v>1.1.02.050.0001</v>
          </cell>
          <cell r="C228" t="str">
            <v>SUS - HEMODIALISE</v>
          </cell>
          <cell r="D228">
            <v>2843949.59</v>
          </cell>
          <cell r="E228" t="str">
            <v>D</v>
          </cell>
          <cell r="G228">
            <v>873248.6</v>
          </cell>
          <cell r="H228">
            <v>1816975.35</v>
          </cell>
          <cell r="I228">
            <v>-943726.75</v>
          </cell>
          <cell r="J228">
            <v>1900222.84</v>
          </cell>
          <cell r="K228" t="str">
            <v>D</v>
          </cell>
        </row>
        <row r="229">
          <cell r="A229">
            <v>492</v>
          </cell>
          <cell r="B229" t="str">
            <v>1.1.02.050.0002</v>
          </cell>
          <cell r="C229" t="str">
            <v>SUS - AIH</v>
          </cell>
          <cell r="D229">
            <v>1577312.94</v>
          </cell>
          <cell r="E229" t="str">
            <v>D</v>
          </cell>
          <cell r="G229">
            <v>2032348.78</v>
          </cell>
          <cell r="H229">
            <v>2032348.78</v>
          </cell>
          <cell r="I229">
            <v>0</v>
          </cell>
          <cell r="J229">
            <v>1577312.94</v>
          </cell>
          <cell r="K229" t="str">
            <v>D</v>
          </cell>
        </row>
        <row r="230">
          <cell r="A230">
            <v>493</v>
          </cell>
          <cell r="B230" t="str">
            <v>1.1.02.050.0003</v>
          </cell>
          <cell r="C230" t="str">
            <v>SUS - AMBULATORIO</v>
          </cell>
          <cell r="D230">
            <v>445977.02</v>
          </cell>
          <cell r="E230" t="str">
            <v>D</v>
          </cell>
          <cell r="G230">
            <v>1978432.54</v>
          </cell>
          <cell r="H230">
            <v>1978432.54</v>
          </cell>
          <cell r="I230">
            <v>0</v>
          </cell>
          <cell r="J230">
            <v>445977.02</v>
          </cell>
          <cell r="K230" t="str">
            <v>D</v>
          </cell>
        </row>
        <row r="231">
          <cell r="A231">
            <v>53328</v>
          </cell>
          <cell r="B231" t="str">
            <v>1.1.02.050.0004</v>
          </cell>
          <cell r="C231" t="str">
            <v>SUS - FAEC BARIATRICA</v>
          </cell>
          <cell r="D231">
            <v>153078.54999999999</v>
          </cell>
          <cell r="E231" t="str">
            <v>D</v>
          </cell>
          <cell r="G231">
            <v>127879.07</v>
          </cell>
          <cell r="H231">
            <v>57012.58</v>
          </cell>
          <cell r="I231">
            <v>70866.490000000005</v>
          </cell>
          <cell r="J231">
            <v>223945.04</v>
          </cell>
          <cell r="K231" t="str">
            <v>D</v>
          </cell>
        </row>
        <row r="232">
          <cell r="A232">
            <v>53329</v>
          </cell>
          <cell r="B232" t="str">
            <v>1.1.02.050.0005</v>
          </cell>
          <cell r="C232" t="str">
            <v>SUS - FAEC TRANSPLANTE</v>
          </cell>
          <cell r="D232">
            <v>1528387.03</v>
          </cell>
          <cell r="E232" t="str">
            <v>D</v>
          </cell>
          <cell r="G232">
            <v>154111.44</v>
          </cell>
          <cell r="H232">
            <v>657869.92000000004</v>
          </cell>
          <cell r="I232">
            <v>-503758.48</v>
          </cell>
          <cell r="J232">
            <v>1024628.55</v>
          </cell>
          <cell r="K232" t="str">
            <v>D</v>
          </cell>
        </row>
        <row r="233">
          <cell r="A233">
            <v>55260</v>
          </cell>
          <cell r="B233" t="str">
            <v>1.1.02.050.0007</v>
          </cell>
          <cell r="C233" t="str">
            <v>SUS - FAEC ELETIVA</v>
          </cell>
          <cell r="D233">
            <v>58299.46</v>
          </cell>
          <cell r="E233" t="str">
            <v>D</v>
          </cell>
          <cell r="G233">
            <v>0</v>
          </cell>
          <cell r="H233">
            <v>0</v>
          </cell>
          <cell r="I233">
            <v>0</v>
          </cell>
          <cell r="J233">
            <v>58299.46</v>
          </cell>
          <cell r="K233" t="str">
            <v>D</v>
          </cell>
        </row>
        <row r="234">
          <cell r="A234">
            <v>55266</v>
          </cell>
          <cell r="B234" t="str">
            <v>1.1.02.050.0008</v>
          </cell>
          <cell r="C234" t="str">
            <v>SUS -  FAEC ONCOLOGIA</v>
          </cell>
          <cell r="D234">
            <v>26123.25</v>
          </cell>
          <cell r="E234" t="str">
            <v>D</v>
          </cell>
          <cell r="G234">
            <v>26123.25</v>
          </cell>
          <cell r="H234">
            <v>0</v>
          </cell>
          <cell r="I234">
            <v>26123.25</v>
          </cell>
          <cell r="J234">
            <v>52246.5</v>
          </cell>
          <cell r="K234" t="str">
            <v>D</v>
          </cell>
        </row>
        <row r="235">
          <cell r="A235">
            <v>37128</v>
          </cell>
          <cell r="B235" t="str">
            <v>1.1.02.060</v>
          </cell>
          <cell r="C235" t="str">
            <v xml:space="preserve">CARTOES DE CREDITOS E </v>
          </cell>
          <cell r="D235">
            <v>170246.29</v>
          </cell>
          <cell r="E235" t="str">
            <v>D</v>
          </cell>
          <cell r="G235">
            <v>74358.97</v>
          </cell>
          <cell r="H235">
            <v>92398.76</v>
          </cell>
          <cell r="I235">
            <v>-18039.79</v>
          </cell>
          <cell r="J235">
            <v>152206.5</v>
          </cell>
          <cell r="K235" t="str">
            <v>D</v>
          </cell>
        </row>
        <row r="236">
          <cell r="A236">
            <v>37818</v>
          </cell>
          <cell r="B236" t="str">
            <v>1.1.02.060.0002</v>
          </cell>
          <cell r="C236" t="str">
            <v xml:space="preserve">CARTAO CREDITO PARCELA </v>
          </cell>
          <cell r="D236">
            <v>38735.339999999997</v>
          </cell>
          <cell r="E236" t="str">
            <v>D</v>
          </cell>
          <cell r="G236">
            <v>20237.8</v>
          </cell>
          <cell r="H236">
            <v>22042.92</v>
          </cell>
          <cell r="I236">
            <v>-1805.12</v>
          </cell>
          <cell r="J236">
            <v>36930.22</v>
          </cell>
          <cell r="K236" t="str">
            <v>D</v>
          </cell>
        </row>
        <row r="237">
          <cell r="A237">
            <v>37819</v>
          </cell>
          <cell r="B237" t="str">
            <v>1.1.02.060.0003</v>
          </cell>
          <cell r="C237" t="str">
            <v xml:space="preserve">CARTAO CREDITO </v>
          </cell>
          <cell r="D237">
            <v>123041.64</v>
          </cell>
          <cell r="E237" t="str">
            <v>D</v>
          </cell>
          <cell r="G237">
            <v>15823.63</v>
          </cell>
          <cell r="H237">
            <v>31878.3</v>
          </cell>
          <cell r="I237">
            <v>-16054.67</v>
          </cell>
          <cell r="J237">
            <v>106986.97</v>
          </cell>
          <cell r="K237" t="str">
            <v>D</v>
          </cell>
        </row>
        <row r="238">
          <cell r="A238">
            <v>37817</v>
          </cell>
          <cell r="B238" t="str">
            <v>1.1.02.060.0004</v>
          </cell>
          <cell r="C238" t="str">
            <v xml:space="preserve">CARTAO DEBITO - </v>
          </cell>
          <cell r="D238">
            <v>8469.31</v>
          </cell>
          <cell r="E238" t="str">
            <v>D</v>
          </cell>
          <cell r="G238">
            <v>38297.54</v>
          </cell>
          <cell r="H238">
            <v>38477.54</v>
          </cell>
          <cell r="I238">
            <v>-180</v>
          </cell>
          <cell r="J238">
            <v>8289.31</v>
          </cell>
          <cell r="K238" t="str">
            <v>D</v>
          </cell>
        </row>
        <row r="239">
          <cell r="A239">
            <v>533</v>
          </cell>
          <cell r="B239" t="str">
            <v>1.1.03</v>
          </cell>
          <cell r="C239" t="str">
            <v>VALORES A RECEBER</v>
          </cell>
          <cell r="D239">
            <v>9198350.6400000006</v>
          </cell>
          <cell r="E239" t="str">
            <v>D</v>
          </cell>
          <cell r="G239">
            <v>16222170.949999999</v>
          </cell>
          <cell r="H239">
            <v>19641846.73</v>
          </cell>
          <cell r="I239">
            <v>-3419675.78</v>
          </cell>
          <cell r="J239">
            <v>5778674.8600000003</v>
          </cell>
          <cell r="K239" t="str">
            <v>D</v>
          </cell>
        </row>
        <row r="240">
          <cell r="A240">
            <v>53476</v>
          </cell>
          <cell r="B240" t="str">
            <v>1.1.03.011</v>
          </cell>
          <cell r="C240" t="str">
            <v xml:space="preserve">ANTA CASA DE </v>
          </cell>
          <cell r="D240">
            <v>11750</v>
          </cell>
          <cell r="E240" t="str">
            <v>D</v>
          </cell>
          <cell r="G240">
            <v>0</v>
          </cell>
          <cell r="H240">
            <v>11750</v>
          </cell>
          <cell r="I240">
            <v>-11750</v>
          </cell>
          <cell r="J240">
            <v>0</v>
          </cell>
          <cell r="K240" t="str">
            <v>D</v>
          </cell>
        </row>
        <row r="241">
          <cell r="A241">
            <v>53477</v>
          </cell>
          <cell r="B241" t="str">
            <v>1.1.03.011.0001</v>
          </cell>
          <cell r="C241" t="str">
            <v xml:space="preserve">SANTA CASA CRUZEIRO </v>
          </cell>
          <cell r="D241">
            <v>11750</v>
          </cell>
          <cell r="E241" t="str">
            <v>D</v>
          </cell>
          <cell r="G241">
            <v>0</v>
          </cell>
          <cell r="H241">
            <v>11750</v>
          </cell>
          <cell r="I241">
            <v>-11750</v>
          </cell>
          <cell r="J241">
            <v>0</v>
          </cell>
          <cell r="K241" t="str">
            <v>D</v>
          </cell>
        </row>
        <row r="242">
          <cell r="A242">
            <v>55269</v>
          </cell>
          <cell r="B242" t="str">
            <v>1.1.03.012</v>
          </cell>
          <cell r="C242" t="str">
            <v>CLIENTES DIVERSOS</v>
          </cell>
          <cell r="D242">
            <v>2000000</v>
          </cell>
          <cell r="E242" t="str">
            <v>D</v>
          </cell>
          <cell r="G242">
            <v>0</v>
          </cell>
          <cell r="H242">
            <v>2000000</v>
          </cell>
          <cell r="I242">
            <v>-2000000</v>
          </cell>
          <cell r="J242">
            <v>0</v>
          </cell>
          <cell r="K242" t="str">
            <v>D</v>
          </cell>
        </row>
        <row r="243">
          <cell r="A243">
            <v>55270</v>
          </cell>
          <cell r="B243" t="str">
            <v>1.1.03.012.0001</v>
          </cell>
          <cell r="C243" t="str">
            <v xml:space="preserve">SANTANDER - CONTRATO </v>
          </cell>
          <cell r="D243">
            <v>2000000</v>
          </cell>
          <cell r="E243" t="str">
            <v>D</v>
          </cell>
          <cell r="G243">
            <v>0</v>
          </cell>
          <cell r="H243">
            <v>2000000</v>
          </cell>
          <cell r="I243">
            <v>-2000000</v>
          </cell>
          <cell r="J243">
            <v>0</v>
          </cell>
          <cell r="K243" t="str">
            <v>D</v>
          </cell>
        </row>
        <row r="244">
          <cell r="A244">
            <v>591</v>
          </cell>
          <cell r="B244" t="str">
            <v>1.1.03.020</v>
          </cell>
          <cell r="C244" t="str">
            <v xml:space="preserve">ADIANTAMENTOS A </v>
          </cell>
          <cell r="D244">
            <v>145280.21</v>
          </cell>
          <cell r="E244" t="str">
            <v>D</v>
          </cell>
          <cell r="G244">
            <v>973718.81</v>
          </cell>
          <cell r="H244">
            <v>983501.89</v>
          </cell>
          <cell r="I244">
            <v>-9783.08</v>
          </cell>
          <cell r="J244">
            <v>135497.13</v>
          </cell>
          <cell r="K244" t="str">
            <v>D</v>
          </cell>
        </row>
        <row r="245">
          <cell r="A245">
            <v>349</v>
          </cell>
          <cell r="B245" t="str">
            <v>1.1.03.020.0001</v>
          </cell>
          <cell r="C245" t="str">
            <v>Adiantamento de Salarios</v>
          </cell>
          <cell r="D245">
            <v>3084.05</v>
          </cell>
          <cell r="E245" t="str">
            <v>D</v>
          </cell>
          <cell r="G245">
            <v>143022.54999999999</v>
          </cell>
          <cell r="H245">
            <v>144992.03</v>
          </cell>
          <cell r="I245">
            <v>-1969.48</v>
          </cell>
          <cell r="J245">
            <v>1114.57</v>
          </cell>
          <cell r="K245" t="str">
            <v>D</v>
          </cell>
        </row>
        <row r="246">
          <cell r="A246">
            <v>355</v>
          </cell>
          <cell r="B246" t="str">
            <v>1.1.03.020.0002</v>
          </cell>
          <cell r="C246" t="str">
            <v>ADIANTAMENTO DE FERIAS</v>
          </cell>
          <cell r="D246">
            <v>142196.16</v>
          </cell>
          <cell r="E246" t="str">
            <v>D</v>
          </cell>
          <cell r="G246">
            <v>795027.68</v>
          </cell>
          <cell r="H246">
            <v>802841.28</v>
          </cell>
          <cell r="I246">
            <v>-7813.6</v>
          </cell>
          <cell r="J246">
            <v>134382.56</v>
          </cell>
          <cell r="K246" t="str">
            <v>D</v>
          </cell>
        </row>
        <row r="247">
          <cell r="A247">
            <v>361</v>
          </cell>
          <cell r="B247" t="str">
            <v>1.1.03.020.0003</v>
          </cell>
          <cell r="C247" t="str">
            <v xml:space="preserve">ADIANTAMENTO DE 13º </v>
          </cell>
          <cell r="D247">
            <v>0</v>
          </cell>
          <cell r="E247" t="str">
            <v>D</v>
          </cell>
          <cell r="G247">
            <v>35668.58</v>
          </cell>
          <cell r="H247">
            <v>35668.58</v>
          </cell>
          <cell r="I247">
            <v>0</v>
          </cell>
          <cell r="J247">
            <v>0</v>
          </cell>
          <cell r="K247" t="str">
            <v>D</v>
          </cell>
        </row>
        <row r="248">
          <cell r="A248">
            <v>362</v>
          </cell>
          <cell r="B248" t="str">
            <v>1.1.03.030</v>
          </cell>
          <cell r="C248" t="str">
            <v xml:space="preserve">ADIANTAMENTOS </v>
          </cell>
          <cell r="D248">
            <v>289517.03999999998</v>
          </cell>
          <cell r="E248" t="str">
            <v>D</v>
          </cell>
          <cell r="G248">
            <v>59812.93</v>
          </cell>
          <cell r="H248">
            <v>19837.46</v>
          </cell>
          <cell r="I248">
            <v>39975.47</v>
          </cell>
          <cell r="J248">
            <v>329492.51</v>
          </cell>
          <cell r="K248" t="str">
            <v>D</v>
          </cell>
        </row>
        <row r="249">
          <cell r="A249">
            <v>375</v>
          </cell>
          <cell r="B249" t="str">
            <v>1.1.03.030.0002</v>
          </cell>
          <cell r="C249" t="str">
            <v xml:space="preserve">ADIANTAMENTOS A </v>
          </cell>
          <cell r="D249">
            <v>289517.03999999998</v>
          </cell>
          <cell r="E249" t="str">
            <v>D</v>
          </cell>
          <cell r="G249">
            <v>59812.93</v>
          </cell>
          <cell r="H249">
            <v>19837.46</v>
          </cell>
          <cell r="I249">
            <v>39975.47</v>
          </cell>
          <cell r="J249">
            <v>329492.51</v>
          </cell>
          <cell r="K249" t="str">
            <v>D</v>
          </cell>
        </row>
        <row r="250">
          <cell r="A250">
            <v>40370</v>
          </cell>
          <cell r="B250" t="str">
            <v>1.1.03.040</v>
          </cell>
          <cell r="C250" t="str">
            <v xml:space="preserve">CONTA TRANSITORIA </v>
          </cell>
          <cell r="D250">
            <v>0</v>
          </cell>
          <cell r="E250" t="str">
            <v>D</v>
          </cell>
          <cell r="G250">
            <v>7324.19</v>
          </cell>
          <cell r="H250">
            <v>7324.19</v>
          </cell>
          <cell r="I250">
            <v>0</v>
          </cell>
          <cell r="J250">
            <v>0</v>
          </cell>
          <cell r="K250" t="str">
            <v>D</v>
          </cell>
        </row>
        <row r="251">
          <cell r="A251">
            <v>12471</v>
          </cell>
          <cell r="B251" t="str">
            <v>1.1.03.040.0002</v>
          </cell>
          <cell r="C251" t="str">
            <v xml:space="preserve">CONTA TRANSITORIA </v>
          </cell>
          <cell r="D251">
            <v>0</v>
          </cell>
          <cell r="E251" t="str">
            <v>D</v>
          </cell>
          <cell r="G251">
            <v>7324.19</v>
          </cell>
          <cell r="H251">
            <v>7324.19</v>
          </cell>
          <cell r="I251">
            <v>0</v>
          </cell>
          <cell r="J251">
            <v>0</v>
          </cell>
          <cell r="K251" t="str">
            <v>D</v>
          </cell>
        </row>
        <row r="252">
          <cell r="A252">
            <v>53061</v>
          </cell>
          <cell r="B252" t="str">
            <v>1.1.03.050</v>
          </cell>
          <cell r="C252" t="str">
            <v>SUBVENCOES A RECEBER</v>
          </cell>
          <cell r="D252">
            <v>557405.53</v>
          </cell>
          <cell r="E252" t="str">
            <v>D</v>
          </cell>
          <cell r="G252">
            <v>1067845.22</v>
          </cell>
          <cell r="H252">
            <v>1118730.53</v>
          </cell>
          <cell r="I252">
            <v>-50885.31</v>
          </cell>
          <cell r="J252">
            <v>506520.22</v>
          </cell>
          <cell r="K252" t="str">
            <v>D</v>
          </cell>
        </row>
        <row r="253">
          <cell r="A253">
            <v>522</v>
          </cell>
          <cell r="B253" t="str">
            <v>1.1.03.050.0001</v>
          </cell>
          <cell r="C253" t="str">
            <v>IAC</v>
          </cell>
          <cell r="D253">
            <v>199045.21</v>
          </cell>
          <cell r="E253" t="str">
            <v>D</v>
          </cell>
          <cell r="G253">
            <v>199045.21</v>
          </cell>
          <cell r="H253">
            <v>199045.21</v>
          </cell>
          <cell r="I253">
            <v>0</v>
          </cell>
          <cell r="J253">
            <v>199045.21</v>
          </cell>
          <cell r="K253" t="str">
            <v>D</v>
          </cell>
        </row>
        <row r="254">
          <cell r="A254">
            <v>53297</v>
          </cell>
          <cell r="B254" t="str">
            <v>1.1.03.050.0002</v>
          </cell>
          <cell r="C254" t="str">
            <v>REDE CEGONHA</v>
          </cell>
          <cell r="D254">
            <v>70360.320000000007</v>
          </cell>
          <cell r="E254" t="str">
            <v>D</v>
          </cell>
          <cell r="G254">
            <v>70360.320000000007</v>
          </cell>
          <cell r="H254">
            <v>70360.320000000007</v>
          </cell>
          <cell r="I254">
            <v>0</v>
          </cell>
          <cell r="J254">
            <v>70360.320000000007</v>
          </cell>
          <cell r="K254" t="str">
            <v>D</v>
          </cell>
        </row>
        <row r="255">
          <cell r="A255">
            <v>33096</v>
          </cell>
          <cell r="B255" t="str">
            <v>1.1.03.050.0003</v>
          </cell>
          <cell r="C255" t="str">
            <v xml:space="preserve">SUSTENTAVEL(SECRETARIA </v>
          </cell>
          <cell r="D255">
            <v>0</v>
          </cell>
          <cell r="E255" t="str">
            <v>D</v>
          </cell>
          <cell r="G255">
            <v>561325</v>
          </cell>
          <cell r="H255">
            <v>561325</v>
          </cell>
          <cell r="I255">
            <v>0</v>
          </cell>
          <cell r="J255">
            <v>0</v>
          </cell>
          <cell r="K255" t="str">
            <v>D</v>
          </cell>
        </row>
        <row r="256">
          <cell r="A256">
            <v>54776</v>
          </cell>
          <cell r="B256" t="str">
            <v>1.1.03.050.0004</v>
          </cell>
          <cell r="C256" t="str">
            <v xml:space="preserve">SUBVENÇÕES A RECEBER </v>
          </cell>
          <cell r="D256">
            <v>288000</v>
          </cell>
          <cell r="E256" t="str">
            <v>D</v>
          </cell>
          <cell r="G256">
            <v>237114.69</v>
          </cell>
          <cell r="H256">
            <v>288000</v>
          </cell>
          <cell r="I256">
            <v>-50885.31</v>
          </cell>
          <cell r="J256">
            <v>237114.69</v>
          </cell>
          <cell r="K256" t="str">
            <v>D</v>
          </cell>
        </row>
        <row r="257">
          <cell r="A257">
            <v>534</v>
          </cell>
          <cell r="B257" t="str">
            <v>1.1.03.060</v>
          </cell>
          <cell r="C257" t="str">
            <v>ESTOQUE</v>
          </cell>
          <cell r="D257">
            <v>4753358.17</v>
          </cell>
          <cell r="E257" t="str">
            <v>D</v>
          </cell>
          <cell r="G257">
            <v>9361219.9299999997</v>
          </cell>
          <cell r="H257">
            <v>9623831.4499999993</v>
          </cell>
          <cell r="I257">
            <v>-262611.52</v>
          </cell>
          <cell r="J257">
            <v>4490746.6500000004</v>
          </cell>
          <cell r="K257" t="str">
            <v>D</v>
          </cell>
        </row>
        <row r="258">
          <cell r="A258">
            <v>12327</v>
          </cell>
          <cell r="B258" t="str">
            <v>1.1.03.060.0001</v>
          </cell>
          <cell r="C258" t="str">
            <v>ATIVO PERMANENTE</v>
          </cell>
          <cell r="D258">
            <v>96082.34</v>
          </cell>
          <cell r="E258" t="str">
            <v>D</v>
          </cell>
          <cell r="G258">
            <v>187321.43</v>
          </cell>
          <cell r="H258">
            <v>187321.43</v>
          </cell>
          <cell r="I258">
            <v>0</v>
          </cell>
          <cell r="J258">
            <v>96082.34</v>
          </cell>
          <cell r="K258" t="str">
            <v>D</v>
          </cell>
        </row>
        <row r="259">
          <cell r="A259">
            <v>29485</v>
          </cell>
          <cell r="B259" t="str">
            <v>1.1.03.060.0004</v>
          </cell>
          <cell r="C259" t="str">
            <v>GASES MEDICINAIS</v>
          </cell>
          <cell r="D259">
            <v>0</v>
          </cell>
          <cell r="E259" t="str">
            <v>D</v>
          </cell>
          <cell r="G259">
            <v>83083.740000000005</v>
          </cell>
          <cell r="H259">
            <v>83083.740000000005</v>
          </cell>
          <cell r="I259">
            <v>0</v>
          </cell>
          <cell r="J259">
            <v>0</v>
          </cell>
          <cell r="K259" t="str">
            <v>D</v>
          </cell>
        </row>
        <row r="260">
          <cell r="A260">
            <v>550</v>
          </cell>
          <cell r="B260" t="str">
            <v>1.1.03.060.0005</v>
          </cell>
          <cell r="C260" t="str">
            <v xml:space="preserve">MAT DESCARTAVEIS, </v>
          </cell>
          <cell r="D260">
            <v>8804.91</v>
          </cell>
          <cell r="E260" t="str">
            <v>D</v>
          </cell>
          <cell r="G260">
            <v>65001.95</v>
          </cell>
          <cell r="H260">
            <v>60555.4</v>
          </cell>
          <cell r="I260">
            <v>4446.55</v>
          </cell>
          <cell r="J260">
            <v>13251.46</v>
          </cell>
          <cell r="K260" t="str">
            <v>D</v>
          </cell>
        </row>
        <row r="261">
          <cell r="A261">
            <v>553</v>
          </cell>
          <cell r="B261" t="str">
            <v>1.1.03.060.0006</v>
          </cell>
          <cell r="C261" t="str">
            <v xml:space="preserve">MATERIAL ATIVAVEIS DE </v>
          </cell>
          <cell r="D261">
            <v>14785.38</v>
          </cell>
          <cell r="E261" t="str">
            <v>D</v>
          </cell>
          <cell r="G261">
            <v>38810.11</v>
          </cell>
          <cell r="H261">
            <v>41807.31</v>
          </cell>
          <cell r="I261">
            <v>-2997.2</v>
          </cell>
          <cell r="J261">
            <v>11788.18</v>
          </cell>
          <cell r="K261" t="str">
            <v>D</v>
          </cell>
        </row>
        <row r="262">
          <cell r="A262">
            <v>544</v>
          </cell>
          <cell r="B262" t="str">
            <v>1.1.03.060.0007</v>
          </cell>
          <cell r="C262" t="str">
            <v>MATERIAL DE INFORMATICA</v>
          </cell>
          <cell r="D262">
            <v>21141.32</v>
          </cell>
          <cell r="E262" t="str">
            <v>D</v>
          </cell>
          <cell r="G262">
            <v>9754.2000000000007</v>
          </cell>
          <cell r="H262">
            <v>12052.21</v>
          </cell>
          <cell r="I262">
            <v>-2298.0100000000002</v>
          </cell>
          <cell r="J262">
            <v>18843.310000000001</v>
          </cell>
          <cell r="K262" t="str">
            <v>D</v>
          </cell>
        </row>
        <row r="263">
          <cell r="A263">
            <v>25043</v>
          </cell>
          <cell r="B263" t="str">
            <v>1.1.03.060.0008</v>
          </cell>
          <cell r="C263" t="str">
            <v>MATERIAL DE CONSTRUCAO</v>
          </cell>
          <cell r="D263">
            <v>1187.8399999999999</v>
          </cell>
          <cell r="E263" t="str">
            <v>D</v>
          </cell>
          <cell r="G263">
            <v>3431.87</v>
          </cell>
          <cell r="H263">
            <v>4619.71</v>
          </cell>
          <cell r="I263">
            <v>-1187.8399999999999</v>
          </cell>
          <cell r="J263">
            <v>0</v>
          </cell>
          <cell r="K263" t="str">
            <v>D</v>
          </cell>
        </row>
        <row r="264">
          <cell r="A264">
            <v>542</v>
          </cell>
          <cell r="B264" t="str">
            <v>1.1.03.060.0009</v>
          </cell>
          <cell r="C264" t="str">
            <v xml:space="preserve">MATERIAL DE EXPEDIENTE, </v>
          </cell>
          <cell r="D264">
            <v>83149.279999999999</v>
          </cell>
          <cell r="E264" t="str">
            <v>D</v>
          </cell>
          <cell r="G264">
            <v>91746.97</v>
          </cell>
          <cell r="H264">
            <v>102197.38</v>
          </cell>
          <cell r="I264">
            <v>-10450.41</v>
          </cell>
          <cell r="J264">
            <v>72698.87</v>
          </cell>
          <cell r="K264" t="str">
            <v>D</v>
          </cell>
        </row>
        <row r="265">
          <cell r="A265">
            <v>545</v>
          </cell>
          <cell r="B265" t="str">
            <v>1.1.03.060.0010</v>
          </cell>
          <cell r="C265" t="str">
            <v>MATERIAL DE LAVANDERIA</v>
          </cell>
          <cell r="D265">
            <v>12411.59</v>
          </cell>
          <cell r="E265" t="str">
            <v>D</v>
          </cell>
          <cell r="G265">
            <v>68911.710000000006</v>
          </cell>
          <cell r="H265">
            <v>78342.58</v>
          </cell>
          <cell r="I265">
            <v>-9430.8700000000008</v>
          </cell>
          <cell r="J265">
            <v>2980.72</v>
          </cell>
          <cell r="K265" t="str">
            <v>D</v>
          </cell>
        </row>
        <row r="266">
          <cell r="A266">
            <v>546</v>
          </cell>
          <cell r="B266" t="str">
            <v>1.1.03.060.0011</v>
          </cell>
          <cell r="C266" t="str">
            <v xml:space="preserve">MATERIAL DE LIMPEZA E </v>
          </cell>
          <cell r="D266">
            <v>197040.73</v>
          </cell>
          <cell r="E266" t="str">
            <v>D</v>
          </cell>
          <cell r="G266">
            <v>81906.960000000006</v>
          </cell>
          <cell r="H266">
            <v>155292.41</v>
          </cell>
          <cell r="I266">
            <v>-73385.45</v>
          </cell>
          <cell r="J266">
            <v>123655.28</v>
          </cell>
          <cell r="K266" t="str">
            <v>D</v>
          </cell>
        </row>
        <row r="267">
          <cell r="A267">
            <v>547</v>
          </cell>
          <cell r="B267" t="str">
            <v>1.1.03.060.0012</v>
          </cell>
          <cell r="C267" t="str">
            <v>MATERIAL DE MANUTENCAO</v>
          </cell>
          <cell r="D267">
            <v>87904.67</v>
          </cell>
          <cell r="E267" t="str">
            <v>D</v>
          </cell>
          <cell r="G267">
            <v>79373.2</v>
          </cell>
          <cell r="H267">
            <v>87505.89</v>
          </cell>
          <cell r="I267">
            <v>-8132.69</v>
          </cell>
          <cell r="J267">
            <v>79771.98</v>
          </cell>
          <cell r="K267" t="str">
            <v>D</v>
          </cell>
        </row>
        <row r="268">
          <cell r="A268">
            <v>541</v>
          </cell>
          <cell r="B268" t="str">
            <v>1.1.03.060.0013</v>
          </cell>
          <cell r="C268" t="str">
            <v xml:space="preserve">MATERIAL DE NUTRICAO E </v>
          </cell>
          <cell r="D268">
            <v>95429.9</v>
          </cell>
          <cell r="E268" t="str">
            <v>D</v>
          </cell>
          <cell r="G268">
            <v>422023.83</v>
          </cell>
          <cell r="H268">
            <v>430080.87</v>
          </cell>
          <cell r="I268">
            <v>-8057.04</v>
          </cell>
          <cell r="J268">
            <v>87372.86</v>
          </cell>
          <cell r="K268" t="str">
            <v>D</v>
          </cell>
        </row>
        <row r="269">
          <cell r="A269">
            <v>32960</v>
          </cell>
          <cell r="B269" t="str">
            <v>1.1.03.060.0014</v>
          </cell>
          <cell r="C269" t="str">
            <v xml:space="preserve">MATERIAL DE UTILIDADES </v>
          </cell>
          <cell r="D269">
            <v>1256215.3600000001</v>
          </cell>
          <cell r="E269" t="str">
            <v>D</v>
          </cell>
          <cell r="G269">
            <v>2732847.58</v>
          </cell>
          <cell r="H269">
            <v>2743327.25</v>
          </cell>
          <cell r="I269">
            <v>-10479.67</v>
          </cell>
          <cell r="J269">
            <v>1245735.69</v>
          </cell>
          <cell r="K269" t="str">
            <v>D</v>
          </cell>
        </row>
        <row r="270">
          <cell r="A270">
            <v>552</v>
          </cell>
          <cell r="B270" t="str">
            <v>1.1.03.060.0015</v>
          </cell>
          <cell r="C270" t="str">
            <v xml:space="preserve">MATERIAL HOSPITALAR, </v>
          </cell>
          <cell r="D270">
            <v>132913.99</v>
          </cell>
          <cell r="E270" t="str">
            <v>D</v>
          </cell>
          <cell r="G270">
            <v>33261.67</v>
          </cell>
          <cell r="H270">
            <v>42560.18</v>
          </cell>
          <cell r="I270">
            <v>-9298.51</v>
          </cell>
          <cell r="J270">
            <v>123615.48</v>
          </cell>
          <cell r="K270" t="str">
            <v>D</v>
          </cell>
        </row>
        <row r="271">
          <cell r="A271">
            <v>540</v>
          </cell>
          <cell r="B271" t="str">
            <v>1.1.03.060.0016</v>
          </cell>
          <cell r="C271" t="str">
            <v xml:space="preserve">MEDICAMENTOS CONSUMO </v>
          </cell>
          <cell r="D271">
            <v>2176385.7200000002</v>
          </cell>
          <cell r="E271" t="str">
            <v>D</v>
          </cell>
          <cell r="G271">
            <v>4613817.47</v>
          </cell>
          <cell r="H271">
            <v>4783783.54</v>
          </cell>
          <cell r="I271">
            <v>-169966.07</v>
          </cell>
          <cell r="J271">
            <v>2006419.65</v>
          </cell>
          <cell r="K271" t="str">
            <v>D</v>
          </cell>
        </row>
        <row r="272">
          <cell r="A272">
            <v>549</v>
          </cell>
          <cell r="B272" t="str">
            <v>1.1.03.060.0017</v>
          </cell>
          <cell r="C272" t="str">
            <v xml:space="preserve">TECIDOS  AVIAMENTOS E </v>
          </cell>
          <cell r="D272">
            <v>134582.46</v>
          </cell>
          <cell r="E272" t="str">
            <v>D</v>
          </cell>
          <cell r="G272">
            <v>6472.8</v>
          </cell>
          <cell r="H272">
            <v>27607.55</v>
          </cell>
          <cell r="I272">
            <v>-21134.75</v>
          </cell>
          <cell r="J272">
            <v>113447.71</v>
          </cell>
          <cell r="K272" t="str">
            <v>D</v>
          </cell>
        </row>
        <row r="273">
          <cell r="A273">
            <v>548</v>
          </cell>
          <cell r="B273" t="str">
            <v>1.1.03.060.0018</v>
          </cell>
          <cell r="C273" t="str">
            <v>UNIFORMES</v>
          </cell>
          <cell r="D273">
            <v>133469.5</v>
          </cell>
          <cell r="E273" t="str">
            <v>D</v>
          </cell>
          <cell r="G273">
            <v>68841.149999999994</v>
          </cell>
          <cell r="H273">
            <v>55813.74</v>
          </cell>
          <cell r="I273">
            <v>13027.41</v>
          </cell>
          <cell r="J273">
            <v>146496.91</v>
          </cell>
          <cell r="K273" t="str">
            <v>D</v>
          </cell>
        </row>
        <row r="274">
          <cell r="A274">
            <v>51988</v>
          </cell>
          <cell r="B274" t="str">
            <v>1.1.03.060.0019</v>
          </cell>
          <cell r="C274" t="str">
            <v>ENGENHARIA CLINICA</v>
          </cell>
          <cell r="D274">
            <v>106011.93</v>
          </cell>
          <cell r="E274" t="str">
            <v>D</v>
          </cell>
          <cell r="G274">
            <v>21783.18</v>
          </cell>
          <cell r="H274">
            <v>29304.25</v>
          </cell>
          <cell r="I274">
            <v>-7521.07</v>
          </cell>
          <cell r="J274">
            <v>98490.86</v>
          </cell>
          <cell r="K274" t="str">
            <v>D</v>
          </cell>
        </row>
        <row r="275">
          <cell r="A275">
            <v>54553</v>
          </cell>
          <cell r="B275" t="str">
            <v>1.1.03.060.0021</v>
          </cell>
          <cell r="C275" t="str">
            <v>MATERIAIS ESPECIAIS</v>
          </cell>
          <cell r="D275">
            <v>195841.25</v>
          </cell>
          <cell r="E275" t="str">
            <v>D</v>
          </cell>
          <cell r="G275">
            <v>750223.11</v>
          </cell>
          <cell r="H275">
            <v>695969.01</v>
          </cell>
          <cell r="I275">
            <v>54254.1</v>
          </cell>
          <cell r="J275">
            <v>250095.35</v>
          </cell>
          <cell r="K275" t="str">
            <v>D</v>
          </cell>
        </row>
        <row r="276">
          <cell r="A276">
            <v>55027</v>
          </cell>
          <cell r="B276" t="str">
            <v>1.1.03.060.0023</v>
          </cell>
          <cell r="C276" t="str">
            <v xml:space="preserve">ESTOQUE MATERIAIS OBRA </v>
          </cell>
          <cell r="D276">
            <v>0</v>
          </cell>
          <cell r="E276" t="str">
            <v>D</v>
          </cell>
          <cell r="G276">
            <v>2607</v>
          </cell>
          <cell r="H276">
            <v>2607</v>
          </cell>
          <cell r="I276">
            <v>0</v>
          </cell>
          <cell r="J276">
            <v>0</v>
          </cell>
          <cell r="K276" t="str">
            <v>D</v>
          </cell>
        </row>
        <row r="277">
          <cell r="A277">
            <v>40380</v>
          </cell>
          <cell r="B277" t="str">
            <v>1.1.03.070</v>
          </cell>
          <cell r="C277" t="str">
            <v xml:space="preserve">MATERIAIS DE TERCEIROS </v>
          </cell>
          <cell r="D277">
            <v>304842.71000000002</v>
          </cell>
          <cell r="E277" t="str">
            <v>D</v>
          </cell>
          <cell r="G277">
            <v>3597814.14</v>
          </cell>
          <cell r="H277">
            <v>3586238.5</v>
          </cell>
          <cell r="I277">
            <v>11575.64</v>
          </cell>
          <cell r="J277">
            <v>316418.34999999998</v>
          </cell>
          <cell r="K277" t="str">
            <v>D</v>
          </cell>
        </row>
        <row r="278">
          <cell r="A278">
            <v>12248</v>
          </cell>
          <cell r="B278" t="str">
            <v>1.1.03.070.0001</v>
          </cell>
          <cell r="C278" t="str">
            <v xml:space="preserve">MATERIAIS DE TERCEIROS </v>
          </cell>
          <cell r="D278">
            <v>304842.71000000002</v>
          </cell>
          <cell r="E278" t="str">
            <v>D</v>
          </cell>
          <cell r="G278">
            <v>3597814.14</v>
          </cell>
          <cell r="H278">
            <v>3586238.5</v>
          </cell>
          <cell r="I278">
            <v>11575.64</v>
          </cell>
          <cell r="J278">
            <v>316418.34999999998</v>
          </cell>
          <cell r="K278" t="str">
            <v>D</v>
          </cell>
        </row>
        <row r="279">
          <cell r="A279">
            <v>54947</v>
          </cell>
          <cell r="B279" t="str">
            <v>1.1.03.080</v>
          </cell>
          <cell r="C279" t="str">
            <v>ESTOQUE OBRA BNDES</v>
          </cell>
          <cell r="D279">
            <v>1136196.98</v>
          </cell>
          <cell r="E279" t="str">
            <v>D</v>
          </cell>
          <cell r="G279">
            <v>1154435.73</v>
          </cell>
          <cell r="H279">
            <v>2290632.71</v>
          </cell>
          <cell r="I279">
            <v>-1136196.98</v>
          </cell>
          <cell r="J279">
            <v>0</v>
          </cell>
          <cell r="K279" t="str">
            <v>D</v>
          </cell>
        </row>
        <row r="280">
          <cell r="A280">
            <v>54948</v>
          </cell>
          <cell r="B280" t="str">
            <v>1.1.03.080.0001</v>
          </cell>
          <cell r="C280" t="str">
            <v>ESTOQUE OBRA BNDES</v>
          </cell>
          <cell r="D280">
            <v>1136196.98</v>
          </cell>
          <cell r="E280" t="str">
            <v>D</v>
          </cell>
          <cell r="G280">
            <v>1154435.73</v>
          </cell>
          <cell r="H280">
            <v>2290632.71</v>
          </cell>
          <cell r="I280">
            <v>-1136196.98</v>
          </cell>
          <cell r="J280">
            <v>0</v>
          </cell>
          <cell r="K280" t="str">
            <v>D</v>
          </cell>
        </row>
        <row r="281">
          <cell r="A281">
            <v>607</v>
          </cell>
          <cell r="B281" t="str">
            <v>1.1.04</v>
          </cell>
          <cell r="C281" t="str">
            <v>DESPESAS A APROPRIAR</v>
          </cell>
          <cell r="D281">
            <v>13021.15</v>
          </cell>
          <cell r="E281" t="str">
            <v>D</v>
          </cell>
          <cell r="G281">
            <v>6042.51</v>
          </cell>
          <cell r="H281">
            <v>3551.51</v>
          </cell>
          <cell r="I281">
            <v>2491</v>
          </cell>
          <cell r="J281">
            <v>15512.15</v>
          </cell>
          <cell r="K281" t="str">
            <v>D</v>
          </cell>
        </row>
        <row r="282">
          <cell r="A282">
            <v>608</v>
          </cell>
          <cell r="B282" t="str">
            <v>1.1.04.010</v>
          </cell>
          <cell r="C282" t="str">
            <v>DESPESAS A APROPRIAR</v>
          </cell>
          <cell r="D282">
            <v>13021.15</v>
          </cell>
          <cell r="E282" t="str">
            <v>D</v>
          </cell>
          <cell r="G282">
            <v>6042.51</v>
          </cell>
          <cell r="H282">
            <v>3551.51</v>
          </cell>
          <cell r="I282">
            <v>2491</v>
          </cell>
          <cell r="J282">
            <v>15512.15</v>
          </cell>
          <cell r="K282" t="str">
            <v>D</v>
          </cell>
        </row>
        <row r="283">
          <cell r="A283">
            <v>638</v>
          </cell>
          <cell r="B283" t="str">
            <v>1.1.04.010.0002</v>
          </cell>
          <cell r="C283" t="str">
            <v xml:space="preserve">PREMIOS DE SEGUROS </v>
          </cell>
          <cell r="D283">
            <v>13021.15</v>
          </cell>
          <cell r="E283" t="str">
            <v>D</v>
          </cell>
          <cell r="G283">
            <v>6042.51</v>
          </cell>
          <cell r="H283">
            <v>3551.51</v>
          </cell>
          <cell r="I283">
            <v>2491</v>
          </cell>
          <cell r="J283">
            <v>15512.15</v>
          </cell>
          <cell r="K283" t="str">
            <v>D</v>
          </cell>
        </row>
        <row r="284">
          <cell r="A284">
            <v>661</v>
          </cell>
          <cell r="B284" t="str">
            <v>1.2</v>
          </cell>
          <cell r="C284" t="str">
            <v>ATIVO NAO CIRCULANTE</v>
          </cell>
          <cell r="D284">
            <v>92773510.359999999</v>
          </cell>
          <cell r="E284" t="str">
            <v>D</v>
          </cell>
          <cell r="G284">
            <v>6301337.7999999998</v>
          </cell>
          <cell r="H284">
            <v>3588578.84</v>
          </cell>
          <cell r="I284">
            <v>2712758.96</v>
          </cell>
          <cell r="J284">
            <v>95486269.319999993</v>
          </cell>
          <cell r="K284" t="str">
            <v>D</v>
          </cell>
        </row>
        <row r="285">
          <cell r="A285">
            <v>662</v>
          </cell>
          <cell r="B285" t="str">
            <v>1.2.01</v>
          </cell>
          <cell r="C285" t="str">
            <v>REALIZAVEL A LONGO PRAZO</v>
          </cell>
          <cell r="D285">
            <v>1553753.18</v>
          </cell>
          <cell r="E285" t="str">
            <v>D</v>
          </cell>
          <cell r="G285">
            <v>5519.66</v>
          </cell>
          <cell r="H285">
            <v>2759.83</v>
          </cell>
          <cell r="I285">
            <v>2759.83</v>
          </cell>
          <cell r="J285">
            <v>1556513.01</v>
          </cell>
          <cell r="K285" t="str">
            <v>D</v>
          </cell>
        </row>
        <row r="286">
          <cell r="A286">
            <v>38383</v>
          </cell>
          <cell r="B286" t="str">
            <v>1.2.01.020</v>
          </cell>
          <cell r="C286" t="str">
            <v>COBRANCAS JUDICIAIS</v>
          </cell>
          <cell r="D286">
            <v>1349685</v>
          </cell>
          <cell r="E286" t="str">
            <v>D</v>
          </cell>
          <cell r="G286">
            <v>0</v>
          </cell>
          <cell r="H286">
            <v>0</v>
          </cell>
          <cell r="I286">
            <v>0</v>
          </cell>
          <cell r="J286">
            <v>1349685</v>
          </cell>
          <cell r="K286" t="str">
            <v>D</v>
          </cell>
        </row>
        <row r="287">
          <cell r="A287">
            <v>829</v>
          </cell>
          <cell r="B287" t="str">
            <v>1.2.01.020.0001</v>
          </cell>
          <cell r="C287" t="str">
            <v xml:space="preserve">COBRANÇAS JUDICIAIS </v>
          </cell>
          <cell r="D287">
            <v>1349685</v>
          </cell>
          <cell r="E287" t="str">
            <v>D</v>
          </cell>
          <cell r="G287">
            <v>0</v>
          </cell>
          <cell r="H287">
            <v>0</v>
          </cell>
          <cell r="I287">
            <v>0</v>
          </cell>
          <cell r="J287">
            <v>1349685</v>
          </cell>
          <cell r="K287" t="str">
            <v>D</v>
          </cell>
        </row>
        <row r="288">
          <cell r="A288">
            <v>54687</v>
          </cell>
          <cell r="B288" t="str">
            <v>1.2.01.040</v>
          </cell>
          <cell r="C288" t="str">
            <v xml:space="preserve">PROJETO HOSPITAL </v>
          </cell>
          <cell r="D288">
            <v>185880.99</v>
          </cell>
          <cell r="E288" t="str">
            <v>D</v>
          </cell>
          <cell r="G288">
            <v>0</v>
          </cell>
          <cell r="H288">
            <v>0</v>
          </cell>
          <cell r="I288">
            <v>0</v>
          </cell>
          <cell r="J288">
            <v>185880.99</v>
          </cell>
          <cell r="K288" t="str">
            <v>D</v>
          </cell>
        </row>
        <row r="289">
          <cell r="A289">
            <v>54688</v>
          </cell>
          <cell r="B289" t="str">
            <v>1.2.01.040.0001</v>
          </cell>
          <cell r="C289" t="str">
            <v xml:space="preserve">HOSPITAL TAUBATE </v>
          </cell>
          <cell r="D289">
            <v>185880.99</v>
          </cell>
          <cell r="E289" t="str">
            <v>D</v>
          </cell>
          <cell r="G289">
            <v>0</v>
          </cell>
          <cell r="H289">
            <v>0</v>
          </cell>
          <cell r="I289">
            <v>0</v>
          </cell>
          <cell r="J289">
            <v>185880.99</v>
          </cell>
          <cell r="K289" t="str">
            <v>D</v>
          </cell>
        </row>
        <row r="290">
          <cell r="A290">
            <v>55184</v>
          </cell>
          <cell r="B290" t="str">
            <v>1.2.01.050</v>
          </cell>
          <cell r="C290" t="str">
            <v>CONSORCIOS</v>
          </cell>
          <cell r="D290">
            <v>18187.189999999999</v>
          </cell>
          <cell r="E290" t="str">
            <v>D</v>
          </cell>
          <cell r="G290">
            <v>5519.66</v>
          </cell>
          <cell r="H290">
            <v>2759.83</v>
          </cell>
          <cell r="I290">
            <v>2759.83</v>
          </cell>
          <cell r="J290">
            <v>20947.02</v>
          </cell>
          <cell r="K290" t="str">
            <v>D</v>
          </cell>
        </row>
        <row r="291">
          <cell r="A291">
            <v>55185</v>
          </cell>
          <cell r="B291" t="str">
            <v>1.2.01.050.0001</v>
          </cell>
          <cell r="C291" t="str">
            <v>CONSORCIOS</v>
          </cell>
          <cell r="D291">
            <v>18187.189999999999</v>
          </cell>
          <cell r="E291" t="str">
            <v>D</v>
          </cell>
          <cell r="G291">
            <v>5519.66</v>
          </cell>
          <cell r="H291">
            <v>2759.83</v>
          </cell>
          <cell r="I291">
            <v>2759.83</v>
          </cell>
          <cell r="J291">
            <v>20947.02</v>
          </cell>
          <cell r="K291" t="str">
            <v>D</v>
          </cell>
        </row>
        <row r="292">
          <cell r="A292">
            <v>845</v>
          </cell>
          <cell r="B292" t="str">
            <v>1.2.02</v>
          </cell>
          <cell r="C292" t="str">
            <v xml:space="preserve">DEPOSITOS JUDICIAIS </v>
          </cell>
          <cell r="D292">
            <v>2282356.7599999998</v>
          </cell>
          <cell r="E292" t="str">
            <v>D</v>
          </cell>
          <cell r="G292">
            <v>8672.39</v>
          </cell>
          <cell r="H292">
            <v>0</v>
          </cell>
          <cell r="I292">
            <v>8672.39</v>
          </cell>
          <cell r="J292">
            <v>2291029.15</v>
          </cell>
          <cell r="K292" t="str">
            <v>D</v>
          </cell>
        </row>
        <row r="293">
          <cell r="A293">
            <v>40391</v>
          </cell>
          <cell r="B293" t="str">
            <v>1.2.02.010</v>
          </cell>
          <cell r="C293" t="str">
            <v xml:space="preserve">DEPOSITOS JUDICIAIS </v>
          </cell>
          <cell r="D293">
            <v>2175856.7599999998</v>
          </cell>
          <cell r="E293" t="str">
            <v>D</v>
          </cell>
          <cell r="G293">
            <v>8672.39</v>
          </cell>
          <cell r="H293">
            <v>0</v>
          </cell>
          <cell r="I293">
            <v>8672.39</v>
          </cell>
          <cell r="J293">
            <v>2184529.15</v>
          </cell>
          <cell r="K293" t="str">
            <v>D</v>
          </cell>
        </row>
        <row r="294">
          <cell r="A294">
            <v>860</v>
          </cell>
          <cell r="B294" t="str">
            <v>1.2.02.010.0002</v>
          </cell>
          <cell r="C294" t="str">
            <v xml:space="preserve">DEPOSITOS JUDICIAIS E </v>
          </cell>
          <cell r="D294">
            <v>9000.42</v>
          </cell>
          <cell r="E294" t="str">
            <v>D</v>
          </cell>
          <cell r="G294">
            <v>36</v>
          </cell>
          <cell r="H294">
            <v>0</v>
          </cell>
          <cell r="I294">
            <v>36</v>
          </cell>
          <cell r="J294">
            <v>9036.42</v>
          </cell>
          <cell r="K294" t="str">
            <v>D</v>
          </cell>
        </row>
        <row r="295">
          <cell r="A295">
            <v>51311</v>
          </cell>
          <cell r="B295" t="str">
            <v>1.2.02.010.0004</v>
          </cell>
          <cell r="C295" t="str">
            <v>DEPOSITOS JUDICIAIS - CIVEIS</v>
          </cell>
          <cell r="D295">
            <v>440.84</v>
          </cell>
          <cell r="E295" t="str">
            <v>D</v>
          </cell>
          <cell r="G295">
            <v>0</v>
          </cell>
          <cell r="H295">
            <v>0</v>
          </cell>
          <cell r="I295">
            <v>0</v>
          </cell>
          <cell r="J295">
            <v>440.84</v>
          </cell>
          <cell r="K295" t="str">
            <v>D</v>
          </cell>
        </row>
        <row r="296">
          <cell r="A296">
            <v>872</v>
          </cell>
          <cell r="B296" t="str">
            <v>1.2.02.010.0005</v>
          </cell>
          <cell r="C296" t="str">
            <v xml:space="preserve">DEPOSITOS JUDICIAIS - </v>
          </cell>
          <cell r="D296">
            <v>2166415.5</v>
          </cell>
          <cell r="E296" t="str">
            <v>D</v>
          </cell>
          <cell r="G296">
            <v>8636.39</v>
          </cell>
          <cell r="H296">
            <v>0</v>
          </cell>
          <cell r="I296">
            <v>8636.39</v>
          </cell>
          <cell r="J296">
            <v>2175051.89</v>
          </cell>
          <cell r="K296" t="str">
            <v>D</v>
          </cell>
        </row>
        <row r="297">
          <cell r="A297">
            <v>899</v>
          </cell>
          <cell r="B297" t="str">
            <v>1.2.02.020</v>
          </cell>
          <cell r="C297" t="str">
            <v xml:space="preserve">OUTROS CREDITOS A </v>
          </cell>
          <cell r="D297">
            <v>106500</v>
          </cell>
          <cell r="E297" t="str">
            <v>D</v>
          </cell>
          <cell r="G297">
            <v>0</v>
          </cell>
          <cell r="H297">
            <v>0</v>
          </cell>
          <cell r="I297">
            <v>0</v>
          </cell>
          <cell r="J297">
            <v>106500</v>
          </cell>
          <cell r="K297" t="str">
            <v>D</v>
          </cell>
        </row>
        <row r="298">
          <cell r="A298">
            <v>52534</v>
          </cell>
          <cell r="B298" t="str">
            <v>1.2.02.020.0003</v>
          </cell>
          <cell r="C298" t="str">
            <v xml:space="preserve">DEPOSITO CAUCAO - </v>
          </cell>
          <cell r="D298">
            <v>106500</v>
          </cell>
          <cell r="E298" t="str">
            <v>D</v>
          </cell>
          <cell r="G298">
            <v>0</v>
          </cell>
          <cell r="H298">
            <v>0</v>
          </cell>
          <cell r="I298">
            <v>0</v>
          </cell>
          <cell r="J298">
            <v>106500</v>
          </cell>
          <cell r="K298" t="str">
            <v>D</v>
          </cell>
        </row>
        <row r="299">
          <cell r="A299">
            <v>907</v>
          </cell>
          <cell r="B299" t="str">
            <v>1.2.03</v>
          </cell>
          <cell r="C299" t="str">
            <v>IMOBILIZADO</v>
          </cell>
          <cell r="D299">
            <v>87053961.060000002</v>
          </cell>
          <cell r="E299" t="str">
            <v>D</v>
          </cell>
          <cell r="G299">
            <v>6287145.75</v>
          </cell>
          <cell r="H299">
            <v>3585785.72</v>
          </cell>
          <cell r="I299">
            <v>2701360.03</v>
          </cell>
          <cell r="J299">
            <v>89755321.090000004</v>
          </cell>
          <cell r="K299" t="str">
            <v>D</v>
          </cell>
        </row>
        <row r="300">
          <cell r="A300">
            <v>924</v>
          </cell>
          <cell r="B300" t="str">
            <v>1.2.03.010</v>
          </cell>
          <cell r="C300" t="str">
            <v>IMOBILIZADO HOSPITALAR</v>
          </cell>
          <cell r="D300">
            <v>73609153.209999993</v>
          </cell>
          <cell r="E300" t="str">
            <v>D</v>
          </cell>
          <cell r="G300">
            <v>1694248.29</v>
          </cell>
          <cell r="H300">
            <v>2192011.52</v>
          </cell>
          <cell r="I300">
            <v>-497763.23</v>
          </cell>
          <cell r="J300">
            <v>73111389.980000004</v>
          </cell>
          <cell r="K300" t="str">
            <v>D</v>
          </cell>
        </row>
        <row r="301">
          <cell r="A301">
            <v>933</v>
          </cell>
          <cell r="B301" t="str">
            <v>1.2.03.010.0001</v>
          </cell>
          <cell r="C301" t="str">
            <v>TERRENOS SEDE</v>
          </cell>
          <cell r="D301">
            <v>20133097</v>
          </cell>
          <cell r="E301" t="str">
            <v>D</v>
          </cell>
          <cell r="G301">
            <v>0</v>
          </cell>
          <cell r="H301">
            <v>0</v>
          </cell>
          <cell r="I301">
            <v>0</v>
          </cell>
          <cell r="J301">
            <v>20133097</v>
          </cell>
          <cell r="K301" t="str">
            <v>D</v>
          </cell>
        </row>
        <row r="302">
          <cell r="A302">
            <v>938</v>
          </cell>
          <cell r="B302" t="str">
            <v>1.2.03.010.0002</v>
          </cell>
          <cell r="C302" t="str">
            <v>EDIFICACOES</v>
          </cell>
          <cell r="D302">
            <v>26544769.690000001</v>
          </cell>
          <cell r="E302" t="str">
            <v>D</v>
          </cell>
          <cell r="G302">
            <v>0</v>
          </cell>
          <cell r="H302">
            <v>0</v>
          </cell>
          <cell r="I302">
            <v>0</v>
          </cell>
          <cell r="J302">
            <v>26544769.690000001</v>
          </cell>
          <cell r="K302" t="str">
            <v>D</v>
          </cell>
        </row>
        <row r="303">
          <cell r="A303">
            <v>1030</v>
          </cell>
          <cell r="B303" t="str">
            <v>1.2.03.010.0003</v>
          </cell>
          <cell r="C303" t="str">
            <v>INSTALACOES</v>
          </cell>
          <cell r="D303">
            <v>1578764.14</v>
          </cell>
          <cell r="E303" t="str">
            <v>D</v>
          </cell>
          <cell r="G303">
            <v>0</v>
          </cell>
          <cell r="H303">
            <v>0</v>
          </cell>
          <cell r="I303">
            <v>0</v>
          </cell>
          <cell r="J303">
            <v>1578764.14</v>
          </cell>
          <cell r="K303" t="str">
            <v>D</v>
          </cell>
        </row>
        <row r="304">
          <cell r="A304">
            <v>1085</v>
          </cell>
          <cell r="B304" t="str">
            <v>1.2.03.010.0004</v>
          </cell>
          <cell r="C304" t="str">
            <v>MAQUINAS E EQUIPAMENTOS</v>
          </cell>
          <cell r="D304">
            <v>19305861.350000001</v>
          </cell>
          <cell r="E304" t="str">
            <v>D</v>
          </cell>
          <cell r="G304">
            <v>402706.75</v>
          </cell>
          <cell r="H304">
            <v>430521.92</v>
          </cell>
          <cell r="I304">
            <v>-27815.17</v>
          </cell>
          <cell r="J304">
            <v>19278046.18</v>
          </cell>
          <cell r="K304" t="str">
            <v>D</v>
          </cell>
        </row>
        <row r="305">
          <cell r="A305">
            <v>32515</v>
          </cell>
          <cell r="B305" t="str">
            <v>1.2.03.010.0005</v>
          </cell>
          <cell r="C305" t="str">
            <v xml:space="preserve">MAQ E EQUIP - INSTRUM. </v>
          </cell>
          <cell r="D305">
            <v>1580965.27</v>
          </cell>
          <cell r="E305" t="str">
            <v>D</v>
          </cell>
          <cell r="G305">
            <v>1260025.1000000001</v>
          </cell>
          <cell r="H305">
            <v>1761489.6</v>
          </cell>
          <cell r="I305">
            <v>-501464.5</v>
          </cell>
          <cell r="J305">
            <v>1079500.77</v>
          </cell>
          <cell r="K305" t="str">
            <v>D</v>
          </cell>
        </row>
        <row r="306">
          <cell r="A306">
            <v>1172</v>
          </cell>
          <cell r="B306" t="str">
            <v>1.2.03.010.0007</v>
          </cell>
          <cell r="C306" t="str">
            <v xml:space="preserve">EQUIPAMENTOS DE PROC DE </v>
          </cell>
          <cell r="D306">
            <v>659503.56999999995</v>
          </cell>
          <cell r="E306" t="str">
            <v>D</v>
          </cell>
          <cell r="G306">
            <v>14016.44</v>
          </cell>
          <cell r="H306">
            <v>0</v>
          </cell>
          <cell r="I306">
            <v>14016.44</v>
          </cell>
          <cell r="J306">
            <v>673520.01</v>
          </cell>
          <cell r="K306" t="str">
            <v>D</v>
          </cell>
        </row>
        <row r="307">
          <cell r="A307">
            <v>1248</v>
          </cell>
          <cell r="B307" t="str">
            <v>1.2.03.010.0008</v>
          </cell>
          <cell r="C307" t="str">
            <v>MOVEIS E UTENSILIOS</v>
          </cell>
          <cell r="D307">
            <v>3608723.47</v>
          </cell>
          <cell r="E307" t="str">
            <v>D</v>
          </cell>
          <cell r="G307">
            <v>17500</v>
          </cell>
          <cell r="H307">
            <v>0</v>
          </cell>
          <cell r="I307">
            <v>17500</v>
          </cell>
          <cell r="J307">
            <v>3626223.47</v>
          </cell>
          <cell r="K307" t="str">
            <v>D</v>
          </cell>
        </row>
        <row r="308">
          <cell r="A308">
            <v>1303</v>
          </cell>
          <cell r="B308" t="str">
            <v>1.2.03.010.0009</v>
          </cell>
          <cell r="C308" t="str">
            <v>VEICULOS</v>
          </cell>
          <cell r="D308">
            <v>173874.58</v>
          </cell>
          <cell r="E308" t="str">
            <v>D</v>
          </cell>
          <cell r="G308">
            <v>0</v>
          </cell>
          <cell r="H308">
            <v>0</v>
          </cell>
          <cell r="I308">
            <v>0</v>
          </cell>
          <cell r="J308">
            <v>173874.58</v>
          </cell>
          <cell r="K308" t="str">
            <v>D</v>
          </cell>
        </row>
        <row r="309">
          <cell r="A309">
            <v>1086</v>
          </cell>
          <cell r="B309" t="str">
            <v>1.2.03.010.0011</v>
          </cell>
          <cell r="C309" t="str">
            <v>EQUIPTOS (VIDEO)</v>
          </cell>
          <cell r="D309">
            <v>23594.14</v>
          </cell>
          <cell r="E309" t="str">
            <v>D</v>
          </cell>
          <cell r="G309">
            <v>0</v>
          </cell>
          <cell r="H309">
            <v>0</v>
          </cell>
          <cell r="I309">
            <v>0</v>
          </cell>
          <cell r="J309">
            <v>23594.14</v>
          </cell>
          <cell r="K309" t="str">
            <v>D</v>
          </cell>
        </row>
        <row r="310">
          <cell r="A310">
            <v>964</v>
          </cell>
          <cell r="B310" t="str">
            <v>1.2.03.020</v>
          </cell>
          <cell r="C310" t="str">
            <v xml:space="preserve">( - ) DEPRECIACAO </v>
          </cell>
          <cell r="D310">
            <v>-27525871.260000002</v>
          </cell>
          <cell r="E310" t="str">
            <v>C</v>
          </cell>
          <cell r="G310">
            <v>823958.66</v>
          </cell>
          <cell r="H310">
            <v>396389.26</v>
          </cell>
          <cell r="I310">
            <v>427569.4</v>
          </cell>
          <cell r="J310">
            <v>-27098301.859999999</v>
          </cell>
          <cell r="K310" t="str">
            <v>C</v>
          </cell>
        </row>
        <row r="311">
          <cell r="A311">
            <v>969</v>
          </cell>
          <cell r="B311" t="str">
            <v>1.2.03.020.0001</v>
          </cell>
          <cell r="C311" t="str">
            <v>(-) DEP ACUM EDIFICACOES</v>
          </cell>
          <cell r="D311">
            <v>-11084254.32</v>
          </cell>
          <cell r="E311" t="str">
            <v>C</v>
          </cell>
          <cell r="G311">
            <v>0</v>
          </cell>
          <cell r="H311">
            <v>32710.93</v>
          </cell>
          <cell r="I311">
            <v>-32710.93</v>
          </cell>
          <cell r="J311">
            <v>-11116965.25</v>
          </cell>
          <cell r="K311" t="str">
            <v>C</v>
          </cell>
        </row>
        <row r="312">
          <cell r="A312">
            <v>1043</v>
          </cell>
          <cell r="B312" t="str">
            <v>1.2.03.020.0002</v>
          </cell>
          <cell r="C312" t="str">
            <v>(-) DEP ACUM INSTALACOES</v>
          </cell>
          <cell r="D312">
            <v>-83445.919999999998</v>
          </cell>
          <cell r="E312" t="str">
            <v>C</v>
          </cell>
          <cell r="G312">
            <v>0</v>
          </cell>
          <cell r="H312">
            <v>1397.84</v>
          </cell>
          <cell r="I312">
            <v>-1397.84</v>
          </cell>
          <cell r="J312">
            <v>-84843.76</v>
          </cell>
          <cell r="K312" t="str">
            <v>C</v>
          </cell>
        </row>
        <row r="313">
          <cell r="A313">
            <v>1115</v>
          </cell>
          <cell r="B313" t="str">
            <v>1.2.03.020.0003</v>
          </cell>
          <cell r="C313" t="str">
            <v xml:space="preserve">(-) DEP ACUM MAQUINAS E </v>
          </cell>
          <cell r="D313">
            <v>-10274633.960000001</v>
          </cell>
          <cell r="E313" t="str">
            <v>C</v>
          </cell>
          <cell r="G313">
            <v>619747.07999999996</v>
          </cell>
          <cell r="H313">
            <v>84738.82</v>
          </cell>
          <cell r="I313">
            <v>535008.26</v>
          </cell>
          <cell r="J313">
            <v>-9739625.6999999993</v>
          </cell>
          <cell r="K313" t="str">
            <v>C</v>
          </cell>
        </row>
        <row r="314">
          <cell r="A314">
            <v>51259</v>
          </cell>
          <cell r="B314" t="str">
            <v>1.2.03.020.0004</v>
          </cell>
          <cell r="C314" t="str">
            <v xml:space="preserve">(-) DEP ACUM EQPTOS COM </v>
          </cell>
          <cell r="D314">
            <v>-2786198.31</v>
          </cell>
          <cell r="E314" t="str">
            <v>C</v>
          </cell>
          <cell r="G314">
            <v>0</v>
          </cell>
          <cell r="H314">
            <v>41016.449999999997</v>
          </cell>
          <cell r="I314">
            <v>-41016.449999999997</v>
          </cell>
          <cell r="J314">
            <v>-2827214.76</v>
          </cell>
          <cell r="K314" t="str">
            <v>C</v>
          </cell>
        </row>
        <row r="315">
          <cell r="A315">
            <v>1192</v>
          </cell>
          <cell r="B315" t="str">
            <v>1.2.03.020.0005</v>
          </cell>
          <cell r="C315" t="str">
            <v xml:space="preserve">(-) DEP ACUM EQPTOS PROC </v>
          </cell>
          <cell r="D315">
            <v>-290454.76</v>
          </cell>
          <cell r="E315" t="str">
            <v>C</v>
          </cell>
          <cell r="G315">
            <v>0</v>
          </cell>
          <cell r="H315">
            <v>5312.02</v>
          </cell>
          <cell r="I315">
            <v>-5312.02</v>
          </cell>
          <cell r="J315">
            <v>-295766.78000000003</v>
          </cell>
          <cell r="K315" t="str">
            <v>C</v>
          </cell>
        </row>
        <row r="316">
          <cell r="A316">
            <v>1261</v>
          </cell>
          <cell r="B316" t="str">
            <v>1.2.03.020.0006</v>
          </cell>
          <cell r="C316" t="str">
            <v xml:space="preserve">(-) DEP ACUM MOVEIS E </v>
          </cell>
          <cell r="D316">
            <v>-2101767.6800000002</v>
          </cell>
          <cell r="E316" t="str">
            <v>C</v>
          </cell>
          <cell r="G316">
            <v>0</v>
          </cell>
          <cell r="H316">
            <v>13357.84</v>
          </cell>
          <cell r="I316">
            <v>-13357.84</v>
          </cell>
          <cell r="J316">
            <v>-2115125.52</v>
          </cell>
          <cell r="K316" t="str">
            <v>C</v>
          </cell>
        </row>
        <row r="317">
          <cell r="A317">
            <v>1316</v>
          </cell>
          <cell r="B317" t="str">
            <v>1.2.03.020.0007</v>
          </cell>
          <cell r="C317" t="str">
            <v>(-) DEP ACUM VEICULOS</v>
          </cell>
          <cell r="D317">
            <v>-83682.59</v>
          </cell>
          <cell r="E317" t="str">
            <v>C</v>
          </cell>
          <cell r="G317">
            <v>0</v>
          </cell>
          <cell r="H317">
            <v>0</v>
          </cell>
          <cell r="I317">
            <v>0</v>
          </cell>
          <cell r="J317">
            <v>-83682.59</v>
          </cell>
          <cell r="K317" t="str">
            <v>C</v>
          </cell>
        </row>
        <row r="318">
          <cell r="A318">
            <v>36995</v>
          </cell>
          <cell r="B318" t="str">
            <v>1.2.03.020.0009</v>
          </cell>
          <cell r="C318" t="str">
            <v xml:space="preserve">(-) DEP ACUM MAQUINAS E </v>
          </cell>
          <cell r="D318">
            <v>-821433.72</v>
          </cell>
          <cell r="E318" t="str">
            <v>C</v>
          </cell>
          <cell r="G318">
            <v>204211.58</v>
          </cell>
          <cell r="H318">
            <v>217855.35999999999</v>
          </cell>
          <cell r="I318">
            <v>-13643.78</v>
          </cell>
          <cell r="J318">
            <v>-835077.5</v>
          </cell>
          <cell r="K318" t="str">
            <v>C</v>
          </cell>
        </row>
        <row r="319">
          <cell r="A319">
            <v>34339</v>
          </cell>
          <cell r="B319" t="str">
            <v>1.2.03.030</v>
          </cell>
          <cell r="C319" t="str">
            <v xml:space="preserve">IMOBILIZADO NAO </v>
          </cell>
          <cell r="D319">
            <v>12140899.77</v>
          </cell>
          <cell r="E319" t="str">
            <v>D</v>
          </cell>
          <cell r="G319">
            <v>71514.899999999994</v>
          </cell>
          <cell r="H319">
            <v>1198.27</v>
          </cell>
          <cell r="I319">
            <v>70316.63</v>
          </cell>
          <cell r="J319">
            <v>12211216.4</v>
          </cell>
          <cell r="K319" t="str">
            <v>D</v>
          </cell>
        </row>
        <row r="320">
          <cell r="A320">
            <v>984</v>
          </cell>
          <cell r="B320" t="str">
            <v>1.2.03.030.0001</v>
          </cell>
          <cell r="C320" t="str">
            <v xml:space="preserve">TERRENO ESTACIONAMENTO </v>
          </cell>
          <cell r="D320">
            <v>1949862.9</v>
          </cell>
          <cell r="E320" t="str">
            <v>D</v>
          </cell>
          <cell r="G320">
            <v>0</v>
          </cell>
          <cell r="H320">
            <v>0</v>
          </cell>
          <cell r="I320">
            <v>0</v>
          </cell>
          <cell r="J320">
            <v>1949862.9</v>
          </cell>
          <cell r="K320" t="str">
            <v>D</v>
          </cell>
        </row>
        <row r="321">
          <cell r="A321">
            <v>986</v>
          </cell>
          <cell r="B321" t="str">
            <v>1.2.03.030.0002</v>
          </cell>
          <cell r="C321" t="str">
            <v xml:space="preserve">TERRENO CLAUDIO PINTO 175 </v>
          </cell>
          <cell r="D321">
            <v>254870.1</v>
          </cell>
          <cell r="E321" t="str">
            <v>D</v>
          </cell>
          <cell r="G321">
            <v>0</v>
          </cell>
          <cell r="H321">
            <v>0</v>
          </cell>
          <cell r="I321">
            <v>0</v>
          </cell>
          <cell r="J321">
            <v>254870.1</v>
          </cell>
          <cell r="K321" t="str">
            <v>D</v>
          </cell>
        </row>
        <row r="322">
          <cell r="A322">
            <v>1057</v>
          </cell>
          <cell r="B322" t="str">
            <v>1.2.03.030.0004</v>
          </cell>
          <cell r="C322" t="str">
            <v>INSTALACOES NH</v>
          </cell>
          <cell r="D322">
            <v>781646.79</v>
          </cell>
          <cell r="E322" t="str">
            <v>D</v>
          </cell>
          <cell r="G322">
            <v>0</v>
          </cell>
          <cell r="H322">
            <v>0</v>
          </cell>
          <cell r="I322">
            <v>0</v>
          </cell>
          <cell r="J322">
            <v>781646.79</v>
          </cell>
          <cell r="K322" t="str">
            <v>D</v>
          </cell>
        </row>
        <row r="323">
          <cell r="A323">
            <v>1136</v>
          </cell>
          <cell r="B323" t="str">
            <v>1.2.03.030.0005</v>
          </cell>
          <cell r="C323" t="str">
            <v xml:space="preserve">MAQUINAS E EQUIPAMENTOS </v>
          </cell>
          <cell r="D323">
            <v>1299116.8</v>
          </cell>
          <cell r="E323" t="str">
            <v>D</v>
          </cell>
          <cell r="G323">
            <v>1399</v>
          </cell>
          <cell r="H323">
            <v>0</v>
          </cell>
          <cell r="I323">
            <v>1399</v>
          </cell>
          <cell r="J323">
            <v>1300515.8</v>
          </cell>
          <cell r="K323" t="str">
            <v>D</v>
          </cell>
        </row>
        <row r="324">
          <cell r="A324">
            <v>1214</v>
          </cell>
          <cell r="B324" t="str">
            <v>1.2.03.030.0006</v>
          </cell>
          <cell r="C324" t="str">
            <v xml:space="preserve">EQUIPAMENTOS PROC DADOS </v>
          </cell>
          <cell r="D324">
            <v>1862759.11</v>
          </cell>
          <cell r="E324" t="str">
            <v>D</v>
          </cell>
          <cell r="G324">
            <v>62011.9</v>
          </cell>
          <cell r="H324">
            <v>0</v>
          </cell>
          <cell r="I324">
            <v>62011.9</v>
          </cell>
          <cell r="J324">
            <v>1924771.01</v>
          </cell>
          <cell r="K324" t="str">
            <v>D</v>
          </cell>
        </row>
        <row r="325">
          <cell r="A325">
            <v>1275</v>
          </cell>
          <cell r="B325" t="str">
            <v>1.2.03.030.0007</v>
          </cell>
          <cell r="C325" t="str">
            <v>MOVEIS E UTENSILIOS NH</v>
          </cell>
          <cell r="D325">
            <v>2058613.42</v>
          </cell>
          <cell r="E325" t="str">
            <v>D</v>
          </cell>
          <cell r="G325">
            <v>4170</v>
          </cell>
          <cell r="H325">
            <v>301.08</v>
          </cell>
          <cell r="I325">
            <v>3868.92</v>
          </cell>
          <cell r="J325">
            <v>2062482.34</v>
          </cell>
          <cell r="K325" t="str">
            <v>D</v>
          </cell>
        </row>
        <row r="326">
          <cell r="A326">
            <v>1329</v>
          </cell>
          <cell r="B326" t="str">
            <v>1.2.03.030.0008</v>
          </cell>
          <cell r="C326" t="str">
            <v>VEICULOS NH</v>
          </cell>
          <cell r="D326">
            <v>167834.9</v>
          </cell>
          <cell r="E326" t="str">
            <v>D</v>
          </cell>
          <cell r="G326">
            <v>0</v>
          </cell>
          <cell r="H326">
            <v>0</v>
          </cell>
          <cell r="I326">
            <v>0</v>
          </cell>
          <cell r="J326">
            <v>167834.9</v>
          </cell>
          <cell r="K326" t="str">
            <v>D</v>
          </cell>
        </row>
        <row r="327">
          <cell r="A327">
            <v>25071</v>
          </cell>
          <cell r="B327" t="str">
            <v>1.2.03.030.0009</v>
          </cell>
          <cell r="C327" t="str">
            <v xml:space="preserve">EQUIPAMENTO ACESS </v>
          </cell>
          <cell r="D327">
            <v>81390.52</v>
          </cell>
          <cell r="E327" t="str">
            <v>D</v>
          </cell>
          <cell r="G327">
            <v>0</v>
          </cell>
          <cell r="H327">
            <v>0</v>
          </cell>
          <cell r="I327">
            <v>0</v>
          </cell>
          <cell r="J327">
            <v>81390.52</v>
          </cell>
          <cell r="K327" t="str">
            <v>D</v>
          </cell>
        </row>
        <row r="328">
          <cell r="A328">
            <v>25073</v>
          </cell>
          <cell r="B328" t="str">
            <v>1.2.03.030.0010</v>
          </cell>
          <cell r="C328" t="str">
            <v xml:space="preserve">EQUIPAMENTOS ACESS SOM </v>
          </cell>
          <cell r="D328">
            <v>3783.41</v>
          </cell>
          <cell r="E328" t="str">
            <v>D</v>
          </cell>
          <cell r="G328">
            <v>0</v>
          </cell>
          <cell r="H328">
            <v>0</v>
          </cell>
          <cell r="I328">
            <v>0</v>
          </cell>
          <cell r="J328">
            <v>3783.41</v>
          </cell>
          <cell r="K328" t="str">
            <v>D</v>
          </cell>
        </row>
        <row r="329">
          <cell r="A329">
            <v>53019</v>
          </cell>
          <cell r="B329" t="str">
            <v>1.2.03.030.0012</v>
          </cell>
          <cell r="C329" t="str">
            <v xml:space="preserve">TERRENO RUA CLAUDINO </v>
          </cell>
          <cell r="D329">
            <v>1260000</v>
          </cell>
          <cell r="E329" t="str">
            <v>D</v>
          </cell>
          <cell r="G329">
            <v>0</v>
          </cell>
          <cell r="H329">
            <v>0</v>
          </cell>
          <cell r="I329">
            <v>0</v>
          </cell>
          <cell r="J329">
            <v>1260000</v>
          </cell>
          <cell r="K329" t="str">
            <v>D</v>
          </cell>
        </row>
        <row r="330">
          <cell r="A330">
            <v>1095</v>
          </cell>
          <cell r="B330" t="str">
            <v>1.2.03.030.0013</v>
          </cell>
          <cell r="C330" t="str">
            <v xml:space="preserve">REAVALIACAO MAQUINAS E </v>
          </cell>
          <cell r="D330">
            <v>1597894.15</v>
          </cell>
          <cell r="E330" t="str">
            <v>D</v>
          </cell>
          <cell r="G330">
            <v>0</v>
          </cell>
          <cell r="H330">
            <v>0</v>
          </cell>
          <cell r="I330">
            <v>0</v>
          </cell>
          <cell r="J330">
            <v>1597894.15</v>
          </cell>
          <cell r="K330" t="str">
            <v>D</v>
          </cell>
        </row>
        <row r="331">
          <cell r="A331">
            <v>36947</v>
          </cell>
          <cell r="B331" t="str">
            <v>1.2.03.030.0014</v>
          </cell>
          <cell r="C331" t="str">
            <v xml:space="preserve">CUSTO DE AQUISICAO </v>
          </cell>
          <cell r="D331">
            <v>1969.05</v>
          </cell>
          <cell r="E331" t="str">
            <v>D</v>
          </cell>
          <cell r="G331">
            <v>0</v>
          </cell>
          <cell r="H331">
            <v>0</v>
          </cell>
          <cell r="I331">
            <v>0</v>
          </cell>
          <cell r="J331">
            <v>1969.05</v>
          </cell>
          <cell r="K331" t="str">
            <v>D</v>
          </cell>
        </row>
        <row r="332">
          <cell r="A332">
            <v>38157</v>
          </cell>
          <cell r="B332" t="str">
            <v>1.2.03.030.0015</v>
          </cell>
          <cell r="C332" t="str">
            <v xml:space="preserve">REAVALIACAO VEICULOS NAO </v>
          </cell>
          <cell r="D332">
            <v>13707.04</v>
          </cell>
          <cell r="E332" t="str">
            <v>D</v>
          </cell>
          <cell r="G332">
            <v>0</v>
          </cell>
          <cell r="H332">
            <v>0</v>
          </cell>
          <cell r="I332">
            <v>0</v>
          </cell>
          <cell r="J332">
            <v>13707.04</v>
          </cell>
          <cell r="K332" t="str">
            <v>D</v>
          </cell>
        </row>
        <row r="333">
          <cell r="A333">
            <v>40438</v>
          </cell>
          <cell r="B333" t="str">
            <v>1.2.03.030.0016</v>
          </cell>
          <cell r="C333" t="str">
            <v xml:space="preserve">CUSTO DE AQUISICAO - </v>
          </cell>
          <cell r="D333">
            <v>805771.58</v>
          </cell>
          <cell r="E333" t="str">
            <v>D</v>
          </cell>
          <cell r="G333">
            <v>3934</v>
          </cell>
          <cell r="H333">
            <v>897.19</v>
          </cell>
          <cell r="I333">
            <v>3036.81</v>
          </cell>
          <cell r="J333">
            <v>808808.39</v>
          </cell>
          <cell r="K333" t="str">
            <v>D</v>
          </cell>
        </row>
        <row r="334">
          <cell r="A334">
            <v>25069</v>
          </cell>
          <cell r="B334" t="str">
            <v>1.2.03.030.0017</v>
          </cell>
          <cell r="C334" t="str">
            <v xml:space="preserve">DIREITO DE USO DE LINHAS </v>
          </cell>
          <cell r="D334">
            <v>1680</v>
          </cell>
          <cell r="E334" t="str">
            <v>D</v>
          </cell>
          <cell r="G334">
            <v>0</v>
          </cell>
          <cell r="H334">
            <v>0</v>
          </cell>
          <cell r="I334">
            <v>0</v>
          </cell>
          <cell r="J334">
            <v>1680</v>
          </cell>
          <cell r="K334" t="str">
            <v>D</v>
          </cell>
        </row>
        <row r="335">
          <cell r="A335">
            <v>1061</v>
          </cell>
          <cell r="B335" t="str">
            <v>1.2.03.040</v>
          </cell>
          <cell r="C335" t="str">
            <v xml:space="preserve">( - ) DEPRECIACAO </v>
          </cell>
          <cell r="D335">
            <v>-3565268.95</v>
          </cell>
          <cell r="E335" t="str">
            <v>C</v>
          </cell>
          <cell r="G335">
            <v>148.27000000000001</v>
          </cell>
          <cell r="H335">
            <v>34419.74</v>
          </cell>
          <cell r="I335">
            <v>-34271.47</v>
          </cell>
          <cell r="J335">
            <v>-3599540.42</v>
          </cell>
          <cell r="K335" t="str">
            <v>C</v>
          </cell>
        </row>
        <row r="336">
          <cell r="A336">
            <v>1070</v>
          </cell>
          <cell r="B336" t="str">
            <v>1.2.03.040.0001</v>
          </cell>
          <cell r="C336" t="str">
            <v xml:space="preserve">(-) DEP ACUM INSTALACOES </v>
          </cell>
          <cell r="D336">
            <v>-172030.47</v>
          </cell>
          <cell r="E336" t="str">
            <v>C</v>
          </cell>
          <cell r="G336">
            <v>0</v>
          </cell>
          <cell r="H336">
            <v>1974.01</v>
          </cell>
          <cell r="I336">
            <v>-1974.01</v>
          </cell>
          <cell r="J336">
            <v>-174004.48000000001</v>
          </cell>
          <cell r="K336" t="str">
            <v>C</v>
          </cell>
        </row>
        <row r="337">
          <cell r="A337">
            <v>1157</v>
          </cell>
          <cell r="B337" t="str">
            <v>1.2.03.040.0002</v>
          </cell>
          <cell r="C337" t="str">
            <v xml:space="preserve">(-) DEP ACUM  MAQUINAS E  </v>
          </cell>
          <cell r="D337">
            <v>-1013310.69</v>
          </cell>
          <cell r="E337" t="str">
            <v>C</v>
          </cell>
          <cell r="G337">
            <v>127.19</v>
          </cell>
          <cell r="H337">
            <v>9655.9500000000007</v>
          </cell>
          <cell r="I337">
            <v>-9528.76</v>
          </cell>
          <cell r="J337">
            <v>-1022839.45</v>
          </cell>
          <cell r="K337" t="str">
            <v>C</v>
          </cell>
        </row>
        <row r="338">
          <cell r="A338">
            <v>1234</v>
          </cell>
          <cell r="B338" t="str">
            <v>1.2.03.040.0003</v>
          </cell>
          <cell r="C338" t="str">
            <v xml:space="preserve">(-) DEP ACUM EQPTOS PROC </v>
          </cell>
          <cell r="D338">
            <v>-1186165.05</v>
          </cell>
          <cell r="E338" t="str">
            <v>C</v>
          </cell>
          <cell r="G338">
            <v>0</v>
          </cell>
          <cell r="H338">
            <v>13474.71</v>
          </cell>
          <cell r="I338">
            <v>-13474.71</v>
          </cell>
          <cell r="J338">
            <v>-1199639.76</v>
          </cell>
          <cell r="K338" t="str">
            <v>C</v>
          </cell>
        </row>
        <row r="339">
          <cell r="A339">
            <v>1288</v>
          </cell>
          <cell r="B339" t="str">
            <v>1.2.03.040.0004</v>
          </cell>
          <cell r="C339" t="str">
            <v xml:space="preserve">(-) DEP ACUM MOVEIS E </v>
          </cell>
          <cell r="D339">
            <v>-967355.78</v>
          </cell>
          <cell r="E339" t="str">
            <v>C</v>
          </cell>
          <cell r="G339">
            <v>21.08</v>
          </cell>
          <cell r="H339">
            <v>7861.55</v>
          </cell>
          <cell r="I339">
            <v>-7840.47</v>
          </cell>
          <cell r="J339">
            <v>-975196.25</v>
          </cell>
          <cell r="K339" t="str">
            <v>C</v>
          </cell>
        </row>
        <row r="340">
          <cell r="A340">
            <v>1312</v>
          </cell>
          <cell r="B340" t="str">
            <v>1.2.03.040.0005</v>
          </cell>
          <cell r="C340" t="str">
            <v>(-) DEP ACUM VEICULOS NH</v>
          </cell>
          <cell r="D340">
            <v>-152764.51999999999</v>
          </cell>
          <cell r="E340" t="str">
            <v>C</v>
          </cell>
          <cell r="G340">
            <v>0</v>
          </cell>
          <cell r="H340">
            <v>1232.5</v>
          </cell>
          <cell r="I340">
            <v>-1232.5</v>
          </cell>
          <cell r="J340">
            <v>-153997.01999999999</v>
          </cell>
          <cell r="K340" t="str">
            <v>C</v>
          </cell>
        </row>
        <row r="341">
          <cell r="A341">
            <v>28074</v>
          </cell>
          <cell r="B341" t="str">
            <v>1.2.03.040.0006</v>
          </cell>
          <cell r="C341" t="str">
            <v xml:space="preserve">(-) DEP ACUM EQUIPAMENTOS </v>
          </cell>
          <cell r="D341">
            <v>-9275.7000000000007</v>
          </cell>
          <cell r="E341" t="str">
            <v>C</v>
          </cell>
          <cell r="G341">
            <v>0</v>
          </cell>
          <cell r="H341">
            <v>0</v>
          </cell>
          <cell r="I341">
            <v>0</v>
          </cell>
          <cell r="J341">
            <v>-9275.7000000000007</v>
          </cell>
          <cell r="K341" t="str">
            <v>C</v>
          </cell>
        </row>
        <row r="342">
          <cell r="A342">
            <v>28071</v>
          </cell>
          <cell r="B342" t="str">
            <v>1.2.03.040.0007</v>
          </cell>
          <cell r="C342" t="str">
            <v xml:space="preserve">(-) DEP ACUM EQUIPAMENTOS </v>
          </cell>
          <cell r="D342">
            <v>-64366.74</v>
          </cell>
          <cell r="E342" t="str">
            <v>C</v>
          </cell>
          <cell r="G342">
            <v>0</v>
          </cell>
          <cell r="H342">
            <v>221.02</v>
          </cell>
          <cell r="I342">
            <v>-221.02</v>
          </cell>
          <cell r="J342">
            <v>-64587.76</v>
          </cell>
          <cell r="K342" t="str">
            <v>C</v>
          </cell>
        </row>
        <row r="343">
          <cell r="A343">
            <v>34346</v>
          </cell>
          <cell r="B343" t="str">
            <v>1.2.03.050</v>
          </cell>
          <cell r="C343" t="str">
            <v xml:space="preserve">IMOBILIZACOES EM </v>
          </cell>
          <cell r="D343">
            <v>25813724.75</v>
          </cell>
          <cell r="E343" t="str">
            <v>D</v>
          </cell>
          <cell r="G343">
            <v>3694668.63</v>
          </cell>
          <cell r="H343">
            <v>953287.33</v>
          </cell>
          <cell r="I343">
            <v>2741381.3</v>
          </cell>
          <cell r="J343">
            <v>28555106.050000001</v>
          </cell>
          <cell r="K343" t="str">
            <v>D</v>
          </cell>
        </row>
        <row r="344">
          <cell r="A344">
            <v>12874</v>
          </cell>
          <cell r="B344" t="str">
            <v>1.2.03.050.0001</v>
          </cell>
          <cell r="C344" t="str">
            <v>AMPLIACOES E REFORMA</v>
          </cell>
          <cell r="D344">
            <v>11638324.050000001</v>
          </cell>
          <cell r="E344" t="str">
            <v>D</v>
          </cell>
          <cell r="G344">
            <v>33893</v>
          </cell>
          <cell r="H344">
            <v>0</v>
          </cell>
          <cell r="I344">
            <v>33893</v>
          </cell>
          <cell r="J344">
            <v>11672217.050000001</v>
          </cell>
          <cell r="K344" t="str">
            <v>D</v>
          </cell>
        </row>
        <row r="345">
          <cell r="A345">
            <v>33283</v>
          </cell>
          <cell r="B345" t="str">
            <v>1.2.03.050.0002</v>
          </cell>
          <cell r="C345" t="str">
            <v>OBRAS MATERNIDADE</v>
          </cell>
          <cell r="D345">
            <v>2330023.71</v>
          </cell>
          <cell r="E345" t="str">
            <v>D</v>
          </cell>
          <cell r="G345">
            <v>0</v>
          </cell>
          <cell r="H345">
            <v>0</v>
          </cell>
          <cell r="I345">
            <v>0</v>
          </cell>
          <cell r="J345">
            <v>2330023.71</v>
          </cell>
          <cell r="K345" t="str">
            <v>D</v>
          </cell>
        </row>
        <row r="346">
          <cell r="A346">
            <v>37733</v>
          </cell>
          <cell r="B346" t="str">
            <v>1.2.03.050.0003</v>
          </cell>
          <cell r="C346" t="str">
            <v>OBRAS UTI CORONARIANA</v>
          </cell>
          <cell r="D346">
            <v>2302261.5699999998</v>
          </cell>
          <cell r="E346" t="str">
            <v>D</v>
          </cell>
          <cell r="G346">
            <v>0</v>
          </cell>
          <cell r="H346">
            <v>0</v>
          </cell>
          <cell r="I346">
            <v>0</v>
          </cell>
          <cell r="J346">
            <v>2302261.5699999998</v>
          </cell>
          <cell r="K346" t="str">
            <v>D</v>
          </cell>
        </row>
        <row r="347">
          <cell r="A347">
            <v>33678</v>
          </cell>
          <cell r="B347" t="str">
            <v>1.2.03.050.0004</v>
          </cell>
          <cell r="C347" t="str">
            <v>OBRAS UTI ADULTO</v>
          </cell>
          <cell r="D347">
            <v>347851.02</v>
          </cell>
          <cell r="E347" t="str">
            <v>D</v>
          </cell>
          <cell r="G347">
            <v>0</v>
          </cell>
          <cell r="H347">
            <v>0</v>
          </cell>
          <cell r="I347">
            <v>0</v>
          </cell>
          <cell r="J347">
            <v>347851.02</v>
          </cell>
          <cell r="K347" t="str">
            <v>D</v>
          </cell>
        </row>
        <row r="348">
          <cell r="A348">
            <v>51903</v>
          </cell>
          <cell r="B348" t="str">
            <v>1.2.03.050.0005</v>
          </cell>
          <cell r="C348" t="str">
            <v xml:space="preserve">CUSTO DE AQUISICAO OBRAS </v>
          </cell>
          <cell r="D348">
            <v>97157.5</v>
          </cell>
          <cell r="E348" t="str">
            <v>D</v>
          </cell>
          <cell r="G348">
            <v>0</v>
          </cell>
          <cell r="H348">
            <v>0</v>
          </cell>
          <cell r="I348">
            <v>0</v>
          </cell>
          <cell r="J348">
            <v>97157.5</v>
          </cell>
          <cell r="K348" t="str">
            <v>D</v>
          </cell>
        </row>
        <row r="349">
          <cell r="A349">
            <v>54758</v>
          </cell>
          <cell r="B349" t="str">
            <v>1.2.03.050.0006</v>
          </cell>
          <cell r="C349" t="str">
            <v>OBRAS ONCOLOGIA</v>
          </cell>
          <cell r="D349">
            <v>240313.31</v>
          </cell>
          <cell r="E349" t="str">
            <v>D</v>
          </cell>
          <cell r="G349">
            <v>0</v>
          </cell>
          <cell r="H349">
            <v>0</v>
          </cell>
          <cell r="I349">
            <v>0</v>
          </cell>
          <cell r="J349">
            <v>240313.31</v>
          </cell>
          <cell r="K349" t="str">
            <v>D</v>
          </cell>
        </row>
        <row r="350">
          <cell r="A350">
            <v>54894</v>
          </cell>
          <cell r="B350" t="str">
            <v>1.2.03.050.0007</v>
          </cell>
          <cell r="C350" t="str">
            <v>OBRAS BNDES</v>
          </cell>
          <cell r="D350">
            <v>8857793.5899999999</v>
          </cell>
          <cell r="E350" t="str">
            <v>D</v>
          </cell>
          <cell r="G350">
            <v>3660775.63</v>
          </cell>
          <cell r="H350">
            <v>953287.33</v>
          </cell>
          <cell r="I350">
            <v>2707488.3</v>
          </cell>
          <cell r="J350">
            <v>11565281.890000001</v>
          </cell>
          <cell r="K350" t="str">
            <v>D</v>
          </cell>
        </row>
        <row r="351">
          <cell r="A351">
            <v>34338</v>
          </cell>
          <cell r="B351" t="str">
            <v>1.2.03.060</v>
          </cell>
          <cell r="C351" t="str">
            <v xml:space="preserve">IMOBILIZACOES EM </v>
          </cell>
          <cell r="D351">
            <v>2469111.65</v>
          </cell>
          <cell r="E351" t="str">
            <v>D</v>
          </cell>
          <cell r="G351">
            <v>2607</v>
          </cell>
          <cell r="H351">
            <v>0</v>
          </cell>
          <cell r="I351">
            <v>2607</v>
          </cell>
          <cell r="J351">
            <v>2471718.65</v>
          </cell>
          <cell r="K351" t="str">
            <v>D</v>
          </cell>
        </row>
        <row r="352">
          <cell r="A352">
            <v>1426</v>
          </cell>
          <cell r="B352" t="str">
            <v>1.2.03.060.0001</v>
          </cell>
          <cell r="C352" t="str">
            <v xml:space="preserve">BENFEITORIAS EM IMOVEIS </v>
          </cell>
          <cell r="D352">
            <v>2469111.65</v>
          </cell>
          <cell r="E352" t="str">
            <v>D</v>
          </cell>
          <cell r="G352">
            <v>2607</v>
          </cell>
          <cell r="H352">
            <v>0</v>
          </cell>
          <cell r="I352">
            <v>2607</v>
          </cell>
          <cell r="J352">
            <v>2471718.65</v>
          </cell>
          <cell r="K352" t="str">
            <v>D</v>
          </cell>
        </row>
        <row r="353">
          <cell r="A353">
            <v>38404</v>
          </cell>
          <cell r="B353" t="str">
            <v>1.2.03.070</v>
          </cell>
          <cell r="C353" t="str">
            <v xml:space="preserve">(-) DEPRECIACAO AMORT </v>
          </cell>
          <cell r="D353">
            <v>-678594.45</v>
          </cell>
          <cell r="E353" t="str">
            <v>C</v>
          </cell>
          <cell r="G353">
            <v>0</v>
          </cell>
          <cell r="H353">
            <v>6751.84</v>
          </cell>
          <cell r="I353">
            <v>-6751.84</v>
          </cell>
          <cell r="J353">
            <v>-685346.29</v>
          </cell>
          <cell r="K353" t="str">
            <v>C</v>
          </cell>
        </row>
        <row r="354">
          <cell r="A354">
            <v>1454</v>
          </cell>
          <cell r="B354" t="str">
            <v>1.2.03.070.0001</v>
          </cell>
          <cell r="C354" t="str">
            <v xml:space="preserve">(-) AMORTIZACAO </v>
          </cell>
          <cell r="D354">
            <v>-678594.45</v>
          </cell>
          <cell r="E354" t="str">
            <v>C</v>
          </cell>
          <cell r="G354">
            <v>0</v>
          </cell>
          <cell r="H354">
            <v>6751.84</v>
          </cell>
          <cell r="I354">
            <v>-6751.84</v>
          </cell>
          <cell r="J354">
            <v>-685346.29</v>
          </cell>
          <cell r="K354" t="str">
            <v>C</v>
          </cell>
        </row>
        <row r="355">
          <cell r="A355">
            <v>53694</v>
          </cell>
          <cell r="B355" t="str">
            <v>1.2.03.080</v>
          </cell>
          <cell r="C355" t="str">
            <v xml:space="preserve">IMOBILIZADO COM </v>
          </cell>
          <cell r="D355">
            <v>4892891.47</v>
          </cell>
          <cell r="E355" t="str">
            <v>D</v>
          </cell>
          <cell r="G355">
            <v>0</v>
          </cell>
          <cell r="H355">
            <v>0</v>
          </cell>
          <cell r="I355">
            <v>0</v>
          </cell>
          <cell r="J355">
            <v>4892891.47</v>
          </cell>
          <cell r="K355" t="str">
            <v>D</v>
          </cell>
        </row>
        <row r="356">
          <cell r="A356">
            <v>51466</v>
          </cell>
          <cell r="B356" t="str">
            <v>1.2.03.080.0001</v>
          </cell>
          <cell r="C356" t="str">
            <v xml:space="preserve">MOVEIS E UTENSILIOS COM </v>
          </cell>
          <cell r="D356">
            <v>207331.20000000001</v>
          </cell>
          <cell r="E356" t="str">
            <v>D</v>
          </cell>
          <cell r="G356">
            <v>0</v>
          </cell>
          <cell r="H356">
            <v>0</v>
          </cell>
          <cell r="I356">
            <v>0</v>
          </cell>
          <cell r="J356">
            <v>207331.20000000001</v>
          </cell>
          <cell r="K356" t="str">
            <v>D</v>
          </cell>
        </row>
        <row r="357">
          <cell r="A357">
            <v>51258</v>
          </cell>
          <cell r="B357" t="str">
            <v>1.2.03.080.0002</v>
          </cell>
          <cell r="C357" t="str">
            <v xml:space="preserve">CUSTO DE AQUISICAO COM </v>
          </cell>
          <cell r="D357">
            <v>4685560.2699999996</v>
          </cell>
          <cell r="E357" t="str">
            <v>D</v>
          </cell>
          <cell r="G357">
            <v>0</v>
          </cell>
          <cell r="H357">
            <v>0</v>
          </cell>
          <cell r="I357">
            <v>0</v>
          </cell>
          <cell r="J357">
            <v>4685560.2699999996</v>
          </cell>
          <cell r="K357" t="str">
            <v>D</v>
          </cell>
        </row>
        <row r="358">
          <cell r="A358">
            <v>53695</v>
          </cell>
          <cell r="B358" t="str">
            <v>1.2.03.090</v>
          </cell>
          <cell r="C358" t="str">
            <v xml:space="preserve">(-) DEPRECIACAO </v>
          </cell>
          <cell r="D358">
            <v>-102085.13</v>
          </cell>
          <cell r="E358" t="str">
            <v>C</v>
          </cell>
          <cell r="G358">
            <v>0</v>
          </cell>
          <cell r="H358">
            <v>1727.76</v>
          </cell>
          <cell r="I358">
            <v>-1727.76</v>
          </cell>
          <cell r="J358">
            <v>-103812.89</v>
          </cell>
          <cell r="K358" t="str">
            <v>C</v>
          </cell>
        </row>
        <row r="359">
          <cell r="A359">
            <v>51467</v>
          </cell>
          <cell r="B359" t="str">
            <v>1.2.03.090.0001</v>
          </cell>
          <cell r="C359" t="str">
            <v xml:space="preserve">(-) DEP ACUM MOVEIS E </v>
          </cell>
          <cell r="D359">
            <v>-101992.13</v>
          </cell>
          <cell r="E359" t="str">
            <v>C</v>
          </cell>
          <cell r="G359">
            <v>0</v>
          </cell>
          <cell r="H359">
            <v>1727.76</v>
          </cell>
          <cell r="I359">
            <v>-1727.76</v>
          </cell>
          <cell r="J359">
            <v>-103719.89</v>
          </cell>
          <cell r="K359" t="str">
            <v>C</v>
          </cell>
        </row>
        <row r="360">
          <cell r="A360">
            <v>1188</v>
          </cell>
          <cell r="B360" t="str">
            <v>1.2.03.090.0002</v>
          </cell>
          <cell r="C360" t="str">
            <v xml:space="preserve">DEPREC.ACUM.DO CUSTO </v>
          </cell>
          <cell r="D360">
            <v>-93</v>
          </cell>
          <cell r="E360" t="str">
            <v>C</v>
          </cell>
          <cell r="G360">
            <v>0</v>
          </cell>
          <cell r="H360">
            <v>0</v>
          </cell>
          <cell r="I360">
            <v>0</v>
          </cell>
          <cell r="J360">
            <v>-93</v>
          </cell>
          <cell r="K360" t="str">
            <v>C</v>
          </cell>
        </row>
        <row r="361">
          <cell r="A361">
            <v>34498</v>
          </cell>
          <cell r="B361" t="str">
            <v>1.2.04</v>
          </cell>
          <cell r="C361" t="str">
            <v>ATIVO INTAGIVEL</v>
          </cell>
          <cell r="D361">
            <v>1883439.36</v>
          </cell>
          <cell r="E361" t="str">
            <v>D</v>
          </cell>
          <cell r="G361">
            <v>0</v>
          </cell>
          <cell r="H361">
            <v>33.29</v>
          </cell>
          <cell r="I361">
            <v>-33.29</v>
          </cell>
          <cell r="J361">
            <v>1883406.07</v>
          </cell>
          <cell r="K361" t="str">
            <v>D</v>
          </cell>
        </row>
        <row r="362">
          <cell r="A362">
            <v>44846</v>
          </cell>
          <cell r="B362" t="str">
            <v>1.2.04.010</v>
          </cell>
          <cell r="C362" t="str">
            <v xml:space="preserve">ATIVO INTAGIVEL </v>
          </cell>
          <cell r="D362">
            <v>2844376.35</v>
          </cell>
          <cell r="E362" t="str">
            <v>D</v>
          </cell>
          <cell r="G362">
            <v>0</v>
          </cell>
          <cell r="H362">
            <v>0</v>
          </cell>
          <cell r="I362">
            <v>0</v>
          </cell>
          <cell r="J362">
            <v>2844376.35</v>
          </cell>
          <cell r="K362" t="str">
            <v>D</v>
          </cell>
        </row>
        <row r="363">
          <cell r="A363">
            <v>1181</v>
          </cell>
          <cell r="B363" t="str">
            <v>1.2.04.010.0001</v>
          </cell>
          <cell r="C363" t="str">
            <v xml:space="preserve">SISTEMA DE COMPUTACAO </v>
          </cell>
          <cell r="D363">
            <v>2841047.12</v>
          </cell>
          <cell r="E363" t="str">
            <v>D</v>
          </cell>
          <cell r="G363">
            <v>0</v>
          </cell>
          <cell r="H363">
            <v>0</v>
          </cell>
          <cell r="I363">
            <v>0</v>
          </cell>
          <cell r="J363">
            <v>2841047.12</v>
          </cell>
          <cell r="K363" t="str">
            <v>D</v>
          </cell>
        </row>
        <row r="364">
          <cell r="A364">
            <v>1435</v>
          </cell>
          <cell r="B364" t="str">
            <v>1.2.04.010.0002</v>
          </cell>
          <cell r="C364" t="str">
            <v>MARCAS COMERCIAIS</v>
          </cell>
          <cell r="D364">
            <v>3329.23</v>
          </cell>
          <cell r="E364" t="str">
            <v>D</v>
          </cell>
          <cell r="G364">
            <v>0</v>
          </cell>
          <cell r="H364">
            <v>0</v>
          </cell>
          <cell r="I364">
            <v>0</v>
          </cell>
          <cell r="J364">
            <v>3329.23</v>
          </cell>
          <cell r="K364" t="str">
            <v>D</v>
          </cell>
        </row>
        <row r="365">
          <cell r="A365">
            <v>40483</v>
          </cell>
          <cell r="B365" t="str">
            <v>1.2.04.020</v>
          </cell>
          <cell r="C365" t="str">
            <v xml:space="preserve">( - ) AMORTIZACAO DO </v>
          </cell>
          <cell r="D365">
            <v>-927815.75</v>
          </cell>
          <cell r="E365" t="str">
            <v>C</v>
          </cell>
          <cell r="G365">
            <v>0</v>
          </cell>
          <cell r="H365">
            <v>33.29</v>
          </cell>
          <cell r="I365">
            <v>-33.29</v>
          </cell>
          <cell r="J365">
            <v>-927849.04</v>
          </cell>
          <cell r="K365" t="str">
            <v>C</v>
          </cell>
        </row>
        <row r="366">
          <cell r="A366">
            <v>42749</v>
          </cell>
          <cell r="B366" t="str">
            <v>1.2.04.020.0001</v>
          </cell>
          <cell r="C366" t="str">
            <v xml:space="preserve">( - ) AMORTIZACAO DO </v>
          </cell>
          <cell r="D366">
            <v>-927815.75</v>
          </cell>
          <cell r="E366" t="str">
            <v>C</v>
          </cell>
          <cell r="G366">
            <v>0</v>
          </cell>
          <cell r="H366">
            <v>33.29</v>
          </cell>
          <cell r="I366">
            <v>-33.29</v>
          </cell>
          <cell r="J366">
            <v>-927849.04</v>
          </cell>
          <cell r="K366" t="str">
            <v>C</v>
          </cell>
        </row>
        <row r="367">
          <cell r="A367">
            <v>34523</v>
          </cell>
          <cell r="B367" t="str">
            <v>1.2.04.030</v>
          </cell>
          <cell r="C367" t="str">
            <v xml:space="preserve">ATIVO INTANGIVEL NAO </v>
          </cell>
          <cell r="D367">
            <v>158445</v>
          </cell>
          <cell r="E367" t="str">
            <v>D</v>
          </cell>
          <cell r="G367">
            <v>0</v>
          </cell>
          <cell r="H367">
            <v>0</v>
          </cell>
          <cell r="I367">
            <v>0</v>
          </cell>
          <cell r="J367">
            <v>158445</v>
          </cell>
          <cell r="K367" t="str">
            <v>D</v>
          </cell>
        </row>
        <row r="368">
          <cell r="A368">
            <v>1223</v>
          </cell>
          <cell r="B368" t="str">
            <v>1.2.04.030.0001</v>
          </cell>
          <cell r="C368" t="str">
            <v xml:space="preserve">SISTEMA DE COMPUTACAO </v>
          </cell>
          <cell r="D368">
            <v>158445</v>
          </cell>
          <cell r="E368" t="str">
            <v>D</v>
          </cell>
          <cell r="G368">
            <v>0</v>
          </cell>
          <cell r="H368">
            <v>0</v>
          </cell>
          <cell r="I368">
            <v>0</v>
          </cell>
          <cell r="J368">
            <v>158445</v>
          </cell>
          <cell r="K368" t="str">
            <v>D</v>
          </cell>
        </row>
        <row r="369">
          <cell r="A369">
            <v>40497</v>
          </cell>
          <cell r="B369" t="str">
            <v>1.2.04.040</v>
          </cell>
          <cell r="C369" t="str">
            <v xml:space="preserve">( - ) AMORTIZACAO SISTEMA </v>
          </cell>
          <cell r="D369">
            <v>-191566.24</v>
          </cell>
          <cell r="E369" t="str">
            <v>C</v>
          </cell>
          <cell r="G369">
            <v>0</v>
          </cell>
          <cell r="H369">
            <v>0</v>
          </cell>
          <cell r="I369">
            <v>0</v>
          </cell>
          <cell r="J369">
            <v>-191566.24</v>
          </cell>
          <cell r="K369" t="str">
            <v>C</v>
          </cell>
        </row>
        <row r="370">
          <cell r="A370">
            <v>42745</v>
          </cell>
          <cell r="B370" t="str">
            <v>1.2.04.040.0001</v>
          </cell>
          <cell r="C370" t="str">
            <v xml:space="preserve">( - ) AMORTIZACAO SISTEMA </v>
          </cell>
          <cell r="D370">
            <v>-191566.24</v>
          </cell>
          <cell r="E370" t="str">
            <v>C</v>
          </cell>
          <cell r="G370">
            <v>0</v>
          </cell>
          <cell r="H370">
            <v>0</v>
          </cell>
          <cell r="I370">
            <v>0</v>
          </cell>
          <cell r="J370">
            <v>-191566.24</v>
          </cell>
          <cell r="K370" t="str">
            <v>C</v>
          </cell>
        </row>
        <row r="371">
          <cell r="A371">
            <v>1578</v>
          </cell>
          <cell r="B371">
            <v>2</v>
          </cell>
          <cell r="C371" t="str">
            <v>PASSIVO</v>
          </cell>
          <cell r="D371">
            <v>171032781.72999999</v>
          </cell>
          <cell r="E371" t="str">
            <v>C</v>
          </cell>
          <cell r="G371">
            <v>56523373.189999998</v>
          </cell>
          <cell r="H371">
            <v>57222080.869999997</v>
          </cell>
          <cell r="I371">
            <v>698707.68</v>
          </cell>
          <cell r="J371">
            <v>171731489.41</v>
          </cell>
          <cell r="K371" t="str">
            <v>C</v>
          </cell>
        </row>
        <row r="372">
          <cell r="A372">
            <v>1579</v>
          </cell>
          <cell r="B372" t="str">
            <v>2.1</v>
          </cell>
          <cell r="C372" t="str">
            <v>PASSIVO CIRCULANTE</v>
          </cell>
          <cell r="D372">
            <v>46993815.700000003</v>
          </cell>
          <cell r="E372" t="str">
            <v>C</v>
          </cell>
          <cell r="G372">
            <v>56430373.780000001</v>
          </cell>
          <cell r="H372">
            <v>57146825.670000002</v>
          </cell>
          <cell r="I372">
            <v>716451.89</v>
          </cell>
          <cell r="J372">
            <v>47710267.590000004</v>
          </cell>
          <cell r="K372" t="str">
            <v>C</v>
          </cell>
        </row>
        <row r="373">
          <cell r="A373">
            <v>1899</v>
          </cell>
          <cell r="B373" t="str">
            <v>2.1.01</v>
          </cell>
          <cell r="C373" t="str">
            <v>PRESTADORES</v>
          </cell>
          <cell r="D373">
            <v>10454054.439999999</v>
          </cell>
          <cell r="E373" t="str">
            <v>C</v>
          </cell>
          <cell r="G373">
            <v>8861511.2300000004</v>
          </cell>
          <cell r="H373">
            <v>8240549.9199999999</v>
          </cell>
          <cell r="I373">
            <v>-620961.31000000006</v>
          </cell>
          <cell r="J373">
            <v>9833093.1300000008</v>
          </cell>
          <cell r="K373" t="str">
            <v>C</v>
          </cell>
        </row>
        <row r="374">
          <cell r="A374">
            <v>1900</v>
          </cell>
          <cell r="B374" t="str">
            <v>2.1.01.010</v>
          </cell>
          <cell r="C374" t="str">
            <v>PRESTADORES MEDICOS PJ</v>
          </cell>
          <cell r="D374">
            <v>6325330.3099999996</v>
          </cell>
          <cell r="E374" t="str">
            <v>C</v>
          </cell>
          <cell r="G374">
            <v>6384671.21</v>
          </cell>
          <cell r="H374">
            <v>6336005.6299999999</v>
          </cell>
          <cell r="I374">
            <v>-48665.58</v>
          </cell>
          <cell r="J374">
            <v>6276664.7300000004</v>
          </cell>
          <cell r="K374" t="str">
            <v>C</v>
          </cell>
        </row>
        <row r="375">
          <cell r="A375">
            <v>52920</v>
          </cell>
          <cell r="B375" t="str">
            <v>2.1.01.010.0001</v>
          </cell>
          <cell r="C375" t="str">
            <v xml:space="preserve">AEK PREST DE SERV EM </v>
          </cell>
          <cell r="D375">
            <v>1974.07</v>
          </cell>
          <cell r="E375" t="str">
            <v>C</v>
          </cell>
          <cell r="G375">
            <v>2583.65</v>
          </cell>
          <cell r="H375">
            <v>1618.35</v>
          </cell>
          <cell r="I375">
            <v>-965.3</v>
          </cell>
          <cell r="J375">
            <v>1008.77</v>
          </cell>
          <cell r="K375" t="str">
            <v>C</v>
          </cell>
        </row>
        <row r="376">
          <cell r="A376">
            <v>37314</v>
          </cell>
          <cell r="B376" t="str">
            <v>2.1.01.010.0002</v>
          </cell>
          <cell r="C376" t="str">
            <v xml:space="preserve">AR ONCOLOGIA SERVICOS </v>
          </cell>
          <cell r="D376">
            <v>16770</v>
          </cell>
          <cell r="E376" t="str">
            <v>C</v>
          </cell>
          <cell r="G376">
            <v>19760.34</v>
          </cell>
          <cell r="H376">
            <v>19760.34</v>
          </cell>
          <cell r="I376">
            <v>0</v>
          </cell>
          <cell r="J376">
            <v>16770</v>
          </cell>
          <cell r="K376" t="str">
            <v>C</v>
          </cell>
        </row>
        <row r="377">
          <cell r="A377">
            <v>1910</v>
          </cell>
          <cell r="B377" t="str">
            <v>2.1.01.010.0004</v>
          </cell>
          <cell r="C377" t="str">
            <v xml:space="preserve">ACLIMED SERV MEDICOS </v>
          </cell>
          <cell r="D377">
            <v>7846.58</v>
          </cell>
          <cell r="E377" t="str">
            <v>C</v>
          </cell>
          <cell r="G377">
            <v>1307.76</v>
          </cell>
          <cell r="H377">
            <v>10462.120000000001</v>
          </cell>
          <cell r="I377">
            <v>9154.36</v>
          </cell>
          <cell r="J377">
            <v>17000.939999999999</v>
          </cell>
          <cell r="K377" t="str">
            <v>C</v>
          </cell>
        </row>
        <row r="378">
          <cell r="A378">
            <v>51848</v>
          </cell>
          <cell r="B378" t="str">
            <v>2.1.01.010.0007</v>
          </cell>
          <cell r="C378" t="str">
            <v xml:space="preserve">AFFIDARE MEDICINA E SAUDE </v>
          </cell>
          <cell r="D378">
            <v>5724.58</v>
          </cell>
          <cell r="E378" t="str">
            <v>C</v>
          </cell>
          <cell r="G378">
            <v>3949.85</v>
          </cell>
          <cell r="H378">
            <v>6421.16</v>
          </cell>
          <cell r="I378">
            <v>2471.31</v>
          </cell>
          <cell r="J378">
            <v>8195.89</v>
          </cell>
          <cell r="K378" t="str">
            <v>C</v>
          </cell>
        </row>
        <row r="379">
          <cell r="A379">
            <v>1913</v>
          </cell>
          <cell r="B379" t="str">
            <v>2.1.01.010.0010</v>
          </cell>
          <cell r="C379" t="str">
            <v xml:space="preserve">ALVARENGA E CARVALHO </v>
          </cell>
          <cell r="D379">
            <v>10150.08</v>
          </cell>
          <cell r="E379" t="str">
            <v>C</v>
          </cell>
          <cell r="G379">
            <v>9154.7999999999993</v>
          </cell>
          <cell r="H379">
            <v>4847.75</v>
          </cell>
          <cell r="I379">
            <v>-4307.05</v>
          </cell>
          <cell r="J379">
            <v>5843.03</v>
          </cell>
          <cell r="K379" t="str">
            <v>C</v>
          </cell>
        </row>
        <row r="380">
          <cell r="A380">
            <v>51787</v>
          </cell>
          <cell r="B380" t="str">
            <v>2.1.01.010.0011</v>
          </cell>
          <cell r="C380" t="str">
            <v xml:space="preserve">ALVES E ALVES SERV </v>
          </cell>
          <cell r="D380">
            <v>0</v>
          </cell>
          <cell r="E380" t="str">
            <v>C</v>
          </cell>
          <cell r="G380">
            <v>7147.93</v>
          </cell>
          <cell r="H380">
            <v>7147.93</v>
          </cell>
          <cell r="I380">
            <v>0</v>
          </cell>
          <cell r="J380">
            <v>0</v>
          </cell>
          <cell r="K380" t="str">
            <v>C</v>
          </cell>
        </row>
        <row r="381">
          <cell r="A381">
            <v>51937</v>
          </cell>
          <cell r="B381" t="str">
            <v>2.1.01.010.0013</v>
          </cell>
          <cell r="C381" t="str">
            <v xml:space="preserve">ANCORA SERVICOS MEDICOS </v>
          </cell>
          <cell r="D381">
            <v>20303.43</v>
          </cell>
          <cell r="E381" t="str">
            <v>C</v>
          </cell>
          <cell r="G381">
            <v>18318.53</v>
          </cell>
          <cell r="H381">
            <v>10016</v>
          </cell>
          <cell r="I381">
            <v>-8302.5300000000007</v>
          </cell>
          <cell r="J381">
            <v>12000.9</v>
          </cell>
          <cell r="K381" t="str">
            <v>C</v>
          </cell>
        </row>
        <row r="382">
          <cell r="A382">
            <v>51473</v>
          </cell>
          <cell r="B382" t="str">
            <v>2.1.01.010.0014</v>
          </cell>
          <cell r="C382" t="str">
            <v>ANDREZA CRISTINA PINTO ME</v>
          </cell>
          <cell r="D382">
            <v>0</v>
          </cell>
          <cell r="E382" t="str">
            <v>C</v>
          </cell>
          <cell r="G382">
            <v>7520.8</v>
          </cell>
          <cell r="H382">
            <v>7520.8</v>
          </cell>
          <cell r="I382">
            <v>0</v>
          </cell>
          <cell r="J382">
            <v>0</v>
          </cell>
          <cell r="K382" t="str">
            <v>C</v>
          </cell>
        </row>
        <row r="383">
          <cell r="A383">
            <v>1916</v>
          </cell>
          <cell r="B383" t="str">
            <v>2.1.01.010.0015</v>
          </cell>
          <cell r="C383" t="str">
            <v>ANESTEC LTDA</v>
          </cell>
          <cell r="D383">
            <v>24595</v>
          </cell>
          <cell r="E383" t="str">
            <v>C</v>
          </cell>
          <cell r="G383">
            <v>216020.49</v>
          </cell>
          <cell r="H383">
            <v>215232.49</v>
          </cell>
          <cell r="I383">
            <v>-788</v>
          </cell>
          <cell r="J383">
            <v>23807</v>
          </cell>
          <cell r="K383" t="str">
            <v>C</v>
          </cell>
        </row>
        <row r="384">
          <cell r="A384">
            <v>33007</v>
          </cell>
          <cell r="B384" t="str">
            <v>2.1.01.010.0017</v>
          </cell>
          <cell r="C384" t="str">
            <v>ANGIOCLIN SC LTDA</v>
          </cell>
          <cell r="D384">
            <v>592.76</v>
          </cell>
          <cell r="E384" t="str">
            <v>C</v>
          </cell>
          <cell r="G384">
            <v>343</v>
          </cell>
          <cell r="H384">
            <v>841.45</v>
          </cell>
          <cell r="I384">
            <v>498.45</v>
          </cell>
          <cell r="J384">
            <v>1091.21</v>
          </cell>
          <cell r="K384" t="str">
            <v>C</v>
          </cell>
        </row>
        <row r="385">
          <cell r="A385">
            <v>1919</v>
          </cell>
          <cell r="B385" t="str">
            <v>2.1.01.010.0018</v>
          </cell>
          <cell r="C385" t="str">
            <v xml:space="preserve">ANUTE E COSTA SERVICOS </v>
          </cell>
          <cell r="D385">
            <v>341.73</v>
          </cell>
          <cell r="E385" t="str">
            <v>C</v>
          </cell>
          <cell r="G385">
            <v>0</v>
          </cell>
          <cell r="H385">
            <v>0</v>
          </cell>
          <cell r="I385">
            <v>0</v>
          </cell>
          <cell r="J385">
            <v>341.73</v>
          </cell>
          <cell r="K385" t="str">
            <v>C</v>
          </cell>
        </row>
        <row r="386">
          <cell r="A386">
            <v>51488</v>
          </cell>
          <cell r="B386" t="str">
            <v>2.1.01.010.0020</v>
          </cell>
          <cell r="C386" t="str">
            <v>AQUARIUS CLINICA MEDICA</v>
          </cell>
          <cell r="D386">
            <v>8195.2000000000007</v>
          </cell>
          <cell r="E386" t="str">
            <v>C</v>
          </cell>
          <cell r="G386">
            <v>8195.2000000000007</v>
          </cell>
          <cell r="H386">
            <v>11550.11</v>
          </cell>
          <cell r="I386">
            <v>3354.91</v>
          </cell>
          <cell r="J386">
            <v>11550.11</v>
          </cell>
          <cell r="K386" t="str">
            <v>C</v>
          </cell>
        </row>
        <row r="387">
          <cell r="A387">
            <v>37295</v>
          </cell>
          <cell r="B387" t="str">
            <v>2.1.01.010.0021</v>
          </cell>
          <cell r="C387" t="str">
            <v xml:space="preserve">ARTMEDICA SERVICOS </v>
          </cell>
          <cell r="D387">
            <v>73742.02</v>
          </cell>
          <cell r="E387" t="str">
            <v>C</v>
          </cell>
          <cell r="G387">
            <v>83214.080000000002</v>
          </cell>
          <cell r="H387">
            <v>41072.06</v>
          </cell>
          <cell r="I387">
            <v>-42142.02</v>
          </cell>
          <cell r="J387">
            <v>31600</v>
          </cell>
          <cell r="K387" t="str">
            <v>C</v>
          </cell>
        </row>
        <row r="388">
          <cell r="A388">
            <v>1920</v>
          </cell>
          <cell r="B388" t="str">
            <v>2.1.01.010.0023</v>
          </cell>
          <cell r="C388" t="str">
            <v xml:space="preserve">ASSISTENCIA PEDIATRICA DE </v>
          </cell>
          <cell r="D388">
            <v>780.11</v>
          </cell>
          <cell r="E388" t="str">
            <v>C</v>
          </cell>
          <cell r="G388">
            <v>780.11</v>
          </cell>
          <cell r="H388">
            <v>946.37</v>
          </cell>
          <cell r="I388">
            <v>166.26</v>
          </cell>
          <cell r="J388">
            <v>946.37</v>
          </cell>
          <cell r="K388" t="str">
            <v>C</v>
          </cell>
        </row>
        <row r="389">
          <cell r="A389">
            <v>52767</v>
          </cell>
          <cell r="B389" t="str">
            <v>2.1.01.010.0028</v>
          </cell>
          <cell r="C389" t="str">
            <v xml:space="preserve">BET SERVICOS MEDICOS SS </v>
          </cell>
          <cell r="D389">
            <v>1413.3</v>
          </cell>
          <cell r="E389" t="str">
            <v>C</v>
          </cell>
          <cell r="G389">
            <v>0</v>
          </cell>
          <cell r="H389">
            <v>0</v>
          </cell>
          <cell r="I389">
            <v>0</v>
          </cell>
          <cell r="J389">
            <v>1413.3</v>
          </cell>
          <cell r="K389" t="str">
            <v>C</v>
          </cell>
        </row>
        <row r="390">
          <cell r="A390">
            <v>52930</v>
          </cell>
          <cell r="B390" t="str">
            <v>2.1.01.010.0029</v>
          </cell>
          <cell r="C390" t="str">
            <v xml:space="preserve">BLM CARE CLINICA SERVICOS </v>
          </cell>
          <cell r="D390">
            <v>13318.76</v>
          </cell>
          <cell r="E390" t="str">
            <v>C</v>
          </cell>
          <cell r="G390">
            <v>13318.76</v>
          </cell>
          <cell r="H390">
            <v>8157.19</v>
          </cell>
          <cell r="I390">
            <v>-5161.57</v>
          </cell>
          <cell r="J390">
            <v>8157.19</v>
          </cell>
          <cell r="K390" t="str">
            <v>C</v>
          </cell>
        </row>
        <row r="391">
          <cell r="A391">
            <v>33517</v>
          </cell>
          <cell r="B391" t="str">
            <v>2.1.01.010.0030</v>
          </cell>
          <cell r="C391" t="str">
            <v xml:space="preserve">BABY CENTER CLINICA DA </v>
          </cell>
          <cell r="D391">
            <v>22024.6</v>
          </cell>
          <cell r="E391" t="str">
            <v>C</v>
          </cell>
          <cell r="G391">
            <v>22024.6</v>
          </cell>
          <cell r="H391">
            <v>20987.39</v>
          </cell>
          <cell r="I391">
            <v>-1037.21</v>
          </cell>
          <cell r="J391">
            <v>20987.39</v>
          </cell>
          <cell r="K391" t="str">
            <v>C</v>
          </cell>
        </row>
        <row r="392">
          <cell r="A392">
            <v>1924</v>
          </cell>
          <cell r="B392" t="str">
            <v>2.1.01.010.0031</v>
          </cell>
          <cell r="C392" t="str">
            <v>BAROMED SC LTDA</v>
          </cell>
          <cell r="D392">
            <v>2455.6</v>
          </cell>
          <cell r="E392" t="str">
            <v>C</v>
          </cell>
          <cell r="G392">
            <v>6139.01</v>
          </cell>
          <cell r="H392">
            <v>6139.01</v>
          </cell>
          <cell r="I392">
            <v>0</v>
          </cell>
          <cell r="J392">
            <v>2455.6</v>
          </cell>
          <cell r="K392" t="str">
            <v>C</v>
          </cell>
        </row>
        <row r="393">
          <cell r="A393">
            <v>37767</v>
          </cell>
          <cell r="B393" t="str">
            <v>2.1.01.010.0037</v>
          </cell>
          <cell r="C393" t="str">
            <v xml:space="preserve">BERTTI E BERTTI </v>
          </cell>
          <cell r="D393">
            <v>7879.71</v>
          </cell>
          <cell r="E393" t="str">
            <v>C</v>
          </cell>
          <cell r="G393">
            <v>6944.05</v>
          </cell>
          <cell r="H393">
            <v>7042.51</v>
          </cell>
          <cell r="I393">
            <v>98.46</v>
          </cell>
          <cell r="J393">
            <v>7978.17</v>
          </cell>
          <cell r="K393" t="str">
            <v>C</v>
          </cell>
        </row>
        <row r="394">
          <cell r="A394">
            <v>52072</v>
          </cell>
          <cell r="B394" t="str">
            <v>2.1.01.010.0038</v>
          </cell>
          <cell r="C394" t="str">
            <v xml:space="preserve">BETACLIN ASSISTENCIA A </v>
          </cell>
          <cell r="D394">
            <v>0</v>
          </cell>
          <cell r="E394" t="str">
            <v>C</v>
          </cell>
          <cell r="G394">
            <v>78.72</v>
          </cell>
          <cell r="H394">
            <v>78.72</v>
          </cell>
          <cell r="I394">
            <v>0</v>
          </cell>
          <cell r="J394">
            <v>0</v>
          </cell>
          <cell r="K394" t="str">
            <v>C</v>
          </cell>
        </row>
        <row r="395">
          <cell r="A395">
            <v>1925</v>
          </cell>
          <cell r="B395" t="str">
            <v>2.1.01.010.0039</v>
          </cell>
          <cell r="C395" t="str">
            <v xml:space="preserve">BIOSSOM ASSISTENCIA </v>
          </cell>
          <cell r="D395">
            <v>115.5</v>
          </cell>
          <cell r="E395" t="str">
            <v>C</v>
          </cell>
          <cell r="G395">
            <v>0</v>
          </cell>
          <cell r="H395">
            <v>0</v>
          </cell>
          <cell r="I395">
            <v>0</v>
          </cell>
          <cell r="J395">
            <v>115.5</v>
          </cell>
          <cell r="K395" t="str">
            <v>C</v>
          </cell>
        </row>
        <row r="396">
          <cell r="A396">
            <v>52513</v>
          </cell>
          <cell r="B396" t="str">
            <v>2.1.01.010.0040</v>
          </cell>
          <cell r="C396" t="str">
            <v xml:space="preserve">BLR ASSISTENCIA MEDICA </v>
          </cell>
          <cell r="D396">
            <v>3587.36</v>
          </cell>
          <cell r="E396" t="str">
            <v>C</v>
          </cell>
          <cell r="G396">
            <v>3965.89</v>
          </cell>
          <cell r="H396">
            <v>3763.53</v>
          </cell>
          <cell r="I396">
            <v>-202.36</v>
          </cell>
          <cell r="J396">
            <v>3385</v>
          </cell>
          <cell r="K396" t="str">
            <v>C</v>
          </cell>
        </row>
        <row r="397">
          <cell r="A397">
            <v>36728</v>
          </cell>
          <cell r="B397" t="str">
            <v>2.1.01.010.0041</v>
          </cell>
          <cell r="C397" t="str">
            <v xml:space="preserve">BOLZAN TEIXEIRA SERVICOS </v>
          </cell>
          <cell r="D397">
            <v>1536.6</v>
          </cell>
          <cell r="E397" t="str">
            <v>C</v>
          </cell>
          <cell r="G397">
            <v>1536.6</v>
          </cell>
          <cell r="H397">
            <v>3380.52</v>
          </cell>
          <cell r="I397">
            <v>1843.92</v>
          </cell>
          <cell r="J397">
            <v>3380.52</v>
          </cell>
          <cell r="K397" t="str">
            <v>C</v>
          </cell>
        </row>
        <row r="398">
          <cell r="A398">
            <v>33075</v>
          </cell>
          <cell r="B398" t="str">
            <v>2.1.01.010.0043</v>
          </cell>
          <cell r="C398" t="str">
            <v xml:space="preserve">BOTELHO FONSECA SERV </v>
          </cell>
          <cell r="D398">
            <v>70000.240000000005</v>
          </cell>
          <cell r="E398" t="str">
            <v>C</v>
          </cell>
          <cell r="G398">
            <v>73450.36</v>
          </cell>
          <cell r="H398">
            <v>70178.17</v>
          </cell>
          <cell r="I398">
            <v>-3272.19</v>
          </cell>
          <cell r="J398">
            <v>66728.05</v>
          </cell>
          <cell r="K398" t="str">
            <v>C</v>
          </cell>
        </row>
        <row r="399">
          <cell r="A399">
            <v>53036</v>
          </cell>
          <cell r="B399" t="str">
            <v>2.1.01.010.0044</v>
          </cell>
          <cell r="C399" t="str">
            <v xml:space="preserve">BRANDAO E CARVALHO </v>
          </cell>
          <cell r="D399">
            <v>451.85</v>
          </cell>
          <cell r="E399" t="str">
            <v>C</v>
          </cell>
          <cell r="G399">
            <v>0</v>
          </cell>
          <cell r="H399">
            <v>0</v>
          </cell>
          <cell r="I399">
            <v>0</v>
          </cell>
          <cell r="J399">
            <v>451.85</v>
          </cell>
          <cell r="K399" t="str">
            <v>C</v>
          </cell>
        </row>
        <row r="400">
          <cell r="A400">
            <v>1926</v>
          </cell>
          <cell r="B400" t="str">
            <v>2.1.01.010.0045</v>
          </cell>
          <cell r="C400" t="str">
            <v xml:space="preserve">BRANDAO E SILVA SERV MED </v>
          </cell>
          <cell r="D400">
            <v>6905.97</v>
          </cell>
          <cell r="E400" t="str">
            <v>C</v>
          </cell>
          <cell r="G400">
            <v>4100.24</v>
          </cell>
          <cell r="H400">
            <v>2937.57</v>
          </cell>
          <cell r="I400">
            <v>-1162.67</v>
          </cell>
          <cell r="J400">
            <v>5743.3</v>
          </cell>
          <cell r="K400" t="str">
            <v>C</v>
          </cell>
        </row>
        <row r="401">
          <cell r="A401">
            <v>1929</v>
          </cell>
          <cell r="B401" t="str">
            <v>2.1.01.010.0048</v>
          </cell>
          <cell r="C401" t="str">
            <v xml:space="preserve">CIRURGIA CARDIOVASCULAR </v>
          </cell>
          <cell r="D401">
            <v>7880</v>
          </cell>
          <cell r="E401" t="str">
            <v>C</v>
          </cell>
          <cell r="G401">
            <v>18602.580000000002</v>
          </cell>
          <cell r="H401">
            <v>10722.58</v>
          </cell>
          <cell r="I401">
            <v>-7880</v>
          </cell>
          <cell r="J401">
            <v>0</v>
          </cell>
          <cell r="K401" t="str">
            <v>C</v>
          </cell>
        </row>
        <row r="402">
          <cell r="A402">
            <v>33730</v>
          </cell>
          <cell r="B402" t="str">
            <v>2.1.01.010.0049</v>
          </cell>
          <cell r="C402" t="str">
            <v xml:space="preserve">CEC MEDICOS ASSOCIADOS </v>
          </cell>
          <cell r="D402">
            <v>9915.5</v>
          </cell>
          <cell r="E402" t="str">
            <v>C</v>
          </cell>
          <cell r="G402">
            <v>10680.29</v>
          </cell>
          <cell r="H402">
            <v>8130.03</v>
          </cell>
          <cell r="I402">
            <v>-2550.2600000000002</v>
          </cell>
          <cell r="J402">
            <v>7365.24</v>
          </cell>
          <cell r="K402" t="str">
            <v>C</v>
          </cell>
        </row>
        <row r="403">
          <cell r="A403">
            <v>38112</v>
          </cell>
          <cell r="B403" t="str">
            <v>2.1.01.010.0050</v>
          </cell>
          <cell r="C403" t="str">
            <v xml:space="preserve">CED SERVICOS MEDICOS S/S </v>
          </cell>
          <cell r="D403">
            <v>288</v>
          </cell>
          <cell r="E403" t="str">
            <v>C</v>
          </cell>
          <cell r="G403">
            <v>0</v>
          </cell>
          <cell r="H403">
            <v>0</v>
          </cell>
          <cell r="I403">
            <v>0</v>
          </cell>
          <cell r="J403">
            <v>288</v>
          </cell>
          <cell r="K403" t="str">
            <v>C</v>
          </cell>
        </row>
        <row r="404">
          <cell r="A404">
            <v>51677</v>
          </cell>
          <cell r="B404" t="str">
            <v>2.1.01.010.0051</v>
          </cell>
          <cell r="C404" t="str">
            <v>CER DIAGNOSTICO IMAGEM</v>
          </cell>
          <cell r="D404">
            <v>9928.1200000000008</v>
          </cell>
          <cell r="E404" t="str">
            <v>C</v>
          </cell>
          <cell r="G404">
            <v>4964.0600000000004</v>
          </cell>
          <cell r="H404">
            <v>4254.8999999999996</v>
          </cell>
          <cell r="I404">
            <v>-709.16</v>
          </cell>
          <cell r="J404">
            <v>9218.9599999999991</v>
          </cell>
          <cell r="K404" t="str">
            <v>C</v>
          </cell>
        </row>
        <row r="405">
          <cell r="A405">
            <v>34057</v>
          </cell>
          <cell r="B405" t="str">
            <v>2.1.01.010.0052</v>
          </cell>
          <cell r="C405" t="str">
            <v xml:space="preserve">CM YUKITA SERVICOS </v>
          </cell>
          <cell r="D405">
            <v>13956.44</v>
          </cell>
          <cell r="E405" t="str">
            <v>C</v>
          </cell>
          <cell r="G405">
            <v>14336.31</v>
          </cell>
          <cell r="H405">
            <v>12379.87</v>
          </cell>
          <cell r="I405">
            <v>-1956.44</v>
          </cell>
          <cell r="J405">
            <v>12000</v>
          </cell>
          <cell r="K405" t="str">
            <v>C</v>
          </cell>
        </row>
        <row r="406">
          <cell r="A406">
            <v>37707</v>
          </cell>
          <cell r="B406" t="str">
            <v>2.1.01.010.0055</v>
          </cell>
          <cell r="C406" t="str">
            <v xml:space="preserve">CAMPOLUNGO E FERNANDES </v>
          </cell>
          <cell r="D406">
            <v>635.01</v>
          </cell>
          <cell r="E406" t="str">
            <v>C</v>
          </cell>
          <cell r="G406">
            <v>0</v>
          </cell>
          <cell r="H406">
            <v>0</v>
          </cell>
          <cell r="I406">
            <v>0</v>
          </cell>
          <cell r="J406">
            <v>635.01</v>
          </cell>
          <cell r="K406" t="str">
            <v>C</v>
          </cell>
        </row>
        <row r="407">
          <cell r="A407">
            <v>51980</v>
          </cell>
          <cell r="B407" t="str">
            <v>2.1.01.010.0056</v>
          </cell>
          <cell r="C407" t="str">
            <v xml:space="preserve">CAMPOSMED SERVICOS </v>
          </cell>
          <cell r="D407">
            <v>5378.1</v>
          </cell>
          <cell r="E407" t="str">
            <v>C</v>
          </cell>
          <cell r="G407">
            <v>5378.1</v>
          </cell>
          <cell r="H407">
            <v>6761.04</v>
          </cell>
          <cell r="I407">
            <v>1382.94</v>
          </cell>
          <cell r="J407">
            <v>6761.04</v>
          </cell>
          <cell r="K407" t="str">
            <v>C</v>
          </cell>
        </row>
        <row r="408">
          <cell r="A408">
            <v>33910</v>
          </cell>
          <cell r="B408" t="str">
            <v>2.1.01.010.0061</v>
          </cell>
          <cell r="C408" t="str">
            <v xml:space="preserve">CARDIORITMO CONS </v>
          </cell>
          <cell r="D408">
            <v>1808.56</v>
          </cell>
          <cell r="E408" t="str">
            <v>C</v>
          </cell>
          <cell r="G408">
            <v>0</v>
          </cell>
          <cell r="H408">
            <v>1442.32</v>
          </cell>
          <cell r="I408">
            <v>1442.32</v>
          </cell>
          <cell r="J408">
            <v>3250.88</v>
          </cell>
          <cell r="K408" t="str">
            <v>C</v>
          </cell>
        </row>
        <row r="409">
          <cell r="A409">
            <v>52933</v>
          </cell>
          <cell r="B409" t="str">
            <v>2.1.01.010.0062</v>
          </cell>
          <cell r="C409" t="str">
            <v xml:space="preserve">CARLA CALDERON IRUSTA </v>
          </cell>
          <cell r="D409">
            <v>18439.2</v>
          </cell>
          <cell r="E409" t="str">
            <v>C</v>
          </cell>
          <cell r="G409">
            <v>18439.2</v>
          </cell>
          <cell r="H409">
            <v>13522.08</v>
          </cell>
          <cell r="I409">
            <v>-4917.12</v>
          </cell>
          <cell r="J409">
            <v>13522.08</v>
          </cell>
          <cell r="K409" t="str">
            <v>C</v>
          </cell>
        </row>
        <row r="410">
          <cell r="A410">
            <v>52877</v>
          </cell>
          <cell r="B410" t="str">
            <v>2.1.01.010.0067</v>
          </cell>
          <cell r="C410" t="str">
            <v xml:space="preserve">CASTRO E CARVALHO SERV </v>
          </cell>
          <cell r="D410">
            <v>22416.15</v>
          </cell>
          <cell r="E410" t="str">
            <v>C</v>
          </cell>
          <cell r="G410">
            <v>21654.240000000002</v>
          </cell>
          <cell r="H410">
            <v>8274</v>
          </cell>
          <cell r="I410">
            <v>-13380.24</v>
          </cell>
          <cell r="J410">
            <v>9035.91</v>
          </cell>
          <cell r="K410" t="str">
            <v>C</v>
          </cell>
        </row>
        <row r="411">
          <cell r="A411">
            <v>51152</v>
          </cell>
          <cell r="B411" t="str">
            <v>2.1.01.010.0068</v>
          </cell>
          <cell r="C411" t="str">
            <v xml:space="preserve">CAVALCANTE E CLAUS </v>
          </cell>
          <cell r="D411">
            <v>21959.83</v>
          </cell>
          <cell r="E411" t="str">
            <v>C</v>
          </cell>
          <cell r="G411">
            <v>23319.63</v>
          </cell>
          <cell r="H411">
            <v>32555.279999999999</v>
          </cell>
          <cell r="I411">
            <v>9235.65</v>
          </cell>
          <cell r="J411">
            <v>31195.48</v>
          </cell>
          <cell r="K411" t="str">
            <v>C</v>
          </cell>
        </row>
        <row r="412">
          <cell r="A412">
            <v>52324</v>
          </cell>
          <cell r="B412" t="str">
            <v>2.1.01.010.0072</v>
          </cell>
          <cell r="C412" t="str">
            <v xml:space="preserve">CEAME CENTRO DE </v>
          </cell>
          <cell r="D412">
            <v>1210.77</v>
          </cell>
          <cell r="E412" t="str">
            <v>C</v>
          </cell>
          <cell r="G412">
            <v>0</v>
          </cell>
          <cell r="H412">
            <v>0</v>
          </cell>
          <cell r="I412">
            <v>0</v>
          </cell>
          <cell r="J412">
            <v>1210.77</v>
          </cell>
          <cell r="K412" t="str">
            <v>C</v>
          </cell>
        </row>
        <row r="413">
          <cell r="A413">
            <v>37811</v>
          </cell>
          <cell r="B413" t="str">
            <v>2.1.01.010.0075</v>
          </cell>
          <cell r="C413" t="str">
            <v xml:space="preserve">CEMEV CLIN ESP MED VALE </v>
          </cell>
          <cell r="D413">
            <v>3608.88</v>
          </cell>
          <cell r="E413" t="str">
            <v>C</v>
          </cell>
          <cell r="G413">
            <v>0</v>
          </cell>
          <cell r="H413">
            <v>0</v>
          </cell>
          <cell r="I413">
            <v>0</v>
          </cell>
          <cell r="J413">
            <v>3608.88</v>
          </cell>
          <cell r="K413" t="str">
            <v>C</v>
          </cell>
        </row>
        <row r="414">
          <cell r="A414">
            <v>52299</v>
          </cell>
          <cell r="B414" t="str">
            <v>2.1.01.010.0079</v>
          </cell>
          <cell r="C414" t="str">
            <v xml:space="preserve">CENTRO DE HEMATOLOGIA </v>
          </cell>
          <cell r="D414">
            <v>23035</v>
          </cell>
          <cell r="E414" t="str">
            <v>C</v>
          </cell>
          <cell r="G414">
            <v>30230.73</v>
          </cell>
          <cell r="H414">
            <v>31104.23</v>
          </cell>
          <cell r="I414">
            <v>873.5</v>
          </cell>
          <cell r="J414">
            <v>23908.5</v>
          </cell>
          <cell r="K414" t="str">
            <v>C</v>
          </cell>
        </row>
        <row r="415">
          <cell r="A415">
            <v>33141</v>
          </cell>
          <cell r="B415" t="str">
            <v>2.1.01.010.0081</v>
          </cell>
          <cell r="C415" t="str">
            <v xml:space="preserve">CENTRO NEUROLOGICO </v>
          </cell>
          <cell r="D415">
            <v>5854.18</v>
          </cell>
          <cell r="E415" t="str">
            <v>C</v>
          </cell>
          <cell r="G415">
            <v>0</v>
          </cell>
          <cell r="H415">
            <v>1438.21</v>
          </cell>
          <cell r="I415">
            <v>1438.21</v>
          </cell>
          <cell r="J415">
            <v>7292.39</v>
          </cell>
          <cell r="K415" t="str">
            <v>C</v>
          </cell>
        </row>
        <row r="416">
          <cell r="A416">
            <v>52813</v>
          </cell>
          <cell r="B416" t="str">
            <v>2.1.01.010.0083</v>
          </cell>
          <cell r="C416" t="str">
            <v xml:space="preserve">CENTRO TRAUMA DO VALE </v>
          </cell>
          <cell r="D416">
            <v>524.96</v>
          </cell>
          <cell r="E416" t="str">
            <v>C</v>
          </cell>
          <cell r="G416">
            <v>0</v>
          </cell>
          <cell r="H416">
            <v>0</v>
          </cell>
          <cell r="I416">
            <v>0</v>
          </cell>
          <cell r="J416">
            <v>524.96</v>
          </cell>
          <cell r="K416" t="str">
            <v>C</v>
          </cell>
        </row>
        <row r="417">
          <cell r="A417">
            <v>33133</v>
          </cell>
          <cell r="B417" t="str">
            <v>2.1.01.010.0085</v>
          </cell>
          <cell r="C417" t="str">
            <v xml:space="preserve">CHAGAS E MACEDO </v>
          </cell>
          <cell r="D417">
            <v>37439.15</v>
          </cell>
          <cell r="E417" t="str">
            <v>C</v>
          </cell>
          <cell r="G417">
            <v>14528.63</v>
          </cell>
          <cell r="H417">
            <v>15217.64</v>
          </cell>
          <cell r="I417">
            <v>689.01</v>
          </cell>
          <cell r="J417">
            <v>38128.160000000003</v>
          </cell>
          <cell r="K417" t="str">
            <v>C</v>
          </cell>
        </row>
        <row r="418">
          <cell r="A418">
            <v>50987</v>
          </cell>
          <cell r="B418" t="str">
            <v>2.1.01.010.0086</v>
          </cell>
          <cell r="C418" t="str">
            <v xml:space="preserve">CHAGAS SERVICOS MEDICOS </v>
          </cell>
          <cell r="D418">
            <v>14045.51</v>
          </cell>
          <cell r="E418" t="str">
            <v>C</v>
          </cell>
          <cell r="G418">
            <v>14115.51</v>
          </cell>
          <cell r="H418">
            <v>16391.59</v>
          </cell>
          <cell r="I418">
            <v>2276.08</v>
          </cell>
          <cell r="J418">
            <v>16321.59</v>
          </cell>
          <cell r="K418" t="str">
            <v>C</v>
          </cell>
        </row>
        <row r="419">
          <cell r="A419">
            <v>12439</v>
          </cell>
          <cell r="B419" t="str">
            <v>2.1.01.010.0087</v>
          </cell>
          <cell r="C419" t="str">
            <v xml:space="preserve">CHANG SERVICOS MEDICOS </v>
          </cell>
          <cell r="D419">
            <v>3498.14</v>
          </cell>
          <cell r="E419" t="str">
            <v>C</v>
          </cell>
          <cell r="G419">
            <v>0</v>
          </cell>
          <cell r="H419">
            <v>4728</v>
          </cell>
          <cell r="I419">
            <v>4728</v>
          </cell>
          <cell r="J419">
            <v>8226.14</v>
          </cell>
          <cell r="K419" t="str">
            <v>C</v>
          </cell>
        </row>
        <row r="420">
          <cell r="A420">
            <v>33586</v>
          </cell>
          <cell r="B420" t="str">
            <v>2.1.01.010.0089</v>
          </cell>
          <cell r="C420" t="str">
            <v xml:space="preserve">CIPAX MEDICINA </v>
          </cell>
          <cell r="D420">
            <v>0</v>
          </cell>
          <cell r="E420" t="str">
            <v>C</v>
          </cell>
          <cell r="G420">
            <v>32958.089999999997</v>
          </cell>
          <cell r="H420">
            <v>32958.089999999997</v>
          </cell>
          <cell r="I420">
            <v>0</v>
          </cell>
          <cell r="J420">
            <v>0</v>
          </cell>
          <cell r="K420" t="str">
            <v>C</v>
          </cell>
        </row>
        <row r="421">
          <cell r="A421">
            <v>52808</v>
          </cell>
          <cell r="B421" t="str">
            <v>2.1.01.010.0090</v>
          </cell>
          <cell r="C421" t="str">
            <v>CIRO JONES CARDOSO ME</v>
          </cell>
          <cell r="D421">
            <v>6895</v>
          </cell>
          <cell r="E421" t="str">
            <v>C</v>
          </cell>
          <cell r="G421">
            <v>41514.83</v>
          </cell>
          <cell r="H421">
            <v>41514.83</v>
          </cell>
          <cell r="I421">
            <v>0</v>
          </cell>
          <cell r="J421">
            <v>6895</v>
          </cell>
          <cell r="K421" t="str">
            <v>C</v>
          </cell>
        </row>
        <row r="422">
          <cell r="A422">
            <v>38719</v>
          </cell>
          <cell r="B422" t="str">
            <v>2.1.01.010.0091</v>
          </cell>
          <cell r="C422" t="str">
            <v xml:space="preserve">CIRURGICA TORACICA DO </v>
          </cell>
          <cell r="D422">
            <v>42315.16</v>
          </cell>
          <cell r="E422" t="str">
            <v>C</v>
          </cell>
          <cell r="G422">
            <v>17528.560000000001</v>
          </cell>
          <cell r="H422">
            <v>14636.51</v>
          </cell>
          <cell r="I422">
            <v>-2892.05</v>
          </cell>
          <cell r="J422">
            <v>39423.11</v>
          </cell>
          <cell r="K422" t="str">
            <v>C</v>
          </cell>
        </row>
        <row r="423">
          <cell r="A423">
            <v>52542</v>
          </cell>
          <cell r="B423" t="str">
            <v>2.1.01.010.0092</v>
          </cell>
          <cell r="C423" t="str">
            <v xml:space="preserve">CLIADI CLIN E CIR DO </v>
          </cell>
          <cell r="D423">
            <v>4038.35</v>
          </cell>
          <cell r="E423" t="str">
            <v>C</v>
          </cell>
          <cell r="G423">
            <v>1304.79</v>
          </cell>
          <cell r="H423">
            <v>840.03</v>
          </cell>
          <cell r="I423">
            <v>-464.76</v>
          </cell>
          <cell r="J423">
            <v>3573.59</v>
          </cell>
          <cell r="K423" t="str">
            <v>C</v>
          </cell>
        </row>
        <row r="424">
          <cell r="A424">
            <v>32498</v>
          </cell>
          <cell r="B424" t="str">
            <v>2.1.01.010.0093</v>
          </cell>
          <cell r="C424" t="str">
            <v xml:space="preserve">CLIMED SJCAMPOS LTDA </v>
          </cell>
          <cell r="D424">
            <v>856.16</v>
          </cell>
          <cell r="E424" t="str">
            <v>C</v>
          </cell>
          <cell r="G424">
            <v>0</v>
          </cell>
          <cell r="H424">
            <v>0</v>
          </cell>
          <cell r="I424">
            <v>0</v>
          </cell>
          <cell r="J424">
            <v>856.16</v>
          </cell>
          <cell r="K424" t="str">
            <v>C</v>
          </cell>
        </row>
        <row r="425">
          <cell r="A425">
            <v>51101</v>
          </cell>
          <cell r="B425" t="str">
            <v>2.1.01.010.0094</v>
          </cell>
          <cell r="C425" t="str">
            <v xml:space="preserve">CLIN DERMA DR CARLOS </v>
          </cell>
          <cell r="D425">
            <v>1682.74</v>
          </cell>
          <cell r="E425" t="str">
            <v>C</v>
          </cell>
          <cell r="G425">
            <v>1662.74</v>
          </cell>
          <cell r="H425">
            <v>1180.0899999999999</v>
          </cell>
          <cell r="I425">
            <v>-482.65</v>
          </cell>
          <cell r="J425">
            <v>1200.0899999999999</v>
          </cell>
          <cell r="K425" t="str">
            <v>C</v>
          </cell>
        </row>
        <row r="426">
          <cell r="A426">
            <v>12241</v>
          </cell>
          <cell r="B426" t="str">
            <v>2.1.01.010.0096</v>
          </cell>
          <cell r="C426" t="str">
            <v xml:space="preserve">ANGIOVALLE CIRURGIA </v>
          </cell>
          <cell r="D426">
            <v>3128.52</v>
          </cell>
          <cell r="E426" t="str">
            <v>C</v>
          </cell>
          <cell r="G426">
            <v>0</v>
          </cell>
          <cell r="H426">
            <v>2640.38</v>
          </cell>
          <cell r="I426">
            <v>2640.38</v>
          </cell>
          <cell r="J426">
            <v>5768.9</v>
          </cell>
          <cell r="K426" t="str">
            <v>C</v>
          </cell>
        </row>
        <row r="427">
          <cell r="A427">
            <v>32720</v>
          </cell>
          <cell r="B427" t="str">
            <v>2.1.01.010.0098</v>
          </cell>
          <cell r="C427" t="str">
            <v xml:space="preserve">CLINDEP ASSIST MED </v>
          </cell>
          <cell r="D427">
            <v>221.22</v>
          </cell>
          <cell r="E427" t="str">
            <v>C</v>
          </cell>
          <cell r="G427">
            <v>0</v>
          </cell>
          <cell r="H427">
            <v>0</v>
          </cell>
          <cell r="I427">
            <v>0</v>
          </cell>
          <cell r="J427">
            <v>221.22</v>
          </cell>
          <cell r="K427" t="str">
            <v>C</v>
          </cell>
        </row>
        <row r="428">
          <cell r="A428">
            <v>50986</v>
          </cell>
          <cell r="B428" t="str">
            <v>2.1.01.010.0100</v>
          </cell>
          <cell r="C428" t="str">
            <v>CLINICA BORAO LTDA</v>
          </cell>
          <cell r="D428">
            <v>930.48</v>
          </cell>
          <cell r="E428" t="str">
            <v>C</v>
          </cell>
          <cell r="G428">
            <v>926.94</v>
          </cell>
          <cell r="H428">
            <v>230.99</v>
          </cell>
          <cell r="I428">
            <v>-695.95</v>
          </cell>
          <cell r="J428">
            <v>234.53</v>
          </cell>
          <cell r="K428" t="str">
            <v>C</v>
          </cell>
        </row>
        <row r="429">
          <cell r="A429">
            <v>33621</v>
          </cell>
          <cell r="B429" t="str">
            <v>2.1.01.010.0102</v>
          </cell>
          <cell r="C429" t="str">
            <v xml:space="preserve">CLINICA CIR TRAUM BUCO </v>
          </cell>
          <cell r="D429">
            <v>4068.41</v>
          </cell>
          <cell r="E429" t="str">
            <v>C</v>
          </cell>
          <cell r="G429">
            <v>0</v>
          </cell>
          <cell r="H429">
            <v>1255.97</v>
          </cell>
          <cell r="I429">
            <v>1255.97</v>
          </cell>
          <cell r="J429">
            <v>5324.38</v>
          </cell>
          <cell r="K429" t="str">
            <v>C</v>
          </cell>
        </row>
        <row r="430">
          <cell r="A430">
            <v>38860</v>
          </cell>
          <cell r="B430" t="str">
            <v>2.1.01.010.0103</v>
          </cell>
          <cell r="C430" t="str">
            <v xml:space="preserve">CLINICA DE CARDIOLOGIA </v>
          </cell>
          <cell r="D430">
            <v>28729.66</v>
          </cell>
          <cell r="E430" t="str">
            <v>C</v>
          </cell>
          <cell r="G430">
            <v>30173.01</v>
          </cell>
          <cell r="H430">
            <v>19604.39</v>
          </cell>
          <cell r="I430">
            <v>-10568.62</v>
          </cell>
          <cell r="J430">
            <v>18161.04</v>
          </cell>
          <cell r="K430" t="str">
            <v>C</v>
          </cell>
        </row>
        <row r="431">
          <cell r="A431">
            <v>33315</v>
          </cell>
          <cell r="B431" t="str">
            <v>2.1.01.010.0104</v>
          </cell>
          <cell r="C431" t="str">
            <v xml:space="preserve">CLINICA DE FRATURA </v>
          </cell>
          <cell r="D431">
            <v>62.48</v>
          </cell>
          <cell r="E431" t="str">
            <v>C</v>
          </cell>
          <cell r="G431">
            <v>0</v>
          </cell>
          <cell r="H431">
            <v>0</v>
          </cell>
          <cell r="I431">
            <v>0</v>
          </cell>
          <cell r="J431">
            <v>62.48</v>
          </cell>
          <cell r="K431" t="str">
            <v>C</v>
          </cell>
        </row>
        <row r="432">
          <cell r="A432">
            <v>37091</v>
          </cell>
          <cell r="B432" t="str">
            <v>2.1.01.010.0107</v>
          </cell>
          <cell r="C432" t="str">
            <v xml:space="preserve">CLINICA DR HENRIQUE </v>
          </cell>
          <cell r="D432">
            <v>3201.84</v>
          </cell>
          <cell r="E432" t="str">
            <v>C</v>
          </cell>
          <cell r="G432">
            <v>3201.84</v>
          </cell>
          <cell r="H432">
            <v>0</v>
          </cell>
          <cell r="I432">
            <v>-3201.84</v>
          </cell>
          <cell r="J432">
            <v>0</v>
          </cell>
          <cell r="K432" t="str">
            <v>C</v>
          </cell>
        </row>
        <row r="433">
          <cell r="A433">
            <v>51443</v>
          </cell>
          <cell r="B433" t="str">
            <v>2.1.01.010.0108</v>
          </cell>
          <cell r="C433" t="str">
            <v xml:space="preserve">CLINICA DR ROBERTO </v>
          </cell>
          <cell r="D433">
            <v>7125.5</v>
          </cell>
          <cell r="E433" t="str">
            <v>C</v>
          </cell>
          <cell r="G433">
            <v>5405.67</v>
          </cell>
          <cell r="H433">
            <v>4367.74</v>
          </cell>
          <cell r="I433">
            <v>-1037.93</v>
          </cell>
          <cell r="J433">
            <v>6087.57</v>
          </cell>
          <cell r="K433" t="str">
            <v>C</v>
          </cell>
        </row>
        <row r="434">
          <cell r="A434">
            <v>52902</v>
          </cell>
          <cell r="B434" t="str">
            <v>2.1.01.010.0109</v>
          </cell>
          <cell r="C434" t="str">
            <v xml:space="preserve">CLINICA DR RODRIGO IEIRI </v>
          </cell>
          <cell r="D434">
            <v>17182.939999999999</v>
          </cell>
          <cell r="E434" t="str">
            <v>C</v>
          </cell>
          <cell r="G434">
            <v>11696.86</v>
          </cell>
          <cell r="H434">
            <v>10706.29</v>
          </cell>
          <cell r="I434">
            <v>-990.57</v>
          </cell>
          <cell r="J434">
            <v>16192.37</v>
          </cell>
          <cell r="K434" t="str">
            <v>C</v>
          </cell>
        </row>
        <row r="435">
          <cell r="A435">
            <v>51678</v>
          </cell>
          <cell r="B435" t="str">
            <v>2.1.01.010.0112</v>
          </cell>
          <cell r="C435" t="str">
            <v xml:space="preserve">CLINICA GBR SERVICOS </v>
          </cell>
          <cell r="D435">
            <v>25560.75</v>
          </cell>
          <cell r="E435" t="str">
            <v>C</v>
          </cell>
          <cell r="G435">
            <v>29077.200000000001</v>
          </cell>
          <cell r="H435">
            <v>25933.08</v>
          </cell>
          <cell r="I435">
            <v>-3144.12</v>
          </cell>
          <cell r="J435">
            <v>22416.63</v>
          </cell>
          <cell r="K435" t="str">
            <v>C</v>
          </cell>
        </row>
        <row r="436">
          <cell r="A436">
            <v>51733</v>
          </cell>
          <cell r="B436" t="str">
            <v>2.1.01.010.0114</v>
          </cell>
          <cell r="C436" t="str">
            <v xml:space="preserve">CLINICA MATTOS E GARCEZ </v>
          </cell>
          <cell r="D436">
            <v>26155.3</v>
          </cell>
          <cell r="E436" t="str">
            <v>C</v>
          </cell>
          <cell r="G436">
            <v>26155.3</v>
          </cell>
          <cell r="H436">
            <v>20921.509999999998</v>
          </cell>
          <cell r="I436">
            <v>-5233.79</v>
          </cell>
          <cell r="J436">
            <v>20921.509999999998</v>
          </cell>
          <cell r="K436" t="str">
            <v>C</v>
          </cell>
        </row>
        <row r="437">
          <cell r="A437">
            <v>52795</v>
          </cell>
          <cell r="B437" t="str">
            <v>2.1.01.010.0117</v>
          </cell>
          <cell r="C437" t="str">
            <v xml:space="preserve">CLINICA MEDICA E FONO </v>
          </cell>
          <cell r="D437">
            <v>508.4</v>
          </cell>
          <cell r="E437" t="str">
            <v>C</v>
          </cell>
          <cell r="G437">
            <v>0</v>
          </cell>
          <cell r="H437">
            <v>0</v>
          </cell>
          <cell r="I437">
            <v>0</v>
          </cell>
          <cell r="J437">
            <v>508.4</v>
          </cell>
          <cell r="K437" t="str">
            <v>C</v>
          </cell>
        </row>
        <row r="438">
          <cell r="A438">
            <v>52466</v>
          </cell>
          <cell r="B438" t="str">
            <v>2.1.01.010.0118</v>
          </cell>
          <cell r="C438" t="str">
            <v xml:space="preserve">CLINICA MEDICA GOLDFREIND </v>
          </cell>
          <cell r="D438">
            <v>10133.76</v>
          </cell>
          <cell r="E438" t="str">
            <v>C</v>
          </cell>
          <cell r="G438">
            <v>10133.76</v>
          </cell>
          <cell r="H438">
            <v>11581.44</v>
          </cell>
          <cell r="I438">
            <v>1447.68</v>
          </cell>
          <cell r="J438">
            <v>11581.44</v>
          </cell>
          <cell r="K438" t="str">
            <v>C</v>
          </cell>
        </row>
        <row r="439">
          <cell r="A439">
            <v>52791</v>
          </cell>
          <cell r="B439" t="str">
            <v>2.1.01.010.0119</v>
          </cell>
          <cell r="C439" t="str">
            <v xml:space="preserve">CLINICA MEDICA OLIVEIRA </v>
          </cell>
          <cell r="D439">
            <v>328</v>
          </cell>
          <cell r="E439" t="str">
            <v>C</v>
          </cell>
          <cell r="G439">
            <v>0</v>
          </cell>
          <cell r="H439">
            <v>0</v>
          </cell>
          <cell r="I439">
            <v>0</v>
          </cell>
          <cell r="J439">
            <v>328</v>
          </cell>
          <cell r="K439" t="str">
            <v>C</v>
          </cell>
        </row>
        <row r="440">
          <cell r="A440">
            <v>38354</v>
          </cell>
          <cell r="B440" t="str">
            <v>2.1.01.010.0120</v>
          </cell>
          <cell r="C440" t="str">
            <v xml:space="preserve">CLINICA MEDICA ORTO E RAD </v>
          </cell>
          <cell r="D440">
            <v>21165.74</v>
          </cell>
          <cell r="E440" t="str">
            <v>C</v>
          </cell>
          <cell r="G440">
            <v>19919.650000000001</v>
          </cell>
          <cell r="H440">
            <v>8896.4500000000007</v>
          </cell>
          <cell r="I440">
            <v>-11023.2</v>
          </cell>
          <cell r="J440">
            <v>10142.540000000001</v>
          </cell>
          <cell r="K440" t="str">
            <v>C</v>
          </cell>
        </row>
        <row r="441">
          <cell r="A441">
            <v>52162</v>
          </cell>
          <cell r="B441" t="str">
            <v>2.1.01.010.0124</v>
          </cell>
          <cell r="C441" t="str">
            <v xml:space="preserve">CLINICA NEUROCIRURGICA </v>
          </cell>
          <cell r="D441">
            <v>3511.66</v>
          </cell>
          <cell r="E441" t="str">
            <v>C</v>
          </cell>
          <cell r="G441">
            <v>0</v>
          </cell>
          <cell r="H441">
            <v>0</v>
          </cell>
          <cell r="I441">
            <v>0</v>
          </cell>
          <cell r="J441">
            <v>3511.66</v>
          </cell>
          <cell r="K441" t="str">
            <v>C</v>
          </cell>
        </row>
        <row r="442">
          <cell r="A442">
            <v>52470</v>
          </cell>
          <cell r="B442" t="str">
            <v>2.1.01.010.0128</v>
          </cell>
          <cell r="C442" t="str">
            <v>CLINICA SKIN LIFE SS LTDA</v>
          </cell>
          <cell r="D442">
            <v>4172</v>
          </cell>
          <cell r="E442" t="str">
            <v>C</v>
          </cell>
          <cell r="G442">
            <v>5879.03</v>
          </cell>
          <cell r="H442">
            <v>7136.91</v>
          </cell>
          <cell r="I442">
            <v>1257.8800000000001</v>
          </cell>
          <cell r="J442">
            <v>5429.88</v>
          </cell>
          <cell r="K442" t="str">
            <v>C</v>
          </cell>
        </row>
        <row r="443">
          <cell r="A443">
            <v>33777</v>
          </cell>
          <cell r="B443" t="str">
            <v>2.1.01.010.0129</v>
          </cell>
          <cell r="C443" t="str">
            <v xml:space="preserve">CLINICAR CLIN </v>
          </cell>
          <cell r="D443">
            <v>75591.070000000007</v>
          </cell>
          <cell r="E443" t="str">
            <v>C</v>
          </cell>
          <cell r="G443">
            <v>72918.66</v>
          </cell>
          <cell r="H443">
            <v>60790.96</v>
          </cell>
          <cell r="I443">
            <v>-12127.7</v>
          </cell>
          <cell r="J443">
            <v>63463.37</v>
          </cell>
          <cell r="K443" t="str">
            <v>C</v>
          </cell>
        </row>
        <row r="444">
          <cell r="A444">
            <v>1952</v>
          </cell>
          <cell r="B444" t="str">
            <v>2.1.01.010.0130</v>
          </cell>
          <cell r="C444" t="str">
            <v xml:space="preserve">CLINWORK SERV MEDICOS SC </v>
          </cell>
          <cell r="D444">
            <v>57464.92</v>
          </cell>
          <cell r="E444" t="str">
            <v>C</v>
          </cell>
          <cell r="G444">
            <v>57464.92</v>
          </cell>
          <cell r="H444">
            <v>53993.13</v>
          </cell>
          <cell r="I444">
            <v>-3471.79</v>
          </cell>
          <cell r="J444">
            <v>53993.13</v>
          </cell>
          <cell r="K444" t="str">
            <v>C</v>
          </cell>
        </row>
        <row r="445">
          <cell r="A445">
            <v>52929</v>
          </cell>
          <cell r="B445" t="str">
            <v>2.1.01.010.0131</v>
          </cell>
          <cell r="C445" t="str">
            <v xml:space="preserve">CLR SERVICOS MEDICOS </v>
          </cell>
          <cell r="D445">
            <v>204236.2</v>
          </cell>
          <cell r="E445" t="str">
            <v>C</v>
          </cell>
          <cell r="G445">
            <v>54265.62</v>
          </cell>
          <cell r="H445">
            <v>195435.03</v>
          </cell>
          <cell r="I445">
            <v>141169.41</v>
          </cell>
          <cell r="J445">
            <v>345405.61</v>
          </cell>
          <cell r="K445" t="str">
            <v>C</v>
          </cell>
        </row>
        <row r="446">
          <cell r="A446">
            <v>51651</v>
          </cell>
          <cell r="B446" t="str">
            <v>2.1.01.010.0132</v>
          </cell>
          <cell r="C446" t="str">
            <v xml:space="preserve">CMF SERVICOS MEDICOS </v>
          </cell>
          <cell r="D446">
            <v>21512.400000000001</v>
          </cell>
          <cell r="E446" t="str">
            <v>C</v>
          </cell>
          <cell r="G446">
            <v>21512.400000000001</v>
          </cell>
          <cell r="H446">
            <v>22536.799999999999</v>
          </cell>
          <cell r="I446">
            <v>1024.4000000000001</v>
          </cell>
          <cell r="J446">
            <v>22536.799999999999</v>
          </cell>
          <cell r="K446" t="str">
            <v>C</v>
          </cell>
        </row>
        <row r="447">
          <cell r="A447">
            <v>37517</v>
          </cell>
          <cell r="B447" t="str">
            <v>2.1.01.010.0133</v>
          </cell>
          <cell r="C447" t="str">
            <v>COKIN MED LTDA</v>
          </cell>
          <cell r="D447">
            <v>13613.71</v>
          </cell>
          <cell r="E447" t="str">
            <v>C</v>
          </cell>
          <cell r="G447">
            <v>8941.8700000000008</v>
          </cell>
          <cell r="H447">
            <v>8698.08</v>
          </cell>
          <cell r="I447">
            <v>-243.79</v>
          </cell>
          <cell r="J447">
            <v>13369.92</v>
          </cell>
          <cell r="K447" t="str">
            <v>C</v>
          </cell>
        </row>
        <row r="448">
          <cell r="A448">
            <v>51796</v>
          </cell>
          <cell r="B448" t="str">
            <v>2.1.01.010.0134</v>
          </cell>
          <cell r="C448" t="str">
            <v xml:space="preserve">COMUNIAN FREITAS </v>
          </cell>
          <cell r="D448">
            <v>10462.120000000001</v>
          </cell>
          <cell r="E448" t="str">
            <v>C</v>
          </cell>
          <cell r="G448">
            <v>10462.120000000001</v>
          </cell>
          <cell r="H448">
            <v>10462.120000000001</v>
          </cell>
          <cell r="I448">
            <v>0</v>
          </cell>
          <cell r="J448">
            <v>10462.120000000001</v>
          </cell>
          <cell r="K448" t="str">
            <v>C</v>
          </cell>
        </row>
        <row r="449">
          <cell r="A449">
            <v>51832</v>
          </cell>
          <cell r="B449" t="str">
            <v>2.1.01.010.0138</v>
          </cell>
          <cell r="C449" t="str">
            <v xml:space="preserve">CORREA E SOUZA SERVICOS </v>
          </cell>
          <cell r="D449">
            <v>16409.900000000001</v>
          </cell>
          <cell r="E449" t="str">
            <v>C</v>
          </cell>
          <cell r="G449">
            <v>25777.27</v>
          </cell>
          <cell r="H449">
            <v>27501.08</v>
          </cell>
          <cell r="I449">
            <v>1723.81</v>
          </cell>
          <cell r="J449">
            <v>18133.71</v>
          </cell>
          <cell r="K449" t="str">
            <v>C</v>
          </cell>
        </row>
        <row r="450">
          <cell r="A450">
            <v>52806</v>
          </cell>
          <cell r="B450" t="str">
            <v>2.1.01.010.0143</v>
          </cell>
          <cell r="C450" t="str">
            <v xml:space="preserve">DDEBS CONSULTORIA E SERV </v>
          </cell>
          <cell r="D450">
            <v>8641.85</v>
          </cell>
          <cell r="E450" t="str">
            <v>C</v>
          </cell>
          <cell r="G450">
            <v>8510.4</v>
          </cell>
          <cell r="H450">
            <v>5673.6</v>
          </cell>
          <cell r="I450">
            <v>-2836.8</v>
          </cell>
          <cell r="J450">
            <v>5805.05</v>
          </cell>
          <cell r="K450" t="str">
            <v>C</v>
          </cell>
        </row>
        <row r="451">
          <cell r="A451">
            <v>37737</v>
          </cell>
          <cell r="B451" t="str">
            <v>2.1.01.010.0147</v>
          </cell>
          <cell r="C451" t="str">
            <v xml:space="preserve">DEL MONACO SERVICOS </v>
          </cell>
          <cell r="D451">
            <v>7338.82</v>
          </cell>
          <cell r="E451" t="str">
            <v>C</v>
          </cell>
          <cell r="G451">
            <v>17094.169999999998</v>
          </cell>
          <cell r="H451">
            <v>15716.68</v>
          </cell>
          <cell r="I451">
            <v>-1377.49</v>
          </cell>
          <cell r="J451">
            <v>5961.33</v>
          </cell>
          <cell r="K451" t="str">
            <v>C</v>
          </cell>
        </row>
        <row r="452">
          <cell r="A452">
            <v>52196</v>
          </cell>
          <cell r="B452" t="str">
            <v>2.1.01.010.0149</v>
          </cell>
          <cell r="C452" t="str">
            <v xml:space="preserve">DH SERVICOS MEDICOS DE </v>
          </cell>
          <cell r="D452">
            <v>1451.61</v>
          </cell>
          <cell r="E452" t="str">
            <v>C</v>
          </cell>
          <cell r="G452">
            <v>11573.81</v>
          </cell>
          <cell r="H452">
            <v>12050.77</v>
          </cell>
          <cell r="I452">
            <v>476.96</v>
          </cell>
          <cell r="J452">
            <v>1928.57</v>
          </cell>
          <cell r="K452" t="str">
            <v>C</v>
          </cell>
        </row>
        <row r="453">
          <cell r="A453">
            <v>38859</v>
          </cell>
          <cell r="B453" t="str">
            <v>2.1.01.010.0150</v>
          </cell>
          <cell r="C453" t="str">
            <v xml:space="preserve">DIP ASSISTENCIA MEDICA </v>
          </cell>
          <cell r="D453">
            <v>9714.84</v>
          </cell>
          <cell r="E453" t="str">
            <v>C</v>
          </cell>
          <cell r="G453">
            <v>16978.38</v>
          </cell>
          <cell r="H453">
            <v>19753.89</v>
          </cell>
          <cell r="I453">
            <v>2775.51</v>
          </cell>
          <cell r="J453">
            <v>12490.35</v>
          </cell>
          <cell r="K453" t="str">
            <v>C</v>
          </cell>
        </row>
        <row r="454">
          <cell r="A454">
            <v>52982</v>
          </cell>
          <cell r="B454" t="str">
            <v>2.1.01.010.0153</v>
          </cell>
          <cell r="C454" t="str">
            <v xml:space="preserve">DUCORDIS SAUDE </v>
          </cell>
          <cell r="D454">
            <v>3073.2</v>
          </cell>
          <cell r="E454" t="str">
            <v>C</v>
          </cell>
          <cell r="G454">
            <v>4047.7</v>
          </cell>
          <cell r="H454">
            <v>5200.1499999999996</v>
          </cell>
          <cell r="I454">
            <v>1152.45</v>
          </cell>
          <cell r="J454">
            <v>4225.6499999999996</v>
          </cell>
          <cell r="K454" t="str">
            <v>C</v>
          </cell>
        </row>
        <row r="455">
          <cell r="A455">
            <v>52550</v>
          </cell>
          <cell r="B455" t="str">
            <v>2.1.01.010.0154</v>
          </cell>
          <cell r="C455" t="str">
            <v xml:space="preserve">E F DE CARVALHO CLIN DE </v>
          </cell>
          <cell r="D455">
            <v>1580.32</v>
          </cell>
          <cell r="E455" t="str">
            <v>C</v>
          </cell>
          <cell r="G455">
            <v>0</v>
          </cell>
          <cell r="H455">
            <v>0</v>
          </cell>
          <cell r="I455">
            <v>0</v>
          </cell>
          <cell r="J455">
            <v>1580.32</v>
          </cell>
          <cell r="K455" t="str">
            <v>C</v>
          </cell>
        </row>
        <row r="456">
          <cell r="A456">
            <v>52567</v>
          </cell>
          <cell r="B456" t="str">
            <v>2.1.01.010.0155</v>
          </cell>
          <cell r="C456" t="str">
            <v xml:space="preserve">ECS SERVICOS DE SAUDE </v>
          </cell>
          <cell r="D456">
            <v>1078</v>
          </cell>
          <cell r="E456" t="str">
            <v>C</v>
          </cell>
          <cell r="G456">
            <v>2609.8000000000002</v>
          </cell>
          <cell r="H456">
            <v>3001.8</v>
          </cell>
          <cell r="I456">
            <v>392</v>
          </cell>
          <cell r="J456">
            <v>1470</v>
          </cell>
          <cell r="K456" t="str">
            <v>C</v>
          </cell>
        </row>
        <row r="457">
          <cell r="A457">
            <v>32926</v>
          </cell>
          <cell r="B457" t="str">
            <v>2.1.01.010.0161</v>
          </cell>
          <cell r="C457" t="str">
            <v xml:space="preserve">EPL EMPREENDIMENTOS </v>
          </cell>
          <cell r="D457">
            <v>150</v>
          </cell>
          <cell r="E457" t="str">
            <v>C</v>
          </cell>
          <cell r="G457">
            <v>0</v>
          </cell>
          <cell r="H457">
            <v>12312.5</v>
          </cell>
          <cell r="I457">
            <v>12312.5</v>
          </cell>
          <cell r="J457">
            <v>12462.5</v>
          </cell>
          <cell r="K457" t="str">
            <v>C</v>
          </cell>
        </row>
        <row r="458">
          <cell r="A458">
            <v>51692</v>
          </cell>
          <cell r="B458" t="str">
            <v>2.1.01.010.0165</v>
          </cell>
          <cell r="C458" t="str">
            <v>FELICITA SERVICOS MEDICOS</v>
          </cell>
          <cell r="D458">
            <v>16977.71</v>
          </cell>
          <cell r="E458" t="str">
            <v>C</v>
          </cell>
          <cell r="G458">
            <v>13326.78</v>
          </cell>
          <cell r="H458">
            <v>19100.97</v>
          </cell>
          <cell r="I458">
            <v>5774.19</v>
          </cell>
          <cell r="J458">
            <v>22751.9</v>
          </cell>
          <cell r="K458" t="str">
            <v>C</v>
          </cell>
        </row>
        <row r="459">
          <cell r="A459">
            <v>1964</v>
          </cell>
          <cell r="B459" t="str">
            <v>2.1.01.010.0167</v>
          </cell>
          <cell r="C459" t="str">
            <v xml:space="preserve">FEMICLIN SERVICOS MEDICOS </v>
          </cell>
          <cell r="D459">
            <v>4505.43</v>
          </cell>
          <cell r="E459" t="str">
            <v>C</v>
          </cell>
          <cell r="G459">
            <v>4523.0600000000004</v>
          </cell>
          <cell r="H459">
            <v>2677.59</v>
          </cell>
          <cell r="I459">
            <v>-1845.47</v>
          </cell>
          <cell r="J459">
            <v>2659.96</v>
          </cell>
          <cell r="K459" t="str">
            <v>C</v>
          </cell>
        </row>
        <row r="460">
          <cell r="A460">
            <v>52928</v>
          </cell>
          <cell r="B460" t="str">
            <v>2.1.01.010.0171</v>
          </cell>
          <cell r="C460" t="str">
            <v xml:space="preserve">FGD SERVICOS MEDICOS </v>
          </cell>
          <cell r="D460">
            <v>2358.09</v>
          </cell>
          <cell r="E460" t="str">
            <v>C</v>
          </cell>
          <cell r="G460">
            <v>2358.09</v>
          </cell>
          <cell r="H460">
            <v>3144.12</v>
          </cell>
          <cell r="I460">
            <v>786.03</v>
          </cell>
          <cell r="J460">
            <v>3144.12</v>
          </cell>
          <cell r="K460" t="str">
            <v>C</v>
          </cell>
        </row>
        <row r="461">
          <cell r="A461">
            <v>53035</v>
          </cell>
          <cell r="B461" t="str">
            <v>2.1.01.010.0172</v>
          </cell>
          <cell r="C461" t="str">
            <v>FLECK SERVICOS MEDICOS</v>
          </cell>
          <cell r="D461">
            <v>20668.490000000002</v>
          </cell>
          <cell r="E461" t="str">
            <v>C</v>
          </cell>
          <cell r="G461">
            <v>20280</v>
          </cell>
          <cell r="H461">
            <v>24882</v>
          </cell>
          <cell r="I461">
            <v>4602</v>
          </cell>
          <cell r="J461">
            <v>25270.49</v>
          </cell>
          <cell r="K461" t="str">
            <v>C</v>
          </cell>
        </row>
        <row r="462">
          <cell r="A462">
            <v>33531</v>
          </cell>
          <cell r="B462" t="str">
            <v>2.1.01.010.0173</v>
          </cell>
          <cell r="C462" t="str">
            <v xml:space="preserve">FLT MEDICOS ASSOCIADOS </v>
          </cell>
          <cell r="D462">
            <v>844.78</v>
          </cell>
          <cell r="E462" t="str">
            <v>C</v>
          </cell>
          <cell r="G462">
            <v>464.2</v>
          </cell>
          <cell r="H462">
            <v>0</v>
          </cell>
          <cell r="I462">
            <v>-464.2</v>
          </cell>
          <cell r="J462">
            <v>380.58</v>
          </cell>
          <cell r="K462" t="str">
            <v>C</v>
          </cell>
        </row>
        <row r="463">
          <cell r="A463">
            <v>12243</v>
          </cell>
          <cell r="B463" t="str">
            <v>2.1.01.010.0176</v>
          </cell>
          <cell r="C463" t="str">
            <v xml:space="preserve">FPS SERVICOS MEDICOS </v>
          </cell>
          <cell r="D463">
            <v>147</v>
          </cell>
          <cell r="E463" t="str">
            <v>C</v>
          </cell>
          <cell r="G463">
            <v>0</v>
          </cell>
          <cell r="H463">
            <v>294</v>
          </cell>
          <cell r="I463">
            <v>294</v>
          </cell>
          <cell r="J463">
            <v>441</v>
          </cell>
          <cell r="K463" t="str">
            <v>C</v>
          </cell>
        </row>
        <row r="464">
          <cell r="A464">
            <v>51207</v>
          </cell>
          <cell r="B464" t="str">
            <v>2.1.01.010.0177</v>
          </cell>
          <cell r="C464" t="str">
            <v xml:space="preserve">FRATE SERVICOS MEDICOS </v>
          </cell>
          <cell r="D464">
            <v>55327.17</v>
          </cell>
          <cell r="E464" t="str">
            <v>C</v>
          </cell>
          <cell r="G464">
            <v>48220.77</v>
          </cell>
          <cell r="H464">
            <v>48651.839999999997</v>
          </cell>
          <cell r="I464">
            <v>431.07</v>
          </cell>
          <cell r="J464">
            <v>55758.239999999998</v>
          </cell>
          <cell r="K464" t="str">
            <v>C</v>
          </cell>
        </row>
        <row r="465">
          <cell r="A465">
            <v>36703</v>
          </cell>
          <cell r="B465" t="str">
            <v>2.1.01.010.0178</v>
          </cell>
          <cell r="C465" t="str">
            <v>FUNDACAO OSWALDO RAMOS</v>
          </cell>
          <cell r="D465">
            <v>0</v>
          </cell>
          <cell r="E465" t="str">
            <v>C</v>
          </cell>
          <cell r="G465">
            <v>0</v>
          </cell>
          <cell r="H465">
            <v>550</v>
          </cell>
          <cell r="I465">
            <v>550</v>
          </cell>
          <cell r="J465">
            <v>550</v>
          </cell>
          <cell r="K465" t="str">
            <v>C</v>
          </cell>
        </row>
        <row r="466">
          <cell r="A466">
            <v>51073</v>
          </cell>
          <cell r="B466" t="str">
            <v>2.1.01.010.0179</v>
          </cell>
          <cell r="C466" t="str">
            <v xml:space="preserve">G OTO SERVICOS MEDICOS </v>
          </cell>
          <cell r="D466">
            <v>6372.57</v>
          </cell>
          <cell r="E466" t="str">
            <v>C</v>
          </cell>
          <cell r="G466">
            <v>6843.7</v>
          </cell>
          <cell r="H466">
            <v>3893.01</v>
          </cell>
          <cell r="I466">
            <v>-2950.69</v>
          </cell>
          <cell r="J466">
            <v>3421.88</v>
          </cell>
          <cell r="K466" t="str">
            <v>C</v>
          </cell>
        </row>
        <row r="467">
          <cell r="A467">
            <v>52724</v>
          </cell>
          <cell r="B467" t="str">
            <v>2.1.01.010.0182</v>
          </cell>
          <cell r="C467" t="str">
            <v xml:space="preserve">GAP ASSISTENCIA </v>
          </cell>
          <cell r="D467">
            <v>7683</v>
          </cell>
          <cell r="E467" t="str">
            <v>C</v>
          </cell>
          <cell r="G467">
            <v>7683</v>
          </cell>
          <cell r="H467">
            <v>5070.78</v>
          </cell>
          <cell r="I467">
            <v>-2612.2199999999998</v>
          </cell>
          <cell r="J467">
            <v>5070.78</v>
          </cell>
          <cell r="K467" t="str">
            <v>C</v>
          </cell>
        </row>
        <row r="468">
          <cell r="A468">
            <v>38054</v>
          </cell>
          <cell r="B468" t="str">
            <v>2.1.01.010.0183</v>
          </cell>
          <cell r="C468" t="str">
            <v xml:space="preserve">GARCIA E SIMOES MEDICOS </v>
          </cell>
          <cell r="D468">
            <v>5154.3100000000004</v>
          </cell>
          <cell r="E468" t="str">
            <v>C</v>
          </cell>
          <cell r="G468">
            <v>1274</v>
          </cell>
          <cell r="H468">
            <v>1382.8</v>
          </cell>
          <cell r="I468">
            <v>108.8</v>
          </cell>
          <cell r="J468">
            <v>5263.11</v>
          </cell>
          <cell r="K468" t="str">
            <v>C</v>
          </cell>
        </row>
        <row r="469">
          <cell r="A469">
            <v>52901</v>
          </cell>
          <cell r="B469" t="str">
            <v>2.1.01.010.0184</v>
          </cell>
          <cell r="C469" t="str">
            <v xml:space="preserve">GASPARINI E MIYAMOTO </v>
          </cell>
          <cell r="D469">
            <v>10744.36</v>
          </cell>
          <cell r="E469" t="str">
            <v>C</v>
          </cell>
          <cell r="G469">
            <v>10744.36</v>
          </cell>
          <cell r="H469">
            <v>13286.48</v>
          </cell>
          <cell r="I469">
            <v>2542.12</v>
          </cell>
          <cell r="J469">
            <v>13286.48</v>
          </cell>
          <cell r="K469" t="str">
            <v>C</v>
          </cell>
        </row>
        <row r="470">
          <cell r="A470">
            <v>51072</v>
          </cell>
          <cell r="B470" t="str">
            <v>2.1.01.010.0185</v>
          </cell>
          <cell r="C470" t="str">
            <v xml:space="preserve">GENEOCLIN GINECO E OBST </v>
          </cell>
          <cell r="D470">
            <v>24.4</v>
          </cell>
          <cell r="E470" t="str">
            <v>C</v>
          </cell>
          <cell r="G470">
            <v>0</v>
          </cell>
          <cell r="H470">
            <v>1084.29</v>
          </cell>
          <cell r="I470">
            <v>1084.29</v>
          </cell>
          <cell r="J470">
            <v>1108.69</v>
          </cell>
          <cell r="K470" t="str">
            <v>C</v>
          </cell>
        </row>
        <row r="471">
          <cell r="A471">
            <v>52561</v>
          </cell>
          <cell r="B471" t="str">
            <v>2.1.01.010.0186</v>
          </cell>
          <cell r="C471" t="str">
            <v xml:space="preserve">GINEVALE SERVICOS </v>
          </cell>
          <cell r="D471">
            <v>9325.85</v>
          </cell>
          <cell r="E471" t="str">
            <v>C</v>
          </cell>
          <cell r="G471">
            <v>5133.45</v>
          </cell>
          <cell r="H471">
            <v>4497.68</v>
          </cell>
          <cell r="I471">
            <v>-635.77</v>
          </cell>
          <cell r="J471">
            <v>8690.08</v>
          </cell>
          <cell r="K471" t="str">
            <v>C</v>
          </cell>
        </row>
        <row r="472">
          <cell r="A472">
            <v>52282</v>
          </cell>
          <cell r="B472" t="str">
            <v>2.1.01.010.0187</v>
          </cell>
          <cell r="C472" t="str">
            <v xml:space="preserve">GOC SERVICOS MEDICOS </v>
          </cell>
          <cell r="D472">
            <v>1357.84</v>
          </cell>
          <cell r="E472" t="str">
            <v>C</v>
          </cell>
          <cell r="G472">
            <v>724.88</v>
          </cell>
          <cell r="H472">
            <v>0</v>
          </cell>
          <cell r="I472">
            <v>-724.88</v>
          </cell>
          <cell r="J472">
            <v>632.96</v>
          </cell>
          <cell r="K472" t="str">
            <v>C</v>
          </cell>
        </row>
        <row r="473">
          <cell r="A473">
            <v>33784</v>
          </cell>
          <cell r="B473" t="str">
            <v>2.1.01.010.0191</v>
          </cell>
          <cell r="C473" t="str">
            <v xml:space="preserve">HAMILTON ALVES BONNO E </v>
          </cell>
          <cell r="D473">
            <v>25491.49</v>
          </cell>
          <cell r="E473" t="str">
            <v>C</v>
          </cell>
          <cell r="G473">
            <v>9001.3700000000008</v>
          </cell>
          <cell r="H473">
            <v>24255.86</v>
          </cell>
          <cell r="I473">
            <v>15254.49</v>
          </cell>
          <cell r="J473">
            <v>40745.980000000003</v>
          </cell>
          <cell r="K473" t="str">
            <v>C</v>
          </cell>
        </row>
        <row r="474">
          <cell r="A474">
            <v>52807</v>
          </cell>
          <cell r="B474" t="str">
            <v>2.1.01.010.0193</v>
          </cell>
          <cell r="C474" t="str">
            <v xml:space="preserve">HEIDENBEL E SILVA SERV </v>
          </cell>
          <cell r="D474">
            <v>11583.6</v>
          </cell>
          <cell r="E474" t="str">
            <v>C</v>
          </cell>
          <cell r="G474">
            <v>11583.6</v>
          </cell>
          <cell r="H474">
            <v>8510.4</v>
          </cell>
          <cell r="I474">
            <v>-3073.2</v>
          </cell>
          <cell r="J474">
            <v>8510.4</v>
          </cell>
          <cell r="K474" t="str">
            <v>C</v>
          </cell>
        </row>
        <row r="475">
          <cell r="A475">
            <v>51794</v>
          </cell>
          <cell r="B475" t="str">
            <v>2.1.01.010.0195</v>
          </cell>
          <cell r="C475" t="str">
            <v xml:space="preserve">HERNANDES E CESARIO </v>
          </cell>
          <cell r="D475">
            <v>84498.75</v>
          </cell>
          <cell r="E475" t="str">
            <v>C</v>
          </cell>
          <cell r="G475">
            <v>28591.759999999998</v>
          </cell>
          <cell r="H475">
            <v>76896.19</v>
          </cell>
          <cell r="I475">
            <v>48304.43</v>
          </cell>
          <cell r="J475">
            <v>132803.18</v>
          </cell>
          <cell r="K475" t="str">
            <v>C</v>
          </cell>
        </row>
        <row r="476">
          <cell r="A476">
            <v>1970</v>
          </cell>
          <cell r="B476" t="str">
            <v>2.1.01.010.0196</v>
          </cell>
          <cell r="C476" t="str">
            <v xml:space="preserve">IGED INST </v>
          </cell>
          <cell r="D476">
            <v>32571</v>
          </cell>
          <cell r="E476" t="str">
            <v>C</v>
          </cell>
          <cell r="G476">
            <v>47282.64</v>
          </cell>
          <cell r="H476">
            <v>50163.5</v>
          </cell>
          <cell r="I476">
            <v>2880.86</v>
          </cell>
          <cell r="J476">
            <v>35451.86</v>
          </cell>
          <cell r="K476" t="str">
            <v>C</v>
          </cell>
        </row>
        <row r="477">
          <cell r="A477">
            <v>1972</v>
          </cell>
          <cell r="B477" t="str">
            <v>2.1.01.010.0197</v>
          </cell>
          <cell r="C477" t="str">
            <v xml:space="preserve">IMES INSTITUTO MEDICO </v>
          </cell>
          <cell r="D477">
            <v>19765.669999999998</v>
          </cell>
          <cell r="E477" t="str">
            <v>C</v>
          </cell>
          <cell r="G477">
            <v>306642.14</v>
          </cell>
          <cell r="H477">
            <v>309093.92</v>
          </cell>
          <cell r="I477">
            <v>2451.7800000000002</v>
          </cell>
          <cell r="J477">
            <v>22217.45</v>
          </cell>
          <cell r="K477" t="str">
            <v>C</v>
          </cell>
        </row>
        <row r="478">
          <cell r="A478">
            <v>1973</v>
          </cell>
          <cell r="B478" t="str">
            <v>2.1.01.010.0198</v>
          </cell>
          <cell r="C478" t="str">
            <v xml:space="preserve">IMPROVE SERVICOS MEDICOS </v>
          </cell>
          <cell r="D478">
            <v>301.35000000000002</v>
          </cell>
          <cell r="E478" t="str">
            <v>C</v>
          </cell>
          <cell r="G478">
            <v>0</v>
          </cell>
          <cell r="H478">
            <v>0</v>
          </cell>
          <cell r="I478">
            <v>0</v>
          </cell>
          <cell r="J478">
            <v>301.35000000000002</v>
          </cell>
          <cell r="K478" t="str">
            <v>C</v>
          </cell>
        </row>
        <row r="479">
          <cell r="A479">
            <v>52864</v>
          </cell>
          <cell r="B479" t="str">
            <v>2.1.01.010.0199</v>
          </cell>
          <cell r="C479" t="str">
            <v xml:space="preserve">INEP INSTITUTO DE MEDICINA </v>
          </cell>
          <cell r="D479">
            <v>9964</v>
          </cell>
          <cell r="E479" t="str">
            <v>C</v>
          </cell>
          <cell r="G479">
            <v>10895.16</v>
          </cell>
          <cell r="H479">
            <v>10404.16</v>
          </cell>
          <cell r="I479">
            <v>-491</v>
          </cell>
          <cell r="J479">
            <v>9473</v>
          </cell>
          <cell r="K479" t="str">
            <v>C</v>
          </cell>
        </row>
        <row r="480">
          <cell r="A480">
            <v>51814</v>
          </cell>
          <cell r="B480" t="str">
            <v>2.1.01.010.0200</v>
          </cell>
          <cell r="C480" t="str">
            <v xml:space="preserve">INFANT CLINICA MEDICA </v>
          </cell>
          <cell r="D480">
            <v>9623.2999999999993</v>
          </cell>
          <cell r="E480" t="str">
            <v>C</v>
          </cell>
          <cell r="G480">
            <v>5406.9</v>
          </cell>
          <cell r="H480">
            <v>2456.91</v>
          </cell>
          <cell r="I480">
            <v>-2949.99</v>
          </cell>
          <cell r="J480">
            <v>6673.31</v>
          </cell>
          <cell r="K480" t="str">
            <v>C</v>
          </cell>
        </row>
        <row r="481">
          <cell r="A481">
            <v>51854</v>
          </cell>
          <cell r="B481" t="str">
            <v>2.1.01.010.0201</v>
          </cell>
          <cell r="C481" t="str">
            <v xml:space="preserve">INFANT SERVICOS </v>
          </cell>
          <cell r="D481">
            <v>8712.31</v>
          </cell>
          <cell r="E481" t="str">
            <v>C</v>
          </cell>
          <cell r="G481">
            <v>5002.04</v>
          </cell>
          <cell r="H481">
            <v>4914.96</v>
          </cell>
          <cell r="I481">
            <v>-87.08</v>
          </cell>
          <cell r="J481">
            <v>8625.23</v>
          </cell>
          <cell r="K481" t="str">
            <v>C</v>
          </cell>
        </row>
        <row r="482">
          <cell r="A482">
            <v>1976</v>
          </cell>
          <cell r="B482" t="str">
            <v>2.1.01.010.0203</v>
          </cell>
          <cell r="C482" t="str">
            <v xml:space="preserve">INST OLHOS DR ROBERTO </v>
          </cell>
          <cell r="D482">
            <v>841.88</v>
          </cell>
          <cell r="E482" t="str">
            <v>C</v>
          </cell>
          <cell r="G482">
            <v>0</v>
          </cell>
          <cell r="H482">
            <v>0</v>
          </cell>
          <cell r="I482">
            <v>0</v>
          </cell>
          <cell r="J482">
            <v>841.88</v>
          </cell>
          <cell r="K482" t="str">
            <v>C</v>
          </cell>
        </row>
        <row r="483">
          <cell r="A483">
            <v>50972</v>
          </cell>
          <cell r="B483" t="str">
            <v>2.1.01.010.0204</v>
          </cell>
          <cell r="C483" t="str">
            <v xml:space="preserve">INSTITUTO DE OFTALMOLOGIA </v>
          </cell>
          <cell r="D483">
            <v>3495.76</v>
          </cell>
          <cell r="E483" t="str">
            <v>C</v>
          </cell>
          <cell r="G483">
            <v>0</v>
          </cell>
          <cell r="H483">
            <v>12984.27</v>
          </cell>
          <cell r="I483">
            <v>12984.27</v>
          </cell>
          <cell r="J483">
            <v>16480.03</v>
          </cell>
          <cell r="K483" t="str">
            <v>C</v>
          </cell>
        </row>
        <row r="484">
          <cell r="A484">
            <v>51674</v>
          </cell>
          <cell r="B484" t="str">
            <v>2.1.01.010.0206</v>
          </cell>
          <cell r="C484" t="str">
            <v xml:space="preserve">INSTITUTO DE UROLOGIA DE </v>
          </cell>
          <cell r="D484">
            <v>3078.6</v>
          </cell>
          <cell r="E484" t="str">
            <v>C</v>
          </cell>
          <cell r="G484">
            <v>43648.99</v>
          </cell>
          <cell r="H484">
            <v>40930.39</v>
          </cell>
          <cell r="I484">
            <v>-2718.6</v>
          </cell>
          <cell r="J484">
            <v>360</v>
          </cell>
          <cell r="K484" t="str">
            <v>C</v>
          </cell>
        </row>
        <row r="485">
          <cell r="A485">
            <v>51367</v>
          </cell>
          <cell r="B485" t="str">
            <v>2.1.01.010.0207</v>
          </cell>
          <cell r="C485" t="str">
            <v xml:space="preserve">JL CARVALHO SERV MED SS </v>
          </cell>
          <cell r="D485">
            <v>599.9</v>
          </cell>
          <cell r="E485" t="str">
            <v>C</v>
          </cell>
          <cell r="G485">
            <v>0</v>
          </cell>
          <cell r="H485">
            <v>0</v>
          </cell>
          <cell r="I485">
            <v>0</v>
          </cell>
          <cell r="J485">
            <v>599.9</v>
          </cell>
          <cell r="K485" t="str">
            <v>C</v>
          </cell>
        </row>
        <row r="486">
          <cell r="A486">
            <v>36876</v>
          </cell>
          <cell r="B486" t="str">
            <v>2.1.01.010.0209</v>
          </cell>
          <cell r="C486" t="str">
            <v xml:space="preserve">JMR SERVICOS MEDICOS </v>
          </cell>
          <cell r="D486">
            <v>212.94</v>
          </cell>
          <cell r="E486" t="str">
            <v>C</v>
          </cell>
          <cell r="G486">
            <v>0</v>
          </cell>
          <cell r="H486">
            <v>0</v>
          </cell>
          <cell r="I486">
            <v>0</v>
          </cell>
          <cell r="J486">
            <v>212.94</v>
          </cell>
          <cell r="K486" t="str">
            <v>C</v>
          </cell>
        </row>
        <row r="487">
          <cell r="A487">
            <v>52090</v>
          </cell>
          <cell r="B487" t="str">
            <v>2.1.01.010.0213</v>
          </cell>
          <cell r="C487" t="str">
            <v xml:space="preserve">JPP MEDICOS ASSOCIADOS </v>
          </cell>
          <cell r="D487">
            <v>4215.95</v>
          </cell>
          <cell r="E487" t="str">
            <v>C</v>
          </cell>
          <cell r="G487">
            <v>2932.05</v>
          </cell>
          <cell r="H487">
            <v>2553.5100000000002</v>
          </cell>
          <cell r="I487">
            <v>-378.54</v>
          </cell>
          <cell r="J487">
            <v>3837.41</v>
          </cell>
          <cell r="K487" t="str">
            <v>C</v>
          </cell>
        </row>
        <row r="488">
          <cell r="A488">
            <v>52093</v>
          </cell>
          <cell r="B488" t="str">
            <v>2.1.01.010.0214</v>
          </cell>
          <cell r="C488" t="str">
            <v>JRP SERVICOS MEDICOS LTDA</v>
          </cell>
          <cell r="D488">
            <v>11706.39</v>
          </cell>
          <cell r="E488" t="str">
            <v>C</v>
          </cell>
          <cell r="G488">
            <v>9673.58</v>
          </cell>
          <cell r="H488">
            <v>11546.58</v>
          </cell>
          <cell r="I488">
            <v>1873</v>
          </cell>
          <cell r="J488">
            <v>13579.39</v>
          </cell>
          <cell r="K488" t="str">
            <v>C</v>
          </cell>
        </row>
        <row r="489">
          <cell r="A489">
            <v>51691</v>
          </cell>
          <cell r="B489" t="str">
            <v>2.1.01.010.0216</v>
          </cell>
          <cell r="C489" t="str">
            <v xml:space="preserve">JULIANA NETO CLINICA DA </v>
          </cell>
          <cell r="D489">
            <v>1761.41</v>
          </cell>
          <cell r="E489" t="str">
            <v>C</v>
          </cell>
          <cell r="G489">
            <v>0</v>
          </cell>
          <cell r="H489">
            <v>0</v>
          </cell>
          <cell r="I489">
            <v>0</v>
          </cell>
          <cell r="J489">
            <v>1761.41</v>
          </cell>
          <cell r="K489" t="str">
            <v>C</v>
          </cell>
        </row>
        <row r="490">
          <cell r="A490">
            <v>51737</v>
          </cell>
          <cell r="B490" t="str">
            <v>2.1.01.010.0218</v>
          </cell>
          <cell r="C490" t="str">
            <v xml:space="preserve">JVLC  SERVICOS DE SAUDE </v>
          </cell>
          <cell r="D490">
            <v>21453.3</v>
          </cell>
          <cell r="E490" t="str">
            <v>C</v>
          </cell>
          <cell r="G490">
            <v>21453.3</v>
          </cell>
          <cell r="H490">
            <v>4885.4399999999996</v>
          </cell>
          <cell r="I490">
            <v>-16567.86</v>
          </cell>
          <cell r="J490">
            <v>4885.4399999999996</v>
          </cell>
          <cell r="K490" t="str">
            <v>C</v>
          </cell>
        </row>
        <row r="491">
          <cell r="A491">
            <v>51267</v>
          </cell>
          <cell r="B491" t="str">
            <v>2.1.01.010.0224</v>
          </cell>
          <cell r="C491" t="str">
            <v>TLS SERVICOS MEDICOS LTDA</v>
          </cell>
          <cell r="D491">
            <v>639.6</v>
          </cell>
          <cell r="E491" t="str">
            <v>C</v>
          </cell>
          <cell r="G491">
            <v>0</v>
          </cell>
          <cell r="H491">
            <v>0</v>
          </cell>
          <cell r="I491">
            <v>0</v>
          </cell>
          <cell r="J491">
            <v>639.6</v>
          </cell>
          <cell r="K491" t="str">
            <v>C</v>
          </cell>
        </row>
        <row r="492">
          <cell r="A492">
            <v>1951</v>
          </cell>
          <cell r="B492" t="str">
            <v>2.1.01.010.0225</v>
          </cell>
          <cell r="C492" t="str">
            <v xml:space="preserve">LARISA S SANTOS E GLAUCIA </v>
          </cell>
          <cell r="D492">
            <v>1170.4000000000001</v>
          </cell>
          <cell r="E492" t="str">
            <v>C</v>
          </cell>
          <cell r="G492">
            <v>0</v>
          </cell>
          <cell r="H492">
            <v>0</v>
          </cell>
          <cell r="I492">
            <v>0</v>
          </cell>
          <cell r="J492">
            <v>1170.4000000000001</v>
          </cell>
          <cell r="K492" t="str">
            <v>C</v>
          </cell>
        </row>
        <row r="493">
          <cell r="A493">
            <v>52344</v>
          </cell>
          <cell r="B493" t="str">
            <v>2.1.01.010.0226</v>
          </cell>
          <cell r="C493" t="str">
            <v>LAVRADO E CIA LTDA ME</v>
          </cell>
          <cell r="D493">
            <v>3351.38</v>
          </cell>
          <cell r="E493" t="str">
            <v>C</v>
          </cell>
          <cell r="G493">
            <v>3050.94</v>
          </cell>
          <cell r="H493">
            <v>1932.2</v>
          </cell>
          <cell r="I493">
            <v>-1118.74</v>
          </cell>
          <cell r="J493">
            <v>2232.64</v>
          </cell>
          <cell r="K493" t="str">
            <v>C</v>
          </cell>
        </row>
        <row r="494">
          <cell r="A494">
            <v>52630</v>
          </cell>
          <cell r="B494" t="str">
            <v>2.1.01.010.0227</v>
          </cell>
          <cell r="C494" t="str">
            <v xml:space="preserve">LEANDRO AVELAR VAZ </v>
          </cell>
          <cell r="D494">
            <v>12434.69</v>
          </cell>
          <cell r="E494" t="str">
            <v>C</v>
          </cell>
          <cell r="G494">
            <v>20389.509999999998</v>
          </cell>
          <cell r="H494">
            <v>23658.1</v>
          </cell>
          <cell r="I494">
            <v>3268.59</v>
          </cell>
          <cell r="J494">
            <v>15703.28</v>
          </cell>
          <cell r="K494" t="str">
            <v>C</v>
          </cell>
        </row>
        <row r="495">
          <cell r="A495">
            <v>1986</v>
          </cell>
          <cell r="B495" t="str">
            <v>2.1.01.010.0228</v>
          </cell>
          <cell r="C495" t="str">
            <v xml:space="preserve">LEITE E SOUZA CLINICA </v>
          </cell>
          <cell r="D495">
            <v>0</v>
          </cell>
          <cell r="E495" t="str">
            <v>C</v>
          </cell>
          <cell r="G495">
            <v>2290.79</v>
          </cell>
          <cell r="H495">
            <v>2290.79</v>
          </cell>
          <cell r="I495">
            <v>0</v>
          </cell>
          <cell r="J495">
            <v>0</v>
          </cell>
          <cell r="K495" t="str">
            <v>C</v>
          </cell>
        </row>
        <row r="496">
          <cell r="A496">
            <v>52980</v>
          </cell>
          <cell r="B496" t="str">
            <v>2.1.01.010.0229</v>
          </cell>
          <cell r="C496" t="str">
            <v xml:space="preserve">LEME E BARRETTO SERVICOS </v>
          </cell>
          <cell r="D496">
            <v>75.239999999999995</v>
          </cell>
          <cell r="E496" t="str">
            <v>C</v>
          </cell>
          <cell r="G496">
            <v>0</v>
          </cell>
          <cell r="H496">
            <v>0</v>
          </cell>
          <cell r="I496">
            <v>0</v>
          </cell>
          <cell r="J496">
            <v>75.239999999999995</v>
          </cell>
          <cell r="K496" t="str">
            <v>C</v>
          </cell>
        </row>
        <row r="497">
          <cell r="A497">
            <v>51519</v>
          </cell>
          <cell r="B497" t="str">
            <v>2.1.01.010.0232</v>
          </cell>
          <cell r="C497" t="str">
            <v xml:space="preserve">LUCALI SERVICOS MEDICOS </v>
          </cell>
          <cell r="D497">
            <v>66379.149999999994</v>
          </cell>
          <cell r="E497" t="str">
            <v>C</v>
          </cell>
          <cell r="G497">
            <v>66379.149999999994</v>
          </cell>
          <cell r="H497">
            <v>63016.36</v>
          </cell>
          <cell r="I497">
            <v>-3362.79</v>
          </cell>
          <cell r="J497">
            <v>63016.36</v>
          </cell>
          <cell r="K497" t="str">
            <v>C</v>
          </cell>
        </row>
        <row r="498">
          <cell r="A498">
            <v>52958</v>
          </cell>
          <cell r="B498" t="str">
            <v>2.1.01.010.0233</v>
          </cell>
          <cell r="C498" t="str">
            <v xml:space="preserve">LUIS OSCAR VALVERDE SERV </v>
          </cell>
          <cell r="D498">
            <v>21219.51</v>
          </cell>
          <cell r="E498" t="str">
            <v>C</v>
          </cell>
          <cell r="G498">
            <v>14462.59</v>
          </cell>
          <cell r="H498">
            <v>13038.67</v>
          </cell>
          <cell r="I498">
            <v>-1423.92</v>
          </cell>
          <cell r="J498">
            <v>19795.59</v>
          </cell>
          <cell r="K498" t="str">
            <v>C</v>
          </cell>
        </row>
        <row r="499">
          <cell r="A499">
            <v>52866</v>
          </cell>
          <cell r="B499" t="str">
            <v>2.1.01.010.0234</v>
          </cell>
          <cell r="C499" t="str">
            <v>MAA DE OLIVEIRA CLINICA ME</v>
          </cell>
          <cell r="D499">
            <v>1693.72</v>
          </cell>
          <cell r="E499" t="str">
            <v>C</v>
          </cell>
          <cell r="G499">
            <v>1693.72</v>
          </cell>
          <cell r="H499">
            <v>726.04</v>
          </cell>
          <cell r="I499">
            <v>-967.68</v>
          </cell>
          <cell r="J499">
            <v>726.04</v>
          </cell>
          <cell r="K499" t="str">
            <v>C</v>
          </cell>
        </row>
        <row r="500">
          <cell r="A500">
            <v>50937</v>
          </cell>
          <cell r="B500" t="str">
            <v>2.1.01.010.0237</v>
          </cell>
          <cell r="C500" t="str">
            <v xml:space="preserve">MS SERVICOS MEDICOS </v>
          </cell>
          <cell r="D500">
            <v>19900.25</v>
          </cell>
          <cell r="E500" t="str">
            <v>C</v>
          </cell>
          <cell r="G500">
            <v>19700</v>
          </cell>
          <cell r="H500">
            <v>21846.959999999999</v>
          </cell>
          <cell r="I500">
            <v>2146.96</v>
          </cell>
          <cell r="J500">
            <v>22047.21</v>
          </cell>
          <cell r="K500" t="str">
            <v>C</v>
          </cell>
        </row>
        <row r="501">
          <cell r="A501">
            <v>52789</v>
          </cell>
          <cell r="B501" t="str">
            <v>2.1.01.010.0238</v>
          </cell>
          <cell r="C501" t="str">
            <v xml:space="preserve">MD PIRES SERV DE ASSIST </v>
          </cell>
          <cell r="D501">
            <v>28.8</v>
          </cell>
          <cell r="E501" t="str">
            <v>C</v>
          </cell>
          <cell r="G501">
            <v>0</v>
          </cell>
          <cell r="H501">
            <v>0</v>
          </cell>
          <cell r="I501">
            <v>0</v>
          </cell>
          <cell r="J501">
            <v>28.8</v>
          </cell>
          <cell r="K501" t="str">
            <v>C</v>
          </cell>
        </row>
        <row r="502">
          <cell r="A502">
            <v>51656</v>
          </cell>
          <cell r="B502" t="str">
            <v>2.1.01.010.0242</v>
          </cell>
          <cell r="C502" t="str">
            <v xml:space="preserve">MARCELLE SA MACHADO </v>
          </cell>
          <cell r="D502">
            <v>88.4</v>
          </cell>
          <cell r="E502" t="str">
            <v>C</v>
          </cell>
          <cell r="G502">
            <v>0</v>
          </cell>
          <cell r="H502">
            <v>0</v>
          </cell>
          <cell r="I502">
            <v>0</v>
          </cell>
          <cell r="J502">
            <v>88.4</v>
          </cell>
          <cell r="K502" t="str">
            <v>C</v>
          </cell>
        </row>
        <row r="503">
          <cell r="A503">
            <v>1990</v>
          </cell>
          <cell r="B503" t="str">
            <v>2.1.01.010.0244</v>
          </cell>
          <cell r="C503" t="str">
            <v xml:space="preserve">MASTER PRO SAUDE SERV </v>
          </cell>
          <cell r="D503">
            <v>11486.45</v>
          </cell>
          <cell r="E503" t="str">
            <v>C</v>
          </cell>
          <cell r="G503">
            <v>4867.25</v>
          </cell>
          <cell r="H503">
            <v>12230.66</v>
          </cell>
          <cell r="I503">
            <v>7363.41</v>
          </cell>
          <cell r="J503">
            <v>18849.86</v>
          </cell>
          <cell r="K503" t="str">
            <v>C</v>
          </cell>
        </row>
        <row r="504">
          <cell r="A504">
            <v>51730</v>
          </cell>
          <cell r="B504" t="str">
            <v>2.1.01.010.0245</v>
          </cell>
          <cell r="C504" t="str">
            <v>MATER E VIDA</v>
          </cell>
          <cell r="D504">
            <v>341.12</v>
          </cell>
          <cell r="E504" t="str">
            <v>C</v>
          </cell>
          <cell r="G504">
            <v>0</v>
          </cell>
          <cell r="H504">
            <v>0</v>
          </cell>
          <cell r="I504">
            <v>0</v>
          </cell>
          <cell r="J504">
            <v>341.12</v>
          </cell>
          <cell r="K504" t="str">
            <v>C</v>
          </cell>
        </row>
        <row r="505">
          <cell r="A505">
            <v>1914</v>
          </cell>
          <cell r="B505" t="str">
            <v>2.1.01.010.0249</v>
          </cell>
          <cell r="C505" t="str">
            <v xml:space="preserve">MDR ASSES MED TRABALHO </v>
          </cell>
          <cell r="D505">
            <v>2039.01</v>
          </cell>
          <cell r="E505" t="str">
            <v>C</v>
          </cell>
          <cell r="G505">
            <v>2039.01</v>
          </cell>
          <cell r="H505">
            <v>2910.06</v>
          </cell>
          <cell r="I505">
            <v>871.05</v>
          </cell>
          <cell r="J505">
            <v>2910.06</v>
          </cell>
          <cell r="K505" t="str">
            <v>C</v>
          </cell>
        </row>
        <row r="506">
          <cell r="A506">
            <v>51040</v>
          </cell>
          <cell r="B506" t="str">
            <v>2.1.01.010.0251</v>
          </cell>
          <cell r="C506" t="str">
            <v xml:space="preserve">MED PAULISTA SERVICOS </v>
          </cell>
          <cell r="D506">
            <v>6254.04</v>
          </cell>
          <cell r="E506" t="str">
            <v>C</v>
          </cell>
          <cell r="G506">
            <v>5934.08</v>
          </cell>
          <cell r="H506">
            <v>5934.08</v>
          </cell>
          <cell r="I506">
            <v>0</v>
          </cell>
          <cell r="J506">
            <v>6254.04</v>
          </cell>
          <cell r="K506" t="str">
            <v>C</v>
          </cell>
        </row>
        <row r="507">
          <cell r="A507">
            <v>51208</v>
          </cell>
          <cell r="B507" t="str">
            <v>2.1.01.010.0252</v>
          </cell>
          <cell r="C507" t="str">
            <v xml:space="preserve">MEDCOSTA ASSISTENCIA </v>
          </cell>
          <cell r="D507">
            <v>12085.11</v>
          </cell>
          <cell r="E507" t="str">
            <v>C</v>
          </cell>
          <cell r="G507">
            <v>7469.29</v>
          </cell>
          <cell r="H507">
            <v>5619.59</v>
          </cell>
          <cell r="I507">
            <v>-1849.7</v>
          </cell>
          <cell r="J507">
            <v>10235.41</v>
          </cell>
          <cell r="K507" t="str">
            <v>C</v>
          </cell>
        </row>
        <row r="508">
          <cell r="A508">
            <v>52788</v>
          </cell>
          <cell r="B508" t="str">
            <v>2.1.01.010.0255</v>
          </cell>
          <cell r="C508" t="str">
            <v xml:space="preserve">MEDICO FACIL SERVICOS </v>
          </cell>
          <cell r="D508">
            <v>542.4</v>
          </cell>
          <cell r="E508" t="str">
            <v>C</v>
          </cell>
          <cell r="G508">
            <v>0</v>
          </cell>
          <cell r="H508">
            <v>0</v>
          </cell>
          <cell r="I508">
            <v>0</v>
          </cell>
          <cell r="J508">
            <v>542.4</v>
          </cell>
          <cell r="K508" t="str">
            <v>C</v>
          </cell>
        </row>
        <row r="509">
          <cell r="A509">
            <v>51282</v>
          </cell>
          <cell r="B509" t="str">
            <v>2.1.01.010.0256</v>
          </cell>
          <cell r="C509" t="str">
            <v xml:space="preserve">MEDSANTE SERVICOS </v>
          </cell>
          <cell r="D509">
            <v>6931.3</v>
          </cell>
          <cell r="E509" t="str">
            <v>C</v>
          </cell>
          <cell r="G509">
            <v>5351.01</v>
          </cell>
          <cell r="H509">
            <v>5136.03</v>
          </cell>
          <cell r="I509">
            <v>-214.98</v>
          </cell>
          <cell r="J509">
            <v>6716.32</v>
          </cell>
          <cell r="K509" t="str">
            <v>C</v>
          </cell>
        </row>
        <row r="510">
          <cell r="A510">
            <v>52053</v>
          </cell>
          <cell r="B510" t="str">
            <v>2.1.01.010.0259</v>
          </cell>
          <cell r="C510" t="str">
            <v xml:space="preserve">MEZZAVILLA FERREIRA SERV </v>
          </cell>
          <cell r="D510">
            <v>7086.08</v>
          </cell>
          <cell r="E510" t="str">
            <v>C</v>
          </cell>
          <cell r="G510">
            <v>39559.03</v>
          </cell>
          <cell r="H510">
            <v>42656.47</v>
          </cell>
          <cell r="I510">
            <v>3097.44</v>
          </cell>
          <cell r="J510">
            <v>10183.52</v>
          </cell>
          <cell r="K510" t="str">
            <v>C</v>
          </cell>
        </row>
        <row r="511">
          <cell r="A511">
            <v>52760</v>
          </cell>
          <cell r="B511" t="str">
            <v>2.1.01.010.0261</v>
          </cell>
          <cell r="C511" t="str">
            <v xml:space="preserve">MIOLA E MENEZES SERVICOS </v>
          </cell>
          <cell r="D511">
            <v>3305.33</v>
          </cell>
          <cell r="E511" t="str">
            <v>C</v>
          </cell>
          <cell r="G511">
            <v>0</v>
          </cell>
          <cell r="H511">
            <v>0</v>
          </cell>
          <cell r="I511">
            <v>0</v>
          </cell>
          <cell r="J511">
            <v>3305.33</v>
          </cell>
          <cell r="K511" t="str">
            <v>C</v>
          </cell>
        </row>
        <row r="512">
          <cell r="A512">
            <v>51226</v>
          </cell>
          <cell r="B512" t="str">
            <v>2.1.01.010.0263</v>
          </cell>
          <cell r="C512" t="str">
            <v xml:space="preserve">MORAES E SANCHES </v>
          </cell>
          <cell r="D512">
            <v>580.65</v>
          </cell>
          <cell r="E512" t="str">
            <v>C</v>
          </cell>
          <cell r="G512">
            <v>7550.02</v>
          </cell>
          <cell r="H512">
            <v>8729.6299999999992</v>
          </cell>
          <cell r="I512">
            <v>1179.6099999999999</v>
          </cell>
          <cell r="J512">
            <v>1760.26</v>
          </cell>
          <cell r="K512" t="str">
            <v>C</v>
          </cell>
        </row>
        <row r="513">
          <cell r="A513">
            <v>50951</v>
          </cell>
          <cell r="B513" t="str">
            <v>2.1.01.010.0264</v>
          </cell>
          <cell r="C513" t="str">
            <v xml:space="preserve">MOURA E BERNARDO SERV </v>
          </cell>
          <cell r="D513">
            <v>4046.95</v>
          </cell>
          <cell r="E513" t="str">
            <v>C</v>
          </cell>
          <cell r="G513">
            <v>9753.5</v>
          </cell>
          <cell r="H513">
            <v>5813.5</v>
          </cell>
          <cell r="I513">
            <v>-3940</v>
          </cell>
          <cell r="J513">
            <v>106.95</v>
          </cell>
          <cell r="K513" t="str">
            <v>C</v>
          </cell>
        </row>
        <row r="514">
          <cell r="A514">
            <v>34223</v>
          </cell>
          <cell r="B514" t="str">
            <v>2.1.01.010.0265</v>
          </cell>
          <cell r="C514" t="str">
            <v xml:space="preserve">MOURA E VOLU SERVICOS </v>
          </cell>
          <cell r="D514">
            <v>17663.09</v>
          </cell>
          <cell r="E514" t="str">
            <v>C</v>
          </cell>
          <cell r="G514">
            <v>17705.490000000002</v>
          </cell>
          <cell r="H514">
            <v>20365.86</v>
          </cell>
          <cell r="I514">
            <v>2660.37</v>
          </cell>
          <cell r="J514">
            <v>20323.46</v>
          </cell>
          <cell r="K514" t="str">
            <v>C</v>
          </cell>
        </row>
        <row r="515">
          <cell r="A515">
            <v>51660</v>
          </cell>
          <cell r="B515" t="str">
            <v>2.1.01.010.0267</v>
          </cell>
          <cell r="C515" t="str">
            <v>NAME RADIOLOGIA LTDA</v>
          </cell>
          <cell r="D515">
            <v>6767.69</v>
          </cell>
          <cell r="E515" t="str">
            <v>C</v>
          </cell>
          <cell r="G515">
            <v>6767.69</v>
          </cell>
          <cell r="H515">
            <v>3535.16</v>
          </cell>
          <cell r="I515">
            <v>-3232.53</v>
          </cell>
          <cell r="J515">
            <v>3535.16</v>
          </cell>
          <cell r="K515" t="str">
            <v>C</v>
          </cell>
        </row>
        <row r="516">
          <cell r="A516">
            <v>12185</v>
          </cell>
          <cell r="B516" t="str">
            <v>2.1.01.010.0268</v>
          </cell>
          <cell r="C516" t="str">
            <v xml:space="preserve">NAO UTILIZAR - HON MED </v>
          </cell>
          <cell r="D516">
            <v>1481.4</v>
          </cell>
          <cell r="E516" t="str">
            <v>C</v>
          </cell>
          <cell r="G516">
            <v>0</v>
          </cell>
          <cell r="H516">
            <v>0</v>
          </cell>
          <cell r="I516">
            <v>0</v>
          </cell>
          <cell r="J516">
            <v>1481.4</v>
          </cell>
          <cell r="K516" t="str">
            <v>C</v>
          </cell>
        </row>
        <row r="517">
          <cell r="A517">
            <v>1995</v>
          </cell>
          <cell r="B517" t="str">
            <v>2.1.01.010.0269</v>
          </cell>
          <cell r="C517" t="str">
            <v>NEFROCOR SC LTDA</v>
          </cell>
          <cell r="D517">
            <v>82.8</v>
          </cell>
          <cell r="E517" t="str">
            <v>C</v>
          </cell>
          <cell r="G517">
            <v>0</v>
          </cell>
          <cell r="H517">
            <v>0</v>
          </cell>
          <cell r="I517">
            <v>0</v>
          </cell>
          <cell r="J517">
            <v>82.8</v>
          </cell>
          <cell r="K517" t="str">
            <v>C</v>
          </cell>
        </row>
        <row r="518">
          <cell r="A518">
            <v>1996</v>
          </cell>
          <cell r="B518" t="str">
            <v>2.1.01.010.0270</v>
          </cell>
          <cell r="C518" t="str">
            <v>NEFROMED SC LTDA ( * )</v>
          </cell>
          <cell r="D518">
            <v>1621903.65</v>
          </cell>
          <cell r="E518" t="str">
            <v>C</v>
          </cell>
          <cell r="G518">
            <v>891237.72</v>
          </cell>
          <cell r="H518">
            <v>902941.48</v>
          </cell>
          <cell r="I518">
            <v>11703.76</v>
          </cell>
          <cell r="J518">
            <v>1633607.41</v>
          </cell>
          <cell r="K518" t="str">
            <v>C</v>
          </cell>
        </row>
        <row r="519">
          <cell r="A519">
            <v>51797</v>
          </cell>
          <cell r="B519" t="str">
            <v>2.1.01.010.0273</v>
          </cell>
          <cell r="C519" t="str">
            <v xml:space="preserve">NEOCARE SERVICOS </v>
          </cell>
          <cell r="D519">
            <v>29707.599999999999</v>
          </cell>
          <cell r="E519" t="str">
            <v>C</v>
          </cell>
          <cell r="G519">
            <v>29707.599999999999</v>
          </cell>
          <cell r="H519">
            <v>31410.66</v>
          </cell>
          <cell r="I519">
            <v>1703.06</v>
          </cell>
          <cell r="J519">
            <v>31410.66</v>
          </cell>
          <cell r="K519" t="str">
            <v>C</v>
          </cell>
        </row>
        <row r="520">
          <cell r="A520">
            <v>53024</v>
          </cell>
          <cell r="B520" t="str">
            <v>2.1.01.010.0276</v>
          </cell>
          <cell r="C520" t="str">
            <v xml:space="preserve">NISHICOR SERVICOS </v>
          </cell>
          <cell r="D520">
            <v>9031.06</v>
          </cell>
          <cell r="E520" t="str">
            <v>C</v>
          </cell>
          <cell r="G520">
            <v>37849.56</v>
          </cell>
          <cell r="H520">
            <v>37532.11</v>
          </cell>
          <cell r="I520">
            <v>-317.45</v>
          </cell>
          <cell r="J520">
            <v>8713.61</v>
          </cell>
          <cell r="K520" t="str">
            <v>C</v>
          </cell>
        </row>
        <row r="521">
          <cell r="A521">
            <v>51771</v>
          </cell>
          <cell r="B521" t="str">
            <v>2.1.01.010.0279</v>
          </cell>
          <cell r="C521" t="str">
            <v>NUCLEAR SERVICE LTDA</v>
          </cell>
          <cell r="D521">
            <v>535.86</v>
          </cell>
          <cell r="E521" t="str">
            <v>C</v>
          </cell>
          <cell r="G521">
            <v>22525.439999999999</v>
          </cell>
          <cell r="H521">
            <v>22620.84</v>
          </cell>
          <cell r="I521">
            <v>95.4</v>
          </cell>
          <cell r="J521">
            <v>631.26</v>
          </cell>
          <cell r="K521" t="str">
            <v>C</v>
          </cell>
        </row>
        <row r="522">
          <cell r="A522">
            <v>38856</v>
          </cell>
          <cell r="B522" t="str">
            <v>2.1.01.010.0280</v>
          </cell>
          <cell r="C522" t="str">
            <v xml:space="preserve">NUCLEO DE CIRURGIA DA </v>
          </cell>
          <cell r="D522">
            <v>319.8</v>
          </cell>
          <cell r="E522" t="str">
            <v>C</v>
          </cell>
          <cell r="G522">
            <v>0</v>
          </cell>
          <cell r="H522">
            <v>0</v>
          </cell>
          <cell r="I522">
            <v>0</v>
          </cell>
          <cell r="J522">
            <v>319.8</v>
          </cell>
          <cell r="K522" t="str">
            <v>C</v>
          </cell>
        </row>
        <row r="523">
          <cell r="A523">
            <v>52867</v>
          </cell>
          <cell r="B523" t="str">
            <v>2.1.01.010.0281</v>
          </cell>
          <cell r="C523" t="str">
            <v xml:space="preserve">NUNES E MARTINS CLINICA </v>
          </cell>
          <cell r="D523">
            <v>65.599999999999994</v>
          </cell>
          <cell r="E523" t="str">
            <v>C</v>
          </cell>
          <cell r="G523">
            <v>0</v>
          </cell>
          <cell r="H523">
            <v>0</v>
          </cell>
          <cell r="I523">
            <v>0</v>
          </cell>
          <cell r="J523">
            <v>65.599999999999994</v>
          </cell>
          <cell r="K523" t="str">
            <v>C</v>
          </cell>
        </row>
        <row r="524">
          <cell r="A524">
            <v>2000</v>
          </cell>
          <cell r="B524" t="str">
            <v>2.1.01.010.0284</v>
          </cell>
          <cell r="C524" t="str">
            <v xml:space="preserve">OFTALMOCLINICA R E L SC </v>
          </cell>
          <cell r="D524">
            <v>50.01</v>
          </cell>
          <cell r="E524" t="str">
            <v>C</v>
          </cell>
          <cell r="G524">
            <v>0</v>
          </cell>
          <cell r="H524">
            <v>0</v>
          </cell>
          <cell r="I524">
            <v>0</v>
          </cell>
          <cell r="J524">
            <v>50.01</v>
          </cell>
          <cell r="K524" t="str">
            <v>C</v>
          </cell>
        </row>
        <row r="525">
          <cell r="A525">
            <v>37909</v>
          </cell>
          <cell r="B525" t="str">
            <v>2.1.01.010.0287</v>
          </cell>
          <cell r="C525" t="str">
            <v>ORLANDI CLINICA MEDICA EPP</v>
          </cell>
          <cell r="D525">
            <v>11282.62</v>
          </cell>
          <cell r="E525" t="str">
            <v>C</v>
          </cell>
          <cell r="G525">
            <v>2836.8</v>
          </cell>
          <cell r="H525">
            <v>3293.51</v>
          </cell>
          <cell r="I525">
            <v>456.71</v>
          </cell>
          <cell r="J525">
            <v>11739.33</v>
          </cell>
          <cell r="K525" t="str">
            <v>C</v>
          </cell>
        </row>
        <row r="526">
          <cell r="A526">
            <v>2002</v>
          </cell>
          <cell r="B526" t="str">
            <v>2.1.01.010.0288</v>
          </cell>
          <cell r="C526" t="str">
            <v xml:space="preserve">ORTHOEM SERVICOS </v>
          </cell>
          <cell r="D526">
            <v>2300.6799999999998</v>
          </cell>
          <cell r="E526" t="str">
            <v>C</v>
          </cell>
          <cell r="G526">
            <v>0</v>
          </cell>
          <cell r="H526">
            <v>0</v>
          </cell>
          <cell r="I526">
            <v>0</v>
          </cell>
          <cell r="J526">
            <v>2300.6799999999998</v>
          </cell>
          <cell r="K526" t="str">
            <v>C</v>
          </cell>
        </row>
        <row r="527">
          <cell r="A527">
            <v>51683</v>
          </cell>
          <cell r="B527" t="str">
            <v>2.1.01.010.0292</v>
          </cell>
          <cell r="C527" t="str">
            <v>PR ROSSI E CIA LTDA ME</v>
          </cell>
          <cell r="D527">
            <v>3000</v>
          </cell>
          <cell r="E527" t="str">
            <v>C</v>
          </cell>
          <cell r="G527">
            <v>3000</v>
          </cell>
          <cell r="H527">
            <v>3000</v>
          </cell>
          <cell r="I527">
            <v>0</v>
          </cell>
          <cell r="J527">
            <v>3000</v>
          </cell>
          <cell r="K527" t="str">
            <v>C</v>
          </cell>
        </row>
        <row r="528">
          <cell r="A528">
            <v>51731</v>
          </cell>
          <cell r="B528" t="str">
            <v>2.1.01.010.0301</v>
          </cell>
          <cell r="C528" t="str">
            <v xml:space="preserve">PICINATO CAETANO E </v>
          </cell>
          <cell r="D528">
            <v>326.2</v>
          </cell>
          <cell r="E528" t="str">
            <v>C</v>
          </cell>
          <cell r="G528">
            <v>0</v>
          </cell>
          <cell r="H528">
            <v>0</v>
          </cell>
          <cell r="I528">
            <v>0</v>
          </cell>
          <cell r="J528">
            <v>326.2</v>
          </cell>
          <cell r="K528" t="str">
            <v>C</v>
          </cell>
        </row>
        <row r="529">
          <cell r="A529">
            <v>2009</v>
          </cell>
          <cell r="B529" t="str">
            <v>2.1.01.010.0302</v>
          </cell>
          <cell r="C529" t="str">
            <v xml:space="preserve">PLANI DIAGNOSTICOS </v>
          </cell>
          <cell r="D529">
            <v>0</v>
          </cell>
          <cell r="E529" t="str">
            <v>C</v>
          </cell>
          <cell r="G529">
            <v>0</v>
          </cell>
          <cell r="H529">
            <v>3214.75</v>
          </cell>
          <cell r="I529">
            <v>3214.75</v>
          </cell>
          <cell r="J529">
            <v>3214.75</v>
          </cell>
          <cell r="K529" t="str">
            <v>C</v>
          </cell>
        </row>
        <row r="530">
          <cell r="A530">
            <v>37431</v>
          </cell>
          <cell r="B530" t="str">
            <v>2.1.01.010.0303</v>
          </cell>
          <cell r="C530" t="str">
            <v xml:space="preserve">PLASTICA PEREIRA TAKAKI </v>
          </cell>
          <cell r="D530">
            <v>0</v>
          </cell>
          <cell r="E530" t="str">
            <v>C</v>
          </cell>
          <cell r="G530">
            <v>19340.96</v>
          </cell>
          <cell r="H530">
            <v>19340.96</v>
          </cell>
          <cell r="I530">
            <v>0</v>
          </cell>
          <cell r="J530">
            <v>0</v>
          </cell>
          <cell r="K530" t="str">
            <v>C</v>
          </cell>
        </row>
        <row r="531">
          <cell r="A531">
            <v>2012</v>
          </cell>
          <cell r="B531" t="str">
            <v>2.1.01.010.0309</v>
          </cell>
          <cell r="C531" t="str">
            <v xml:space="preserve">PRONTO VIDA EMERGENCIAS </v>
          </cell>
          <cell r="D531">
            <v>4671.04</v>
          </cell>
          <cell r="E531" t="str">
            <v>C</v>
          </cell>
          <cell r="G531">
            <v>4671.04</v>
          </cell>
          <cell r="H531">
            <v>1509.92</v>
          </cell>
          <cell r="I531">
            <v>-3161.12</v>
          </cell>
          <cell r="J531">
            <v>1509.92</v>
          </cell>
          <cell r="K531" t="str">
            <v>C</v>
          </cell>
        </row>
        <row r="532">
          <cell r="A532">
            <v>2013</v>
          </cell>
          <cell r="B532" t="str">
            <v>2.1.01.010.0312</v>
          </cell>
          <cell r="C532" t="str">
            <v xml:space="preserve">QUIRON CLINICA MEDICA SC </v>
          </cell>
          <cell r="D532">
            <v>379.22</v>
          </cell>
          <cell r="E532" t="str">
            <v>C</v>
          </cell>
          <cell r="G532">
            <v>0</v>
          </cell>
          <cell r="H532">
            <v>0</v>
          </cell>
          <cell r="I532">
            <v>0</v>
          </cell>
          <cell r="J532">
            <v>379.22</v>
          </cell>
          <cell r="K532" t="str">
            <v>C</v>
          </cell>
        </row>
        <row r="533">
          <cell r="A533">
            <v>52556</v>
          </cell>
          <cell r="B533" t="str">
            <v>2.1.01.010.0313</v>
          </cell>
          <cell r="C533" t="str">
            <v xml:space="preserve">RET SERVICOS MEDICOS SS </v>
          </cell>
          <cell r="D533">
            <v>27390.7</v>
          </cell>
          <cell r="E533" t="str">
            <v>C</v>
          </cell>
          <cell r="G533">
            <v>12575.52</v>
          </cell>
          <cell r="H533">
            <v>21709.200000000001</v>
          </cell>
          <cell r="I533">
            <v>9133.68</v>
          </cell>
          <cell r="J533">
            <v>36524.379999999997</v>
          </cell>
          <cell r="K533" t="str">
            <v>C</v>
          </cell>
        </row>
        <row r="534">
          <cell r="A534">
            <v>37038</v>
          </cell>
          <cell r="B534" t="str">
            <v>2.1.01.010.0314</v>
          </cell>
          <cell r="C534" t="str">
            <v xml:space="preserve">RAAJ8 SERVICOS EM </v>
          </cell>
          <cell r="D534">
            <v>19797.72</v>
          </cell>
          <cell r="E534" t="str">
            <v>C</v>
          </cell>
          <cell r="G534">
            <v>19162.03</v>
          </cell>
          <cell r="H534">
            <v>25063.85</v>
          </cell>
          <cell r="I534">
            <v>5901.82</v>
          </cell>
          <cell r="J534">
            <v>25699.54</v>
          </cell>
          <cell r="K534" t="str">
            <v>C</v>
          </cell>
        </row>
        <row r="535">
          <cell r="A535">
            <v>51676</v>
          </cell>
          <cell r="B535" t="str">
            <v>2.1.01.010.0315</v>
          </cell>
          <cell r="C535" t="str">
            <v>RADIOLL DO VALE</v>
          </cell>
          <cell r="D535">
            <v>83.51</v>
          </cell>
          <cell r="E535" t="str">
            <v>C</v>
          </cell>
          <cell r="G535">
            <v>0</v>
          </cell>
          <cell r="H535">
            <v>0</v>
          </cell>
          <cell r="I535">
            <v>0</v>
          </cell>
          <cell r="J535">
            <v>83.51</v>
          </cell>
          <cell r="K535" t="str">
            <v>C</v>
          </cell>
        </row>
        <row r="536">
          <cell r="A536">
            <v>36619</v>
          </cell>
          <cell r="B536" t="str">
            <v>2.1.01.010.0316</v>
          </cell>
          <cell r="C536" t="str">
            <v xml:space="preserve">RADIOVASC SERVICOS </v>
          </cell>
          <cell r="D536">
            <v>0</v>
          </cell>
          <cell r="E536" t="str">
            <v>C</v>
          </cell>
          <cell r="G536">
            <v>1695.27</v>
          </cell>
          <cell r="H536">
            <v>1695.27</v>
          </cell>
          <cell r="I536">
            <v>0</v>
          </cell>
          <cell r="J536">
            <v>0</v>
          </cell>
          <cell r="K536" t="str">
            <v>C</v>
          </cell>
        </row>
        <row r="537">
          <cell r="A537">
            <v>51808</v>
          </cell>
          <cell r="B537" t="str">
            <v>2.1.01.010.0319</v>
          </cell>
          <cell r="C537" t="str">
            <v xml:space="preserve">REFER SAUDE SERVICOS </v>
          </cell>
          <cell r="D537">
            <v>661.92</v>
          </cell>
          <cell r="E537" t="str">
            <v>C</v>
          </cell>
          <cell r="G537">
            <v>0</v>
          </cell>
          <cell r="H537">
            <v>0</v>
          </cell>
          <cell r="I537">
            <v>0</v>
          </cell>
          <cell r="J537">
            <v>661.92</v>
          </cell>
          <cell r="K537" t="str">
            <v>C</v>
          </cell>
        </row>
        <row r="538">
          <cell r="A538">
            <v>52307</v>
          </cell>
          <cell r="B538" t="str">
            <v>2.1.01.010.0320</v>
          </cell>
          <cell r="C538" t="str">
            <v xml:space="preserve">RG FRIGGI CONSULTORIO </v>
          </cell>
          <cell r="D538">
            <v>4609.8</v>
          </cell>
          <cell r="E538" t="str">
            <v>C</v>
          </cell>
          <cell r="G538">
            <v>4609.8</v>
          </cell>
          <cell r="H538">
            <v>3380.52</v>
          </cell>
          <cell r="I538">
            <v>-1229.28</v>
          </cell>
          <cell r="J538">
            <v>3380.52</v>
          </cell>
          <cell r="K538" t="str">
            <v>C</v>
          </cell>
        </row>
        <row r="539">
          <cell r="A539">
            <v>51214</v>
          </cell>
          <cell r="B539" t="str">
            <v>2.1.01.010.0321</v>
          </cell>
          <cell r="C539" t="str">
            <v xml:space="preserve">RM MEDICINA OCUPACIONAL </v>
          </cell>
          <cell r="D539">
            <v>17728.77</v>
          </cell>
          <cell r="E539" t="str">
            <v>C</v>
          </cell>
          <cell r="G539">
            <v>17728.77</v>
          </cell>
          <cell r="H539">
            <v>17728.77</v>
          </cell>
          <cell r="I539">
            <v>0</v>
          </cell>
          <cell r="J539">
            <v>17728.77</v>
          </cell>
          <cell r="K539" t="str">
            <v>C</v>
          </cell>
        </row>
        <row r="540">
          <cell r="A540">
            <v>2017</v>
          </cell>
          <cell r="B540" t="str">
            <v>2.1.01.010.0325</v>
          </cell>
          <cell r="C540" t="str">
            <v xml:space="preserve">ROUBAUD E ROUBAUD </v>
          </cell>
          <cell r="D540">
            <v>82800.94</v>
          </cell>
          <cell r="E540" t="str">
            <v>C</v>
          </cell>
          <cell r="G540">
            <v>93375.8</v>
          </cell>
          <cell r="H540">
            <v>86991.27</v>
          </cell>
          <cell r="I540">
            <v>-6384.53</v>
          </cell>
          <cell r="J540">
            <v>76416.41</v>
          </cell>
          <cell r="K540" t="str">
            <v>C</v>
          </cell>
        </row>
        <row r="541">
          <cell r="A541">
            <v>52790</v>
          </cell>
          <cell r="B541" t="str">
            <v>2.1.01.010.0326</v>
          </cell>
          <cell r="C541" t="str">
            <v xml:space="preserve">RTM SERVICOS MEDICOS </v>
          </cell>
          <cell r="D541">
            <v>1050.68</v>
          </cell>
          <cell r="E541" t="str">
            <v>C</v>
          </cell>
          <cell r="G541">
            <v>15920.25</v>
          </cell>
          <cell r="H541">
            <v>16337.57</v>
          </cell>
          <cell r="I541">
            <v>417.32</v>
          </cell>
          <cell r="J541">
            <v>1468</v>
          </cell>
          <cell r="K541" t="str">
            <v>C</v>
          </cell>
        </row>
        <row r="542">
          <cell r="A542">
            <v>51332</v>
          </cell>
          <cell r="B542" t="str">
            <v>2.1.01.010.0329</v>
          </cell>
          <cell r="C542" t="str">
            <v xml:space="preserve">SAKIHARA E PIVA CLINICA </v>
          </cell>
          <cell r="D542">
            <v>3583.09</v>
          </cell>
          <cell r="E542" t="str">
            <v>C</v>
          </cell>
          <cell r="G542">
            <v>3343.09</v>
          </cell>
          <cell r="H542">
            <v>24518.62</v>
          </cell>
          <cell r="I542">
            <v>21175.53</v>
          </cell>
          <cell r="J542">
            <v>24758.62</v>
          </cell>
          <cell r="K542" t="str">
            <v>C</v>
          </cell>
        </row>
        <row r="543">
          <cell r="A543">
            <v>33031</v>
          </cell>
          <cell r="B543" t="str">
            <v>2.1.01.010.0332</v>
          </cell>
          <cell r="C543" t="str">
            <v xml:space="preserve">SANO E VEIGA SERVICOS </v>
          </cell>
          <cell r="D543">
            <v>17275.37</v>
          </cell>
          <cell r="E543" t="str">
            <v>C</v>
          </cell>
          <cell r="G543">
            <v>16560</v>
          </cell>
          <cell r="H543">
            <v>26166</v>
          </cell>
          <cell r="I543">
            <v>9606</v>
          </cell>
          <cell r="J543">
            <v>26881.37</v>
          </cell>
          <cell r="K543" t="str">
            <v>C</v>
          </cell>
        </row>
        <row r="544">
          <cell r="A544">
            <v>52631</v>
          </cell>
          <cell r="B544" t="str">
            <v>2.1.01.010.0333</v>
          </cell>
          <cell r="C544" t="str">
            <v xml:space="preserve">SANTOS SAUDE SERV </v>
          </cell>
          <cell r="D544">
            <v>526.82000000000005</v>
          </cell>
          <cell r="E544" t="str">
            <v>C</v>
          </cell>
          <cell r="G544">
            <v>0</v>
          </cell>
          <cell r="H544">
            <v>0</v>
          </cell>
          <cell r="I544">
            <v>0</v>
          </cell>
          <cell r="J544">
            <v>526.82000000000005</v>
          </cell>
          <cell r="K544" t="str">
            <v>C</v>
          </cell>
        </row>
        <row r="545">
          <cell r="A545">
            <v>52865</v>
          </cell>
          <cell r="B545" t="str">
            <v>2.1.01.010.0334</v>
          </cell>
          <cell r="C545" t="str">
            <v xml:space="preserve">SAUDE VIDA SERV MED E </v>
          </cell>
          <cell r="D545">
            <v>3787.6</v>
          </cell>
          <cell r="E545" t="str">
            <v>C</v>
          </cell>
          <cell r="G545">
            <v>0</v>
          </cell>
          <cell r="H545">
            <v>224.8</v>
          </cell>
          <cell r="I545">
            <v>224.8</v>
          </cell>
          <cell r="J545">
            <v>4012.4</v>
          </cell>
          <cell r="K545" t="str">
            <v>C</v>
          </cell>
        </row>
        <row r="546">
          <cell r="A546">
            <v>52326</v>
          </cell>
          <cell r="B546" t="str">
            <v>2.1.01.010.0336</v>
          </cell>
          <cell r="C546" t="str">
            <v xml:space="preserve">SD SERVICOS MEDICOS LTDA </v>
          </cell>
          <cell r="D546">
            <v>1671.86</v>
          </cell>
          <cell r="E546" t="str">
            <v>C</v>
          </cell>
          <cell r="G546">
            <v>0</v>
          </cell>
          <cell r="H546">
            <v>0</v>
          </cell>
          <cell r="I546">
            <v>0</v>
          </cell>
          <cell r="J546">
            <v>1671.86</v>
          </cell>
          <cell r="K546" t="str">
            <v>C</v>
          </cell>
        </row>
        <row r="547">
          <cell r="A547">
            <v>52592</v>
          </cell>
          <cell r="B547" t="str">
            <v>2.1.01.010.0338</v>
          </cell>
          <cell r="C547" t="str">
            <v xml:space="preserve">SERMED SERVICOS MEDICOS </v>
          </cell>
          <cell r="D547">
            <v>7932.46</v>
          </cell>
          <cell r="E547" t="str">
            <v>C</v>
          </cell>
          <cell r="G547">
            <v>9577.14</v>
          </cell>
          <cell r="H547">
            <v>6603.45</v>
          </cell>
          <cell r="I547">
            <v>-2973.69</v>
          </cell>
          <cell r="J547">
            <v>4958.7700000000004</v>
          </cell>
          <cell r="K547" t="str">
            <v>C</v>
          </cell>
        </row>
        <row r="548">
          <cell r="A548">
            <v>51192</v>
          </cell>
          <cell r="B548" t="str">
            <v>2.1.01.010.0339</v>
          </cell>
          <cell r="C548" t="str">
            <v>SERMEP S S LTDA ME</v>
          </cell>
          <cell r="D548">
            <v>6071</v>
          </cell>
          <cell r="E548" t="str">
            <v>C</v>
          </cell>
          <cell r="G548">
            <v>30569.79</v>
          </cell>
          <cell r="H548">
            <v>30288.37</v>
          </cell>
          <cell r="I548">
            <v>-281.42</v>
          </cell>
          <cell r="J548">
            <v>5789.58</v>
          </cell>
          <cell r="K548" t="str">
            <v>C</v>
          </cell>
        </row>
        <row r="549">
          <cell r="A549">
            <v>2022</v>
          </cell>
          <cell r="B549" t="str">
            <v>2.1.01.010.0340</v>
          </cell>
          <cell r="C549" t="str">
            <v xml:space="preserve">SERVICO DE HEMOTERAPIA </v>
          </cell>
          <cell r="D549">
            <v>0</v>
          </cell>
          <cell r="E549" t="str">
            <v>C</v>
          </cell>
          <cell r="G549">
            <v>108105.42</v>
          </cell>
          <cell r="H549">
            <v>108105.42</v>
          </cell>
          <cell r="I549">
            <v>0</v>
          </cell>
          <cell r="J549">
            <v>0</v>
          </cell>
          <cell r="K549" t="str">
            <v>C</v>
          </cell>
        </row>
        <row r="550">
          <cell r="A550">
            <v>2024</v>
          </cell>
          <cell r="B550" t="str">
            <v>2.1.01.010.0342</v>
          </cell>
          <cell r="C550" t="str">
            <v xml:space="preserve">SERVICOS MEDICOS </v>
          </cell>
          <cell r="D550">
            <v>9593.3700000000008</v>
          </cell>
          <cell r="E550" t="str">
            <v>C</v>
          </cell>
          <cell r="G550">
            <v>8968.2800000000007</v>
          </cell>
          <cell r="H550">
            <v>7812.5</v>
          </cell>
          <cell r="I550">
            <v>-1155.78</v>
          </cell>
          <cell r="J550">
            <v>8437.59</v>
          </cell>
          <cell r="K550" t="str">
            <v>C</v>
          </cell>
        </row>
        <row r="551">
          <cell r="A551">
            <v>2025</v>
          </cell>
          <cell r="B551" t="str">
            <v>2.1.01.010.0343</v>
          </cell>
          <cell r="C551" t="str">
            <v xml:space="preserve">SERVPED SERVICOS </v>
          </cell>
          <cell r="D551">
            <v>7311.65</v>
          </cell>
          <cell r="E551" t="str">
            <v>C</v>
          </cell>
          <cell r="G551">
            <v>6146.4</v>
          </cell>
          <cell r="H551">
            <v>5070.78</v>
          </cell>
          <cell r="I551">
            <v>-1075.6199999999999</v>
          </cell>
          <cell r="J551">
            <v>6236.03</v>
          </cell>
          <cell r="K551" t="str">
            <v>C</v>
          </cell>
        </row>
        <row r="552">
          <cell r="A552">
            <v>51485</v>
          </cell>
          <cell r="B552" t="str">
            <v>2.1.01.010.0344</v>
          </cell>
          <cell r="C552" t="str">
            <v xml:space="preserve">SGARBI MARTINS SERVICOS </v>
          </cell>
          <cell r="D552">
            <v>12549.39</v>
          </cell>
          <cell r="E552" t="str">
            <v>C</v>
          </cell>
          <cell r="G552">
            <v>8091.2</v>
          </cell>
          <cell r="H552">
            <v>7801.46</v>
          </cell>
          <cell r="I552">
            <v>-289.74</v>
          </cell>
          <cell r="J552">
            <v>12259.65</v>
          </cell>
          <cell r="K552" t="str">
            <v>C</v>
          </cell>
        </row>
        <row r="553">
          <cell r="A553">
            <v>51114</v>
          </cell>
          <cell r="B553" t="str">
            <v>2.1.01.010.0345</v>
          </cell>
          <cell r="C553" t="str">
            <v xml:space="preserve">SILVEIRAS SERVICOS </v>
          </cell>
          <cell r="D553">
            <v>4268.1899999999996</v>
          </cell>
          <cell r="E553" t="str">
            <v>C</v>
          </cell>
          <cell r="G553">
            <v>4172.57</v>
          </cell>
          <cell r="H553">
            <v>3239.59</v>
          </cell>
          <cell r="I553">
            <v>-932.98</v>
          </cell>
          <cell r="J553">
            <v>3335.21</v>
          </cell>
          <cell r="K553" t="str">
            <v>C</v>
          </cell>
        </row>
        <row r="554">
          <cell r="A554">
            <v>51741</v>
          </cell>
          <cell r="B554" t="str">
            <v>2.1.01.010.0350</v>
          </cell>
          <cell r="C554" t="str">
            <v xml:space="preserve">SOUZA E MARQUES MEDICINA  </v>
          </cell>
          <cell r="D554">
            <v>20337.259999999998</v>
          </cell>
          <cell r="E554" t="str">
            <v>C</v>
          </cell>
          <cell r="G554">
            <v>20337.259999999998</v>
          </cell>
          <cell r="H554">
            <v>16209.56</v>
          </cell>
          <cell r="I554">
            <v>-4127.7</v>
          </cell>
          <cell r="J554">
            <v>16209.56</v>
          </cell>
          <cell r="K554" t="str">
            <v>C</v>
          </cell>
        </row>
        <row r="555">
          <cell r="A555">
            <v>38198</v>
          </cell>
          <cell r="B555" t="str">
            <v>2.1.01.010.0351</v>
          </cell>
          <cell r="C555" t="str">
            <v xml:space="preserve">SPINE VALE SERV MED PATOL </v>
          </cell>
          <cell r="D555">
            <v>2591.02</v>
          </cell>
          <cell r="E555" t="str">
            <v>C</v>
          </cell>
          <cell r="G555">
            <v>0</v>
          </cell>
          <cell r="H555">
            <v>0</v>
          </cell>
          <cell r="I555">
            <v>0</v>
          </cell>
          <cell r="J555">
            <v>2591.02</v>
          </cell>
          <cell r="K555" t="str">
            <v>C</v>
          </cell>
        </row>
        <row r="556">
          <cell r="A556">
            <v>37812</v>
          </cell>
          <cell r="B556" t="str">
            <v>2.1.01.010.0352</v>
          </cell>
          <cell r="C556" t="str">
            <v xml:space="preserve">SQUASSONI E UOZOMI </v>
          </cell>
          <cell r="D556">
            <v>8576.48</v>
          </cell>
          <cell r="E556" t="str">
            <v>C</v>
          </cell>
          <cell r="G556">
            <v>5351.01</v>
          </cell>
          <cell r="H556">
            <v>6224.17</v>
          </cell>
          <cell r="I556">
            <v>873.16</v>
          </cell>
          <cell r="J556">
            <v>9449.64</v>
          </cell>
          <cell r="K556" t="str">
            <v>C</v>
          </cell>
        </row>
        <row r="557">
          <cell r="A557">
            <v>52070</v>
          </cell>
          <cell r="B557" t="str">
            <v>2.1.01.010.0353</v>
          </cell>
          <cell r="C557" t="str">
            <v xml:space="preserve">SR DIAGNOSTICOS MEDICOS </v>
          </cell>
          <cell r="D557">
            <v>1644.89</v>
          </cell>
          <cell r="E557" t="str">
            <v>C</v>
          </cell>
          <cell r="G557">
            <v>5812.88</v>
          </cell>
          <cell r="H557">
            <v>6114.96</v>
          </cell>
          <cell r="I557">
            <v>302.08</v>
          </cell>
          <cell r="J557">
            <v>1946.97</v>
          </cell>
          <cell r="K557" t="str">
            <v>C</v>
          </cell>
        </row>
        <row r="558">
          <cell r="A558">
            <v>51682</v>
          </cell>
          <cell r="B558" t="str">
            <v>2.1.01.010.0355</v>
          </cell>
          <cell r="C558" t="str">
            <v xml:space="preserve">SUPPORTE SERVICOS </v>
          </cell>
          <cell r="D558">
            <v>5194.26</v>
          </cell>
          <cell r="E558" t="str">
            <v>C</v>
          </cell>
          <cell r="G558">
            <v>0</v>
          </cell>
          <cell r="H558">
            <v>5049.01</v>
          </cell>
          <cell r="I558">
            <v>5049.01</v>
          </cell>
          <cell r="J558">
            <v>10243.27</v>
          </cell>
          <cell r="K558" t="str">
            <v>C</v>
          </cell>
        </row>
        <row r="559">
          <cell r="A559">
            <v>52599</v>
          </cell>
          <cell r="B559" t="str">
            <v>2.1.01.010.0357</v>
          </cell>
          <cell r="C559" t="str">
            <v xml:space="preserve">TALITA BOTTAN BORTOLUZZI </v>
          </cell>
          <cell r="D559">
            <v>5718.69</v>
          </cell>
          <cell r="E559" t="str">
            <v>C</v>
          </cell>
          <cell r="G559">
            <v>0</v>
          </cell>
          <cell r="H559">
            <v>2060.56</v>
          </cell>
          <cell r="I559">
            <v>2060.56</v>
          </cell>
          <cell r="J559">
            <v>7779.25</v>
          </cell>
          <cell r="K559" t="str">
            <v>C</v>
          </cell>
        </row>
        <row r="560">
          <cell r="A560">
            <v>53012</v>
          </cell>
          <cell r="B560" t="str">
            <v>2.1.01.010.0358</v>
          </cell>
          <cell r="C560" t="str">
            <v xml:space="preserve">TEBEX MED SERVICOS </v>
          </cell>
          <cell r="D560">
            <v>4264.7700000000004</v>
          </cell>
          <cell r="E560" t="str">
            <v>C</v>
          </cell>
          <cell r="G560">
            <v>4264.7700000000004</v>
          </cell>
          <cell r="H560">
            <v>4860.1499999999996</v>
          </cell>
          <cell r="I560">
            <v>595.38</v>
          </cell>
          <cell r="J560">
            <v>4860.1499999999996</v>
          </cell>
          <cell r="K560" t="str">
            <v>C</v>
          </cell>
        </row>
        <row r="561">
          <cell r="A561">
            <v>2031</v>
          </cell>
          <cell r="B561" t="str">
            <v>2.1.01.010.0359</v>
          </cell>
          <cell r="C561" t="str">
            <v>TOLEDO E KATAHIRA SC LTDA</v>
          </cell>
          <cell r="D561">
            <v>12903.39</v>
          </cell>
          <cell r="E561" t="str">
            <v>C</v>
          </cell>
          <cell r="G561">
            <v>79171.240000000005</v>
          </cell>
          <cell r="H561">
            <v>79626.289999999994</v>
          </cell>
          <cell r="I561">
            <v>455.05</v>
          </cell>
          <cell r="J561">
            <v>13358.44</v>
          </cell>
          <cell r="K561" t="str">
            <v>C</v>
          </cell>
        </row>
        <row r="562">
          <cell r="A562">
            <v>36875</v>
          </cell>
          <cell r="B562" t="str">
            <v>2.1.01.010.0361</v>
          </cell>
          <cell r="C562" t="str">
            <v xml:space="preserve">UDE RIBEIRO E CANEVER </v>
          </cell>
          <cell r="D562">
            <v>12727.8</v>
          </cell>
          <cell r="E562" t="str">
            <v>C</v>
          </cell>
          <cell r="G562">
            <v>9491.34</v>
          </cell>
          <cell r="H562">
            <v>195.12</v>
          </cell>
          <cell r="I562">
            <v>-9296.2199999999993</v>
          </cell>
          <cell r="J562">
            <v>3431.58</v>
          </cell>
          <cell r="K562" t="str">
            <v>C</v>
          </cell>
        </row>
        <row r="563">
          <cell r="A563">
            <v>2035</v>
          </cell>
          <cell r="B563" t="str">
            <v>2.1.01.010.0363</v>
          </cell>
          <cell r="C563" t="str">
            <v xml:space="preserve">UNEP SERVICOS MEDICOS </v>
          </cell>
          <cell r="D563">
            <v>41</v>
          </cell>
          <cell r="E563" t="str">
            <v>C</v>
          </cell>
          <cell r="G563">
            <v>0</v>
          </cell>
          <cell r="H563">
            <v>0</v>
          </cell>
          <cell r="I563">
            <v>0</v>
          </cell>
          <cell r="J563">
            <v>41</v>
          </cell>
          <cell r="K563" t="str">
            <v>C</v>
          </cell>
        </row>
        <row r="564">
          <cell r="A564">
            <v>36661</v>
          </cell>
          <cell r="B564" t="str">
            <v>2.1.01.010.0367</v>
          </cell>
          <cell r="C564" t="str">
            <v xml:space="preserve">UROGASTRO SERV MED </v>
          </cell>
          <cell r="D564">
            <v>15057.81</v>
          </cell>
          <cell r="E564" t="str">
            <v>C</v>
          </cell>
          <cell r="G564">
            <v>22311.03</v>
          </cell>
          <cell r="H564">
            <v>53292.58</v>
          </cell>
          <cell r="I564">
            <v>30981.55</v>
          </cell>
          <cell r="J564">
            <v>46039.360000000001</v>
          </cell>
          <cell r="K564" t="str">
            <v>C</v>
          </cell>
        </row>
        <row r="565">
          <cell r="A565">
            <v>36613</v>
          </cell>
          <cell r="B565" t="str">
            <v>2.1.01.010.0368</v>
          </cell>
          <cell r="C565" t="str">
            <v xml:space="preserve">UROGIN SERVICOS MEDICOS </v>
          </cell>
          <cell r="D565">
            <v>9587.49</v>
          </cell>
          <cell r="E565" t="str">
            <v>C</v>
          </cell>
          <cell r="G565">
            <v>7741.34</v>
          </cell>
          <cell r="H565">
            <v>692.06</v>
          </cell>
          <cell r="I565">
            <v>-7049.28</v>
          </cell>
          <cell r="J565">
            <v>2538.21</v>
          </cell>
          <cell r="K565" t="str">
            <v>C</v>
          </cell>
        </row>
        <row r="566">
          <cell r="A566">
            <v>2041</v>
          </cell>
          <cell r="B566" t="str">
            <v>2.1.01.010.0369</v>
          </cell>
          <cell r="C566" t="str">
            <v xml:space="preserve">UROGYN SERVICOS MEDICOS </v>
          </cell>
          <cell r="D566">
            <v>0</v>
          </cell>
          <cell r="E566" t="str">
            <v>C</v>
          </cell>
          <cell r="G566">
            <v>2572.4499999999998</v>
          </cell>
          <cell r="H566">
            <v>9819.59</v>
          </cell>
          <cell r="I566">
            <v>7247.14</v>
          </cell>
          <cell r="J566">
            <v>7247.14</v>
          </cell>
          <cell r="K566" t="str">
            <v>C</v>
          </cell>
        </row>
        <row r="567">
          <cell r="A567">
            <v>52741</v>
          </cell>
          <cell r="B567" t="str">
            <v>2.1.01.010.0370</v>
          </cell>
          <cell r="C567" t="str">
            <v xml:space="preserve">UROMED SERV MEDICOS </v>
          </cell>
          <cell r="D567">
            <v>5520.45</v>
          </cell>
          <cell r="E567" t="str">
            <v>C</v>
          </cell>
          <cell r="G567">
            <v>1946.66</v>
          </cell>
          <cell r="H567">
            <v>1773.98</v>
          </cell>
          <cell r="I567">
            <v>-172.68</v>
          </cell>
          <cell r="J567">
            <v>5347.77</v>
          </cell>
          <cell r="K567" t="str">
            <v>C</v>
          </cell>
        </row>
        <row r="568">
          <cell r="A568">
            <v>2042</v>
          </cell>
          <cell r="B568" t="str">
            <v>2.1.01.010.0371</v>
          </cell>
          <cell r="C568" t="str">
            <v>UROVALE SC LTDA</v>
          </cell>
          <cell r="D568">
            <v>108</v>
          </cell>
          <cell r="E568" t="str">
            <v>C</v>
          </cell>
          <cell r="G568">
            <v>0</v>
          </cell>
          <cell r="H568">
            <v>0</v>
          </cell>
          <cell r="I568">
            <v>0</v>
          </cell>
          <cell r="J568">
            <v>108</v>
          </cell>
          <cell r="K568" t="str">
            <v>C</v>
          </cell>
        </row>
        <row r="569">
          <cell r="A569">
            <v>37830</v>
          </cell>
          <cell r="B569" t="str">
            <v>2.1.01.010.0372</v>
          </cell>
          <cell r="C569" t="str">
            <v xml:space="preserve">VALE MED SERVICOS </v>
          </cell>
          <cell r="D569">
            <v>14369.24</v>
          </cell>
          <cell r="E569" t="str">
            <v>C</v>
          </cell>
          <cell r="G569">
            <v>9967.68</v>
          </cell>
          <cell r="H569">
            <v>13289.1</v>
          </cell>
          <cell r="I569">
            <v>3321.42</v>
          </cell>
          <cell r="J569">
            <v>17690.66</v>
          </cell>
          <cell r="K569" t="str">
            <v>C</v>
          </cell>
        </row>
        <row r="570">
          <cell r="A570">
            <v>2043</v>
          </cell>
          <cell r="B570" t="str">
            <v>2.1.01.010.0373</v>
          </cell>
          <cell r="C570" t="str">
            <v xml:space="preserve">VALECLIN LAB ANALISES </v>
          </cell>
          <cell r="D570">
            <v>366594.8</v>
          </cell>
          <cell r="E570" t="str">
            <v>C</v>
          </cell>
          <cell r="G570">
            <v>598154.9</v>
          </cell>
          <cell r="H570">
            <v>309461.88</v>
          </cell>
          <cell r="I570">
            <v>-288693.02</v>
          </cell>
          <cell r="J570">
            <v>77901.78</v>
          </cell>
          <cell r="K570" t="str">
            <v>C</v>
          </cell>
        </row>
        <row r="571">
          <cell r="A571">
            <v>32890</v>
          </cell>
          <cell r="B571" t="str">
            <v>2.1.01.010.0375</v>
          </cell>
          <cell r="C571" t="str">
            <v xml:space="preserve">VALLIS CARDIOVASCULAR </v>
          </cell>
          <cell r="D571">
            <v>15.45</v>
          </cell>
          <cell r="E571" t="str">
            <v>C</v>
          </cell>
          <cell r="G571">
            <v>0</v>
          </cell>
          <cell r="H571">
            <v>0</v>
          </cell>
          <cell r="I571">
            <v>0</v>
          </cell>
          <cell r="J571">
            <v>15.45</v>
          </cell>
          <cell r="K571" t="str">
            <v>C</v>
          </cell>
        </row>
        <row r="572">
          <cell r="A572">
            <v>52975</v>
          </cell>
          <cell r="B572" t="str">
            <v>2.1.01.010.0378</v>
          </cell>
          <cell r="C572" t="str">
            <v xml:space="preserve">VIDA SERVICOS MEDICOS SS </v>
          </cell>
          <cell r="D572">
            <v>21551.64</v>
          </cell>
          <cell r="E572" t="str">
            <v>C</v>
          </cell>
          <cell r="G572">
            <v>21551.64</v>
          </cell>
          <cell r="H572">
            <v>24821.05</v>
          </cell>
          <cell r="I572">
            <v>3269.41</v>
          </cell>
          <cell r="J572">
            <v>24821.05</v>
          </cell>
          <cell r="K572" t="str">
            <v>C</v>
          </cell>
        </row>
        <row r="573">
          <cell r="A573">
            <v>38589</v>
          </cell>
          <cell r="B573" t="str">
            <v>2.1.01.010.0379</v>
          </cell>
          <cell r="C573" t="str">
            <v xml:space="preserve">VILELA DOS REIS SERVICOS </v>
          </cell>
          <cell r="D573">
            <v>11888.95</v>
          </cell>
          <cell r="E573" t="str">
            <v>C</v>
          </cell>
          <cell r="G573">
            <v>11888.95</v>
          </cell>
          <cell r="H573">
            <v>17918.12</v>
          </cell>
          <cell r="I573">
            <v>6029.17</v>
          </cell>
          <cell r="J573">
            <v>17918.12</v>
          </cell>
          <cell r="K573" t="str">
            <v>C</v>
          </cell>
        </row>
        <row r="574">
          <cell r="A574">
            <v>38285</v>
          </cell>
          <cell r="B574" t="str">
            <v>2.1.01.010.0380</v>
          </cell>
          <cell r="C574" t="str">
            <v xml:space="preserve">VITAL CARE CLINICA MEDICA </v>
          </cell>
          <cell r="D574">
            <v>19197.86</v>
          </cell>
          <cell r="E574" t="str">
            <v>C</v>
          </cell>
          <cell r="G574">
            <v>20188.650000000001</v>
          </cell>
          <cell r="H574">
            <v>22397.88</v>
          </cell>
          <cell r="I574">
            <v>2209.23</v>
          </cell>
          <cell r="J574">
            <v>21407.09</v>
          </cell>
          <cell r="K574" t="str">
            <v>C</v>
          </cell>
        </row>
        <row r="575">
          <cell r="A575">
            <v>51671</v>
          </cell>
          <cell r="B575" t="str">
            <v>2.1.01.010.0381</v>
          </cell>
          <cell r="C575" t="str">
            <v xml:space="preserve">VOXEL IMAGENS MEDICAS </v>
          </cell>
          <cell r="D575">
            <v>4347.21</v>
          </cell>
          <cell r="E575" t="str">
            <v>C</v>
          </cell>
          <cell r="G575">
            <v>19889.61</v>
          </cell>
          <cell r="H575">
            <v>21011.77</v>
          </cell>
          <cell r="I575">
            <v>1122.1600000000001</v>
          </cell>
          <cell r="J575">
            <v>5469.37</v>
          </cell>
          <cell r="K575" t="str">
            <v>C</v>
          </cell>
        </row>
        <row r="576">
          <cell r="A576">
            <v>52050</v>
          </cell>
          <cell r="B576" t="str">
            <v>2.1.01.010.0384</v>
          </cell>
          <cell r="C576" t="str">
            <v xml:space="preserve">YASAMIN SERVICOS MEDICOS </v>
          </cell>
          <cell r="D576">
            <v>4519.76</v>
          </cell>
          <cell r="E576" t="str">
            <v>C</v>
          </cell>
          <cell r="G576">
            <v>4185.62</v>
          </cell>
          <cell r="H576">
            <v>3597.62</v>
          </cell>
          <cell r="I576">
            <v>-588</v>
          </cell>
          <cell r="J576">
            <v>3931.76</v>
          </cell>
          <cell r="K576" t="str">
            <v>C</v>
          </cell>
        </row>
        <row r="577">
          <cell r="A577">
            <v>53186</v>
          </cell>
          <cell r="B577" t="str">
            <v>2.1.01.010.0385</v>
          </cell>
          <cell r="C577" t="str">
            <v xml:space="preserve">BARICARE SERVICOS </v>
          </cell>
          <cell r="D577">
            <v>1461</v>
          </cell>
          <cell r="E577" t="str">
            <v>C</v>
          </cell>
          <cell r="G577">
            <v>19113.34</v>
          </cell>
          <cell r="H577">
            <v>20634.919999999998</v>
          </cell>
          <cell r="I577">
            <v>1521.58</v>
          </cell>
          <cell r="J577">
            <v>2982.58</v>
          </cell>
          <cell r="K577" t="str">
            <v>C</v>
          </cell>
        </row>
        <row r="578">
          <cell r="A578">
            <v>53187</v>
          </cell>
          <cell r="B578" t="str">
            <v>2.1.01.010.0386</v>
          </cell>
          <cell r="C578" t="str">
            <v xml:space="preserve">ALL CARE SERVICOS </v>
          </cell>
          <cell r="D578">
            <v>2593.14</v>
          </cell>
          <cell r="E578" t="str">
            <v>C</v>
          </cell>
          <cell r="G578">
            <v>0</v>
          </cell>
          <cell r="H578">
            <v>9126.83</v>
          </cell>
          <cell r="I578">
            <v>9126.83</v>
          </cell>
          <cell r="J578">
            <v>11719.97</v>
          </cell>
          <cell r="K578" t="str">
            <v>C</v>
          </cell>
        </row>
        <row r="579">
          <cell r="A579">
            <v>53007</v>
          </cell>
          <cell r="B579" t="str">
            <v>2.1.01.010.0387</v>
          </cell>
          <cell r="C579" t="str">
            <v xml:space="preserve">PRONI SERVICOS MEDICOS </v>
          </cell>
          <cell r="D579">
            <v>146.94999999999999</v>
          </cell>
          <cell r="E579" t="str">
            <v>C</v>
          </cell>
          <cell r="G579">
            <v>0</v>
          </cell>
          <cell r="H579">
            <v>0</v>
          </cell>
          <cell r="I579">
            <v>0</v>
          </cell>
          <cell r="J579">
            <v>146.94999999999999</v>
          </cell>
          <cell r="K579" t="str">
            <v>C</v>
          </cell>
        </row>
        <row r="580">
          <cell r="A580">
            <v>53008</v>
          </cell>
          <cell r="B580" t="str">
            <v>2.1.01.010.0388</v>
          </cell>
          <cell r="C580" t="str">
            <v xml:space="preserve">GENEROSO E SILVA </v>
          </cell>
          <cell r="D580">
            <v>640.82000000000005</v>
          </cell>
          <cell r="E580" t="str">
            <v>C</v>
          </cell>
          <cell r="G580">
            <v>0</v>
          </cell>
          <cell r="H580">
            <v>0</v>
          </cell>
          <cell r="I580">
            <v>0</v>
          </cell>
          <cell r="J580">
            <v>640.82000000000005</v>
          </cell>
          <cell r="K580" t="str">
            <v>C</v>
          </cell>
        </row>
        <row r="581">
          <cell r="A581">
            <v>53022</v>
          </cell>
          <cell r="B581" t="str">
            <v>2.1.01.010.0389</v>
          </cell>
          <cell r="C581" t="str">
            <v xml:space="preserve">INCON INSTITUTO DE CIR. E </v>
          </cell>
          <cell r="D581">
            <v>352.48</v>
          </cell>
          <cell r="E581" t="str">
            <v>C</v>
          </cell>
          <cell r="G581">
            <v>0</v>
          </cell>
          <cell r="H581">
            <v>26.24</v>
          </cell>
          <cell r="I581">
            <v>26.24</v>
          </cell>
          <cell r="J581">
            <v>378.72</v>
          </cell>
          <cell r="K581" t="str">
            <v>C</v>
          </cell>
        </row>
        <row r="582">
          <cell r="A582">
            <v>53051</v>
          </cell>
          <cell r="B582" t="str">
            <v>2.1.01.010.0391</v>
          </cell>
          <cell r="C582" t="str">
            <v xml:space="preserve">G T D DE SA &amp; FILHOS SER </v>
          </cell>
          <cell r="D582">
            <v>2555.56</v>
          </cell>
          <cell r="E582" t="str">
            <v>C</v>
          </cell>
          <cell r="G582">
            <v>0</v>
          </cell>
          <cell r="H582">
            <v>0</v>
          </cell>
          <cell r="I582">
            <v>0</v>
          </cell>
          <cell r="J582">
            <v>2555.56</v>
          </cell>
          <cell r="K582" t="str">
            <v>C</v>
          </cell>
        </row>
        <row r="583">
          <cell r="A583">
            <v>53081</v>
          </cell>
          <cell r="B583" t="str">
            <v>2.1.01.010.0393</v>
          </cell>
          <cell r="C583" t="str">
            <v xml:space="preserve">CLINICA MEDICA E </v>
          </cell>
          <cell r="D583">
            <v>57198.52</v>
          </cell>
          <cell r="E583" t="str">
            <v>C</v>
          </cell>
          <cell r="G583">
            <v>17275.349999999999</v>
          </cell>
          <cell r="H583">
            <v>5332.97</v>
          </cell>
          <cell r="I583">
            <v>-11942.38</v>
          </cell>
          <cell r="J583">
            <v>45256.14</v>
          </cell>
          <cell r="K583" t="str">
            <v>C</v>
          </cell>
        </row>
        <row r="584">
          <cell r="A584">
            <v>53091</v>
          </cell>
          <cell r="B584" t="str">
            <v>2.1.01.010.0395</v>
          </cell>
          <cell r="C584" t="str">
            <v>CLINICA NAPOLI LTDA - ME</v>
          </cell>
          <cell r="D584">
            <v>11736.3</v>
          </cell>
          <cell r="E584" t="str">
            <v>C</v>
          </cell>
          <cell r="G584">
            <v>11558.8</v>
          </cell>
          <cell r="H584">
            <v>14129.73</v>
          </cell>
          <cell r="I584">
            <v>2570.9299999999998</v>
          </cell>
          <cell r="J584">
            <v>14307.23</v>
          </cell>
          <cell r="K584" t="str">
            <v>C</v>
          </cell>
        </row>
        <row r="585">
          <cell r="A585">
            <v>53115</v>
          </cell>
          <cell r="B585" t="str">
            <v>2.1.01.010.0398</v>
          </cell>
          <cell r="C585" t="str">
            <v xml:space="preserve">MELISSA DE ALMEIDA </v>
          </cell>
          <cell r="D585">
            <v>9773.66</v>
          </cell>
          <cell r="E585" t="str">
            <v>C</v>
          </cell>
          <cell r="G585">
            <v>11311.67</v>
          </cell>
          <cell r="H585">
            <v>11225.48</v>
          </cell>
          <cell r="I585">
            <v>-86.19</v>
          </cell>
          <cell r="J585">
            <v>9687.4699999999993</v>
          </cell>
          <cell r="K585" t="str">
            <v>C</v>
          </cell>
        </row>
        <row r="586">
          <cell r="A586">
            <v>53116</v>
          </cell>
          <cell r="B586" t="str">
            <v>2.1.01.010.0399</v>
          </cell>
          <cell r="C586" t="str">
            <v xml:space="preserve">MEDBEN SERVICOS MEDICOS </v>
          </cell>
          <cell r="D586">
            <v>670.88</v>
          </cell>
          <cell r="E586" t="str">
            <v>C</v>
          </cell>
          <cell r="G586">
            <v>0</v>
          </cell>
          <cell r="H586">
            <v>0</v>
          </cell>
          <cell r="I586">
            <v>0</v>
          </cell>
          <cell r="J586">
            <v>670.88</v>
          </cell>
          <cell r="K586" t="str">
            <v>C</v>
          </cell>
        </row>
        <row r="587">
          <cell r="A587">
            <v>53125</v>
          </cell>
          <cell r="B587" t="str">
            <v>2.1.01.010.0401</v>
          </cell>
          <cell r="C587" t="str">
            <v xml:space="preserve">CLINICA MEDICA </v>
          </cell>
          <cell r="D587">
            <v>2358.09</v>
          </cell>
          <cell r="E587" t="str">
            <v>C</v>
          </cell>
          <cell r="G587">
            <v>2358.09</v>
          </cell>
          <cell r="H587">
            <v>3144.12</v>
          </cell>
          <cell r="I587">
            <v>786.03</v>
          </cell>
          <cell r="J587">
            <v>3144.12</v>
          </cell>
          <cell r="K587" t="str">
            <v>C</v>
          </cell>
        </row>
        <row r="588">
          <cell r="A588">
            <v>53127</v>
          </cell>
          <cell r="B588" t="str">
            <v>2.1.01.010.0402</v>
          </cell>
          <cell r="C588" t="str">
            <v xml:space="preserve">DUQUE CLINICA MEDICA </v>
          </cell>
          <cell r="D588">
            <v>678.78</v>
          </cell>
          <cell r="E588" t="str">
            <v>C</v>
          </cell>
          <cell r="G588">
            <v>0</v>
          </cell>
          <cell r="H588">
            <v>0</v>
          </cell>
          <cell r="I588">
            <v>0</v>
          </cell>
          <cell r="J588">
            <v>678.78</v>
          </cell>
          <cell r="K588" t="str">
            <v>C</v>
          </cell>
        </row>
        <row r="589">
          <cell r="A589">
            <v>53088</v>
          </cell>
          <cell r="B589" t="str">
            <v>2.1.01.010.0404</v>
          </cell>
          <cell r="C589" t="str">
            <v xml:space="preserve">INTEGRA ACAO CLIN </v>
          </cell>
          <cell r="D589">
            <v>0</v>
          </cell>
          <cell r="E589" t="str">
            <v>C</v>
          </cell>
          <cell r="G589">
            <v>7804.84</v>
          </cell>
          <cell r="H589">
            <v>7804.84</v>
          </cell>
          <cell r="I589">
            <v>0</v>
          </cell>
          <cell r="J589">
            <v>0</v>
          </cell>
          <cell r="K589" t="str">
            <v>C</v>
          </cell>
        </row>
        <row r="590">
          <cell r="A590">
            <v>52197</v>
          </cell>
          <cell r="B590" t="str">
            <v>2.1.01.010.0405</v>
          </cell>
          <cell r="C590" t="str">
            <v xml:space="preserve">CLINICA DE GINECO E </v>
          </cell>
          <cell r="D590">
            <v>2.5</v>
          </cell>
          <cell r="E590" t="str">
            <v>C</v>
          </cell>
          <cell r="G590">
            <v>0</v>
          </cell>
          <cell r="H590">
            <v>0</v>
          </cell>
          <cell r="I590">
            <v>0</v>
          </cell>
          <cell r="J590">
            <v>2.5</v>
          </cell>
          <cell r="K590" t="str">
            <v>C</v>
          </cell>
        </row>
        <row r="591">
          <cell r="A591">
            <v>53198</v>
          </cell>
          <cell r="B591" t="str">
            <v>2.1.01.010.0407</v>
          </cell>
          <cell r="C591" t="str">
            <v xml:space="preserve">CERVONE E FURLAN CLINICA </v>
          </cell>
          <cell r="D591">
            <v>3644.67</v>
          </cell>
          <cell r="E591" t="str">
            <v>C</v>
          </cell>
          <cell r="G591">
            <v>2438.0500000000002</v>
          </cell>
          <cell r="H591">
            <v>1510.59</v>
          </cell>
          <cell r="I591">
            <v>-927.46</v>
          </cell>
          <cell r="J591">
            <v>2717.21</v>
          </cell>
          <cell r="K591" t="str">
            <v>C</v>
          </cell>
        </row>
        <row r="592">
          <cell r="A592">
            <v>53230</v>
          </cell>
          <cell r="B592" t="str">
            <v>2.1.01.010.0413</v>
          </cell>
          <cell r="C592" t="str">
            <v xml:space="preserve">JZ VIEIRA SERVICOS MEDICOS </v>
          </cell>
          <cell r="D592">
            <v>91</v>
          </cell>
          <cell r="E592" t="str">
            <v>C</v>
          </cell>
          <cell r="G592">
            <v>9508.2000000000007</v>
          </cell>
          <cell r="H592">
            <v>9508.2000000000007</v>
          </cell>
          <cell r="I592">
            <v>0</v>
          </cell>
          <cell r="J592">
            <v>91</v>
          </cell>
          <cell r="K592" t="str">
            <v>C</v>
          </cell>
        </row>
        <row r="593">
          <cell r="A593">
            <v>53240</v>
          </cell>
          <cell r="B593" t="str">
            <v>2.1.01.010.0414</v>
          </cell>
          <cell r="C593" t="str">
            <v xml:space="preserve">LIV CENTRO DE </v>
          </cell>
          <cell r="D593">
            <v>7452.46</v>
          </cell>
          <cell r="E593" t="str">
            <v>C</v>
          </cell>
          <cell r="G593">
            <v>5735.91</v>
          </cell>
          <cell r="H593">
            <v>534.27</v>
          </cell>
          <cell r="I593">
            <v>-5201.6400000000003</v>
          </cell>
          <cell r="J593">
            <v>2250.8200000000002</v>
          </cell>
          <cell r="K593" t="str">
            <v>C</v>
          </cell>
        </row>
        <row r="594">
          <cell r="A594">
            <v>53243</v>
          </cell>
          <cell r="B594" t="str">
            <v>2.1.01.010.0415</v>
          </cell>
          <cell r="C594" t="str">
            <v xml:space="preserve">RODEGHERI SERVIÇOS </v>
          </cell>
          <cell r="D594">
            <v>3612</v>
          </cell>
          <cell r="E594" t="str">
            <v>C</v>
          </cell>
          <cell r="G594">
            <v>4280.22</v>
          </cell>
          <cell r="H594">
            <v>3921.92</v>
          </cell>
          <cell r="I594">
            <v>-358.3</v>
          </cell>
          <cell r="J594">
            <v>3253.7</v>
          </cell>
          <cell r="K594" t="str">
            <v>C</v>
          </cell>
        </row>
        <row r="595">
          <cell r="A595">
            <v>53282</v>
          </cell>
          <cell r="B595" t="str">
            <v>2.1.01.010.0419</v>
          </cell>
          <cell r="C595" t="str">
            <v xml:space="preserve">SESAM SERVICOS DE SAUDE </v>
          </cell>
          <cell r="D595">
            <v>829.16</v>
          </cell>
          <cell r="E595" t="str">
            <v>C</v>
          </cell>
          <cell r="G595">
            <v>0</v>
          </cell>
          <cell r="H595">
            <v>569.41</v>
          </cell>
          <cell r="I595">
            <v>569.41</v>
          </cell>
          <cell r="J595">
            <v>1398.57</v>
          </cell>
          <cell r="K595" t="str">
            <v>C</v>
          </cell>
        </row>
        <row r="596">
          <cell r="A596">
            <v>53285</v>
          </cell>
          <cell r="B596" t="str">
            <v>2.1.01.010.0420</v>
          </cell>
          <cell r="C596" t="str">
            <v xml:space="preserve">F V DE SIQUEIRA NUTRIÇÃO </v>
          </cell>
          <cell r="D596">
            <v>400</v>
          </cell>
          <cell r="E596" t="str">
            <v>C</v>
          </cell>
          <cell r="G596">
            <v>0</v>
          </cell>
          <cell r="H596">
            <v>350</v>
          </cell>
          <cell r="I596">
            <v>350</v>
          </cell>
          <cell r="J596">
            <v>750</v>
          </cell>
          <cell r="K596" t="str">
            <v>C</v>
          </cell>
        </row>
        <row r="597">
          <cell r="A597">
            <v>53286</v>
          </cell>
          <cell r="B597" t="str">
            <v>2.1.01.010.0421</v>
          </cell>
          <cell r="C597" t="str">
            <v>CLINICA GABRIEL LONA FESTA</v>
          </cell>
          <cell r="D597">
            <v>15961.09</v>
          </cell>
          <cell r="E597" t="str">
            <v>C</v>
          </cell>
          <cell r="G597">
            <v>15961.89</v>
          </cell>
          <cell r="H597">
            <v>6257.99</v>
          </cell>
          <cell r="I597">
            <v>-9703.9</v>
          </cell>
          <cell r="J597">
            <v>6257.19</v>
          </cell>
          <cell r="K597" t="str">
            <v>C</v>
          </cell>
        </row>
        <row r="598">
          <cell r="A598">
            <v>53287</v>
          </cell>
          <cell r="B598" t="str">
            <v>2.1.01.010.0422</v>
          </cell>
          <cell r="C598" t="str">
            <v xml:space="preserve">RMBL SERVICOS MEDICOS </v>
          </cell>
          <cell r="D598">
            <v>696.32</v>
          </cell>
          <cell r="E598" t="str">
            <v>C</v>
          </cell>
          <cell r="G598">
            <v>0</v>
          </cell>
          <cell r="H598">
            <v>1121.26</v>
          </cell>
          <cell r="I598">
            <v>1121.26</v>
          </cell>
          <cell r="J598">
            <v>1817.58</v>
          </cell>
          <cell r="K598" t="str">
            <v>C</v>
          </cell>
        </row>
        <row r="599">
          <cell r="A599">
            <v>53288</v>
          </cell>
          <cell r="B599" t="str">
            <v>2.1.01.010.0423</v>
          </cell>
          <cell r="C599" t="str">
            <v xml:space="preserve">CARVALHO CAMPOS </v>
          </cell>
          <cell r="D599">
            <v>3923.29</v>
          </cell>
          <cell r="E599" t="str">
            <v>C</v>
          </cell>
          <cell r="G599">
            <v>3923.29</v>
          </cell>
          <cell r="H599">
            <v>5231.0600000000004</v>
          </cell>
          <cell r="I599">
            <v>1307.77</v>
          </cell>
          <cell r="J599">
            <v>5231.0600000000004</v>
          </cell>
          <cell r="K599" t="str">
            <v>C</v>
          </cell>
        </row>
        <row r="600">
          <cell r="A600">
            <v>53318</v>
          </cell>
          <cell r="B600" t="str">
            <v>2.1.01.010.0430</v>
          </cell>
          <cell r="C600" t="str">
            <v xml:space="preserve">PLENTZ E PLENTZ DA SILVA </v>
          </cell>
          <cell r="D600">
            <v>5894.86</v>
          </cell>
          <cell r="E600" t="str">
            <v>C</v>
          </cell>
          <cell r="G600">
            <v>5983.65</v>
          </cell>
          <cell r="H600">
            <v>2206.1999999999998</v>
          </cell>
          <cell r="I600">
            <v>-3777.45</v>
          </cell>
          <cell r="J600">
            <v>2117.41</v>
          </cell>
          <cell r="K600" t="str">
            <v>C</v>
          </cell>
        </row>
        <row r="601">
          <cell r="A601">
            <v>53324</v>
          </cell>
          <cell r="B601" t="str">
            <v>2.1.01.010.0432</v>
          </cell>
          <cell r="C601" t="str">
            <v xml:space="preserve">PROCTOGIN SERVIÇOS </v>
          </cell>
          <cell r="D601">
            <v>1060.95</v>
          </cell>
          <cell r="E601" t="str">
            <v>C</v>
          </cell>
          <cell r="G601">
            <v>0</v>
          </cell>
          <cell r="H601">
            <v>0</v>
          </cell>
          <cell r="I601">
            <v>0</v>
          </cell>
          <cell r="J601">
            <v>1060.95</v>
          </cell>
          <cell r="K601" t="str">
            <v>C</v>
          </cell>
        </row>
        <row r="602">
          <cell r="A602">
            <v>53360</v>
          </cell>
          <cell r="B602" t="str">
            <v>2.1.01.010.0437</v>
          </cell>
          <cell r="C602" t="str">
            <v xml:space="preserve">RR PRESTACAO DE SERVICOS </v>
          </cell>
          <cell r="D602">
            <v>2760.68</v>
          </cell>
          <cell r="E602" t="str">
            <v>C</v>
          </cell>
          <cell r="G602">
            <v>251.08</v>
          </cell>
          <cell r="H602">
            <v>1145.21</v>
          </cell>
          <cell r="I602">
            <v>894.13</v>
          </cell>
          <cell r="J602">
            <v>3654.81</v>
          </cell>
          <cell r="K602" t="str">
            <v>C</v>
          </cell>
        </row>
        <row r="603">
          <cell r="A603">
            <v>53362</v>
          </cell>
          <cell r="B603" t="str">
            <v>2.1.01.010.0438</v>
          </cell>
          <cell r="C603" t="str">
            <v xml:space="preserve">DRL SERVICOS MEDICOS SS </v>
          </cell>
          <cell r="D603">
            <v>491059.54</v>
          </cell>
          <cell r="E603" t="str">
            <v>C</v>
          </cell>
          <cell r="G603">
            <v>498143.66</v>
          </cell>
          <cell r="H603">
            <v>383448.68</v>
          </cell>
          <cell r="I603">
            <v>-114694.98</v>
          </cell>
          <cell r="J603">
            <v>376364.56</v>
          </cell>
          <cell r="K603" t="str">
            <v>C</v>
          </cell>
        </row>
        <row r="604">
          <cell r="A604">
            <v>53366</v>
          </cell>
          <cell r="B604" t="str">
            <v>2.1.01.010.0439</v>
          </cell>
          <cell r="C604" t="str">
            <v xml:space="preserve">MUNHOZ SERVICOS MEDICOS </v>
          </cell>
          <cell r="D604">
            <v>2287.7399999999998</v>
          </cell>
          <cell r="E604" t="str">
            <v>C</v>
          </cell>
          <cell r="G604">
            <v>16544.099999999999</v>
          </cell>
          <cell r="H604">
            <v>16156</v>
          </cell>
          <cell r="I604">
            <v>-388.1</v>
          </cell>
          <cell r="J604">
            <v>1899.64</v>
          </cell>
          <cell r="K604" t="str">
            <v>C</v>
          </cell>
        </row>
        <row r="605">
          <cell r="A605">
            <v>53382</v>
          </cell>
          <cell r="B605" t="str">
            <v>2.1.01.010.0440</v>
          </cell>
          <cell r="C605" t="str">
            <v xml:space="preserve">GUSTAVO S. DE LIMA </v>
          </cell>
          <cell r="D605">
            <v>278.8</v>
          </cell>
          <cell r="E605" t="str">
            <v>C</v>
          </cell>
          <cell r="G605">
            <v>0</v>
          </cell>
          <cell r="H605">
            <v>93.6</v>
          </cell>
          <cell r="I605">
            <v>93.6</v>
          </cell>
          <cell r="J605">
            <v>372.4</v>
          </cell>
          <cell r="K605" t="str">
            <v>C</v>
          </cell>
        </row>
        <row r="606">
          <cell r="A606">
            <v>53385</v>
          </cell>
          <cell r="B606" t="str">
            <v>2.1.01.010.0441</v>
          </cell>
          <cell r="C606" t="str">
            <v xml:space="preserve">COURA &amp; COURA SERVICOS </v>
          </cell>
          <cell r="D606">
            <v>2773.23</v>
          </cell>
          <cell r="E606" t="str">
            <v>C</v>
          </cell>
          <cell r="G606">
            <v>0</v>
          </cell>
          <cell r="H606">
            <v>285</v>
          </cell>
          <cell r="I606">
            <v>285</v>
          </cell>
          <cell r="J606">
            <v>3058.23</v>
          </cell>
          <cell r="K606" t="str">
            <v>C</v>
          </cell>
        </row>
        <row r="607">
          <cell r="A607">
            <v>53386</v>
          </cell>
          <cell r="B607" t="str">
            <v>2.1.01.010.0442</v>
          </cell>
          <cell r="C607" t="str">
            <v xml:space="preserve">BCD SERVICOS MEDICOS </v>
          </cell>
          <cell r="D607">
            <v>106.96</v>
          </cell>
          <cell r="E607" t="str">
            <v>C</v>
          </cell>
          <cell r="G607">
            <v>0</v>
          </cell>
          <cell r="H607">
            <v>0</v>
          </cell>
          <cell r="I607">
            <v>0</v>
          </cell>
          <cell r="J607">
            <v>106.96</v>
          </cell>
          <cell r="K607" t="str">
            <v>C</v>
          </cell>
        </row>
        <row r="608">
          <cell r="A608">
            <v>53390</v>
          </cell>
          <cell r="B608" t="str">
            <v>2.1.01.010.0444</v>
          </cell>
          <cell r="C608" t="str">
            <v xml:space="preserve">SALUD SENA CLINICA MEDICA </v>
          </cell>
          <cell r="D608">
            <v>1326.99</v>
          </cell>
          <cell r="E608" t="str">
            <v>C</v>
          </cell>
          <cell r="G608">
            <v>0</v>
          </cell>
          <cell r="H608">
            <v>0</v>
          </cell>
          <cell r="I608">
            <v>0</v>
          </cell>
          <cell r="J608">
            <v>1326.99</v>
          </cell>
          <cell r="K608" t="str">
            <v>C</v>
          </cell>
        </row>
        <row r="609">
          <cell r="A609">
            <v>53392</v>
          </cell>
          <cell r="B609" t="str">
            <v>2.1.01.010.0446</v>
          </cell>
          <cell r="C609" t="str">
            <v>M.R.F. LACERDA &amp; CIA LTDA</v>
          </cell>
          <cell r="D609">
            <v>8909.49</v>
          </cell>
          <cell r="E609" t="str">
            <v>C</v>
          </cell>
          <cell r="G609">
            <v>8839.49</v>
          </cell>
          <cell r="H609">
            <v>1802.95</v>
          </cell>
          <cell r="I609">
            <v>-7036.54</v>
          </cell>
          <cell r="J609">
            <v>1872.95</v>
          </cell>
          <cell r="K609" t="str">
            <v>C</v>
          </cell>
        </row>
        <row r="610">
          <cell r="A610">
            <v>53393</v>
          </cell>
          <cell r="B610" t="str">
            <v>2.1.01.010.0447</v>
          </cell>
          <cell r="C610" t="str">
            <v xml:space="preserve">MARIANO BITTAR SERVICOS </v>
          </cell>
          <cell r="D610">
            <v>4360</v>
          </cell>
          <cell r="E610" t="str">
            <v>C</v>
          </cell>
          <cell r="G610">
            <v>7850</v>
          </cell>
          <cell r="H610">
            <v>7200</v>
          </cell>
          <cell r="I610">
            <v>-650</v>
          </cell>
          <cell r="J610">
            <v>3710</v>
          </cell>
          <cell r="K610" t="str">
            <v>C</v>
          </cell>
        </row>
        <row r="611">
          <cell r="A611">
            <v>53420</v>
          </cell>
          <cell r="B611" t="str">
            <v>2.1.01.010.0452</v>
          </cell>
          <cell r="C611" t="str">
            <v xml:space="preserve">DENTISTA &amp; PACIENTE </v>
          </cell>
          <cell r="D611">
            <v>1053.5</v>
          </cell>
          <cell r="E611" t="str">
            <v>C</v>
          </cell>
          <cell r="G611">
            <v>535.5</v>
          </cell>
          <cell r="H611">
            <v>952</v>
          </cell>
          <cell r="I611">
            <v>416.5</v>
          </cell>
          <cell r="J611">
            <v>1470</v>
          </cell>
          <cell r="K611" t="str">
            <v>C</v>
          </cell>
        </row>
        <row r="612">
          <cell r="A612">
            <v>53441</v>
          </cell>
          <cell r="B612" t="str">
            <v>2.1.01.010.0454</v>
          </cell>
          <cell r="C612" t="str">
            <v xml:space="preserve">NAHIME E NACIF SERVICOS </v>
          </cell>
          <cell r="D612">
            <v>103.6</v>
          </cell>
          <cell r="E612" t="str">
            <v>C</v>
          </cell>
          <cell r="G612">
            <v>0</v>
          </cell>
          <cell r="H612">
            <v>0</v>
          </cell>
          <cell r="I612">
            <v>0</v>
          </cell>
          <cell r="J612">
            <v>103.6</v>
          </cell>
          <cell r="K612" t="str">
            <v>C</v>
          </cell>
        </row>
        <row r="613">
          <cell r="A613">
            <v>53464</v>
          </cell>
          <cell r="B613" t="str">
            <v>2.1.01.010.0455</v>
          </cell>
          <cell r="C613" t="str">
            <v xml:space="preserve">NAKAGAWA &amp; BENEDETTO </v>
          </cell>
          <cell r="D613">
            <v>7132.38</v>
          </cell>
          <cell r="E613" t="str">
            <v>C</v>
          </cell>
          <cell r="G613">
            <v>6828.52</v>
          </cell>
          <cell r="H613">
            <v>6560.42</v>
          </cell>
          <cell r="I613">
            <v>-268.10000000000002</v>
          </cell>
          <cell r="J613">
            <v>6864.28</v>
          </cell>
          <cell r="K613" t="str">
            <v>C</v>
          </cell>
        </row>
        <row r="614">
          <cell r="A614">
            <v>53489</v>
          </cell>
          <cell r="B614" t="str">
            <v>2.1.01.010.0458</v>
          </cell>
          <cell r="C614" t="str">
            <v xml:space="preserve">SAO LUCAS CLINICA DE </v>
          </cell>
          <cell r="D614">
            <v>1610.12</v>
          </cell>
          <cell r="E614" t="str">
            <v>C</v>
          </cell>
          <cell r="G614">
            <v>0</v>
          </cell>
          <cell r="H614">
            <v>0</v>
          </cell>
          <cell r="I614">
            <v>0</v>
          </cell>
          <cell r="J614">
            <v>1610.12</v>
          </cell>
          <cell r="K614" t="str">
            <v>C</v>
          </cell>
        </row>
        <row r="615">
          <cell r="A615">
            <v>53500</v>
          </cell>
          <cell r="B615" t="str">
            <v>2.1.01.010.0460</v>
          </cell>
          <cell r="C615" t="str">
            <v xml:space="preserve">MARCONDES PEREIRA SERV </v>
          </cell>
          <cell r="D615">
            <v>2878.35</v>
          </cell>
          <cell r="E615" t="str">
            <v>C</v>
          </cell>
          <cell r="G615">
            <v>3175.15</v>
          </cell>
          <cell r="H615">
            <v>594.29999999999995</v>
          </cell>
          <cell r="I615">
            <v>-2580.85</v>
          </cell>
          <cell r="J615">
            <v>297.5</v>
          </cell>
          <cell r="K615" t="str">
            <v>C</v>
          </cell>
        </row>
        <row r="616">
          <cell r="A616">
            <v>53511</v>
          </cell>
          <cell r="B616" t="str">
            <v>2.1.01.010.0463</v>
          </cell>
          <cell r="C616" t="str">
            <v xml:space="preserve">REMONDINI FROES SERVICOS </v>
          </cell>
          <cell r="D616">
            <v>6440</v>
          </cell>
          <cell r="E616" t="str">
            <v>C</v>
          </cell>
          <cell r="G616">
            <v>7021.94</v>
          </cell>
          <cell r="H616">
            <v>6776.94</v>
          </cell>
          <cell r="I616">
            <v>-245</v>
          </cell>
          <cell r="J616">
            <v>6195</v>
          </cell>
          <cell r="K616" t="str">
            <v>C</v>
          </cell>
        </row>
        <row r="617">
          <cell r="A617">
            <v>1800</v>
          </cell>
          <cell r="B617" t="str">
            <v>2.1.01.010.0464</v>
          </cell>
          <cell r="C617" t="str">
            <v xml:space="preserve">OTOVALE </v>
          </cell>
          <cell r="D617">
            <v>227.55</v>
          </cell>
          <cell r="E617" t="str">
            <v>C</v>
          </cell>
          <cell r="G617">
            <v>0</v>
          </cell>
          <cell r="H617">
            <v>0</v>
          </cell>
          <cell r="I617">
            <v>0</v>
          </cell>
          <cell r="J617">
            <v>227.55</v>
          </cell>
          <cell r="K617" t="str">
            <v>C</v>
          </cell>
        </row>
        <row r="618">
          <cell r="A618">
            <v>53523</v>
          </cell>
          <cell r="B618" t="str">
            <v>2.1.01.010.0465</v>
          </cell>
          <cell r="C618" t="str">
            <v xml:space="preserve">DORO &amp; FIORE SERVICOS </v>
          </cell>
          <cell r="D618">
            <v>40323.89</v>
          </cell>
          <cell r="E618" t="str">
            <v>C</v>
          </cell>
          <cell r="G618">
            <v>0</v>
          </cell>
          <cell r="H618">
            <v>2376</v>
          </cell>
          <cell r="I618">
            <v>2376</v>
          </cell>
          <cell r="J618">
            <v>42699.89</v>
          </cell>
          <cell r="K618" t="str">
            <v>C</v>
          </cell>
        </row>
        <row r="619">
          <cell r="A619">
            <v>53542</v>
          </cell>
          <cell r="B619" t="str">
            <v>2.1.01.010.0470</v>
          </cell>
          <cell r="C619" t="str">
            <v xml:space="preserve">INSTITUTO DE CIRURGIA DE </v>
          </cell>
          <cell r="D619">
            <v>3066.9</v>
          </cell>
          <cell r="E619" t="str">
            <v>C</v>
          </cell>
          <cell r="G619">
            <v>300</v>
          </cell>
          <cell r="H619">
            <v>0</v>
          </cell>
          <cell r="I619">
            <v>-300</v>
          </cell>
          <cell r="J619">
            <v>2766.9</v>
          </cell>
          <cell r="K619" t="str">
            <v>C</v>
          </cell>
        </row>
        <row r="620">
          <cell r="A620">
            <v>53556</v>
          </cell>
          <cell r="B620" t="str">
            <v>2.1.01.010.0471</v>
          </cell>
          <cell r="C620" t="str">
            <v xml:space="preserve">RIBAS SERVICOS MEDICOS </v>
          </cell>
          <cell r="D620">
            <v>1820</v>
          </cell>
          <cell r="E620" t="str">
            <v>C</v>
          </cell>
          <cell r="G620">
            <v>1400</v>
          </cell>
          <cell r="H620">
            <v>2890</v>
          </cell>
          <cell r="I620">
            <v>1490</v>
          </cell>
          <cell r="J620">
            <v>3310</v>
          </cell>
          <cell r="K620" t="str">
            <v>C</v>
          </cell>
        </row>
        <row r="621">
          <cell r="A621">
            <v>53557</v>
          </cell>
          <cell r="B621" t="str">
            <v>2.1.01.010.0472</v>
          </cell>
          <cell r="C621" t="str">
            <v xml:space="preserve">LOPES MACHADO SERVICOS </v>
          </cell>
          <cell r="D621">
            <v>1200</v>
          </cell>
          <cell r="E621" t="str">
            <v>C</v>
          </cell>
          <cell r="G621">
            <v>1200</v>
          </cell>
          <cell r="H621">
            <v>13584</v>
          </cell>
          <cell r="I621">
            <v>12384</v>
          </cell>
          <cell r="J621">
            <v>13584</v>
          </cell>
          <cell r="K621" t="str">
            <v>C</v>
          </cell>
        </row>
        <row r="622">
          <cell r="A622">
            <v>53558</v>
          </cell>
          <cell r="B622" t="str">
            <v>2.1.01.010.0473</v>
          </cell>
          <cell r="C622" t="str">
            <v>JM E JM SAUDE LTDA</v>
          </cell>
          <cell r="D622">
            <v>14385.41</v>
          </cell>
          <cell r="E622" t="str">
            <v>C</v>
          </cell>
          <cell r="G622">
            <v>14385.41</v>
          </cell>
          <cell r="H622">
            <v>11769.88</v>
          </cell>
          <cell r="I622">
            <v>-2615.5300000000002</v>
          </cell>
          <cell r="J622">
            <v>11769.88</v>
          </cell>
          <cell r="K622" t="str">
            <v>C</v>
          </cell>
        </row>
        <row r="623">
          <cell r="A623">
            <v>53577</v>
          </cell>
          <cell r="B623" t="str">
            <v>2.1.01.010.0476</v>
          </cell>
          <cell r="C623" t="str">
            <v xml:space="preserve">KARLA DEGANI BABO DI </v>
          </cell>
          <cell r="D623">
            <v>25096.34</v>
          </cell>
          <cell r="E623" t="str">
            <v>C</v>
          </cell>
          <cell r="G623">
            <v>25336.34</v>
          </cell>
          <cell r="H623">
            <v>23061.8</v>
          </cell>
          <cell r="I623">
            <v>-2274.54</v>
          </cell>
          <cell r="J623">
            <v>22821.8</v>
          </cell>
          <cell r="K623" t="str">
            <v>C</v>
          </cell>
        </row>
        <row r="624">
          <cell r="A624">
            <v>53603</v>
          </cell>
          <cell r="B624" t="str">
            <v>2.1.01.010.0480</v>
          </cell>
          <cell r="C624" t="str">
            <v xml:space="preserve">CTO CENTRO DE </v>
          </cell>
          <cell r="D624">
            <v>1746.25</v>
          </cell>
          <cell r="E624" t="str">
            <v>C</v>
          </cell>
          <cell r="G624">
            <v>0</v>
          </cell>
          <cell r="H624">
            <v>0</v>
          </cell>
          <cell r="I624">
            <v>0</v>
          </cell>
          <cell r="J624">
            <v>1746.25</v>
          </cell>
          <cell r="K624" t="str">
            <v>C</v>
          </cell>
        </row>
        <row r="625">
          <cell r="A625">
            <v>53605</v>
          </cell>
          <cell r="B625" t="str">
            <v>2.1.01.010.0481</v>
          </cell>
          <cell r="C625" t="str">
            <v xml:space="preserve">DUCORDIS ASSISTENCIA </v>
          </cell>
          <cell r="D625">
            <v>1430.05</v>
          </cell>
          <cell r="E625" t="str">
            <v>C</v>
          </cell>
          <cell r="G625">
            <v>0</v>
          </cell>
          <cell r="H625">
            <v>0</v>
          </cell>
          <cell r="I625">
            <v>0</v>
          </cell>
          <cell r="J625">
            <v>1430.05</v>
          </cell>
          <cell r="K625" t="str">
            <v>C</v>
          </cell>
        </row>
        <row r="626">
          <cell r="A626">
            <v>53703</v>
          </cell>
          <cell r="B626" t="str">
            <v>2.1.01.010.0482</v>
          </cell>
          <cell r="C626" t="str">
            <v xml:space="preserve">RUIZ DE OLIVEIRA SERVICOS </v>
          </cell>
          <cell r="D626">
            <v>1091.3800000000001</v>
          </cell>
          <cell r="E626" t="str">
            <v>C</v>
          </cell>
          <cell r="G626">
            <v>1091.3800000000001</v>
          </cell>
          <cell r="H626">
            <v>2819.81</v>
          </cell>
          <cell r="I626">
            <v>1728.43</v>
          </cell>
          <cell r="J626">
            <v>2819.81</v>
          </cell>
          <cell r="K626" t="str">
            <v>C</v>
          </cell>
        </row>
        <row r="627">
          <cell r="A627">
            <v>53704</v>
          </cell>
          <cell r="B627" t="str">
            <v>2.1.01.010.0483</v>
          </cell>
          <cell r="C627" t="str">
            <v xml:space="preserve">MAIA &amp; FERNANDES </v>
          </cell>
          <cell r="D627">
            <v>980</v>
          </cell>
          <cell r="E627" t="str">
            <v>C</v>
          </cell>
          <cell r="G627">
            <v>1088.5</v>
          </cell>
          <cell r="H627">
            <v>784.21</v>
          </cell>
          <cell r="I627">
            <v>-304.29000000000002</v>
          </cell>
          <cell r="J627">
            <v>675.71</v>
          </cell>
          <cell r="K627" t="str">
            <v>C</v>
          </cell>
        </row>
        <row r="628">
          <cell r="A628">
            <v>53706</v>
          </cell>
          <cell r="B628" t="str">
            <v>2.1.01.010.0485</v>
          </cell>
          <cell r="C628" t="str">
            <v xml:space="preserve">CARVALHO &amp; COSTA </v>
          </cell>
          <cell r="D628">
            <v>3423.4</v>
          </cell>
          <cell r="E628" t="str">
            <v>C</v>
          </cell>
          <cell r="G628">
            <v>9543.68</v>
          </cell>
          <cell r="H628">
            <v>13419.28</v>
          </cell>
          <cell r="I628">
            <v>3875.6</v>
          </cell>
          <cell r="J628">
            <v>7299</v>
          </cell>
          <cell r="K628" t="str">
            <v>C</v>
          </cell>
        </row>
        <row r="629">
          <cell r="A629">
            <v>53798</v>
          </cell>
          <cell r="B629" t="str">
            <v>2.1.01.010.0488</v>
          </cell>
          <cell r="C629" t="str">
            <v xml:space="preserve">MAAP SERVICOS MEDICOS </v>
          </cell>
          <cell r="D629">
            <v>9091.7199999999993</v>
          </cell>
          <cell r="E629" t="str">
            <v>C</v>
          </cell>
          <cell r="G629">
            <v>9021.7199999999993</v>
          </cell>
          <cell r="H629">
            <v>30477.25</v>
          </cell>
          <cell r="I629">
            <v>21455.53</v>
          </cell>
          <cell r="J629">
            <v>30547.25</v>
          </cell>
          <cell r="K629" t="str">
            <v>C</v>
          </cell>
        </row>
        <row r="630">
          <cell r="A630">
            <v>53800</v>
          </cell>
          <cell r="B630" t="str">
            <v>2.1.01.010.0489</v>
          </cell>
          <cell r="C630" t="str">
            <v>RONCONI MIRANDA LTDA</v>
          </cell>
          <cell r="D630">
            <v>1068.8399999999999</v>
          </cell>
          <cell r="E630" t="str">
            <v>C</v>
          </cell>
          <cell r="G630">
            <v>0</v>
          </cell>
          <cell r="H630">
            <v>0</v>
          </cell>
          <cell r="I630">
            <v>0</v>
          </cell>
          <cell r="J630">
            <v>1068.8399999999999</v>
          </cell>
          <cell r="K630" t="str">
            <v>C</v>
          </cell>
        </row>
        <row r="631">
          <cell r="A631">
            <v>53003</v>
          </cell>
          <cell r="B631" t="str">
            <v>2.1.01.010.0490</v>
          </cell>
          <cell r="C631" t="str">
            <v xml:space="preserve"> ANDRADE &amp; LACERDA </v>
          </cell>
          <cell r="D631">
            <v>86.4</v>
          </cell>
          <cell r="E631" t="str">
            <v>C</v>
          </cell>
          <cell r="G631">
            <v>0</v>
          </cell>
          <cell r="H631">
            <v>0</v>
          </cell>
          <cell r="I631">
            <v>0</v>
          </cell>
          <cell r="J631">
            <v>86.4</v>
          </cell>
          <cell r="K631" t="str">
            <v>C</v>
          </cell>
        </row>
        <row r="632">
          <cell r="A632">
            <v>53827</v>
          </cell>
          <cell r="B632" t="str">
            <v>2.1.01.010.0493</v>
          </cell>
          <cell r="C632" t="str">
            <v xml:space="preserve">FREIXEDAS MEDICINA E </v>
          </cell>
          <cell r="D632">
            <v>9937.84</v>
          </cell>
          <cell r="E632" t="str">
            <v>C</v>
          </cell>
          <cell r="G632">
            <v>16312.08</v>
          </cell>
          <cell r="H632">
            <v>13321.52</v>
          </cell>
          <cell r="I632">
            <v>-2990.56</v>
          </cell>
          <cell r="J632">
            <v>6947.28</v>
          </cell>
          <cell r="K632" t="str">
            <v>C</v>
          </cell>
        </row>
        <row r="633">
          <cell r="A633">
            <v>53834</v>
          </cell>
          <cell r="B633" t="str">
            <v>2.1.01.010.0494</v>
          </cell>
          <cell r="C633" t="str">
            <v xml:space="preserve">MORGADO E MAGALHAES </v>
          </cell>
          <cell r="D633">
            <v>21207.99</v>
          </cell>
          <cell r="E633" t="str">
            <v>C</v>
          </cell>
          <cell r="G633">
            <v>24228.12</v>
          </cell>
          <cell r="H633">
            <v>19353.54</v>
          </cell>
          <cell r="I633">
            <v>-4874.58</v>
          </cell>
          <cell r="J633">
            <v>16333.41</v>
          </cell>
          <cell r="K633" t="str">
            <v>C</v>
          </cell>
        </row>
        <row r="634">
          <cell r="A634">
            <v>53845</v>
          </cell>
          <cell r="B634" t="str">
            <v>2.1.01.010.0496</v>
          </cell>
          <cell r="C634" t="str">
            <v xml:space="preserve">STOLZEMBURG &amp; APOLINARIO </v>
          </cell>
          <cell r="D634">
            <v>120</v>
          </cell>
          <cell r="E634" t="str">
            <v>C</v>
          </cell>
          <cell r="G634">
            <v>0</v>
          </cell>
          <cell r="H634">
            <v>0</v>
          </cell>
          <cell r="I634">
            <v>0</v>
          </cell>
          <cell r="J634">
            <v>120</v>
          </cell>
          <cell r="K634" t="str">
            <v>C</v>
          </cell>
        </row>
        <row r="635">
          <cell r="A635">
            <v>53852</v>
          </cell>
          <cell r="B635" t="str">
            <v>2.1.01.010.0497</v>
          </cell>
          <cell r="C635" t="str">
            <v xml:space="preserve">LOPES &amp; ALVARENGA </v>
          </cell>
          <cell r="D635">
            <v>1282.81</v>
          </cell>
          <cell r="E635" t="str">
            <v>C</v>
          </cell>
          <cell r="G635">
            <v>0</v>
          </cell>
          <cell r="H635">
            <v>1890.61</v>
          </cell>
          <cell r="I635">
            <v>1890.61</v>
          </cell>
          <cell r="J635">
            <v>3173.42</v>
          </cell>
          <cell r="K635" t="str">
            <v>C</v>
          </cell>
        </row>
        <row r="636">
          <cell r="A636">
            <v>53853</v>
          </cell>
          <cell r="B636" t="str">
            <v>2.1.01.010.0498</v>
          </cell>
          <cell r="C636" t="str">
            <v xml:space="preserve">VERSIANI ALVAREZ SERVICOS </v>
          </cell>
          <cell r="D636">
            <v>17760.95</v>
          </cell>
          <cell r="E636" t="str">
            <v>C</v>
          </cell>
          <cell r="G636">
            <v>19538.86</v>
          </cell>
          <cell r="H636">
            <v>15271.42</v>
          </cell>
          <cell r="I636">
            <v>-4267.4399999999996</v>
          </cell>
          <cell r="J636">
            <v>13493.51</v>
          </cell>
          <cell r="K636" t="str">
            <v>C</v>
          </cell>
        </row>
        <row r="637">
          <cell r="A637">
            <v>53860</v>
          </cell>
          <cell r="B637" t="str">
            <v>2.1.01.010.0503</v>
          </cell>
          <cell r="C637" t="str">
            <v xml:space="preserve">MARCHTEIN GUEDES </v>
          </cell>
          <cell r="D637">
            <v>105.84</v>
          </cell>
          <cell r="E637" t="str">
            <v>C</v>
          </cell>
          <cell r="G637">
            <v>0</v>
          </cell>
          <cell r="H637">
            <v>0</v>
          </cell>
          <cell r="I637">
            <v>0</v>
          </cell>
          <cell r="J637">
            <v>105.84</v>
          </cell>
          <cell r="K637" t="str">
            <v>C</v>
          </cell>
        </row>
        <row r="638">
          <cell r="A638">
            <v>53861</v>
          </cell>
          <cell r="B638" t="str">
            <v>2.1.01.010.0504</v>
          </cell>
          <cell r="C638" t="str">
            <v xml:space="preserve">SANCHES REZENDE </v>
          </cell>
          <cell r="D638">
            <v>6346.08</v>
          </cell>
          <cell r="E638" t="str">
            <v>C</v>
          </cell>
          <cell r="G638">
            <v>7609.61</v>
          </cell>
          <cell r="H638">
            <v>7012.56</v>
          </cell>
          <cell r="I638">
            <v>-597.04999999999995</v>
          </cell>
          <cell r="J638">
            <v>5749.03</v>
          </cell>
          <cell r="K638" t="str">
            <v>C</v>
          </cell>
        </row>
        <row r="639">
          <cell r="A639">
            <v>53865</v>
          </cell>
          <cell r="B639" t="str">
            <v>2.1.01.010.0506</v>
          </cell>
          <cell r="C639" t="str">
            <v>J. D. L. CLINICA MEDICA LTDA</v>
          </cell>
          <cell r="D639">
            <v>42.4</v>
          </cell>
          <cell r="E639" t="str">
            <v>C</v>
          </cell>
          <cell r="G639">
            <v>0</v>
          </cell>
          <cell r="H639">
            <v>0</v>
          </cell>
          <cell r="I639">
            <v>0</v>
          </cell>
          <cell r="J639">
            <v>42.4</v>
          </cell>
          <cell r="K639" t="str">
            <v>C</v>
          </cell>
        </row>
        <row r="640">
          <cell r="A640">
            <v>53866</v>
          </cell>
          <cell r="B640" t="str">
            <v>2.1.01.010.0507</v>
          </cell>
          <cell r="C640" t="str">
            <v xml:space="preserve">FORTUNATO DE BARROS </v>
          </cell>
          <cell r="D640">
            <v>1200</v>
          </cell>
          <cell r="E640" t="str">
            <v>C</v>
          </cell>
          <cell r="G640">
            <v>0</v>
          </cell>
          <cell r="H640">
            <v>0</v>
          </cell>
          <cell r="I640">
            <v>0</v>
          </cell>
          <cell r="J640">
            <v>1200</v>
          </cell>
          <cell r="K640" t="str">
            <v>C</v>
          </cell>
        </row>
        <row r="641">
          <cell r="A641">
            <v>53871</v>
          </cell>
          <cell r="B641" t="str">
            <v>2.1.01.010.0508</v>
          </cell>
          <cell r="C641" t="str">
            <v xml:space="preserve">CLINICA MEDICA POPULAR </v>
          </cell>
          <cell r="D641">
            <v>1894.9</v>
          </cell>
          <cell r="E641" t="str">
            <v>C</v>
          </cell>
          <cell r="G641">
            <v>1947.82</v>
          </cell>
          <cell r="H641">
            <v>1134.42</v>
          </cell>
          <cell r="I641">
            <v>-813.4</v>
          </cell>
          <cell r="J641">
            <v>1081.5</v>
          </cell>
          <cell r="K641" t="str">
            <v>C</v>
          </cell>
        </row>
        <row r="642">
          <cell r="A642">
            <v>53872</v>
          </cell>
          <cell r="B642" t="str">
            <v>2.1.01.010.0509</v>
          </cell>
          <cell r="C642" t="str">
            <v xml:space="preserve">ELISE PITTA SERVICOS </v>
          </cell>
          <cell r="D642">
            <v>9218.9500000000007</v>
          </cell>
          <cell r="E642" t="str">
            <v>C</v>
          </cell>
          <cell r="G642">
            <v>9390.51</v>
          </cell>
          <cell r="H642">
            <v>11137.34</v>
          </cell>
          <cell r="I642">
            <v>1746.83</v>
          </cell>
          <cell r="J642">
            <v>10965.78</v>
          </cell>
          <cell r="K642" t="str">
            <v>C</v>
          </cell>
        </row>
        <row r="643">
          <cell r="A643">
            <v>53908</v>
          </cell>
          <cell r="B643" t="str">
            <v>2.1.01.010.0512</v>
          </cell>
          <cell r="C643" t="str">
            <v>GNJ CLINICA MEDICA LTDA</v>
          </cell>
          <cell r="D643">
            <v>899.15</v>
          </cell>
          <cell r="E643" t="str">
            <v>C</v>
          </cell>
          <cell r="G643">
            <v>0</v>
          </cell>
          <cell r="H643">
            <v>0</v>
          </cell>
          <cell r="I643">
            <v>0</v>
          </cell>
          <cell r="J643">
            <v>899.15</v>
          </cell>
          <cell r="K643" t="str">
            <v>C</v>
          </cell>
        </row>
        <row r="644">
          <cell r="A644">
            <v>53910</v>
          </cell>
          <cell r="B644" t="str">
            <v>2.1.01.010.0513</v>
          </cell>
          <cell r="C644" t="str">
            <v>GINECOCARE LTDA</v>
          </cell>
          <cell r="D644">
            <v>2647.68</v>
          </cell>
          <cell r="E644" t="str">
            <v>C</v>
          </cell>
          <cell r="G644">
            <v>2971.2</v>
          </cell>
          <cell r="H644">
            <v>3180.51</v>
          </cell>
          <cell r="I644">
            <v>209.31</v>
          </cell>
          <cell r="J644">
            <v>2856.99</v>
          </cell>
          <cell r="K644" t="str">
            <v>C</v>
          </cell>
        </row>
        <row r="645">
          <cell r="A645">
            <v>53913</v>
          </cell>
          <cell r="B645" t="str">
            <v>2.1.01.010.0516</v>
          </cell>
          <cell r="C645" t="str">
            <v>RJE CLINICA MEDICA LTDA ME</v>
          </cell>
          <cell r="D645">
            <v>3913.75</v>
          </cell>
          <cell r="E645" t="str">
            <v>C</v>
          </cell>
          <cell r="G645">
            <v>703.29</v>
          </cell>
          <cell r="H645">
            <v>920.18</v>
          </cell>
          <cell r="I645">
            <v>216.89</v>
          </cell>
          <cell r="J645">
            <v>4130.6400000000003</v>
          </cell>
          <cell r="K645" t="str">
            <v>C</v>
          </cell>
        </row>
        <row r="646">
          <cell r="A646">
            <v>53914</v>
          </cell>
          <cell r="B646" t="str">
            <v>2.1.01.010.0517</v>
          </cell>
          <cell r="C646" t="str">
            <v xml:space="preserve">UROCAMP SERV MED E HOSP </v>
          </cell>
          <cell r="D646">
            <v>662.4</v>
          </cell>
          <cell r="E646" t="str">
            <v>C</v>
          </cell>
          <cell r="G646">
            <v>0</v>
          </cell>
          <cell r="H646">
            <v>0</v>
          </cell>
          <cell r="I646">
            <v>0</v>
          </cell>
          <cell r="J646">
            <v>662.4</v>
          </cell>
          <cell r="K646" t="str">
            <v>C</v>
          </cell>
        </row>
        <row r="647">
          <cell r="A647">
            <v>53918</v>
          </cell>
          <cell r="B647" t="str">
            <v>2.1.01.010.0519</v>
          </cell>
          <cell r="C647" t="str">
            <v xml:space="preserve">RAMOS RODRIGUES </v>
          </cell>
          <cell r="D647">
            <v>3964.83</v>
          </cell>
          <cell r="E647" t="str">
            <v>C</v>
          </cell>
          <cell r="G647">
            <v>3964.83</v>
          </cell>
          <cell r="H647">
            <v>5554.67</v>
          </cell>
          <cell r="I647">
            <v>1589.84</v>
          </cell>
          <cell r="J647">
            <v>5554.67</v>
          </cell>
          <cell r="K647" t="str">
            <v>C</v>
          </cell>
        </row>
        <row r="648">
          <cell r="A648">
            <v>53937</v>
          </cell>
          <cell r="B648" t="str">
            <v>2.1.01.010.0522</v>
          </cell>
          <cell r="C648" t="str">
            <v xml:space="preserve">DANILO AUGUSTO BLANCO </v>
          </cell>
          <cell r="D648">
            <v>60</v>
          </cell>
          <cell r="E648" t="str">
            <v>C</v>
          </cell>
          <cell r="G648">
            <v>0</v>
          </cell>
          <cell r="H648">
            <v>0</v>
          </cell>
          <cell r="I648">
            <v>0</v>
          </cell>
          <cell r="J648">
            <v>60</v>
          </cell>
          <cell r="K648" t="str">
            <v>C</v>
          </cell>
        </row>
        <row r="649">
          <cell r="A649">
            <v>53950</v>
          </cell>
          <cell r="B649" t="str">
            <v>2.1.01.010.0524</v>
          </cell>
          <cell r="C649" t="str">
            <v xml:space="preserve">SYMED SERVICOS MEDICOS </v>
          </cell>
          <cell r="D649">
            <v>8999.01</v>
          </cell>
          <cell r="E649" t="str">
            <v>C</v>
          </cell>
          <cell r="G649">
            <v>14635.97</v>
          </cell>
          <cell r="H649">
            <v>15270.39</v>
          </cell>
          <cell r="I649">
            <v>634.41999999999996</v>
          </cell>
          <cell r="J649">
            <v>9633.43</v>
          </cell>
          <cell r="K649" t="str">
            <v>C</v>
          </cell>
        </row>
        <row r="650">
          <cell r="A650">
            <v>53955</v>
          </cell>
          <cell r="B650" t="str">
            <v>2.1.01.010.0527</v>
          </cell>
          <cell r="C650" t="str">
            <v xml:space="preserve">ORTO - PED SERVICOS </v>
          </cell>
          <cell r="D650">
            <v>460.18</v>
          </cell>
          <cell r="E650" t="str">
            <v>C</v>
          </cell>
          <cell r="G650">
            <v>0</v>
          </cell>
          <cell r="H650">
            <v>0</v>
          </cell>
          <cell r="I650">
            <v>0</v>
          </cell>
          <cell r="J650">
            <v>460.18</v>
          </cell>
          <cell r="K650" t="str">
            <v>C</v>
          </cell>
        </row>
        <row r="651">
          <cell r="A651">
            <v>53956</v>
          </cell>
          <cell r="B651" t="str">
            <v>2.1.01.010.0528</v>
          </cell>
          <cell r="C651" t="str">
            <v xml:space="preserve">SOLUCAO SAUDE CLINICA DE </v>
          </cell>
          <cell r="D651">
            <v>369.11</v>
          </cell>
          <cell r="E651" t="str">
            <v>C</v>
          </cell>
          <cell r="G651">
            <v>0</v>
          </cell>
          <cell r="H651">
            <v>0</v>
          </cell>
          <cell r="I651">
            <v>0</v>
          </cell>
          <cell r="J651">
            <v>369.11</v>
          </cell>
          <cell r="K651" t="str">
            <v>C</v>
          </cell>
        </row>
        <row r="652">
          <cell r="A652">
            <v>53958</v>
          </cell>
          <cell r="B652" t="str">
            <v>2.1.01.010.0529</v>
          </cell>
          <cell r="C652" t="str">
            <v xml:space="preserve">CLINICA MEDICA E CIRURGICA </v>
          </cell>
          <cell r="D652">
            <v>12359.5</v>
          </cell>
          <cell r="E652" t="str">
            <v>C</v>
          </cell>
          <cell r="G652">
            <v>6496.28</v>
          </cell>
          <cell r="H652">
            <v>14917.95</v>
          </cell>
          <cell r="I652">
            <v>8421.67</v>
          </cell>
          <cell r="J652">
            <v>20781.169999999998</v>
          </cell>
          <cell r="K652" t="str">
            <v>C</v>
          </cell>
        </row>
        <row r="653">
          <cell r="A653">
            <v>53959</v>
          </cell>
          <cell r="B653" t="str">
            <v>2.1.01.010.0530</v>
          </cell>
          <cell r="C653" t="str">
            <v xml:space="preserve">DINIZ BALBUENO SERVICOS </v>
          </cell>
          <cell r="D653">
            <v>5698.98</v>
          </cell>
          <cell r="E653" t="str">
            <v>C</v>
          </cell>
          <cell r="G653">
            <v>8177.55</v>
          </cell>
          <cell r="H653">
            <v>5138.29</v>
          </cell>
          <cell r="I653">
            <v>-3039.26</v>
          </cell>
          <cell r="J653">
            <v>2659.72</v>
          </cell>
          <cell r="K653" t="str">
            <v>C</v>
          </cell>
        </row>
        <row r="654">
          <cell r="A654">
            <v>53960</v>
          </cell>
          <cell r="B654" t="str">
            <v>2.1.01.010.0531</v>
          </cell>
          <cell r="C654" t="str">
            <v xml:space="preserve">MALDONADO SERVICOS </v>
          </cell>
          <cell r="D654">
            <v>53.48</v>
          </cell>
          <cell r="E654" t="str">
            <v>C</v>
          </cell>
          <cell r="G654">
            <v>0</v>
          </cell>
          <cell r="H654">
            <v>0</v>
          </cell>
          <cell r="I654">
            <v>0</v>
          </cell>
          <cell r="J654">
            <v>53.48</v>
          </cell>
          <cell r="K654" t="str">
            <v>C</v>
          </cell>
        </row>
        <row r="655">
          <cell r="A655">
            <v>53961</v>
          </cell>
          <cell r="B655" t="str">
            <v>2.1.01.010.0532</v>
          </cell>
          <cell r="C655" t="str">
            <v xml:space="preserve">VARGAS E PEGORARO </v>
          </cell>
          <cell r="D655">
            <v>22655</v>
          </cell>
          <cell r="E655" t="str">
            <v>C</v>
          </cell>
          <cell r="G655">
            <v>22655</v>
          </cell>
          <cell r="H655">
            <v>22655</v>
          </cell>
          <cell r="I655">
            <v>0</v>
          </cell>
          <cell r="J655">
            <v>22655</v>
          </cell>
          <cell r="K655" t="str">
            <v>C</v>
          </cell>
        </row>
        <row r="656">
          <cell r="A656">
            <v>53965</v>
          </cell>
          <cell r="B656" t="str">
            <v>2.1.01.010.0534</v>
          </cell>
          <cell r="C656" t="str">
            <v xml:space="preserve">MELO FERRARI SERVICOS </v>
          </cell>
          <cell r="D656">
            <v>6935.32</v>
          </cell>
          <cell r="E656" t="str">
            <v>C</v>
          </cell>
          <cell r="G656">
            <v>2803.67</v>
          </cell>
          <cell r="H656">
            <v>5789.2</v>
          </cell>
          <cell r="I656">
            <v>2985.53</v>
          </cell>
          <cell r="J656">
            <v>9920.85</v>
          </cell>
          <cell r="K656" t="str">
            <v>C</v>
          </cell>
        </row>
        <row r="657">
          <cell r="A657">
            <v>53970</v>
          </cell>
          <cell r="B657" t="str">
            <v>2.1.01.010.0536</v>
          </cell>
          <cell r="C657" t="str">
            <v xml:space="preserve">FARIA &amp; TORRESAN CLINICA </v>
          </cell>
          <cell r="D657">
            <v>2988.36</v>
          </cell>
          <cell r="E657" t="str">
            <v>C</v>
          </cell>
          <cell r="G657">
            <v>1606.55</v>
          </cell>
          <cell r="H657">
            <v>1424.17</v>
          </cell>
          <cell r="I657">
            <v>-182.38</v>
          </cell>
          <cell r="J657">
            <v>2805.98</v>
          </cell>
          <cell r="K657" t="str">
            <v>C</v>
          </cell>
        </row>
        <row r="658">
          <cell r="A658">
            <v>53992</v>
          </cell>
          <cell r="B658" t="str">
            <v>2.1.01.010.0538</v>
          </cell>
          <cell r="C658" t="str">
            <v xml:space="preserve">SADABB SERVIÇOS MEDICOS </v>
          </cell>
          <cell r="D658">
            <v>1715.81</v>
          </cell>
          <cell r="E658" t="str">
            <v>C</v>
          </cell>
          <cell r="G658">
            <v>16012.93</v>
          </cell>
          <cell r="H658">
            <v>15563.54</v>
          </cell>
          <cell r="I658">
            <v>-449.39</v>
          </cell>
          <cell r="J658">
            <v>1266.42</v>
          </cell>
          <cell r="K658" t="str">
            <v>C</v>
          </cell>
        </row>
        <row r="659">
          <cell r="A659">
            <v>53994</v>
          </cell>
          <cell r="B659" t="str">
            <v>2.1.01.010.0539</v>
          </cell>
          <cell r="C659" t="str">
            <v>JC&amp;FP CLINICA MEDICA LTDA</v>
          </cell>
          <cell r="D659">
            <v>609.12</v>
          </cell>
          <cell r="E659" t="str">
            <v>C</v>
          </cell>
          <cell r="G659">
            <v>0</v>
          </cell>
          <cell r="H659">
            <v>0</v>
          </cell>
          <cell r="I659">
            <v>0</v>
          </cell>
          <cell r="J659">
            <v>609.12</v>
          </cell>
          <cell r="K659" t="str">
            <v>C</v>
          </cell>
        </row>
        <row r="660">
          <cell r="A660">
            <v>54017</v>
          </cell>
          <cell r="B660" t="str">
            <v>2.1.01.010.0540</v>
          </cell>
          <cell r="C660" t="str">
            <v xml:space="preserve">PSICOCEL PSICOLOGIA SS </v>
          </cell>
          <cell r="D660">
            <v>196</v>
          </cell>
          <cell r="E660" t="str">
            <v>C</v>
          </cell>
          <cell r="G660">
            <v>245</v>
          </cell>
          <cell r="H660">
            <v>49</v>
          </cell>
          <cell r="I660">
            <v>-196</v>
          </cell>
          <cell r="J660">
            <v>0</v>
          </cell>
          <cell r="K660" t="str">
            <v>C</v>
          </cell>
        </row>
        <row r="661">
          <cell r="A661">
            <v>54028</v>
          </cell>
          <cell r="B661" t="str">
            <v>2.1.01.010.0543</v>
          </cell>
          <cell r="C661" t="str">
            <v xml:space="preserve">K R P SERVICOS MEDICOS </v>
          </cell>
          <cell r="D661">
            <v>5909.37</v>
          </cell>
          <cell r="E661" t="str">
            <v>C</v>
          </cell>
          <cell r="G661">
            <v>5356.71</v>
          </cell>
          <cell r="H661">
            <v>8029.61</v>
          </cell>
          <cell r="I661">
            <v>2672.9</v>
          </cell>
          <cell r="J661">
            <v>8582.27</v>
          </cell>
          <cell r="K661" t="str">
            <v>C</v>
          </cell>
        </row>
        <row r="662">
          <cell r="A662">
            <v>54031</v>
          </cell>
          <cell r="B662" t="str">
            <v>2.1.01.010.0545</v>
          </cell>
          <cell r="C662" t="str">
            <v xml:space="preserve">CLINICA MEDICA RODRIGUES </v>
          </cell>
          <cell r="D662">
            <v>2777.3</v>
          </cell>
          <cell r="E662" t="str">
            <v>C</v>
          </cell>
          <cell r="G662">
            <v>2642.8</v>
          </cell>
          <cell r="H662">
            <v>579.79999999999995</v>
          </cell>
          <cell r="I662">
            <v>-2063</v>
          </cell>
          <cell r="J662">
            <v>714.3</v>
          </cell>
          <cell r="K662" t="str">
            <v>C</v>
          </cell>
        </row>
        <row r="663">
          <cell r="A663">
            <v>54033</v>
          </cell>
          <cell r="B663" t="str">
            <v>2.1.01.010.0547</v>
          </cell>
          <cell r="C663" t="str">
            <v xml:space="preserve">ALECIOCOSTA SERVICOS </v>
          </cell>
          <cell r="D663">
            <v>438.83</v>
          </cell>
          <cell r="E663" t="str">
            <v>C</v>
          </cell>
          <cell r="G663">
            <v>0</v>
          </cell>
          <cell r="H663">
            <v>0</v>
          </cell>
          <cell r="I663">
            <v>0</v>
          </cell>
          <cell r="J663">
            <v>438.83</v>
          </cell>
          <cell r="K663" t="str">
            <v>C</v>
          </cell>
        </row>
        <row r="664">
          <cell r="A664">
            <v>54034</v>
          </cell>
          <cell r="B664" t="str">
            <v>2.1.01.010.0548</v>
          </cell>
          <cell r="C664" t="str">
            <v xml:space="preserve">M M C DA SILVA CLINICA </v>
          </cell>
          <cell r="D664">
            <v>4143.97</v>
          </cell>
          <cell r="E664" t="str">
            <v>C</v>
          </cell>
          <cell r="G664">
            <v>1249.5</v>
          </cell>
          <cell r="H664">
            <v>784</v>
          </cell>
          <cell r="I664">
            <v>-465.5</v>
          </cell>
          <cell r="J664">
            <v>3678.47</v>
          </cell>
          <cell r="K664" t="str">
            <v>C</v>
          </cell>
        </row>
        <row r="665">
          <cell r="A665">
            <v>54035</v>
          </cell>
          <cell r="B665" t="str">
            <v>2.1.01.010.0549</v>
          </cell>
          <cell r="C665" t="str">
            <v>OTO E RINHO S CARE LTDA</v>
          </cell>
          <cell r="D665">
            <v>997.64</v>
          </cell>
          <cell r="E665" t="str">
            <v>C</v>
          </cell>
          <cell r="G665">
            <v>416.5</v>
          </cell>
          <cell r="H665">
            <v>773.29</v>
          </cell>
          <cell r="I665">
            <v>356.79</v>
          </cell>
          <cell r="J665">
            <v>1354.43</v>
          </cell>
          <cell r="K665" t="str">
            <v>C</v>
          </cell>
        </row>
        <row r="666">
          <cell r="A666">
            <v>54036</v>
          </cell>
          <cell r="B666" t="str">
            <v>2.1.01.010.0550</v>
          </cell>
          <cell r="C666" t="str">
            <v xml:space="preserve">OZORIO CARDOSO SERVICOS </v>
          </cell>
          <cell r="D666">
            <v>4150.78</v>
          </cell>
          <cell r="E666" t="str">
            <v>C</v>
          </cell>
          <cell r="G666">
            <v>4495.88</v>
          </cell>
          <cell r="H666">
            <v>4640.68</v>
          </cell>
          <cell r="I666">
            <v>144.80000000000001</v>
          </cell>
          <cell r="J666">
            <v>4295.58</v>
          </cell>
          <cell r="K666" t="str">
            <v>C</v>
          </cell>
        </row>
        <row r="667">
          <cell r="A667">
            <v>54037</v>
          </cell>
          <cell r="B667" t="str">
            <v>2.1.01.010.0551</v>
          </cell>
          <cell r="C667" t="str">
            <v xml:space="preserve">TH VIEIRA SERVICOS </v>
          </cell>
          <cell r="D667">
            <v>2817.5</v>
          </cell>
          <cell r="E667" t="str">
            <v>C</v>
          </cell>
          <cell r="G667">
            <v>4729.59</v>
          </cell>
          <cell r="H667">
            <v>4404.09</v>
          </cell>
          <cell r="I667">
            <v>-325.5</v>
          </cell>
          <cell r="J667">
            <v>2492</v>
          </cell>
          <cell r="K667" t="str">
            <v>C</v>
          </cell>
        </row>
        <row r="668">
          <cell r="A668">
            <v>54038</v>
          </cell>
          <cell r="B668" t="str">
            <v>2.1.01.010.0552</v>
          </cell>
          <cell r="C668" t="str">
            <v>UNICA MED SOC MEDICA LTDA</v>
          </cell>
          <cell r="D668">
            <v>1221.71</v>
          </cell>
          <cell r="E668" t="str">
            <v>C</v>
          </cell>
          <cell r="G668">
            <v>1168.79</v>
          </cell>
          <cell r="H668">
            <v>1786.97</v>
          </cell>
          <cell r="I668">
            <v>618.17999999999995</v>
          </cell>
          <cell r="J668">
            <v>1839.89</v>
          </cell>
          <cell r="K668" t="str">
            <v>C</v>
          </cell>
        </row>
        <row r="669">
          <cell r="A669">
            <v>54040</v>
          </cell>
          <cell r="B669" t="str">
            <v>2.1.01.010.0554</v>
          </cell>
          <cell r="C669" t="str">
            <v xml:space="preserve">OB GYN CARE GINECOLOGIA </v>
          </cell>
          <cell r="D669">
            <v>480.56</v>
          </cell>
          <cell r="E669" t="str">
            <v>C</v>
          </cell>
          <cell r="G669">
            <v>480.56</v>
          </cell>
          <cell r="H669">
            <v>512.5</v>
          </cell>
          <cell r="I669">
            <v>31.94</v>
          </cell>
          <cell r="J669">
            <v>512.5</v>
          </cell>
          <cell r="K669" t="str">
            <v>C</v>
          </cell>
        </row>
        <row r="670">
          <cell r="A670">
            <v>54046</v>
          </cell>
          <cell r="B670" t="str">
            <v>2.1.01.010.0556</v>
          </cell>
          <cell r="C670" t="str">
            <v>PUPPIO SERVIÇOS MÉDICOS</v>
          </cell>
          <cell r="D670">
            <v>1597.28</v>
          </cell>
          <cell r="E670" t="str">
            <v>C</v>
          </cell>
          <cell r="G670">
            <v>1066.33</v>
          </cell>
          <cell r="H670">
            <v>0</v>
          </cell>
          <cell r="I670">
            <v>-1066.33</v>
          </cell>
          <cell r="J670">
            <v>530.95000000000005</v>
          </cell>
          <cell r="K670" t="str">
            <v>C</v>
          </cell>
        </row>
        <row r="671">
          <cell r="A671">
            <v>54047</v>
          </cell>
          <cell r="B671" t="str">
            <v>2.1.01.010.0557</v>
          </cell>
          <cell r="C671" t="str">
            <v xml:space="preserve">NAKASHIMA &amp; OLIVEIRA </v>
          </cell>
          <cell r="D671">
            <v>2895.1</v>
          </cell>
          <cell r="E671" t="str">
            <v>C</v>
          </cell>
          <cell r="G671">
            <v>3191.9</v>
          </cell>
          <cell r="H671">
            <v>1093.26</v>
          </cell>
          <cell r="I671">
            <v>-2098.64</v>
          </cell>
          <cell r="J671">
            <v>796.46</v>
          </cell>
          <cell r="K671" t="str">
            <v>C</v>
          </cell>
        </row>
        <row r="672">
          <cell r="A672">
            <v>54052</v>
          </cell>
          <cell r="B672" t="str">
            <v>2.1.01.010.0560</v>
          </cell>
          <cell r="C672" t="str">
            <v xml:space="preserve">GASTALDO SERVICOS </v>
          </cell>
          <cell r="D672">
            <v>12688.47</v>
          </cell>
          <cell r="E672" t="str">
            <v>C</v>
          </cell>
          <cell r="G672">
            <v>13967.91</v>
          </cell>
          <cell r="H672">
            <v>15036.66</v>
          </cell>
          <cell r="I672">
            <v>1068.75</v>
          </cell>
          <cell r="J672">
            <v>13757.22</v>
          </cell>
          <cell r="K672" t="str">
            <v>C</v>
          </cell>
        </row>
        <row r="673">
          <cell r="A673">
            <v>54068</v>
          </cell>
          <cell r="B673" t="str">
            <v>2.1.01.010.0562</v>
          </cell>
          <cell r="C673" t="str">
            <v xml:space="preserve">FREIRE E OTSUKI SERVICOS </v>
          </cell>
          <cell r="D673">
            <v>6638.4</v>
          </cell>
          <cell r="E673" t="str">
            <v>C</v>
          </cell>
          <cell r="G673">
            <v>6638.4</v>
          </cell>
          <cell r="H673">
            <v>5310.72</v>
          </cell>
          <cell r="I673">
            <v>-1327.68</v>
          </cell>
          <cell r="J673">
            <v>5310.72</v>
          </cell>
          <cell r="K673" t="str">
            <v>C</v>
          </cell>
        </row>
        <row r="674">
          <cell r="A674">
            <v>54070</v>
          </cell>
          <cell r="B674" t="str">
            <v>2.1.01.010.0563</v>
          </cell>
          <cell r="C674" t="str">
            <v>C H SERVIÇOS MÉDICOS LTDA</v>
          </cell>
          <cell r="D674">
            <v>17083.400000000001</v>
          </cell>
          <cell r="E674" t="str">
            <v>C</v>
          </cell>
          <cell r="G674">
            <v>16973</v>
          </cell>
          <cell r="H674">
            <v>12253.96</v>
          </cell>
          <cell r="I674">
            <v>-4719.04</v>
          </cell>
          <cell r="J674">
            <v>12364.36</v>
          </cell>
          <cell r="K674" t="str">
            <v>C</v>
          </cell>
        </row>
        <row r="675">
          <cell r="A675">
            <v>54081</v>
          </cell>
          <cell r="B675" t="str">
            <v>2.1.01.010.0566</v>
          </cell>
          <cell r="C675" t="str">
            <v xml:space="preserve">CLINICA DE AUDIOLOGIA </v>
          </cell>
          <cell r="D675">
            <v>9950.39</v>
          </cell>
          <cell r="E675" t="str">
            <v>C</v>
          </cell>
          <cell r="G675">
            <v>5134.4799999999996</v>
          </cell>
          <cell r="H675">
            <v>2100.6999999999998</v>
          </cell>
          <cell r="I675">
            <v>-3033.78</v>
          </cell>
          <cell r="J675">
            <v>6916.61</v>
          </cell>
          <cell r="K675" t="str">
            <v>C</v>
          </cell>
        </row>
        <row r="676">
          <cell r="A676">
            <v>54083</v>
          </cell>
          <cell r="B676" t="str">
            <v>2.1.01.010.0567</v>
          </cell>
          <cell r="C676" t="str">
            <v xml:space="preserve">CLINICA L E S SERVICOS </v>
          </cell>
          <cell r="D676">
            <v>848.57</v>
          </cell>
          <cell r="E676" t="str">
            <v>C</v>
          </cell>
          <cell r="G676">
            <v>0</v>
          </cell>
          <cell r="H676">
            <v>0</v>
          </cell>
          <cell r="I676">
            <v>0</v>
          </cell>
          <cell r="J676">
            <v>848.57</v>
          </cell>
          <cell r="K676" t="str">
            <v>C</v>
          </cell>
        </row>
        <row r="677">
          <cell r="A677">
            <v>54086</v>
          </cell>
          <cell r="B677" t="str">
            <v>2.1.01.010.0568</v>
          </cell>
          <cell r="C677" t="str">
            <v xml:space="preserve">VILPC SAN SERVICOS </v>
          </cell>
          <cell r="D677">
            <v>2129.96</v>
          </cell>
          <cell r="E677" t="str">
            <v>C</v>
          </cell>
          <cell r="G677">
            <v>0</v>
          </cell>
          <cell r="H677">
            <v>0</v>
          </cell>
          <cell r="I677">
            <v>0</v>
          </cell>
          <cell r="J677">
            <v>2129.96</v>
          </cell>
          <cell r="K677" t="str">
            <v>C</v>
          </cell>
        </row>
        <row r="678">
          <cell r="A678">
            <v>54111</v>
          </cell>
          <cell r="B678" t="str">
            <v>2.1.01.010.0569</v>
          </cell>
          <cell r="C678" t="str">
            <v xml:space="preserve">PEDIATRICS SERVICOS </v>
          </cell>
          <cell r="D678">
            <v>0</v>
          </cell>
          <cell r="E678" t="str">
            <v>C</v>
          </cell>
          <cell r="G678">
            <v>0</v>
          </cell>
          <cell r="H678">
            <v>845.13</v>
          </cell>
          <cell r="I678">
            <v>845.13</v>
          </cell>
          <cell r="J678">
            <v>845.13</v>
          </cell>
          <cell r="K678" t="str">
            <v>C</v>
          </cell>
        </row>
        <row r="679">
          <cell r="A679">
            <v>54113</v>
          </cell>
          <cell r="B679" t="str">
            <v>2.1.01.010.0570</v>
          </cell>
          <cell r="C679" t="str">
            <v xml:space="preserve">SANTOS &amp; YOUSSEF </v>
          </cell>
          <cell r="D679">
            <v>2943.43</v>
          </cell>
          <cell r="E679" t="str">
            <v>C</v>
          </cell>
          <cell r="G679">
            <v>1054.93</v>
          </cell>
          <cell r="H679">
            <v>758.35</v>
          </cell>
          <cell r="I679">
            <v>-296.58</v>
          </cell>
          <cell r="J679">
            <v>2646.85</v>
          </cell>
          <cell r="K679" t="str">
            <v>C</v>
          </cell>
        </row>
        <row r="680">
          <cell r="A680">
            <v>54116</v>
          </cell>
          <cell r="B680" t="str">
            <v>2.1.01.010.0571</v>
          </cell>
          <cell r="C680" t="str">
            <v xml:space="preserve">JAGS SERVICOS MEDICOS </v>
          </cell>
          <cell r="D680">
            <v>70</v>
          </cell>
          <cell r="E680" t="str">
            <v>C</v>
          </cell>
          <cell r="G680">
            <v>0</v>
          </cell>
          <cell r="H680">
            <v>0</v>
          </cell>
          <cell r="I680">
            <v>0</v>
          </cell>
          <cell r="J680">
            <v>70</v>
          </cell>
          <cell r="K680" t="str">
            <v>C</v>
          </cell>
        </row>
        <row r="681">
          <cell r="A681">
            <v>54119</v>
          </cell>
          <cell r="B681" t="str">
            <v>2.1.01.010.0572</v>
          </cell>
          <cell r="C681" t="str">
            <v xml:space="preserve">FERNANDA HERRERA COSTA </v>
          </cell>
          <cell r="D681">
            <v>376.88</v>
          </cell>
          <cell r="E681" t="str">
            <v>C</v>
          </cell>
          <cell r="G681">
            <v>0</v>
          </cell>
          <cell r="H681">
            <v>501.84</v>
          </cell>
          <cell r="I681">
            <v>501.84</v>
          </cell>
          <cell r="J681">
            <v>878.72</v>
          </cell>
          <cell r="K681" t="str">
            <v>C</v>
          </cell>
        </row>
        <row r="682">
          <cell r="A682">
            <v>54213</v>
          </cell>
          <cell r="B682" t="str">
            <v>2.1.01.010.0573</v>
          </cell>
          <cell r="C682" t="str">
            <v xml:space="preserve">NEWMED PRODUTOS PARA </v>
          </cell>
          <cell r="D682">
            <v>2617.5</v>
          </cell>
          <cell r="E682" t="str">
            <v>C</v>
          </cell>
          <cell r="G682">
            <v>2617.5</v>
          </cell>
          <cell r="H682">
            <v>0</v>
          </cell>
          <cell r="I682">
            <v>-2617.5</v>
          </cell>
          <cell r="J682">
            <v>0</v>
          </cell>
          <cell r="K682" t="str">
            <v>C</v>
          </cell>
        </row>
        <row r="683">
          <cell r="A683">
            <v>54220</v>
          </cell>
          <cell r="B683" t="str">
            <v>2.1.01.010.0574</v>
          </cell>
          <cell r="C683" t="str">
            <v xml:space="preserve">FARAT E FABRICIO SERVICOS </v>
          </cell>
          <cell r="D683">
            <v>7810.56</v>
          </cell>
          <cell r="E683" t="str">
            <v>C</v>
          </cell>
          <cell r="G683">
            <v>7810.56</v>
          </cell>
          <cell r="H683">
            <v>5939.84</v>
          </cell>
          <cell r="I683">
            <v>-1870.72</v>
          </cell>
          <cell r="J683">
            <v>5939.84</v>
          </cell>
          <cell r="K683" t="str">
            <v>C</v>
          </cell>
        </row>
        <row r="684">
          <cell r="A684">
            <v>54267</v>
          </cell>
          <cell r="B684" t="str">
            <v>2.1.01.010.0575</v>
          </cell>
          <cell r="C684" t="str">
            <v>A R SERVICOS MEDICOS SS</v>
          </cell>
          <cell r="D684">
            <v>70171.88</v>
          </cell>
          <cell r="E684" t="str">
            <v>C</v>
          </cell>
          <cell r="G684">
            <v>269502.09000000003</v>
          </cell>
          <cell r="H684">
            <v>262587.5</v>
          </cell>
          <cell r="I684">
            <v>-6914.59</v>
          </cell>
          <cell r="J684">
            <v>63257.29</v>
          </cell>
          <cell r="K684" t="str">
            <v>C</v>
          </cell>
        </row>
        <row r="685">
          <cell r="A685">
            <v>54224</v>
          </cell>
          <cell r="B685" t="str">
            <v>2.1.01.010.0576</v>
          </cell>
          <cell r="C685" t="str">
            <v>ST SERVICOS MEDICOS S/S</v>
          </cell>
          <cell r="D685">
            <v>7967.04</v>
          </cell>
          <cell r="E685" t="str">
            <v>C</v>
          </cell>
          <cell r="G685">
            <v>11167.83</v>
          </cell>
          <cell r="H685">
            <v>21438.75</v>
          </cell>
          <cell r="I685">
            <v>10270.92</v>
          </cell>
          <cell r="J685">
            <v>18237.96</v>
          </cell>
          <cell r="K685" t="str">
            <v>C</v>
          </cell>
        </row>
        <row r="686">
          <cell r="A686">
            <v>54226</v>
          </cell>
          <cell r="B686" t="str">
            <v>2.1.01.010.0577</v>
          </cell>
          <cell r="C686" t="str">
            <v xml:space="preserve">ORUAM CONSULTORIO </v>
          </cell>
          <cell r="D686">
            <v>45447.34</v>
          </cell>
          <cell r="E686" t="str">
            <v>C</v>
          </cell>
          <cell r="G686">
            <v>9701.26</v>
          </cell>
          <cell r="H686">
            <v>10084.89</v>
          </cell>
          <cell r="I686">
            <v>383.63</v>
          </cell>
          <cell r="J686">
            <v>45830.97</v>
          </cell>
          <cell r="K686" t="str">
            <v>C</v>
          </cell>
        </row>
        <row r="687">
          <cell r="A687">
            <v>54228</v>
          </cell>
          <cell r="B687" t="str">
            <v>2.1.01.010.0578</v>
          </cell>
          <cell r="C687" t="str">
            <v xml:space="preserve">BRESSANI CHIESSE SAUDE E </v>
          </cell>
          <cell r="D687">
            <v>112</v>
          </cell>
          <cell r="E687" t="str">
            <v>C</v>
          </cell>
          <cell r="G687">
            <v>0</v>
          </cell>
          <cell r="H687">
            <v>0</v>
          </cell>
          <cell r="I687">
            <v>0</v>
          </cell>
          <cell r="J687">
            <v>112</v>
          </cell>
          <cell r="K687" t="str">
            <v>C</v>
          </cell>
        </row>
        <row r="688">
          <cell r="A688">
            <v>54229</v>
          </cell>
          <cell r="B688" t="str">
            <v>2.1.01.010.0579</v>
          </cell>
          <cell r="C688" t="str">
            <v xml:space="preserve">CAROLINA S FERREIRA </v>
          </cell>
          <cell r="D688">
            <v>1414.35</v>
          </cell>
          <cell r="E688" t="str">
            <v>C</v>
          </cell>
          <cell r="G688">
            <v>912.8</v>
          </cell>
          <cell r="H688">
            <v>555.79999999999995</v>
          </cell>
          <cell r="I688">
            <v>-357</v>
          </cell>
          <cell r="J688">
            <v>1057.3499999999999</v>
          </cell>
          <cell r="K688" t="str">
            <v>C</v>
          </cell>
        </row>
        <row r="689">
          <cell r="A689">
            <v>54232</v>
          </cell>
          <cell r="B689" t="str">
            <v>2.1.01.010.0580</v>
          </cell>
          <cell r="C689" t="str">
            <v xml:space="preserve">TAMAROZZI SERVICOS </v>
          </cell>
          <cell r="D689">
            <v>3447.5</v>
          </cell>
          <cell r="E689" t="str">
            <v>C</v>
          </cell>
          <cell r="G689">
            <v>3447.5</v>
          </cell>
          <cell r="H689">
            <v>3447.5</v>
          </cell>
          <cell r="I689">
            <v>0</v>
          </cell>
          <cell r="J689">
            <v>3447.5</v>
          </cell>
          <cell r="K689" t="str">
            <v>C</v>
          </cell>
        </row>
        <row r="690">
          <cell r="A690">
            <v>54247</v>
          </cell>
          <cell r="B690" t="str">
            <v>2.1.01.010.0583</v>
          </cell>
          <cell r="C690" t="str">
            <v xml:space="preserve">MAGALHAES FERRAZ E </v>
          </cell>
          <cell r="D690">
            <v>1641.01</v>
          </cell>
          <cell r="E690" t="str">
            <v>C</v>
          </cell>
          <cell r="G690">
            <v>10081.540000000001</v>
          </cell>
          <cell r="H690">
            <v>10006.74</v>
          </cell>
          <cell r="I690">
            <v>-74.8</v>
          </cell>
          <cell r="J690">
            <v>1566.21</v>
          </cell>
          <cell r="K690" t="str">
            <v>C</v>
          </cell>
        </row>
        <row r="691">
          <cell r="A691">
            <v>54268</v>
          </cell>
          <cell r="B691" t="str">
            <v>2.1.01.010.0584</v>
          </cell>
          <cell r="C691" t="str">
            <v xml:space="preserve">MEDEIROS ASSISTENCIA </v>
          </cell>
          <cell r="D691">
            <v>9257.5</v>
          </cell>
          <cell r="E691" t="str">
            <v>C</v>
          </cell>
          <cell r="G691">
            <v>0</v>
          </cell>
          <cell r="H691">
            <v>1505.69</v>
          </cell>
          <cell r="I691">
            <v>1505.69</v>
          </cell>
          <cell r="J691">
            <v>10763.19</v>
          </cell>
          <cell r="K691" t="str">
            <v>C</v>
          </cell>
        </row>
        <row r="692">
          <cell r="A692">
            <v>54273</v>
          </cell>
          <cell r="B692" t="str">
            <v>2.1.01.010.0585</v>
          </cell>
          <cell r="C692" t="str">
            <v>CLINICA FOGACA LTDA ME</v>
          </cell>
          <cell r="D692">
            <v>438.6</v>
          </cell>
          <cell r="E692" t="str">
            <v>C</v>
          </cell>
          <cell r="G692">
            <v>0</v>
          </cell>
          <cell r="H692">
            <v>0</v>
          </cell>
          <cell r="I692">
            <v>0</v>
          </cell>
          <cell r="J692">
            <v>438.6</v>
          </cell>
          <cell r="K692" t="str">
            <v>C</v>
          </cell>
        </row>
        <row r="693">
          <cell r="A693">
            <v>54275</v>
          </cell>
          <cell r="B693" t="str">
            <v>2.1.01.010.0587</v>
          </cell>
          <cell r="C693" t="str">
            <v xml:space="preserve">COSTA CARVALHO </v>
          </cell>
          <cell r="D693">
            <v>549</v>
          </cell>
          <cell r="E693" t="str">
            <v>C</v>
          </cell>
          <cell r="G693">
            <v>0</v>
          </cell>
          <cell r="H693">
            <v>0</v>
          </cell>
          <cell r="I693">
            <v>0</v>
          </cell>
          <cell r="J693">
            <v>549</v>
          </cell>
          <cell r="K693" t="str">
            <v>C</v>
          </cell>
        </row>
        <row r="694">
          <cell r="A694">
            <v>54277</v>
          </cell>
          <cell r="B694" t="str">
            <v>2.1.01.010.0588</v>
          </cell>
          <cell r="C694" t="str">
            <v xml:space="preserve">CENTRO OCUPACIONAL E DE </v>
          </cell>
          <cell r="D694">
            <v>0</v>
          </cell>
          <cell r="E694" t="str">
            <v>C</v>
          </cell>
          <cell r="G694">
            <v>15833.97</v>
          </cell>
          <cell r="H694">
            <v>15833.97</v>
          </cell>
          <cell r="I694">
            <v>0</v>
          </cell>
          <cell r="J694">
            <v>0</v>
          </cell>
          <cell r="K694" t="str">
            <v>C</v>
          </cell>
        </row>
        <row r="695">
          <cell r="A695">
            <v>54281</v>
          </cell>
          <cell r="B695" t="str">
            <v>2.1.01.010.0589</v>
          </cell>
          <cell r="C695" t="str">
            <v xml:space="preserve">DANIEL RENATO GONCALVES </v>
          </cell>
          <cell r="D695">
            <v>41.16</v>
          </cell>
          <cell r="E695" t="str">
            <v>C</v>
          </cell>
          <cell r="G695">
            <v>0</v>
          </cell>
          <cell r="H695">
            <v>0</v>
          </cell>
          <cell r="I695">
            <v>0</v>
          </cell>
          <cell r="J695">
            <v>41.16</v>
          </cell>
          <cell r="K695" t="str">
            <v>C</v>
          </cell>
        </row>
        <row r="696">
          <cell r="A696">
            <v>54291</v>
          </cell>
          <cell r="B696" t="str">
            <v>2.1.01.010.0592</v>
          </cell>
          <cell r="C696" t="str">
            <v xml:space="preserve">QUEIROZ E ALVES SERVICOS </v>
          </cell>
          <cell r="D696">
            <v>2400.6799999999998</v>
          </cell>
          <cell r="E696" t="str">
            <v>C</v>
          </cell>
          <cell r="G696">
            <v>0</v>
          </cell>
          <cell r="H696">
            <v>0</v>
          </cell>
          <cell r="I696">
            <v>0</v>
          </cell>
          <cell r="J696">
            <v>2400.6799999999998</v>
          </cell>
          <cell r="K696" t="str">
            <v>C</v>
          </cell>
        </row>
        <row r="697">
          <cell r="A697">
            <v>54292</v>
          </cell>
          <cell r="B697" t="str">
            <v>2.1.01.010.0593</v>
          </cell>
          <cell r="C697" t="str">
            <v xml:space="preserve">ROSANGELA E RONISIO </v>
          </cell>
          <cell r="D697">
            <v>0</v>
          </cell>
          <cell r="E697" t="str">
            <v>C</v>
          </cell>
          <cell r="G697">
            <v>2871.27</v>
          </cell>
          <cell r="H697">
            <v>2871.27</v>
          </cell>
          <cell r="I697">
            <v>0</v>
          </cell>
          <cell r="J697">
            <v>0</v>
          </cell>
          <cell r="K697" t="str">
            <v>C</v>
          </cell>
        </row>
        <row r="698">
          <cell r="A698">
            <v>54296</v>
          </cell>
          <cell r="B698" t="str">
            <v>2.1.01.010.0595</v>
          </cell>
          <cell r="C698" t="str">
            <v xml:space="preserve">SAVINO &amp; RABELO </v>
          </cell>
          <cell r="D698">
            <v>9136.42</v>
          </cell>
          <cell r="E698" t="str">
            <v>C</v>
          </cell>
          <cell r="G698">
            <v>27821.31</v>
          </cell>
          <cell r="H698">
            <v>24099.41</v>
          </cell>
          <cell r="I698">
            <v>-3721.9</v>
          </cell>
          <cell r="J698">
            <v>5414.52</v>
          </cell>
          <cell r="K698" t="str">
            <v>C</v>
          </cell>
        </row>
        <row r="699">
          <cell r="A699">
            <v>54305</v>
          </cell>
          <cell r="B699" t="str">
            <v>2.1.01.010.0596</v>
          </cell>
          <cell r="C699" t="str">
            <v>CLINICA LEIDERMAN LTDA</v>
          </cell>
          <cell r="D699">
            <v>6643.19</v>
          </cell>
          <cell r="E699" t="str">
            <v>C</v>
          </cell>
          <cell r="G699">
            <v>6110</v>
          </cell>
          <cell r="H699">
            <v>8437</v>
          </cell>
          <cell r="I699">
            <v>2327</v>
          </cell>
          <cell r="J699">
            <v>8970.19</v>
          </cell>
          <cell r="K699" t="str">
            <v>C</v>
          </cell>
        </row>
        <row r="700">
          <cell r="A700">
            <v>54308</v>
          </cell>
          <cell r="B700" t="str">
            <v>2.1.01.010.0597</v>
          </cell>
          <cell r="C700" t="str">
            <v xml:space="preserve">MILLER SERVICOS MEDICOS </v>
          </cell>
          <cell r="D700">
            <v>326.85000000000002</v>
          </cell>
          <cell r="E700" t="str">
            <v>C</v>
          </cell>
          <cell r="G700">
            <v>0</v>
          </cell>
          <cell r="H700">
            <v>0</v>
          </cell>
          <cell r="I700">
            <v>0</v>
          </cell>
          <cell r="J700">
            <v>326.85000000000002</v>
          </cell>
          <cell r="K700" t="str">
            <v>C</v>
          </cell>
        </row>
        <row r="701">
          <cell r="A701">
            <v>54309</v>
          </cell>
          <cell r="B701" t="str">
            <v>2.1.01.010.0598</v>
          </cell>
          <cell r="C701" t="str">
            <v xml:space="preserve">SERGIO FERREIRA BARBOSA </v>
          </cell>
          <cell r="D701">
            <v>5175.04</v>
          </cell>
          <cell r="E701" t="str">
            <v>C</v>
          </cell>
          <cell r="G701">
            <v>0</v>
          </cell>
          <cell r="H701">
            <v>0</v>
          </cell>
          <cell r="I701">
            <v>0</v>
          </cell>
          <cell r="J701">
            <v>5175.04</v>
          </cell>
          <cell r="K701" t="str">
            <v>C</v>
          </cell>
        </row>
        <row r="702">
          <cell r="A702">
            <v>54323</v>
          </cell>
          <cell r="B702" t="str">
            <v>2.1.01.010.0599</v>
          </cell>
          <cell r="C702" t="str">
            <v>RAZE E RAZE SS LTDA</v>
          </cell>
          <cell r="D702">
            <v>693.5</v>
          </cell>
          <cell r="E702" t="str">
            <v>C</v>
          </cell>
          <cell r="G702">
            <v>0</v>
          </cell>
          <cell r="H702">
            <v>0</v>
          </cell>
          <cell r="I702">
            <v>0</v>
          </cell>
          <cell r="J702">
            <v>693.5</v>
          </cell>
          <cell r="K702" t="str">
            <v>C</v>
          </cell>
        </row>
        <row r="703">
          <cell r="A703">
            <v>54325</v>
          </cell>
          <cell r="B703" t="str">
            <v>2.1.01.010.0600</v>
          </cell>
          <cell r="C703" t="str">
            <v xml:space="preserve">BARBOSA E PAZZOTTI C DE D </v>
          </cell>
          <cell r="D703">
            <v>5289</v>
          </cell>
          <cell r="E703" t="str">
            <v>C</v>
          </cell>
          <cell r="G703">
            <v>0</v>
          </cell>
          <cell r="H703">
            <v>1992.65</v>
          </cell>
          <cell r="I703">
            <v>1992.65</v>
          </cell>
          <cell r="J703">
            <v>7281.65</v>
          </cell>
          <cell r="K703" t="str">
            <v>C</v>
          </cell>
        </row>
        <row r="704">
          <cell r="A704">
            <v>54326</v>
          </cell>
          <cell r="B704" t="str">
            <v>2.1.01.010.0601</v>
          </cell>
          <cell r="C704" t="str">
            <v>ABRANCHES E CIA LTDA</v>
          </cell>
          <cell r="D704">
            <v>3546</v>
          </cell>
          <cell r="E704" t="str">
            <v>C</v>
          </cell>
          <cell r="G704">
            <v>0</v>
          </cell>
          <cell r="H704">
            <v>0</v>
          </cell>
          <cell r="I704">
            <v>0</v>
          </cell>
          <cell r="J704">
            <v>3546</v>
          </cell>
          <cell r="K704" t="str">
            <v>C</v>
          </cell>
        </row>
        <row r="705">
          <cell r="A705">
            <v>54327</v>
          </cell>
          <cell r="B705" t="str">
            <v>2.1.01.010.0602</v>
          </cell>
          <cell r="C705" t="str">
            <v xml:space="preserve">CTORAX UTI SERVICOS </v>
          </cell>
          <cell r="D705">
            <v>1327.68</v>
          </cell>
          <cell r="E705" t="str">
            <v>C</v>
          </cell>
          <cell r="G705">
            <v>0</v>
          </cell>
          <cell r="H705">
            <v>0</v>
          </cell>
          <cell r="I705">
            <v>0</v>
          </cell>
          <cell r="J705">
            <v>1327.68</v>
          </cell>
          <cell r="K705" t="str">
            <v>C</v>
          </cell>
        </row>
        <row r="706">
          <cell r="A706">
            <v>54328</v>
          </cell>
          <cell r="B706" t="str">
            <v>2.1.01.010.0603</v>
          </cell>
          <cell r="C706" t="str">
            <v xml:space="preserve">VALADARES SERVICOS </v>
          </cell>
          <cell r="D706">
            <v>31742.880000000001</v>
          </cell>
          <cell r="E706" t="str">
            <v>C</v>
          </cell>
          <cell r="G706">
            <v>10500</v>
          </cell>
          <cell r="H706">
            <v>29251.360000000001</v>
          </cell>
          <cell r="I706">
            <v>18751.36</v>
          </cell>
          <cell r="J706">
            <v>50494.239999999998</v>
          </cell>
          <cell r="K706" t="str">
            <v>C</v>
          </cell>
        </row>
        <row r="707">
          <cell r="A707">
            <v>54333</v>
          </cell>
          <cell r="B707" t="str">
            <v>2.1.01.010.0606</v>
          </cell>
          <cell r="C707" t="str">
            <v xml:space="preserve">M F SERVICOS MEDICOS </v>
          </cell>
          <cell r="D707">
            <v>5460</v>
          </cell>
          <cell r="E707" t="str">
            <v>C</v>
          </cell>
          <cell r="G707">
            <v>5460</v>
          </cell>
          <cell r="H707">
            <v>5148</v>
          </cell>
          <cell r="I707">
            <v>-312</v>
          </cell>
          <cell r="J707">
            <v>5148</v>
          </cell>
          <cell r="K707" t="str">
            <v>C</v>
          </cell>
        </row>
        <row r="708">
          <cell r="A708">
            <v>54339</v>
          </cell>
          <cell r="B708" t="str">
            <v>2.1.01.010.0608</v>
          </cell>
          <cell r="C708" t="str">
            <v xml:space="preserve">L C PASSOS SERVICOS </v>
          </cell>
          <cell r="D708">
            <v>13104</v>
          </cell>
          <cell r="E708" t="str">
            <v>C</v>
          </cell>
          <cell r="G708">
            <v>13993</v>
          </cell>
          <cell r="H708">
            <v>12903.35</v>
          </cell>
          <cell r="I708">
            <v>-1089.6500000000001</v>
          </cell>
          <cell r="J708">
            <v>12014.35</v>
          </cell>
          <cell r="K708" t="str">
            <v>C</v>
          </cell>
        </row>
        <row r="709">
          <cell r="A709">
            <v>54340</v>
          </cell>
          <cell r="B709" t="str">
            <v>2.1.01.010.0609</v>
          </cell>
          <cell r="C709" t="str">
            <v xml:space="preserve">CLINICA MEDICA SANTA </v>
          </cell>
          <cell r="D709">
            <v>2471.75</v>
          </cell>
          <cell r="E709" t="str">
            <v>C</v>
          </cell>
          <cell r="G709">
            <v>0</v>
          </cell>
          <cell r="H709">
            <v>0</v>
          </cell>
          <cell r="I709">
            <v>0</v>
          </cell>
          <cell r="J709">
            <v>2471.75</v>
          </cell>
          <cell r="K709" t="str">
            <v>C</v>
          </cell>
        </row>
        <row r="710">
          <cell r="A710">
            <v>54353</v>
          </cell>
          <cell r="B710" t="str">
            <v>2.1.01.010.0612</v>
          </cell>
          <cell r="C710" t="str">
            <v xml:space="preserve">POL VALE HISTORICO LTDA </v>
          </cell>
          <cell r="D710">
            <v>416.5</v>
          </cell>
          <cell r="E710" t="str">
            <v>C</v>
          </cell>
          <cell r="G710">
            <v>0</v>
          </cell>
          <cell r="H710">
            <v>0</v>
          </cell>
          <cell r="I710">
            <v>0</v>
          </cell>
          <cell r="J710">
            <v>416.5</v>
          </cell>
          <cell r="K710" t="str">
            <v>C</v>
          </cell>
        </row>
        <row r="711">
          <cell r="A711">
            <v>54355</v>
          </cell>
          <cell r="B711" t="str">
            <v>2.1.01.010.0613</v>
          </cell>
          <cell r="C711" t="str">
            <v xml:space="preserve">COSA FEMME SERVICOS </v>
          </cell>
          <cell r="D711">
            <v>10569.83</v>
          </cell>
          <cell r="E711" t="str">
            <v>C</v>
          </cell>
          <cell r="G711">
            <v>8724.0300000000007</v>
          </cell>
          <cell r="H711">
            <v>9781.94</v>
          </cell>
          <cell r="I711">
            <v>1057.9100000000001</v>
          </cell>
          <cell r="J711">
            <v>11627.74</v>
          </cell>
          <cell r="K711" t="str">
            <v>C</v>
          </cell>
        </row>
        <row r="712">
          <cell r="A712">
            <v>54357</v>
          </cell>
          <cell r="B712" t="str">
            <v>2.1.01.010.0614</v>
          </cell>
          <cell r="C712" t="str">
            <v xml:space="preserve">MULTIMEDICAL </v>
          </cell>
          <cell r="D712">
            <v>219.44</v>
          </cell>
          <cell r="E712" t="str">
            <v>C</v>
          </cell>
          <cell r="G712">
            <v>0</v>
          </cell>
          <cell r="H712">
            <v>0</v>
          </cell>
          <cell r="I712">
            <v>0</v>
          </cell>
          <cell r="J712">
            <v>219.44</v>
          </cell>
          <cell r="K712" t="str">
            <v>C</v>
          </cell>
        </row>
        <row r="713">
          <cell r="A713">
            <v>54358</v>
          </cell>
          <cell r="B713" t="str">
            <v>2.1.01.010.0615</v>
          </cell>
          <cell r="C713" t="str">
            <v xml:space="preserve">J E M SAUDE E SERVICOS </v>
          </cell>
          <cell r="D713">
            <v>11524.5</v>
          </cell>
          <cell r="E713" t="str">
            <v>C</v>
          </cell>
          <cell r="G713">
            <v>11524.5</v>
          </cell>
          <cell r="H713">
            <v>8451.2999999999993</v>
          </cell>
          <cell r="I713">
            <v>-3073.2</v>
          </cell>
          <cell r="J713">
            <v>8451.2999999999993</v>
          </cell>
          <cell r="K713" t="str">
            <v>C</v>
          </cell>
        </row>
        <row r="714">
          <cell r="A714">
            <v>54363</v>
          </cell>
          <cell r="B714" t="str">
            <v>2.1.01.010.0617</v>
          </cell>
          <cell r="C714" t="str">
            <v xml:space="preserve">PONTE A. S. CLINICA MEDICA </v>
          </cell>
          <cell r="D714">
            <v>17231.34</v>
          </cell>
          <cell r="E714" t="str">
            <v>C</v>
          </cell>
          <cell r="G714">
            <v>17231.34</v>
          </cell>
          <cell r="H714">
            <v>16953.330000000002</v>
          </cell>
          <cell r="I714">
            <v>-278.01</v>
          </cell>
          <cell r="J714">
            <v>16953.330000000002</v>
          </cell>
          <cell r="K714" t="str">
            <v>C</v>
          </cell>
        </row>
        <row r="715">
          <cell r="A715">
            <v>54370</v>
          </cell>
          <cell r="B715" t="str">
            <v>2.1.01.010.0618</v>
          </cell>
          <cell r="C715" t="str">
            <v xml:space="preserve">ANGIOLOGIA E CIR. </v>
          </cell>
          <cell r="D715">
            <v>499.37</v>
          </cell>
          <cell r="E715" t="str">
            <v>C</v>
          </cell>
          <cell r="G715">
            <v>0</v>
          </cell>
          <cell r="H715">
            <v>0</v>
          </cell>
          <cell r="I715">
            <v>0</v>
          </cell>
          <cell r="J715">
            <v>499.37</v>
          </cell>
          <cell r="K715" t="str">
            <v>C</v>
          </cell>
        </row>
        <row r="716">
          <cell r="A716">
            <v>54383</v>
          </cell>
          <cell r="B716" t="str">
            <v>2.1.01.010.0619</v>
          </cell>
          <cell r="C716" t="str">
            <v xml:space="preserve">ST SPINE SERVICOS MEDICOS </v>
          </cell>
          <cell r="D716">
            <v>6013</v>
          </cell>
          <cell r="E716" t="str">
            <v>C</v>
          </cell>
          <cell r="G716">
            <v>21159.57</v>
          </cell>
          <cell r="H716">
            <v>21159.57</v>
          </cell>
          <cell r="I716">
            <v>0</v>
          </cell>
          <cell r="J716">
            <v>6013</v>
          </cell>
          <cell r="K716" t="str">
            <v>C</v>
          </cell>
        </row>
        <row r="717">
          <cell r="A717">
            <v>54392</v>
          </cell>
          <cell r="B717" t="str">
            <v>2.1.01.010.0621</v>
          </cell>
          <cell r="C717" t="str">
            <v xml:space="preserve">BALBI E RODRIGUES </v>
          </cell>
          <cell r="D717">
            <v>4022.03</v>
          </cell>
          <cell r="E717" t="str">
            <v>C</v>
          </cell>
          <cell r="G717">
            <v>0</v>
          </cell>
          <cell r="H717">
            <v>1369.01</v>
          </cell>
          <cell r="I717">
            <v>1369.01</v>
          </cell>
          <cell r="J717">
            <v>5391.04</v>
          </cell>
          <cell r="K717" t="str">
            <v>C</v>
          </cell>
        </row>
        <row r="718">
          <cell r="A718">
            <v>54393</v>
          </cell>
          <cell r="B718" t="str">
            <v>2.1.01.010.0622</v>
          </cell>
          <cell r="C718" t="str">
            <v xml:space="preserve">REAICHE E AZEVEDO </v>
          </cell>
          <cell r="D718">
            <v>2051.2600000000002</v>
          </cell>
          <cell r="E718" t="str">
            <v>C</v>
          </cell>
          <cell r="G718">
            <v>2166.48</v>
          </cell>
          <cell r="H718">
            <v>115.22</v>
          </cell>
          <cell r="I718">
            <v>-2051.2600000000002</v>
          </cell>
          <cell r="J718">
            <v>0</v>
          </cell>
          <cell r="K718" t="str">
            <v>C</v>
          </cell>
        </row>
        <row r="719">
          <cell r="A719">
            <v>54394</v>
          </cell>
          <cell r="B719" t="str">
            <v>2.1.01.010.0623</v>
          </cell>
          <cell r="C719" t="str">
            <v xml:space="preserve">EQUALITY CONSULTORIA E </v>
          </cell>
          <cell r="D719">
            <v>15380.28</v>
          </cell>
          <cell r="E719" t="str">
            <v>C</v>
          </cell>
          <cell r="G719">
            <v>6584.97</v>
          </cell>
          <cell r="H719">
            <v>7828.29</v>
          </cell>
          <cell r="I719">
            <v>1243.32</v>
          </cell>
          <cell r="J719">
            <v>16623.599999999999</v>
          </cell>
          <cell r="K719" t="str">
            <v>C</v>
          </cell>
        </row>
        <row r="720">
          <cell r="A720">
            <v>54396</v>
          </cell>
          <cell r="B720" t="str">
            <v>2.1.01.010.0625</v>
          </cell>
          <cell r="C720" t="str">
            <v xml:space="preserve">DOMICIANO E MATA SERV </v>
          </cell>
          <cell r="D720">
            <v>5231.0600000000004</v>
          </cell>
          <cell r="E720" t="str">
            <v>C</v>
          </cell>
          <cell r="G720">
            <v>5231.0600000000004</v>
          </cell>
          <cell r="H720">
            <v>7846.59</v>
          </cell>
          <cell r="I720">
            <v>2615.5300000000002</v>
          </cell>
          <cell r="J720">
            <v>7846.59</v>
          </cell>
          <cell r="K720" t="str">
            <v>C</v>
          </cell>
        </row>
        <row r="721">
          <cell r="A721">
            <v>54397</v>
          </cell>
          <cell r="B721" t="str">
            <v>2.1.01.010.0626</v>
          </cell>
          <cell r="C721" t="str">
            <v xml:space="preserve">MICHELE BRITO SERVICOS </v>
          </cell>
          <cell r="D721">
            <v>5231.05</v>
          </cell>
          <cell r="E721" t="str">
            <v>C</v>
          </cell>
          <cell r="G721">
            <v>5231.05</v>
          </cell>
          <cell r="H721">
            <v>1307.76</v>
          </cell>
          <cell r="I721">
            <v>-3923.29</v>
          </cell>
          <cell r="J721">
            <v>1307.76</v>
          </cell>
          <cell r="K721" t="str">
            <v>C</v>
          </cell>
        </row>
        <row r="722">
          <cell r="A722">
            <v>54415</v>
          </cell>
          <cell r="B722" t="str">
            <v>2.1.01.010.0631</v>
          </cell>
          <cell r="C722" t="str">
            <v xml:space="preserve">LIDIA ROMAO VIEIRA E </v>
          </cell>
          <cell r="D722">
            <v>870.28</v>
          </cell>
          <cell r="E722" t="str">
            <v>C</v>
          </cell>
          <cell r="G722">
            <v>0</v>
          </cell>
          <cell r="H722">
            <v>0</v>
          </cell>
          <cell r="I722">
            <v>0</v>
          </cell>
          <cell r="J722">
            <v>870.28</v>
          </cell>
          <cell r="K722" t="str">
            <v>C</v>
          </cell>
        </row>
        <row r="723">
          <cell r="A723">
            <v>54472</v>
          </cell>
          <cell r="B723" t="str">
            <v>2.1.01.010.0632</v>
          </cell>
          <cell r="C723" t="str">
            <v xml:space="preserve">MAVIM SERVICOS MEDICOS </v>
          </cell>
          <cell r="D723">
            <v>10652.35</v>
          </cell>
          <cell r="E723" t="str">
            <v>C</v>
          </cell>
          <cell r="G723">
            <v>8879</v>
          </cell>
          <cell r="H723">
            <v>10391</v>
          </cell>
          <cell r="I723">
            <v>1512</v>
          </cell>
          <cell r="J723">
            <v>12164.35</v>
          </cell>
          <cell r="K723" t="str">
            <v>C</v>
          </cell>
        </row>
        <row r="724">
          <cell r="A724">
            <v>54473</v>
          </cell>
          <cell r="B724" t="str">
            <v>2.1.01.010.0633</v>
          </cell>
          <cell r="C724" t="str">
            <v xml:space="preserve">CURTI E CANEVER </v>
          </cell>
          <cell r="D724">
            <v>8275.2000000000007</v>
          </cell>
          <cell r="E724" t="str">
            <v>C</v>
          </cell>
          <cell r="G724">
            <v>8699.2000000000007</v>
          </cell>
          <cell r="H724">
            <v>8475.33</v>
          </cell>
          <cell r="I724">
            <v>-223.87</v>
          </cell>
          <cell r="J724">
            <v>8051.33</v>
          </cell>
          <cell r="K724" t="str">
            <v>C</v>
          </cell>
        </row>
        <row r="725">
          <cell r="A725">
            <v>54481</v>
          </cell>
          <cell r="B725" t="str">
            <v>2.1.01.010.0634</v>
          </cell>
          <cell r="C725" t="str">
            <v xml:space="preserve">ENAMI E CAPELASSO </v>
          </cell>
          <cell r="D725">
            <v>516.79999999999995</v>
          </cell>
          <cell r="E725" t="str">
            <v>C</v>
          </cell>
          <cell r="G725">
            <v>0</v>
          </cell>
          <cell r="H725">
            <v>0</v>
          </cell>
          <cell r="I725">
            <v>0</v>
          </cell>
          <cell r="J725">
            <v>516.79999999999995</v>
          </cell>
          <cell r="K725" t="str">
            <v>C</v>
          </cell>
        </row>
        <row r="726">
          <cell r="A726">
            <v>54455</v>
          </cell>
          <cell r="B726" t="str">
            <v>2.1.01.010.0636</v>
          </cell>
          <cell r="C726" t="str">
            <v xml:space="preserve">DOLLY BURGOMEISTER </v>
          </cell>
          <cell r="D726">
            <v>4234.1099999999997</v>
          </cell>
          <cell r="E726" t="str">
            <v>C</v>
          </cell>
          <cell r="G726">
            <v>4798.1099999999997</v>
          </cell>
          <cell r="H726">
            <v>2997.88</v>
          </cell>
          <cell r="I726">
            <v>-1800.23</v>
          </cell>
          <cell r="J726">
            <v>2433.88</v>
          </cell>
          <cell r="K726" t="str">
            <v>C</v>
          </cell>
        </row>
        <row r="727">
          <cell r="A727">
            <v>54456</v>
          </cell>
          <cell r="B727" t="str">
            <v>2.1.01.010.0637</v>
          </cell>
          <cell r="C727" t="str">
            <v xml:space="preserve">ESPACO OFTALMOLOGIA </v>
          </cell>
          <cell r="D727">
            <v>615</v>
          </cell>
          <cell r="E727" t="str">
            <v>C</v>
          </cell>
          <cell r="G727">
            <v>0</v>
          </cell>
          <cell r="H727">
            <v>0</v>
          </cell>
          <cell r="I727">
            <v>0</v>
          </cell>
          <cell r="J727">
            <v>615</v>
          </cell>
          <cell r="K727" t="str">
            <v>C</v>
          </cell>
        </row>
        <row r="728">
          <cell r="A728">
            <v>54495</v>
          </cell>
          <cell r="B728" t="str">
            <v>2.1.01.010.0639</v>
          </cell>
          <cell r="C728" t="str">
            <v xml:space="preserve">SIMONE LOPES GUEDES </v>
          </cell>
          <cell r="D728">
            <v>330</v>
          </cell>
          <cell r="E728" t="str">
            <v>C</v>
          </cell>
          <cell r="G728">
            <v>0</v>
          </cell>
          <cell r="H728">
            <v>0</v>
          </cell>
          <cell r="I728">
            <v>0</v>
          </cell>
          <cell r="J728">
            <v>330</v>
          </cell>
          <cell r="K728" t="str">
            <v>C</v>
          </cell>
        </row>
        <row r="729">
          <cell r="A729">
            <v>54496</v>
          </cell>
          <cell r="B729" t="str">
            <v>2.1.01.010.0640</v>
          </cell>
          <cell r="C729" t="str">
            <v xml:space="preserve">BLASIO SERV MED </v>
          </cell>
          <cell r="D729">
            <v>416.88</v>
          </cell>
          <cell r="E729" t="str">
            <v>C</v>
          </cell>
          <cell r="G729">
            <v>0</v>
          </cell>
          <cell r="H729">
            <v>0</v>
          </cell>
          <cell r="I729">
            <v>0</v>
          </cell>
          <cell r="J729">
            <v>416.88</v>
          </cell>
          <cell r="K729" t="str">
            <v>C</v>
          </cell>
        </row>
        <row r="730">
          <cell r="A730">
            <v>54497</v>
          </cell>
          <cell r="B730" t="str">
            <v>2.1.01.010.0641</v>
          </cell>
          <cell r="C730" t="str">
            <v xml:space="preserve">ILUMINASCER SERVICOS </v>
          </cell>
          <cell r="D730">
            <v>32.799999999999997</v>
          </cell>
          <cell r="E730" t="str">
            <v>C</v>
          </cell>
          <cell r="G730">
            <v>0</v>
          </cell>
          <cell r="H730">
            <v>0</v>
          </cell>
          <cell r="I730">
            <v>0</v>
          </cell>
          <cell r="J730">
            <v>32.799999999999997</v>
          </cell>
          <cell r="K730" t="str">
            <v>C</v>
          </cell>
        </row>
        <row r="731">
          <cell r="A731">
            <v>54498</v>
          </cell>
          <cell r="B731" t="str">
            <v>2.1.01.010.0642</v>
          </cell>
          <cell r="C731" t="str">
            <v xml:space="preserve">C. P. PALECKIS SERVICOS </v>
          </cell>
          <cell r="D731">
            <v>252</v>
          </cell>
          <cell r="E731" t="str">
            <v>C</v>
          </cell>
          <cell r="G731">
            <v>0</v>
          </cell>
          <cell r="H731">
            <v>480</v>
          </cell>
          <cell r="I731">
            <v>480</v>
          </cell>
          <cell r="J731">
            <v>732</v>
          </cell>
          <cell r="K731" t="str">
            <v>C</v>
          </cell>
        </row>
        <row r="732">
          <cell r="A732">
            <v>54549</v>
          </cell>
          <cell r="B732" t="str">
            <v>2.1.01.010.0645</v>
          </cell>
          <cell r="C732" t="str">
            <v xml:space="preserve">GSC SERVICOS MEDICOS </v>
          </cell>
          <cell r="D732">
            <v>16171.05</v>
          </cell>
          <cell r="E732" t="str">
            <v>C</v>
          </cell>
          <cell r="G732">
            <v>16134.3</v>
          </cell>
          <cell r="H732">
            <v>20283.12</v>
          </cell>
          <cell r="I732">
            <v>4148.82</v>
          </cell>
          <cell r="J732">
            <v>20319.87</v>
          </cell>
          <cell r="K732" t="str">
            <v>C</v>
          </cell>
        </row>
        <row r="733">
          <cell r="A733">
            <v>54558</v>
          </cell>
          <cell r="B733" t="str">
            <v>2.1.01.010.0647</v>
          </cell>
          <cell r="C733" t="str">
            <v xml:space="preserve">BEUST E REIS CLINICA </v>
          </cell>
          <cell r="D733">
            <v>195.92</v>
          </cell>
          <cell r="E733" t="str">
            <v>C</v>
          </cell>
          <cell r="G733">
            <v>0</v>
          </cell>
          <cell r="H733">
            <v>0</v>
          </cell>
          <cell r="I733">
            <v>0</v>
          </cell>
          <cell r="J733">
            <v>195.92</v>
          </cell>
          <cell r="K733" t="str">
            <v>C</v>
          </cell>
        </row>
        <row r="734">
          <cell r="A734">
            <v>54566</v>
          </cell>
          <cell r="B734" t="str">
            <v>2.1.01.010.0648</v>
          </cell>
          <cell r="C734" t="str">
            <v xml:space="preserve">UROPED SERVICOS MEDICOS </v>
          </cell>
          <cell r="D734">
            <v>951.5</v>
          </cell>
          <cell r="E734" t="str">
            <v>C</v>
          </cell>
          <cell r="G734">
            <v>0</v>
          </cell>
          <cell r="H734">
            <v>0</v>
          </cell>
          <cell r="I734">
            <v>0</v>
          </cell>
          <cell r="J734">
            <v>951.5</v>
          </cell>
          <cell r="K734" t="str">
            <v>C</v>
          </cell>
        </row>
        <row r="735">
          <cell r="A735">
            <v>54567</v>
          </cell>
          <cell r="B735" t="str">
            <v>2.1.01.010.0649</v>
          </cell>
          <cell r="C735" t="str">
            <v xml:space="preserve">CORDEIRO E CRUZ SERVICOS </v>
          </cell>
          <cell r="D735">
            <v>1554.64</v>
          </cell>
          <cell r="E735" t="str">
            <v>C</v>
          </cell>
          <cell r="G735">
            <v>0</v>
          </cell>
          <cell r="H735">
            <v>0</v>
          </cell>
          <cell r="I735">
            <v>0</v>
          </cell>
          <cell r="J735">
            <v>1554.64</v>
          </cell>
          <cell r="K735" t="str">
            <v>C</v>
          </cell>
        </row>
        <row r="736">
          <cell r="A736">
            <v>54568</v>
          </cell>
          <cell r="B736" t="str">
            <v>2.1.01.010.0650</v>
          </cell>
          <cell r="C736" t="str">
            <v xml:space="preserve">PRONESPE PROCED. NEUROL. </v>
          </cell>
          <cell r="D736">
            <v>8627.85</v>
          </cell>
          <cell r="E736" t="str">
            <v>C</v>
          </cell>
          <cell r="G736">
            <v>0</v>
          </cell>
          <cell r="H736">
            <v>728.9</v>
          </cell>
          <cell r="I736">
            <v>728.9</v>
          </cell>
          <cell r="J736">
            <v>9356.75</v>
          </cell>
          <cell r="K736" t="str">
            <v>C</v>
          </cell>
        </row>
        <row r="737">
          <cell r="A737">
            <v>54571</v>
          </cell>
          <cell r="B737" t="str">
            <v>2.1.01.010.0652</v>
          </cell>
          <cell r="C737" t="str">
            <v xml:space="preserve">ALVIM SIMAO CLINICA MEDICA </v>
          </cell>
          <cell r="D737">
            <v>10940.39</v>
          </cell>
          <cell r="E737" t="str">
            <v>C</v>
          </cell>
          <cell r="G737">
            <v>0</v>
          </cell>
          <cell r="H737">
            <v>594.29999999999995</v>
          </cell>
          <cell r="I737">
            <v>594.29999999999995</v>
          </cell>
          <cell r="J737">
            <v>11534.69</v>
          </cell>
          <cell r="K737" t="str">
            <v>C</v>
          </cell>
        </row>
        <row r="738">
          <cell r="A738">
            <v>54589</v>
          </cell>
          <cell r="B738" t="str">
            <v>2.1.01.010.0653</v>
          </cell>
          <cell r="C738" t="str">
            <v xml:space="preserve">LCLZ GUARINO SERVICOS </v>
          </cell>
          <cell r="D738">
            <v>1545.71</v>
          </cell>
          <cell r="E738" t="str">
            <v>C</v>
          </cell>
          <cell r="G738">
            <v>1545.71</v>
          </cell>
          <cell r="H738">
            <v>1597.92</v>
          </cell>
          <cell r="I738">
            <v>52.21</v>
          </cell>
          <cell r="J738">
            <v>1597.92</v>
          </cell>
          <cell r="K738" t="str">
            <v>C</v>
          </cell>
        </row>
        <row r="739">
          <cell r="A739">
            <v>54590</v>
          </cell>
          <cell r="B739" t="str">
            <v>2.1.01.010.0654</v>
          </cell>
          <cell r="C739" t="str">
            <v xml:space="preserve">DENISE MATTIS GOMES DA </v>
          </cell>
          <cell r="D739">
            <v>9482.49</v>
          </cell>
          <cell r="E739" t="str">
            <v>C</v>
          </cell>
          <cell r="G739">
            <v>9345.14</v>
          </cell>
          <cell r="H739">
            <v>7332.64</v>
          </cell>
          <cell r="I739">
            <v>-2012.5</v>
          </cell>
          <cell r="J739">
            <v>7469.99</v>
          </cell>
          <cell r="K739" t="str">
            <v>C</v>
          </cell>
        </row>
        <row r="740">
          <cell r="A740">
            <v>54591</v>
          </cell>
          <cell r="B740" t="str">
            <v>2.1.01.010.0655</v>
          </cell>
          <cell r="C740" t="str">
            <v xml:space="preserve">JORGE E LAUER CLINICA </v>
          </cell>
          <cell r="D740">
            <v>7496.24</v>
          </cell>
          <cell r="E740" t="str">
            <v>C</v>
          </cell>
          <cell r="G740">
            <v>0</v>
          </cell>
          <cell r="H740">
            <v>4167.59</v>
          </cell>
          <cell r="I740">
            <v>4167.59</v>
          </cell>
          <cell r="J740">
            <v>11663.83</v>
          </cell>
          <cell r="K740" t="str">
            <v>C</v>
          </cell>
        </row>
        <row r="741">
          <cell r="A741">
            <v>54592</v>
          </cell>
          <cell r="B741" t="str">
            <v>2.1.01.010.0656</v>
          </cell>
          <cell r="C741" t="str">
            <v>LFA SERVICOS MEDICOS LTDA</v>
          </cell>
          <cell r="D741">
            <v>3618.06</v>
          </cell>
          <cell r="E741" t="str">
            <v>C</v>
          </cell>
          <cell r="G741">
            <v>3842.86</v>
          </cell>
          <cell r="H741">
            <v>8750.19</v>
          </cell>
          <cell r="I741">
            <v>4907.33</v>
          </cell>
          <cell r="J741">
            <v>8525.39</v>
          </cell>
          <cell r="K741" t="str">
            <v>C</v>
          </cell>
        </row>
        <row r="742">
          <cell r="A742">
            <v>54622</v>
          </cell>
          <cell r="B742" t="str">
            <v>2.1.01.010.0657</v>
          </cell>
          <cell r="C742" t="str">
            <v xml:space="preserve">BUENO VIEIRA CLINICA </v>
          </cell>
          <cell r="D742">
            <v>1977.43</v>
          </cell>
          <cell r="E742" t="str">
            <v>C</v>
          </cell>
          <cell r="G742">
            <v>654.5</v>
          </cell>
          <cell r="H742">
            <v>949.11</v>
          </cell>
          <cell r="I742">
            <v>294.61</v>
          </cell>
          <cell r="J742">
            <v>2272.04</v>
          </cell>
          <cell r="K742" t="str">
            <v>C</v>
          </cell>
        </row>
        <row r="743">
          <cell r="A743">
            <v>54623</v>
          </cell>
          <cell r="B743" t="str">
            <v>2.1.01.010.0658</v>
          </cell>
          <cell r="C743" t="str">
            <v xml:space="preserve">MARIANA REIS </v>
          </cell>
          <cell r="D743">
            <v>0</v>
          </cell>
          <cell r="E743" t="str">
            <v>C</v>
          </cell>
          <cell r="G743">
            <v>0</v>
          </cell>
          <cell r="H743">
            <v>792.26</v>
          </cell>
          <cell r="I743">
            <v>792.26</v>
          </cell>
          <cell r="J743">
            <v>792.26</v>
          </cell>
          <cell r="K743" t="str">
            <v>C</v>
          </cell>
        </row>
        <row r="744">
          <cell r="A744">
            <v>54624</v>
          </cell>
          <cell r="B744" t="str">
            <v>2.1.01.010.0659</v>
          </cell>
          <cell r="C744" t="str">
            <v xml:space="preserve">PEDRUCCI SERVICOS </v>
          </cell>
          <cell r="D744">
            <v>2078.85</v>
          </cell>
          <cell r="E744" t="str">
            <v>C</v>
          </cell>
          <cell r="G744">
            <v>0</v>
          </cell>
          <cell r="H744">
            <v>0</v>
          </cell>
          <cell r="I744">
            <v>0</v>
          </cell>
          <cell r="J744">
            <v>2078.85</v>
          </cell>
          <cell r="K744" t="str">
            <v>C</v>
          </cell>
        </row>
        <row r="745">
          <cell r="A745">
            <v>54630</v>
          </cell>
          <cell r="B745" t="str">
            <v>2.1.01.010.0660</v>
          </cell>
          <cell r="C745" t="str">
            <v>RECKON SERVICOS MEDICOS</v>
          </cell>
          <cell r="D745">
            <v>503.15</v>
          </cell>
          <cell r="E745" t="str">
            <v>C</v>
          </cell>
          <cell r="G745">
            <v>0</v>
          </cell>
          <cell r="H745">
            <v>0</v>
          </cell>
          <cell r="I745">
            <v>0</v>
          </cell>
          <cell r="J745">
            <v>503.15</v>
          </cell>
          <cell r="K745" t="str">
            <v>C</v>
          </cell>
        </row>
        <row r="746">
          <cell r="A746">
            <v>53122</v>
          </cell>
          <cell r="B746" t="str">
            <v>2.1.01.010.0661</v>
          </cell>
          <cell r="C746" t="str">
            <v xml:space="preserve">CASTRO E LUCIANO SERV </v>
          </cell>
          <cell r="D746">
            <v>3315.04</v>
          </cell>
          <cell r="E746" t="str">
            <v>C</v>
          </cell>
          <cell r="G746">
            <v>0</v>
          </cell>
          <cell r="H746">
            <v>2123.96</v>
          </cell>
          <cell r="I746">
            <v>2123.96</v>
          </cell>
          <cell r="J746">
            <v>5439</v>
          </cell>
          <cell r="K746" t="str">
            <v>C</v>
          </cell>
        </row>
        <row r="747">
          <cell r="A747">
            <v>53118</v>
          </cell>
          <cell r="B747" t="str">
            <v>2.1.01.010.0663</v>
          </cell>
          <cell r="C747" t="str">
            <v xml:space="preserve">MELO E FREITAS SERV MED </v>
          </cell>
          <cell r="D747">
            <v>25022.05</v>
          </cell>
          <cell r="E747" t="str">
            <v>C</v>
          </cell>
          <cell r="G747">
            <v>24241</v>
          </cell>
          <cell r="H747">
            <v>15821</v>
          </cell>
          <cell r="I747">
            <v>-8420</v>
          </cell>
          <cell r="J747">
            <v>16602.05</v>
          </cell>
          <cell r="K747" t="str">
            <v>C</v>
          </cell>
        </row>
        <row r="748">
          <cell r="A748">
            <v>53117</v>
          </cell>
          <cell r="B748" t="str">
            <v>2.1.01.010.0665</v>
          </cell>
          <cell r="C748" t="str">
            <v>REBECHI, MOTA &amp; FROIO LTDA</v>
          </cell>
          <cell r="D748">
            <v>2544.06</v>
          </cell>
          <cell r="E748" t="str">
            <v>C</v>
          </cell>
          <cell r="G748">
            <v>2331.2600000000002</v>
          </cell>
          <cell r="H748">
            <v>1886.83</v>
          </cell>
          <cell r="I748">
            <v>-444.43</v>
          </cell>
          <cell r="J748">
            <v>2099.63</v>
          </cell>
          <cell r="K748" t="str">
            <v>C</v>
          </cell>
        </row>
        <row r="749">
          <cell r="A749">
            <v>53133</v>
          </cell>
          <cell r="B749" t="str">
            <v>2.1.01.010.0666</v>
          </cell>
          <cell r="C749" t="str">
            <v xml:space="preserve">RIBEIRO E KANAMARU CON </v>
          </cell>
          <cell r="D749">
            <v>27227.23</v>
          </cell>
          <cell r="E749" t="str">
            <v>C</v>
          </cell>
          <cell r="G749">
            <v>0</v>
          </cell>
          <cell r="H749">
            <v>23862.720000000001</v>
          </cell>
          <cell r="I749">
            <v>23862.720000000001</v>
          </cell>
          <cell r="J749">
            <v>51089.95</v>
          </cell>
          <cell r="K749" t="str">
            <v>C</v>
          </cell>
        </row>
        <row r="750">
          <cell r="A750">
            <v>54431</v>
          </cell>
          <cell r="B750" t="str">
            <v>2.1.01.010.0667</v>
          </cell>
          <cell r="C750" t="str">
            <v xml:space="preserve">THALES TABCHOURY DE </v>
          </cell>
          <cell r="D750">
            <v>10455.959999999999</v>
          </cell>
          <cell r="E750" t="str">
            <v>C</v>
          </cell>
          <cell r="G750">
            <v>16842.740000000002</v>
          </cell>
          <cell r="H750">
            <v>13081.69</v>
          </cell>
          <cell r="I750">
            <v>-3761.05</v>
          </cell>
          <cell r="J750">
            <v>6694.91</v>
          </cell>
          <cell r="K750" t="str">
            <v>C</v>
          </cell>
        </row>
        <row r="751">
          <cell r="A751">
            <v>54432</v>
          </cell>
          <cell r="B751" t="str">
            <v>2.1.01.010.0668</v>
          </cell>
          <cell r="C751" t="str">
            <v xml:space="preserve">VIVADERMA CLINICA MEDICA </v>
          </cell>
          <cell r="D751">
            <v>9962.67</v>
          </cell>
          <cell r="E751" t="str">
            <v>C</v>
          </cell>
          <cell r="G751">
            <v>9482.6</v>
          </cell>
          <cell r="H751">
            <v>7430.27</v>
          </cell>
          <cell r="I751">
            <v>-2052.33</v>
          </cell>
          <cell r="J751">
            <v>7910.34</v>
          </cell>
          <cell r="K751" t="str">
            <v>C</v>
          </cell>
        </row>
        <row r="752">
          <cell r="A752">
            <v>54435</v>
          </cell>
          <cell r="B752" t="str">
            <v>2.1.01.010.0669</v>
          </cell>
          <cell r="C752" t="str">
            <v>ALJ SERVICOS MEDICOS SS</v>
          </cell>
          <cell r="D752">
            <v>14096.05</v>
          </cell>
          <cell r="E752" t="str">
            <v>C</v>
          </cell>
          <cell r="G752">
            <v>14096.05</v>
          </cell>
          <cell r="H752">
            <v>0</v>
          </cell>
          <cell r="I752">
            <v>-14096.05</v>
          </cell>
          <cell r="J752">
            <v>0</v>
          </cell>
          <cell r="K752" t="str">
            <v>C</v>
          </cell>
        </row>
        <row r="753">
          <cell r="A753">
            <v>54437</v>
          </cell>
          <cell r="B753" t="str">
            <v>2.1.01.010.0670</v>
          </cell>
          <cell r="C753" t="str">
            <v>SANTOS MEDICINA SS LTDA</v>
          </cell>
          <cell r="D753">
            <v>3933.85</v>
          </cell>
          <cell r="E753" t="str">
            <v>C</v>
          </cell>
          <cell r="G753">
            <v>3876.25</v>
          </cell>
          <cell r="H753">
            <v>1313.2</v>
          </cell>
          <cell r="I753">
            <v>-2563.0500000000002</v>
          </cell>
          <cell r="J753">
            <v>1370.8</v>
          </cell>
          <cell r="K753" t="str">
            <v>C</v>
          </cell>
        </row>
        <row r="754">
          <cell r="A754">
            <v>54598</v>
          </cell>
          <cell r="B754" t="str">
            <v>2.1.01.010.0671</v>
          </cell>
          <cell r="C754" t="str">
            <v xml:space="preserve">CANFUR - ASSISTENCIA </v>
          </cell>
          <cell r="D754">
            <v>5944.07</v>
          </cell>
          <cell r="E754" t="str">
            <v>C</v>
          </cell>
          <cell r="G754">
            <v>0</v>
          </cell>
          <cell r="H754">
            <v>4997.3</v>
          </cell>
          <cell r="I754">
            <v>4997.3</v>
          </cell>
          <cell r="J754">
            <v>10941.37</v>
          </cell>
          <cell r="K754" t="str">
            <v>C</v>
          </cell>
        </row>
        <row r="755">
          <cell r="A755">
            <v>53944</v>
          </cell>
          <cell r="B755" t="str">
            <v>2.1.01.010.0672</v>
          </cell>
          <cell r="C755" t="str">
            <v xml:space="preserve">NAKAMURA SP MEDICINA </v>
          </cell>
          <cell r="D755">
            <v>596.54</v>
          </cell>
          <cell r="E755" t="str">
            <v>C</v>
          </cell>
          <cell r="G755">
            <v>0</v>
          </cell>
          <cell r="H755">
            <v>0</v>
          </cell>
          <cell r="I755">
            <v>0</v>
          </cell>
          <cell r="J755">
            <v>596.54</v>
          </cell>
          <cell r="K755" t="str">
            <v>C</v>
          </cell>
        </row>
        <row r="756">
          <cell r="A756">
            <v>53907</v>
          </cell>
          <cell r="B756" t="str">
            <v>2.1.01.010.0674</v>
          </cell>
          <cell r="C756" t="str">
            <v>FLAVIA P S MAGALHAES</v>
          </cell>
          <cell r="D756">
            <v>61.5</v>
          </cell>
          <cell r="E756" t="str">
            <v>C</v>
          </cell>
          <cell r="G756">
            <v>0</v>
          </cell>
          <cell r="H756">
            <v>0</v>
          </cell>
          <cell r="I756">
            <v>0</v>
          </cell>
          <cell r="J756">
            <v>61.5</v>
          </cell>
          <cell r="K756" t="str">
            <v>C</v>
          </cell>
        </row>
        <row r="757">
          <cell r="A757">
            <v>54543</v>
          </cell>
          <cell r="B757" t="str">
            <v>2.1.01.010.0675</v>
          </cell>
          <cell r="C757" t="str">
            <v xml:space="preserve">RACHID MEDICOS </v>
          </cell>
          <cell r="D757">
            <v>39008.120000000003</v>
          </cell>
          <cell r="E757" t="str">
            <v>C</v>
          </cell>
          <cell r="G757">
            <v>11376.75</v>
          </cell>
          <cell r="H757">
            <v>0</v>
          </cell>
          <cell r="I757">
            <v>-11376.75</v>
          </cell>
          <cell r="J757">
            <v>27631.37</v>
          </cell>
          <cell r="K757" t="str">
            <v>C</v>
          </cell>
        </row>
        <row r="758">
          <cell r="A758">
            <v>54546</v>
          </cell>
          <cell r="B758" t="str">
            <v>2.1.01.010.0676</v>
          </cell>
          <cell r="C758" t="str">
            <v xml:space="preserve">MEDLIFE CLINICA MEDICA </v>
          </cell>
          <cell r="D758">
            <v>0</v>
          </cell>
          <cell r="E758" t="str">
            <v>C</v>
          </cell>
          <cell r="G758">
            <v>0</v>
          </cell>
          <cell r="H758">
            <v>15403.82</v>
          </cell>
          <cell r="I758">
            <v>15403.82</v>
          </cell>
          <cell r="J758">
            <v>15403.82</v>
          </cell>
          <cell r="K758" t="str">
            <v>C</v>
          </cell>
        </row>
        <row r="759">
          <cell r="A759">
            <v>54650</v>
          </cell>
          <cell r="B759" t="str">
            <v>2.1.01.010.0677</v>
          </cell>
          <cell r="C759" t="str">
            <v>SOCORRO SEGURO MEDICOS</v>
          </cell>
          <cell r="D759">
            <v>8100</v>
          </cell>
          <cell r="E759" t="str">
            <v>C</v>
          </cell>
          <cell r="G759">
            <v>8100</v>
          </cell>
          <cell r="H759">
            <v>7980</v>
          </cell>
          <cell r="I759">
            <v>-120</v>
          </cell>
          <cell r="J759">
            <v>7980</v>
          </cell>
          <cell r="K759" t="str">
            <v>C</v>
          </cell>
        </row>
        <row r="760">
          <cell r="A760">
            <v>54653</v>
          </cell>
          <cell r="B760" t="str">
            <v>2.1.01.010.0678</v>
          </cell>
          <cell r="C760" t="str">
            <v xml:space="preserve">TOLEDO OLIVEIRA E LAJA </v>
          </cell>
          <cell r="D760">
            <v>297.5</v>
          </cell>
          <cell r="E760" t="str">
            <v>C</v>
          </cell>
          <cell r="G760">
            <v>0</v>
          </cell>
          <cell r="H760">
            <v>0</v>
          </cell>
          <cell r="I760">
            <v>0</v>
          </cell>
          <cell r="J760">
            <v>297.5</v>
          </cell>
          <cell r="K760" t="str">
            <v>C</v>
          </cell>
        </row>
        <row r="761">
          <cell r="A761">
            <v>54654</v>
          </cell>
          <cell r="B761" t="str">
            <v>2.1.01.010.0679</v>
          </cell>
          <cell r="C761" t="str">
            <v xml:space="preserve">DACIO RODRIGUES FREIRE </v>
          </cell>
          <cell r="D761">
            <v>2066.75</v>
          </cell>
          <cell r="E761" t="str">
            <v>C</v>
          </cell>
          <cell r="G761">
            <v>42</v>
          </cell>
          <cell r="H761">
            <v>216.06</v>
          </cell>
          <cell r="I761">
            <v>174.06</v>
          </cell>
          <cell r="J761">
            <v>2240.81</v>
          </cell>
          <cell r="K761" t="str">
            <v>C</v>
          </cell>
        </row>
        <row r="762">
          <cell r="A762">
            <v>54655</v>
          </cell>
          <cell r="B762" t="str">
            <v>2.1.01.010.0680</v>
          </cell>
          <cell r="C762" t="str">
            <v xml:space="preserve">M.S.M. CLINICA MEDICA DE </v>
          </cell>
          <cell r="D762">
            <v>1649.93</v>
          </cell>
          <cell r="E762" t="str">
            <v>C</v>
          </cell>
          <cell r="G762">
            <v>0</v>
          </cell>
          <cell r="H762">
            <v>0</v>
          </cell>
          <cell r="I762">
            <v>0</v>
          </cell>
          <cell r="J762">
            <v>1649.93</v>
          </cell>
          <cell r="K762" t="str">
            <v>C</v>
          </cell>
        </row>
        <row r="763">
          <cell r="A763">
            <v>54656</v>
          </cell>
          <cell r="B763" t="str">
            <v>2.1.01.010.0681</v>
          </cell>
          <cell r="C763" t="str">
            <v xml:space="preserve">LM STEFFEN COMUNICACOES </v>
          </cell>
          <cell r="D763">
            <v>2200.13</v>
          </cell>
          <cell r="E763" t="str">
            <v>C</v>
          </cell>
          <cell r="G763">
            <v>1824.48</v>
          </cell>
          <cell r="H763">
            <v>5239</v>
          </cell>
          <cell r="I763">
            <v>3414.52</v>
          </cell>
          <cell r="J763">
            <v>5614.65</v>
          </cell>
          <cell r="K763" t="str">
            <v>C</v>
          </cell>
        </row>
        <row r="764">
          <cell r="A764">
            <v>54658</v>
          </cell>
          <cell r="B764" t="str">
            <v>2.1.01.010.0682</v>
          </cell>
          <cell r="C764" t="str">
            <v xml:space="preserve">FACMED SERVICOS MEDICOS </v>
          </cell>
          <cell r="D764">
            <v>0</v>
          </cell>
          <cell r="E764" t="str">
            <v>C</v>
          </cell>
          <cell r="G764">
            <v>0</v>
          </cell>
          <cell r="H764">
            <v>1327.68</v>
          </cell>
          <cell r="I764">
            <v>1327.68</v>
          </cell>
          <cell r="J764">
            <v>1327.68</v>
          </cell>
          <cell r="K764" t="str">
            <v>C</v>
          </cell>
        </row>
        <row r="765">
          <cell r="A765">
            <v>54667</v>
          </cell>
          <cell r="B765" t="str">
            <v>2.1.01.010.0683</v>
          </cell>
          <cell r="C765" t="str">
            <v xml:space="preserve">EMAD ESPEC EM MOLES DO </v>
          </cell>
          <cell r="D765">
            <v>214.5</v>
          </cell>
          <cell r="E765" t="str">
            <v>C</v>
          </cell>
          <cell r="G765">
            <v>0</v>
          </cell>
          <cell r="H765">
            <v>0</v>
          </cell>
          <cell r="I765">
            <v>0</v>
          </cell>
          <cell r="J765">
            <v>214.5</v>
          </cell>
          <cell r="K765" t="str">
            <v>C</v>
          </cell>
        </row>
        <row r="766">
          <cell r="A766">
            <v>54668</v>
          </cell>
          <cell r="B766" t="str">
            <v>2.1.01.010.0684</v>
          </cell>
          <cell r="C766" t="str">
            <v>ALM CLINICA MEDICA LTDA</v>
          </cell>
          <cell r="D766">
            <v>777.36</v>
          </cell>
          <cell r="E766" t="str">
            <v>C</v>
          </cell>
          <cell r="G766">
            <v>0</v>
          </cell>
          <cell r="H766">
            <v>0</v>
          </cell>
          <cell r="I766">
            <v>0</v>
          </cell>
          <cell r="J766">
            <v>777.36</v>
          </cell>
          <cell r="K766" t="str">
            <v>C</v>
          </cell>
        </row>
        <row r="767">
          <cell r="A767">
            <v>54669</v>
          </cell>
          <cell r="B767" t="str">
            <v>2.1.01.010.0685</v>
          </cell>
          <cell r="C767" t="str">
            <v xml:space="preserve">RB MED SERVICOS MEDICOS </v>
          </cell>
          <cell r="D767">
            <v>10256.4</v>
          </cell>
          <cell r="E767" t="str">
            <v>C</v>
          </cell>
          <cell r="G767">
            <v>0</v>
          </cell>
          <cell r="H767">
            <v>429.35</v>
          </cell>
          <cell r="I767">
            <v>429.35</v>
          </cell>
          <cell r="J767">
            <v>10685.75</v>
          </cell>
          <cell r="K767" t="str">
            <v>C</v>
          </cell>
        </row>
        <row r="768">
          <cell r="A768">
            <v>54670</v>
          </cell>
          <cell r="B768" t="str">
            <v>2.1.01.010.0686</v>
          </cell>
          <cell r="C768" t="str">
            <v>CLINICA OSTEOCENTER LTDA</v>
          </cell>
          <cell r="D768">
            <v>710.78</v>
          </cell>
          <cell r="E768" t="str">
            <v>C</v>
          </cell>
          <cell r="G768">
            <v>0</v>
          </cell>
          <cell r="H768">
            <v>1882.55</v>
          </cell>
          <cell r="I768">
            <v>1882.55</v>
          </cell>
          <cell r="J768">
            <v>2593.33</v>
          </cell>
          <cell r="K768" t="str">
            <v>C</v>
          </cell>
        </row>
        <row r="769">
          <cell r="A769">
            <v>54671</v>
          </cell>
          <cell r="B769" t="str">
            <v>2.1.01.010.0687</v>
          </cell>
          <cell r="C769" t="str">
            <v>SANTOS RIBEIRO MEDICINA</v>
          </cell>
          <cell r="D769">
            <v>0</v>
          </cell>
          <cell r="E769" t="str">
            <v>C</v>
          </cell>
          <cell r="G769">
            <v>4041.81</v>
          </cell>
          <cell r="H769">
            <v>4041.81</v>
          </cell>
          <cell r="I769">
            <v>0</v>
          </cell>
          <cell r="J769">
            <v>0</v>
          </cell>
          <cell r="K769" t="str">
            <v>C</v>
          </cell>
        </row>
        <row r="770">
          <cell r="A770">
            <v>54691</v>
          </cell>
          <cell r="B770" t="str">
            <v>2.1.01.010.0690</v>
          </cell>
          <cell r="C770" t="str">
            <v xml:space="preserve">CAPRONI SERVICOS MEDICOS </v>
          </cell>
          <cell r="D770">
            <v>15704.99</v>
          </cell>
          <cell r="E770" t="str">
            <v>C</v>
          </cell>
          <cell r="G770">
            <v>7955.33</v>
          </cell>
          <cell r="H770">
            <v>3440.15</v>
          </cell>
          <cell r="I770">
            <v>-4515.18</v>
          </cell>
          <cell r="J770">
            <v>11189.81</v>
          </cell>
          <cell r="K770" t="str">
            <v>C</v>
          </cell>
        </row>
        <row r="771">
          <cell r="A771">
            <v>54692</v>
          </cell>
          <cell r="B771" t="str">
            <v>2.1.01.010.0691</v>
          </cell>
          <cell r="C771" t="str">
            <v xml:space="preserve">IZABELLA CHAVES SILVA </v>
          </cell>
          <cell r="D771">
            <v>5287.61</v>
          </cell>
          <cell r="E771" t="str">
            <v>C</v>
          </cell>
          <cell r="G771">
            <v>19797.54</v>
          </cell>
          <cell r="H771">
            <v>22841.79</v>
          </cell>
          <cell r="I771">
            <v>3044.25</v>
          </cell>
          <cell r="J771">
            <v>8331.86</v>
          </cell>
          <cell r="K771" t="str">
            <v>C</v>
          </cell>
        </row>
        <row r="772">
          <cell r="A772">
            <v>54693</v>
          </cell>
          <cell r="B772" t="str">
            <v>2.1.01.010.0692</v>
          </cell>
          <cell r="C772" t="str">
            <v xml:space="preserve">CRISTIANE M A FAGUNDES </v>
          </cell>
          <cell r="D772">
            <v>1980.21</v>
          </cell>
          <cell r="E772" t="str">
            <v>C</v>
          </cell>
          <cell r="G772">
            <v>1103.5999999999999</v>
          </cell>
          <cell r="H772">
            <v>1467.69</v>
          </cell>
          <cell r="I772">
            <v>364.09</v>
          </cell>
          <cell r="J772">
            <v>2344.3000000000002</v>
          </cell>
          <cell r="K772" t="str">
            <v>C</v>
          </cell>
        </row>
        <row r="773">
          <cell r="A773">
            <v>54694</v>
          </cell>
          <cell r="B773" t="str">
            <v>2.1.01.010.0693</v>
          </cell>
          <cell r="C773" t="str">
            <v xml:space="preserve">DANIEL MARTIN PHANG </v>
          </cell>
          <cell r="D773">
            <v>178.5</v>
          </cell>
          <cell r="E773" t="str">
            <v>C</v>
          </cell>
          <cell r="G773">
            <v>0</v>
          </cell>
          <cell r="H773">
            <v>0</v>
          </cell>
          <cell r="I773">
            <v>0</v>
          </cell>
          <cell r="J773">
            <v>178.5</v>
          </cell>
          <cell r="K773" t="str">
            <v>C</v>
          </cell>
        </row>
        <row r="774">
          <cell r="A774">
            <v>54695</v>
          </cell>
          <cell r="B774" t="str">
            <v>2.1.01.010.0694</v>
          </cell>
          <cell r="C774" t="str">
            <v xml:space="preserve">PRISCILA RIBEIRO DA SILVA </v>
          </cell>
          <cell r="D774">
            <v>72.8</v>
          </cell>
          <cell r="E774" t="str">
            <v>C</v>
          </cell>
          <cell r="G774">
            <v>0</v>
          </cell>
          <cell r="H774">
            <v>0</v>
          </cell>
          <cell r="I774">
            <v>0</v>
          </cell>
          <cell r="J774">
            <v>72.8</v>
          </cell>
          <cell r="K774" t="str">
            <v>C</v>
          </cell>
        </row>
        <row r="775">
          <cell r="A775">
            <v>54703</v>
          </cell>
          <cell r="B775" t="str">
            <v>2.1.01.010.0697</v>
          </cell>
          <cell r="C775" t="str">
            <v xml:space="preserve">DMBR 2020 ASSISTENCIA </v>
          </cell>
          <cell r="D775">
            <v>70</v>
          </cell>
          <cell r="E775" t="str">
            <v>C</v>
          </cell>
          <cell r="G775">
            <v>0</v>
          </cell>
          <cell r="H775">
            <v>0</v>
          </cell>
          <cell r="I775">
            <v>0</v>
          </cell>
          <cell r="J775">
            <v>70</v>
          </cell>
          <cell r="K775" t="str">
            <v>C</v>
          </cell>
        </row>
        <row r="776">
          <cell r="A776">
            <v>54721</v>
          </cell>
          <cell r="B776" t="str">
            <v>2.1.01.010.0700</v>
          </cell>
          <cell r="C776" t="str">
            <v xml:space="preserve">PAVANITTO CLINICA MEDICA </v>
          </cell>
          <cell r="D776">
            <v>6120</v>
          </cell>
          <cell r="E776" t="str">
            <v>C</v>
          </cell>
          <cell r="G776">
            <v>6120</v>
          </cell>
          <cell r="H776">
            <v>3000</v>
          </cell>
          <cell r="I776">
            <v>-3120</v>
          </cell>
          <cell r="J776">
            <v>3000</v>
          </cell>
          <cell r="K776" t="str">
            <v>C</v>
          </cell>
        </row>
        <row r="777">
          <cell r="A777">
            <v>54723</v>
          </cell>
          <cell r="B777" t="str">
            <v>2.1.01.010.0701</v>
          </cell>
          <cell r="C777" t="str">
            <v xml:space="preserve">PEDCLIN SAUDE INFANTIL </v>
          </cell>
          <cell r="D777">
            <v>202.7</v>
          </cell>
          <cell r="E777" t="str">
            <v>C</v>
          </cell>
          <cell r="G777">
            <v>0</v>
          </cell>
          <cell r="H777">
            <v>0</v>
          </cell>
          <cell r="I777">
            <v>0</v>
          </cell>
          <cell r="J777">
            <v>202.7</v>
          </cell>
          <cell r="K777" t="str">
            <v>C</v>
          </cell>
        </row>
        <row r="778">
          <cell r="A778">
            <v>54729</v>
          </cell>
          <cell r="B778" t="str">
            <v>2.1.01.010.0702</v>
          </cell>
          <cell r="C778" t="str">
            <v xml:space="preserve">LITORAL SAUDE, SERVICOS </v>
          </cell>
          <cell r="D778">
            <v>5718.04</v>
          </cell>
          <cell r="E778" t="str">
            <v>C</v>
          </cell>
          <cell r="G778">
            <v>0</v>
          </cell>
          <cell r="H778">
            <v>977.55</v>
          </cell>
          <cell r="I778">
            <v>977.55</v>
          </cell>
          <cell r="J778">
            <v>6695.59</v>
          </cell>
          <cell r="K778" t="str">
            <v>C</v>
          </cell>
        </row>
        <row r="779">
          <cell r="A779">
            <v>54760</v>
          </cell>
          <cell r="B779" t="str">
            <v>2.1.01.010.0705</v>
          </cell>
          <cell r="C779" t="str">
            <v xml:space="preserve">CRISH TATIANA COCA </v>
          </cell>
          <cell r="D779">
            <v>2310</v>
          </cell>
          <cell r="E779" t="str">
            <v>C</v>
          </cell>
          <cell r="G779">
            <v>0</v>
          </cell>
          <cell r="H779">
            <v>5085</v>
          </cell>
          <cell r="I779">
            <v>5085</v>
          </cell>
          <cell r="J779">
            <v>7395</v>
          </cell>
          <cell r="K779" t="str">
            <v>C</v>
          </cell>
        </row>
        <row r="780">
          <cell r="A780">
            <v>54762</v>
          </cell>
          <cell r="B780" t="str">
            <v>2.1.01.010.0707</v>
          </cell>
          <cell r="C780" t="str">
            <v xml:space="preserve">CAETANO MEDICINA E </v>
          </cell>
          <cell r="D780">
            <v>10707.6</v>
          </cell>
          <cell r="E780" t="str">
            <v>C</v>
          </cell>
          <cell r="G780">
            <v>5974.56</v>
          </cell>
          <cell r="H780">
            <v>11285.28</v>
          </cell>
          <cell r="I780">
            <v>5310.72</v>
          </cell>
          <cell r="J780">
            <v>16018.32</v>
          </cell>
          <cell r="K780" t="str">
            <v>C</v>
          </cell>
        </row>
        <row r="781">
          <cell r="A781">
            <v>54767</v>
          </cell>
          <cell r="B781" t="str">
            <v>2.1.01.010.0709</v>
          </cell>
          <cell r="C781" t="str">
            <v xml:space="preserve">PIXEL SERVICOS DE </v>
          </cell>
          <cell r="D781">
            <v>4301.18</v>
          </cell>
          <cell r="E781" t="str">
            <v>C</v>
          </cell>
          <cell r="G781">
            <v>4161.13</v>
          </cell>
          <cell r="H781">
            <v>2554.56</v>
          </cell>
          <cell r="I781">
            <v>-1606.57</v>
          </cell>
          <cell r="J781">
            <v>2694.61</v>
          </cell>
          <cell r="K781" t="str">
            <v>C</v>
          </cell>
        </row>
        <row r="782">
          <cell r="A782">
            <v>54768</v>
          </cell>
          <cell r="B782" t="str">
            <v>2.1.01.010.0710</v>
          </cell>
          <cell r="C782" t="str">
            <v xml:space="preserve">VALE SERVICOS MEDICOS </v>
          </cell>
          <cell r="D782">
            <v>3421.3</v>
          </cell>
          <cell r="E782" t="str">
            <v>C</v>
          </cell>
          <cell r="G782">
            <v>3340.63</v>
          </cell>
          <cell r="H782">
            <v>2783.34</v>
          </cell>
          <cell r="I782">
            <v>-557.29</v>
          </cell>
          <cell r="J782">
            <v>2864.01</v>
          </cell>
          <cell r="K782" t="str">
            <v>C</v>
          </cell>
        </row>
        <row r="783">
          <cell r="A783">
            <v>54770</v>
          </cell>
          <cell r="B783" t="str">
            <v>2.1.01.010.0711</v>
          </cell>
          <cell r="C783" t="str">
            <v xml:space="preserve">CLINICA ORTOPEDICA OPUS </v>
          </cell>
          <cell r="D783">
            <v>354.24</v>
          </cell>
          <cell r="E783" t="str">
            <v>C</v>
          </cell>
          <cell r="G783">
            <v>0</v>
          </cell>
          <cell r="H783">
            <v>0</v>
          </cell>
          <cell r="I783">
            <v>0</v>
          </cell>
          <cell r="J783">
            <v>354.24</v>
          </cell>
          <cell r="K783" t="str">
            <v>C</v>
          </cell>
        </row>
        <row r="784">
          <cell r="A784">
            <v>54771</v>
          </cell>
          <cell r="B784" t="str">
            <v>2.1.01.010.0712</v>
          </cell>
          <cell r="C784" t="str">
            <v>TRAUMATHOS DO VALE LTDA</v>
          </cell>
          <cell r="D784">
            <v>2212.6999999999998</v>
          </cell>
          <cell r="E784" t="str">
            <v>C</v>
          </cell>
          <cell r="G784">
            <v>668.22</v>
          </cell>
          <cell r="H784">
            <v>2140.88</v>
          </cell>
          <cell r="I784">
            <v>1472.66</v>
          </cell>
          <cell r="J784">
            <v>3685.36</v>
          </cell>
          <cell r="K784" t="str">
            <v>C</v>
          </cell>
        </row>
        <row r="785">
          <cell r="A785">
            <v>54772</v>
          </cell>
          <cell r="B785" t="str">
            <v>2.1.01.010.0713</v>
          </cell>
          <cell r="C785" t="str">
            <v>INSTITUTO MASTO VIDA SS</v>
          </cell>
          <cell r="D785">
            <v>159.19</v>
          </cell>
          <cell r="E785" t="str">
            <v>C</v>
          </cell>
          <cell r="G785">
            <v>0</v>
          </cell>
          <cell r="H785">
            <v>0</v>
          </cell>
          <cell r="I785">
            <v>0</v>
          </cell>
          <cell r="J785">
            <v>159.19</v>
          </cell>
          <cell r="K785" t="str">
            <v>C</v>
          </cell>
        </row>
        <row r="786">
          <cell r="A786">
            <v>54773</v>
          </cell>
          <cell r="B786" t="str">
            <v>2.1.01.010.0714</v>
          </cell>
          <cell r="C786" t="str">
            <v>M E F SERVICOS MEDICOS S/S</v>
          </cell>
          <cell r="D786">
            <v>2546.5700000000002</v>
          </cell>
          <cell r="E786" t="str">
            <v>C</v>
          </cell>
          <cell r="G786">
            <v>0</v>
          </cell>
          <cell r="H786">
            <v>0</v>
          </cell>
          <cell r="I786">
            <v>0</v>
          </cell>
          <cell r="J786">
            <v>2546.5700000000002</v>
          </cell>
          <cell r="K786" t="str">
            <v>C</v>
          </cell>
        </row>
        <row r="787">
          <cell r="A787">
            <v>54646</v>
          </cell>
          <cell r="B787" t="str">
            <v>2.1.01.010.0715</v>
          </cell>
          <cell r="C787" t="str">
            <v xml:space="preserve">PRECISION SERVICOS </v>
          </cell>
          <cell r="D787">
            <v>11687.54</v>
          </cell>
          <cell r="E787" t="str">
            <v>C</v>
          </cell>
          <cell r="G787">
            <v>1764</v>
          </cell>
          <cell r="H787">
            <v>4229.58</v>
          </cell>
          <cell r="I787">
            <v>2465.58</v>
          </cell>
          <cell r="J787">
            <v>14153.12</v>
          </cell>
          <cell r="K787" t="str">
            <v>C</v>
          </cell>
        </row>
        <row r="788">
          <cell r="A788">
            <v>54787</v>
          </cell>
          <cell r="B788" t="str">
            <v>2.1.01.010.0716</v>
          </cell>
          <cell r="C788" t="str">
            <v xml:space="preserve">SUASSUNA SERVICOS </v>
          </cell>
          <cell r="D788">
            <v>3200.09</v>
          </cell>
          <cell r="E788" t="str">
            <v>C</v>
          </cell>
          <cell r="G788">
            <v>2000.07</v>
          </cell>
          <cell r="H788">
            <v>2000.03</v>
          </cell>
          <cell r="I788">
            <v>-0.04</v>
          </cell>
          <cell r="J788">
            <v>3200.05</v>
          </cell>
          <cell r="K788" t="str">
            <v>C</v>
          </cell>
        </row>
        <row r="789">
          <cell r="A789">
            <v>54788</v>
          </cell>
          <cell r="B789" t="str">
            <v>2.1.01.010.0717</v>
          </cell>
          <cell r="C789" t="str">
            <v xml:space="preserve">BASTOS E PIMENTEL </v>
          </cell>
          <cell r="D789">
            <v>1875.44</v>
          </cell>
          <cell r="E789" t="str">
            <v>C</v>
          </cell>
          <cell r="G789">
            <v>1875.44</v>
          </cell>
          <cell r="H789">
            <v>3296.21</v>
          </cell>
          <cell r="I789">
            <v>1420.77</v>
          </cell>
          <cell r="J789">
            <v>3296.21</v>
          </cell>
          <cell r="K789" t="str">
            <v>C</v>
          </cell>
        </row>
        <row r="790">
          <cell r="A790">
            <v>54789</v>
          </cell>
          <cell r="B790" t="str">
            <v>2.1.01.010.0718</v>
          </cell>
          <cell r="C790" t="str">
            <v xml:space="preserve">F&amp;F SERVICOS MEDICOS </v>
          </cell>
          <cell r="D790">
            <v>2599.98</v>
          </cell>
          <cell r="E790" t="str">
            <v>C</v>
          </cell>
          <cell r="G790">
            <v>1934.05</v>
          </cell>
          <cell r="H790">
            <v>2312.75</v>
          </cell>
          <cell r="I790">
            <v>378.7</v>
          </cell>
          <cell r="J790">
            <v>2978.68</v>
          </cell>
          <cell r="K790" t="str">
            <v>C</v>
          </cell>
        </row>
        <row r="791">
          <cell r="A791">
            <v>54790</v>
          </cell>
          <cell r="B791" t="str">
            <v>2.1.01.010.0719</v>
          </cell>
          <cell r="C791" t="str">
            <v xml:space="preserve">MONTEIRO ZUNG SERVICOS </v>
          </cell>
          <cell r="D791">
            <v>1574.58</v>
          </cell>
          <cell r="E791" t="str">
            <v>C</v>
          </cell>
          <cell r="G791">
            <v>741.58</v>
          </cell>
          <cell r="H791">
            <v>339.08</v>
          </cell>
          <cell r="I791">
            <v>-402.5</v>
          </cell>
          <cell r="J791">
            <v>1172.08</v>
          </cell>
          <cell r="K791" t="str">
            <v>C</v>
          </cell>
        </row>
        <row r="792">
          <cell r="A792">
            <v>54791</v>
          </cell>
          <cell r="B792" t="str">
            <v>2.1.01.010.0720</v>
          </cell>
          <cell r="C792" t="str">
            <v xml:space="preserve">AMANDA DE GOUVEA </v>
          </cell>
          <cell r="D792">
            <v>236.67</v>
          </cell>
          <cell r="E792" t="str">
            <v>C</v>
          </cell>
          <cell r="G792">
            <v>0</v>
          </cell>
          <cell r="H792">
            <v>0</v>
          </cell>
          <cell r="I792">
            <v>0</v>
          </cell>
          <cell r="J792">
            <v>236.67</v>
          </cell>
          <cell r="K792" t="str">
            <v>C</v>
          </cell>
        </row>
        <row r="793">
          <cell r="A793">
            <v>54793</v>
          </cell>
          <cell r="B793" t="str">
            <v>2.1.01.010.0721</v>
          </cell>
          <cell r="C793" t="str">
            <v xml:space="preserve">MESQUITA BARROS </v>
          </cell>
          <cell r="D793">
            <v>26294.799999999999</v>
          </cell>
          <cell r="E793" t="str">
            <v>C</v>
          </cell>
          <cell r="G793">
            <v>13940.64</v>
          </cell>
          <cell r="H793">
            <v>21805.98</v>
          </cell>
          <cell r="I793">
            <v>7865.34</v>
          </cell>
          <cell r="J793">
            <v>34160.14</v>
          </cell>
          <cell r="K793" t="str">
            <v>C</v>
          </cell>
        </row>
        <row r="794">
          <cell r="A794">
            <v>54803</v>
          </cell>
          <cell r="B794" t="str">
            <v>2.1.01.010.0722</v>
          </cell>
          <cell r="C794" t="str">
            <v xml:space="preserve">SARPE E MARQUES CLINICA </v>
          </cell>
          <cell r="D794">
            <v>11846.9</v>
          </cell>
          <cell r="E794" t="str">
            <v>C</v>
          </cell>
          <cell r="G794">
            <v>11916.9</v>
          </cell>
          <cell r="H794">
            <v>12664.42</v>
          </cell>
          <cell r="I794">
            <v>747.52</v>
          </cell>
          <cell r="J794">
            <v>12594.42</v>
          </cell>
          <cell r="K794" t="str">
            <v>C</v>
          </cell>
        </row>
        <row r="795">
          <cell r="A795">
            <v>54804</v>
          </cell>
          <cell r="B795" t="str">
            <v>2.1.01.010.0723</v>
          </cell>
          <cell r="C795" t="str">
            <v>J L SERVICOS MEDICOS SS</v>
          </cell>
          <cell r="D795">
            <v>11701.8</v>
          </cell>
          <cell r="E795" t="str">
            <v>C</v>
          </cell>
          <cell r="G795">
            <v>11701.8</v>
          </cell>
          <cell r="H795">
            <v>12322.35</v>
          </cell>
          <cell r="I795">
            <v>620.54999999999995</v>
          </cell>
          <cell r="J795">
            <v>12322.35</v>
          </cell>
          <cell r="K795" t="str">
            <v>C</v>
          </cell>
        </row>
        <row r="796">
          <cell r="A796">
            <v>54811</v>
          </cell>
          <cell r="B796" t="str">
            <v>2.1.01.010.0724</v>
          </cell>
          <cell r="C796" t="str">
            <v xml:space="preserve">ALMAGRO CLINICA MEDICA </v>
          </cell>
          <cell r="D796">
            <v>22.39</v>
          </cell>
          <cell r="E796" t="str">
            <v>C</v>
          </cell>
          <cell r="G796">
            <v>0</v>
          </cell>
          <cell r="H796">
            <v>0</v>
          </cell>
          <cell r="I796">
            <v>0</v>
          </cell>
          <cell r="J796">
            <v>22.39</v>
          </cell>
          <cell r="K796" t="str">
            <v>C</v>
          </cell>
        </row>
        <row r="797">
          <cell r="A797">
            <v>54813</v>
          </cell>
          <cell r="B797" t="str">
            <v>2.1.01.010.0725</v>
          </cell>
          <cell r="C797" t="str">
            <v xml:space="preserve">CLINICA E CIRURGIA </v>
          </cell>
          <cell r="D797">
            <v>5628.71</v>
          </cell>
          <cell r="E797" t="str">
            <v>C</v>
          </cell>
          <cell r="G797">
            <v>2699.79</v>
          </cell>
          <cell r="H797">
            <v>3282.02</v>
          </cell>
          <cell r="I797">
            <v>582.23</v>
          </cell>
          <cell r="J797">
            <v>6210.94</v>
          </cell>
          <cell r="K797" t="str">
            <v>C</v>
          </cell>
        </row>
        <row r="798">
          <cell r="A798">
            <v>54830</v>
          </cell>
          <cell r="B798" t="str">
            <v>2.1.01.010.0727</v>
          </cell>
          <cell r="C798" t="str">
            <v xml:space="preserve">AMANDA DE BONA SILVEIRA </v>
          </cell>
          <cell r="D798">
            <v>1519.91</v>
          </cell>
          <cell r="E798" t="str">
            <v>C</v>
          </cell>
          <cell r="G798">
            <v>0</v>
          </cell>
          <cell r="H798">
            <v>0</v>
          </cell>
          <cell r="I798">
            <v>0</v>
          </cell>
          <cell r="J798">
            <v>1519.91</v>
          </cell>
          <cell r="K798" t="str">
            <v>C</v>
          </cell>
        </row>
        <row r="799">
          <cell r="A799">
            <v>54831</v>
          </cell>
          <cell r="B799" t="str">
            <v>2.1.01.010.0728</v>
          </cell>
          <cell r="C799" t="str">
            <v xml:space="preserve">BRUTUS SERVICOS MEDICOS </v>
          </cell>
          <cell r="D799">
            <v>6063.58</v>
          </cell>
          <cell r="E799" t="str">
            <v>C</v>
          </cell>
          <cell r="G799">
            <v>5743.54</v>
          </cell>
          <cell r="H799">
            <v>9521.2000000000007</v>
          </cell>
          <cell r="I799">
            <v>3777.66</v>
          </cell>
          <cell r="J799">
            <v>9841.24</v>
          </cell>
          <cell r="K799" t="str">
            <v>C</v>
          </cell>
        </row>
        <row r="800">
          <cell r="A800">
            <v>54832</v>
          </cell>
          <cell r="B800" t="str">
            <v>2.1.01.010.0729</v>
          </cell>
          <cell r="C800" t="str">
            <v xml:space="preserve">THAIS MOREIRA COSTA </v>
          </cell>
          <cell r="D800">
            <v>8654.4500000000007</v>
          </cell>
          <cell r="E800" t="str">
            <v>C</v>
          </cell>
          <cell r="G800">
            <v>5684.7</v>
          </cell>
          <cell r="H800">
            <v>127.86</v>
          </cell>
          <cell r="I800">
            <v>-5556.84</v>
          </cell>
          <cell r="J800">
            <v>3097.61</v>
          </cell>
          <cell r="K800" t="str">
            <v>C</v>
          </cell>
        </row>
        <row r="801">
          <cell r="A801">
            <v>33410</v>
          </cell>
          <cell r="B801" t="str">
            <v>2.1.01.010.0730</v>
          </cell>
          <cell r="C801" t="str">
            <v xml:space="preserve">CLINICAS DE FRATURAS </v>
          </cell>
          <cell r="D801">
            <v>2748.24</v>
          </cell>
          <cell r="E801" t="str">
            <v>C</v>
          </cell>
          <cell r="G801">
            <v>1406.58</v>
          </cell>
          <cell r="H801">
            <v>1347.97</v>
          </cell>
          <cell r="I801">
            <v>-58.61</v>
          </cell>
          <cell r="J801">
            <v>2689.63</v>
          </cell>
          <cell r="K801" t="str">
            <v>C</v>
          </cell>
        </row>
        <row r="802">
          <cell r="A802">
            <v>54833</v>
          </cell>
          <cell r="B802" t="str">
            <v>2.1.01.010.0731</v>
          </cell>
          <cell r="C802" t="str">
            <v>SANTIAGO GUIMARAES LTDA</v>
          </cell>
          <cell r="D802">
            <v>3552.75</v>
          </cell>
          <cell r="E802" t="str">
            <v>C</v>
          </cell>
          <cell r="G802">
            <v>3552.75</v>
          </cell>
          <cell r="H802">
            <v>3715</v>
          </cell>
          <cell r="I802">
            <v>162.25</v>
          </cell>
          <cell r="J802">
            <v>3715</v>
          </cell>
          <cell r="K802" t="str">
            <v>C</v>
          </cell>
        </row>
        <row r="803">
          <cell r="A803">
            <v>54834</v>
          </cell>
          <cell r="B803" t="str">
            <v>2.1.01.010.0732</v>
          </cell>
          <cell r="C803" t="str">
            <v xml:space="preserve">SAUDE LATINA SERVICOS </v>
          </cell>
          <cell r="D803">
            <v>759.95</v>
          </cell>
          <cell r="E803" t="str">
            <v>C</v>
          </cell>
          <cell r="G803">
            <v>896.86</v>
          </cell>
          <cell r="H803">
            <v>1625.88</v>
          </cell>
          <cell r="I803">
            <v>729.02</v>
          </cell>
          <cell r="J803">
            <v>1488.97</v>
          </cell>
          <cell r="K803" t="str">
            <v>C</v>
          </cell>
        </row>
        <row r="804">
          <cell r="A804">
            <v>54883</v>
          </cell>
          <cell r="B804" t="str">
            <v>2.1.01.010.0733</v>
          </cell>
          <cell r="C804" t="str">
            <v>RUEDA &amp; BACHIEGA SS LTDA</v>
          </cell>
          <cell r="D804">
            <v>6882.55</v>
          </cell>
          <cell r="E804" t="str">
            <v>C</v>
          </cell>
          <cell r="G804">
            <v>14080.56</v>
          </cell>
          <cell r="H804">
            <v>17729.68</v>
          </cell>
          <cell r="I804">
            <v>3649.12</v>
          </cell>
          <cell r="J804">
            <v>10531.67</v>
          </cell>
          <cell r="K804" t="str">
            <v>C</v>
          </cell>
        </row>
        <row r="805">
          <cell r="A805">
            <v>54890</v>
          </cell>
          <cell r="B805" t="str">
            <v>2.1.01.010.0735</v>
          </cell>
          <cell r="C805" t="str">
            <v xml:space="preserve">BRUNETTI E FARIA ORL MED </v>
          </cell>
          <cell r="D805">
            <v>1244.54</v>
          </cell>
          <cell r="E805" t="str">
            <v>C</v>
          </cell>
          <cell r="G805">
            <v>1230.76</v>
          </cell>
          <cell r="H805">
            <v>2757.71</v>
          </cell>
          <cell r="I805">
            <v>1526.95</v>
          </cell>
          <cell r="J805">
            <v>2771.49</v>
          </cell>
          <cell r="K805" t="str">
            <v>C</v>
          </cell>
        </row>
        <row r="806">
          <cell r="A806">
            <v>54891</v>
          </cell>
          <cell r="B806" t="str">
            <v>2.1.01.010.0736</v>
          </cell>
          <cell r="C806" t="str">
            <v xml:space="preserve">PROENMED SERVICOS </v>
          </cell>
          <cell r="D806">
            <v>393.54</v>
          </cell>
          <cell r="E806" t="str">
            <v>C</v>
          </cell>
          <cell r="G806">
            <v>0</v>
          </cell>
          <cell r="H806">
            <v>62.3</v>
          </cell>
          <cell r="I806">
            <v>62.3</v>
          </cell>
          <cell r="J806">
            <v>455.84</v>
          </cell>
          <cell r="K806" t="str">
            <v>C</v>
          </cell>
        </row>
        <row r="807">
          <cell r="A807">
            <v>37514</v>
          </cell>
          <cell r="B807" t="str">
            <v>2.1.01.010.0737</v>
          </cell>
          <cell r="C807" t="str">
            <v xml:space="preserve">OFTALMOLOGIA DR IVANIR M </v>
          </cell>
          <cell r="D807">
            <v>10507.53</v>
          </cell>
          <cell r="E807" t="str">
            <v>C</v>
          </cell>
          <cell r="G807">
            <v>280</v>
          </cell>
          <cell r="H807">
            <v>8907.56</v>
          </cell>
          <cell r="I807">
            <v>8627.56</v>
          </cell>
          <cell r="J807">
            <v>19135.09</v>
          </cell>
          <cell r="K807" t="str">
            <v>C</v>
          </cell>
        </row>
        <row r="808">
          <cell r="A808">
            <v>54892</v>
          </cell>
          <cell r="B808" t="str">
            <v>2.1.01.010.0738</v>
          </cell>
          <cell r="C808" t="str">
            <v xml:space="preserve">URO-RENOS CLINICA MEDICA </v>
          </cell>
          <cell r="D808">
            <v>718.36</v>
          </cell>
          <cell r="E808" t="str">
            <v>C</v>
          </cell>
          <cell r="G808">
            <v>361.36</v>
          </cell>
          <cell r="H808">
            <v>1071</v>
          </cell>
          <cell r="I808">
            <v>709.64</v>
          </cell>
          <cell r="J808">
            <v>1428</v>
          </cell>
          <cell r="K808" t="str">
            <v>C</v>
          </cell>
        </row>
        <row r="809">
          <cell r="A809">
            <v>54893</v>
          </cell>
          <cell r="B809" t="str">
            <v>2.1.01.010.0739</v>
          </cell>
          <cell r="C809" t="str">
            <v xml:space="preserve">CARTAXO SERVICOS </v>
          </cell>
          <cell r="D809">
            <v>2118.25</v>
          </cell>
          <cell r="E809" t="str">
            <v>C</v>
          </cell>
          <cell r="G809">
            <v>2055.9499999999998</v>
          </cell>
          <cell r="H809">
            <v>665</v>
          </cell>
          <cell r="I809">
            <v>-1390.95</v>
          </cell>
          <cell r="J809">
            <v>727.3</v>
          </cell>
          <cell r="K809" t="str">
            <v>C</v>
          </cell>
        </row>
        <row r="810">
          <cell r="A810">
            <v>54898</v>
          </cell>
          <cell r="B810" t="str">
            <v>2.1.01.010.0740</v>
          </cell>
          <cell r="C810" t="str">
            <v>NB SERVICOS MEDICOS LTDA</v>
          </cell>
          <cell r="D810">
            <v>903</v>
          </cell>
          <cell r="E810" t="str">
            <v>C</v>
          </cell>
          <cell r="G810">
            <v>983</v>
          </cell>
          <cell r="H810">
            <v>1438.76</v>
          </cell>
          <cell r="I810">
            <v>455.76</v>
          </cell>
          <cell r="J810">
            <v>1358.76</v>
          </cell>
          <cell r="K810" t="str">
            <v>C</v>
          </cell>
        </row>
        <row r="811">
          <cell r="A811">
            <v>54914</v>
          </cell>
          <cell r="B811" t="str">
            <v>2.1.01.010.0743</v>
          </cell>
          <cell r="C811" t="str">
            <v xml:space="preserve">PEREIRA &amp; SILVA SERVICOS </v>
          </cell>
          <cell r="D811">
            <v>4104.17</v>
          </cell>
          <cell r="E811" t="str">
            <v>C</v>
          </cell>
          <cell r="G811">
            <v>4104.17</v>
          </cell>
          <cell r="H811">
            <v>5220.5</v>
          </cell>
          <cell r="I811">
            <v>1116.33</v>
          </cell>
          <cell r="J811">
            <v>5220.5</v>
          </cell>
          <cell r="K811" t="str">
            <v>C</v>
          </cell>
        </row>
        <row r="812">
          <cell r="A812">
            <v>54915</v>
          </cell>
          <cell r="B812" t="str">
            <v>2.1.01.010.0744</v>
          </cell>
          <cell r="C812" t="str">
            <v xml:space="preserve">NEFROCENTER ASSISTENCIA </v>
          </cell>
          <cell r="D812">
            <v>4104.17</v>
          </cell>
          <cell r="E812" t="str">
            <v>C</v>
          </cell>
          <cell r="G812">
            <v>4104.17</v>
          </cell>
          <cell r="H812">
            <v>5713</v>
          </cell>
          <cell r="I812">
            <v>1608.83</v>
          </cell>
          <cell r="J812">
            <v>5713</v>
          </cell>
          <cell r="K812" t="str">
            <v>C</v>
          </cell>
        </row>
        <row r="813">
          <cell r="A813">
            <v>54916</v>
          </cell>
          <cell r="B813" t="str">
            <v>2.1.01.010.0745</v>
          </cell>
          <cell r="C813" t="str">
            <v xml:space="preserve">CLINICA OBSTARE SERVICOS </v>
          </cell>
          <cell r="D813">
            <v>2695.84</v>
          </cell>
          <cell r="E813" t="str">
            <v>C</v>
          </cell>
          <cell r="G813">
            <v>0</v>
          </cell>
          <cell r="H813">
            <v>0</v>
          </cell>
          <cell r="I813">
            <v>0</v>
          </cell>
          <cell r="J813">
            <v>2695.84</v>
          </cell>
          <cell r="K813" t="str">
            <v>C</v>
          </cell>
        </row>
        <row r="814">
          <cell r="A814">
            <v>54917</v>
          </cell>
          <cell r="B814" t="str">
            <v>2.1.01.010.0746</v>
          </cell>
          <cell r="C814" t="str">
            <v xml:space="preserve">MD CARDIOLOGIA CLINICA E </v>
          </cell>
          <cell r="D814">
            <v>161</v>
          </cell>
          <cell r="E814" t="str">
            <v>C</v>
          </cell>
          <cell r="G814">
            <v>0</v>
          </cell>
          <cell r="H814">
            <v>6358.47</v>
          </cell>
          <cell r="I814">
            <v>6358.47</v>
          </cell>
          <cell r="J814">
            <v>6519.47</v>
          </cell>
          <cell r="K814" t="str">
            <v>C</v>
          </cell>
        </row>
        <row r="815">
          <cell r="A815">
            <v>54918</v>
          </cell>
          <cell r="B815" t="str">
            <v>2.1.01.010.0747</v>
          </cell>
          <cell r="C815" t="str">
            <v xml:space="preserve">P &amp; P SERVICOS MEDICOS </v>
          </cell>
          <cell r="D815">
            <v>264.32</v>
          </cell>
          <cell r="E815" t="str">
            <v>C</v>
          </cell>
          <cell r="G815">
            <v>0</v>
          </cell>
          <cell r="H815">
            <v>0</v>
          </cell>
          <cell r="I815">
            <v>0</v>
          </cell>
          <cell r="J815">
            <v>264.32</v>
          </cell>
          <cell r="K815" t="str">
            <v>C</v>
          </cell>
        </row>
        <row r="816">
          <cell r="A816">
            <v>54942</v>
          </cell>
          <cell r="B816" t="str">
            <v>2.1.01.010.0750</v>
          </cell>
          <cell r="C816" t="str">
            <v xml:space="preserve">VIRGILIO EDILBERTO </v>
          </cell>
          <cell r="D816">
            <v>29679.43</v>
          </cell>
          <cell r="E816" t="str">
            <v>C</v>
          </cell>
          <cell r="G816">
            <v>11923.8</v>
          </cell>
          <cell r="H816">
            <v>14956.26</v>
          </cell>
          <cell r="I816">
            <v>3032.46</v>
          </cell>
          <cell r="J816">
            <v>32711.89</v>
          </cell>
          <cell r="K816" t="str">
            <v>C</v>
          </cell>
        </row>
        <row r="817">
          <cell r="A817">
            <v>54943</v>
          </cell>
          <cell r="B817" t="str">
            <v>2.1.01.010.0751</v>
          </cell>
          <cell r="C817" t="str">
            <v>C A SAUDE LTDA</v>
          </cell>
          <cell r="D817">
            <v>1658.23</v>
          </cell>
          <cell r="E817" t="str">
            <v>C</v>
          </cell>
          <cell r="G817">
            <v>1728.23</v>
          </cell>
          <cell r="H817">
            <v>1909.32</v>
          </cell>
          <cell r="I817">
            <v>181.09</v>
          </cell>
          <cell r="J817">
            <v>1839.32</v>
          </cell>
          <cell r="K817" t="str">
            <v>C</v>
          </cell>
        </row>
        <row r="818">
          <cell r="A818">
            <v>54951</v>
          </cell>
          <cell r="B818" t="str">
            <v>2.1.01.010.0752</v>
          </cell>
          <cell r="C818" t="str">
            <v xml:space="preserve">DUARTE CONTI E ARANTES </v>
          </cell>
          <cell r="D818">
            <v>9833.2900000000009</v>
          </cell>
          <cell r="E818" t="str">
            <v>C</v>
          </cell>
          <cell r="G818">
            <v>9833.2900000000009</v>
          </cell>
          <cell r="H818">
            <v>10121.23</v>
          </cell>
          <cell r="I818">
            <v>287.94</v>
          </cell>
          <cell r="J818">
            <v>10121.23</v>
          </cell>
          <cell r="K818" t="str">
            <v>C</v>
          </cell>
        </row>
        <row r="819">
          <cell r="A819">
            <v>54954</v>
          </cell>
          <cell r="B819" t="str">
            <v>2.1.01.010.0753</v>
          </cell>
          <cell r="C819" t="str">
            <v>ASPICE VITAE MEDICOS LTDA</v>
          </cell>
          <cell r="D819">
            <v>14383.99</v>
          </cell>
          <cell r="E819" t="str">
            <v>C</v>
          </cell>
          <cell r="G819">
            <v>10460.700000000001</v>
          </cell>
          <cell r="H819">
            <v>7572.19</v>
          </cell>
          <cell r="I819">
            <v>-2888.51</v>
          </cell>
          <cell r="J819">
            <v>11495.48</v>
          </cell>
          <cell r="K819" t="str">
            <v>C</v>
          </cell>
        </row>
        <row r="820">
          <cell r="A820">
            <v>54955</v>
          </cell>
          <cell r="B820" t="str">
            <v>2.1.01.010.0754</v>
          </cell>
          <cell r="C820" t="str">
            <v xml:space="preserve">OLIVEIRA SANTOS SERVICOS </v>
          </cell>
          <cell r="D820">
            <v>16144.5</v>
          </cell>
          <cell r="E820" t="str">
            <v>C</v>
          </cell>
          <cell r="G820">
            <v>16144.5</v>
          </cell>
          <cell r="H820">
            <v>16336</v>
          </cell>
          <cell r="I820">
            <v>191.5</v>
          </cell>
          <cell r="J820">
            <v>16336</v>
          </cell>
          <cell r="K820" t="str">
            <v>C</v>
          </cell>
        </row>
        <row r="821">
          <cell r="A821">
            <v>54982</v>
          </cell>
          <cell r="B821" t="str">
            <v>2.1.01.010.0755</v>
          </cell>
          <cell r="C821" t="str">
            <v>N. R. FRAGA</v>
          </cell>
          <cell r="D821">
            <v>10835</v>
          </cell>
          <cell r="E821" t="str">
            <v>C</v>
          </cell>
          <cell r="G821">
            <v>10835</v>
          </cell>
          <cell r="H821">
            <v>10835</v>
          </cell>
          <cell r="I821">
            <v>0</v>
          </cell>
          <cell r="J821">
            <v>10835</v>
          </cell>
          <cell r="K821" t="str">
            <v>C</v>
          </cell>
        </row>
        <row r="822">
          <cell r="A822">
            <v>54994</v>
          </cell>
          <cell r="B822" t="str">
            <v>2.1.01.010.0756</v>
          </cell>
          <cell r="C822" t="str">
            <v xml:space="preserve">LMIT PEDIATRIA E </v>
          </cell>
          <cell r="D822">
            <v>2304.9</v>
          </cell>
          <cell r="E822" t="str">
            <v>C</v>
          </cell>
          <cell r="G822">
            <v>768.3</v>
          </cell>
          <cell r="H822">
            <v>0</v>
          </cell>
          <cell r="I822">
            <v>-768.3</v>
          </cell>
          <cell r="J822">
            <v>1536.6</v>
          </cell>
          <cell r="K822" t="str">
            <v>C</v>
          </cell>
        </row>
        <row r="823">
          <cell r="A823">
            <v>54995</v>
          </cell>
          <cell r="B823" t="str">
            <v>2.1.01.010.0757</v>
          </cell>
          <cell r="C823" t="str">
            <v>CARDIVIDA LTDA</v>
          </cell>
          <cell r="D823">
            <v>7966.08</v>
          </cell>
          <cell r="E823" t="str">
            <v>C</v>
          </cell>
          <cell r="G823">
            <v>7966.08</v>
          </cell>
          <cell r="H823">
            <v>5310.72</v>
          </cell>
          <cell r="I823">
            <v>-2655.36</v>
          </cell>
          <cell r="J823">
            <v>5310.72</v>
          </cell>
          <cell r="K823" t="str">
            <v>C</v>
          </cell>
        </row>
        <row r="824">
          <cell r="A824">
            <v>54996</v>
          </cell>
          <cell r="B824" t="str">
            <v>2.1.01.010.0758</v>
          </cell>
          <cell r="C824" t="str">
            <v>MEDICINA ACSP LTDA</v>
          </cell>
          <cell r="D824">
            <v>3549</v>
          </cell>
          <cell r="E824" t="str">
            <v>C</v>
          </cell>
          <cell r="G824">
            <v>3619</v>
          </cell>
          <cell r="H824">
            <v>2681</v>
          </cell>
          <cell r="I824">
            <v>-938</v>
          </cell>
          <cell r="J824">
            <v>2611</v>
          </cell>
          <cell r="K824" t="str">
            <v>C</v>
          </cell>
        </row>
        <row r="825">
          <cell r="A825">
            <v>54998</v>
          </cell>
          <cell r="B825" t="str">
            <v>2.1.01.010.0759</v>
          </cell>
          <cell r="C825" t="str">
            <v xml:space="preserve">REZENDE &amp; TANAKA </v>
          </cell>
          <cell r="D825">
            <v>3552.5</v>
          </cell>
          <cell r="E825" t="str">
            <v>C</v>
          </cell>
          <cell r="G825">
            <v>2898</v>
          </cell>
          <cell r="H825">
            <v>769.06</v>
          </cell>
          <cell r="I825">
            <v>-2128.94</v>
          </cell>
          <cell r="J825">
            <v>1423.56</v>
          </cell>
          <cell r="K825" t="str">
            <v>C</v>
          </cell>
        </row>
        <row r="826">
          <cell r="A826">
            <v>54999</v>
          </cell>
          <cell r="B826" t="str">
            <v>2.1.01.010.0760</v>
          </cell>
          <cell r="C826" t="str">
            <v>N. L. DUARTE CLINICA MEDICA</v>
          </cell>
          <cell r="D826">
            <v>839.3</v>
          </cell>
          <cell r="E826" t="str">
            <v>C</v>
          </cell>
          <cell r="G826">
            <v>153.30000000000001</v>
          </cell>
          <cell r="H826">
            <v>588</v>
          </cell>
          <cell r="I826">
            <v>434.7</v>
          </cell>
          <cell r="J826">
            <v>1274</v>
          </cell>
          <cell r="K826" t="str">
            <v>C</v>
          </cell>
        </row>
        <row r="827">
          <cell r="A827">
            <v>55002</v>
          </cell>
          <cell r="B827" t="str">
            <v>2.1.01.010.0762</v>
          </cell>
          <cell r="C827" t="str">
            <v xml:space="preserve">B &amp; S ARAUJO SERVICOS </v>
          </cell>
          <cell r="D827">
            <v>2116.08</v>
          </cell>
          <cell r="E827" t="str">
            <v>C</v>
          </cell>
          <cell r="G827">
            <v>765.59</v>
          </cell>
          <cell r="H827">
            <v>1410.27</v>
          </cell>
          <cell r="I827">
            <v>644.67999999999995</v>
          </cell>
          <cell r="J827">
            <v>2760.76</v>
          </cell>
          <cell r="K827" t="str">
            <v>C</v>
          </cell>
        </row>
        <row r="828">
          <cell r="A828">
            <v>55003</v>
          </cell>
          <cell r="B828" t="str">
            <v>2.1.01.010.0763</v>
          </cell>
          <cell r="C828" t="str">
            <v xml:space="preserve">ATIVIDADES MEDICAS </v>
          </cell>
          <cell r="D828">
            <v>5760</v>
          </cell>
          <cell r="E828" t="str">
            <v>C</v>
          </cell>
          <cell r="G828">
            <v>14400</v>
          </cell>
          <cell r="H828">
            <v>14400</v>
          </cell>
          <cell r="I828">
            <v>0</v>
          </cell>
          <cell r="J828">
            <v>5760</v>
          </cell>
          <cell r="K828" t="str">
            <v>C</v>
          </cell>
        </row>
        <row r="829">
          <cell r="A829">
            <v>55077</v>
          </cell>
          <cell r="B829" t="str">
            <v>2.1.01.010.0765</v>
          </cell>
          <cell r="C829" t="str">
            <v xml:space="preserve">RENAN TOSHIO MELO HONDA </v>
          </cell>
          <cell r="D829">
            <v>2991.46</v>
          </cell>
          <cell r="E829" t="str">
            <v>C</v>
          </cell>
          <cell r="G829">
            <v>127.2</v>
          </cell>
          <cell r="H829">
            <v>2169.98</v>
          </cell>
          <cell r="I829">
            <v>2042.78</v>
          </cell>
          <cell r="J829">
            <v>5034.24</v>
          </cell>
          <cell r="K829" t="str">
            <v>C</v>
          </cell>
        </row>
        <row r="830">
          <cell r="A830">
            <v>55078</v>
          </cell>
          <cell r="B830" t="str">
            <v>2.1.01.010.0766</v>
          </cell>
          <cell r="C830" t="str">
            <v xml:space="preserve">GALVES SERVICOS MEDICOS - </v>
          </cell>
          <cell r="D830">
            <v>1168.72</v>
          </cell>
          <cell r="E830" t="str">
            <v>C</v>
          </cell>
          <cell r="G830">
            <v>1408.8</v>
          </cell>
          <cell r="H830">
            <v>944.7</v>
          </cell>
          <cell r="I830">
            <v>-464.1</v>
          </cell>
          <cell r="J830">
            <v>704.62</v>
          </cell>
          <cell r="K830" t="str">
            <v>C</v>
          </cell>
        </row>
        <row r="831">
          <cell r="A831">
            <v>55079</v>
          </cell>
          <cell r="B831" t="str">
            <v>2.1.01.010.0767</v>
          </cell>
          <cell r="C831" t="str">
            <v xml:space="preserve">LIMA RUIZ SERVICOS </v>
          </cell>
          <cell r="D831">
            <v>2384.02</v>
          </cell>
          <cell r="E831" t="str">
            <v>C</v>
          </cell>
          <cell r="G831">
            <v>2454.02</v>
          </cell>
          <cell r="H831">
            <v>2470.02</v>
          </cell>
          <cell r="I831">
            <v>16</v>
          </cell>
          <cell r="J831">
            <v>2400.02</v>
          </cell>
          <cell r="K831" t="str">
            <v>C</v>
          </cell>
        </row>
        <row r="832">
          <cell r="A832">
            <v>55080</v>
          </cell>
          <cell r="B832" t="str">
            <v>2.1.01.010.0768</v>
          </cell>
          <cell r="C832" t="str">
            <v xml:space="preserve">AGA SERVICOS MEDICOS </v>
          </cell>
          <cell r="D832">
            <v>1071</v>
          </cell>
          <cell r="E832" t="str">
            <v>C</v>
          </cell>
          <cell r="G832">
            <v>1785.98</v>
          </cell>
          <cell r="H832">
            <v>3451.98</v>
          </cell>
          <cell r="I832">
            <v>1666</v>
          </cell>
          <cell r="J832">
            <v>2737</v>
          </cell>
          <cell r="K832" t="str">
            <v>C</v>
          </cell>
        </row>
        <row r="833">
          <cell r="A833">
            <v>55081</v>
          </cell>
          <cell r="B833" t="str">
            <v>2.1.01.010.0769</v>
          </cell>
          <cell r="C833" t="str">
            <v>CLIPPE S/S LTDA</v>
          </cell>
          <cell r="D833">
            <v>1487.5</v>
          </cell>
          <cell r="E833" t="str">
            <v>C</v>
          </cell>
          <cell r="G833">
            <v>0</v>
          </cell>
          <cell r="H833">
            <v>1547</v>
          </cell>
          <cell r="I833">
            <v>1547</v>
          </cell>
          <cell r="J833">
            <v>3034.5</v>
          </cell>
          <cell r="K833" t="str">
            <v>C</v>
          </cell>
        </row>
        <row r="834">
          <cell r="A834">
            <v>55082</v>
          </cell>
          <cell r="B834" t="str">
            <v>2.1.01.010.0770</v>
          </cell>
          <cell r="C834" t="str">
            <v>CLINICA NUTRILESS S/S LTDA</v>
          </cell>
          <cell r="D834">
            <v>275</v>
          </cell>
          <cell r="E834" t="str">
            <v>C</v>
          </cell>
          <cell r="G834">
            <v>0</v>
          </cell>
          <cell r="H834">
            <v>0</v>
          </cell>
          <cell r="I834">
            <v>0</v>
          </cell>
          <cell r="J834">
            <v>275</v>
          </cell>
          <cell r="K834" t="str">
            <v>C</v>
          </cell>
        </row>
        <row r="835">
          <cell r="A835">
            <v>55083</v>
          </cell>
          <cell r="B835" t="str">
            <v>2.1.01.010.0771</v>
          </cell>
          <cell r="C835" t="str">
            <v xml:space="preserve">VIVIAN WERNECK OCTAVIANO </v>
          </cell>
          <cell r="D835">
            <v>159.88</v>
          </cell>
          <cell r="E835" t="str">
            <v>C</v>
          </cell>
          <cell r="G835">
            <v>0</v>
          </cell>
          <cell r="H835">
            <v>0</v>
          </cell>
          <cell r="I835">
            <v>0</v>
          </cell>
          <cell r="J835">
            <v>159.88</v>
          </cell>
          <cell r="K835" t="str">
            <v>C</v>
          </cell>
        </row>
        <row r="836">
          <cell r="A836">
            <v>55084</v>
          </cell>
          <cell r="B836" t="str">
            <v>2.1.01.010.0772</v>
          </cell>
          <cell r="C836" t="str">
            <v>MKS SAUDE LTDA</v>
          </cell>
          <cell r="D836">
            <v>5522.59</v>
          </cell>
          <cell r="E836" t="str">
            <v>C</v>
          </cell>
          <cell r="G836">
            <v>6386.11</v>
          </cell>
          <cell r="H836">
            <v>5623.12</v>
          </cell>
          <cell r="I836">
            <v>-762.99</v>
          </cell>
          <cell r="J836">
            <v>4759.6000000000004</v>
          </cell>
          <cell r="K836" t="str">
            <v>C</v>
          </cell>
        </row>
        <row r="837">
          <cell r="A837">
            <v>55089</v>
          </cell>
          <cell r="B837" t="str">
            <v>2.1.01.010.0773</v>
          </cell>
          <cell r="C837" t="str">
            <v xml:space="preserve">LOURA &amp; ALTOE SERVICOS </v>
          </cell>
          <cell r="D837">
            <v>5047.32</v>
          </cell>
          <cell r="E837" t="str">
            <v>C</v>
          </cell>
          <cell r="G837">
            <v>12002.44</v>
          </cell>
          <cell r="H837">
            <v>11464.38</v>
          </cell>
          <cell r="I837">
            <v>-538.05999999999995</v>
          </cell>
          <cell r="J837">
            <v>4509.26</v>
          </cell>
          <cell r="K837" t="str">
            <v>C</v>
          </cell>
        </row>
        <row r="838">
          <cell r="A838">
            <v>55120</v>
          </cell>
          <cell r="B838" t="str">
            <v>2.1.01.010.0774</v>
          </cell>
          <cell r="C838" t="str">
            <v xml:space="preserve">INSTITUTO ONCOLOGICO </v>
          </cell>
          <cell r="D838">
            <v>0</v>
          </cell>
          <cell r="E838" t="str">
            <v>C</v>
          </cell>
          <cell r="G838">
            <v>19114.09</v>
          </cell>
          <cell r="H838">
            <v>19114.09</v>
          </cell>
          <cell r="I838">
            <v>0</v>
          </cell>
          <cell r="J838">
            <v>0</v>
          </cell>
          <cell r="K838" t="str">
            <v>C</v>
          </cell>
        </row>
        <row r="839">
          <cell r="A839">
            <v>55142</v>
          </cell>
          <cell r="B839" t="str">
            <v>2.1.01.010.0775</v>
          </cell>
          <cell r="C839" t="str">
            <v xml:space="preserve">CASSIA PALOMA DA CUNHA </v>
          </cell>
          <cell r="D839">
            <v>6992.16</v>
          </cell>
          <cell r="E839" t="str">
            <v>C</v>
          </cell>
          <cell r="G839">
            <v>6867.2</v>
          </cell>
          <cell r="H839">
            <v>7490.59</v>
          </cell>
          <cell r="I839">
            <v>623.39</v>
          </cell>
          <cell r="J839">
            <v>7615.55</v>
          </cell>
          <cell r="K839" t="str">
            <v>C</v>
          </cell>
        </row>
        <row r="840">
          <cell r="A840">
            <v>55143</v>
          </cell>
          <cell r="B840" t="str">
            <v>2.1.01.010.0776</v>
          </cell>
          <cell r="C840" t="str">
            <v xml:space="preserve">GUSTAVO ALEXANDRE ORRIZ </v>
          </cell>
          <cell r="D840">
            <v>18880.02</v>
          </cell>
          <cell r="E840" t="str">
            <v>C</v>
          </cell>
          <cell r="G840">
            <v>14285.82</v>
          </cell>
          <cell r="H840">
            <v>11813.16</v>
          </cell>
          <cell r="I840">
            <v>-2472.66</v>
          </cell>
          <cell r="J840">
            <v>16407.36</v>
          </cell>
          <cell r="K840" t="str">
            <v>C</v>
          </cell>
        </row>
        <row r="841">
          <cell r="A841">
            <v>55159</v>
          </cell>
          <cell r="B841" t="str">
            <v>2.1.01.010.0777</v>
          </cell>
          <cell r="C841" t="str">
            <v xml:space="preserve">J.C.R.I.S. SERVICOS MEDICOS </v>
          </cell>
          <cell r="D841">
            <v>4980.18</v>
          </cell>
          <cell r="E841" t="str">
            <v>C</v>
          </cell>
          <cell r="G841">
            <v>5352.13</v>
          </cell>
          <cell r="H841">
            <v>3595.36</v>
          </cell>
          <cell r="I841">
            <v>-1756.77</v>
          </cell>
          <cell r="J841">
            <v>3223.41</v>
          </cell>
          <cell r="K841" t="str">
            <v>C</v>
          </cell>
        </row>
        <row r="842">
          <cell r="A842">
            <v>55160</v>
          </cell>
          <cell r="B842" t="str">
            <v>2.1.01.010.0778</v>
          </cell>
          <cell r="C842" t="str">
            <v xml:space="preserve">CAOBIANCO CLINICA MEDICA </v>
          </cell>
          <cell r="D842">
            <v>5166.1099999999997</v>
          </cell>
          <cell r="E842" t="str">
            <v>C</v>
          </cell>
          <cell r="G842">
            <v>1596.74</v>
          </cell>
          <cell r="H842">
            <v>1996.35</v>
          </cell>
          <cell r="I842">
            <v>399.61</v>
          </cell>
          <cell r="J842">
            <v>5565.72</v>
          </cell>
          <cell r="K842" t="str">
            <v>C</v>
          </cell>
        </row>
        <row r="843">
          <cell r="A843">
            <v>55161</v>
          </cell>
          <cell r="B843" t="str">
            <v>2.1.01.010.0779</v>
          </cell>
          <cell r="C843" t="str">
            <v xml:space="preserve">M A D L CLINICA SERVICOS </v>
          </cell>
          <cell r="D843">
            <v>1485.58</v>
          </cell>
          <cell r="E843" t="str">
            <v>C</v>
          </cell>
          <cell r="G843">
            <v>1485.58</v>
          </cell>
          <cell r="H843">
            <v>2703.8</v>
          </cell>
          <cell r="I843">
            <v>1218.22</v>
          </cell>
          <cell r="J843">
            <v>2703.8</v>
          </cell>
          <cell r="K843" t="str">
            <v>C</v>
          </cell>
        </row>
        <row r="844">
          <cell r="A844">
            <v>55162</v>
          </cell>
          <cell r="B844" t="str">
            <v>2.1.01.010.0780</v>
          </cell>
          <cell r="C844" t="str">
            <v xml:space="preserve">ALVES ZERAIK SERVICOS </v>
          </cell>
          <cell r="D844">
            <v>872.23</v>
          </cell>
          <cell r="E844" t="str">
            <v>C</v>
          </cell>
          <cell r="G844">
            <v>688</v>
          </cell>
          <cell r="H844">
            <v>127.2</v>
          </cell>
          <cell r="I844">
            <v>-560.79999999999995</v>
          </cell>
          <cell r="J844">
            <v>311.43</v>
          </cell>
          <cell r="K844" t="str">
            <v>C</v>
          </cell>
        </row>
        <row r="845">
          <cell r="A845">
            <v>55224</v>
          </cell>
          <cell r="B845" t="str">
            <v>2.1.01.010.0781</v>
          </cell>
          <cell r="C845" t="str">
            <v>AJT SERVICOS MEDICOS LTDA</v>
          </cell>
          <cell r="D845">
            <v>6092.87</v>
          </cell>
          <cell r="E845" t="str">
            <v>C</v>
          </cell>
          <cell r="G845">
            <v>0</v>
          </cell>
          <cell r="H845">
            <v>5153.3500000000004</v>
          </cell>
          <cell r="I845">
            <v>5153.3500000000004</v>
          </cell>
          <cell r="J845">
            <v>11246.22</v>
          </cell>
          <cell r="K845" t="str">
            <v>C</v>
          </cell>
        </row>
        <row r="846">
          <cell r="A846">
            <v>55225</v>
          </cell>
          <cell r="B846" t="str">
            <v>2.1.01.010.0782</v>
          </cell>
          <cell r="C846" t="str">
            <v xml:space="preserve">SACRAE CURAE SERVICOS </v>
          </cell>
          <cell r="D846">
            <v>20142.68</v>
          </cell>
          <cell r="E846" t="str">
            <v>C</v>
          </cell>
          <cell r="G846">
            <v>19855</v>
          </cell>
          <cell r="H846">
            <v>18396.68</v>
          </cell>
          <cell r="I846">
            <v>-1458.32</v>
          </cell>
          <cell r="J846">
            <v>18684.36</v>
          </cell>
          <cell r="K846" t="str">
            <v>C</v>
          </cell>
        </row>
        <row r="847">
          <cell r="A847">
            <v>55226</v>
          </cell>
          <cell r="B847" t="str">
            <v>2.1.01.010.0783</v>
          </cell>
          <cell r="C847" t="str">
            <v>M KIMATI DIAS</v>
          </cell>
          <cell r="D847">
            <v>7047.33</v>
          </cell>
          <cell r="E847" t="str">
            <v>C</v>
          </cell>
          <cell r="G847">
            <v>7047.33</v>
          </cell>
          <cell r="H847">
            <v>6288.24</v>
          </cell>
          <cell r="I847">
            <v>-759.09</v>
          </cell>
          <cell r="J847">
            <v>6288.24</v>
          </cell>
          <cell r="K847" t="str">
            <v>C</v>
          </cell>
        </row>
        <row r="848">
          <cell r="A848">
            <v>55227</v>
          </cell>
          <cell r="B848" t="str">
            <v>2.1.01.010.0784</v>
          </cell>
          <cell r="C848" t="str">
            <v>LSP SERVICOS MEDICOS LTDA</v>
          </cell>
          <cell r="D848">
            <v>268.8</v>
          </cell>
          <cell r="E848" t="str">
            <v>C</v>
          </cell>
          <cell r="G848">
            <v>0</v>
          </cell>
          <cell r="H848">
            <v>28.8</v>
          </cell>
          <cell r="I848">
            <v>28.8</v>
          </cell>
          <cell r="J848">
            <v>297.60000000000002</v>
          </cell>
          <cell r="K848" t="str">
            <v>C</v>
          </cell>
        </row>
        <row r="849">
          <cell r="A849">
            <v>55233</v>
          </cell>
          <cell r="B849" t="str">
            <v>2.1.01.010.0785</v>
          </cell>
          <cell r="C849" t="str">
            <v xml:space="preserve">PREVOT BARROS SERVICOS </v>
          </cell>
          <cell r="D849">
            <v>12319.04</v>
          </cell>
          <cell r="E849" t="str">
            <v>C</v>
          </cell>
          <cell r="G849">
            <v>5673.6</v>
          </cell>
          <cell r="H849">
            <v>5673.6</v>
          </cell>
          <cell r="I849">
            <v>0</v>
          </cell>
          <cell r="J849">
            <v>12319.04</v>
          </cell>
          <cell r="K849" t="str">
            <v>C</v>
          </cell>
        </row>
        <row r="850">
          <cell r="A850">
            <v>55240</v>
          </cell>
          <cell r="B850" t="str">
            <v>2.1.01.010.0787</v>
          </cell>
          <cell r="C850" t="str">
            <v xml:space="preserve">MR GO SERVICOS MEDICOS </v>
          </cell>
          <cell r="D850">
            <v>13315.51</v>
          </cell>
          <cell r="E850" t="str">
            <v>C</v>
          </cell>
          <cell r="G850">
            <v>9805.11</v>
          </cell>
          <cell r="H850">
            <v>5978.58</v>
          </cell>
          <cell r="I850">
            <v>-3826.53</v>
          </cell>
          <cell r="J850">
            <v>9488.98</v>
          </cell>
          <cell r="K850" t="str">
            <v>C</v>
          </cell>
        </row>
        <row r="851">
          <cell r="A851">
            <v>55367</v>
          </cell>
          <cell r="B851" t="str">
            <v>2.1.01.010.0788</v>
          </cell>
          <cell r="C851" t="str">
            <v xml:space="preserve">VITA BERALDI SERVICOS </v>
          </cell>
          <cell r="D851">
            <v>636.79</v>
          </cell>
          <cell r="E851" t="str">
            <v>C</v>
          </cell>
          <cell r="G851">
            <v>0</v>
          </cell>
          <cell r="H851">
            <v>0</v>
          </cell>
          <cell r="I851">
            <v>0</v>
          </cell>
          <cell r="J851">
            <v>636.79</v>
          </cell>
          <cell r="K851" t="str">
            <v>C</v>
          </cell>
        </row>
        <row r="852">
          <cell r="A852">
            <v>55368</v>
          </cell>
          <cell r="B852" t="str">
            <v>2.1.01.010.0789</v>
          </cell>
          <cell r="C852" t="str">
            <v xml:space="preserve">CLINICA PARTO EM </v>
          </cell>
          <cell r="D852">
            <v>1566.18</v>
          </cell>
          <cell r="E852" t="str">
            <v>C</v>
          </cell>
          <cell r="G852">
            <v>0</v>
          </cell>
          <cell r="H852">
            <v>0</v>
          </cell>
          <cell r="I852">
            <v>0</v>
          </cell>
          <cell r="J852">
            <v>1566.18</v>
          </cell>
          <cell r="K852" t="str">
            <v>C</v>
          </cell>
        </row>
        <row r="853">
          <cell r="A853">
            <v>55375</v>
          </cell>
          <cell r="B853" t="str">
            <v>2.1.01.010.0790</v>
          </cell>
          <cell r="C853" t="str">
            <v xml:space="preserve">AUDISA CONSULTORES </v>
          </cell>
          <cell r="D853">
            <v>381.4</v>
          </cell>
          <cell r="E853" t="str">
            <v>C</v>
          </cell>
          <cell r="G853">
            <v>381.4</v>
          </cell>
          <cell r="H853">
            <v>381.4</v>
          </cell>
          <cell r="I853">
            <v>0</v>
          </cell>
          <cell r="J853">
            <v>381.4</v>
          </cell>
          <cell r="K853" t="str">
            <v>C</v>
          </cell>
        </row>
        <row r="854">
          <cell r="A854">
            <v>55395</v>
          </cell>
          <cell r="B854" t="str">
            <v>2.1.01.010.0791</v>
          </cell>
          <cell r="C854" t="str">
            <v xml:space="preserve">CONS PSIC BRUNA FIUZA E </v>
          </cell>
          <cell r="D854">
            <v>950</v>
          </cell>
          <cell r="E854" t="str">
            <v>C</v>
          </cell>
          <cell r="G854">
            <v>850</v>
          </cell>
          <cell r="H854">
            <v>1519.6</v>
          </cell>
          <cell r="I854">
            <v>669.6</v>
          </cell>
          <cell r="J854">
            <v>1619.6</v>
          </cell>
          <cell r="K854" t="str">
            <v>C</v>
          </cell>
        </row>
        <row r="855">
          <cell r="A855">
            <v>55396</v>
          </cell>
          <cell r="B855" t="str">
            <v>2.1.01.010.0792</v>
          </cell>
          <cell r="C855" t="str">
            <v xml:space="preserve">CAHINO SERVICOS MEDICOS </v>
          </cell>
          <cell r="D855">
            <v>5005</v>
          </cell>
          <cell r="E855" t="str">
            <v>C</v>
          </cell>
          <cell r="G855">
            <v>5005</v>
          </cell>
          <cell r="H855">
            <v>3906</v>
          </cell>
          <cell r="I855">
            <v>-1099</v>
          </cell>
          <cell r="J855">
            <v>3906</v>
          </cell>
          <cell r="K855" t="str">
            <v>C</v>
          </cell>
        </row>
        <row r="856">
          <cell r="A856">
            <v>55397</v>
          </cell>
          <cell r="B856" t="str">
            <v>2.1.01.010.0793</v>
          </cell>
          <cell r="C856" t="str">
            <v xml:space="preserve">SEMEP - SERVICOS MEDICOS </v>
          </cell>
          <cell r="D856">
            <v>7560</v>
          </cell>
          <cell r="E856" t="str">
            <v>C</v>
          </cell>
          <cell r="G856">
            <v>7560</v>
          </cell>
          <cell r="H856">
            <v>4285.62</v>
          </cell>
          <cell r="I856">
            <v>-3274.38</v>
          </cell>
          <cell r="J856">
            <v>4285.62</v>
          </cell>
          <cell r="K856" t="str">
            <v>C</v>
          </cell>
        </row>
        <row r="857">
          <cell r="A857">
            <v>55398</v>
          </cell>
          <cell r="B857" t="str">
            <v>2.1.01.010.0794</v>
          </cell>
          <cell r="C857" t="str">
            <v xml:space="preserve">S. M. SAUDE SERVICOS </v>
          </cell>
          <cell r="D857">
            <v>1153.95</v>
          </cell>
          <cell r="E857" t="str">
            <v>C</v>
          </cell>
          <cell r="G857">
            <v>1244.5</v>
          </cell>
          <cell r="H857">
            <v>1966.68</v>
          </cell>
          <cell r="I857">
            <v>722.18</v>
          </cell>
          <cell r="J857">
            <v>1876.13</v>
          </cell>
          <cell r="K857" t="str">
            <v>C</v>
          </cell>
        </row>
        <row r="858">
          <cell r="A858">
            <v>55406</v>
          </cell>
          <cell r="B858" t="str">
            <v>2.1.01.010.0796</v>
          </cell>
          <cell r="C858" t="str">
            <v xml:space="preserve">SARAH OLIVEIRA SERVICOS </v>
          </cell>
          <cell r="D858">
            <v>2655.36</v>
          </cell>
          <cell r="E858" t="str">
            <v>C</v>
          </cell>
          <cell r="G858">
            <v>0</v>
          </cell>
          <cell r="H858">
            <v>0</v>
          </cell>
          <cell r="I858">
            <v>0</v>
          </cell>
          <cell r="J858">
            <v>2655.36</v>
          </cell>
          <cell r="K858" t="str">
            <v>C</v>
          </cell>
        </row>
        <row r="859">
          <cell r="A859">
            <v>55438</v>
          </cell>
          <cell r="B859" t="str">
            <v>2.1.01.010.0799</v>
          </cell>
          <cell r="C859" t="str">
            <v xml:space="preserve">MORAIS GESTAO EM SAUDE </v>
          </cell>
          <cell r="D859">
            <v>5310.72</v>
          </cell>
          <cell r="E859" t="str">
            <v>C</v>
          </cell>
          <cell r="G859">
            <v>5310.72</v>
          </cell>
          <cell r="H859">
            <v>4577.18</v>
          </cell>
          <cell r="I859">
            <v>-733.54</v>
          </cell>
          <cell r="J859">
            <v>4577.18</v>
          </cell>
          <cell r="K859" t="str">
            <v>C</v>
          </cell>
        </row>
        <row r="860">
          <cell r="A860">
            <v>55445</v>
          </cell>
          <cell r="B860" t="str">
            <v>2.1.01.010.0800</v>
          </cell>
          <cell r="C860" t="str">
            <v xml:space="preserve">AYUSSO E AYUSSO CLINICA </v>
          </cell>
          <cell r="D860">
            <v>1370.12</v>
          </cell>
          <cell r="E860" t="str">
            <v>C</v>
          </cell>
          <cell r="G860">
            <v>1190</v>
          </cell>
          <cell r="H860">
            <v>913.53</v>
          </cell>
          <cell r="I860">
            <v>-276.47000000000003</v>
          </cell>
          <cell r="J860">
            <v>1093.6500000000001</v>
          </cell>
          <cell r="K860" t="str">
            <v>C</v>
          </cell>
        </row>
        <row r="861">
          <cell r="A861">
            <v>55453</v>
          </cell>
          <cell r="B861" t="str">
            <v>2.1.01.010.0801</v>
          </cell>
          <cell r="C861" t="str">
            <v xml:space="preserve">VITORINO PEREIRA SERVICOS </v>
          </cell>
          <cell r="D861">
            <v>1591</v>
          </cell>
          <cell r="E861" t="str">
            <v>C</v>
          </cell>
          <cell r="G861">
            <v>2731.67</v>
          </cell>
          <cell r="H861">
            <v>2729.67</v>
          </cell>
          <cell r="I861">
            <v>-2</v>
          </cell>
          <cell r="J861">
            <v>1589</v>
          </cell>
          <cell r="K861" t="str">
            <v>C</v>
          </cell>
        </row>
        <row r="862">
          <cell r="A862">
            <v>55454</v>
          </cell>
          <cell r="B862" t="str">
            <v>2.1.01.010.0802</v>
          </cell>
          <cell r="C862" t="str">
            <v xml:space="preserve">M A OLIVEIRA SILVA ASSIS &amp; </v>
          </cell>
          <cell r="D862">
            <v>2008.88</v>
          </cell>
          <cell r="E862" t="str">
            <v>C</v>
          </cell>
          <cell r="G862">
            <v>1982.64</v>
          </cell>
          <cell r="H862">
            <v>0</v>
          </cell>
          <cell r="I862">
            <v>-1982.64</v>
          </cell>
          <cell r="J862">
            <v>26.24</v>
          </cell>
          <cell r="K862" t="str">
            <v>C</v>
          </cell>
        </row>
        <row r="863">
          <cell r="A863">
            <v>55455</v>
          </cell>
          <cell r="B863" t="str">
            <v>2.1.01.010.0803</v>
          </cell>
          <cell r="C863" t="str">
            <v xml:space="preserve">SOTTILE SERVICOS MEDICOS </v>
          </cell>
          <cell r="D863">
            <v>6345.09</v>
          </cell>
          <cell r="E863" t="str">
            <v>C</v>
          </cell>
          <cell r="G863">
            <v>899.14</v>
          </cell>
          <cell r="H863">
            <v>8163.42</v>
          </cell>
          <cell r="I863">
            <v>7264.28</v>
          </cell>
          <cell r="J863">
            <v>13609.37</v>
          </cell>
          <cell r="K863" t="str">
            <v>C</v>
          </cell>
        </row>
        <row r="864">
          <cell r="A864">
            <v>55458</v>
          </cell>
          <cell r="B864" t="str">
            <v>2.1.01.010.0804</v>
          </cell>
          <cell r="C864" t="str">
            <v xml:space="preserve">PATRICIA MORAES DIAS </v>
          </cell>
          <cell r="D864">
            <v>5848</v>
          </cell>
          <cell r="E864" t="str">
            <v>C</v>
          </cell>
          <cell r="G864">
            <v>5728</v>
          </cell>
          <cell r="H864">
            <v>6602</v>
          </cell>
          <cell r="I864">
            <v>874</v>
          </cell>
          <cell r="J864">
            <v>6722</v>
          </cell>
          <cell r="K864" t="str">
            <v>C</v>
          </cell>
        </row>
        <row r="865">
          <cell r="A865">
            <v>55459</v>
          </cell>
          <cell r="B865" t="str">
            <v>2.1.01.010.0805</v>
          </cell>
          <cell r="C865" t="str">
            <v xml:space="preserve">ANA BEATRIZ DE OLIVEIRA </v>
          </cell>
          <cell r="D865">
            <v>0</v>
          </cell>
          <cell r="E865" t="str">
            <v>C</v>
          </cell>
          <cell r="G865">
            <v>0</v>
          </cell>
          <cell r="H865">
            <v>1920</v>
          </cell>
          <cell r="I865">
            <v>1920</v>
          </cell>
          <cell r="J865">
            <v>1920</v>
          </cell>
          <cell r="K865" t="str">
            <v>C</v>
          </cell>
        </row>
        <row r="866">
          <cell r="A866">
            <v>55843</v>
          </cell>
          <cell r="B866" t="str">
            <v>2.1.01.010.0806</v>
          </cell>
          <cell r="C866" t="str">
            <v xml:space="preserve">CHOKR CLINICA DE </v>
          </cell>
          <cell r="D866">
            <v>1722.66</v>
          </cell>
          <cell r="E866" t="str">
            <v>C</v>
          </cell>
          <cell r="G866">
            <v>0</v>
          </cell>
          <cell r="H866">
            <v>0</v>
          </cell>
          <cell r="I866">
            <v>0</v>
          </cell>
          <cell r="J866">
            <v>1722.66</v>
          </cell>
          <cell r="K866" t="str">
            <v>C</v>
          </cell>
        </row>
        <row r="867">
          <cell r="A867">
            <v>55844</v>
          </cell>
          <cell r="B867" t="str">
            <v>2.1.01.010.0807</v>
          </cell>
          <cell r="C867" t="str">
            <v xml:space="preserve">COE CENTRO DE ONCOLOGIA </v>
          </cell>
          <cell r="D867">
            <v>1582.24</v>
          </cell>
          <cell r="E867" t="str">
            <v>C</v>
          </cell>
          <cell r="G867">
            <v>0</v>
          </cell>
          <cell r="H867">
            <v>236.16</v>
          </cell>
          <cell r="I867">
            <v>236.16</v>
          </cell>
          <cell r="J867">
            <v>1818.4</v>
          </cell>
          <cell r="K867" t="str">
            <v>C</v>
          </cell>
        </row>
        <row r="868">
          <cell r="A868">
            <v>55845</v>
          </cell>
          <cell r="B868" t="str">
            <v>2.1.01.010.0808</v>
          </cell>
          <cell r="C868" t="str">
            <v xml:space="preserve">NOVA ERA SERV MED ATEND </v>
          </cell>
          <cell r="D868">
            <v>9455</v>
          </cell>
          <cell r="E868" t="str">
            <v>C</v>
          </cell>
          <cell r="G868">
            <v>12239.39</v>
          </cell>
          <cell r="H868">
            <v>2784.39</v>
          </cell>
          <cell r="I868">
            <v>-9455</v>
          </cell>
          <cell r="J868">
            <v>0</v>
          </cell>
          <cell r="K868" t="str">
            <v>C</v>
          </cell>
        </row>
        <row r="869">
          <cell r="A869">
            <v>55859</v>
          </cell>
          <cell r="B869" t="str">
            <v>2.1.01.010.0811</v>
          </cell>
          <cell r="C869" t="str">
            <v>JRB CLINICA MEDICA LTDA</v>
          </cell>
          <cell r="D869">
            <v>2352.4699999999998</v>
          </cell>
          <cell r="E869" t="str">
            <v>C</v>
          </cell>
          <cell r="G869">
            <v>654.5</v>
          </cell>
          <cell r="H869">
            <v>297.5</v>
          </cell>
          <cell r="I869">
            <v>-357</v>
          </cell>
          <cell r="J869">
            <v>1995.47</v>
          </cell>
          <cell r="K869" t="str">
            <v>C</v>
          </cell>
        </row>
        <row r="870">
          <cell r="A870">
            <v>55860</v>
          </cell>
          <cell r="B870" t="str">
            <v>2.1.01.010.0812</v>
          </cell>
          <cell r="C870" t="str">
            <v xml:space="preserve">RAMOS &amp; VILLAS BOAS SERV </v>
          </cell>
          <cell r="D870">
            <v>3900</v>
          </cell>
          <cell r="E870" t="str">
            <v>C</v>
          </cell>
          <cell r="G870">
            <v>3900</v>
          </cell>
          <cell r="H870">
            <v>0</v>
          </cell>
          <cell r="I870">
            <v>-3900</v>
          </cell>
          <cell r="J870">
            <v>0</v>
          </cell>
          <cell r="K870" t="str">
            <v>C</v>
          </cell>
        </row>
        <row r="871">
          <cell r="A871">
            <v>55869</v>
          </cell>
          <cell r="B871" t="str">
            <v>2.1.01.010.0813</v>
          </cell>
          <cell r="C871" t="str">
            <v>ANDRADE DIAS SAUDE LTDA</v>
          </cell>
          <cell r="D871">
            <v>12612.96</v>
          </cell>
          <cell r="E871" t="str">
            <v>C</v>
          </cell>
          <cell r="G871">
            <v>11285.28</v>
          </cell>
          <cell r="H871">
            <v>11138.4</v>
          </cell>
          <cell r="I871">
            <v>-146.88</v>
          </cell>
          <cell r="J871">
            <v>12466.08</v>
          </cell>
          <cell r="K871" t="str">
            <v>C</v>
          </cell>
        </row>
        <row r="872">
          <cell r="A872">
            <v>55873</v>
          </cell>
          <cell r="B872" t="str">
            <v>2.1.01.010.0815</v>
          </cell>
          <cell r="C872" t="str">
            <v>E A DOS SANTOS MEDICA</v>
          </cell>
          <cell r="D872">
            <v>3521.4</v>
          </cell>
          <cell r="E872" t="str">
            <v>C</v>
          </cell>
          <cell r="G872">
            <v>3801.4</v>
          </cell>
          <cell r="H872">
            <v>3667.83</v>
          </cell>
          <cell r="I872">
            <v>-133.57</v>
          </cell>
          <cell r="J872">
            <v>3387.83</v>
          </cell>
          <cell r="K872" t="str">
            <v>C</v>
          </cell>
        </row>
        <row r="873">
          <cell r="A873">
            <v>55875</v>
          </cell>
          <cell r="B873" t="str">
            <v>2.1.01.010.0816</v>
          </cell>
          <cell r="C873" t="str">
            <v>ANDRADE &amp; NAOUM LTDA</v>
          </cell>
          <cell r="D873">
            <v>20615.04</v>
          </cell>
          <cell r="E873" t="str">
            <v>C</v>
          </cell>
          <cell r="G873">
            <v>9323.0400000000009</v>
          </cell>
          <cell r="H873">
            <v>8700.2999999999993</v>
          </cell>
          <cell r="I873">
            <v>-622.74</v>
          </cell>
          <cell r="J873">
            <v>19992.3</v>
          </cell>
          <cell r="K873" t="str">
            <v>C</v>
          </cell>
        </row>
        <row r="874">
          <cell r="A874">
            <v>55891</v>
          </cell>
          <cell r="B874" t="str">
            <v>2.1.01.010.0817</v>
          </cell>
          <cell r="C874" t="str">
            <v xml:space="preserve">CARVALHO E COURA </v>
          </cell>
          <cell r="D874">
            <v>0</v>
          </cell>
          <cell r="E874" t="str">
            <v>C</v>
          </cell>
          <cell r="G874">
            <v>8721.06</v>
          </cell>
          <cell r="H874">
            <v>8721.06</v>
          </cell>
          <cell r="I874">
            <v>0</v>
          </cell>
          <cell r="J874">
            <v>0</v>
          </cell>
          <cell r="K874" t="str">
            <v>C</v>
          </cell>
        </row>
        <row r="875">
          <cell r="A875">
            <v>55892</v>
          </cell>
          <cell r="B875" t="str">
            <v>2.1.01.010.0818</v>
          </cell>
          <cell r="C875" t="str">
            <v>VAN ORTOPEDIA LTDA</v>
          </cell>
          <cell r="D875">
            <v>216.48</v>
          </cell>
          <cell r="E875" t="str">
            <v>C</v>
          </cell>
          <cell r="G875">
            <v>216.48</v>
          </cell>
          <cell r="H875">
            <v>0</v>
          </cell>
          <cell r="I875">
            <v>-216.48</v>
          </cell>
          <cell r="J875">
            <v>0</v>
          </cell>
          <cell r="K875" t="str">
            <v>C</v>
          </cell>
        </row>
        <row r="876">
          <cell r="A876">
            <v>55893</v>
          </cell>
          <cell r="B876" t="str">
            <v>2.1.01.010.0819</v>
          </cell>
          <cell r="C876" t="str">
            <v xml:space="preserve">ESPACO LIBERTA PSICOLOGIA </v>
          </cell>
          <cell r="D876">
            <v>495</v>
          </cell>
          <cell r="E876" t="str">
            <v>C</v>
          </cell>
          <cell r="G876">
            <v>610.48</v>
          </cell>
          <cell r="H876">
            <v>1215.48</v>
          </cell>
          <cell r="I876">
            <v>605</v>
          </cell>
          <cell r="J876">
            <v>1100</v>
          </cell>
          <cell r="K876" t="str">
            <v>C</v>
          </cell>
        </row>
        <row r="877">
          <cell r="A877">
            <v>55895</v>
          </cell>
          <cell r="B877" t="str">
            <v>2.1.01.010.0821</v>
          </cell>
          <cell r="C877" t="str">
            <v xml:space="preserve">GP UROLOGIA SOCIEDADE </v>
          </cell>
          <cell r="D877">
            <v>618.28</v>
          </cell>
          <cell r="E877" t="str">
            <v>C</v>
          </cell>
          <cell r="G877">
            <v>0</v>
          </cell>
          <cell r="H877">
            <v>0</v>
          </cell>
          <cell r="I877">
            <v>0</v>
          </cell>
          <cell r="J877">
            <v>618.28</v>
          </cell>
          <cell r="K877" t="str">
            <v>C</v>
          </cell>
        </row>
        <row r="878">
          <cell r="A878">
            <v>55909</v>
          </cell>
          <cell r="B878" t="str">
            <v>2.1.01.010.0822</v>
          </cell>
          <cell r="C878" t="str">
            <v xml:space="preserve">A. A. S. OLIVEIRA CLINICA </v>
          </cell>
          <cell r="D878">
            <v>541</v>
          </cell>
          <cell r="E878" t="str">
            <v>C</v>
          </cell>
          <cell r="G878">
            <v>441</v>
          </cell>
          <cell r="H878">
            <v>1017.3</v>
          </cell>
          <cell r="I878">
            <v>576.29999999999995</v>
          </cell>
          <cell r="J878">
            <v>1117.3</v>
          </cell>
          <cell r="K878" t="str">
            <v>C</v>
          </cell>
        </row>
        <row r="879">
          <cell r="A879">
            <v>55910</v>
          </cell>
          <cell r="B879" t="str">
            <v>2.1.01.010.0823</v>
          </cell>
          <cell r="C879" t="str">
            <v xml:space="preserve">FLN PRESTACAO DE </v>
          </cell>
          <cell r="D879">
            <v>857.91</v>
          </cell>
          <cell r="E879" t="str">
            <v>C</v>
          </cell>
          <cell r="G879">
            <v>13882.11</v>
          </cell>
          <cell r="H879">
            <v>13974.03</v>
          </cell>
          <cell r="I879">
            <v>91.92</v>
          </cell>
          <cell r="J879">
            <v>949.83</v>
          </cell>
          <cell r="K879" t="str">
            <v>C</v>
          </cell>
        </row>
        <row r="880">
          <cell r="A880">
            <v>55915</v>
          </cell>
          <cell r="B880" t="str">
            <v>2.1.01.010.0824</v>
          </cell>
          <cell r="C880" t="str">
            <v xml:space="preserve">DC E AL SERVICOS MEDICOS </v>
          </cell>
          <cell r="D880">
            <v>8000</v>
          </cell>
          <cell r="E880" t="str">
            <v>C</v>
          </cell>
          <cell r="G880">
            <v>8000</v>
          </cell>
          <cell r="H880">
            <v>7880</v>
          </cell>
          <cell r="I880">
            <v>-120</v>
          </cell>
          <cell r="J880">
            <v>7880</v>
          </cell>
          <cell r="K880" t="str">
            <v>C</v>
          </cell>
        </row>
        <row r="881">
          <cell r="A881">
            <v>55918</v>
          </cell>
          <cell r="B881" t="str">
            <v>2.1.01.010.0825</v>
          </cell>
          <cell r="C881" t="str">
            <v xml:space="preserve">FP BARBOSA SERVICOS </v>
          </cell>
          <cell r="D881">
            <v>3000</v>
          </cell>
          <cell r="E881" t="str">
            <v>C</v>
          </cell>
          <cell r="G881">
            <v>6000</v>
          </cell>
          <cell r="H881">
            <v>4620</v>
          </cell>
          <cell r="I881">
            <v>-1380</v>
          </cell>
          <cell r="J881">
            <v>1620</v>
          </cell>
          <cell r="K881" t="str">
            <v>C</v>
          </cell>
        </row>
        <row r="882">
          <cell r="A882">
            <v>55940</v>
          </cell>
          <cell r="B882" t="str">
            <v>2.1.01.010.0826</v>
          </cell>
          <cell r="C882" t="str">
            <v xml:space="preserve">AUDIO CLINICA </v>
          </cell>
          <cell r="D882">
            <v>160</v>
          </cell>
          <cell r="E882" t="str">
            <v>C</v>
          </cell>
          <cell r="G882">
            <v>0</v>
          </cell>
          <cell r="H882">
            <v>8886.44</v>
          </cell>
          <cell r="I882">
            <v>8886.44</v>
          </cell>
          <cell r="J882">
            <v>9046.44</v>
          </cell>
          <cell r="K882" t="str">
            <v>C</v>
          </cell>
        </row>
        <row r="883">
          <cell r="A883">
            <v>55941</v>
          </cell>
          <cell r="B883" t="str">
            <v>2.1.01.010.0827</v>
          </cell>
          <cell r="C883" t="str">
            <v xml:space="preserve">LAGES CESAR &amp; OLIVEIRA </v>
          </cell>
          <cell r="D883">
            <v>158.9</v>
          </cell>
          <cell r="E883" t="str">
            <v>C</v>
          </cell>
          <cell r="G883">
            <v>0</v>
          </cell>
          <cell r="H883">
            <v>3399.23</v>
          </cell>
          <cell r="I883">
            <v>3399.23</v>
          </cell>
          <cell r="J883">
            <v>3558.13</v>
          </cell>
          <cell r="K883" t="str">
            <v>C</v>
          </cell>
        </row>
        <row r="884">
          <cell r="A884">
            <v>55942</v>
          </cell>
          <cell r="B884" t="str">
            <v>2.1.01.010.0828</v>
          </cell>
          <cell r="C884" t="str">
            <v>J L M CLINICA MEDICA LTDA</v>
          </cell>
          <cell r="D884">
            <v>614.16999999999996</v>
          </cell>
          <cell r="E884" t="str">
            <v>C</v>
          </cell>
          <cell r="G884">
            <v>0</v>
          </cell>
          <cell r="H884">
            <v>0</v>
          </cell>
          <cell r="I884">
            <v>0</v>
          </cell>
          <cell r="J884">
            <v>614.16999999999996</v>
          </cell>
          <cell r="K884" t="str">
            <v>C</v>
          </cell>
        </row>
        <row r="885">
          <cell r="A885">
            <v>55955</v>
          </cell>
          <cell r="B885" t="str">
            <v>2.1.01.010.0829</v>
          </cell>
          <cell r="C885" t="str">
            <v xml:space="preserve">COHEN SERVICOS MEDICOS </v>
          </cell>
          <cell r="D885">
            <v>1500</v>
          </cell>
          <cell r="E885" t="str">
            <v>C</v>
          </cell>
          <cell r="G885">
            <v>1500</v>
          </cell>
          <cell r="H885">
            <v>0</v>
          </cell>
          <cell r="I885">
            <v>-1500</v>
          </cell>
          <cell r="J885">
            <v>0</v>
          </cell>
          <cell r="K885" t="str">
            <v>C</v>
          </cell>
        </row>
        <row r="886">
          <cell r="A886">
            <v>55961</v>
          </cell>
          <cell r="B886" t="str">
            <v>2.1.01.010.0830</v>
          </cell>
          <cell r="C886" t="str">
            <v xml:space="preserve">DALMED GESTAO SERVICOS </v>
          </cell>
          <cell r="D886">
            <v>4967.74</v>
          </cell>
          <cell r="E886" t="str">
            <v>C</v>
          </cell>
          <cell r="G886">
            <v>4967.74</v>
          </cell>
          <cell r="H886">
            <v>7000</v>
          </cell>
          <cell r="I886">
            <v>2032.26</v>
          </cell>
          <cell r="J886">
            <v>7000</v>
          </cell>
          <cell r="K886" t="str">
            <v>C</v>
          </cell>
        </row>
        <row r="887">
          <cell r="A887">
            <v>55962</v>
          </cell>
          <cell r="B887" t="str">
            <v>2.1.01.010.0831</v>
          </cell>
          <cell r="C887" t="str">
            <v xml:space="preserve">LOPES LOUZADA SERVICOS </v>
          </cell>
          <cell r="D887">
            <v>1844.5</v>
          </cell>
          <cell r="E887" t="str">
            <v>C</v>
          </cell>
          <cell r="G887">
            <v>1844.5</v>
          </cell>
          <cell r="H887">
            <v>4336.95</v>
          </cell>
          <cell r="I887">
            <v>2492.4499999999998</v>
          </cell>
          <cell r="J887">
            <v>4336.95</v>
          </cell>
          <cell r="K887" t="str">
            <v>C</v>
          </cell>
        </row>
        <row r="888">
          <cell r="A888">
            <v>55963</v>
          </cell>
          <cell r="B888" t="str">
            <v>2.1.01.010.0832</v>
          </cell>
          <cell r="C888" t="str">
            <v xml:space="preserve">ROCHA E MOURAO MEDICOS </v>
          </cell>
          <cell r="D888">
            <v>59.5</v>
          </cell>
          <cell r="E888" t="str">
            <v>C</v>
          </cell>
          <cell r="G888">
            <v>0</v>
          </cell>
          <cell r="H888">
            <v>59.5</v>
          </cell>
          <cell r="I888">
            <v>59.5</v>
          </cell>
          <cell r="J888">
            <v>119</v>
          </cell>
          <cell r="K888" t="str">
            <v>C</v>
          </cell>
        </row>
        <row r="889">
          <cell r="A889">
            <v>55964</v>
          </cell>
          <cell r="B889" t="str">
            <v>2.1.01.010.0833</v>
          </cell>
          <cell r="C889" t="str">
            <v xml:space="preserve">JULIA SEABRA CLINICA </v>
          </cell>
          <cell r="D889">
            <v>1820</v>
          </cell>
          <cell r="E889" t="str">
            <v>C</v>
          </cell>
          <cell r="G889">
            <v>1820</v>
          </cell>
          <cell r="H889">
            <v>0</v>
          </cell>
          <cell r="I889">
            <v>-1820</v>
          </cell>
          <cell r="J889">
            <v>0</v>
          </cell>
          <cell r="K889" t="str">
            <v>C</v>
          </cell>
        </row>
        <row r="890">
          <cell r="A890">
            <v>55966</v>
          </cell>
          <cell r="B890" t="str">
            <v>2.1.01.010.0834</v>
          </cell>
          <cell r="C890" t="str">
            <v xml:space="preserve">J C SERVICOS MEDICOS SS </v>
          </cell>
          <cell r="D890">
            <v>1168.2</v>
          </cell>
          <cell r="E890" t="str">
            <v>C</v>
          </cell>
          <cell r="G890">
            <v>0</v>
          </cell>
          <cell r="H890">
            <v>0</v>
          </cell>
          <cell r="I890">
            <v>0</v>
          </cell>
          <cell r="J890">
            <v>1168.2</v>
          </cell>
          <cell r="K890" t="str">
            <v>C</v>
          </cell>
        </row>
        <row r="891">
          <cell r="A891">
            <v>55972</v>
          </cell>
          <cell r="B891" t="str">
            <v>2.1.01.010.0835</v>
          </cell>
          <cell r="C891" t="str">
            <v>J RAI CLINICA MEDICA LTDA</v>
          </cell>
          <cell r="D891">
            <v>1850</v>
          </cell>
          <cell r="E891" t="str">
            <v>C</v>
          </cell>
          <cell r="G891">
            <v>0</v>
          </cell>
          <cell r="H891">
            <v>1800</v>
          </cell>
          <cell r="I891">
            <v>1800</v>
          </cell>
          <cell r="J891">
            <v>3650</v>
          </cell>
          <cell r="K891" t="str">
            <v>C</v>
          </cell>
        </row>
        <row r="892">
          <cell r="A892">
            <v>55977</v>
          </cell>
          <cell r="B892" t="str">
            <v>2.1.01.010.0837</v>
          </cell>
          <cell r="C892" t="str">
            <v xml:space="preserve">RODRIGUES &amp; CAMPOS </v>
          </cell>
          <cell r="D892">
            <v>0</v>
          </cell>
          <cell r="E892" t="str">
            <v>C</v>
          </cell>
          <cell r="G892">
            <v>4592.5</v>
          </cell>
          <cell r="H892">
            <v>4592.5</v>
          </cell>
          <cell r="I892">
            <v>0</v>
          </cell>
          <cell r="J892">
            <v>0</v>
          </cell>
          <cell r="K892" t="str">
            <v>C</v>
          </cell>
        </row>
        <row r="893">
          <cell r="A893">
            <v>55988</v>
          </cell>
          <cell r="B893" t="str">
            <v>2.1.01.010.0838</v>
          </cell>
          <cell r="C893" t="str">
            <v xml:space="preserve">FERRARI MARINHO MEDICOS </v>
          </cell>
          <cell r="D893">
            <v>0</v>
          </cell>
          <cell r="E893" t="str">
            <v>C</v>
          </cell>
          <cell r="G893">
            <v>0</v>
          </cell>
          <cell r="H893">
            <v>2559.25</v>
          </cell>
          <cell r="I893">
            <v>2559.25</v>
          </cell>
          <cell r="J893">
            <v>2559.25</v>
          </cell>
          <cell r="K893" t="str">
            <v>C</v>
          </cell>
        </row>
        <row r="894">
          <cell r="A894">
            <v>55989</v>
          </cell>
          <cell r="B894" t="str">
            <v>2.1.01.010.0839</v>
          </cell>
          <cell r="C894" t="str">
            <v xml:space="preserve">DMG SERVICOS MEDICOS </v>
          </cell>
          <cell r="D894">
            <v>0</v>
          </cell>
          <cell r="E894" t="str">
            <v>C</v>
          </cell>
          <cell r="G894">
            <v>0</v>
          </cell>
          <cell r="H894">
            <v>8180.73</v>
          </cell>
          <cell r="I894">
            <v>8180.73</v>
          </cell>
          <cell r="J894">
            <v>8180.73</v>
          </cell>
          <cell r="K894" t="str">
            <v>C</v>
          </cell>
        </row>
        <row r="895">
          <cell r="A895">
            <v>55990</v>
          </cell>
          <cell r="B895" t="str">
            <v>2.1.01.010.0840</v>
          </cell>
          <cell r="C895" t="str">
            <v xml:space="preserve">CLINICA PAULISTA </v>
          </cell>
          <cell r="D895">
            <v>0</v>
          </cell>
          <cell r="E895" t="str">
            <v>C</v>
          </cell>
          <cell r="G895">
            <v>0</v>
          </cell>
          <cell r="H895">
            <v>1038.6099999999999</v>
          </cell>
          <cell r="I895">
            <v>1038.6099999999999</v>
          </cell>
          <cell r="J895">
            <v>1038.6099999999999</v>
          </cell>
          <cell r="K895" t="str">
            <v>C</v>
          </cell>
        </row>
        <row r="896">
          <cell r="A896">
            <v>55991</v>
          </cell>
          <cell r="B896" t="str">
            <v>2.1.01.010.0841</v>
          </cell>
          <cell r="C896" t="str">
            <v xml:space="preserve">CLENDI CLINICA DE </v>
          </cell>
          <cell r="D896">
            <v>0</v>
          </cell>
          <cell r="E896" t="str">
            <v>C</v>
          </cell>
          <cell r="G896">
            <v>13814.52</v>
          </cell>
          <cell r="H896">
            <v>13814.52</v>
          </cell>
          <cell r="I896">
            <v>0</v>
          </cell>
          <cell r="J896">
            <v>0</v>
          </cell>
          <cell r="K896" t="str">
            <v>C</v>
          </cell>
        </row>
        <row r="897">
          <cell r="A897">
            <v>56004</v>
          </cell>
          <cell r="B897" t="str">
            <v>2.1.01.010.0843</v>
          </cell>
          <cell r="C897" t="str">
            <v xml:space="preserve">ECHOQUALIS CONSULTORIA </v>
          </cell>
          <cell r="D897">
            <v>0</v>
          </cell>
          <cell r="E897" t="str">
            <v>C</v>
          </cell>
          <cell r="G897">
            <v>0</v>
          </cell>
          <cell r="H897">
            <v>41842.800000000003</v>
          </cell>
          <cell r="I897">
            <v>41842.800000000003</v>
          </cell>
          <cell r="J897">
            <v>41842.800000000003</v>
          </cell>
          <cell r="K897" t="str">
            <v>C</v>
          </cell>
        </row>
        <row r="898">
          <cell r="A898">
            <v>56012</v>
          </cell>
          <cell r="B898" t="str">
            <v>2.1.01.010.0846</v>
          </cell>
          <cell r="C898" t="str">
            <v>LFSA MEDICINA LTDA</v>
          </cell>
          <cell r="D898">
            <v>0</v>
          </cell>
          <cell r="E898" t="str">
            <v>C</v>
          </cell>
          <cell r="G898">
            <v>0</v>
          </cell>
          <cell r="H898">
            <v>1620</v>
          </cell>
          <cell r="I898">
            <v>1620</v>
          </cell>
          <cell r="J898">
            <v>1620</v>
          </cell>
          <cell r="K898" t="str">
            <v>C</v>
          </cell>
        </row>
        <row r="899">
          <cell r="A899">
            <v>56011</v>
          </cell>
          <cell r="B899" t="str">
            <v>2.1.01.010.0848</v>
          </cell>
          <cell r="C899" t="str">
            <v xml:space="preserve">M MAIKA SERVICOS MEDICOS </v>
          </cell>
          <cell r="D899">
            <v>0</v>
          </cell>
          <cell r="E899" t="str">
            <v>C</v>
          </cell>
          <cell r="G899">
            <v>0</v>
          </cell>
          <cell r="H899">
            <v>4320</v>
          </cell>
          <cell r="I899">
            <v>4320</v>
          </cell>
          <cell r="J899">
            <v>4320</v>
          </cell>
          <cell r="K899" t="str">
            <v>C</v>
          </cell>
        </row>
        <row r="900">
          <cell r="A900">
            <v>56010</v>
          </cell>
          <cell r="B900" t="str">
            <v>2.1.01.010.0849</v>
          </cell>
          <cell r="C900" t="str">
            <v xml:space="preserve">VIERA SOTO SERVICOS </v>
          </cell>
          <cell r="D900">
            <v>0</v>
          </cell>
          <cell r="E900" t="str">
            <v>C</v>
          </cell>
          <cell r="G900">
            <v>0</v>
          </cell>
          <cell r="H900">
            <v>2880</v>
          </cell>
          <cell r="I900">
            <v>2880</v>
          </cell>
          <cell r="J900">
            <v>2880</v>
          </cell>
          <cell r="K900" t="str">
            <v>C</v>
          </cell>
        </row>
        <row r="901">
          <cell r="A901">
            <v>37182</v>
          </cell>
          <cell r="B901" t="str">
            <v>2.1.01.020</v>
          </cell>
          <cell r="C901" t="str">
            <v xml:space="preserve">REPASSE HONORARIOS </v>
          </cell>
          <cell r="D901">
            <v>181822.84</v>
          </cell>
          <cell r="E901" t="str">
            <v>C</v>
          </cell>
          <cell r="G901">
            <v>172341.95</v>
          </cell>
          <cell r="H901">
            <v>146331.41</v>
          </cell>
          <cell r="I901">
            <v>-26010.54</v>
          </cell>
          <cell r="J901">
            <v>155812.29999999999</v>
          </cell>
          <cell r="K901" t="str">
            <v>C</v>
          </cell>
        </row>
        <row r="902">
          <cell r="A902">
            <v>52447</v>
          </cell>
          <cell r="B902" t="str">
            <v>2.1.01.020.0026</v>
          </cell>
          <cell r="C902" t="str">
            <v>ANDREY VAN ASS MALHEIROS</v>
          </cell>
          <cell r="D902">
            <v>56.22</v>
          </cell>
          <cell r="E902" t="str">
            <v>C</v>
          </cell>
          <cell r="G902">
            <v>0</v>
          </cell>
          <cell r="H902">
            <v>0</v>
          </cell>
          <cell r="I902">
            <v>0</v>
          </cell>
          <cell r="J902">
            <v>56.22</v>
          </cell>
          <cell r="K902" t="str">
            <v>C</v>
          </cell>
        </row>
        <row r="903">
          <cell r="A903">
            <v>34128</v>
          </cell>
          <cell r="B903" t="str">
            <v>2.1.01.020.0036</v>
          </cell>
          <cell r="C903" t="str">
            <v>AVENIR ISAAC NETO</v>
          </cell>
          <cell r="D903">
            <v>2616</v>
          </cell>
          <cell r="E903" t="str">
            <v>C</v>
          </cell>
          <cell r="G903">
            <v>2602</v>
          </cell>
          <cell r="H903">
            <v>604.79999999999995</v>
          </cell>
          <cell r="I903">
            <v>-1997.2</v>
          </cell>
          <cell r="J903">
            <v>618.79999999999995</v>
          </cell>
          <cell r="K903" t="str">
            <v>C</v>
          </cell>
        </row>
        <row r="904">
          <cell r="A904">
            <v>51369</v>
          </cell>
          <cell r="B904" t="str">
            <v>2.1.01.020.0038</v>
          </cell>
          <cell r="C904" t="str">
            <v xml:space="preserve">BARBARA HELOISA </v>
          </cell>
          <cell r="D904">
            <v>467.74</v>
          </cell>
          <cell r="E904" t="str">
            <v>C</v>
          </cell>
          <cell r="G904">
            <v>0</v>
          </cell>
          <cell r="H904">
            <v>0</v>
          </cell>
          <cell r="I904">
            <v>0</v>
          </cell>
          <cell r="J904">
            <v>467.74</v>
          </cell>
          <cell r="K904" t="str">
            <v>C</v>
          </cell>
        </row>
        <row r="905">
          <cell r="A905">
            <v>52030</v>
          </cell>
          <cell r="B905" t="str">
            <v>2.1.01.020.0041</v>
          </cell>
          <cell r="C905" t="str">
            <v xml:space="preserve">BRUNA DREON GOMES </v>
          </cell>
          <cell r="D905">
            <v>1233.95</v>
          </cell>
          <cell r="E905" t="str">
            <v>C</v>
          </cell>
          <cell r="G905">
            <v>1233.95</v>
          </cell>
          <cell r="H905">
            <v>0</v>
          </cell>
          <cell r="I905">
            <v>-1233.95</v>
          </cell>
          <cell r="J905">
            <v>0</v>
          </cell>
          <cell r="K905" t="str">
            <v>C</v>
          </cell>
        </row>
        <row r="906">
          <cell r="A906">
            <v>51115</v>
          </cell>
          <cell r="B906" t="str">
            <v>2.1.01.020.0056</v>
          </cell>
          <cell r="C906" t="str">
            <v>CESAR AUGUSTO MEDEIROS</v>
          </cell>
          <cell r="D906">
            <v>9660.39</v>
          </cell>
          <cell r="E906" t="str">
            <v>C</v>
          </cell>
          <cell r="G906">
            <v>10253.1</v>
          </cell>
          <cell r="H906">
            <v>4989.5</v>
          </cell>
          <cell r="I906">
            <v>-5263.6</v>
          </cell>
          <cell r="J906">
            <v>4396.79</v>
          </cell>
          <cell r="K906" t="str">
            <v>C</v>
          </cell>
        </row>
        <row r="907">
          <cell r="A907">
            <v>52960</v>
          </cell>
          <cell r="B907" t="str">
            <v>2.1.01.020.0059</v>
          </cell>
          <cell r="C907" t="str">
            <v>CICERO CARDOSO DE SOUZA</v>
          </cell>
          <cell r="D907">
            <v>962.67</v>
          </cell>
          <cell r="E907" t="str">
            <v>C</v>
          </cell>
          <cell r="G907">
            <v>5251.86</v>
          </cell>
          <cell r="H907">
            <v>4289.1899999999996</v>
          </cell>
          <cell r="I907">
            <v>-962.67</v>
          </cell>
          <cell r="J907">
            <v>0</v>
          </cell>
          <cell r="K907" t="str">
            <v>C</v>
          </cell>
        </row>
        <row r="908">
          <cell r="A908">
            <v>38368</v>
          </cell>
          <cell r="B908" t="str">
            <v>2.1.01.020.0095</v>
          </cell>
          <cell r="C908" t="str">
            <v>EZIO BRUGNARA</v>
          </cell>
          <cell r="D908">
            <v>0</v>
          </cell>
          <cell r="E908" t="str">
            <v>C</v>
          </cell>
          <cell r="G908">
            <v>17129.34</v>
          </cell>
          <cell r="H908">
            <v>17129.34</v>
          </cell>
          <cell r="I908">
            <v>0</v>
          </cell>
          <cell r="J908">
            <v>0</v>
          </cell>
          <cell r="K908" t="str">
            <v>C</v>
          </cell>
        </row>
        <row r="909">
          <cell r="A909">
            <v>52062</v>
          </cell>
          <cell r="B909" t="str">
            <v>2.1.01.020.0098</v>
          </cell>
          <cell r="C909" t="str">
            <v>FABIO PEROZINI</v>
          </cell>
          <cell r="D909">
            <v>208.61</v>
          </cell>
          <cell r="E909" t="str">
            <v>C</v>
          </cell>
          <cell r="G909">
            <v>0</v>
          </cell>
          <cell r="H909">
            <v>0</v>
          </cell>
          <cell r="I909">
            <v>0</v>
          </cell>
          <cell r="J909">
            <v>208.61</v>
          </cell>
          <cell r="K909" t="str">
            <v>C</v>
          </cell>
        </row>
        <row r="910">
          <cell r="A910">
            <v>38272</v>
          </cell>
          <cell r="B910" t="str">
            <v>2.1.01.020.0100</v>
          </cell>
          <cell r="C910" t="str">
            <v xml:space="preserve">FABIOLA SAWAGUCHI FAIG </v>
          </cell>
          <cell r="D910">
            <v>75</v>
          </cell>
          <cell r="E910" t="str">
            <v>C</v>
          </cell>
          <cell r="G910">
            <v>576.75</v>
          </cell>
          <cell r="H910">
            <v>526.75</v>
          </cell>
          <cell r="I910">
            <v>-50</v>
          </cell>
          <cell r="J910">
            <v>25</v>
          </cell>
          <cell r="K910" t="str">
            <v>C</v>
          </cell>
        </row>
        <row r="911">
          <cell r="A911">
            <v>37242</v>
          </cell>
          <cell r="B911" t="str">
            <v>2.1.01.020.0107</v>
          </cell>
          <cell r="C911" t="str">
            <v>FERNANDO DE OLIVEIRA</v>
          </cell>
          <cell r="D911">
            <v>234</v>
          </cell>
          <cell r="E911" t="str">
            <v>C</v>
          </cell>
          <cell r="G911">
            <v>0</v>
          </cell>
          <cell r="H911">
            <v>0</v>
          </cell>
          <cell r="I911">
            <v>0</v>
          </cell>
          <cell r="J911">
            <v>234</v>
          </cell>
          <cell r="K911" t="str">
            <v>C</v>
          </cell>
        </row>
        <row r="912">
          <cell r="A912">
            <v>51361</v>
          </cell>
          <cell r="B912" t="str">
            <v>2.1.01.020.0116</v>
          </cell>
          <cell r="C912" t="str">
            <v>GABRIEL SIQUEIRA SANTOS</v>
          </cell>
          <cell r="D912">
            <v>4878.8</v>
          </cell>
          <cell r="E912" t="str">
            <v>C</v>
          </cell>
          <cell r="G912">
            <v>4286.67</v>
          </cell>
          <cell r="H912">
            <v>3942.11</v>
          </cell>
          <cell r="I912">
            <v>-344.56</v>
          </cell>
          <cell r="J912">
            <v>4534.24</v>
          </cell>
          <cell r="K912" t="str">
            <v>C</v>
          </cell>
        </row>
        <row r="913">
          <cell r="A913">
            <v>34216</v>
          </cell>
          <cell r="B913" t="str">
            <v>2.1.01.020.0118</v>
          </cell>
          <cell r="C913" t="str">
            <v>GILBERTO BENEVIDES</v>
          </cell>
          <cell r="D913">
            <v>1395.55</v>
          </cell>
          <cell r="E913" t="str">
            <v>C</v>
          </cell>
          <cell r="G913">
            <v>1495.01</v>
          </cell>
          <cell r="H913">
            <v>2416.3200000000002</v>
          </cell>
          <cell r="I913">
            <v>921.31</v>
          </cell>
          <cell r="J913">
            <v>2316.86</v>
          </cell>
          <cell r="K913" t="str">
            <v>C</v>
          </cell>
        </row>
        <row r="914">
          <cell r="A914">
            <v>52150</v>
          </cell>
          <cell r="B914" t="str">
            <v>2.1.01.020.0121</v>
          </cell>
          <cell r="C914" t="str">
            <v xml:space="preserve">GLAUCIA HELENA DE </v>
          </cell>
          <cell r="D914">
            <v>23.04</v>
          </cell>
          <cell r="E914" t="str">
            <v>C</v>
          </cell>
          <cell r="G914">
            <v>0</v>
          </cell>
          <cell r="H914">
            <v>0</v>
          </cell>
          <cell r="I914">
            <v>0</v>
          </cell>
          <cell r="J914">
            <v>23.04</v>
          </cell>
          <cell r="K914" t="str">
            <v>C</v>
          </cell>
        </row>
        <row r="915">
          <cell r="A915">
            <v>38002</v>
          </cell>
          <cell r="B915" t="str">
            <v>2.1.01.020.0132</v>
          </cell>
          <cell r="C915" t="str">
            <v>IRIO CAVALIERI</v>
          </cell>
          <cell r="D915">
            <v>68.88</v>
          </cell>
          <cell r="E915" t="str">
            <v>C</v>
          </cell>
          <cell r="G915">
            <v>0</v>
          </cell>
          <cell r="H915">
            <v>0</v>
          </cell>
          <cell r="I915">
            <v>0</v>
          </cell>
          <cell r="J915">
            <v>68.88</v>
          </cell>
          <cell r="K915" t="str">
            <v>C</v>
          </cell>
        </row>
        <row r="916">
          <cell r="A916">
            <v>34026</v>
          </cell>
          <cell r="B916" t="str">
            <v>2.1.01.020.0140</v>
          </cell>
          <cell r="C916" t="str">
            <v>JANINE RUTH BARNETT</v>
          </cell>
          <cell r="D916">
            <v>125.84</v>
          </cell>
          <cell r="E916" t="str">
            <v>C</v>
          </cell>
          <cell r="G916">
            <v>94.94</v>
          </cell>
          <cell r="H916">
            <v>54.94</v>
          </cell>
          <cell r="I916">
            <v>-40</v>
          </cell>
          <cell r="J916">
            <v>85.84</v>
          </cell>
          <cell r="K916" t="str">
            <v>C</v>
          </cell>
        </row>
        <row r="917">
          <cell r="A917">
            <v>33849</v>
          </cell>
          <cell r="B917" t="str">
            <v>2.1.01.020.0141</v>
          </cell>
          <cell r="C917" t="str">
            <v xml:space="preserve">JANUARIO GONCALVES </v>
          </cell>
          <cell r="D917">
            <v>20</v>
          </cell>
          <cell r="E917" t="str">
            <v>C</v>
          </cell>
          <cell r="G917">
            <v>0</v>
          </cell>
          <cell r="H917">
            <v>0</v>
          </cell>
          <cell r="I917">
            <v>0</v>
          </cell>
          <cell r="J917">
            <v>20</v>
          </cell>
          <cell r="K917" t="str">
            <v>C</v>
          </cell>
        </row>
        <row r="918">
          <cell r="A918">
            <v>51233</v>
          </cell>
          <cell r="B918" t="str">
            <v>2.1.01.020.0154</v>
          </cell>
          <cell r="C918" t="str">
            <v>JOSE EDUARDO PULGA</v>
          </cell>
          <cell r="D918">
            <v>4451.4799999999996</v>
          </cell>
          <cell r="E918" t="str">
            <v>C</v>
          </cell>
          <cell r="G918">
            <v>4451.4799999999996</v>
          </cell>
          <cell r="H918">
            <v>2100.84</v>
          </cell>
          <cell r="I918">
            <v>-2350.64</v>
          </cell>
          <cell r="J918">
            <v>2100.84</v>
          </cell>
          <cell r="K918" t="str">
            <v>C</v>
          </cell>
        </row>
        <row r="919">
          <cell r="A919">
            <v>34103</v>
          </cell>
          <cell r="B919" t="str">
            <v>2.1.01.020.0156</v>
          </cell>
          <cell r="C919" t="str">
            <v xml:space="preserve">JOSE FRANCISCO VILELA DOS </v>
          </cell>
          <cell r="D919">
            <v>53.2</v>
          </cell>
          <cell r="E919" t="str">
            <v>C</v>
          </cell>
          <cell r="G919">
            <v>0</v>
          </cell>
          <cell r="H919">
            <v>0</v>
          </cell>
          <cell r="I919">
            <v>0</v>
          </cell>
          <cell r="J919">
            <v>53.2</v>
          </cell>
          <cell r="K919" t="str">
            <v>C</v>
          </cell>
        </row>
        <row r="920">
          <cell r="A920">
            <v>38294</v>
          </cell>
          <cell r="B920" t="str">
            <v>2.1.01.020.0173</v>
          </cell>
          <cell r="C920" t="str">
            <v>LEO IKEDA</v>
          </cell>
          <cell r="D920">
            <v>13283.32</v>
          </cell>
          <cell r="E920" t="str">
            <v>C</v>
          </cell>
          <cell r="G920">
            <v>14516.01</v>
          </cell>
          <cell r="H920">
            <v>8583.86</v>
          </cell>
          <cell r="I920">
            <v>-5932.15</v>
          </cell>
          <cell r="J920">
            <v>7351.17</v>
          </cell>
          <cell r="K920" t="str">
            <v>C</v>
          </cell>
        </row>
        <row r="921">
          <cell r="A921">
            <v>51144</v>
          </cell>
          <cell r="B921" t="str">
            <v>2.1.01.020.0189</v>
          </cell>
          <cell r="C921" t="str">
            <v>LUCIENE LAURIA DE SOUZA</v>
          </cell>
          <cell r="D921">
            <v>4437.4799999999996</v>
          </cell>
          <cell r="E921" t="str">
            <v>C</v>
          </cell>
          <cell r="G921">
            <v>5458.93</v>
          </cell>
          <cell r="H921">
            <v>1844.65</v>
          </cell>
          <cell r="I921">
            <v>-3614.28</v>
          </cell>
          <cell r="J921">
            <v>823.2</v>
          </cell>
          <cell r="K921" t="str">
            <v>C</v>
          </cell>
        </row>
        <row r="922">
          <cell r="A922">
            <v>38335</v>
          </cell>
          <cell r="B922" t="str">
            <v>2.1.01.020.0196</v>
          </cell>
          <cell r="C922" t="str">
            <v xml:space="preserve">LUIZ ANTONIO ANGELO DA </v>
          </cell>
          <cell r="D922">
            <v>0</v>
          </cell>
          <cell r="E922" t="str">
            <v>C</v>
          </cell>
          <cell r="G922">
            <v>190.07</v>
          </cell>
          <cell r="H922">
            <v>190.07</v>
          </cell>
          <cell r="I922">
            <v>0</v>
          </cell>
          <cell r="J922">
            <v>0</v>
          </cell>
          <cell r="K922" t="str">
            <v>C</v>
          </cell>
        </row>
        <row r="923">
          <cell r="A923">
            <v>33869</v>
          </cell>
          <cell r="B923" t="str">
            <v>2.1.01.020.0204</v>
          </cell>
          <cell r="C923" t="str">
            <v>MARCELO HERING BISSOLI</v>
          </cell>
          <cell r="D923">
            <v>375</v>
          </cell>
          <cell r="E923" t="str">
            <v>C</v>
          </cell>
          <cell r="G923">
            <v>1212.1199999999999</v>
          </cell>
          <cell r="H923">
            <v>1212.1199999999999</v>
          </cell>
          <cell r="I923">
            <v>0</v>
          </cell>
          <cell r="J923">
            <v>375</v>
          </cell>
          <cell r="K923" t="str">
            <v>C</v>
          </cell>
        </row>
        <row r="924">
          <cell r="A924">
            <v>52293</v>
          </cell>
          <cell r="B924" t="str">
            <v>2.1.01.020.0206</v>
          </cell>
          <cell r="C924" t="str">
            <v xml:space="preserve">MARCELO ROMANELLI CUNHA </v>
          </cell>
          <cell r="D924">
            <v>51.11</v>
          </cell>
          <cell r="E924" t="str">
            <v>C</v>
          </cell>
          <cell r="G924">
            <v>0</v>
          </cell>
          <cell r="H924">
            <v>0</v>
          </cell>
          <cell r="I924">
            <v>0</v>
          </cell>
          <cell r="J924">
            <v>51.11</v>
          </cell>
          <cell r="K924" t="str">
            <v>C</v>
          </cell>
        </row>
        <row r="925">
          <cell r="A925">
            <v>33872</v>
          </cell>
          <cell r="B925" t="str">
            <v>2.1.01.020.0211</v>
          </cell>
          <cell r="C925" t="str">
            <v xml:space="preserve">MARCUS VINICIUS DE </v>
          </cell>
          <cell r="D925">
            <v>26.91</v>
          </cell>
          <cell r="E925" t="str">
            <v>C</v>
          </cell>
          <cell r="G925">
            <v>0</v>
          </cell>
          <cell r="H925">
            <v>0</v>
          </cell>
          <cell r="I925">
            <v>0</v>
          </cell>
          <cell r="J925">
            <v>26.91</v>
          </cell>
          <cell r="K925" t="str">
            <v>C</v>
          </cell>
        </row>
        <row r="926">
          <cell r="A926">
            <v>33879</v>
          </cell>
          <cell r="B926" t="str">
            <v>2.1.01.020.0241</v>
          </cell>
          <cell r="C926" t="str">
            <v xml:space="preserve">OTHON FERRERIA SILVA </v>
          </cell>
          <cell r="D926">
            <v>3434.62</v>
          </cell>
          <cell r="E926" t="str">
            <v>C</v>
          </cell>
          <cell r="G926">
            <v>7788.79</v>
          </cell>
          <cell r="H926">
            <v>5950.69</v>
          </cell>
          <cell r="I926">
            <v>-1838.1</v>
          </cell>
          <cell r="J926">
            <v>1596.52</v>
          </cell>
          <cell r="K926" t="str">
            <v>C</v>
          </cell>
        </row>
        <row r="927">
          <cell r="A927">
            <v>52323</v>
          </cell>
          <cell r="B927" t="str">
            <v>2.1.01.020.0286</v>
          </cell>
          <cell r="C927" t="str">
            <v xml:space="preserve">SAMUEL HENRIQUE </v>
          </cell>
          <cell r="D927">
            <v>45969.58</v>
          </cell>
          <cell r="E927" t="str">
            <v>C</v>
          </cell>
          <cell r="G927">
            <v>43293.37</v>
          </cell>
          <cell r="H927">
            <v>54526.78</v>
          </cell>
          <cell r="I927">
            <v>11233.41</v>
          </cell>
          <cell r="J927">
            <v>57202.99</v>
          </cell>
          <cell r="K927" t="str">
            <v>C</v>
          </cell>
        </row>
        <row r="928">
          <cell r="A928">
            <v>51993</v>
          </cell>
          <cell r="B928" t="str">
            <v>2.1.01.020.0295</v>
          </cell>
          <cell r="C928" t="str">
            <v xml:space="preserve">SILVIA MARTINS GUEDES DE </v>
          </cell>
          <cell r="D928">
            <v>104.96</v>
          </cell>
          <cell r="E928" t="str">
            <v>C</v>
          </cell>
          <cell r="G928">
            <v>0</v>
          </cell>
          <cell r="H928">
            <v>0</v>
          </cell>
          <cell r="I928">
            <v>0</v>
          </cell>
          <cell r="J928">
            <v>104.96</v>
          </cell>
          <cell r="K928" t="str">
            <v>C</v>
          </cell>
        </row>
        <row r="929">
          <cell r="A929">
            <v>38203</v>
          </cell>
          <cell r="B929" t="str">
            <v>2.1.01.020.0303</v>
          </cell>
          <cell r="C929" t="str">
            <v>TELMA PEDROSA PINA</v>
          </cell>
          <cell r="D929">
            <v>113.52</v>
          </cell>
          <cell r="E929" t="str">
            <v>C</v>
          </cell>
          <cell r="G929">
            <v>0</v>
          </cell>
          <cell r="H929">
            <v>0</v>
          </cell>
          <cell r="I929">
            <v>0</v>
          </cell>
          <cell r="J929">
            <v>113.52</v>
          </cell>
          <cell r="K929" t="str">
            <v>C</v>
          </cell>
        </row>
        <row r="930">
          <cell r="A930">
            <v>52363</v>
          </cell>
          <cell r="B930" t="str">
            <v>2.1.01.020.0316</v>
          </cell>
          <cell r="C930" t="str">
            <v>WALDECYR DE CASTRO LIMA</v>
          </cell>
          <cell r="D930">
            <v>8193.7199999999993</v>
          </cell>
          <cell r="E930" t="str">
            <v>C</v>
          </cell>
          <cell r="G930">
            <v>8193.7199999999993</v>
          </cell>
          <cell r="H930">
            <v>6105.72</v>
          </cell>
          <cell r="I930">
            <v>-2088</v>
          </cell>
          <cell r="J930">
            <v>6105.72</v>
          </cell>
          <cell r="K930" t="str">
            <v>C</v>
          </cell>
        </row>
        <row r="931">
          <cell r="A931">
            <v>51624</v>
          </cell>
          <cell r="B931" t="str">
            <v>2.1.01.020.0317</v>
          </cell>
          <cell r="C931" t="str">
            <v>WELLINGTON LOPES BRITTO</v>
          </cell>
          <cell r="D931">
            <v>10.32</v>
          </cell>
          <cell r="E931" t="str">
            <v>C</v>
          </cell>
          <cell r="G931">
            <v>0</v>
          </cell>
          <cell r="H931">
            <v>0</v>
          </cell>
          <cell r="I931">
            <v>0</v>
          </cell>
          <cell r="J931">
            <v>10.32</v>
          </cell>
          <cell r="K931" t="str">
            <v>C</v>
          </cell>
        </row>
        <row r="932">
          <cell r="A932">
            <v>53119</v>
          </cell>
          <cell r="B932" t="str">
            <v>2.1.01.020.0361</v>
          </cell>
          <cell r="C932" t="str">
            <v xml:space="preserve">VIVA LIGHT CLINICA MÉDICA </v>
          </cell>
          <cell r="D932">
            <v>984</v>
          </cell>
          <cell r="E932" t="str">
            <v>C</v>
          </cell>
          <cell r="G932">
            <v>0</v>
          </cell>
          <cell r="H932">
            <v>0</v>
          </cell>
          <cell r="I932">
            <v>0</v>
          </cell>
          <cell r="J932">
            <v>984</v>
          </cell>
          <cell r="K932" t="str">
            <v>C</v>
          </cell>
        </row>
        <row r="933">
          <cell r="A933">
            <v>52184</v>
          </cell>
          <cell r="B933" t="str">
            <v>2.1.01.020.0389</v>
          </cell>
          <cell r="C933" t="str">
            <v xml:space="preserve">TELAMI ESPINDOLA DE SOUZA </v>
          </cell>
          <cell r="D933">
            <v>1872</v>
          </cell>
          <cell r="E933" t="str">
            <v>C</v>
          </cell>
          <cell r="G933">
            <v>0</v>
          </cell>
          <cell r="H933">
            <v>0</v>
          </cell>
          <cell r="I933">
            <v>0</v>
          </cell>
          <cell r="J933">
            <v>1872</v>
          </cell>
          <cell r="K933" t="str">
            <v>C</v>
          </cell>
        </row>
        <row r="934">
          <cell r="A934">
            <v>53404</v>
          </cell>
          <cell r="B934" t="str">
            <v>2.1.01.020.0420</v>
          </cell>
          <cell r="C934" t="str">
            <v>EUGENIO GERALDO ANDRADE</v>
          </cell>
          <cell r="D934">
            <v>856.8</v>
          </cell>
          <cell r="E934" t="str">
            <v>C</v>
          </cell>
          <cell r="G934">
            <v>957.82</v>
          </cell>
          <cell r="H934">
            <v>1005.42</v>
          </cell>
          <cell r="I934">
            <v>47.6</v>
          </cell>
          <cell r="J934">
            <v>904.4</v>
          </cell>
          <cell r="K934" t="str">
            <v>C</v>
          </cell>
        </row>
        <row r="935">
          <cell r="A935">
            <v>53485</v>
          </cell>
          <cell r="B935" t="str">
            <v>2.1.01.020.0430</v>
          </cell>
          <cell r="C935" t="str">
            <v xml:space="preserve">LARISSA DE OLIVEIRA SOUZA </v>
          </cell>
          <cell r="D935">
            <v>9620.26</v>
          </cell>
          <cell r="E935" t="str">
            <v>C</v>
          </cell>
          <cell r="G935">
            <v>6000.2</v>
          </cell>
          <cell r="H935">
            <v>6000.09</v>
          </cell>
          <cell r="I935">
            <v>-0.11</v>
          </cell>
          <cell r="J935">
            <v>9620.15</v>
          </cell>
          <cell r="K935" t="str">
            <v>C</v>
          </cell>
        </row>
        <row r="936">
          <cell r="A936">
            <v>53488</v>
          </cell>
          <cell r="B936" t="str">
            <v>2.1.01.020.0432</v>
          </cell>
          <cell r="C936" t="str">
            <v>ANA CRISTINA REIS LAGES</v>
          </cell>
          <cell r="D936">
            <v>3763.06</v>
          </cell>
          <cell r="E936" t="str">
            <v>C</v>
          </cell>
          <cell r="G936">
            <v>3763.06</v>
          </cell>
          <cell r="H936">
            <v>0</v>
          </cell>
          <cell r="I936">
            <v>-3763.06</v>
          </cell>
          <cell r="J936">
            <v>0</v>
          </cell>
          <cell r="K936" t="str">
            <v>C</v>
          </cell>
        </row>
        <row r="937">
          <cell r="A937">
            <v>52471</v>
          </cell>
          <cell r="B937" t="str">
            <v>2.1.01.020.0449</v>
          </cell>
          <cell r="C937" t="str">
            <v>FLAVIA REGINA FERREIRA</v>
          </cell>
          <cell r="D937">
            <v>1761.2</v>
          </cell>
          <cell r="E937" t="str">
            <v>C</v>
          </cell>
          <cell r="G937">
            <v>1957.2</v>
          </cell>
          <cell r="H937">
            <v>1456</v>
          </cell>
          <cell r="I937">
            <v>-501.2</v>
          </cell>
          <cell r="J937">
            <v>1260</v>
          </cell>
          <cell r="K937" t="str">
            <v>C</v>
          </cell>
        </row>
        <row r="938">
          <cell r="A938">
            <v>53844</v>
          </cell>
          <cell r="B938" t="str">
            <v>2.1.01.020.0465</v>
          </cell>
          <cell r="C938" t="str">
            <v>PATRICIA LANGENEGGER</v>
          </cell>
          <cell r="D938">
            <v>288.63</v>
          </cell>
          <cell r="E938" t="str">
            <v>C</v>
          </cell>
          <cell r="G938">
            <v>0</v>
          </cell>
          <cell r="H938">
            <v>0</v>
          </cell>
          <cell r="I938">
            <v>0</v>
          </cell>
          <cell r="J938">
            <v>288.63</v>
          </cell>
          <cell r="K938" t="str">
            <v>C</v>
          </cell>
        </row>
        <row r="939">
          <cell r="A939">
            <v>53877</v>
          </cell>
          <cell r="B939" t="str">
            <v>2.1.01.020.0471</v>
          </cell>
          <cell r="C939" t="str">
            <v xml:space="preserve">SILVIA HELENA MARQUES </v>
          </cell>
          <cell r="D939">
            <v>3119.15</v>
          </cell>
          <cell r="E939" t="str">
            <v>C</v>
          </cell>
          <cell r="G939">
            <v>2607.37</v>
          </cell>
          <cell r="H939">
            <v>306.10000000000002</v>
          </cell>
          <cell r="I939">
            <v>-2301.27</v>
          </cell>
          <cell r="J939">
            <v>817.88</v>
          </cell>
          <cell r="K939" t="str">
            <v>C</v>
          </cell>
        </row>
        <row r="940">
          <cell r="A940">
            <v>54055</v>
          </cell>
          <cell r="B940" t="str">
            <v>2.1.01.020.0486</v>
          </cell>
          <cell r="C940" t="str">
            <v xml:space="preserve">PAULA SIMONE MENEGUETTI </v>
          </cell>
          <cell r="D940">
            <v>0</v>
          </cell>
          <cell r="E940" t="str">
            <v>C</v>
          </cell>
          <cell r="G940">
            <v>27</v>
          </cell>
          <cell r="H940">
            <v>27</v>
          </cell>
          <cell r="I940">
            <v>0</v>
          </cell>
          <cell r="J940">
            <v>0</v>
          </cell>
          <cell r="K940" t="str">
            <v>C</v>
          </cell>
        </row>
        <row r="941">
          <cell r="A941">
            <v>54059</v>
          </cell>
          <cell r="B941" t="str">
            <v>2.1.01.020.0487</v>
          </cell>
          <cell r="C941" t="str">
            <v xml:space="preserve">BEATRIZ DE VASCONCELOS </v>
          </cell>
          <cell r="D941">
            <v>3319.14</v>
          </cell>
          <cell r="E941" t="str">
            <v>C</v>
          </cell>
          <cell r="G941">
            <v>3431</v>
          </cell>
          <cell r="H941">
            <v>3700.62</v>
          </cell>
          <cell r="I941">
            <v>269.62</v>
          </cell>
          <cell r="J941">
            <v>3588.76</v>
          </cell>
          <cell r="K941" t="str">
            <v>C</v>
          </cell>
        </row>
        <row r="942">
          <cell r="A942">
            <v>54075</v>
          </cell>
          <cell r="B942" t="str">
            <v>2.1.01.020.0491</v>
          </cell>
          <cell r="C942" t="str">
            <v>MAIRAN SANTOS STEFFEN</v>
          </cell>
          <cell r="D942">
            <v>2952.88</v>
          </cell>
          <cell r="E942" t="str">
            <v>C</v>
          </cell>
          <cell r="G942">
            <v>1992.86</v>
          </cell>
          <cell r="H942">
            <v>2000.03</v>
          </cell>
          <cell r="I942">
            <v>7.17</v>
          </cell>
          <cell r="J942">
            <v>2960.05</v>
          </cell>
          <cell r="K942" t="str">
            <v>C</v>
          </cell>
        </row>
        <row r="943">
          <cell r="A943">
            <v>54089</v>
          </cell>
          <cell r="B943" t="str">
            <v>2.1.01.020.0495</v>
          </cell>
          <cell r="C943" t="str">
            <v>EDUARDO NUNES TONIASSO</v>
          </cell>
          <cell r="D943">
            <v>7317.21</v>
          </cell>
          <cell r="E943" t="str">
            <v>C</v>
          </cell>
          <cell r="G943">
            <v>0</v>
          </cell>
          <cell r="H943">
            <v>0</v>
          </cell>
          <cell r="I943">
            <v>0</v>
          </cell>
          <cell r="J943">
            <v>7317.21</v>
          </cell>
          <cell r="K943" t="str">
            <v>C</v>
          </cell>
        </row>
        <row r="944">
          <cell r="A944">
            <v>54114</v>
          </cell>
          <cell r="B944" t="str">
            <v>2.1.01.020.0500</v>
          </cell>
          <cell r="C944" t="str">
            <v>SANDRO RODRIGUES PINTO</v>
          </cell>
          <cell r="D944">
            <v>0</v>
          </cell>
          <cell r="E944" t="str">
            <v>C</v>
          </cell>
          <cell r="G944">
            <v>120</v>
          </cell>
          <cell r="H944">
            <v>120</v>
          </cell>
          <cell r="I944">
            <v>0</v>
          </cell>
          <cell r="J944">
            <v>0</v>
          </cell>
          <cell r="K944" t="str">
            <v>C</v>
          </cell>
        </row>
        <row r="945">
          <cell r="A945">
            <v>54230</v>
          </cell>
          <cell r="B945" t="str">
            <v>2.1.01.020.0502</v>
          </cell>
          <cell r="C945" t="str">
            <v xml:space="preserve">ANDERSON FONSECA DE </v>
          </cell>
          <cell r="D945">
            <v>884.2</v>
          </cell>
          <cell r="E945" t="str">
            <v>C</v>
          </cell>
          <cell r="G945">
            <v>0</v>
          </cell>
          <cell r="H945">
            <v>0</v>
          </cell>
          <cell r="I945">
            <v>0</v>
          </cell>
          <cell r="J945">
            <v>884.2</v>
          </cell>
          <cell r="K945" t="str">
            <v>C</v>
          </cell>
        </row>
        <row r="946">
          <cell r="A946">
            <v>54249</v>
          </cell>
          <cell r="B946" t="str">
            <v>2.1.01.020.0504</v>
          </cell>
          <cell r="C946" t="str">
            <v xml:space="preserve">LUIZ GUSTAVO PINTO </v>
          </cell>
          <cell r="D946">
            <v>81.87</v>
          </cell>
          <cell r="E946" t="str">
            <v>C</v>
          </cell>
          <cell r="G946">
            <v>0</v>
          </cell>
          <cell r="H946">
            <v>0</v>
          </cell>
          <cell r="I946">
            <v>0</v>
          </cell>
          <cell r="J946">
            <v>81.87</v>
          </cell>
          <cell r="K946" t="str">
            <v>C</v>
          </cell>
        </row>
        <row r="947">
          <cell r="A947">
            <v>54287</v>
          </cell>
          <cell r="B947" t="str">
            <v>2.1.01.020.0507</v>
          </cell>
          <cell r="C947" t="str">
            <v>DARIO VIANNA BIROLINI</v>
          </cell>
          <cell r="D947">
            <v>983.22</v>
          </cell>
          <cell r="E947" t="str">
            <v>C</v>
          </cell>
          <cell r="G947">
            <v>0</v>
          </cell>
          <cell r="H947">
            <v>0</v>
          </cell>
          <cell r="I947">
            <v>0</v>
          </cell>
          <cell r="J947">
            <v>983.22</v>
          </cell>
          <cell r="K947" t="str">
            <v>C</v>
          </cell>
        </row>
        <row r="948">
          <cell r="A948">
            <v>54298</v>
          </cell>
          <cell r="B948" t="str">
            <v>2.1.01.020.0509</v>
          </cell>
          <cell r="C948" t="str">
            <v>KATIUCIA BREGALDA</v>
          </cell>
          <cell r="D948">
            <v>555</v>
          </cell>
          <cell r="E948" t="str">
            <v>C</v>
          </cell>
          <cell r="G948">
            <v>380</v>
          </cell>
          <cell r="H948">
            <v>240</v>
          </cell>
          <cell r="I948">
            <v>-140</v>
          </cell>
          <cell r="J948">
            <v>415</v>
          </cell>
          <cell r="K948" t="str">
            <v>C</v>
          </cell>
        </row>
        <row r="949">
          <cell r="A949">
            <v>54414</v>
          </cell>
          <cell r="B949" t="str">
            <v>2.1.01.020.0514</v>
          </cell>
          <cell r="C949" t="str">
            <v>ARIADNA MOURA GOMES</v>
          </cell>
          <cell r="D949">
            <v>358.4</v>
          </cell>
          <cell r="E949" t="str">
            <v>C</v>
          </cell>
          <cell r="G949">
            <v>0</v>
          </cell>
          <cell r="H949">
            <v>0</v>
          </cell>
          <cell r="I949">
            <v>0</v>
          </cell>
          <cell r="J949">
            <v>358.4</v>
          </cell>
          <cell r="K949" t="str">
            <v>C</v>
          </cell>
        </row>
        <row r="950">
          <cell r="A950">
            <v>54433</v>
          </cell>
          <cell r="B950" t="str">
            <v>2.1.01.020.0518</v>
          </cell>
          <cell r="C950" t="str">
            <v xml:space="preserve">ALEXANDRE DIAS DE ABREU </v>
          </cell>
          <cell r="D950">
            <v>14461</v>
          </cell>
          <cell r="E950" t="str">
            <v>C</v>
          </cell>
          <cell r="G950">
            <v>714</v>
          </cell>
          <cell r="H950">
            <v>832.3</v>
          </cell>
          <cell r="I950">
            <v>118.3</v>
          </cell>
          <cell r="J950">
            <v>14579.3</v>
          </cell>
          <cell r="K950" t="str">
            <v>C</v>
          </cell>
        </row>
        <row r="951">
          <cell r="A951">
            <v>54434</v>
          </cell>
          <cell r="B951" t="str">
            <v>2.1.01.020.0519</v>
          </cell>
          <cell r="C951" t="str">
            <v xml:space="preserve">BRANCHINI SERVICOS </v>
          </cell>
          <cell r="D951">
            <v>8108.83</v>
          </cell>
          <cell r="E951" t="str">
            <v>C</v>
          </cell>
          <cell r="G951">
            <v>8038.83</v>
          </cell>
          <cell r="H951">
            <v>9613.59</v>
          </cell>
          <cell r="I951">
            <v>1574.76</v>
          </cell>
          <cell r="J951">
            <v>9683.59</v>
          </cell>
          <cell r="K951" t="str">
            <v>C</v>
          </cell>
        </row>
        <row r="952">
          <cell r="A952">
            <v>54565</v>
          </cell>
          <cell r="B952" t="str">
            <v>2.1.01.020.0525</v>
          </cell>
          <cell r="C952" t="str">
            <v xml:space="preserve">GRAZIELA TAVARES MIOLA </v>
          </cell>
          <cell r="D952">
            <v>20</v>
          </cell>
          <cell r="E952" t="str">
            <v>C</v>
          </cell>
          <cell r="G952">
            <v>0</v>
          </cell>
          <cell r="H952">
            <v>0</v>
          </cell>
          <cell r="I952">
            <v>0</v>
          </cell>
          <cell r="J952">
            <v>20</v>
          </cell>
          <cell r="K952" t="str">
            <v>C</v>
          </cell>
        </row>
        <row r="953">
          <cell r="A953">
            <v>54593</v>
          </cell>
          <cell r="B953" t="str">
            <v>2.1.01.020.0526</v>
          </cell>
          <cell r="C953" t="str">
            <v>WALDOMIRO GRANDI JUNIOR</v>
          </cell>
          <cell r="D953">
            <v>2639.56</v>
          </cell>
          <cell r="E953" t="str">
            <v>C</v>
          </cell>
          <cell r="G953">
            <v>2841.44</v>
          </cell>
          <cell r="H953">
            <v>1816.64</v>
          </cell>
          <cell r="I953">
            <v>-1024.8</v>
          </cell>
          <cell r="J953">
            <v>1614.76</v>
          </cell>
          <cell r="K953" t="str">
            <v>C</v>
          </cell>
        </row>
        <row r="954">
          <cell r="A954">
            <v>54629</v>
          </cell>
          <cell r="B954" t="str">
            <v>2.1.01.020.0530</v>
          </cell>
          <cell r="C954" t="str">
            <v>JOSE SPARTACO VIAL</v>
          </cell>
          <cell r="D954">
            <v>405.83</v>
          </cell>
          <cell r="E954" t="str">
            <v>C</v>
          </cell>
          <cell r="G954">
            <v>0</v>
          </cell>
          <cell r="H954">
            <v>0</v>
          </cell>
          <cell r="I954">
            <v>0</v>
          </cell>
          <cell r="J954">
            <v>405.83</v>
          </cell>
          <cell r="K954" t="str">
            <v>C</v>
          </cell>
        </row>
        <row r="955">
          <cell r="A955">
            <v>54569</v>
          </cell>
          <cell r="B955" t="str">
            <v>2.1.01.020.0531</v>
          </cell>
          <cell r="C955" t="str">
            <v xml:space="preserve">ANA LUIZA SANTOS </v>
          </cell>
          <cell r="D955">
            <v>206.74</v>
          </cell>
          <cell r="E955" t="str">
            <v>C</v>
          </cell>
          <cell r="G955">
            <v>0</v>
          </cell>
          <cell r="H955">
            <v>0</v>
          </cell>
          <cell r="I955">
            <v>0</v>
          </cell>
          <cell r="J955">
            <v>206.74</v>
          </cell>
          <cell r="K955" t="str">
            <v>C</v>
          </cell>
        </row>
        <row r="956">
          <cell r="A956">
            <v>55000</v>
          </cell>
          <cell r="B956" t="str">
            <v>2.1.01.020.0536</v>
          </cell>
          <cell r="C956" t="str">
            <v>FERNANDA COCCOLIN</v>
          </cell>
          <cell r="D956">
            <v>1489.6</v>
          </cell>
          <cell r="E956" t="str">
            <v>C</v>
          </cell>
          <cell r="G956">
            <v>1489.6</v>
          </cell>
          <cell r="H956">
            <v>1215.2</v>
          </cell>
          <cell r="I956">
            <v>-274.39999999999998</v>
          </cell>
          <cell r="J956">
            <v>1215.2</v>
          </cell>
          <cell r="K956" t="str">
            <v>C</v>
          </cell>
        </row>
        <row r="957">
          <cell r="A957">
            <v>55038</v>
          </cell>
          <cell r="B957" t="str">
            <v>2.1.01.020.0537</v>
          </cell>
          <cell r="C957" t="str">
            <v xml:space="preserve">PAULO CANDIDO DE </v>
          </cell>
          <cell r="D957">
            <v>1772.4</v>
          </cell>
          <cell r="E957" t="str">
            <v>C</v>
          </cell>
          <cell r="G957">
            <v>2184.34</v>
          </cell>
          <cell r="H957">
            <v>2406.98</v>
          </cell>
          <cell r="I957">
            <v>222.64</v>
          </cell>
          <cell r="J957">
            <v>1995.04</v>
          </cell>
          <cell r="K957" t="str">
            <v>C</v>
          </cell>
        </row>
        <row r="958">
          <cell r="A958">
            <v>55099</v>
          </cell>
          <cell r="B958" t="str">
            <v>2.1.01.020.0538</v>
          </cell>
          <cell r="C958" t="str">
            <v>LAURO MASCARENHAS PINTO</v>
          </cell>
          <cell r="D958">
            <v>1153.56</v>
          </cell>
          <cell r="E958" t="str">
            <v>C</v>
          </cell>
          <cell r="G958">
            <v>0</v>
          </cell>
          <cell r="H958">
            <v>0</v>
          </cell>
          <cell r="I958">
            <v>0</v>
          </cell>
          <cell r="J958">
            <v>1153.56</v>
          </cell>
          <cell r="K958" t="str">
            <v>C</v>
          </cell>
        </row>
        <row r="959">
          <cell r="A959">
            <v>55405</v>
          </cell>
          <cell r="B959" t="str">
            <v>2.1.01.020.0542</v>
          </cell>
          <cell r="C959" t="str">
            <v xml:space="preserve">MARIA CLARA BITTENCOURT </v>
          </cell>
          <cell r="D959">
            <v>26.24</v>
          </cell>
          <cell r="E959" t="str">
            <v>C</v>
          </cell>
          <cell r="G959">
            <v>0</v>
          </cell>
          <cell r="H959">
            <v>0</v>
          </cell>
          <cell r="I959">
            <v>0</v>
          </cell>
          <cell r="J959">
            <v>26.24</v>
          </cell>
          <cell r="K959" t="str">
            <v>C</v>
          </cell>
        </row>
        <row r="960">
          <cell r="A960">
            <v>55870</v>
          </cell>
          <cell r="B960" t="str">
            <v>2.1.01.020.0551</v>
          </cell>
          <cell r="C960" t="str">
            <v xml:space="preserve">RAFAEL CAVALCANTE </v>
          </cell>
          <cell r="D960">
            <v>6845.36</v>
          </cell>
          <cell r="E960" t="str">
            <v>C</v>
          </cell>
          <cell r="G960">
            <v>6845.36</v>
          </cell>
          <cell r="H960">
            <v>0</v>
          </cell>
          <cell r="I960">
            <v>-6845.36</v>
          </cell>
          <cell r="J960">
            <v>0</v>
          </cell>
          <cell r="K960" t="str">
            <v>C</v>
          </cell>
        </row>
        <row r="961">
          <cell r="A961">
            <v>55874</v>
          </cell>
          <cell r="B961" t="str">
            <v>2.1.01.020.0552</v>
          </cell>
          <cell r="C961" t="str">
            <v>ESTEFANE MACHADO</v>
          </cell>
          <cell r="D961">
            <v>814.8</v>
          </cell>
          <cell r="E961" t="str">
            <v>C</v>
          </cell>
          <cell r="G961">
            <v>963.76</v>
          </cell>
          <cell r="H961">
            <v>963.76</v>
          </cell>
          <cell r="I961">
            <v>0</v>
          </cell>
          <cell r="J961">
            <v>814.8</v>
          </cell>
          <cell r="K961" t="str">
            <v>C</v>
          </cell>
        </row>
        <row r="962">
          <cell r="A962">
            <v>55264</v>
          </cell>
          <cell r="B962" t="str">
            <v>2.1.01.020.0553</v>
          </cell>
          <cell r="C962" t="str">
            <v>MARCELO MAROTTA ARAUJO</v>
          </cell>
          <cell r="D962">
            <v>183.68</v>
          </cell>
          <cell r="E962" t="str">
            <v>C</v>
          </cell>
          <cell r="G962">
            <v>0</v>
          </cell>
          <cell r="H962">
            <v>0</v>
          </cell>
          <cell r="I962">
            <v>0</v>
          </cell>
          <cell r="J962">
            <v>183.68</v>
          </cell>
          <cell r="K962" t="str">
            <v>C</v>
          </cell>
        </row>
        <row r="963">
          <cell r="A963">
            <v>55900</v>
          </cell>
          <cell r="B963" t="str">
            <v>2.1.01.020.0554</v>
          </cell>
          <cell r="C963" t="str">
            <v>CINTIA NAVARRO LAMAS</v>
          </cell>
          <cell r="D963">
            <v>338.54</v>
          </cell>
          <cell r="E963" t="str">
            <v>C</v>
          </cell>
          <cell r="G963">
            <v>0</v>
          </cell>
          <cell r="H963">
            <v>0</v>
          </cell>
          <cell r="I963">
            <v>0</v>
          </cell>
          <cell r="J963">
            <v>338.54</v>
          </cell>
          <cell r="K963" t="str">
            <v>C</v>
          </cell>
        </row>
        <row r="964">
          <cell r="A964">
            <v>55957</v>
          </cell>
          <cell r="B964" t="str">
            <v>2.1.01.020.0555</v>
          </cell>
          <cell r="C964" t="str">
            <v>MARIANA COSTA</v>
          </cell>
          <cell r="D964">
            <v>2107.77</v>
          </cell>
          <cell r="E964" t="str">
            <v>C</v>
          </cell>
          <cell r="G964">
            <v>0</v>
          </cell>
          <cell r="H964">
            <v>0</v>
          </cell>
          <cell r="I964">
            <v>0</v>
          </cell>
          <cell r="J964">
            <v>2107.77</v>
          </cell>
          <cell r="K964" t="str">
            <v>C</v>
          </cell>
        </row>
        <row r="965">
          <cell r="A965">
            <v>55280</v>
          </cell>
          <cell r="B965" t="str">
            <v>2.1.01.020.0556</v>
          </cell>
          <cell r="C965" t="str">
            <v xml:space="preserve">MARCELO DA MOTTA </v>
          </cell>
          <cell r="D965">
            <v>0</v>
          </cell>
          <cell r="E965" t="str">
            <v>C</v>
          </cell>
          <cell r="G965">
            <v>0</v>
          </cell>
          <cell r="H965">
            <v>160</v>
          </cell>
          <cell r="I965">
            <v>160</v>
          </cell>
          <cell r="J965">
            <v>160</v>
          </cell>
          <cell r="K965" t="str">
            <v>C</v>
          </cell>
        </row>
        <row r="966">
          <cell r="A966">
            <v>37181</v>
          </cell>
          <cell r="B966" t="str">
            <v>2.1.01.021</v>
          </cell>
          <cell r="C966" t="str">
            <v xml:space="preserve">HONORARIOS DIVERSOS A </v>
          </cell>
          <cell r="D966">
            <v>3946901.29</v>
          </cell>
          <cell r="E966" t="str">
            <v>C</v>
          </cell>
          <cell r="G966">
            <v>2304498.0699999998</v>
          </cell>
          <cell r="H966">
            <v>1758212.88</v>
          </cell>
          <cell r="I966">
            <v>-546285.18999999994</v>
          </cell>
          <cell r="J966">
            <v>3400616.1</v>
          </cell>
          <cell r="K966" t="str">
            <v>C</v>
          </cell>
        </row>
        <row r="967">
          <cell r="A967">
            <v>33981</v>
          </cell>
          <cell r="B967" t="str">
            <v>2.1.01.021.0001</v>
          </cell>
          <cell r="C967" t="str">
            <v>HONORARIOS MEDICOS PJ/PF</v>
          </cell>
          <cell r="D967">
            <v>3946901.29</v>
          </cell>
          <cell r="E967" t="str">
            <v>C</v>
          </cell>
          <cell r="G967">
            <v>2304498.0699999998</v>
          </cell>
          <cell r="H967">
            <v>1758212.88</v>
          </cell>
          <cell r="I967">
            <v>-546285.18999999994</v>
          </cell>
          <cell r="J967">
            <v>3400616.1</v>
          </cell>
          <cell r="K967" t="str">
            <v>C</v>
          </cell>
        </row>
        <row r="968">
          <cell r="A968">
            <v>2274</v>
          </cell>
          <cell r="B968" t="str">
            <v>2.1.02</v>
          </cell>
          <cell r="C968" t="str">
            <v>OBRIGACOES</v>
          </cell>
          <cell r="D968">
            <v>11075668.82</v>
          </cell>
          <cell r="E968" t="str">
            <v>C</v>
          </cell>
          <cell r="G968">
            <v>16133747.08</v>
          </cell>
          <cell r="H968">
            <v>16284756.810000001</v>
          </cell>
          <cell r="I968">
            <v>151009.73000000001</v>
          </cell>
          <cell r="J968">
            <v>11226678.550000001</v>
          </cell>
          <cell r="K968" t="str">
            <v>C</v>
          </cell>
        </row>
        <row r="969">
          <cell r="A969">
            <v>2275</v>
          </cell>
          <cell r="B969" t="str">
            <v>2.1.02.010</v>
          </cell>
          <cell r="C969" t="str">
            <v>OBRIGACOES TRABALHISTAS</v>
          </cell>
          <cell r="D969">
            <v>3128938.34</v>
          </cell>
          <cell r="E969" t="str">
            <v>C</v>
          </cell>
          <cell r="G969">
            <v>12046857.289999999</v>
          </cell>
          <cell r="H969">
            <v>12196462.060000001</v>
          </cell>
          <cell r="I969">
            <v>149604.76999999999</v>
          </cell>
          <cell r="J969">
            <v>3278543.11</v>
          </cell>
          <cell r="K969" t="str">
            <v>C</v>
          </cell>
        </row>
        <row r="970">
          <cell r="A970">
            <v>2285</v>
          </cell>
          <cell r="B970" t="str">
            <v>2.1.02.010.0001</v>
          </cell>
          <cell r="C970" t="str">
            <v xml:space="preserve">SALARIOS A PAGAR </v>
          </cell>
          <cell r="D970">
            <v>3092085.31</v>
          </cell>
          <cell r="E970" t="str">
            <v>C</v>
          </cell>
          <cell r="G970">
            <v>11578186.75</v>
          </cell>
          <cell r="H970">
            <v>11745563.65</v>
          </cell>
          <cell r="I970">
            <v>167376.9</v>
          </cell>
          <cell r="J970">
            <v>3259462.21</v>
          </cell>
          <cell r="K970" t="str">
            <v>C</v>
          </cell>
        </row>
        <row r="971">
          <cell r="A971">
            <v>2298</v>
          </cell>
          <cell r="B971" t="str">
            <v>2.1.02.010.0002</v>
          </cell>
          <cell r="C971" t="str">
            <v xml:space="preserve">RESCISOES CONTRATUAIS A </v>
          </cell>
          <cell r="D971">
            <v>36853.03</v>
          </cell>
          <cell r="E971" t="str">
            <v>C</v>
          </cell>
          <cell r="G971">
            <v>468670.54</v>
          </cell>
          <cell r="H971">
            <v>450898.41</v>
          </cell>
          <cell r="I971">
            <v>-17772.13</v>
          </cell>
          <cell r="J971">
            <v>19080.900000000001</v>
          </cell>
          <cell r="K971" t="str">
            <v>C</v>
          </cell>
        </row>
        <row r="972">
          <cell r="A972">
            <v>37280</v>
          </cell>
          <cell r="B972" t="str">
            <v>2.1.02.020</v>
          </cell>
          <cell r="C972" t="str">
            <v>PROVISOES TRABALHISTAS</v>
          </cell>
          <cell r="D972">
            <v>4307784.91</v>
          </cell>
          <cell r="E972" t="str">
            <v>C</v>
          </cell>
          <cell r="G972">
            <v>684583.44</v>
          </cell>
          <cell r="H972">
            <v>892908.01</v>
          </cell>
          <cell r="I972">
            <v>208324.57</v>
          </cell>
          <cell r="J972">
            <v>4516109.4800000004</v>
          </cell>
          <cell r="K972" t="str">
            <v>C</v>
          </cell>
        </row>
        <row r="973">
          <cell r="A973">
            <v>2064</v>
          </cell>
          <cell r="B973" t="str">
            <v>2.1.02.020.0002</v>
          </cell>
          <cell r="C973" t="str">
            <v>PROVISAO DE FERIAS</v>
          </cell>
          <cell r="D973">
            <v>3957618.76</v>
          </cell>
          <cell r="E973" t="str">
            <v>C</v>
          </cell>
          <cell r="G973">
            <v>578389.12</v>
          </cell>
          <cell r="H973">
            <v>487573.55</v>
          </cell>
          <cell r="I973">
            <v>-90815.57</v>
          </cell>
          <cell r="J973">
            <v>3866803.19</v>
          </cell>
          <cell r="K973" t="str">
            <v>C</v>
          </cell>
        </row>
        <row r="974">
          <cell r="A974">
            <v>2058</v>
          </cell>
          <cell r="B974" t="str">
            <v>2.1.02.020.0003</v>
          </cell>
          <cell r="C974" t="str">
            <v>PROVISAO PARA 13º SALARIO</v>
          </cell>
          <cell r="D974">
            <v>350166.15</v>
          </cell>
          <cell r="E974" t="str">
            <v>C</v>
          </cell>
          <cell r="G974">
            <v>106194.32</v>
          </cell>
          <cell r="H974">
            <v>405334.46</v>
          </cell>
          <cell r="I974">
            <v>299140.14</v>
          </cell>
          <cell r="J974">
            <v>649306.29</v>
          </cell>
          <cell r="K974" t="str">
            <v>C</v>
          </cell>
        </row>
        <row r="975">
          <cell r="A975">
            <v>4260</v>
          </cell>
          <cell r="B975" t="str">
            <v>2.1.02.030</v>
          </cell>
          <cell r="C975" t="str">
            <v xml:space="preserve">OUTROS OBRIGACOES </v>
          </cell>
          <cell r="D975">
            <v>1531405.59</v>
          </cell>
          <cell r="E975" t="str">
            <v>C</v>
          </cell>
          <cell r="G975">
            <v>599221.27</v>
          </cell>
          <cell r="H975">
            <v>452759.09</v>
          </cell>
          <cell r="I975">
            <v>-146462.18</v>
          </cell>
          <cell r="J975">
            <v>1384943.41</v>
          </cell>
          <cell r="K975" t="str">
            <v>C</v>
          </cell>
        </row>
        <row r="976">
          <cell r="A976">
            <v>4279</v>
          </cell>
          <cell r="B976" t="str">
            <v>2.1.02.030.0001</v>
          </cell>
          <cell r="C976" t="str">
            <v xml:space="preserve">ACORDO TRABALHISTA </v>
          </cell>
          <cell r="D976">
            <v>1190313.51</v>
          </cell>
          <cell r="E976" t="str">
            <v>C</v>
          </cell>
          <cell r="G976">
            <v>120763.25</v>
          </cell>
          <cell r="H976">
            <v>0</v>
          </cell>
          <cell r="I976">
            <v>-120763.25</v>
          </cell>
          <cell r="J976">
            <v>1069550.26</v>
          </cell>
          <cell r="K976" t="str">
            <v>C</v>
          </cell>
        </row>
        <row r="977">
          <cell r="A977">
            <v>37823</v>
          </cell>
          <cell r="B977" t="str">
            <v>2.1.02.030.0003</v>
          </cell>
          <cell r="C977" t="str">
            <v xml:space="preserve">CONVENIO FARMACIA </v>
          </cell>
          <cell r="D977">
            <v>19891.12</v>
          </cell>
          <cell r="E977" t="str">
            <v>C</v>
          </cell>
          <cell r="G977">
            <v>19891.12</v>
          </cell>
          <cell r="H977">
            <v>17414.990000000002</v>
          </cell>
          <cell r="I977">
            <v>-2476.13</v>
          </cell>
          <cell r="J977">
            <v>17414.990000000002</v>
          </cell>
          <cell r="K977" t="str">
            <v>C</v>
          </cell>
        </row>
        <row r="978">
          <cell r="A978">
            <v>37824</v>
          </cell>
          <cell r="B978" t="str">
            <v>2.1.02.030.0004</v>
          </cell>
          <cell r="C978" t="str">
            <v>CONVENIO ODONTOLOGICO</v>
          </cell>
          <cell r="D978">
            <v>0</v>
          </cell>
          <cell r="E978" t="str">
            <v>C</v>
          </cell>
          <cell r="G978">
            <v>35078.400000000001</v>
          </cell>
          <cell r="H978">
            <v>35078.400000000001</v>
          </cell>
          <cell r="I978">
            <v>0</v>
          </cell>
          <cell r="J978">
            <v>0</v>
          </cell>
          <cell r="K978" t="str">
            <v>C</v>
          </cell>
        </row>
        <row r="979">
          <cell r="A979">
            <v>4282</v>
          </cell>
          <cell r="B979" t="str">
            <v>2.1.02.030.0005</v>
          </cell>
          <cell r="C979" t="str">
            <v xml:space="preserve">EMPRESTIMO CONSIGNADO </v>
          </cell>
          <cell r="D979">
            <v>215517.6</v>
          </cell>
          <cell r="E979" t="str">
            <v>C</v>
          </cell>
          <cell r="G979">
            <v>215954.6</v>
          </cell>
          <cell r="H979">
            <v>224778.9</v>
          </cell>
          <cell r="I979">
            <v>8824.2999999999993</v>
          </cell>
          <cell r="J979">
            <v>224341.9</v>
          </cell>
          <cell r="K979" t="str">
            <v>C</v>
          </cell>
        </row>
        <row r="980">
          <cell r="A980">
            <v>4274</v>
          </cell>
          <cell r="B980" t="str">
            <v>2.1.02.030.0007</v>
          </cell>
          <cell r="C980" t="str">
            <v xml:space="preserve">PENSAO ALIMENTICA </v>
          </cell>
          <cell r="D980">
            <v>22831.51</v>
          </cell>
          <cell r="E980" t="str">
            <v>C</v>
          </cell>
          <cell r="G980">
            <v>40654.65</v>
          </cell>
          <cell r="H980">
            <v>35613.35</v>
          </cell>
          <cell r="I980">
            <v>-5041.3</v>
          </cell>
          <cell r="J980">
            <v>17790.21</v>
          </cell>
          <cell r="K980" t="str">
            <v>C</v>
          </cell>
        </row>
        <row r="981">
          <cell r="A981">
            <v>38316</v>
          </cell>
          <cell r="B981" t="str">
            <v>2.1.02.030.0008</v>
          </cell>
          <cell r="C981" t="str">
            <v xml:space="preserve">LANCHONETE </v>
          </cell>
          <cell r="D981">
            <v>30874.6</v>
          </cell>
          <cell r="E981" t="str">
            <v>C</v>
          </cell>
          <cell r="G981">
            <v>30874.6</v>
          </cell>
          <cell r="H981">
            <v>35400.050000000003</v>
          </cell>
          <cell r="I981">
            <v>4525.45</v>
          </cell>
          <cell r="J981">
            <v>35400.050000000003</v>
          </cell>
          <cell r="K981" t="str">
            <v>C</v>
          </cell>
        </row>
        <row r="982">
          <cell r="A982">
            <v>51359</v>
          </cell>
          <cell r="B982" t="str">
            <v>2.1.02.030.0010</v>
          </cell>
          <cell r="C982" t="str">
            <v>CONVENIO THERMAS DO VALE</v>
          </cell>
          <cell r="D982">
            <v>6059</v>
          </cell>
          <cell r="E982" t="str">
            <v>C</v>
          </cell>
          <cell r="G982">
            <v>12118</v>
          </cell>
          <cell r="H982">
            <v>13031</v>
          </cell>
          <cell r="I982">
            <v>913</v>
          </cell>
          <cell r="J982">
            <v>6972</v>
          </cell>
          <cell r="K982" t="str">
            <v>C</v>
          </cell>
        </row>
        <row r="983">
          <cell r="A983">
            <v>50983</v>
          </cell>
          <cell r="B983" t="str">
            <v>2.1.02.030.0012</v>
          </cell>
          <cell r="C983" t="str">
            <v xml:space="preserve">ESTAGIARIOS E </v>
          </cell>
          <cell r="D983">
            <v>0</v>
          </cell>
          <cell r="E983" t="str">
            <v>C</v>
          </cell>
          <cell r="G983">
            <v>1560</v>
          </cell>
          <cell r="H983">
            <v>1560</v>
          </cell>
          <cell r="I983">
            <v>0</v>
          </cell>
          <cell r="J983">
            <v>0</v>
          </cell>
          <cell r="K983" t="str">
            <v>C</v>
          </cell>
        </row>
        <row r="984">
          <cell r="A984">
            <v>54127</v>
          </cell>
          <cell r="B984" t="str">
            <v>2.1.02.030.0013</v>
          </cell>
          <cell r="C984" t="str">
            <v>CONVENIO MEDICO</v>
          </cell>
          <cell r="D984">
            <v>44157.760000000002</v>
          </cell>
          <cell r="E984" t="str">
            <v>C</v>
          </cell>
          <cell r="G984">
            <v>122326.65</v>
          </cell>
          <cell r="H984">
            <v>89882.4</v>
          </cell>
          <cell r="I984">
            <v>-32444.25</v>
          </cell>
          <cell r="J984">
            <v>11713.51</v>
          </cell>
          <cell r="K984" t="str">
            <v>C</v>
          </cell>
        </row>
        <row r="985">
          <cell r="A985">
            <v>55206</v>
          </cell>
          <cell r="B985" t="str">
            <v>2.1.02.030.0014</v>
          </cell>
          <cell r="C985" t="str">
            <v>DEPOSITO PENHORA JUDICIAL</v>
          </cell>
          <cell r="D985">
            <v>1760.49</v>
          </cell>
          <cell r="E985" t="str">
            <v>C</v>
          </cell>
          <cell r="G985">
            <v>0</v>
          </cell>
          <cell r="H985">
            <v>0</v>
          </cell>
          <cell r="I985">
            <v>0</v>
          </cell>
          <cell r="J985">
            <v>1760.49</v>
          </cell>
          <cell r="K985" t="str">
            <v>C</v>
          </cell>
        </row>
        <row r="986">
          <cell r="A986">
            <v>2112</v>
          </cell>
          <cell r="B986" t="str">
            <v>2.1.02.040</v>
          </cell>
          <cell r="C986" t="str">
            <v xml:space="preserve">OBRIGACOES </v>
          </cell>
          <cell r="D986">
            <v>1623957.96</v>
          </cell>
          <cell r="E986" t="str">
            <v>C</v>
          </cell>
          <cell r="G986">
            <v>1918957.3</v>
          </cell>
          <cell r="H986">
            <v>1968801</v>
          </cell>
          <cell r="I986">
            <v>49843.7</v>
          </cell>
          <cell r="J986">
            <v>1673801.66</v>
          </cell>
          <cell r="K986" t="str">
            <v>C</v>
          </cell>
        </row>
        <row r="987">
          <cell r="A987">
            <v>12428</v>
          </cell>
          <cell r="B987" t="str">
            <v>2.1.02.040.0001</v>
          </cell>
          <cell r="C987" t="str">
            <v xml:space="preserve">CONTRIBUICOES </v>
          </cell>
          <cell r="D987">
            <v>377950.1</v>
          </cell>
          <cell r="E987" t="str">
            <v>C</v>
          </cell>
          <cell r="G987">
            <v>415187.49</v>
          </cell>
          <cell r="H987">
            <v>425931.42</v>
          </cell>
          <cell r="I987">
            <v>10743.93</v>
          </cell>
          <cell r="J987">
            <v>388694.03</v>
          </cell>
          <cell r="K987" t="str">
            <v>C</v>
          </cell>
        </row>
        <row r="988">
          <cell r="A988">
            <v>2129</v>
          </cell>
          <cell r="B988" t="str">
            <v>2.1.02.040.0002</v>
          </cell>
          <cell r="C988" t="str">
            <v xml:space="preserve">FGTS A RECOLHER </v>
          </cell>
          <cell r="D988">
            <v>356747.44</v>
          </cell>
          <cell r="E988" t="str">
            <v>C</v>
          </cell>
          <cell r="G988">
            <v>358787.28</v>
          </cell>
          <cell r="H988">
            <v>367987.7</v>
          </cell>
          <cell r="I988">
            <v>9200.42</v>
          </cell>
          <cell r="J988">
            <v>365947.86</v>
          </cell>
          <cell r="K988" t="str">
            <v>C</v>
          </cell>
        </row>
        <row r="989">
          <cell r="A989">
            <v>38241</v>
          </cell>
          <cell r="B989" t="str">
            <v>2.1.02.040.0003</v>
          </cell>
          <cell r="C989" t="str">
            <v>FGTS A RECOLHER - MULTA</v>
          </cell>
          <cell r="D989">
            <v>7705.52</v>
          </cell>
          <cell r="E989" t="str">
            <v>C</v>
          </cell>
          <cell r="G989">
            <v>513745.79</v>
          </cell>
          <cell r="H989">
            <v>508909.85</v>
          </cell>
          <cell r="I989">
            <v>-4835.9399999999996</v>
          </cell>
          <cell r="J989">
            <v>2869.58</v>
          </cell>
          <cell r="K989" t="str">
            <v>C</v>
          </cell>
        </row>
        <row r="990">
          <cell r="A990">
            <v>2141</v>
          </cell>
          <cell r="B990" t="str">
            <v>2.1.02.040.0004</v>
          </cell>
          <cell r="C990" t="str">
            <v>0561 IRRF COLABORADOR</v>
          </cell>
          <cell r="D990">
            <v>402391.9</v>
          </cell>
          <cell r="E990" t="str">
            <v>C</v>
          </cell>
          <cell r="G990">
            <v>182070.3</v>
          </cell>
          <cell r="H990">
            <v>192571.58</v>
          </cell>
          <cell r="I990">
            <v>10501.28</v>
          </cell>
          <cell r="J990">
            <v>412893.18</v>
          </cell>
          <cell r="K990" t="str">
            <v>C</v>
          </cell>
        </row>
        <row r="991">
          <cell r="A991">
            <v>2149</v>
          </cell>
          <cell r="B991" t="str">
            <v>2.1.02.040.0006</v>
          </cell>
          <cell r="C991" t="str">
            <v>0588 IRRF TERCEIROS PF</v>
          </cell>
          <cell r="D991">
            <v>37835.75</v>
          </cell>
          <cell r="E991" t="str">
            <v>C</v>
          </cell>
          <cell r="G991">
            <v>18691.32</v>
          </cell>
          <cell r="H991">
            <v>32297.81</v>
          </cell>
          <cell r="I991">
            <v>13606.49</v>
          </cell>
          <cell r="J991">
            <v>51442.239999999998</v>
          </cell>
          <cell r="K991" t="str">
            <v>C</v>
          </cell>
        </row>
        <row r="992">
          <cell r="A992">
            <v>2147</v>
          </cell>
          <cell r="B992" t="str">
            <v>2.1.02.040.0007</v>
          </cell>
          <cell r="C992" t="str">
            <v xml:space="preserve">1708 IRRF TERCEIROS PJ </v>
          </cell>
          <cell r="D992">
            <v>81855.25</v>
          </cell>
          <cell r="E992" t="str">
            <v>C</v>
          </cell>
          <cell r="G992">
            <v>82479.06</v>
          </cell>
          <cell r="H992">
            <v>91045.02</v>
          </cell>
          <cell r="I992">
            <v>8565.9599999999991</v>
          </cell>
          <cell r="J992">
            <v>90421.21</v>
          </cell>
          <cell r="K992" t="str">
            <v>C</v>
          </cell>
        </row>
        <row r="993">
          <cell r="A993">
            <v>2152</v>
          </cell>
          <cell r="B993" t="str">
            <v>2.1.02.040.0008</v>
          </cell>
          <cell r="C993" t="str">
            <v xml:space="preserve">3208 IRRF TERCEIROS </v>
          </cell>
          <cell r="D993">
            <v>14412.81</v>
          </cell>
          <cell r="E993" t="str">
            <v>C</v>
          </cell>
          <cell r="G993">
            <v>14412.81</v>
          </cell>
          <cell r="H993">
            <v>13923.21</v>
          </cell>
          <cell r="I993">
            <v>-489.6</v>
          </cell>
          <cell r="J993">
            <v>13923.21</v>
          </cell>
          <cell r="K993" t="str">
            <v>C</v>
          </cell>
        </row>
        <row r="994">
          <cell r="A994">
            <v>2182</v>
          </cell>
          <cell r="B994" t="str">
            <v>2.1.02.040.0010</v>
          </cell>
          <cell r="C994" t="str">
            <v xml:space="preserve">CONTRIBUICOES </v>
          </cell>
          <cell r="D994">
            <v>86361.85</v>
          </cell>
          <cell r="E994" t="str">
            <v>C</v>
          </cell>
          <cell r="G994">
            <v>85968.14</v>
          </cell>
          <cell r="H994">
            <v>55950.45</v>
          </cell>
          <cell r="I994">
            <v>-30017.69</v>
          </cell>
          <cell r="J994">
            <v>56344.160000000003</v>
          </cell>
          <cell r="K994" t="str">
            <v>C</v>
          </cell>
        </row>
        <row r="995">
          <cell r="A995">
            <v>2194</v>
          </cell>
          <cell r="B995" t="str">
            <v>2.1.02.040.0011</v>
          </cell>
          <cell r="C995" t="str">
            <v xml:space="preserve">5952 RETENCOES CSSL </v>
          </cell>
          <cell r="D995">
            <v>258697.34</v>
          </cell>
          <cell r="E995" t="str">
            <v>C</v>
          </cell>
          <cell r="G995">
            <v>247615.11</v>
          </cell>
          <cell r="H995">
            <v>280183.96000000002</v>
          </cell>
          <cell r="I995">
            <v>32568.85</v>
          </cell>
          <cell r="J995">
            <v>291266.19</v>
          </cell>
          <cell r="K995" t="str">
            <v>C</v>
          </cell>
        </row>
        <row r="996">
          <cell r="A996">
            <v>2195</v>
          </cell>
          <cell r="B996" t="str">
            <v>2.1.02.050</v>
          </cell>
          <cell r="C996" t="str">
            <v xml:space="preserve">PARCELAMENTO DE </v>
          </cell>
          <cell r="D996">
            <v>363103.54</v>
          </cell>
          <cell r="E996" t="str">
            <v>C</v>
          </cell>
          <cell r="G996">
            <v>759230.99</v>
          </cell>
          <cell r="H996">
            <v>680465.27</v>
          </cell>
          <cell r="I996">
            <v>-78765.72</v>
          </cell>
          <cell r="J996">
            <v>284337.82</v>
          </cell>
          <cell r="K996" t="str">
            <v>C</v>
          </cell>
        </row>
        <row r="997">
          <cell r="A997">
            <v>34046</v>
          </cell>
          <cell r="B997" t="str">
            <v>2.1.02.050.0008</v>
          </cell>
          <cell r="C997" t="str">
            <v xml:space="preserve">1345 MULTA PARCELAMENTO </v>
          </cell>
          <cell r="D997">
            <v>62831.65</v>
          </cell>
          <cell r="E997" t="str">
            <v>C</v>
          </cell>
          <cell r="G997">
            <v>636961.37</v>
          </cell>
          <cell r="H997">
            <v>618716.76</v>
          </cell>
          <cell r="I997">
            <v>-18244.61</v>
          </cell>
          <cell r="J997">
            <v>44587.040000000001</v>
          </cell>
          <cell r="K997" t="str">
            <v>C</v>
          </cell>
        </row>
        <row r="998">
          <cell r="A998">
            <v>33116</v>
          </cell>
          <cell r="B998" t="str">
            <v>2.1.02.050.0015</v>
          </cell>
          <cell r="C998" t="str">
            <v xml:space="preserve">FGTS PARCELAMENTO </v>
          </cell>
          <cell r="D998">
            <v>300271.89</v>
          </cell>
          <cell r="E998" t="str">
            <v>C</v>
          </cell>
          <cell r="G998">
            <v>122269.62</v>
          </cell>
          <cell r="H998">
            <v>61748.51</v>
          </cell>
          <cell r="I998">
            <v>-60521.11</v>
          </cell>
          <cell r="J998">
            <v>239750.78</v>
          </cell>
          <cell r="K998" t="str">
            <v>C</v>
          </cell>
        </row>
        <row r="999">
          <cell r="A999">
            <v>53063</v>
          </cell>
          <cell r="B999" t="str">
            <v>2.1.02.060</v>
          </cell>
          <cell r="C999" t="str">
            <v>CONTRIBUICOES</v>
          </cell>
          <cell r="D999">
            <v>3863.85</v>
          </cell>
          <cell r="E999" t="str">
            <v>C</v>
          </cell>
          <cell r="G999">
            <v>4367.3500000000004</v>
          </cell>
          <cell r="H999">
            <v>4427.2299999999996</v>
          </cell>
          <cell r="I999">
            <v>59.88</v>
          </cell>
          <cell r="J999">
            <v>3923.73</v>
          </cell>
          <cell r="K999" t="str">
            <v>C</v>
          </cell>
        </row>
        <row r="1000">
          <cell r="A1000">
            <v>2188</v>
          </cell>
          <cell r="B1000" t="str">
            <v>2.1.02.060.0001</v>
          </cell>
          <cell r="C1000" t="str">
            <v xml:space="preserve">CONTRIBUICAO </v>
          </cell>
          <cell r="D1000">
            <v>1797.81</v>
          </cell>
          <cell r="E1000" t="str">
            <v>C</v>
          </cell>
          <cell r="G1000">
            <v>1797.81</v>
          </cell>
          <cell r="H1000">
            <v>1845.25</v>
          </cell>
          <cell r="I1000">
            <v>47.44</v>
          </cell>
          <cell r="J1000">
            <v>1845.25</v>
          </cell>
          <cell r="K1000" t="str">
            <v>C</v>
          </cell>
        </row>
        <row r="1001">
          <cell r="A1001">
            <v>2190</v>
          </cell>
          <cell r="B1001" t="str">
            <v>2.1.02.060.0002</v>
          </cell>
          <cell r="C1001" t="str">
            <v xml:space="preserve">CONTRIBUICOES SINDICAL </v>
          </cell>
          <cell r="D1001">
            <v>0</v>
          </cell>
          <cell r="E1001" t="str">
            <v>C</v>
          </cell>
          <cell r="G1001">
            <v>478.5</v>
          </cell>
          <cell r="H1001">
            <v>478.5</v>
          </cell>
          <cell r="I1001">
            <v>0</v>
          </cell>
          <cell r="J1001">
            <v>0</v>
          </cell>
          <cell r="K1001" t="str">
            <v>C</v>
          </cell>
        </row>
        <row r="1002">
          <cell r="A1002">
            <v>2192</v>
          </cell>
          <cell r="B1002" t="str">
            <v>2.1.02.060.0003</v>
          </cell>
          <cell r="C1002" t="str">
            <v>MENSALIDADE SINDICATO</v>
          </cell>
          <cell r="D1002">
            <v>2066.04</v>
          </cell>
          <cell r="E1002" t="str">
            <v>C</v>
          </cell>
          <cell r="G1002">
            <v>2091.04</v>
          </cell>
          <cell r="H1002">
            <v>2103.48</v>
          </cell>
          <cell r="I1002">
            <v>12.44</v>
          </cell>
          <cell r="J1002">
            <v>2078.48</v>
          </cell>
          <cell r="K1002" t="str">
            <v>C</v>
          </cell>
        </row>
        <row r="1003">
          <cell r="A1003">
            <v>2160</v>
          </cell>
          <cell r="B1003" t="str">
            <v>2.1.02.070</v>
          </cell>
          <cell r="C1003" t="str">
            <v>IMPOSTOS MUNICIPAIS</v>
          </cell>
          <cell r="D1003">
            <v>116614.63</v>
          </cell>
          <cell r="E1003" t="str">
            <v>C</v>
          </cell>
          <cell r="G1003">
            <v>120529.44</v>
          </cell>
          <cell r="H1003">
            <v>88934.15</v>
          </cell>
          <cell r="I1003">
            <v>-31595.29</v>
          </cell>
          <cell r="J1003">
            <v>85019.34</v>
          </cell>
          <cell r="K1003" t="str">
            <v>C</v>
          </cell>
        </row>
        <row r="1004">
          <cell r="A1004">
            <v>27139</v>
          </cell>
          <cell r="B1004" t="str">
            <v>2.1.02.070.0001</v>
          </cell>
          <cell r="C1004" t="str">
            <v>IPTU TERCEIROS</v>
          </cell>
          <cell r="D1004">
            <v>56783.09</v>
          </cell>
          <cell r="E1004" t="str">
            <v>C</v>
          </cell>
          <cell r="G1004">
            <v>16625.05</v>
          </cell>
          <cell r="H1004">
            <v>16296.91</v>
          </cell>
          <cell r="I1004">
            <v>-328.14</v>
          </cell>
          <cell r="J1004">
            <v>56454.95</v>
          </cell>
          <cell r="K1004" t="str">
            <v>C</v>
          </cell>
        </row>
        <row r="1005">
          <cell r="A1005">
            <v>2158</v>
          </cell>
          <cell r="B1005" t="str">
            <v>2.1.02.070.0002</v>
          </cell>
          <cell r="C1005" t="str">
            <v xml:space="preserve">ISS IMPOSTO SOBRE </v>
          </cell>
          <cell r="D1005">
            <v>59831.54</v>
          </cell>
          <cell r="E1005" t="str">
            <v>C</v>
          </cell>
          <cell r="G1005">
            <v>103120.44</v>
          </cell>
          <cell r="H1005">
            <v>66581.490000000005</v>
          </cell>
          <cell r="I1005">
            <v>-36538.949999999997</v>
          </cell>
          <cell r="J1005">
            <v>23292.59</v>
          </cell>
          <cell r="K1005" t="str">
            <v>C</v>
          </cell>
        </row>
        <row r="1006">
          <cell r="A1006">
            <v>52626</v>
          </cell>
          <cell r="B1006" t="str">
            <v>2.1.02.070.0004</v>
          </cell>
          <cell r="C1006" t="str">
            <v xml:space="preserve">TAXAS E LICENCAS </v>
          </cell>
          <cell r="D1006">
            <v>0</v>
          </cell>
          <cell r="E1006" t="str">
            <v>C</v>
          </cell>
          <cell r="G1006">
            <v>783.95</v>
          </cell>
          <cell r="H1006">
            <v>6055.75</v>
          </cell>
          <cell r="I1006">
            <v>5271.8</v>
          </cell>
          <cell r="J1006">
            <v>5271.8</v>
          </cell>
          <cell r="K1006" t="str">
            <v>C</v>
          </cell>
        </row>
        <row r="1007">
          <cell r="A1007">
            <v>2217</v>
          </cell>
          <cell r="B1007" t="str">
            <v>2.1.03</v>
          </cell>
          <cell r="C1007" t="str">
            <v xml:space="preserve">EMPRESTIMOS E </v>
          </cell>
          <cell r="D1007">
            <v>7901930.6900000004</v>
          </cell>
          <cell r="E1007" t="str">
            <v>C</v>
          </cell>
          <cell r="G1007">
            <v>995240.43</v>
          </cell>
          <cell r="H1007">
            <v>326612.8</v>
          </cell>
          <cell r="I1007">
            <v>-668627.63</v>
          </cell>
          <cell r="J1007">
            <v>7233303.0599999996</v>
          </cell>
          <cell r="K1007" t="str">
            <v>C</v>
          </cell>
        </row>
        <row r="1008">
          <cell r="A1008">
            <v>2218</v>
          </cell>
          <cell r="B1008" t="str">
            <v>2.1.03.010</v>
          </cell>
          <cell r="C1008" t="str">
            <v xml:space="preserve">EMPRESTIMOS </v>
          </cell>
          <cell r="D1008">
            <v>9989579.5</v>
          </cell>
          <cell r="E1008" t="str">
            <v>C</v>
          </cell>
          <cell r="G1008">
            <v>977569.05</v>
          </cell>
          <cell r="H1008">
            <v>100791.55</v>
          </cell>
          <cell r="I1008">
            <v>-876777.5</v>
          </cell>
          <cell r="J1008">
            <v>9112802</v>
          </cell>
          <cell r="K1008" t="str">
            <v>C</v>
          </cell>
        </row>
        <row r="1009">
          <cell r="A1009">
            <v>2255</v>
          </cell>
          <cell r="B1009" t="str">
            <v>2.1.03.010.0012</v>
          </cell>
          <cell r="C1009" t="str">
            <v xml:space="preserve">BANCO SANTANDER BANESPA </v>
          </cell>
          <cell r="D1009">
            <v>7405801.1799999997</v>
          </cell>
          <cell r="E1009" t="str">
            <v>C</v>
          </cell>
          <cell r="G1009">
            <v>684291.69</v>
          </cell>
          <cell r="H1009">
            <v>0</v>
          </cell>
          <cell r="I1009">
            <v>-684291.69</v>
          </cell>
          <cell r="J1009">
            <v>6721509.4900000002</v>
          </cell>
          <cell r="K1009" t="str">
            <v>C</v>
          </cell>
        </row>
        <row r="1010">
          <cell r="A1010">
            <v>51496</v>
          </cell>
          <cell r="B1010" t="str">
            <v>2.1.03.010.0013</v>
          </cell>
          <cell r="C1010" t="str">
            <v xml:space="preserve">DESENVOLVE SP AG </v>
          </cell>
          <cell r="D1010">
            <v>1584755.53</v>
          </cell>
          <cell r="E1010" t="str">
            <v>C</v>
          </cell>
          <cell r="G1010">
            <v>147150.12</v>
          </cell>
          <cell r="H1010">
            <v>0</v>
          </cell>
          <cell r="I1010">
            <v>-147150.12</v>
          </cell>
          <cell r="J1010">
            <v>1437605.41</v>
          </cell>
          <cell r="K1010" t="str">
            <v>C</v>
          </cell>
        </row>
        <row r="1011">
          <cell r="A1011">
            <v>52133</v>
          </cell>
          <cell r="B1011" t="str">
            <v>2.1.03.010.0014</v>
          </cell>
          <cell r="C1011" t="str">
            <v xml:space="preserve">CARTAO CREDITO OUROCARD </v>
          </cell>
          <cell r="D1011">
            <v>155954.19</v>
          </cell>
          <cell r="E1011" t="str">
            <v>C</v>
          </cell>
          <cell r="G1011">
            <v>58324.69</v>
          </cell>
          <cell r="H1011">
            <v>99797.94</v>
          </cell>
          <cell r="I1011">
            <v>41473.25</v>
          </cell>
          <cell r="J1011">
            <v>197427.44</v>
          </cell>
          <cell r="K1011" t="str">
            <v>C</v>
          </cell>
        </row>
        <row r="1012">
          <cell r="A1012">
            <v>52832</v>
          </cell>
          <cell r="B1012" t="str">
            <v>2.1.03.010.0015</v>
          </cell>
          <cell r="C1012" t="str">
            <v xml:space="preserve">CARTAO CREDITO BANCO </v>
          </cell>
          <cell r="D1012">
            <v>4692.2</v>
          </cell>
          <cell r="E1012" t="str">
            <v>C</v>
          </cell>
          <cell r="G1012">
            <v>69.290000000000006</v>
          </cell>
          <cell r="H1012">
            <v>993.61</v>
          </cell>
          <cell r="I1012">
            <v>924.32</v>
          </cell>
          <cell r="J1012">
            <v>5616.52</v>
          </cell>
          <cell r="K1012" t="str">
            <v>C</v>
          </cell>
        </row>
        <row r="1013">
          <cell r="A1013">
            <v>54428</v>
          </cell>
          <cell r="B1013" t="str">
            <v>2.1.03.010.0021</v>
          </cell>
          <cell r="C1013" t="str">
            <v xml:space="preserve">CARTAO CREDITO BANCO </v>
          </cell>
          <cell r="D1013">
            <v>40247.040000000001</v>
          </cell>
          <cell r="E1013" t="str">
            <v>C</v>
          </cell>
          <cell r="G1013">
            <v>14224.8</v>
          </cell>
          <cell r="H1013">
            <v>0</v>
          </cell>
          <cell r="I1013">
            <v>-14224.8</v>
          </cell>
          <cell r="J1013">
            <v>26022.240000000002</v>
          </cell>
          <cell r="K1013" t="str">
            <v>C</v>
          </cell>
        </row>
        <row r="1014">
          <cell r="A1014">
            <v>54962</v>
          </cell>
          <cell r="B1014" t="str">
            <v>2.1.03.010.0023</v>
          </cell>
          <cell r="C1014" t="str">
            <v xml:space="preserve">BCO NACIONAL DE DESENV </v>
          </cell>
          <cell r="D1014">
            <v>798129.36</v>
          </cell>
          <cell r="E1014" t="str">
            <v>C</v>
          </cell>
          <cell r="G1014">
            <v>73508.460000000006</v>
          </cell>
          <cell r="H1014">
            <v>0</v>
          </cell>
          <cell r="I1014">
            <v>-73508.460000000006</v>
          </cell>
          <cell r="J1014">
            <v>724620.9</v>
          </cell>
          <cell r="K1014" t="str">
            <v>C</v>
          </cell>
        </row>
        <row r="1015">
          <cell r="A1015">
            <v>38931</v>
          </cell>
          <cell r="B1015" t="str">
            <v>2.1.03.020</v>
          </cell>
          <cell r="C1015" t="str">
            <v xml:space="preserve">(-) JUROS A APROPRIAR </v>
          </cell>
          <cell r="D1015">
            <v>-2234024.63</v>
          </cell>
          <cell r="E1015" t="str">
            <v>D</v>
          </cell>
          <cell r="G1015">
            <v>0</v>
          </cell>
          <cell r="H1015">
            <v>222023.33</v>
          </cell>
          <cell r="I1015">
            <v>222023.33</v>
          </cell>
          <cell r="J1015">
            <v>-2012001.3</v>
          </cell>
          <cell r="K1015" t="str">
            <v>D</v>
          </cell>
        </row>
        <row r="1016">
          <cell r="A1016">
            <v>37451</v>
          </cell>
          <cell r="B1016" t="str">
            <v>2.1.03.020.0004</v>
          </cell>
          <cell r="C1016" t="str">
            <v xml:space="preserve">(-)JUROS A APROPRIAR - </v>
          </cell>
          <cell r="D1016">
            <v>-1141010.8899999999</v>
          </cell>
          <cell r="E1016" t="str">
            <v>D</v>
          </cell>
          <cell r="G1016">
            <v>0</v>
          </cell>
          <cell r="H1016">
            <v>114765.3</v>
          </cell>
          <cell r="I1016">
            <v>114765.3</v>
          </cell>
          <cell r="J1016">
            <v>-1026245.59</v>
          </cell>
          <cell r="K1016" t="str">
            <v>D</v>
          </cell>
        </row>
        <row r="1017">
          <cell r="A1017">
            <v>51498</v>
          </cell>
          <cell r="B1017" t="str">
            <v>2.1.03.020.0009</v>
          </cell>
          <cell r="C1017" t="str">
            <v xml:space="preserve">(-)JUROS A APROPRIAR - </v>
          </cell>
          <cell r="D1017">
            <v>-290637.87</v>
          </cell>
          <cell r="E1017" t="str">
            <v>D</v>
          </cell>
          <cell r="G1017">
            <v>0</v>
          </cell>
          <cell r="H1017">
            <v>29503.06</v>
          </cell>
          <cell r="I1017">
            <v>29503.06</v>
          </cell>
          <cell r="J1017">
            <v>-261134.81</v>
          </cell>
          <cell r="K1017" t="str">
            <v>D</v>
          </cell>
        </row>
        <row r="1018">
          <cell r="A1018">
            <v>52459</v>
          </cell>
          <cell r="B1018" t="str">
            <v>2.1.03.020.0011</v>
          </cell>
          <cell r="C1018" t="str">
            <v xml:space="preserve">(-)JUROS A APROPRIAR </v>
          </cell>
          <cell r="D1018">
            <v>-4246.51</v>
          </cell>
          <cell r="E1018" t="str">
            <v>D</v>
          </cell>
          <cell r="G1018">
            <v>0</v>
          </cell>
          <cell r="H1018">
            <v>4246.51</v>
          </cell>
          <cell r="I1018">
            <v>4246.51</v>
          </cell>
          <cell r="J1018">
            <v>0</v>
          </cell>
          <cell r="K1018" t="str">
            <v>C</v>
          </cell>
        </row>
        <row r="1019">
          <cell r="A1019">
            <v>54963</v>
          </cell>
          <cell r="B1019" t="str">
            <v>2.1.03.020.0016</v>
          </cell>
          <cell r="C1019" t="str">
            <v xml:space="preserve">(-)JUROS A APROPR - BANCO </v>
          </cell>
          <cell r="D1019">
            <v>-798129.36</v>
          </cell>
          <cell r="E1019" t="str">
            <v>D</v>
          </cell>
          <cell r="G1019">
            <v>0</v>
          </cell>
          <cell r="H1019">
            <v>73508.460000000006</v>
          </cell>
          <cell r="I1019">
            <v>73508.460000000006</v>
          </cell>
          <cell r="J1019">
            <v>-724620.9</v>
          </cell>
          <cell r="K1019" t="str">
            <v>D</v>
          </cell>
        </row>
        <row r="1020">
          <cell r="A1020">
            <v>2257</v>
          </cell>
          <cell r="B1020" t="str">
            <v>2.1.03.030</v>
          </cell>
          <cell r="C1020" t="str">
            <v>FINANCIAMENTOS</v>
          </cell>
          <cell r="D1020">
            <v>186831.61</v>
          </cell>
          <cell r="E1020" t="str">
            <v>C</v>
          </cell>
          <cell r="G1020">
            <v>17671.38</v>
          </cell>
          <cell r="H1020">
            <v>0</v>
          </cell>
          <cell r="I1020">
            <v>-17671.38</v>
          </cell>
          <cell r="J1020">
            <v>169160.23</v>
          </cell>
          <cell r="K1020" t="str">
            <v>C</v>
          </cell>
        </row>
        <row r="1021">
          <cell r="A1021">
            <v>51721</v>
          </cell>
          <cell r="B1021" t="str">
            <v>2.1.03.030.0005</v>
          </cell>
          <cell r="C1021" t="str">
            <v>SANTANDER LEASING SA</v>
          </cell>
          <cell r="D1021">
            <v>143102.21</v>
          </cell>
          <cell r="E1021" t="str">
            <v>C</v>
          </cell>
          <cell r="G1021">
            <v>17671.38</v>
          </cell>
          <cell r="H1021">
            <v>0</v>
          </cell>
          <cell r="I1021">
            <v>-17671.38</v>
          </cell>
          <cell r="J1021">
            <v>125430.83</v>
          </cell>
          <cell r="K1021" t="str">
            <v>C</v>
          </cell>
        </row>
        <row r="1022">
          <cell r="A1022">
            <v>54056</v>
          </cell>
          <cell r="B1022" t="str">
            <v>2.1.03.030.0007</v>
          </cell>
          <cell r="C1022" t="str">
            <v>SAFRA LEASING S A</v>
          </cell>
          <cell r="D1022">
            <v>43729.4</v>
          </cell>
          <cell r="E1022" t="str">
            <v>C</v>
          </cell>
          <cell r="G1022">
            <v>0</v>
          </cell>
          <cell r="H1022">
            <v>0</v>
          </cell>
          <cell r="I1022">
            <v>0</v>
          </cell>
          <cell r="J1022">
            <v>43729.4</v>
          </cell>
          <cell r="K1022" t="str">
            <v>C</v>
          </cell>
        </row>
        <row r="1023">
          <cell r="A1023">
            <v>38932</v>
          </cell>
          <cell r="B1023" t="str">
            <v>2.1.03.040</v>
          </cell>
          <cell r="C1023" t="str">
            <v xml:space="preserve">(-) JUROS APROPRIAR S/ </v>
          </cell>
          <cell r="D1023">
            <v>-40455.79</v>
          </cell>
          <cell r="E1023" t="str">
            <v>D</v>
          </cell>
          <cell r="G1023">
            <v>0</v>
          </cell>
          <cell r="H1023">
            <v>3797.92</v>
          </cell>
          <cell r="I1023">
            <v>3797.92</v>
          </cell>
          <cell r="J1023">
            <v>-36657.870000000003</v>
          </cell>
          <cell r="K1023" t="str">
            <v>D</v>
          </cell>
        </row>
        <row r="1024">
          <cell r="A1024">
            <v>51755</v>
          </cell>
          <cell r="B1024" t="str">
            <v>2.1.03.040.0002</v>
          </cell>
          <cell r="C1024" t="str">
            <v xml:space="preserve">(-) JUROS A APROPRIAR S/ </v>
          </cell>
          <cell r="D1024">
            <v>-31442.94</v>
          </cell>
          <cell r="E1024" t="str">
            <v>D</v>
          </cell>
          <cell r="G1024">
            <v>0</v>
          </cell>
          <cell r="H1024">
            <v>3797.92</v>
          </cell>
          <cell r="I1024">
            <v>3797.92</v>
          </cell>
          <cell r="J1024">
            <v>-27645.02</v>
          </cell>
          <cell r="K1024" t="str">
            <v>D</v>
          </cell>
        </row>
        <row r="1025">
          <cell r="A1025">
            <v>54373</v>
          </cell>
          <cell r="B1025" t="str">
            <v>2.1.03.040.0004</v>
          </cell>
          <cell r="C1025" t="str">
            <v xml:space="preserve">(-) JUROS A APROPRIAR </v>
          </cell>
          <cell r="D1025">
            <v>-9012.85</v>
          </cell>
          <cell r="E1025" t="str">
            <v>D</v>
          </cell>
          <cell r="G1025">
            <v>0</v>
          </cell>
          <cell r="H1025">
            <v>0</v>
          </cell>
          <cell r="I1025">
            <v>0</v>
          </cell>
          <cell r="J1025">
            <v>-9012.85</v>
          </cell>
          <cell r="K1025" t="str">
            <v>D</v>
          </cell>
        </row>
        <row r="1026">
          <cell r="A1026">
            <v>2305</v>
          </cell>
          <cell r="B1026" t="str">
            <v>2.1.04</v>
          </cell>
          <cell r="C1026" t="str">
            <v>FORNECEDORES</v>
          </cell>
          <cell r="D1026">
            <v>13827757.449999999</v>
          </cell>
          <cell r="E1026" t="str">
            <v>C</v>
          </cell>
          <cell r="G1026">
            <v>10392570.92</v>
          </cell>
          <cell r="H1026">
            <v>12079049.029999999</v>
          </cell>
          <cell r="I1026">
            <v>1686478.11</v>
          </cell>
          <cell r="J1026">
            <v>15514235.560000001</v>
          </cell>
          <cell r="K1026" t="str">
            <v>C</v>
          </cell>
        </row>
        <row r="1027">
          <cell r="A1027">
            <v>2313</v>
          </cell>
          <cell r="B1027" t="str">
            <v>2.1.04.010</v>
          </cell>
          <cell r="C1027" t="str">
            <v>FORNECEDORES DE BENS</v>
          </cell>
          <cell r="D1027">
            <v>12548933.26</v>
          </cell>
          <cell r="E1027" t="str">
            <v>C</v>
          </cell>
          <cell r="G1027">
            <v>8497423.8000000007</v>
          </cell>
          <cell r="H1027">
            <v>9621155.2899999991</v>
          </cell>
          <cell r="I1027">
            <v>1123731.49</v>
          </cell>
          <cell r="J1027">
            <v>13672664.75</v>
          </cell>
          <cell r="K1027" t="str">
            <v>C</v>
          </cell>
        </row>
        <row r="1028">
          <cell r="A1028">
            <v>52702</v>
          </cell>
          <cell r="B1028" t="str">
            <v>2.1.04.010.0003</v>
          </cell>
          <cell r="C1028" t="str">
            <v xml:space="preserve"> AIR LIQUIDE BRASIL LTDA</v>
          </cell>
          <cell r="D1028">
            <v>1430</v>
          </cell>
          <cell r="E1028" t="str">
            <v>C</v>
          </cell>
          <cell r="G1028">
            <v>1430</v>
          </cell>
          <cell r="H1028">
            <v>4350</v>
          </cell>
          <cell r="I1028">
            <v>2920</v>
          </cell>
          <cell r="J1028">
            <v>4350</v>
          </cell>
          <cell r="K1028" t="str">
            <v>C</v>
          </cell>
        </row>
        <row r="1029">
          <cell r="A1029">
            <v>2361</v>
          </cell>
          <cell r="B1029" t="str">
            <v>2.1.04.010.0010</v>
          </cell>
          <cell r="C1029" t="str">
            <v>AR DE CARVALHO DOCES ME</v>
          </cell>
          <cell r="D1029">
            <v>221.7</v>
          </cell>
          <cell r="E1029" t="str">
            <v>C</v>
          </cell>
          <cell r="G1029">
            <v>221.7</v>
          </cell>
          <cell r="H1029">
            <v>1558.4</v>
          </cell>
          <cell r="I1029">
            <v>1336.7</v>
          </cell>
          <cell r="J1029">
            <v>1558.4</v>
          </cell>
          <cell r="K1029" t="str">
            <v>C</v>
          </cell>
        </row>
        <row r="1030">
          <cell r="A1030">
            <v>2366</v>
          </cell>
          <cell r="B1030" t="str">
            <v>2.1.04.010.0012</v>
          </cell>
          <cell r="C1030" t="str">
            <v xml:space="preserve">A7 SISTEMAS PARA HIGIENE </v>
          </cell>
          <cell r="D1030">
            <v>100044.92</v>
          </cell>
          <cell r="E1030" t="str">
            <v>C</v>
          </cell>
          <cell r="G1030">
            <v>45005.84</v>
          </cell>
          <cell r="H1030">
            <v>36771.33</v>
          </cell>
          <cell r="I1030">
            <v>-8234.51</v>
          </cell>
          <cell r="J1030">
            <v>91810.41</v>
          </cell>
          <cell r="K1030" t="str">
            <v>C</v>
          </cell>
        </row>
        <row r="1031">
          <cell r="A1031">
            <v>12449</v>
          </cell>
          <cell r="B1031" t="str">
            <v>2.1.04.010.0014</v>
          </cell>
          <cell r="C1031" t="str">
            <v xml:space="preserve">ACTION MEDICAL COMERCIO </v>
          </cell>
          <cell r="D1031">
            <v>180</v>
          </cell>
          <cell r="E1031" t="str">
            <v>C</v>
          </cell>
          <cell r="G1031">
            <v>0</v>
          </cell>
          <cell r="H1031">
            <v>0</v>
          </cell>
          <cell r="I1031">
            <v>0</v>
          </cell>
          <cell r="J1031">
            <v>180</v>
          </cell>
          <cell r="K1031" t="str">
            <v>C</v>
          </cell>
        </row>
        <row r="1032">
          <cell r="A1032">
            <v>38600</v>
          </cell>
          <cell r="B1032" t="str">
            <v>2.1.04.010.0019</v>
          </cell>
          <cell r="C1032" t="str">
            <v xml:space="preserve">AGROPECUARIA BOMY LTDA </v>
          </cell>
          <cell r="D1032">
            <v>17485.400000000001</v>
          </cell>
          <cell r="E1032" t="str">
            <v>C</v>
          </cell>
          <cell r="G1032">
            <v>14289.5</v>
          </cell>
          <cell r="H1032">
            <v>14304.43</v>
          </cell>
          <cell r="I1032">
            <v>14.93</v>
          </cell>
          <cell r="J1032">
            <v>17500.330000000002</v>
          </cell>
          <cell r="K1032" t="str">
            <v>C</v>
          </cell>
        </row>
        <row r="1033">
          <cell r="A1033">
            <v>2399</v>
          </cell>
          <cell r="B1033" t="str">
            <v>2.1.04.010.0022</v>
          </cell>
          <cell r="C1033" t="str">
            <v xml:space="preserve">ALEXANDRE EDUARDO DIAS </v>
          </cell>
          <cell r="D1033">
            <v>41610.730000000003</v>
          </cell>
          <cell r="E1033" t="str">
            <v>C</v>
          </cell>
          <cell r="G1033">
            <v>27766.02</v>
          </cell>
          <cell r="H1033">
            <v>35615.15</v>
          </cell>
          <cell r="I1033">
            <v>7849.13</v>
          </cell>
          <cell r="J1033">
            <v>49459.86</v>
          </cell>
          <cell r="K1033" t="str">
            <v>C</v>
          </cell>
        </row>
        <row r="1034">
          <cell r="A1034">
            <v>52827</v>
          </cell>
          <cell r="B1034" t="str">
            <v>2.1.04.010.0026</v>
          </cell>
          <cell r="C1034" t="str">
            <v xml:space="preserve">ALLENT COM IMP E DISTRIB </v>
          </cell>
          <cell r="D1034">
            <v>11426</v>
          </cell>
          <cell r="E1034" t="str">
            <v>C</v>
          </cell>
          <cell r="G1034">
            <v>35909</v>
          </cell>
          <cell r="H1034">
            <v>43183</v>
          </cell>
          <cell r="I1034">
            <v>7274</v>
          </cell>
          <cell r="J1034">
            <v>18700</v>
          </cell>
          <cell r="K1034" t="str">
            <v>C</v>
          </cell>
        </row>
        <row r="1035">
          <cell r="A1035">
            <v>51364</v>
          </cell>
          <cell r="B1035" t="str">
            <v>2.1.04.010.0028</v>
          </cell>
          <cell r="C1035" t="str">
            <v xml:space="preserve">ALQUILABOR COMERCIAL </v>
          </cell>
          <cell r="D1035">
            <v>0</v>
          </cell>
          <cell r="E1035" t="str">
            <v>C</v>
          </cell>
          <cell r="G1035">
            <v>0</v>
          </cell>
          <cell r="H1035">
            <v>136</v>
          </cell>
          <cell r="I1035">
            <v>136</v>
          </cell>
          <cell r="J1035">
            <v>136</v>
          </cell>
          <cell r="K1035" t="str">
            <v>C</v>
          </cell>
        </row>
        <row r="1036">
          <cell r="A1036">
            <v>2417</v>
          </cell>
          <cell r="B1036" t="str">
            <v>2.1.04.010.0030</v>
          </cell>
          <cell r="C1036" t="str">
            <v xml:space="preserve">ALVINOS CONFEITARIA E </v>
          </cell>
          <cell r="D1036">
            <v>0</v>
          </cell>
          <cell r="E1036" t="str">
            <v>C</v>
          </cell>
          <cell r="G1036">
            <v>467.25</v>
          </cell>
          <cell r="H1036">
            <v>467.25</v>
          </cell>
          <cell r="I1036">
            <v>0</v>
          </cell>
          <cell r="J1036">
            <v>0</v>
          </cell>
          <cell r="K1036" t="str">
            <v>C</v>
          </cell>
        </row>
        <row r="1037">
          <cell r="A1037">
            <v>51511</v>
          </cell>
          <cell r="B1037" t="str">
            <v>2.1.04.010.0032</v>
          </cell>
          <cell r="C1037" t="str">
            <v xml:space="preserve">AMANDA DOS SANTOS GIANINI </v>
          </cell>
          <cell r="D1037">
            <v>4505</v>
          </cell>
          <cell r="E1037" t="str">
            <v>C</v>
          </cell>
          <cell r="G1037">
            <v>3405</v>
          </cell>
          <cell r="H1037">
            <v>18323.150000000001</v>
          </cell>
          <cell r="I1037">
            <v>14918.15</v>
          </cell>
          <cell r="J1037">
            <v>19423.150000000001</v>
          </cell>
          <cell r="K1037" t="str">
            <v>C</v>
          </cell>
        </row>
        <row r="1038">
          <cell r="A1038">
            <v>38666</v>
          </cell>
          <cell r="B1038" t="str">
            <v>2.1.04.010.0035</v>
          </cell>
          <cell r="C1038" t="str">
            <v xml:space="preserve">AMBIOTON IMPORTADORA </v>
          </cell>
          <cell r="D1038">
            <v>10573.58</v>
          </cell>
          <cell r="E1038" t="str">
            <v>C</v>
          </cell>
          <cell r="G1038">
            <v>11953.58</v>
          </cell>
          <cell r="H1038">
            <v>10640.75</v>
          </cell>
          <cell r="I1038">
            <v>-1312.83</v>
          </cell>
          <cell r="J1038">
            <v>9260.75</v>
          </cell>
          <cell r="K1038" t="str">
            <v>C</v>
          </cell>
        </row>
        <row r="1039">
          <cell r="A1039">
            <v>33813</v>
          </cell>
          <cell r="B1039" t="str">
            <v>2.1.04.010.0036</v>
          </cell>
          <cell r="C1039" t="str">
            <v xml:space="preserve">AMEX COMERCIAL ELETRICA </v>
          </cell>
          <cell r="D1039">
            <v>604</v>
          </cell>
          <cell r="E1039" t="str">
            <v>C</v>
          </cell>
          <cell r="G1039">
            <v>604</v>
          </cell>
          <cell r="H1039">
            <v>0</v>
          </cell>
          <cell r="I1039">
            <v>-604</v>
          </cell>
          <cell r="J1039">
            <v>0</v>
          </cell>
          <cell r="K1039" t="str">
            <v>C</v>
          </cell>
        </row>
        <row r="1040">
          <cell r="A1040">
            <v>51177</v>
          </cell>
          <cell r="B1040" t="str">
            <v>2.1.04.010.0039</v>
          </cell>
          <cell r="C1040" t="str">
            <v xml:space="preserve">ANDRE CHAVES CHAVEIRO </v>
          </cell>
          <cell r="D1040">
            <v>250</v>
          </cell>
          <cell r="E1040" t="str">
            <v>C</v>
          </cell>
          <cell r="G1040">
            <v>250</v>
          </cell>
          <cell r="H1040">
            <v>300.7</v>
          </cell>
          <cell r="I1040">
            <v>50.7</v>
          </cell>
          <cell r="J1040">
            <v>300.7</v>
          </cell>
          <cell r="K1040" t="str">
            <v>C</v>
          </cell>
        </row>
        <row r="1041">
          <cell r="A1041">
            <v>51970</v>
          </cell>
          <cell r="B1041" t="str">
            <v>2.1.04.010.0044</v>
          </cell>
          <cell r="C1041" t="str">
            <v xml:space="preserve">ANGIOMEDICAL COM DE </v>
          </cell>
          <cell r="D1041">
            <v>1036.58</v>
          </cell>
          <cell r="E1041" t="str">
            <v>C</v>
          </cell>
          <cell r="G1041">
            <v>1036.58</v>
          </cell>
          <cell r="H1041">
            <v>18707.16</v>
          </cell>
          <cell r="I1041">
            <v>17670.580000000002</v>
          </cell>
          <cell r="J1041">
            <v>18707.16</v>
          </cell>
          <cell r="K1041" t="str">
            <v>C</v>
          </cell>
        </row>
        <row r="1042">
          <cell r="A1042">
            <v>37690</v>
          </cell>
          <cell r="B1042" t="str">
            <v>2.1.04.010.0048</v>
          </cell>
          <cell r="C1042" t="str">
            <v xml:space="preserve">ARENA SUPRIM MED COML </v>
          </cell>
          <cell r="D1042">
            <v>7942.72</v>
          </cell>
          <cell r="E1042" t="str">
            <v>C</v>
          </cell>
          <cell r="G1042">
            <v>7942.72</v>
          </cell>
          <cell r="H1042">
            <v>1920.05</v>
          </cell>
          <cell r="I1042">
            <v>-6022.67</v>
          </cell>
          <cell r="J1042">
            <v>1920.05</v>
          </cell>
          <cell r="K1042" t="str">
            <v>C</v>
          </cell>
        </row>
        <row r="1043">
          <cell r="A1043">
            <v>32471</v>
          </cell>
          <cell r="B1043" t="str">
            <v>2.1.04.010.0053</v>
          </cell>
          <cell r="C1043" t="str">
            <v xml:space="preserve">ATIVA COMERCIAL </v>
          </cell>
          <cell r="D1043">
            <v>12793.71</v>
          </cell>
          <cell r="E1043" t="str">
            <v>C</v>
          </cell>
          <cell r="G1043">
            <v>16416.21</v>
          </cell>
          <cell r="H1043">
            <v>18244.88</v>
          </cell>
          <cell r="I1043">
            <v>1828.67</v>
          </cell>
          <cell r="J1043">
            <v>14622.38</v>
          </cell>
          <cell r="K1043" t="str">
            <v>C</v>
          </cell>
        </row>
        <row r="1044">
          <cell r="A1044">
            <v>2459</v>
          </cell>
          <cell r="B1044" t="str">
            <v>2.1.04.010.0057</v>
          </cell>
          <cell r="C1044" t="str">
            <v xml:space="preserve">AUTO SUTURE DO BRASIL </v>
          </cell>
          <cell r="D1044">
            <v>200</v>
          </cell>
          <cell r="E1044" t="str">
            <v>C</v>
          </cell>
          <cell r="G1044">
            <v>40</v>
          </cell>
          <cell r="H1044">
            <v>0</v>
          </cell>
          <cell r="I1044">
            <v>-40</v>
          </cell>
          <cell r="J1044">
            <v>160</v>
          </cell>
          <cell r="K1044" t="str">
            <v>C</v>
          </cell>
        </row>
        <row r="1045">
          <cell r="A1045">
            <v>38018</v>
          </cell>
          <cell r="B1045" t="str">
            <v>2.1.04.010.0068</v>
          </cell>
          <cell r="C1045" t="str">
            <v xml:space="preserve">BELIVE COMERCIO DE </v>
          </cell>
          <cell r="D1045">
            <v>0</v>
          </cell>
          <cell r="E1045" t="str">
            <v>C</v>
          </cell>
          <cell r="G1045">
            <v>0</v>
          </cell>
          <cell r="H1045">
            <v>8694</v>
          </cell>
          <cell r="I1045">
            <v>8694</v>
          </cell>
          <cell r="J1045">
            <v>8694</v>
          </cell>
          <cell r="K1045" t="str">
            <v>C</v>
          </cell>
        </row>
        <row r="1046">
          <cell r="A1046">
            <v>37844</v>
          </cell>
          <cell r="B1046" t="str">
            <v>2.1.04.010.0073</v>
          </cell>
          <cell r="C1046" t="str">
            <v xml:space="preserve">BIOCATH COM DE PRODS </v>
          </cell>
          <cell r="D1046">
            <v>125931.65</v>
          </cell>
          <cell r="E1046" t="str">
            <v>C</v>
          </cell>
          <cell r="G1046">
            <v>87429.78</v>
          </cell>
          <cell r="H1046">
            <v>14852.93</v>
          </cell>
          <cell r="I1046">
            <v>-72576.850000000006</v>
          </cell>
          <cell r="J1046">
            <v>53354.8</v>
          </cell>
          <cell r="K1046" t="str">
            <v>C</v>
          </cell>
        </row>
        <row r="1047">
          <cell r="A1047">
            <v>2490</v>
          </cell>
          <cell r="B1047" t="str">
            <v>2.1.04.010.0081</v>
          </cell>
          <cell r="C1047" t="str">
            <v xml:space="preserve">BIOTRONIK INDUSTRIA E COM </v>
          </cell>
          <cell r="D1047">
            <v>1808.34</v>
          </cell>
          <cell r="E1047" t="str">
            <v>C</v>
          </cell>
          <cell r="G1047">
            <v>0</v>
          </cell>
          <cell r="H1047">
            <v>0</v>
          </cell>
          <cell r="I1047">
            <v>0</v>
          </cell>
          <cell r="J1047">
            <v>1808.34</v>
          </cell>
          <cell r="K1047" t="str">
            <v>C</v>
          </cell>
        </row>
        <row r="1048">
          <cell r="A1048">
            <v>52452</v>
          </cell>
          <cell r="B1048" t="str">
            <v>2.1.04.010.0099</v>
          </cell>
          <cell r="C1048" t="str">
            <v xml:space="preserve">CARDIO E ENDO LUMINAL </v>
          </cell>
          <cell r="D1048">
            <v>61209.35</v>
          </cell>
          <cell r="E1048" t="str">
            <v>C</v>
          </cell>
          <cell r="G1048">
            <v>27744.07</v>
          </cell>
          <cell r="H1048">
            <v>16981.400000000001</v>
          </cell>
          <cell r="I1048">
            <v>-10762.67</v>
          </cell>
          <cell r="J1048">
            <v>50446.68</v>
          </cell>
          <cell r="K1048" t="str">
            <v>C</v>
          </cell>
        </row>
        <row r="1049">
          <cell r="A1049">
            <v>3026</v>
          </cell>
          <cell r="B1049" t="str">
            <v>2.1.04.010.0103</v>
          </cell>
          <cell r="C1049" t="str">
            <v xml:space="preserve">CASA DE FERRAGENS </v>
          </cell>
          <cell r="D1049">
            <v>7731.91</v>
          </cell>
          <cell r="E1049" t="str">
            <v>C</v>
          </cell>
          <cell r="G1049">
            <v>4862.93</v>
          </cell>
          <cell r="H1049">
            <v>5704.3</v>
          </cell>
          <cell r="I1049">
            <v>841.37</v>
          </cell>
          <cell r="J1049">
            <v>8573.2800000000007</v>
          </cell>
          <cell r="K1049" t="str">
            <v>C</v>
          </cell>
        </row>
        <row r="1050">
          <cell r="A1050">
            <v>37900</v>
          </cell>
          <cell r="B1050" t="str">
            <v>2.1.04.010.0105</v>
          </cell>
          <cell r="C1050" t="str">
            <v xml:space="preserve">CASA DOS BEBEDOUROS </v>
          </cell>
          <cell r="D1050">
            <v>2099.3000000000002</v>
          </cell>
          <cell r="E1050" t="str">
            <v>C</v>
          </cell>
          <cell r="G1050">
            <v>2099.3000000000002</v>
          </cell>
          <cell r="H1050">
            <v>719.76</v>
          </cell>
          <cell r="I1050">
            <v>-1379.54</v>
          </cell>
          <cell r="J1050">
            <v>719.76</v>
          </cell>
          <cell r="K1050" t="str">
            <v>C</v>
          </cell>
        </row>
        <row r="1051">
          <cell r="A1051">
            <v>2555</v>
          </cell>
          <cell r="B1051" t="str">
            <v>2.1.04.010.0111</v>
          </cell>
          <cell r="C1051" t="str">
            <v xml:space="preserve">CENTRO PAULISTA DE </v>
          </cell>
          <cell r="D1051">
            <v>149</v>
          </cell>
          <cell r="E1051" t="str">
            <v>C</v>
          </cell>
          <cell r="G1051">
            <v>149</v>
          </cell>
          <cell r="H1051">
            <v>0</v>
          </cell>
          <cell r="I1051">
            <v>-149</v>
          </cell>
          <cell r="J1051">
            <v>0</v>
          </cell>
          <cell r="K1051" t="str">
            <v>C</v>
          </cell>
        </row>
        <row r="1052">
          <cell r="A1052">
            <v>34064</v>
          </cell>
          <cell r="B1052" t="str">
            <v>2.1.04.010.0115</v>
          </cell>
          <cell r="C1052" t="str">
            <v xml:space="preserve">CHOLMED COMERICAL </v>
          </cell>
          <cell r="D1052">
            <v>15943.82</v>
          </cell>
          <cell r="E1052" t="str">
            <v>C</v>
          </cell>
          <cell r="G1052">
            <v>16256.32</v>
          </cell>
          <cell r="H1052">
            <v>19745.759999999998</v>
          </cell>
          <cell r="I1052">
            <v>3489.44</v>
          </cell>
          <cell r="J1052">
            <v>19433.259999999998</v>
          </cell>
          <cell r="K1052" t="str">
            <v>C</v>
          </cell>
        </row>
        <row r="1053">
          <cell r="A1053">
            <v>37883</v>
          </cell>
          <cell r="B1053" t="str">
            <v>2.1.04.010.0119</v>
          </cell>
          <cell r="C1053" t="str">
            <v xml:space="preserve">CINCO CONFIANCA INDUSTRIA </v>
          </cell>
          <cell r="D1053">
            <v>1574.88</v>
          </cell>
          <cell r="E1053" t="str">
            <v>C</v>
          </cell>
          <cell r="G1053">
            <v>1574.88</v>
          </cell>
          <cell r="H1053">
            <v>12526.6</v>
          </cell>
          <cell r="I1053">
            <v>10951.72</v>
          </cell>
          <cell r="J1053">
            <v>12526.6</v>
          </cell>
          <cell r="K1053" t="str">
            <v>C</v>
          </cell>
        </row>
        <row r="1054">
          <cell r="A1054">
            <v>2572</v>
          </cell>
          <cell r="B1054" t="str">
            <v>2.1.04.010.0121</v>
          </cell>
          <cell r="C1054" t="str">
            <v>CIRURGICA FERNANDES LTDA</v>
          </cell>
          <cell r="D1054">
            <v>0</v>
          </cell>
          <cell r="E1054" t="str">
            <v>C</v>
          </cell>
          <cell r="G1054">
            <v>0</v>
          </cell>
          <cell r="H1054">
            <v>603.37</v>
          </cell>
          <cell r="I1054">
            <v>603.37</v>
          </cell>
          <cell r="J1054">
            <v>603.37</v>
          </cell>
          <cell r="K1054" t="str">
            <v>C</v>
          </cell>
        </row>
        <row r="1055">
          <cell r="A1055">
            <v>2575</v>
          </cell>
          <cell r="B1055" t="str">
            <v>2.1.04.010.0123</v>
          </cell>
          <cell r="C1055" t="str">
            <v>CIRURGICA SAO JOSE LTDA</v>
          </cell>
          <cell r="D1055">
            <v>57120.45</v>
          </cell>
          <cell r="E1055" t="str">
            <v>C</v>
          </cell>
          <cell r="G1055">
            <v>59257.99</v>
          </cell>
          <cell r="H1055">
            <v>120448.08</v>
          </cell>
          <cell r="I1055">
            <v>61190.09</v>
          </cell>
          <cell r="J1055">
            <v>118310.54</v>
          </cell>
          <cell r="K1055" t="str">
            <v>C</v>
          </cell>
        </row>
        <row r="1056">
          <cell r="A1056">
            <v>2577</v>
          </cell>
          <cell r="B1056" t="str">
            <v>2.1.04.010.0125</v>
          </cell>
          <cell r="C1056" t="str">
            <v xml:space="preserve">CIRUVALE COM DE MATERIAL </v>
          </cell>
          <cell r="D1056">
            <v>950</v>
          </cell>
          <cell r="E1056" t="str">
            <v>C</v>
          </cell>
          <cell r="G1056">
            <v>2593</v>
          </cell>
          <cell r="H1056">
            <v>3687</v>
          </cell>
          <cell r="I1056">
            <v>1094</v>
          </cell>
          <cell r="J1056">
            <v>2044</v>
          </cell>
          <cell r="K1056" t="str">
            <v>C</v>
          </cell>
        </row>
        <row r="1057">
          <cell r="A1057">
            <v>3741</v>
          </cell>
          <cell r="B1057" t="str">
            <v>2.1.04.010.0129</v>
          </cell>
          <cell r="C1057" t="str">
            <v xml:space="preserve">CLICHEIRA VERA CRUZ LTDA </v>
          </cell>
          <cell r="D1057">
            <v>0</v>
          </cell>
          <cell r="E1057" t="str">
            <v>C</v>
          </cell>
          <cell r="G1057">
            <v>0</v>
          </cell>
          <cell r="H1057">
            <v>762</v>
          </cell>
          <cell r="I1057">
            <v>762</v>
          </cell>
          <cell r="J1057">
            <v>762</v>
          </cell>
          <cell r="K1057" t="str">
            <v>C</v>
          </cell>
        </row>
        <row r="1058">
          <cell r="A1058">
            <v>37443</v>
          </cell>
          <cell r="B1058" t="str">
            <v>2.1.04.010.0132</v>
          </cell>
          <cell r="C1058" t="str">
            <v>CM HOSPITALAR LTDA</v>
          </cell>
          <cell r="D1058">
            <v>238597.06</v>
          </cell>
          <cell r="E1058" t="str">
            <v>C</v>
          </cell>
          <cell r="G1058">
            <v>139369.41</v>
          </cell>
          <cell r="H1058">
            <v>150106.47</v>
          </cell>
          <cell r="I1058">
            <v>10737.06</v>
          </cell>
          <cell r="J1058">
            <v>249334.12</v>
          </cell>
          <cell r="K1058" t="str">
            <v>C</v>
          </cell>
        </row>
        <row r="1059">
          <cell r="A1059">
            <v>2594</v>
          </cell>
          <cell r="B1059" t="str">
            <v>2.1.04.010.0135</v>
          </cell>
          <cell r="C1059" t="str">
            <v xml:space="preserve">COMERCIAL AGRICOLA </v>
          </cell>
          <cell r="D1059">
            <v>5514</v>
          </cell>
          <cell r="E1059" t="str">
            <v>C</v>
          </cell>
          <cell r="G1059">
            <v>5514</v>
          </cell>
          <cell r="H1059">
            <v>3980</v>
          </cell>
          <cell r="I1059">
            <v>-1534</v>
          </cell>
          <cell r="J1059">
            <v>3980</v>
          </cell>
          <cell r="K1059" t="str">
            <v>C</v>
          </cell>
        </row>
        <row r="1060">
          <cell r="A1060">
            <v>34195</v>
          </cell>
          <cell r="B1060" t="str">
            <v>2.1.04.010.0136</v>
          </cell>
          <cell r="C1060" t="str">
            <v xml:space="preserve">COMERCIAL CAPIZZANI </v>
          </cell>
          <cell r="D1060">
            <v>2210.2199999999998</v>
          </cell>
          <cell r="E1060" t="str">
            <v>C</v>
          </cell>
          <cell r="G1060">
            <v>751.48</v>
          </cell>
          <cell r="H1060">
            <v>0</v>
          </cell>
          <cell r="I1060">
            <v>-751.48</v>
          </cell>
          <cell r="J1060">
            <v>1458.74</v>
          </cell>
          <cell r="K1060" t="str">
            <v>C</v>
          </cell>
        </row>
        <row r="1061">
          <cell r="A1061">
            <v>2602</v>
          </cell>
          <cell r="B1061" t="str">
            <v>2.1.04.010.0138</v>
          </cell>
          <cell r="C1061" t="str">
            <v xml:space="preserve">COMERCIAL CIRURGICA </v>
          </cell>
          <cell r="D1061">
            <v>33613.480000000003</v>
          </cell>
          <cell r="E1061" t="str">
            <v>C</v>
          </cell>
          <cell r="G1061">
            <v>54372.15</v>
          </cell>
          <cell r="H1061">
            <v>67416.759999999995</v>
          </cell>
          <cell r="I1061">
            <v>13044.61</v>
          </cell>
          <cell r="J1061">
            <v>46658.09</v>
          </cell>
          <cell r="K1061" t="str">
            <v>C</v>
          </cell>
        </row>
        <row r="1062">
          <cell r="A1062">
            <v>33580</v>
          </cell>
          <cell r="B1062" t="str">
            <v>2.1.04.010.0146</v>
          </cell>
          <cell r="C1062" t="str">
            <v xml:space="preserve">COMERCIAL ZARAGOZA IMP E </v>
          </cell>
          <cell r="D1062">
            <v>17180.57</v>
          </cell>
          <cell r="E1062" t="str">
            <v>C</v>
          </cell>
          <cell r="G1062">
            <v>33272.199999999997</v>
          </cell>
          <cell r="H1062">
            <v>47007.88</v>
          </cell>
          <cell r="I1062">
            <v>13735.68</v>
          </cell>
          <cell r="J1062">
            <v>30916.25</v>
          </cell>
          <cell r="K1062" t="str">
            <v>C</v>
          </cell>
        </row>
        <row r="1063">
          <cell r="A1063">
            <v>2632</v>
          </cell>
          <cell r="B1063" t="str">
            <v>2.1.04.010.0150</v>
          </cell>
          <cell r="C1063" t="str">
            <v xml:space="preserve">COMISSAO NACIONAL DE </v>
          </cell>
          <cell r="D1063">
            <v>8581.0499999999993</v>
          </cell>
          <cell r="E1063" t="str">
            <v>C</v>
          </cell>
          <cell r="G1063">
            <v>8581.0499999999993</v>
          </cell>
          <cell r="H1063">
            <v>11861.78</v>
          </cell>
          <cell r="I1063">
            <v>3280.73</v>
          </cell>
          <cell r="J1063">
            <v>11861.78</v>
          </cell>
          <cell r="K1063" t="str">
            <v>C</v>
          </cell>
        </row>
        <row r="1064">
          <cell r="A1064">
            <v>33758</v>
          </cell>
          <cell r="B1064" t="str">
            <v>2.1.04.010.0156</v>
          </cell>
          <cell r="C1064" t="str">
            <v xml:space="preserve">CONTATTI COMERCIO E </v>
          </cell>
          <cell r="D1064">
            <v>2613.6</v>
          </cell>
          <cell r="E1064" t="str">
            <v>C</v>
          </cell>
          <cell r="G1064">
            <v>2613.6</v>
          </cell>
          <cell r="H1064">
            <v>0</v>
          </cell>
          <cell r="I1064">
            <v>-2613.6</v>
          </cell>
          <cell r="J1064">
            <v>0</v>
          </cell>
          <cell r="K1064" t="str">
            <v>C</v>
          </cell>
        </row>
        <row r="1065">
          <cell r="A1065">
            <v>37436</v>
          </cell>
          <cell r="B1065" t="str">
            <v>2.1.04.010.0158</v>
          </cell>
          <cell r="C1065" t="str">
            <v xml:space="preserve">COPOLFOOD COM PROD ALIM </v>
          </cell>
          <cell r="D1065">
            <v>4280</v>
          </cell>
          <cell r="E1065" t="str">
            <v>C</v>
          </cell>
          <cell r="G1065">
            <v>10800.24</v>
          </cell>
          <cell r="H1065">
            <v>11870.42</v>
          </cell>
          <cell r="I1065">
            <v>1070.18</v>
          </cell>
          <cell r="J1065">
            <v>5350.18</v>
          </cell>
          <cell r="K1065" t="str">
            <v>C</v>
          </cell>
        </row>
        <row r="1066">
          <cell r="A1066">
            <v>51805</v>
          </cell>
          <cell r="B1066" t="str">
            <v>2.1.04.010.0159</v>
          </cell>
          <cell r="C1066" t="str">
            <v xml:space="preserve">CORTICAL VALE COM SERV </v>
          </cell>
          <cell r="D1066">
            <v>146925.82</v>
          </cell>
          <cell r="E1066" t="str">
            <v>C</v>
          </cell>
          <cell r="G1066">
            <v>23972.02</v>
          </cell>
          <cell r="H1066">
            <v>244863.13</v>
          </cell>
          <cell r="I1066">
            <v>220891.11</v>
          </cell>
          <cell r="J1066">
            <v>367816.93</v>
          </cell>
          <cell r="K1066" t="str">
            <v>C</v>
          </cell>
        </row>
        <row r="1067">
          <cell r="A1067">
            <v>2652</v>
          </cell>
          <cell r="B1067" t="str">
            <v>2.1.04.010.0162</v>
          </cell>
          <cell r="C1067" t="str">
            <v xml:space="preserve">CRISMED COMERCIAL </v>
          </cell>
          <cell r="D1067">
            <v>18875.599999999999</v>
          </cell>
          <cell r="E1067" t="str">
            <v>C</v>
          </cell>
          <cell r="G1067">
            <v>13971</v>
          </cell>
          <cell r="H1067">
            <v>3579.86</v>
          </cell>
          <cell r="I1067">
            <v>-10391.14</v>
          </cell>
          <cell r="J1067">
            <v>8484.4599999999991</v>
          </cell>
          <cell r="K1067" t="str">
            <v>C</v>
          </cell>
        </row>
        <row r="1068">
          <cell r="A1068">
            <v>2654</v>
          </cell>
          <cell r="B1068" t="str">
            <v>2.1.04.010.0164</v>
          </cell>
          <cell r="C1068" t="str">
            <v xml:space="preserve">CRISTALIA PROD QUIMICOS </v>
          </cell>
          <cell r="D1068">
            <v>55927.15</v>
          </cell>
          <cell r="E1068" t="str">
            <v>C</v>
          </cell>
          <cell r="G1068">
            <v>42033.36</v>
          </cell>
          <cell r="H1068">
            <v>33567.96</v>
          </cell>
          <cell r="I1068">
            <v>-8465.4</v>
          </cell>
          <cell r="J1068">
            <v>47461.75</v>
          </cell>
          <cell r="K1068" t="str">
            <v>C</v>
          </cell>
        </row>
        <row r="1069">
          <cell r="A1069">
            <v>32504</v>
          </cell>
          <cell r="B1069" t="str">
            <v>2.1.04.010.0165</v>
          </cell>
          <cell r="C1069" t="str">
            <v xml:space="preserve">DALPRAT COM DE </v>
          </cell>
          <cell r="D1069">
            <v>3028.5</v>
          </cell>
          <cell r="E1069" t="str">
            <v>C</v>
          </cell>
          <cell r="G1069">
            <v>3028.5</v>
          </cell>
          <cell r="H1069">
            <v>2512</v>
          </cell>
          <cell r="I1069">
            <v>-516.5</v>
          </cell>
          <cell r="J1069">
            <v>2512</v>
          </cell>
          <cell r="K1069" t="str">
            <v>C</v>
          </cell>
        </row>
        <row r="1070">
          <cell r="A1070">
            <v>32791</v>
          </cell>
          <cell r="B1070" t="str">
            <v>2.1.04.010.0172</v>
          </cell>
          <cell r="C1070" t="str">
            <v xml:space="preserve">DELL COMPUTADORES DO </v>
          </cell>
          <cell r="D1070">
            <v>540.49</v>
          </cell>
          <cell r="E1070" t="str">
            <v>C</v>
          </cell>
          <cell r="G1070">
            <v>540.49</v>
          </cell>
          <cell r="H1070">
            <v>2382.17</v>
          </cell>
          <cell r="I1070">
            <v>1841.68</v>
          </cell>
          <cell r="J1070">
            <v>2382.17</v>
          </cell>
          <cell r="K1070" t="str">
            <v>C</v>
          </cell>
        </row>
        <row r="1071">
          <cell r="A1071">
            <v>34132</v>
          </cell>
          <cell r="B1071" t="str">
            <v>2.1.04.010.0180</v>
          </cell>
          <cell r="C1071" t="str">
            <v xml:space="preserve">DIGIPLAS COMERCIAL LTDA </v>
          </cell>
          <cell r="D1071">
            <v>23633.35</v>
          </cell>
          <cell r="E1071" t="str">
            <v>C</v>
          </cell>
          <cell r="G1071">
            <v>18158.48</v>
          </cell>
          <cell r="H1071">
            <v>6715.08</v>
          </cell>
          <cell r="I1071">
            <v>-11443.4</v>
          </cell>
          <cell r="J1071">
            <v>12189.95</v>
          </cell>
          <cell r="K1071" t="str">
            <v>C</v>
          </cell>
        </row>
        <row r="1072">
          <cell r="A1072">
            <v>3775</v>
          </cell>
          <cell r="B1072" t="str">
            <v>2.1.04.010.0181</v>
          </cell>
          <cell r="C1072" t="str">
            <v xml:space="preserve">DILERMANDO COM. DE MAQ. </v>
          </cell>
          <cell r="D1072">
            <v>0</v>
          </cell>
          <cell r="E1072" t="str">
            <v>C</v>
          </cell>
          <cell r="G1072">
            <v>129</v>
          </cell>
          <cell r="H1072">
            <v>129</v>
          </cell>
          <cell r="I1072">
            <v>0</v>
          </cell>
          <cell r="J1072">
            <v>0</v>
          </cell>
          <cell r="K1072" t="str">
            <v>C</v>
          </cell>
        </row>
        <row r="1073">
          <cell r="A1073">
            <v>52711</v>
          </cell>
          <cell r="B1073" t="str">
            <v>2.1.04.010.0182</v>
          </cell>
          <cell r="C1073" t="str">
            <v xml:space="preserve">DINACI DE LOUDES PEREIRA </v>
          </cell>
          <cell r="D1073">
            <v>5486.6</v>
          </cell>
          <cell r="E1073" t="str">
            <v>C</v>
          </cell>
          <cell r="G1073">
            <v>6724.4</v>
          </cell>
          <cell r="H1073">
            <v>5891.7</v>
          </cell>
          <cell r="I1073">
            <v>-832.7</v>
          </cell>
          <cell r="J1073">
            <v>4653.8999999999996</v>
          </cell>
          <cell r="K1073" t="str">
            <v>C</v>
          </cell>
        </row>
        <row r="1074">
          <cell r="A1074">
            <v>33461</v>
          </cell>
          <cell r="B1074" t="str">
            <v>2.1.04.010.0188</v>
          </cell>
          <cell r="C1074" t="str">
            <v>DONIZETTI E BATISTA LTDA</v>
          </cell>
          <cell r="D1074">
            <v>70673.31</v>
          </cell>
          <cell r="E1074" t="str">
            <v>C</v>
          </cell>
          <cell r="G1074">
            <v>93790.66</v>
          </cell>
          <cell r="H1074">
            <v>65564.3</v>
          </cell>
          <cell r="I1074">
            <v>-28226.36</v>
          </cell>
          <cell r="J1074">
            <v>42446.95</v>
          </cell>
          <cell r="K1074" t="str">
            <v>C</v>
          </cell>
        </row>
        <row r="1075">
          <cell r="A1075">
            <v>36629</v>
          </cell>
          <cell r="B1075" t="str">
            <v>2.1.04.010.0190</v>
          </cell>
          <cell r="C1075" t="str">
            <v xml:space="preserve">DPM VALE COM PROD </v>
          </cell>
          <cell r="D1075">
            <v>418420.04</v>
          </cell>
          <cell r="E1075" t="str">
            <v>C</v>
          </cell>
          <cell r="G1075">
            <v>121878.33</v>
          </cell>
          <cell r="H1075">
            <v>281105.64</v>
          </cell>
          <cell r="I1075">
            <v>159227.31</v>
          </cell>
          <cell r="J1075">
            <v>577647.35</v>
          </cell>
          <cell r="K1075" t="str">
            <v>C</v>
          </cell>
        </row>
        <row r="1076">
          <cell r="A1076">
            <v>52225</v>
          </cell>
          <cell r="B1076" t="str">
            <v>2.1.04.010.0192</v>
          </cell>
          <cell r="C1076" t="str">
            <v xml:space="preserve">DROGAPAR SAO DIMAS LTDA </v>
          </cell>
          <cell r="D1076">
            <v>1371.55</v>
          </cell>
          <cell r="E1076" t="str">
            <v>C</v>
          </cell>
          <cell r="G1076">
            <v>361.55</v>
          </cell>
          <cell r="H1076">
            <v>1689.09</v>
          </cell>
          <cell r="I1076">
            <v>1327.54</v>
          </cell>
          <cell r="J1076">
            <v>2699.09</v>
          </cell>
          <cell r="K1076" t="str">
            <v>C</v>
          </cell>
        </row>
        <row r="1077">
          <cell r="A1077">
            <v>52256</v>
          </cell>
          <cell r="B1077" t="str">
            <v>2.1.04.010.0194</v>
          </cell>
          <cell r="C1077" t="str">
            <v xml:space="preserve">DROGARIA SAO LUCAS </v>
          </cell>
          <cell r="D1077">
            <v>144.85</v>
          </cell>
          <cell r="E1077" t="str">
            <v>C</v>
          </cell>
          <cell r="G1077">
            <v>144.85</v>
          </cell>
          <cell r="H1077">
            <v>0</v>
          </cell>
          <cell r="I1077">
            <v>-144.85</v>
          </cell>
          <cell r="J1077">
            <v>0</v>
          </cell>
          <cell r="K1077" t="str">
            <v>C</v>
          </cell>
        </row>
        <row r="1078">
          <cell r="A1078">
            <v>34056</v>
          </cell>
          <cell r="B1078" t="str">
            <v>2.1.04.010.0197</v>
          </cell>
          <cell r="C1078" t="str">
            <v>DSI DROGARIA LTDA</v>
          </cell>
          <cell r="D1078">
            <v>275.22000000000003</v>
          </cell>
          <cell r="E1078" t="str">
            <v>C</v>
          </cell>
          <cell r="G1078">
            <v>20135.78</v>
          </cell>
          <cell r="H1078">
            <v>19977.95</v>
          </cell>
          <cell r="I1078">
            <v>-157.83000000000001</v>
          </cell>
          <cell r="J1078">
            <v>117.39</v>
          </cell>
          <cell r="K1078" t="str">
            <v>C</v>
          </cell>
        </row>
        <row r="1079">
          <cell r="A1079">
            <v>2719</v>
          </cell>
          <cell r="B1079" t="str">
            <v>2.1.04.010.0199</v>
          </cell>
          <cell r="C1079" t="str">
            <v xml:space="preserve">DUPATRI HOSPITALAR </v>
          </cell>
          <cell r="D1079">
            <v>253012.33</v>
          </cell>
          <cell r="E1079" t="str">
            <v>C</v>
          </cell>
          <cell r="G1079">
            <v>166192.34</v>
          </cell>
          <cell r="H1079">
            <v>111601.43</v>
          </cell>
          <cell r="I1079">
            <v>-54590.91</v>
          </cell>
          <cell r="J1079">
            <v>198421.42</v>
          </cell>
          <cell r="K1079" t="str">
            <v>C</v>
          </cell>
        </row>
        <row r="1080">
          <cell r="A1080">
            <v>33120</v>
          </cell>
          <cell r="B1080" t="str">
            <v>2.1.04.010.0204</v>
          </cell>
          <cell r="C1080" t="str">
            <v>E TAMUSSINO E CIA LTDA</v>
          </cell>
          <cell r="D1080">
            <v>21432</v>
          </cell>
          <cell r="E1080" t="str">
            <v>C</v>
          </cell>
          <cell r="G1080">
            <v>18382</v>
          </cell>
          <cell r="H1080">
            <v>12000</v>
          </cell>
          <cell r="I1080">
            <v>-6382</v>
          </cell>
          <cell r="J1080">
            <v>15050</v>
          </cell>
          <cell r="K1080" t="str">
            <v>C</v>
          </cell>
        </row>
        <row r="1081">
          <cell r="A1081">
            <v>37885</v>
          </cell>
          <cell r="B1081" t="str">
            <v>2.1.04.010.0205</v>
          </cell>
          <cell r="C1081" t="str">
            <v xml:space="preserve">ECO CLEAN COM PROD EQUIP </v>
          </cell>
          <cell r="D1081">
            <v>35008</v>
          </cell>
          <cell r="E1081" t="str">
            <v>C</v>
          </cell>
          <cell r="G1081">
            <v>25473.119999999999</v>
          </cell>
          <cell r="H1081">
            <v>7590.91</v>
          </cell>
          <cell r="I1081">
            <v>-17882.21</v>
          </cell>
          <cell r="J1081">
            <v>17125.79</v>
          </cell>
          <cell r="K1081" t="str">
            <v>C</v>
          </cell>
        </row>
        <row r="1082">
          <cell r="A1082">
            <v>2725</v>
          </cell>
          <cell r="B1082" t="str">
            <v>2.1.04.010.0207</v>
          </cell>
          <cell r="C1082" t="str">
            <v xml:space="preserve">ECOMED COM PROD MED </v>
          </cell>
          <cell r="D1082">
            <v>6000</v>
          </cell>
          <cell r="E1082" t="str">
            <v>C</v>
          </cell>
          <cell r="G1082">
            <v>2000</v>
          </cell>
          <cell r="H1082">
            <v>0</v>
          </cell>
          <cell r="I1082">
            <v>-2000</v>
          </cell>
          <cell r="J1082">
            <v>4000</v>
          </cell>
          <cell r="K1082" t="str">
            <v>C</v>
          </cell>
        </row>
        <row r="1083">
          <cell r="A1083">
            <v>38737</v>
          </cell>
          <cell r="B1083" t="str">
            <v>2.1.04.010.0223</v>
          </cell>
          <cell r="C1083" t="str">
            <v>ELFA MEDICAMENTOS LTDA</v>
          </cell>
          <cell r="D1083">
            <v>111826.96</v>
          </cell>
          <cell r="E1083" t="str">
            <v>C</v>
          </cell>
          <cell r="G1083">
            <v>56151.44</v>
          </cell>
          <cell r="H1083">
            <v>44206.95</v>
          </cell>
          <cell r="I1083">
            <v>-11944.49</v>
          </cell>
          <cell r="J1083">
            <v>99882.47</v>
          </cell>
          <cell r="K1083" t="str">
            <v>C</v>
          </cell>
        </row>
        <row r="1084">
          <cell r="A1084">
            <v>2752</v>
          </cell>
          <cell r="B1084" t="str">
            <v>2.1.04.010.0225</v>
          </cell>
          <cell r="C1084" t="str">
            <v xml:space="preserve">EMPORIO HOSPITALAR COM </v>
          </cell>
          <cell r="D1084">
            <v>125586.2</v>
          </cell>
          <cell r="E1084" t="str">
            <v>C</v>
          </cell>
          <cell r="G1084">
            <v>75589.17</v>
          </cell>
          <cell r="H1084">
            <v>157643.39000000001</v>
          </cell>
          <cell r="I1084">
            <v>82054.22</v>
          </cell>
          <cell r="J1084">
            <v>207640.42</v>
          </cell>
          <cell r="K1084" t="str">
            <v>C</v>
          </cell>
        </row>
        <row r="1085">
          <cell r="A1085">
            <v>33134</v>
          </cell>
          <cell r="B1085" t="str">
            <v>2.1.04.010.0226</v>
          </cell>
          <cell r="C1085" t="str">
            <v xml:space="preserve">EMPORIO MEDICO COM DE </v>
          </cell>
          <cell r="D1085">
            <v>23187.119999999999</v>
          </cell>
          <cell r="E1085" t="str">
            <v>C</v>
          </cell>
          <cell r="G1085">
            <v>10167.33</v>
          </cell>
          <cell r="H1085">
            <v>22927.200000000001</v>
          </cell>
          <cell r="I1085">
            <v>12759.87</v>
          </cell>
          <cell r="J1085">
            <v>35946.99</v>
          </cell>
          <cell r="K1085" t="str">
            <v>C</v>
          </cell>
        </row>
        <row r="1086">
          <cell r="A1086">
            <v>52575</v>
          </cell>
          <cell r="B1086" t="str">
            <v>2.1.04.010.0228</v>
          </cell>
          <cell r="C1086" t="str">
            <v xml:space="preserve">ENDOCTOR PRODUTOS </v>
          </cell>
          <cell r="D1086">
            <v>15376</v>
          </cell>
          <cell r="E1086" t="str">
            <v>C</v>
          </cell>
          <cell r="G1086">
            <v>5522</v>
          </cell>
          <cell r="H1086">
            <v>21432</v>
          </cell>
          <cell r="I1086">
            <v>15910</v>
          </cell>
          <cell r="J1086">
            <v>31286</v>
          </cell>
          <cell r="K1086" t="str">
            <v>C</v>
          </cell>
        </row>
        <row r="1087">
          <cell r="A1087">
            <v>37696</v>
          </cell>
          <cell r="B1087" t="str">
            <v>2.1.04.010.0234</v>
          </cell>
          <cell r="C1087" t="str">
            <v xml:space="preserve">EVMED PRODUTOS MEDICOS </v>
          </cell>
          <cell r="D1087">
            <v>3250</v>
          </cell>
          <cell r="E1087" t="str">
            <v>C</v>
          </cell>
          <cell r="G1087">
            <v>0</v>
          </cell>
          <cell r="H1087">
            <v>660</v>
          </cell>
          <cell r="I1087">
            <v>660</v>
          </cell>
          <cell r="J1087">
            <v>3910</v>
          </cell>
          <cell r="K1087" t="str">
            <v>C</v>
          </cell>
        </row>
        <row r="1088">
          <cell r="A1088">
            <v>12451</v>
          </cell>
          <cell r="B1088" t="str">
            <v>2.1.04.010.0238</v>
          </cell>
          <cell r="C1088" t="str">
            <v xml:space="preserve">EXCELENCIA DO PAO </v>
          </cell>
          <cell r="D1088">
            <v>7955.5</v>
          </cell>
          <cell r="E1088" t="str">
            <v>C</v>
          </cell>
          <cell r="G1088">
            <v>7955.5</v>
          </cell>
          <cell r="H1088">
            <v>9200.5</v>
          </cell>
          <cell r="I1088">
            <v>1245</v>
          </cell>
          <cell r="J1088">
            <v>9200.5</v>
          </cell>
          <cell r="K1088" t="str">
            <v>C</v>
          </cell>
        </row>
        <row r="1089">
          <cell r="A1089">
            <v>32480</v>
          </cell>
          <cell r="B1089" t="str">
            <v>2.1.04.010.0239</v>
          </cell>
          <cell r="C1089" t="str">
            <v xml:space="preserve">EXPRESSA DISTRIB DE </v>
          </cell>
          <cell r="D1089">
            <v>25808.37</v>
          </cell>
          <cell r="E1089" t="str">
            <v>C</v>
          </cell>
          <cell r="G1089">
            <v>15817.47</v>
          </cell>
          <cell r="H1089">
            <v>12590</v>
          </cell>
          <cell r="I1089">
            <v>-3227.47</v>
          </cell>
          <cell r="J1089">
            <v>22580.9</v>
          </cell>
          <cell r="K1089" t="str">
            <v>C</v>
          </cell>
        </row>
        <row r="1090">
          <cell r="A1090">
            <v>33988</v>
          </cell>
          <cell r="B1090" t="str">
            <v>2.1.04.010.0240</v>
          </cell>
          <cell r="C1090" t="str">
            <v xml:space="preserve">EXPRESSMEDICAL COM ATAC </v>
          </cell>
          <cell r="D1090">
            <v>51524.61</v>
          </cell>
          <cell r="E1090" t="str">
            <v>C</v>
          </cell>
          <cell r="G1090">
            <v>32016.67</v>
          </cell>
          <cell r="H1090">
            <v>53668.03</v>
          </cell>
          <cell r="I1090">
            <v>21651.360000000001</v>
          </cell>
          <cell r="J1090">
            <v>73175.97</v>
          </cell>
          <cell r="K1090" t="str">
            <v>C</v>
          </cell>
        </row>
        <row r="1091">
          <cell r="A1091">
            <v>37305</v>
          </cell>
          <cell r="B1091" t="str">
            <v>2.1.04.010.0241</v>
          </cell>
          <cell r="C1091" t="str">
            <v>F DE PAULA M ALBUQUERQUE</v>
          </cell>
          <cell r="D1091">
            <v>608</v>
          </cell>
          <cell r="E1091" t="str">
            <v>C</v>
          </cell>
          <cell r="G1091">
            <v>608</v>
          </cell>
          <cell r="H1091">
            <v>1824</v>
          </cell>
          <cell r="I1091">
            <v>1216</v>
          </cell>
          <cell r="J1091">
            <v>1824</v>
          </cell>
          <cell r="K1091" t="str">
            <v>C</v>
          </cell>
        </row>
        <row r="1092">
          <cell r="A1092">
            <v>37995</v>
          </cell>
          <cell r="B1092" t="str">
            <v>2.1.04.010.0248</v>
          </cell>
          <cell r="C1092" t="str">
            <v xml:space="preserve">FARMATER MEDICAMENTOS </v>
          </cell>
          <cell r="D1092">
            <v>805.5</v>
          </cell>
          <cell r="E1092" t="str">
            <v>C</v>
          </cell>
          <cell r="G1092">
            <v>805.5</v>
          </cell>
          <cell r="H1092">
            <v>1277.75</v>
          </cell>
          <cell r="I1092">
            <v>472.25</v>
          </cell>
          <cell r="J1092">
            <v>1277.75</v>
          </cell>
          <cell r="K1092" t="str">
            <v>C</v>
          </cell>
        </row>
        <row r="1093">
          <cell r="A1093">
            <v>38226</v>
          </cell>
          <cell r="B1093" t="str">
            <v>2.1.04.010.0259</v>
          </cell>
          <cell r="C1093" t="str">
            <v>FLAHEL COMERCIO LTDA ME</v>
          </cell>
          <cell r="D1093">
            <v>650</v>
          </cell>
          <cell r="E1093" t="str">
            <v>C</v>
          </cell>
          <cell r="G1093">
            <v>650</v>
          </cell>
          <cell r="H1093">
            <v>2961</v>
          </cell>
          <cell r="I1093">
            <v>2311</v>
          </cell>
          <cell r="J1093">
            <v>2961</v>
          </cell>
          <cell r="K1093" t="str">
            <v>C</v>
          </cell>
        </row>
        <row r="1094">
          <cell r="A1094">
            <v>2808</v>
          </cell>
          <cell r="B1094" t="str">
            <v>2.1.04.010.0263</v>
          </cell>
          <cell r="C1094" t="str">
            <v xml:space="preserve">FLORICULTURA YOSHIDA </v>
          </cell>
          <cell r="D1094">
            <v>0</v>
          </cell>
          <cell r="E1094" t="str">
            <v>C</v>
          </cell>
          <cell r="G1094">
            <v>115</v>
          </cell>
          <cell r="H1094">
            <v>115</v>
          </cell>
          <cell r="I1094">
            <v>0</v>
          </cell>
          <cell r="J1094">
            <v>0</v>
          </cell>
          <cell r="K1094" t="str">
            <v>C</v>
          </cell>
        </row>
        <row r="1095">
          <cell r="A1095">
            <v>2813</v>
          </cell>
          <cell r="B1095" t="str">
            <v>2.1.04.010.0267</v>
          </cell>
          <cell r="C1095" t="str">
            <v xml:space="preserve">FONTELAB COM EQUIP </v>
          </cell>
          <cell r="D1095">
            <v>8876.92</v>
          </cell>
          <cell r="E1095" t="str">
            <v>C</v>
          </cell>
          <cell r="G1095">
            <v>5540.28</v>
          </cell>
          <cell r="H1095">
            <v>4135.17</v>
          </cell>
          <cell r="I1095">
            <v>-1405.11</v>
          </cell>
          <cell r="J1095">
            <v>7471.81</v>
          </cell>
          <cell r="K1095" t="str">
            <v>C</v>
          </cell>
        </row>
        <row r="1096">
          <cell r="A1096">
            <v>37678</v>
          </cell>
          <cell r="B1096" t="str">
            <v>2.1.04.010.0269</v>
          </cell>
          <cell r="C1096" t="str">
            <v xml:space="preserve">FRANCISCO RODRIGUES DE </v>
          </cell>
          <cell r="D1096">
            <v>280</v>
          </cell>
          <cell r="E1096" t="str">
            <v>C</v>
          </cell>
          <cell r="G1096">
            <v>280</v>
          </cell>
          <cell r="H1096">
            <v>0</v>
          </cell>
          <cell r="I1096">
            <v>-280</v>
          </cell>
          <cell r="J1096">
            <v>0</v>
          </cell>
          <cell r="K1096" t="str">
            <v>C</v>
          </cell>
        </row>
        <row r="1097">
          <cell r="A1097">
            <v>2826</v>
          </cell>
          <cell r="B1097" t="str">
            <v>2.1.04.010.0270</v>
          </cell>
          <cell r="C1097" t="str">
            <v xml:space="preserve">FRESENIUS MEDICAL CARE </v>
          </cell>
          <cell r="D1097">
            <v>5022.9799999999996</v>
          </cell>
          <cell r="E1097" t="str">
            <v>C</v>
          </cell>
          <cell r="G1097">
            <v>5022.9799999999996</v>
          </cell>
          <cell r="H1097">
            <v>5022.9799999999996</v>
          </cell>
          <cell r="I1097">
            <v>0</v>
          </cell>
          <cell r="J1097">
            <v>5022.9799999999996</v>
          </cell>
          <cell r="K1097" t="str">
            <v>C</v>
          </cell>
        </row>
        <row r="1098">
          <cell r="A1098">
            <v>51384</v>
          </cell>
          <cell r="B1098" t="str">
            <v>2.1.04.010.0272</v>
          </cell>
          <cell r="C1098" t="str">
            <v xml:space="preserve">FRIOSHOPPING COME SERV </v>
          </cell>
          <cell r="D1098">
            <v>1997.53</v>
          </cell>
          <cell r="E1098" t="str">
            <v>C</v>
          </cell>
          <cell r="G1098">
            <v>1997.53</v>
          </cell>
          <cell r="H1098">
            <v>896.04</v>
          </cell>
          <cell r="I1098">
            <v>-1101.49</v>
          </cell>
          <cell r="J1098">
            <v>896.04</v>
          </cell>
          <cell r="K1098" t="str">
            <v>C</v>
          </cell>
        </row>
        <row r="1099">
          <cell r="A1099">
            <v>37082</v>
          </cell>
          <cell r="B1099" t="str">
            <v>2.1.04.010.0274</v>
          </cell>
          <cell r="C1099" t="str">
            <v xml:space="preserve">FUTURA COM DE PROD </v>
          </cell>
          <cell r="D1099">
            <v>2543.02</v>
          </cell>
          <cell r="E1099" t="str">
            <v>C</v>
          </cell>
          <cell r="G1099">
            <v>5194.74</v>
          </cell>
          <cell r="H1099">
            <v>7359.34</v>
          </cell>
          <cell r="I1099">
            <v>2164.6</v>
          </cell>
          <cell r="J1099">
            <v>4707.62</v>
          </cell>
          <cell r="K1099" t="str">
            <v>C</v>
          </cell>
        </row>
        <row r="1100">
          <cell r="A1100">
            <v>37444</v>
          </cell>
          <cell r="B1100" t="str">
            <v>2.1.04.010.0291</v>
          </cell>
          <cell r="C1100" t="str">
            <v xml:space="preserve">HDL LOGISTICA HOSPITALAR </v>
          </cell>
          <cell r="D1100">
            <v>48230.71</v>
          </cell>
          <cell r="E1100" t="str">
            <v>C</v>
          </cell>
          <cell r="G1100">
            <v>47722.34</v>
          </cell>
          <cell r="H1100">
            <v>27051.599999999999</v>
          </cell>
          <cell r="I1100">
            <v>-20670.740000000002</v>
          </cell>
          <cell r="J1100">
            <v>27559.97</v>
          </cell>
          <cell r="K1100" t="str">
            <v>C</v>
          </cell>
        </row>
        <row r="1101">
          <cell r="A1101">
            <v>2870</v>
          </cell>
          <cell r="B1101" t="str">
            <v>2.1.04.010.0297</v>
          </cell>
          <cell r="C1101" t="str">
            <v>HANDLE COM.</v>
          </cell>
          <cell r="D1101">
            <v>42468.29</v>
          </cell>
          <cell r="E1101" t="str">
            <v>C</v>
          </cell>
          <cell r="G1101">
            <v>5650</v>
          </cell>
          <cell r="H1101">
            <v>10830</v>
          </cell>
          <cell r="I1101">
            <v>5180</v>
          </cell>
          <cell r="J1101">
            <v>47648.29</v>
          </cell>
          <cell r="K1101" t="str">
            <v>C</v>
          </cell>
        </row>
        <row r="1102">
          <cell r="A1102">
            <v>52809</v>
          </cell>
          <cell r="B1102" t="str">
            <v>2.1.04.010.0300</v>
          </cell>
          <cell r="C1102" t="str">
            <v xml:space="preserve">HEALTH TECH FARMACIA DE </v>
          </cell>
          <cell r="D1102">
            <v>195.84</v>
          </cell>
          <cell r="E1102" t="str">
            <v>C</v>
          </cell>
          <cell r="G1102">
            <v>195.84</v>
          </cell>
          <cell r="H1102">
            <v>252.75</v>
          </cell>
          <cell r="I1102">
            <v>56.91</v>
          </cell>
          <cell r="J1102">
            <v>252.75</v>
          </cell>
          <cell r="K1102" t="str">
            <v>C</v>
          </cell>
        </row>
        <row r="1103">
          <cell r="A1103">
            <v>26391</v>
          </cell>
          <cell r="B1103" t="str">
            <v>2.1.04.010.0310</v>
          </cell>
          <cell r="C1103" t="str">
            <v xml:space="preserve">HOSP PHARMA MANIPULACAO </v>
          </cell>
          <cell r="D1103">
            <v>15123.88</v>
          </cell>
          <cell r="E1103" t="str">
            <v>C</v>
          </cell>
          <cell r="G1103">
            <v>5340.36</v>
          </cell>
          <cell r="H1103">
            <v>4239.72</v>
          </cell>
          <cell r="I1103">
            <v>-1100.6400000000001</v>
          </cell>
          <cell r="J1103">
            <v>14023.24</v>
          </cell>
          <cell r="K1103" t="str">
            <v>C</v>
          </cell>
        </row>
        <row r="1104">
          <cell r="A1104">
            <v>2896</v>
          </cell>
          <cell r="B1104" t="str">
            <v>2.1.04.010.0312</v>
          </cell>
          <cell r="C1104" t="str">
            <v>HOUTER DO BRASIL LTDA</v>
          </cell>
          <cell r="D1104">
            <v>3952</v>
          </cell>
          <cell r="E1104" t="str">
            <v>C</v>
          </cell>
          <cell r="G1104">
            <v>2252</v>
          </cell>
          <cell r="H1104">
            <v>0</v>
          </cell>
          <cell r="I1104">
            <v>-2252</v>
          </cell>
          <cell r="J1104">
            <v>1700</v>
          </cell>
          <cell r="K1104" t="str">
            <v>C</v>
          </cell>
        </row>
        <row r="1105">
          <cell r="A1105">
            <v>38280</v>
          </cell>
          <cell r="B1105" t="str">
            <v>2.1.04.010.0315</v>
          </cell>
          <cell r="C1105" t="str">
            <v xml:space="preserve">HUMANA ALIMENTAR DISTR </v>
          </cell>
          <cell r="D1105">
            <v>84691.45</v>
          </cell>
          <cell r="E1105" t="str">
            <v>C</v>
          </cell>
          <cell r="G1105">
            <v>40244.17</v>
          </cell>
          <cell r="H1105">
            <v>64236.3</v>
          </cell>
          <cell r="I1105">
            <v>23992.13</v>
          </cell>
          <cell r="J1105">
            <v>108683.58</v>
          </cell>
          <cell r="K1105" t="str">
            <v>C</v>
          </cell>
        </row>
        <row r="1106">
          <cell r="A1106">
            <v>51483</v>
          </cell>
          <cell r="B1106" t="str">
            <v>2.1.04.010.0318</v>
          </cell>
          <cell r="C1106" t="str">
            <v xml:space="preserve">IGL AMERICA LATINA </v>
          </cell>
          <cell r="D1106">
            <v>4488</v>
          </cell>
          <cell r="E1106" t="str">
            <v>C</v>
          </cell>
          <cell r="G1106">
            <v>4488</v>
          </cell>
          <cell r="H1106">
            <v>0</v>
          </cell>
          <cell r="I1106">
            <v>-4488</v>
          </cell>
          <cell r="J1106">
            <v>0</v>
          </cell>
          <cell r="K1106" t="str">
            <v>C</v>
          </cell>
        </row>
        <row r="1107">
          <cell r="A1107">
            <v>33093</v>
          </cell>
          <cell r="B1107" t="str">
            <v>2.1.04.010.0327</v>
          </cell>
          <cell r="C1107" t="str">
            <v xml:space="preserve">INOVALI PRODUTOS MEDICOS </v>
          </cell>
          <cell r="D1107">
            <v>8358.92</v>
          </cell>
          <cell r="E1107" t="str">
            <v>C</v>
          </cell>
          <cell r="G1107">
            <v>8358.92</v>
          </cell>
          <cell r="H1107">
            <v>7559.89</v>
          </cell>
          <cell r="I1107">
            <v>-799.03</v>
          </cell>
          <cell r="J1107">
            <v>7559.89</v>
          </cell>
          <cell r="K1107" t="str">
            <v>C</v>
          </cell>
        </row>
        <row r="1108">
          <cell r="A1108">
            <v>51894</v>
          </cell>
          <cell r="B1108" t="str">
            <v>2.1.04.010.0345</v>
          </cell>
          <cell r="C1108" t="str">
            <v xml:space="preserve">JANAINA CARDOSO DE </v>
          </cell>
          <cell r="D1108">
            <v>0</v>
          </cell>
          <cell r="E1108" t="str">
            <v>C</v>
          </cell>
          <cell r="G1108">
            <v>0</v>
          </cell>
          <cell r="H1108">
            <v>345</v>
          </cell>
          <cell r="I1108">
            <v>345</v>
          </cell>
          <cell r="J1108">
            <v>345</v>
          </cell>
          <cell r="K1108" t="str">
            <v>C</v>
          </cell>
        </row>
        <row r="1109">
          <cell r="A1109">
            <v>2997</v>
          </cell>
          <cell r="B1109" t="str">
            <v>2.1.04.010.0361</v>
          </cell>
          <cell r="C1109" t="str">
            <v xml:space="preserve">KALUNGA COM. E IND. </v>
          </cell>
          <cell r="D1109">
            <v>2783.31</v>
          </cell>
          <cell r="E1109" t="str">
            <v>C</v>
          </cell>
          <cell r="G1109">
            <v>1829.57</v>
          </cell>
          <cell r="H1109">
            <v>1984.25</v>
          </cell>
          <cell r="I1109">
            <v>154.68</v>
          </cell>
          <cell r="J1109">
            <v>2937.99</v>
          </cell>
          <cell r="K1109" t="str">
            <v>C</v>
          </cell>
        </row>
        <row r="1110">
          <cell r="A1110">
            <v>52910</v>
          </cell>
          <cell r="B1110" t="str">
            <v>2.1.04.010.0366</v>
          </cell>
          <cell r="C1110" t="str">
            <v>KLEMEM IMPORTACAO LTDA</v>
          </cell>
          <cell r="D1110">
            <v>898.08</v>
          </cell>
          <cell r="E1110" t="str">
            <v>C</v>
          </cell>
          <cell r="G1110">
            <v>898.08</v>
          </cell>
          <cell r="H1110">
            <v>0</v>
          </cell>
          <cell r="I1110">
            <v>-898.08</v>
          </cell>
          <cell r="J1110">
            <v>0</v>
          </cell>
          <cell r="K1110" t="str">
            <v>C</v>
          </cell>
        </row>
        <row r="1111">
          <cell r="A1111">
            <v>3004</v>
          </cell>
          <cell r="B1111" t="str">
            <v>2.1.04.010.0367</v>
          </cell>
          <cell r="C1111" t="str">
            <v>KONIMAGEM COMERCIO LTDA</v>
          </cell>
          <cell r="D1111">
            <v>104311.33</v>
          </cell>
          <cell r="E1111" t="str">
            <v>C</v>
          </cell>
          <cell r="G1111">
            <v>78534.41</v>
          </cell>
          <cell r="H1111">
            <v>44191.9</v>
          </cell>
          <cell r="I1111">
            <v>-34342.51</v>
          </cell>
          <cell r="J1111">
            <v>69968.820000000007</v>
          </cell>
          <cell r="K1111" t="str">
            <v>C</v>
          </cell>
        </row>
        <row r="1112">
          <cell r="A1112">
            <v>52918</v>
          </cell>
          <cell r="B1112" t="str">
            <v>2.1.04.010.0368</v>
          </cell>
          <cell r="C1112" t="str">
            <v xml:space="preserve">KORYMA IND E COM DE PROD </v>
          </cell>
          <cell r="D1112">
            <v>0</v>
          </cell>
          <cell r="E1112" t="str">
            <v>C</v>
          </cell>
          <cell r="G1112">
            <v>1483.16</v>
          </cell>
          <cell r="H1112">
            <v>2378.36</v>
          </cell>
          <cell r="I1112">
            <v>895.2</v>
          </cell>
          <cell r="J1112">
            <v>895.2</v>
          </cell>
          <cell r="K1112" t="str">
            <v>C</v>
          </cell>
        </row>
        <row r="1113">
          <cell r="A1113">
            <v>51124</v>
          </cell>
          <cell r="B1113" t="str">
            <v>2.1.04.010.0370</v>
          </cell>
          <cell r="C1113" t="str">
            <v xml:space="preserve">LC DE CAMARGO </v>
          </cell>
          <cell r="D1113">
            <v>475</v>
          </cell>
          <cell r="E1113" t="str">
            <v>C</v>
          </cell>
          <cell r="G1113">
            <v>475</v>
          </cell>
          <cell r="H1113">
            <v>0</v>
          </cell>
          <cell r="I1113">
            <v>-475</v>
          </cell>
          <cell r="J1113">
            <v>0</v>
          </cell>
          <cell r="K1113" t="str">
            <v>C</v>
          </cell>
        </row>
        <row r="1114">
          <cell r="A1114">
            <v>32744</v>
          </cell>
          <cell r="B1114" t="str">
            <v>2.1.04.010.0377</v>
          </cell>
          <cell r="C1114" t="str">
            <v>LAURENY NERY NUNES EPP</v>
          </cell>
          <cell r="D1114">
            <v>284</v>
          </cell>
          <cell r="E1114" t="str">
            <v>C</v>
          </cell>
          <cell r="G1114">
            <v>284</v>
          </cell>
          <cell r="H1114">
            <v>0</v>
          </cell>
          <cell r="I1114">
            <v>-284</v>
          </cell>
          <cell r="J1114">
            <v>0</v>
          </cell>
          <cell r="K1114" t="str">
            <v>C</v>
          </cell>
        </row>
        <row r="1115">
          <cell r="A1115">
            <v>3023</v>
          </cell>
          <cell r="B1115" t="str">
            <v>2.1.04.010.0382</v>
          </cell>
          <cell r="C1115" t="str">
            <v>LEMOS E CAVALCANTI LTDA</v>
          </cell>
          <cell r="D1115">
            <v>5128.75</v>
          </cell>
          <cell r="E1115" t="str">
            <v>C</v>
          </cell>
          <cell r="G1115">
            <v>3362.75</v>
          </cell>
          <cell r="H1115">
            <v>2832</v>
          </cell>
          <cell r="I1115">
            <v>-530.75</v>
          </cell>
          <cell r="J1115">
            <v>4598</v>
          </cell>
          <cell r="K1115" t="str">
            <v>C</v>
          </cell>
        </row>
        <row r="1116">
          <cell r="A1116">
            <v>3024</v>
          </cell>
          <cell r="B1116" t="str">
            <v>2.1.04.010.0383</v>
          </cell>
          <cell r="C1116" t="str">
            <v xml:space="preserve">LEO MADEIRAS,MAQUINAS E </v>
          </cell>
          <cell r="D1116">
            <v>835.79</v>
          </cell>
          <cell r="E1116" t="str">
            <v>C</v>
          </cell>
          <cell r="G1116">
            <v>835.79</v>
          </cell>
          <cell r="H1116">
            <v>2209.66</v>
          </cell>
          <cell r="I1116">
            <v>1373.87</v>
          </cell>
          <cell r="J1116">
            <v>2209.66</v>
          </cell>
          <cell r="K1116" t="str">
            <v>C</v>
          </cell>
        </row>
        <row r="1117">
          <cell r="A1117">
            <v>3038</v>
          </cell>
          <cell r="B1117" t="str">
            <v>2.1.04.010.0387</v>
          </cell>
          <cell r="C1117" t="str">
            <v>LINDE GASES LTDA AGA SA</v>
          </cell>
          <cell r="D1117">
            <v>71942.3</v>
          </cell>
          <cell r="E1117" t="str">
            <v>C</v>
          </cell>
          <cell r="G1117">
            <v>83145.87</v>
          </cell>
          <cell r="H1117">
            <v>87005.6</v>
          </cell>
          <cell r="I1117">
            <v>3859.73</v>
          </cell>
          <cell r="J1117">
            <v>75802.03</v>
          </cell>
          <cell r="K1117" t="str">
            <v>C</v>
          </cell>
        </row>
        <row r="1118">
          <cell r="A1118">
            <v>3039</v>
          </cell>
          <cell r="B1118" t="str">
            <v>2.1.04.010.0388</v>
          </cell>
          <cell r="C1118" t="str">
            <v xml:space="preserve">LINE LIFE CARD COM DE </v>
          </cell>
          <cell r="D1118">
            <v>4800</v>
          </cell>
          <cell r="E1118" t="str">
            <v>C</v>
          </cell>
          <cell r="G1118">
            <v>4800</v>
          </cell>
          <cell r="H1118">
            <v>4360</v>
          </cell>
          <cell r="I1118">
            <v>-440</v>
          </cell>
          <cell r="J1118">
            <v>4360</v>
          </cell>
          <cell r="K1118" t="str">
            <v>C</v>
          </cell>
        </row>
        <row r="1119">
          <cell r="A1119">
            <v>3042</v>
          </cell>
          <cell r="B1119" t="str">
            <v>2.1.04.010.0392</v>
          </cell>
          <cell r="C1119" t="str">
            <v>LM FARMA IND E COM LTDA</v>
          </cell>
          <cell r="D1119">
            <v>21980.93</v>
          </cell>
          <cell r="E1119" t="str">
            <v>C</v>
          </cell>
          <cell r="G1119">
            <v>14072.93</v>
          </cell>
          <cell r="H1119">
            <v>8899.1</v>
          </cell>
          <cell r="I1119">
            <v>-5173.83</v>
          </cell>
          <cell r="J1119">
            <v>16807.099999999999</v>
          </cell>
          <cell r="K1119" t="str">
            <v>C</v>
          </cell>
        </row>
        <row r="1120">
          <cell r="A1120">
            <v>32957</v>
          </cell>
          <cell r="B1120" t="str">
            <v>2.1.04.010.0393</v>
          </cell>
          <cell r="C1120" t="str">
            <v xml:space="preserve">LN EQUIP E PRODUTOS PARA </v>
          </cell>
          <cell r="D1120">
            <v>38874.42</v>
          </cell>
          <cell r="E1120" t="str">
            <v>C</v>
          </cell>
          <cell r="G1120">
            <v>25953.05</v>
          </cell>
          <cell r="H1120">
            <v>2846.47</v>
          </cell>
          <cell r="I1120">
            <v>-23106.58</v>
          </cell>
          <cell r="J1120">
            <v>15767.84</v>
          </cell>
          <cell r="K1120" t="str">
            <v>C</v>
          </cell>
        </row>
        <row r="1121">
          <cell r="A1121">
            <v>37457</v>
          </cell>
          <cell r="B1121" t="str">
            <v>2.1.04.010.0396</v>
          </cell>
          <cell r="C1121" t="str">
            <v xml:space="preserve">LONDRES DISTRIB PROD ALIM </v>
          </cell>
          <cell r="D1121">
            <v>11248.41</v>
          </cell>
          <cell r="E1121" t="str">
            <v>C</v>
          </cell>
          <cell r="G1121">
            <v>12660.81</v>
          </cell>
          <cell r="H1121">
            <v>7682.32</v>
          </cell>
          <cell r="I1121">
            <v>-4978.49</v>
          </cell>
          <cell r="J1121">
            <v>6269.92</v>
          </cell>
          <cell r="K1121" t="str">
            <v>C</v>
          </cell>
        </row>
        <row r="1122">
          <cell r="A1122">
            <v>3055</v>
          </cell>
          <cell r="B1122" t="str">
            <v>2.1.04.010.0399</v>
          </cell>
          <cell r="C1122" t="str">
            <v xml:space="preserve">LUCHETTI COM DE MATERIAIS </v>
          </cell>
          <cell r="D1122">
            <v>0</v>
          </cell>
          <cell r="E1122" t="str">
            <v>C</v>
          </cell>
          <cell r="G1122">
            <v>0</v>
          </cell>
          <cell r="H1122">
            <v>24956.17</v>
          </cell>
          <cell r="I1122">
            <v>24956.17</v>
          </cell>
          <cell r="J1122">
            <v>24956.17</v>
          </cell>
          <cell r="K1122" t="str">
            <v>C</v>
          </cell>
        </row>
        <row r="1123">
          <cell r="A1123">
            <v>34133</v>
          </cell>
          <cell r="B1123" t="str">
            <v>2.1.04.010.0407</v>
          </cell>
          <cell r="C1123" t="str">
            <v xml:space="preserve">MCM DA SILVEIRA E CIA LTDA </v>
          </cell>
          <cell r="D1123">
            <v>247.8</v>
          </cell>
          <cell r="E1123" t="str">
            <v>C</v>
          </cell>
          <cell r="G1123">
            <v>247.8</v>
          </cell>
          <cell r="H1123">
            <v>0</v>
          </cell>
          <cell r="I1123">
            <v>-247.8</v>
          </cell>
          <cell r="J1123">
            <v>0</v>
          </cell>
          <cell r="K1123" t="str">
            <v>C</v>
          </cell>
        </row>
        <row r="1124">
          <cell r="A1124">
            <v>51527</v>
          </cell>
          <cell r="B1124" t="str">
            <v>2.1.04.010.0409</v>
          </cell>
          <cell r="C1124" t="str">
            <v xml:space="preserve">ME DOS SANTOS CARVALHO </v>
          </cell>
          <cell r="D1124">
            <v>14226.2</v>
          </cell>
          <cell r="E1124" t="str">
            <v>C</v>
          </cell>
          <cell r="G1124">
            <v>7774.2</v>
          </cell>
          <cell r="H1124">
            <v>19405.8</v>
          </cell>
          <cell r="I1124">
            <v>11631.6</v>
          </cell>
          <cell r="J1124">
            <v>25857.8</v>
          </cell>
          <cell r="K1124" t="str">
            <v>C</v>
          </cell>
        </row>
        <row r="1125">
          <cell r="A1125">
            <v>33676</v>
          </cell>
          <cell r="B1125" t="str">
            <v>2.1.04.010.0411</v>
          </cell>
          <cell r="C1125" t="str">
            <v xml:space="preserve">MACEDO E ANDRADE COM DE </v>
          </cell>
          <cell r="D1125">
            <v>18143.7</v>
          </cell>
          <cell r="E1125" t="str">
            <v>C</v>
          </cell>
          <cell r="G1125">
            <v>18143.7</v>
          </cell>
          <cell r="H1125">
            <v>17307.86</v>
          </cell>
          <cell r="I1125">
            <v>-835.84</v>
          </cell>
          <cell r="J1125">
            <v>17307.86</v>
          </cell>
          <cell r="K1125" t="str">
            <v>C</v>
          </cell>
        </row>
        <row r="1126">
          <cell r="A1126">
            <v>25050</v>
          </cell>
          <cell r="B1126" t="str">
            <v>2.1.04.010.0412</v>
          </cell>
          <cell r="C1126" t="str">
            <v xml:space="preserve">MACOM INSTRUMENTAL </v>
          </cell>
          <cell r="D1126">
            <v>0</v>
          </cell>
          <cell r="E1126" t="str">
            <v>C</v>
          </cell>
          <cell r="G1126">
            <v>3895.83</v>
          </cell>
          <cell r="H1126">
            <v>3895.83</v>
          </cell>
          <cell r="I1126">
            <v>0</v>
          </cell>
          <cell r="J1126">
            <v>0</v>
          </cell>
          <cell r="K1126" t="str">
            <v>C</v>
          </cell>
        </row>
        <row r="1127">
          <cell r="A1127">
            <v>33551</v>
          </cell>
          <cell r="B1127" t="str">
            <v>2.1.04.010.0413</v>
          </cell>
          <cell r="C1127" t="str">
            <v xml:space="preserve">MACOM MALHAS </v>
          </cell>
          <cell r="D1127">
            <v>0</v>
          </cell>
          <cell r="E1127" t="str">
            <v>C</v>
          </cell>
          <cell r="G1127">
            <v>0</v>
          </cell>
          <cell r="H1127">
            <v>330</v>
          </cell>
          <cell r="I1127">
            <v>330</v>
          </cell>
          <cell r="J1127">
            <v>330</v>
          </cell>
          <cell r="K1127" t="str">
            <v>C</v>
          </cell>
        </row>
        <row r="1128">
          <cell r="A1128">
            <v>33295</v>
          </cell>
          <cell r="B1128" t="str">
            <v>2.1.04.010.0415</v>
          </cell>
          <cell r="C1128" t="str">
            <v>MADEIREIRA ANDORRA LTDA</v>
          </cell>
          <cell r="D1128">
            <v>599.04999999999995</v>
          </cell>
          <cell r="E1128" t="str">
            <v>C</v>
          </cell>
          <cell r="G1128">
            <v>599.04999999999995</v>
          </cell>
          <cell r="H1128">
            <v>8421.82</v>
          </cell>
          <cell r="I1128">
            <v>7822.77</v>
          </cell>
          <cell r="J1128">
            <v>8421.82</v>
          </cell>
          <cell r="K1128" t="str">
            <v>C</v>
          </cell>
        </row>
        <row r="1129">
          <cell r="A1129">
            <v>3090</v>
          </cell>
          <cell r="B1129" t="str">
            <v>2.1.04.010.0416</v>
          </cell>
          <cell r="C1129" t="str">
            <v xml:space="preserve">MAGALHAES EQUIPAMENTOS </v>
          </cell>
          <cell r="D1129">
            <v>4177.8500000000004</v>
          </cell>
          <cell r="E1129" t="str">
            <v>C</v>
          </cell>
          <cell r="G1129">
            <v>4177.8500000000004</v>
          </cell>
          <cell r="H1129">
            <v>1788.31</v>
          </cell>
          <cell r="I1129">
            <v>-2389.54</v>
          </cell>
          <cell r="J1129">
            <v>1788.31</v>
          </cell>
          <cell r="K1129" t="str">
            <v>C</v>
          </cell>
        </row>
        <row r="1130">
          <cell r="A1130">
            <v>52994</v>
          </cell>
          <cell r="B1130" t="str">
            <v>2.1.04.010.0425</v>
          </cell>
          <cell r="C1130" t="str">
            <v xml:space="preserve">MARIA REGINA FERREIRA </v>
          </cell>
          <cell r="D1130">
            <v>340</v>
          </cell>
          <cell r="E1130" t="str">
            <v>C</v>
          </cell>
          <cell r="G1130">
            <v>220</v>
          </cell>
          <cell r="H1130">
            <v>120</v>
          </cell>
          <cell r="I1130">
            <v>-100</v>
          </cell>
          <cell r="J1130">
            <v>240</v>
          </cell>
          <cell r="K1130" t="str">
            <v>C</v>
          </cell>
        </row>
        <row r="1131">
          <cell r="A1131">
            <v>2335</v>
          </cell>
          <cell r="B1131" t="str">
            <v>2.1.04.010.0426</v>
          </cell>
          <cell r="C1131" t="str">
            <v xml:space="preserve">MARILENE AP RIZZETO </v>
          </cell>
          <cell r="D1131">
            <v>3559</v>
          </cell>
          <cell r="E1131" t="str">
            <v>C</v>
          </cell>
          <cell r="G1131">
            <v>3559</v>
          </cell>
          <cell r="H1131">
            <v>20945.3</v>
          </cell>
          <cell r="I1131">
            <v>17386.3</v>
          </cell>
          <cell r="J1131">
            <v>20945.3</v>
          </cell>
          <cell r="K1131" t="str">
            <v>C</v>
          </cell>
        </row>
        <row r="1132">
          <cell r="A1132">
            <v>32968</v>
          </cell>
          <cell r="B1132" t="str">
            <v>2.1.04.010.0432</v>
          </cell>
          <cell r="C1132" t="str">
            <v xml:space="preserve">MAX MEDICAL COM PROD </v>
          </cell>
          <cell r="D1132">
            <v>922.2</v>
          </cell>
          <cell r="E1132" t="str">
            <v>C</v>
          </cell>
          <cell r="G1132">
            <v>922.2</v>
          </cell>
          <cell r="H1132">
            <v>1597.1</v>
          </cell>
          <cell r="I1132">
            <v>674.9</v>
          </cell>
          <cell r="J1132">
            <v>1597.1</v>
          </cell>
          <cell r="K1132" t="str">
            <v>C</v>
          </cell>
        </row>
        <row r="1133">
          <cell r="A1133">
            <v>52443</v>
          </cell>
          <cell r="B1133" t="str">
            <v>2.1.04.010.0441</v>
          </cell>
          <cell r="C1133" t="str">
            <v>MEDCORP HOSPITALAR LTDA</v>
          </cell>
          <cell r="D1133">
            <v>18631.5</v>
          </cell>
          <cell r="E1133" t="str">
            <v>C</v>
          </cell>
          <cell r="G1133">
            <v>13183.5</v>
          </cell>
          <cell r="H1133">
            <v>25370.799999999999</v>
          </cell>
          <cell r="I1133">
            <v>12187.3</v>
          </cell>
          <cell r="J1133">
            <v>30818.799999999999</v>
          </cell>
          <cell r="K1133" t="str">
            <v>C</v>
          </cell>
        </row>
        <row r="1134">
          <cell r="A1134">
            <v>52564</v>
          </cell>
          <cell r="B1134" t="str">
            <v>2.1.04.010.0442</v>
          </cell>
          <cell r="C1134" t="str">
            <v>MEDI GLOBE BRASIL LTDA</v>
          </cell>
          <cell r="D1134">
            <v>15090</v>
          </cell>
          <cell r="E1134" t="str">
            <v>C</v>
          </cell>
          <cell r="G1134">
            <v>10190</v>
          </cell>
          <cell r="H1134">
            <v>8840</v>
          </cell>
          <cell r="I1134">
            <v>-1350</v>
          </cell>
          <cell r="J1134">
            <v>13740</v>
          </cell>
          <cell r="K1134" t="str">
            <v>C</v>
          </cell>
        </row>
        <row r="1135">
          <cell r="A1135">
            <v>52649</v>
          </cell>
          <cell r="B1135" t="str">
            <v>2.1.04.010.0444</v>
          </cell>
          <cell r="C1135" t="str">
            <v xml:space="preserve">MEDIAL COM E ASSIST </v>
          </cell>
          <cell r="D1135">
            <v>0</v>
          </cell>
          <cell r="E1135" t="str">
            <v>C</v>
          </cell>
          <cell r="G1135">
            <v>0</v>
          </cell>
          <cell r="H1135">
            <v>2351.1999999999998</v>
          </cell>
          <cell r="I1135">
            <v>2351.1999999999998</v>
          </cell>
          <cell r="J1135">
            <v>2351.1999999999998</v>
          </cell>
          <cell r="K1135" t="str">
            <v>C</v>
          </cell>
        </row>
        <row r="1136">
          <cell r="A1136">
            <v>3149</v>
          </cell>
          <cell r="B1136" t="str">
            <v>2.1.04.010.0445</v>
          </cell>
          <cell r="C1136" t="str">
            <v xml:space="preserve">MEDICAL CAMP EQUIP E PROD </v>
          </cell>
          <cell r="D1136">
            <v>0</v>
          </cell>
          <cell r="E1136" t="str">
            <v>C</v>
          </cell>
          <cell r="G1136">
            <v>0</v>
          </cell>
          <cell r="H1136">
            <v>7700.5</v>
          </cell>
          <cell r="I1136">
            <v>7700.5</v>
          </cell>
          <cell r="J1136">
            <v>7700.5</v>
          </cell>
          <cell r="K1136" t="str">
            <v>C</v>
          </cell>
        </row>
        <row r="1137">
          <cell r="A1137">
            <v>37807</v>
          </cell>
          <cell r="B1137" t="str">
            <v>2.1.04.010.0449</v>
          </cell>
          <cell r="C1137" t="str">
            <v xml:space="preserve">MEDICAMENTAL </v>
          </cell>
          <cell r="D1137">
            <v>141251.29999999999</v>
          </cell>
          <cell r="E1137" t="str">
            <v>C</v>
          </cell>
          <cell r="G1137">
            <v>113256.4</v>
          </cell>
          <cell r="H1137">
            <v>42077.56</v>
          </cell>
          <cell r="I1137">
            <v>-71178.84</v>
          </cell>
          <cell r="J1137">
            <v>70072.460000000006</v>
          </cell>
          <cell r="K1137" t="str">
            <v>C</v>
          </cell>
        </row>
        <row r="1138">
          <cell r="A1138">
            <v>52785</v>
          </cell>
          <cell r="B1138" t="str">
            <v>2.1.04.010.0451</v>
          </cell>
          <cell r="C1138" t="str">
            <v xml:space="preserve">MEDILAR IMPORT E DIST DE </v>
          </cell>
          <cell r="D1138">
            <v>50206.54</v>
          </cell>
          <cell r="E1138" t="str">
            <v>C</v>
          </cell>
          <cell r="G1138">
            <v>30007.37</v>
          </cell>
          <cell r="H1138">
            <v>18153</v>
          </cell>
          <cell r="I1138">
            <v>-11854.37</v>
          </cell>
          <cell r="J1138">
            <v>38352.17</v>
          </cell>
          <cell r="K1138" t="str">
            <v>C</v>
          </cell>
        </row>
        <row r="1139">
          <cell r="A1139">
            <v>52020</v>
          </cell>
          <cell r="B1139" t="str">
            <v>2.1.04.010.0452</v>
          </cell>
          <cell r="C1139" t="str">
            <v xml:space="preserve">MEDIZIN E TECHNIK COM IMP </v>
          </cell>
          <cell r="D1139">
            <v>18935.95</v>
          </cell>
          <cell r="E1139" t="str">
            <v>C</v>
          </cell>
          <cell r="G1139">
            <v>25911.1</v>
          </cell>
          <cell r="H1139">
            <v>71368.86</v>
          </cell>
          <cell r="I1139">
            <v>45457.760000000002</v>
          </cell>
          <cell r="J1139">
            <v>64393.71</v>
          </cell>
          <cell r="K1139" t="str">
            <v>C</v>
          </cell>
        </row>
        <row r="1140">
          <cell r="A1140">
            <v>51174</v>
          </cell>
          <cell r="B1140" t="str">
            <v>2.1.04.010.0455</v>
          </cell>
          <cell r="C1140" t="str">
            <v>MEGA UNIFORMES LTDA EPP</v>
          </cell>
          <cell r="D1140">
            <v>1060</v>
          </cell>
          <cell r="E1140" t="str">
            <v>C</v>
          </cell>
          <cell r="G1140">
            <v>1060</v>
          </cell>
          <cell r="H1140">
            <v>19739.240000000002</v>
          </cell>
          <cell r="I1140">
            <v>18679.240000000002</v>
          </cell>
          <cell r="J1140">
            <v>19739.240000000002</v>
          </cell>
          <cell r="K1140" t="str">
            <v>C</v>
          </cell>
        </row>
        <row r="1141">
          <cell r="A1141">
            <v>3163</v>
          </cell>
          <cell r="B1141" t="str">
            <v>2.1.04.010.0460</v>
          </cell>
          <cell r="C1141" t="str">
            <v xml:space="preserve">MERCADINHO PIRATININGA </v>
          </cell>
          <cell r="D1141">
            <v>0</v>
          </cell>
          <cell r="E1141" t="str">
            <v>C</v>
          </cell>
          <cell r="G1141">
            <v>0</v>
          </cell>
          <cell r="H1141">
            <v>53.82</v>
          </cell>
          <cell r="I1141">
            <v>53.82</v>
          </cell>
          <cell r="J1141">
            <v>53.82</v>
          </cell>
          <cell r="K1141" t="str">
            <v>C</v>
          </cell>
        </row>
        <row r="1142">
          <cell r="A1142">
            <v>52145</v>
          </cell>
          <cell r="B1142" t="str">
            <v>2.1.04.010.0464</v>
          </cell>
          <cell r="C1142" t="str">
            <v>MICHAEL KEIDI AZEKA ME</v>
          </cell>
          <cell r="D1142">
            <v>37713.56</v>
          </cell>
          <cell r="E1142" t="str">
            <v>C</v>
          </cell>
          <cell r="G1142">
            <v>17845.080000000002</v>
          </cell>
          <cell r="H1142">
            <v>15668.8</v>
          </cell>
          <cell r="I1142">
            <v>-2176.2800000000002</v>
          </cell>
          <cell r="J1142">
            <v>35537.279999999999</v>
          </cell>
          <cell r="K1142" t="str">
            <v>C</v>
          </cell>
        </row>
        <row r="1143">
          <cell r="A1143">
            <v>51538</v>
          </cell>
          <cell r="B1143" t="str">
            <v>2.1.04.010.0472</v>
          </cell>
          <cell r="C1143" t="str">
            <v xml:space="preserve">MJM PRODUTOS </v>
          </cell>
          <cell r="D1143">
            <v>1442.2</v>
          </cell>
          <cell r="E1143" t="str">
            <v>C</v>
          </cell>
          <cell r="G1143">
            <v>1442.2</v>
          </cell>
          <cell r="H1143">
            <v>0</v>
          </cell>
          <cell r="I1143">
            <v>-1442.2</v>
          </cell>
          <cell r="J1143">
            <v>0</v>
          </cell>
          <cell r="K1143" t="str">
            <v>C</v>
          </cell>
        </row>
        <row r="1144">
          <cell r="A1144">
            <v>3193</v>
          </cell>
          <cell r="B1144" t="str">
            <v>2.1.04.010.0480</v>
          </cell>
          <cell r="C1144" t="str">
            <v xml:space="preserve">MP COM DE MAT </v>
          </cell>
          <cell r="D1144">
            <v>15524</v>
          </cell>
          <cell r="E1144" t="str">
            <v>C</v>
          </cell>
          <cell r="G1144">
            <v>10978</v>
          </cell>
          <cell r="H1144">
            <v>18684</v>
          </cell>
          <cell r="I1144">
            <v>7706</v>
          </cell>
          <cell r="J1144">
            <v>23230</v>
          </cell>
          <cell r="K1144" t="str">
            <v>C</v>
          </cell>
        </row>
        <row r="1145">
          <cell r="A1145">
            <v>3194</v>
          </cell>
          <cell r="B1145" t="str">
            <v>2.1.04.010.0481</v>
          </cell>
          <cell r="C1145" t="str">
            <v xml:space="preserve">MP COM PRODUTOS MEDICOS </v>
          </cell>
          <cell r="D1145">
            <v>16251.89</v>
          </cell>
          <cell r="E1145" t="str">
            <v>C</v>
          </cell>
          <cell r="G1145">
            <v>2425.65</v>
          </cell>
          <cell r="H1145">
            <v>51231.69</v>
          </cell>
          <cell r="I1145">
            <v>48806.04</v>
          </cell>
          <cell r="J1145">
            <v>65057.93</v>
          </cell>
          <cell r="K1145" t="str">
            <v>C</v>
          </cell>
        </row>
        <row r="1146">
          <cell r="A1146">
            <v>38701</v>
          </cell>
          <cell r="B1146" t="str">
            <v>2.1.04.010.0484</v>
          </cell>
          <cell r="C1146" t="str">
            <v xml:space="preserve">MULTIFARMA COMERCIAL </v>
          </cell>
          <cell r="D1146">
            <v>4572.78</v>
          </cell>
          <cell r="E1146" t="str">
            <v>C</v>
          </cell>
          <cell r="G1146">
            <v>5404.78</v>
          </cell>
          <cell r="H1146">
            <v>3161.6</v>
          </cell>
          <cell r="I1146">
            <v>-2243.1799999999998</v>
          </cell>
          <cell r="J1146">
            <v>2329.6</v>
          </cell>
          <cell r="K1146" t="str">
            <v>C</v>
          </cell>
        </row>
        <row r="1147">
          <cell r="A1147">
            <v>37252</v>
          </cell>
          <cell r="B1147" t="str">
            <v>2.1.04.010.0486</v>
          </cell>
          <cell r="C1147" t="str">
            <v xml:space="preserve">NACIONAL COMERCIAL </v>
          </cell>
          <cell r="D1147">
            <v>6274.65</v>
          </cell>
          <cell r="E1147" t="str">
            <v>C</v>
          </cell>
          <cell r="G1147">
            <v>6274.65</v>
          </cell>
          <cell r="H1147">
            <v>7137.47</v>
          </cell>
          <cell r="I1147">
            <v>862.82</v>
          </cell>
          <cell r="J1147">
            <v>7137.47</v>
          </cell>
          <cell r="K1147" t="str">
            <v>C</v>
          </cell>
        </row>
        <row r="1148">
          <cell r="A1148">
            <v>37937</v>
          </cell>
          <cell r="B1148" t="str">
            <v>2.1.04.010.0490</v>
          </cell>
          <cell r="C1148" t="str">
            <v>NEOMEX HOSPITALAR LTDA</v>
          </cell>
          <cell r="D1148">
            <v>290</v>
          </cell>
          <cell r="E1148" t="str">
            <v>C</v>
          </cell>
          <cell r="G1148">
            <v>290</v>
          </cell>
          <cell r="H1148">
            <v>0</v>
          </cell>
          <cell r="I1148">
            <v>-290</v>
          </cell>
          <cell r="J1148">
            <v>0</v>
          </cell>
          <cell r="K1148" t="str">
            <v>C</v>
          </cell>
        </row>
        <row r="1149">
          <cell r="A1149">
            <v>3235</v>
          </cell>
          <cell r="B1149" t="str">
            <v>2.1.04.010.0507</v>
          </cell>
          <cell r="C1149" t="str">
            <v xml:space="preserve">ODETTE MURIANO FERENCZY </v>
          </cell>
          <cell r="D1149">
            <v>0</v>
          </cell>
          <cell r="E1149" t="str">
            <v>C</v>
          </cell>
          <cell r="G1149">
            <v>3470</v>
          </cell>
          <cell r="H1149">
            <v>3470</v>
          </cell>
          <cell r="I1149">
            <v>0</v>
          </cell>
          <cell r="J1149">
            <v>0</v>
          </cell>
          <cell r="K1149" t="str">
            <v>C</v>
          </cell>
        </row>
        <row r="1150">
          <cell r="A1150">
            <v>33391</v>
          </cell>
          <cell r="B1150" t="str">
            <v>2.1.04.010.0509</v>
          </cell>
          <cell r="C1150" t="str">
            <v xml:space="preserve">OLIDEF CZ IND COM </v>
          </cell>
          <cell r="D1150">
            <v>0</v>
          </cell>
          <cell r="E1150" t="str">
            <v>C</v>
          </cell>
          <cell r="G1150">
            <v>0</v>
          </cell>
          <cell r="H1150">
            <v>253.25</v>
          </cell>
          <cell r="I1150">
            <v>253.25</v>
          </cell>
          <cell r="J1150">
            <v>253.25</v>
          </cell>
          <cell r="K1150" t="str">
            <v>C</v>
          </cell>
        </row>
        <row r="1151">
          <cell r="A1151">
            <v>33753</v>
          </cell>
          <cell r="B1151" t="str">
            <v>2.1.04.010.0511</v>
          </cell>
          <cell r="C1151" t="str">
            <v xml:space="preserve">ONCO PROD DIST  PROD </v>
          </cell>
          <cell r="D1151">
            <v>632513.11</v>
          </cell>
          <cell r="E1151" t="str">
            <v>C</v>
          </cell>
          <cell r="G1151">
            <v>487935.83</v>
          </cell>
          <cell r="H1151">
            <v>368297.45</v>
          </cell>
          <cell r="I1151">
            <v>-119638.38</v>
          </cell>
          <cell r="J1151">
            <v>512874.73</v>
          </cell>
          <cell r="K1151" t="str">
            <v>C</v>
          </cell>
        </row>
        <row r="1152">
          <cell r="A1152">
            <v>52298</v>
          </cell>
          <cell r="B1152" t="str">
            <v>2.1.04.010.0517</v>
          </cell>
          <cell r="C1152" t="str">
            <v xml:space="preserve">ORTHO STEEL DISTRIB MAT </v>
          </cell>
          <cell r="D1152">
            <v>9331.74</v>
          </cell>
          <cell r="E1152" t="str">
            <v>C</v>
          </cell>
          <cell r="G1152">
            <v>9331.74</v>
          </cell>
          <cell r="H1152">
            <v>0</v>
          </cell>
          <cell r="I1152">
            <v>-9331.74</v>
          </cell>
          <cell r="J1152">
            <v>0</v>
          </cell>
          <cell r="K1152" t="str">
            <v>C</v>
          </cell>
        </row>
        <row r="1153">
          <cell r="A1153">
            <v>2865</v>
          </cell>
          <cell r="B1153" t="str">
            <v>2.1.04.010.0527</v>
          </cell>
          <cell r="C1153" t="str">
            <v xml:space="preserve">PAO DE QUEIJO DA ROCA </v>
          </cell>
          <cell r="D1153">
            <v>150</v>
          </cell>
          <cell r="E1153" t="str">
            <v>C</v>
          </cell>
          <cell r="G1153">
            <v>150</v>
          </cell>
          <cell r="H1153">
            <v>250</v>
          </cell>
          <cell r="I1153">
            <v>100</v>
          </cell>
          <cell r="J1153">
            <v>250</v>
          </cell>
          <cell r="K1153" t="str">
            <v>C</v>
          </cell>
        </row>
        <row r="1154">
          <cell r="A1154">
            <v>52285</v>
          </cell>
          <cell r="B1154" t="str">
            <v>2.1.04.010.0536</v>
          </cell>
          <cell r="C1154" t="str">
            <v xml:space="preserve">PHOINIX HEALTHCARE COM </v>
          </cell>
          <cell r="D1154">
            <v>380</v>
          </cell>
          <cell r="E1154" t="str">
            <v>C</v>
          </cell>
          <cell r="G1154">
            <v>0</v>
          </cell>
          <cell r="H1154">
            <v>0</v>
          </cell>
          <cell r="I1154">
            <v>0</v>
          </cell>
          <cell r="J1154">
            <v>380</v>
          </cell>
          <cell r="K1154" t="str">
            <v>C</v>
          </cell>
        </row>
        <row r="1155">
          <cell r="A1155">
            <v>2934</v>
          </cell>
          <cell r="B1155" t="str">
            <v>2.1.04.010.0541</v>
          </cell>
          <cell r="C1155" t="str">
            <v xml:space="preserve">POLAR FIX IND COM PROD </v>
          </cell>
          <cell r="D1155">
            <v>16211.92</v>
          </cell>
          <cell r="E1155" t="str">
            <v>C</v>
          </cell>
          <cell r="G1155">
            <v>10414.299999999999</v>
          </cell>
          <cell r="H1155">
            <v>3140.32</v>
          </cell>
          <cell r="I1155">
            <v>-7273.98</v>
          </cell>
          <cell r="J1155">
            <v>8937.94</v>
          </cell>
          <cell r="K1155" t="str">
            <v>C</v>
          </cell>
        </row>
        <row r="1156">
          <cell r="A1156">
            <v>3295</v>
          </cell>
          <cell r="B1156" t="str">
            <v>2.1.04.010.0544</v>
          </cell>
          <cell r="C1156" t="str">
            <v>POLITEC IMP E COM LTDA</v>
          </cell>
          <cell r="D1156">
            <v>24000</v>
          </cell>
          <cell r="E1156" t="str">
            <v>C</v>
          </cell>
          <cell r="G1156">
            <v>24000</v>
          </cell>
          <cell r="H1156">
            <v>55000</v>
          </cell>
          <cell r="I1156">
            <v>31000</v>
          </cell>
          <cell r="J1156">
            <v>55000</v>
          </cell>
          <cell r="K1156" t="str">
            <v>C</v>
          </cell>
        </row>
        <row r="1157">
          <cell r="A1157">
            <v>32838</v>
          </cell>
          <cell r="B1157" t="str">
            <v>2.1.04.010.0552</v>
          </cell>
          <cell r="C1157" t="str">
            <v xml:space="preserve">PROMEDON SAO PAULO </v>
          </cell>
          <cell r="D1157">
            <v>480</v>
          </cell>
          <cell r="E1157" t="str">
            <v>C</v>
          </cell>
          <cell r="G1157">
            <v>240</v>
          </cell>
          <cell r="H1157">
            <v>12090</v>
          </cell>
          <cell r="I1157">
            <v>11850</v>
          </cell>
          <cell r="J1157">
            <v>12330</v>
          </cell>
          <cell r="K1157" t="str">
            <v>C</v>
          </cell>
        </row>
        <row r="1158">
          <cell r="A1158">
            <v>3325</v>
          </cell>
          <cell r="B1158" t="str">
            <v>2.1.04.010.0556</v>
          </cell>
          <cell r="C1158" t="str">
            <v xml:space="preserve">R3 PROD DE HIGIENE E </v>
          </cell>
          <cell r="D1158">
            <v>67807.149999999994</v>
          </cell>
          <cell r="E1158" t="str">
            <v>C</v>
          </cell>
          <cell r="G1158">
            <v>41938.74</v>
          </cell>
          <cell r="H1158">
            <v>39040.32</v>
          </cell>
          <cell r="I1158">
            <v>-2898.42</v>
          </cell>
          <cell r="J1158">
            <v>64908.73</v>
          </cell>
          <cell r="K1158" t="str">
            <v>C</v>
          </cell>
        </row>
        <row r="1159">
          <cell r="A1159">
            <v>3326</v>
          </cell>
          <cell r="B1159" t="str">
            <v>2.1.04.010.0559</v>
          </cell>
          <cell r="C1159" t="str">
            <v xml:space="preserve">R GONCALVES SUPRIMENTOS </v>
          </cell>
          <cell r="D1159">
            <v>129084.2</v>
          </cell>
          <cell r="E1159" t="str">
            <v>C</v>
          </cell>
          <cell r="G1159">
            <v>80460.63</v>
          </cell>
          <cell r="H1159">
            <v>212643.87</v>
          </cell>
          <cell r="I1159">
            <v>132183.24</v>
          </cell>
          <cell r="J1159">
            <v>261267.44</v>
          </cell>
          <cell r="K1159" t="str">
            <v>C</v>
          </cell>
        </row>
        <row r="1160">
          <cell r="A1160">
            <v>53018</v>
          </cell>
          <cell r="B1160" t="str">
            <v>2.1.04.010.0576</v>
          </cell>
          <cell r="C1160" t="str">
            <v xml:space="preserve">REP ACESSO COMERCIO E </v>
          </cell>
          <cell r="D1160">
            <v>2009.39</v>
          </cell>
          <cell r="E1160" t="str">
            <v>C</v>
          </cell>
          <cell r="G1160">
            <v>2009.39</v>
          </cell>
          <cell r="H1160">
            <v>2009.39</v>
          </cell>
          <cell r="I1160">
            <v>0</v>
          </cell>
          <cell r="J1160">
            <v>2009.39</v>
          </cell>
          <cell r="K1160" t="str">
            <v>C</v>
          </cell>
        </row>
        <row r="1161">
          <cell r="A1161">
            <v>33751</v>
          </cell>
          <cell r="B1161" t="str">
            <v>2.1.04.010.0581</v>
          </cell>
          <cell r="C1161" t="str">
            <v xml:space="preserve">RL COMERCIO DE PRODUTOS </v>
          </cell>
          <cell r="D1161">
            <v>14663.45</v>
          </cell>
          <cell r="E1161" t="str">
            <v>C</v>
          </cell>
          <cell r="G1161">
            <v>10948.65</v>
          </cell>
          <cell r="H1161">
            <v>3986.8</v>
          </cell>
          <cell r="I1161">
            <v>-6961.85</v>
          </cell>
          <cell r="J1161">
            <v>7701.6</v>
          </cell>
          <cell r="K1161" t="str">
            <v>C</v>
          </cell>
        </row>
        <row r="1162">
          <cell r="A1162">
            <v>3379</v>
          </cell>
          <cell r="B1162" t="str">
            <v>2.1.04.010.0592</v>
          </cell>
          <cell r="C1162" t="str">
            <v xml:space="preserve">RWR IND E COM DE EQUIP </v>
          </cell>
          <cell r="D1162">
            <v>10029.98</v>
          </cell>
          <cell r="E1162" t="str">
            <v>C</v>
          </cell>
          <cell r="G1162">
            <v>10029.98</v>
          </cell>
          <cell r="H1162">
            <v>0</v>
          </cell>
          <cell r="I1162">
            <v>-10029.98</v>
          </cell>
          <cell r="J1162">
            <v>0</v>
          </cell>
          <cell r="K1162" t="str">
            <v>C</v>
          </cell>
        </row>
        <row r="1163">
          <cell r="A1163">
            <v>52529</v>
          </cell>
          <cell r="B1163" t="str">
            <v>2.1.04.010.0596</v>
          </cell>
          <cell r="C1163" t="str">
            <v>SRV PEREIRA HORTIFRUTI ME</v>
          </cell>
          <cell r="D1163">
            <v>10183.35</v>
          </cell>
          <cell r="E1163" t="str">
            <v>C</v>
          </cell>
          <cell r="G1163">
            <v>17111.330000000002</v>
          </cell>
          <cell r="H1163">
            <v>20017.310000000001</v>
          </cell>
          <cell r="I1163">
            <v>2905.98</v>
          </cell>
          <cell r="J1163">
            <v>13089.33</v>
          </cell>
          <cell r="K1163" t="str">
            <v>C</v>
          </cell>
        </row>
        <row r="1164">
          <cell r="A1164">
            <v>52660</v>
          </cell>
          <cell r="B1164" t="str">
            <v>2.1.04.010.0597</v>
          </cell>
          <cell r="C1164" t="str">
            <v xml:space="preserve">SEM REPRESENTACOES </v>
          </cell>
          <cell r="D1164">
            <v>0</v>
          </cell>
          <cell r="E1164" t="str">
            <v>C</v>
          </cell>
          <cell r="G1164">
            <v>0</v>
          </cell>
          <cell r="H1164">
            <v>266.39999999999998</v>
          </cell>
          <cell r="I1164">
            <v>266.39999999999998</v>
          </cell>
          <cell r="J1164">
            <v>266.39999999999998</v>
          </cell>
          <cell r="K1164" t="str">
            <v>C</v>
          </cell>
        </row>
        <row r="1165">
          <cell r="A1165">
            <v>3392</v>
          </cell>
          <cell r="B1165" t="str">
            <v>2.1.04.010.0606</v>
          </cell>
          <cell r="C1165" t="str">
            <v xml:space="preserve">SAMITECH COM.DE INSUMOS </v>
          </cell>
          <cell r="D1165">
            <v>3665</v>
          </cell>
          <cell r="E1165" t="str">
            <v>C</v>
          </cell>
          <cell r="G1165">
            <v>3665</v>
          </cell>
          <cell r="H1165">
            <v>1440</v>
          </cell>
          <cell r="I1165">
            <v>-2225</v>
          </cell>
          <cell r="J1165">
            <v>1440</v>
          </cell>
          <cell r="K1165" t="str">
            <v>C</v>
          </cell>
        </row>
        <row r="1166">
          <cell r="A1166">
            <v>3393</v>
          </cell>
          <cell r="B1166" t="str">
            <v>2.1.04.010.0607</v>
          </cell>
          <cell r="C1166" t="str">
            <v xml:space="preserve">SAMTRONIC INDUSTRIA E </v>
          </cell>
          <cell r="D1166">
            <v>15150</v>
          </cell>
          <cell r="E1166" t="str">
            <v>C</v>
          </cell>
          <cell r="G1166">
            <v>22635</v>
          </cell>
          <cell r="H1166">
            <v>23520</v>
          </cell>
          <cell r="I1166">
            <v>885</v>
          </cell>
          <cell r="J1166">
            <v>16035</v>
          </cell>
          <cell r="K1166" t="str">
            <v>C</v>
          </cell>
        </row>
        <row r="1167">
          <cell r="A1167">
            <v>52830</v>
          </cell>
          <cell r="B1167" t="str">
            <v>2.1.04.010.0609</v>
          </cell>
          <cell r="C1167" t="str">
            <v xml:space="preserve">SAMYS PLASTICOS E </v>
          </cell>
          <cell r="D1167">
            <v>0</v>
          </cell>
          <cell r="E1167" t="str">
            <v>C</v>
          </cell>
          <cell r="G1167">
            <v>2671</v>
          </cell>
          <cell r="H1167">
            <v>5342</v>
          </cell>
          <cell r="I1167">
            <v>2671</v>
          </cell>
          <cell r="J1167">
            <v>2671</v>
          </cell>
          <cell r="K1167" t="str">
            <v>C</v>
          </cell>
        </row>
        <row r="1168">
          <cell r="A1168">
            <v>38532</v>
          </cell>
          <cell r="B1168" t="str">
            <v>2.1.04.010.0614</v>
          </cell>
          <cell r="C1168" t="str">
            <v xml:space="preserve">SATELITE COM E SERV </v>
          </cell>
          <cell r="D1168">
            <v>2625.26</v>
          </cell>
          <cell r="E1168" t="str">
            <v>C</v>
          </cell>
          <cell r="G1168">
            <v>2625.26</v>
          </cell>
          <cell r="H1168">
            <v>1419.8</v>
          </cell>
          <cell r="I1168">
            <v>-1205.46</v>
          </cell>
          <cell r="J1168">
            <v>1419.8</v>
          </cell>
          <cell r="K1168" t="str">
            <v>C</v>
          </cell>
        </row>
        <row r="1169">
          <cell r="A1169">
            <v>52127</v>
          </cell>
          <cell r="B1169" t="str">
            <v>2.1.04.010.0618</v>
          </cell>
          <cell r="C1169" t="str">
            <v xml:space="preserve">SCITECH PRODUTOS </v>
          </cell>
          <cell r="D1169">
            <v>32522.25</v>
          </cell>
          <cell r="E1169" t="str">
            <v>C</v>
          </cell>
          <cell r="G1169">
            <v>18379.75</v>
          </cell>
          <cell r="H1169">
            <v>28178.5</v>
          </cell>
          <cell r="I1169">
            <v>9798.75</v>
          </cell>
          <cell r="J1169">
            <v>42321</v>
          </cell>
          <cell r="K1169" t="str">
            <v>C</v>
          </cell>
        </row>
        <row r="1170">
          <cell r="A1170">
            <v>37056</v>
          </cell>
          <cell r="B1170" t="str">
            <v>2.1.04.010.0623</v>
          </cell>
          <cell r="C1170" t="str">
            <v xml:space="preserve">SEMEDIC PRODUTOS </v>
          </cell>
          <cell r="D1170">
            <v>5805</v>
          </cell>
          <cell r="E1170" t="str">
            <v>C</v>
          </cell>
          <cell r="G1170">
            <v>5805</v>
          </cell>
          <cell r="H1170">
            <v>0</v>
          </cell>
          <cell r="I1170">
            <v>-5805</v>
          </cell>
          <cell r="J1170">
            <v>0</v>
          </cell>
          <cell r="K1170" t="str">
            <v>C</v>
          </cell>
        </row>
        <row r="1171">
          <cell r="A1171">
            <v>52622</v>
          </cell>
          <cell r="B1171" t="str">
            <v>2.1.04.010.0630</v>
          </cell>
          <cell r="C1171" t="str">
            <v xml:space="preserve">SILVANA DO PRADO SOUZA </v>
          </cell>
          <cell r="D1171">
            <v>484</v>
          </cell>
          <cell r="E1171" t="str">
            <v>C</v>
          </cell>
          <cell r="G1171">
            <v>1210</v>
          </cell>
          <cell r="H1171">
            <v>968</v>
          </cell>
          <cell r="I1171">
            <v>-242</v>
          </cell>
          <cell r="J1171">
            <v>242</v>
          </cell>
          <cell r="K1171" t="str">
            <v>C</v>
          </cell>
        </row>
        <row r="1172">
          <cell r="A1172">
            <v>36810</v>
          </cell>
          <cell r="B1172" t="str">
            <v>2.1.04.010.0640</v>
          </cell>
          <cell r="C1172" t="str">
            <v xml:space="preserve">SODROGAS DISTRIB MEDIC E </v>
          </cell>
          <cell r="D1172">
            <v>0</v>
          </cell>
          <cell r="E1172" t="str">
            <v>C</v>
          </cell>
          <cell r="G1172">
            <v>0</v>
          </cell>
          <cell r="H1172">
            <v>2850</v>
          </cell>
          <cell r="I1172">
            <v>2850</v>
          </cell>
          <cell r="J1172">
            <v>2850</v>
          </cell>
          <cell r="K1172" t="str">
            <v>C</v>
          </cell>
        </row>
        <row r="1173">
          <cell r="A1173">
            <v>3452</v>
          </cell>
          <cell r="B1173" t="str">
            <v>2.1.04.010.0642</v>
          </cell>
          <cell r="C1173" t="str">
            <v>SOQUIMICA LAB. LTDA</v>
          </cell>
          <cell r="D1173">
            <v>5815</v>
          </cell>
          <cell r="E1173" t="str">
            <v>C</v>
          </cell>
          <cell r="G1173">
            <v>5815</v>
          </cell>
          <cell r="H1173">
            <v>0</v>
          </cell>
          <cell r="I1173">
            <v>-5815</v>
          </cell>
          <cell r="J1173">
            <v>0</v>
          </cell>
          <cell r="K1173" t="str">
            <v>C</v>
          </cell>
        </row>
        <row r="1174">
          <cell r="A1174">
            <v>52590</v>
          </cell>
          <cell r="B1174" t="str">
            <v>2.1.04.010.0645</v>
          </cell>
          <cell r="C1174" t="str">
            <v xml:space="preserve">SP LABEL ETIQUETAS E </v>
          </cell>
          <cell r="D1174">
            <v>7946.05</v>
          </cell>
          <cell r="E1174" t="str">
            <v>C</v>
          </cell>
          <cell r="G1174">
            <v>7946.05</v>
          </cell>
          <cell r="H1174">
            <v>2197.8000000000002</v>
          </cell>
          <cell r="I1174">
            <v>-5748.25</v>
          </cell>
          <cell r="J1174">
            <v>2197.8000000000002</v>
          </cell>
          <cell r="K1174" t="str">
            <v>C</v>
          </cell>
        </row>
        <row r="1175">
          <cell r="A1175">
            <v>3458</v>
          </cell>
          <cell r="B1175" t="str">
            <v>2.1.04.010.0648</v>
          </cell>
          <cell r="C1175" t="str">
            <v xml:space="preserve">ST.JUDE MEDICAL BRASIL </v>
          </cell>
          <cell r="D1175">
            <v>73800</v>
          </cell>
          <cell r="E1175" t="str">
            <v>C</v>
          </cell>
          <cell r="G1175">
            <v>21325</v>
          </cell>
          <cell r="H1175">
            <v>27775</v>
          </cell>
          <cell r="I1175">
            <v>6450</v>
          </cell>
          <cell r="J1175">
            <v>80250</v>
          </cell>
          <cell r="K1175" t="str">
            <v>C</v>
          </cell>
        </row>
        <row r="1176">
          <cell r="A1176">
            <v>37880</v>
          </cell>
          <cell r="B1176" t="str">
            <v>2.1.04.010.0658</v>
          </cell>
          <cell r="C1176" t="str">
            <v xml:space="preserve">SUPERMED COM IMP PROD </v>
          </cell>
          <cell r="D1176">
            <v>137839.73000000001</v>
          </cell>
          <cell r="E1176" t="str">
            <v>C</v>
          </cell>
          <cell r="G1176">
            <v>115261.97</v>
          </cell>
          <cell r="H1176">
            <v>108769.68</v>
          </cell>
          <cell r="I1176">
            <v>-6492.29</v>
          </cell>
          <cell r="J1176">
            <v>131347.44</v>
          </cell>
          <cell r="K1176" t="str">
            <v>C</v>
          </cell>
        </row>
        <row r="1177">
          <cell r="A1177">
            <v>51881</v>
          </cell>
          <cell r="B1177" t="str">
            <v>2.1.04.010.0659</v>
          </cell>
          <cell r="C1177" t="str">
            <v xml:space="preserve">SUPPORT SURGICAL COM </v>
          </cell>
          <cell r="D1177">
            <v>14800</v>
          </cell>
          <cell r="E1177" t="str">
            <v>C</v>
          </cell>
          <cell r="G1177">
            <v>7400</v>
          </cell>
          <cell r="H1177">
            <v>0</v>
          </cell>
          <cell r="I1177">
            <v>-7400</v>
          </cell>
          <cell r="J1177">
            <v>7400</v>
          </cell>
          <cell r="K1177" t="str">
            <v>C</v>
          </cell>
        </row>
        <row r="1178">
          <cell r="A1178">
            <v>52109</v>
          </cell>
          <cell r="B1178" t="str">
            <v>2.1.04.010.0661</v>
          </cell>
          <cell r="C1178" t="str">
            <v>SUPRI ARTIGOS MEDICO-</v>
          </cell>
          <cell r="D1178">
            <v>118795.76</v>
          </cell>
          <cell r="E1178" t="str">
            <v>C</v>
          </cell>
          <cell r="G1178">
            <v>100027.1</v>
          </cell>
          <cell r="H1178">
            <v>18831.990000000002</v>
          </cell>
          <cell r="I1178">
            <v>-81195.11</v>
          </cell>
          <cell r="J1178">
            <v>37600.65</v>
          </cell>
          <cell r="K1178" t="str">
            <v>C</v>
          </cell>
        </row>
        <row r="1179">
          <cell r="A1179">
            <v>52281</v>
          </cell>
          <cell r="B1179" t="str">
            <v>2.1.04.010.0663</v>
          </cell>
          <cell r="C1179" t="str">
            <v xml:space="preserve">SURGICOL IMPORTACAO E </v>
          </cell>
          <cell r="D1179">
            <v>183881.18</v>
          </cell>
          <cell r="E1179" t="str">
            <v>C</v>
          </cell>
          <cell r="G1179">
            <v>44564.44</v>
          </cell>
          <cell r="H1179">
            <v>13500</v>
          </cell>
          <cell r="I1179">
            <v>-31064.44</v>
          </cell>
          <cell r="J1179">
            <v>152816.74</v>
          </cell>
          <cell r="K1179" t="str">
            <v>C</v>
          </cell>
        </row>
        <row r="1180">
          <cell r="A1180">
            <v>37750</v>
          </cell>
          <cell r="B1180" t="str">
            <v>2.1.04.010.0666</v>
          </cell>
          <cell r="C1180" t="str">
            <v xml:space="preserve">T1 COM EXP IMP PROD MED </v>
          </cell>
          <cell r="D1180">
            <v>262354.59000000003</v>
          </cell>
          <cell r="E1180" t="str">
            <v>C</v>
          </cell>
          <cell r="G1180">
            <v>132748.72</v>
          </cell>
          <cell r="H1180">
            <v>510783.39</v>
          </cell>
          <cell r="I1180">
            <v>378034.67</v>
          </cell>
          <cell r="J1180">
            <v>640389.26</v>
          </cell>
          <cell r="K1180" t="str">
            <v>C</v>
          </cell>
        </row>
        <row r="1181">
          <cell r="A1181">
            <v>51668</v>
          </cell>
          <cell r="B1181" t="str">
            <v>2.1.04.010.0667</v>
          </cell>
          <cell r="C1181" t="str">
            <v xml:space="preserve">TALITA CAROLINE COSTA EPP </v>
          </cell>
          <cell r="D1181">
            <v>32604.5</v>
          </cell>
          <cell r="E1181" t="str">
            <v>C</v>
          </cell>
          <cell r="G1181">
            <v>11924.93</v>
          </cell>
          <cell r="H1181">
            <v>5615.8</v>
          </cell>
          <cell r="I1181">
            <v>-6309.13</v>
          </cell>
          <cell r="J1181">
            <v>26295.37</v>
          </cell>
          <cell r="K1181" t="str">
            <v>C</v>
          </cell>
        </row>
        <row r="1182">
          <cell r="A1182">
            <v>3478</v>
          </cell>
          <cell r="B1182" t="str">
            <v>2.1.04.010.0668</v>
          </cell>
          <cell r="C1182" t="str">
            <v xml:space="preserve">TANBY COMERCIO DE PAPEIS </v>
          </cell>
          <cell r="D1182">
            <v>4787.3999999999996</v>
          </cell>
          <cell r="E1182" t="str">
            <v>C</v>
          </cell>
          <cell r="G1182">
            <v>4787.3999999999996</v>
          </cell>
          <cell r="H1182">
            <v>5182.75</v>
          </cell>
          <cell r="I1182">
            <v>395.35</v>
          </cell>
          <cell r="J1182">
            <v>5182.75</v>
          </cell>
          <cell r="K1182" t="str">
            <v>C</v>
          </cell>
        </row>
        <row r="1183">
          <cell r="A1183">
            <v>33653</v>
          </cell>
          <cell r="B1183" t="str">
            <v>2.1.04.010.0679</v>
          </cell>
          <cell r="C1183" t="str">
            <v xml:space="preserve">TECNIMED COM. DE PROD. </v>
          </cell>
          <cell r="D1183">
            <v>64914</v>
          </cell>
          <cell r="E1183" t="str">
            <v>C</v>
          </cell>
          <cell r="G1183">
            <v>13400</v>
          </cell>
          <cell r="H1183">
            <v>58976.13</v>
          </cell>
          <cell r="I1183">
            <v>45576.13</v>
          </cell>
          <cell r="J1183">
            <v>110490.13</v>
          </cell>
          <cell r="K1183" t="str">
            <v>C</v>
          </cell>
        </row>
        <row r="1184">
          <cell r="A1184">
            <v>3499</v>
          </cell>
          <cell r="B1184" t="str">
            <v>2.1.04.010.0684</v>
          </cell>
          <cell r="C1184" t="str">
            <v xml:space="preserve">THERMOTEX SIST P/IDENTIF </v>
          </cell>
          <cell r="D1184">
            <v>0</v>
          </cell>
          <cell r="E1184" t="str">
            <v>C</v>
          </cell>
          <cell r="G1184">
            <v>0</v>
          </cell>
          <cell r="H1184">
            <v>3191.9</v>
          </cell>
          <cell r="I1184">
            <v>3191.9</v>
          </cell>
          <cell r="J1184">
            <v>3191.9</v>
          </cell>
          <cell r="K1184" t="str">
            <v>C</v>
          </cell>
        </row>
        <row r="1185">
          <cell r="A1185">
            <v>3508</v>
          </cell>
          <cell r="B1185" t="str">
            <v>2.1.04.010.0688</v>
          </cell>
          <cell r="C1185" t="str">
            <v xml:space="preserve">CANON MEDICAL SYSTEMS </v>
          </cell>
          <cell r="D1185">
            <v>15409.5</v>
          </cell>
          <cell r="E1185" t="str">
            <v>C</v>
          </cell>
          <cell r="G1185">
            <v>15409.5</v>
          </cell>
          <cell r="H1185">
            <v>15409.5</v>
          </cell>
          <cell r="I1185">
            <v>0</v>
          </cell>
          <cell r="J1185">
            <v>15409.5</v>
          </cell>
          <cell r="K1185" t="str">
            <v>C</v>
          </cell>
        </row>
        <row r="1186">
          <cell r="A1186">
            <v>51804</v>
          </cell>
          <cell r="B1186" t="str">
            <v>2.1.04.010.0689</v>
          </cell>
          <cell r="C1186" t="str">
            <v xml:space="preserve">TOTAL MEDIC COM DE PROD </v>
          </cell>
          <cell r="D1186">
            <v>0</v>
          </cell>
          <cell r="E1186" t="str">
            <v>C</v>
          </cell>
          <cell r="G1186">
            <v>0</v>
          </cell>
          <cell r="H1186">
            <v>16350</v>
          </cell>
          <cell r="I1186">
            <v>16350</v>
          </cell>
          <cell r="J1186">
            <v>16350</v>
          </cell>
          <cell r="K1186" t="str">
            <v>C</v>
          </cell>
        </row>
        <row r="1187">
          <cell r="A1187">
            <v>37747</v>
          </cell>
          <cell r="B1187" t="str">
            <v>2.1.04.010.0690</v>
          </cell>
          <cell r="C1187" t="str">
            <v xml:space="preserve">TRIADE IMPL COM IMP EXP </v>
          </cell>
          <cell r="D1187">
            <v>171205.57</v>
          </cell>
          <cell r="E1187" t="str">
            <v>C</v>
          </cell>
          <cell r="G1187">
            <v>68260.240000000005</v>
          </cell>
          <cell r="H1187">
            <v>199167.08</v>
          </cell>
          <cell r="I1187">
            <v>130906.84</v>
          </cell>
          <cell r="J1187">
            <v>302112.40999999997</v>
          </cell>
          <cell r="K1187" t="str">
            <v>C</v>
          </cell>
        </row>
        <row r="1188">
          <cell r="A1188">
            <v>52845</v>
          </cell>
          <cell r="B1188" t="str">
            <v>2.1.04.010.0691</v>
          </cell>
          <cell r="C1188" t="str">
            <v xml:space="preserve">UFA P COM DE BANDEJAS </v>
          </cell>
          <cell r="D1188">
            <v>16506</v>
          </cell>
          <cell r="E1188" t="str">
            <v>C</v>
          </cell>
          <cell r="G1188">
            <v>12048</v>
          </cell>
          <cell r="H1188">
            <v>17844</v>
          </cell>
          <cell r="I1188">
            <v>5796</v>
          </cell>
          <cell r="J1188">
            <v>22302</v>
          </cell>
          <cell r="K1188" t="str">
            <v>C</v>
          </cell>
        </row>
        <row r="1189">
          <cell r="A1189">
            <v>3526</v>
          </cell>
          <cell r="B1189" t="str">
            <v>2.1.04.010.0692</v>
          </cell>
          <cell r="C1189" t="str">
            <v xml:space="preserve">UNIAO QUIMICA </v>
          </cell>
          <cell r="D1189">
            <v>0</v>
          </cell>
          <cell r="E1189" t="str">
            <v>C</v>
          </cell>
          <cell r="G1189">
            <v>0</v>
          </cell>
          <cell r="H1189">
            <v>12517</v>
          </cell>
          <cell r="I1189">
            <v>12517</v>
          </cell>
          <cell r="J1189">
            <v>12517</v>
          </cell>
          <cell r="K1189" t="str">
            <v>C</v>
          </cell>
        </row>
        <row r="1190">
          <cell r="A1190">
            <v>52964</v>
          </cell>
          <cell r="B1190" t="str">
            <v>2.1.04.010.0701</v>
          </cell>
          <cell r="C1190" t="str">
            <v xml:space="preserve">VECCI COM DE ARTIGOS </v>
          </cell>
          <cell r="D1190">
            <v>70562.94</v>
          </cell>
          <cell r="E1190" t="str">
            <v>C</v>
          </cell>
          <cell r="G1190">
            <v>19336.13</v>
          </cell>
          <cell r="H1190">
            <v>0</v>
          </cell>
          <cell r="I1190">
            <v>-19336.13</v>
          </cell>
          <cell r="J1190">
            <v>51226.81</v>
          </cell>
          <cell r="K1190" t="str">
            <v>C</v>
          </cell>
        </row>
        <row r="1191">
          <cell r="A1191">
            <v>51189</v>
          </cell>
          <cell r="B1191" t="str">
            <v>2.1.04.010.0703</v>
          </cell>
          <cell r="C1191" t="str">
            <v xml:space="preserve">VERBENNA FARMACIA DE </v>
          </cell>
          <cell r="D1191">
            <v>0</v>
          </cell>
          <cell r="E1191" t="str">
            <v>C</v>
          </cell>
          <cell r="G1191">
            <v>0</v>
          </cell>
          <cell r="H1191">
            <v>542</v>
          </cell>
          <cell r="I1191">
            <v>542</v>
          </cell>
          <cell r="J1191">
            <v>542</v>
          </cell>
          <cell r="K1191" t="str">
            <v>C</v>
          </cell>
        </row>
        <row r="1192">
          <cell r="A1192">
            <v>36552</v>
          </cell>
          <cell r="B1192" t="str">
            <v>2.1.04.010.0705</v>
          </cell>
          <cell r="C1192" t="str">
            <v xml:space="preserve">VIA SAUDE COM PROD </v>
          </cell>
          <cell r="D1192">
            <v>3721.7</v>
          </cell>
          <cell r="E1192" t="str">
            <v>C</v>
          </cell>
          <cell r="G1192">
            <v>4069.5</v>
          </cell>
          <cell r="H1192">
            <v>347.8</v>
          </cell>
          <cell r="I1192">
            <v>-3721.7</v>
          </cell>
          <cell r="J1192">
            <v>0</v>
          </cell>
          <cell r="K1192" t="str">
            <v>C</v>
          </cell>
        </row>
        <row r="1193">
          <cell r="A1193">
            <v>52124</v>
          </cell>
          <cell r="B1193" t="str">
            <v>2.1.04.010.0709</v>
          </cell>
          <cell r="C1193" t="str">
            <v>VITORIA HOSPITALAR LTDA</v>
          </cell>
          <cell r="D1193">
            <v>136192.82999999999</v>
          </cell>
          <cell r="E1193" t="str">
            <v>C</v>
          </cell>
          <cell r="G1193">
            <v>40788.300000000003</v>
          </cell>
          <cell r="H1193">
            <v>48702.84</v>
          </cell>
          <cell r="I1193">
            <v>7914.54</v>
          </cell>
          <cell r="J1193">
            <v>144107.37</v>
          </cell>
          <cell r="K1193" t="str">
            <v>C</v>
          </cell>
        </row>
        <row r="1194">
          <cell r="A1194">
            <v>52176</v>
          </cell>
          <cell r="B1194" t="str">
            <v>2.1.04.010.0720</v>
          </cell>
          <cell r="C1194" t="str">
            <v xml:space="preserve">X SAFE COM DE PROD </v>
          </cell>
          <cell r="D1194">
            <v>354790.21</v>
          </cell>
          <cell r="E1194" t="str">
            <v>C</v>
          </cell>
          <cell r="G1194">
            <v>207314.23</v>
          </cell>
          <cell r="H1194">
            <v>0</v>
          </cell>
          <cell r="I1194">
            <v>-207314.23</v>
          </cell>
          <cell r="J1194">
            <v>147475.98000000001</v>
          </cell>
          <cell r="K1194" t="str">
            <v>C</v>
          </cell>
        </row>
        <row r="1195">
          <cell r="A1195">
            <v>3605</v>
          </cell>
          <cell r="B1195" t="str">
            <v>2.1.04.010.0724</v>
          </cell>
          <cell r="C1195" t="str">
            <v>YUKIKO ETO E CIA LTDA</v>
          </cell>
          <cell r="D1195">
            <v>3474.31</v>
          </cell>
          <cell r="E1195" t="str">
            <v>C</v>
          </cell>
          <cell r="G1195">
            <v>2684.82</v>
          </cell>
          <cell r="H1195">
            <v>4577.93</v>
          </cell>
          <cell r="I1195">
            <v>1893.11</v>
          </cell>
          <cell r="J1195">
            <v>5367.42</v>
          </cell>
          <cell r="K1195" t="str">
            <v>C</v>
          </cell>
        </row>
        <row r="1196">
          <cell r="A1196">
            <v>3608</v>
          </cell>
          <cell r="B1196" t="str">
            <v>2.1.04.010.0725</v>
          </cell>
          <cell r="C1196" t="str">
            <v>ZAMMI INSTRUMENTAL LTDA</v>
          </cell>
          <cell r="D1196">
            <v>0</v>
          </cell>
          <cell r="E1196" t="str">
            <v>C</v>
          </cell>
          <cell r="G1196">
            <v>0</v>
          </cell>
          <cell r="H1196">
            <v>2364.1999999999998</v>
          </cell>
          <cell r="I1196">
            <v>2364.1999999999998</v>
          </cell>
          <cell r="J1196">
            <v>2364.1999999999998</v>
          </cell>
          <cell r="K1196" t="str">
            <v>C</v>
          </cell>
        </row>
        <row r="1197">
          <cell r="A1197">
            <v>33803</v>
          </cell>
          <cell r="B1197" t="str">
            <v>2.1.04.010.0726</v>
          </cell>
          <cell r="C1197" t="str">
            <v>ZEDAMED LTDA</v>
          </cell>
          <cell r="D1197">
            <v>23100</v>
          </cell>
          <cell r="E1197" t="str">
            <v>C</v>
          </cell>
          <cell r="G1197">
            <v>11704</v>
          </cell>
          <cell r="H1197">
            <v>17248</v>
          </cell>
          <cell r="I1197">
            <v>5544</v>
          </cell>
          <cell r="J1197">
            <v>28644</v>
          </cell>
          <cell r="K1197" t="str">
            <v>C</v>
          </cell>
        </row>
        <row r="1198">
          <cell r="A1198">
            <v>53103</v>
          </cell>
          <cell r="B1198" t="str">
            <v>2.1.04.010.0738</v>
          </cell>
          <cell r="C1198" t="str">
            <v>L D DE VASCONCELOS</v>
          </cell>
          <cell r="D1198">
            <v>800</v>
          </cell>
          <cell r="E1198" t="str">
            <v>C</v>
          </cell>
          <cell r="G1198">
            <v>2267</v>
          </cell>
          <cell r="H1198">
            <v>1467</v>
          </cell>
          <cell r="I1198">
            <v>-800</v>
          </cell>
          <cell r="J1198">
            <v>0</v>
          </cell>
          <cell r="K1198" t="str">
            <v>C</v>
          </cell>
        </row>
        <row r="1199">
          <cell r="A1199">
            <v>53188</v>
          </cell>
          <cell r="B1199" t="str">
            <v>2.1.04.010.0752</v>
          </cell>
          <cell r="C1199" t="str">
            <v xml:space="preserve">ALEX PLANTAS </v>
          </cell>
          <cell r="D1199">
            <v>510</v>
          </cell>
          <cell r="E1199" t="str">
            <v>C</v>
          </cell>
          <cell r="G1199">
            <v>510</v>
          </cell>
          <cell r="H1199">
            <v>550</v>
          </cell>
          <cell r="I1199">
            <v>40</v>
          </cell>
          <cell r="J1199">
            <v>550</v>
          </cell>
          <cell r="K1199" t="str">
            <v>C</v>
          </cell>
        </row>
        <row r="1200">
          <cell r="A1200">
            <v>37005</v>
          </cell>
          <cell r="B1200" t="str">
            <v>2.1.04.010.0757</v>
          </cell>
          <cell r="C1200" t="str">
            <v xml:space="preserve">PANIFICADORA E </v>
          </cell>
          <cell r="D1200">
            <v>4538.9799999999996</v>
          </cell>
          <cell r="E1200" t="str">
            <v>C</v>
          </cell>
          <cell r="G1200">
            <v>4446</v>
          </cell>
          <cell r="H1200">
            <v>5031</v>
          </cell>
          <cell r="I1200">
            <v>585</v>
          </cell>
          <cell r="J1200">
            <v>5123.9799999999996</v>
          </cell>
          <cell r="K1200" t="str">
            <v>C</v>
          </cell>
        </row>
        <row r="1201">
          <cell r="A1201">
            <v>51055</v>
          </cell>
          <cell r="B1201" t="str">
            <v>2.1.04.010.0761</v>
          </cell>
          <cell r="C1201" t="str">
            <v xml:space="preserve">OPHTALMOS FORMULAS </v>
          </cell>
          <cell r="D1201">
            <v>0</v>
          </cell>
          <cell r="E1201" t="str">
            <v>C</v>
          </cell>
          <cell r="G1201">
            <v>0</v>
          </cell>
          <cell r="H1201">
            <v>703</v>
          </cell>
          <cell r="I1201">
            <v>703</v>
          </cell>
          <cell r="J1201">
            <v>703</v>
          </cell>
          <cell r="K1201" t="str">
            <v>C</v>
          </cell>
        </row>
        <row r="1202">
          <cell r="A1202">
            <v>3489</v>
          </cell>
          <cell r="B1202" t="str">
            <v>2.1.04.010.0768</v>
          </cell>
          <cell r="C1202" t="str">
            <v xml:space="preserve">TECNOPERFIL PLASTICOS </v>
          </cell>
          <cell r="D1202">
            <v>0</v>
          </cell>
          <cell r="E1202" t="str">
            <v>C</v>
          </cell>
          <cell r="G1202">
            <v>4846.16</v>
          </cell>
          <cell r="H1202">
            <v>4846.16</v>
          </cell>
          <cell r="I1202">
            <v>0</v>
          </cell>
          <cell r="J1202">
            <v>0</v>
          </cell>
          <cell r="K1202" t="str">
            <v>C</v>
          </cell>
        </row>
        <row r="1203">
          <cell r="A1203">
            <v>33796</v>
          </cell>
          <cell r="B1203" t="str">
            <v>2.1.04.010.0769</v>
          </cell>
          <cell r="C1203" t="str">
            <v xml:space="preserve">R VIEIRA ENGENHARIA E AR </v>
          </cell>
          <cell r="D1203">
            <v>17374.7</v>
          </cell>
          <cell r="E1203" t="str">
            <v>C</v>
          </cell>
          <cell r="G1203">
            <v>4624.8999999999996</v>
          </cell>
          <cell r="H1203">
            <v>16355.18</v>
          </cell>
          <cell r="I1203">
            <v>11730.28</v>
          </cell>
          <cell r="J1203">
            <v>29104.98</v>
          </cell>
          <cell r="K1203" t="str">
            <v>C</v>
          </cell>
        </row>
        <row r="1204">
          <cell r="A1204">
            <v>53218</v>
          </cell>
          <cell r="B1204" t="str">
            <v>2.1.04.010.0777</v>
          </cell>
          <cell r="C1204" t="str">
            <v>SANTA RITA COMERCIAL LTDA</v>
          </cell>
          <cell r="D1204">
            <v>175910.71</v>
          </cell>
          <cell r="E1204" t="str">
            <v>C</v>
          </cell>
          <cell r="G1204">
            <v>120338.46</v>
          </cell>
          <cell r="H1204">
            <v>156161.29999999999</v>
          </cell>
          <cell r="I1204">
            <v>35822.839999999997</v>
          </cell>
          <cell r="J1204">
            <v>211733.55</v>
          </cell>
          <cell r="K1204" t="str">
            <v>C</v>
          </cell>
        </row>
        <row r="1205">
          <cell r="A1205">
            <v>3420</v>
          </cell>
          <cell r="B1205" t="str">
            <v>2.1.04.010.0780</v>
          </cell>
          <cell r="C1205" t="str">
            <v>SERVIMED COMERCIAL LTDA</v>
          </cell>
          <cell r="D1205">
            <v>84405.91</v>
          </cell>
          <cell r="E1205" t="str">
            <v>C</v>
          </cell>
          <cell r="G1205">
            <v>95120.31</v>
          </cell>
          <cell r="H1205">
            <v>89430.22</v>
          </cell>
          <cell r="I1205">
            <v>-5690.09</v>
          </cell>
          <cell r="J1205">
            <v>78715.820000000007</v>
          </cell>
          <cell r="K1205" t="str">
            <v>C</v>
          </cell>
        </row>
        <row r="1206">
          <cell r="A1206">
            <v>53225</v>
          </cell>
          <cell r="B1206" t="str">
            <v>2.1.04.010.0785</v>
          </cell>
          <cell r="C1206" t="str">
            <v xml:space="preserve">TITANIUM COMERCIO DE </v>
          </cell>
          <cell r="D1206">
            <v>47048</v>
          </cell>
          <cell r="E1206" t="str">
            <v>C</v>
          </cell>
          <cell r="G1206">
            <v>10048</v>
          </cell>
          <cell r="H1206">
            <v>95808</v>
          </cell>
          <cell r="I1206">
            <v>85760</v>
          </cell>
          <cell r="J1206">
            <v>132808</v>
          </cell>
          <cell r="K1206" t="str">
            <v>C</v>
          </cell>
        </row>
        <row r="1207">
          <cell r="A1207">
            <v>53232</v>
          </cell>
          <cell r="B1207" t="str">
            <v>2.1.04.010.0791</v>
          </cell>
          <cell r="C1207" t="str">
            <v xml:space="preserve">ENDOTECH COMERCIO, </v>
          </cell>
          <cell r="D1207">
            <v>3386.89</v>
          </cell>
          <cell r="E1207" t="str">
            <v>C</v>
          </cell>
          <cell r="G1207">
            <v>3386.89</v>
          </cell>
          <cell r="H1207">
            <v>0</v>
          </cell>
          <cell r="I1207">
            <v>-3386.89</v>
          </cell>
          <cell r="J1207">
            <v>0</v>
          </cell>
          <cell r="K1207" t="str">
            <v>C</v>
          </cell>
        </row>
        <row r="1208">
          <cell r="A1208">
            <v>53236</v>
          </cell>
          <cell r="B1208" t="str">
            <v>2.1.04.010.0794</v>
          </cell>
          <cell r="C1208" t="str">
            <v xml:space="preserve">NEOLIFE COMERCIO DE </v>
          </cell>
          <cell r="D1208">
            <v>90431.18</v>
          </cell>
          <cell r="E1208" t="str">
            <v>C</v>
          </cell>
          <cell r="G1208">
            <v>25481.18</v>
          </cell>
          <cell r="H1208">
            <v>49990</v>
          </cell>
          <cell r="I1208">
            <v>24508.82</v>
          </cell>
          <cell r="J1208">
            <v>114940</v>
          </cell>
          <cell r="K1208" t="str">
            <v>C</v>
          </cell>
        </row>
        <row r="1209">
          <cell r="A1209">
            <v>53242</v>
          </cell>
          <cell r="B1209" t="str">
            <v>2.1.04.010.0799</v>
          </cell>
          <cell r="C1209" t="str">
            <v xml:space="preserve">MATHEUS DE OLIVEIRA </v>
          </cell>
          <cell r="D1209">
            <v>8814.7000000000007</v>
          </cell>
          <cell r="E1209" t="str">
            <v>C</v>
          </cell>
          <cell r="G1209">
            <v>7577.9</v>
          </cell>
          <cell r="H1209">
            <v>6497.1</v>
          </cell>
          <cell r="I1209">
            <v>-1080.8</v>
          </cell>
          <cell r="J1209">
            <v>7733.9</v>
          </cell>
          <cell r="K1209" t="str">
            <v>C</v>
          </cell>
        </row>
        <row r="1210">
          <cell r="A1210">
            <v>53264</v>
          </cell>
          <cell r="B1210" t="str">
            <v>2.1.04.010.0866</v>
          </cell>
          <cell r="C1210" t="str">
            <v xml:space="preserve">DORTMED IMPLANTES </v>
          </cell>
          <cell r="D1210">
            <v>62520</v>
          </cell>
          <cell r="E1210" t="str">
            <v>C</v>
          </cell>
          <cell r="G1210">
            <v>23445</v>
          </cell>
          <cell r="H1210">
            <v>33000</v>
          </cell>
          <cell r="I1210">
            <v>9555</v>
          </cell>
          <cell r="J1210">
            <v>72075</v>
          </cell>
          <cell r="K1210" t="str">
            <v>C</v>
          </cell>
        </row>
        <row r="1211">
          <cell r="A1211">
            <v>2545</v>
          </cell>
          <cell r="B1211" t="str">
            <v>2.1.04.010.0887</v>
          </cell>
          <cell r="C1211" t="str">
            <v xml:space="preserve">CBS - MEDICO CIENTIFICA </v>
          </cell>
          <cell r="D1211">
            <v>0</v>
          </cell>
          <cell r="E1211" t="str">
            <v>C</v>
          </cell>
          <cell r="G1211">
            <v>0</v>
          </cell>
          <cell r="H1211">
            <v>482.4</v>
          </cell>
          <cell r="I1211">
            <v>482.4</v>
          </cell>
          <cell r="J1211">
            <v>482.4</v>
          </cell>
          <cell r="K1211" t="str">
            <v>C</v>
          </cell>
        </row>
        <row r="1212">
          <cell r="A1212">
            <v>4099</v>
          </cell>
          <cell r="B1212" t="str">
            <v>2.1.04.010.0890</v>
          </cell>
          <cell r="C1212" t="str">
            <v xml:space="preserve">RS BELLINI COM.AUTOMACAO </v>
          </cell>
          <cell r="D1212">
            <v>0</v>
          </cell>
          <cell r="E1212" t="str">
            <v>C</v>
          </cell>
          <cell r="G1212">
            <v>1215</v>
          </cell>
          <cell r="H1212">
            <v>2430</v>
          </cell>
          <cell r="I1212">
            <v>1215</v>
          </cell>
          <cell r="J1212">
            <v>1215</v>
          </cell>
          <cell r="K1212" t="str">
            <v>C</v>
          </cell>
        </row>
        <row r="1213">
          <cell r="A1213">
            <v>53378</v>
          </cell>
          <cell r="B1213" t="str">
            <v>2.1.04.010.0898</v>
          </cell>
          <cell r="C1213" t="str">
            <v xml:space="preserve">D GONCALVES </v>
          </cell>
          <cell r="D1213">
            <v>3200</v>
          </cell>
          <cell r="E1213" t="str">
            <v>C</v>
          </cell>
          <cell r="G1213">
            <v>3200</v>
          </cell>
          <cell r="H1213">
            <v>2614.62</v>
          </cell>
          <cell r="I1213">
            <v>-585.38</v>
          </cell>
          <cell r="J1213">
            <v>2614.62</v>
          </cell>
          <cell r="K1213" t="str">
            <v>C</v>
          </cell>
        </row>
        <row r="1214">
          <cell r="A1214">
            <v>53380</v>
          </cell>
          <cell r="B1214" t="str">
            <v>2.1.04.010.0900</v>
          </cell>
          <cell r="C1214" t="str">
            <v>NHL COMERCIAL EIRELI</v>
          </cell>
          <cell r="D1214">
            <v>15010.2</v>
          </cell>
          <cell r="E1214" t="str">
            <v>C</v>
          </cell>
          <cell r="G1214">
            <v>17697.099999999999</v>
          </cell>
          <cell r="H1214">
            <v>20871.55</v>
          </cell>
          <cell r="I1214">
            <v>3174.45</v>
          </cell>
          <cell r="J1214">
            <v>18184.650000000001</v>
          </cell>
          <cell r="K1214" t="str">
            <v>C</v>
          </cell>
        </row>
        <row r="1215">
          <cell r="A1215">
            <v>37065</v>
          </cell>
          <cell r="B1215" t="str">
            <v>2.1.04.010.0935</v>
          </cell>
          <cell r="C1215" t="str">
            <v xml:space="preserve">M. A. BARUEL CASA DAS </v>
          </cell>
          <cell r="D1215">
            <v>1695</v>
          </cell>
          <cell r="E1215" t="str">
            <v>C</v>
          </cell>
          <cell r="G1215">
            <v>1695</v>
          </cell>
          <cell r="H1215">
            <v>2453</v>
          </cell>
          <cell r="I1215">
            <v>758</v>
          </cell>
          <cell r="J1215">
            <v>2453</v>
          </cell>
          <cell r="K1215" t="str">
            <v>C</v>
          </cell>
        </row>
        <row r="1216">
          <cell r="A1216">
            <v>53549</v>
          </cell>
          <cell r="B1216" t="str">
            <v>2.1.04.010.0939</v>
          </cell>
          <cell r="C1216" t="str">
            <v xml:space="preserve">WESLEY HENRIQUE DOS </v>
          </cell>
          <cell r="D1216">
            <v>1440</v>
          </cell>
          <cell r="E1216" t="str">
            <v>C</v>
          </cell>
          <cell r="G1216">
            <v>2880</v>
          </cell>
          <cell r="H1216">
            <v>3600</v>
          </cell>
          <cell r="I1216">
            <v>720</v>
          </cell>
          <cell r="J1216">
            <v>2160</v>
          </cell>
          <cell r="K1216" t="str">
            <v>C</v>
          </cell>
        </row>
        <row r="1217">
          <cell r="A1217">
            <v>53588</v>
          </cell>
          <cell r="B1217" t="str">
            <v>2.1.04.010.0949</v>
          </cell>
          <cell r="C1217" t="str">
            <v xml:space="preserve">REAL MEDICAL PRODUTOS </v>
          </cell>
          <cell r="D1217">
            <v>0</v>
          </cell>
          <cell r="E1217" t="str">
            <v>C</v>
          </cell>
          <cell r="G1217">
            <v>0</v>
          </cell>
          <cell r="H1217">
            <v>64750</v>
          </cell>
          <cell r="I1217">
            <v>64750</v>
          </cell>
          <cell r="J1217">
            <v>64750</v>
          </cell>
          <cell r="K1217" t="str">
            <v>C</v>
          </cell>
        </row>
        <row r="1218">
          <cell r="A1218">
            <v>53646</v>
          </cell>
          <cell r="B1218" t="str">
            <v>2.1.04.010.0956</v>
          </cell>
          <cell r="C1218" t="str">
            <v xml:space="preserve">EXTREMA IMPORTACAO E </v>
          </cell>
          <cell r="D1218">
            <v>9066.7999999999993</v>
          </cell>
          <cell r="E1218" t="str">
            <v>C</v>
          </cell>
          <cell r="G1218">
            <v>9066.7999999999993</v>
          </cell>
          <cell r="H1218">
            <v>0</v>
          </cell>
          <cell r="I1218">
            <v>-9066.7999999999993</v>
          </cell>
          <cell r="J1218">
            <v>0</v>
          </cell>
          <cell r="K1218" t="str">
            <v>C</v>
          </cell>
        </row>
        <row r="1219">
          <cell r="A1219">
            <v>53700</v>
          </cell>
          <cell r="B1219" t="str">
            <v>2.1.04.010.0959</v>
          </cell>
          <cell r="C1219" t="str">
            <v xml:space="preserve">ENDOTEC PRODUTOS </v>
          </cell>
          <cell r="D1219">
            <v>9207.5</v>
          </cell>
          <cell r="E1219" t="str">
            <v>C</v>
          </cell>
          <cell r="G1219">
            <v>17133.75</v>
          </cell>
          <cell r="H1219">
            <v>7926.25</v>
          </cell>
          <cell r="I1219">
            <v>-9207.5</v>
          </cell>
          <cell r="J1219">
            <v>0</v>
          </cell>
          <cell r="K1219" t="str">
            <v>C</v>
          </cell>
        </row>
        <row r="1220">
          <cell r="A1220">
            <v>53702</v>
          </cell>
          <cell r="B1220" t="str">
            <v>2.1.04.010.0960</v>
          </cell>
          <cell r="C1220" t="str">
            <v xml:space="preserve">SOL DISTRIB DE PROD HOSP E </v>
          </cell>
          <cell r="D1220">
            <v>2752.7</v>
          </cell>
          <cell r="E1220" t="str">
            <v>C</v>
          </cell>
          <cell r="G1220">
            <v>2752.7</v>
          </cell>
          <cell r="H1220">
            <v>0</v>
          </cell>
          <cell r="I1220">
            <v>-2752.7</v>
          </cell>
          <cell r="J1220">
            <v>0</v>
          </cell>
          <cell r="K1220" t="str">
            <v>C</v>
          </cell>
        </row>
        <row r="1221">
          <cell r="A1221">
            <v>53711</v>
          </cell>
          <cell r="B1221" t="str">
            <v>2.1.04.010.0963</v>
          </cell>
          <cell r="C1221" t="str">
            <v xml:space="preserve">GADALI MEDICAL COMERCIO </v>
          </cell>
          <cell r="D1221">
            <v>0</v>
          </cell>
          <cell r="E1221" t="str">
            <v>C</v>
          </cell>
          <cell r="G1221">
            <v>0</v>
          </cell>
          <cell r="H1221">
            <v>180.2</v>
          </cell>
          <cell r="I1221">
            <v>180.2</v>
          </cell>
          <cell r="J1221">
            <v>180.2</v>
          </cell>
          <cell r="K1221" t="str">
            <v>C</v>
          </cell>
        </row>
        <row r="1222">
          <cell r="A1222">
            <v>38691</v>
          </cell>
          <cell r="B1222" t="str">
            <v>2.1.04.010.0964</v>
          </cell>
          <cell r="C1222" t="str">
            <v xml:space="preserve">BARONI E FABRI COM DE </v>
          </cell>
          <cell r="D1222">
            <v>0</v>
          </cell>
          <cell r="E1222" t="str">
            <v>C</v>
          </cell>
          <cell r="G1222">
            <v>0</v>
          </cell>
          <cell r="H1222">
            <v>1206.4000000000001</v>
          </cell>
          <cell r="I1222">
            <v>1206.4000000000001</v>
          </cell>
          <cell r="J1222">
            <v>1206.4000000000001</v>
          </cell>
          <cell r="K1222" t="str">
            <v>C</v>
          </cell>
        </row>
        <row r="1223">
          <cell r="A1223">
            <v>53727</v>
          </cell>
          <cell r="B1223" t="str">
            <v>2.1.04.010.0965</v>
          </cell>
          <cell r="C1223" t="str">
            <v xml:space="preserve">JC DA SILVA COMERCIO E </v>
          </cell>
          <cell r="D1223">
            <v>1359</v>
          </cell>
          <cell r="E1223" t="str">
            <v>C</v>
          </cell>
          <cell r="G1223">
            <v>1359</v>
          </cell>
          <cell r="H1223">
            <v>690</v>
          </cell>
          <cell r="I1223">
            <v>-669</v>
          </cell>
          <cell r="J1223">
            <v>690</v>
          </cell>
          <cell r="K1223" t="str">
            <v>C</v>
          </cell>
        </row>
        <row r="1224">
          <cell r="A1224">
            <v>53837</v>
          </cell>
          <cell r="B1224" t="str">
            <v>2.1.04.010.0984</v>
          </cell>
          <cell r="C1224" t="str">
            <v xml:space="preserve">SAEDCLIN COMERCIO DE </v>
          </cell>
          <cell r="D1224">
            <v>39785.99</v>
          </cell>
          <cell r="E1224" t="str">
            <v>C</v>
          </cell>
          <cell r="G1224">
            <v>25358.81</v>
          </cell>
          <cell r="H1224">
            <v>13172.88</v>
          </cell>
          <cell r="I1224">
            <v>-12185.93</v>
          </cell>
          <cell r="J1224">
            <v>27600.06</v>
          </cell>
          <cell r="K1224" t="str">
            <v>C</v>
          </cell>
        </row>
        <row r="1225">
          <cell r="A1225">
            <v>53846</v>
          </cell>
          <cell r="B1225" t="str">
            <v>2.1.04.010.0986</v>
          </cell>
          <cell r="C1225" t="str">
            <v xml:space="preserve">YAMARO &amp; SUZUKI COMERCIO </v>
          </cell>
          <cell r="D1225">
            <v>3461.2</v>
          </cell>
          <cell r="E1225" t="str">
            <v>C</v>
          </cell>
          <cell r="G1225">
            <v>3461.2</v>
          </cell>
          <cell r="H1225">
            <v>8593.1</v>
          </cell>
          <cell r="I1225">
            <v>5131.8999999999996</v>
          </cell>
          <cell r="J1225">
            <v>8593.1</v>
          </cell>
          <cell r="K1225" t="str">
            <v>C</v>
          </cell>
        </row>
        <row r="1226">
          <cell r="A1226">
            <v>53850</v>
          </cell>
          <cell r="B1226" t="str">
            <v>2.1.04.010.0987</v>
          </cell>
          <cell r="C1226" t="str">
            <v xml:space="preserve">CLEAN MEDICAL COMERCIO </v>
          </cell>
          <cell r="D1226">
            <v>3400</v>
          </cell>
          <cell r="E1226" t="str">
            <v>C</v>
          </cell>
          <cell r="G1226">
            <v>3400</v>
          </cell>
          <cell r="H1226">
            <v>2266.66</v>
          </cell>
          <cell r="I1226">
            <v>-1133.3399999999999</v>
          </cell>
          <cell r="J1226">
            <v>2266.66</v>
          </cell>
          <cell r="K1226" t="str">
            <v>C</v>
          </cell>
        </row>
        <row r="1227">
          <cell r="A1227">
            <v>53855</v>
          </cell>
          <cell r="B1227" t="str">
            <v>2.1.04.010.0990</v>
          </cell>
          <cell r="C1227" t="str">
            <v xml:space="preserve">RINALDO CESAR DELFINO </v>
          </cell>
          <cell r="D1227">
            <v>9023.65</v>
          </cell>
          <cell r="E1227" t="str">
            <v>C</v>
          </cell>
          <cell r="G1227">
            <v>8100.3</v>
          </cell>
          <cell r="H1227">
            <v>3088.1</v>
          </cell>
          <cell r="I1227">
            <v>-5012.2</v>
          </cell>
          <cell r="J1227">
            <v>4011.45</v>
          </cell>
          <cell r="K1227" t="str">
            <v>C</v>
          </cell>
        </row>
        <row r="1228">
          <cell r="A1228">
            <v>53869</v>
          </cell>
          <cell r="B1228" t="str">
            <v>2.1.04.010.0992</v>
          </cell>
          <cell r="C1228" t="str">
            <v xml:space="preserve">JOSE APARECIDO DE SOUZA </v>
          </cell>
          <cell r="D1228">
            <v>3705</v>
          </cell>
          <cell r="E1228" t="str">
            <v>C</v>
          </cell>
          <cell r="G1228">
            <v>3705</v>
          </cell>
          <cell r="H1228">
            <v>0</v>
          </cell>
          <cell r="I1228">
            <v>-3705</v>
          </cell>
          <cell r="J1228">
            <v>0</v>
          </cell>
          <cell r="K1228" t="str">
            <v>C</v>
          </cell>
        </row>
        <row r="1229">
          <cell r="A1229">
            <v>53891</v>
          </cell>
          <cell r="B1229" t="str">
            <v>2.1.04.010.0999</v>
          </cell>
          <cell r="C1229" t="str">
            <v xml:space="preserve">AGILE MED IMPORTACAO E </v>
          </cell>
          <cell r="D1229">
            <v>0</v>
          </cell>
          <cell r="E1229" t="str">
            <v>C</v>
          </cell>
          <cell r="G1229">
            <v>121</v>
          </cell>
          <cell r="H1229">
            <v>2571</v>
          </cell>
          <cell r="I1229">
            <v>2450</v>
          </cell>
          <cell r="J1229">
            <v>2450</v>
          </cell>
          <cell r="K1229" t="str">
            <v>C</v>
          </cell>
        </row>
        <row r="1230">
          <cell r="A1230">
            <v>53900</v>
          </cell>
          <cell r="B1230" t="str">
            <v>2.1.04.010.1004</v>
          </cell>
          <cell r="C1230" t="str">
            <v xml:space="preserve">SOMA/SP PRODUTOS </v>
          </cell>
          <cell r="D1230">
            <v>73835.02</v>
          </cell>
          <cell r="E1230" t="str">
            <v>C</v>
          </cell>
          <cell r="G1230">
            <v>53964.84</v>
          </cell>
          <cell r="H1230">
            <v>81564.77</v>
          </cell>
          <cell r="I1230">
            <v>27599.93</v>
          </cell>
          <cell r="J1230">
            <v>101434.95</v>
          </cell>
          <cell r="K1230" t="str">
            <v>C</v>
          </cell>
        </row>
        <row r="1231">
          <cell r="A1231">
            <v>53901</v>
          </cell>
          <cell r="B1231" t="str">
            <v>2.1.04.010.1005</v>
          </cell>
          <cell r="C1231" t="str">
            <v xml:space="preserve">SURYA JACAREI ALIMENTOS </v>
          </cell>
          <cell r="D1231">
            <v>0</v>
          </cell>
          <cell r="E1231" t="str">
            <v>C</v>
          </cell>
          <cell r="G1231">
            <v>2304</v>
          </cell>
          <cell r="H1231">
            <v>2304</v>
          </cell>
          <cell r="I1231">
            <v>0</v>
          </cell>
          <cell r="J1231">
            <v>0</v>
          </cell>
          <cell r="K1231" t="str">
            <v>C</v>
          </cell>
        </row>
        <row r="1232">
          <cell r="A1232">
            <v>53922</v>
          </cell>
          <cell r="B1232" t="str">
            <v>2.1.04.010.1011</v>
          </cell>
          <cell r="C1232" t="str">
            <v xml:space="preserve">JD DA SILVA ACESSORIOS </v>
          </cell>
          <cell r="D1232">
            <v>0</v>
          </cell>
          <cell r="E1232" t="str">
            <v>C</v>
          </cell>
          <cell r="G1232">
            <v>380</v>
          </cell>
          <cell r="H1232">
            <v>380</v>
          </cell>
          <cell r="I1232">
            <v>0</v>
          </cell>
          <cell r="J1232">
            <v>0</v>
          </cell>
          <cell r="K1232" t="str">
            <v>C</v>
          </cell>
        </row>
        <row r="1233">
          <cell r="A1233">
            <v>54027</v>
          </cell>
          <cell r="B1233" t="str">
            <v>2.1.04.010.1038</v>
          </cell>
          <cell r="C1233" t="str">
            <v xml:space="preserve">SPARTAN DO BRASIL </v>
          </cell>
          <cell r="D1233">
            <v>0</v>
          </cell>
          <cell r="E1233" t="str">
            <v>C</v>
          </cell>
          <cell r="G1233">
            <v>1232.5999999999999</v>
          </cell>
          <cell r="H1233">
            <v>1984.85</v>
          </cell>
          <cell r="I1233">
            <v>752.25</v>
          </cell>
          <cell r="J1233">
            <v>752.25</v>
          </cell>
          <cell r="K1233" t="str">
            <v>C</v>
          </cell>
        </row>
        <row r="1234">
          <cell r="A1234">
            <v>54204</v>
          </cell>
          <cell r="B1234" t="str">
            <v>2.1.04.010.1059</v>
          </cell>
          <cell r="C1234" t="str">
            <v xml:space="preserve">PAULEDA COMERCIO DE </v>
          </cell>
          <cell r="D1234">
            <v>10304.01</v>
          </cell>
          <cell r="E1234" t="str">
            <v>C</v>
          </cell>
          <cell r="G1234">
            <v>10304.01</v>
          </cell>
          <cell r="H1234">
            <v>3057</v>
          </cell>
          <cell r="I1234">
            <v>-7247.01</v>
          </cell>
          <cell r="J1234">
            <v>3057</v>
          </cell>
          <cell r="K1234" t="str">
            <v>C</v>
          </cell>
        </row>
        <row r="1235">
          <cell r="A1235">
            <v>54218</v>
          </cell>
          <cell r="B1235" t="str">
            <v>2.1.04.010.1066</v>
          </cell>
          <cell r="C1235" t="str">
            <v xml:space="preserve">FORMEDICA FARMACIA DE </v>
          </cell>
          <cell r="D1235">
            <v>660</v>
          </cell>
          <cell r="E1235" t="str">
            <v>C</v>
          </cell>
          <cell r="G1235">
            <v>660</v>
          </cell>
          <cell r="H1235">
            <v>0</v>
          </cell>
          <cell r="I1235">
            <v>-660</v>
          </cell>
          <cell r="J1235">
            <v>0</v>
          </cell>
          <cell r="K1235" t="str">
            <v>C</v>
          </cell>
        </row>
        <row r="1236">
          <cell r="A1236">
            <v>54254</v>
          </cell>
          <cell r="B1236" t="str">
            <v>2.1.04.010.1075</v>
          </cell>
          <cell r="C1236" t="str">
            <v xml:space="preserve">KM CLEAN DISTRIBUIDORA E </v>
          </cell>
          <cell r="D1236">
            <v>53931.8</v>
          </cell>
          <cell r="E1236" t="str">
            <v>C</v>
          </cell>
          <cell r="G1236">
            <v>30612.18</v>
          </cell>
          <cell r="H1236">
            <v>5422.11</v>
          </cell>
          <cell r="I1236">
            <v>-25190.07</v>
          </cell>
          <cell r="J1236">
            <v>28741.73</v>
          </cell>
          <cell r="K1236" t="str">
            <v>C</v>
          </cell>
        </row>
        <row r="1237">
          <cell r="A1237">
            <v>54263</v>
          </cell>
          <cell r="B1237" t="str">
            <v>2.1.04.010.1079</v>
          </cell>
          <cell r="C1237" t="str">
            <v xml:space="preserve">SESTRIERE SOFTWARE - </v>
          </cell>
          <cell r="D1237">
            <v>15834.5</v>
          </cell>
          <cell r="E1237" t="str">
            <v>C</v>
          </cell>
          <cell r="G1237">
            <v>5703.5</v>
          </cell>
          <cell r="H1237">
            <v>7869.5</v>
          </cell>
          <cell r="I1237">
            <v>2166</v>
          </cell>
          <cell r="J1237">
            <v>18000.5</v>
          </cell>
          <cell r="K1237" t="str">
            <v>C</v>
          </cell>
        </row>
        <row r="1238">
          <cell r="A1238">
            <v>54306</v>
          </cell>
          <cell r="B1238" t="str">
            <v>2.1.04.010.1087</v>
          </cell>
          <cell r="C1238" t="str">
            <v xml:space="preserve">SYNCROFILM DISTRIBUIDORA </v>
          </cell>
          <cell r="D1238">
            <v>1700</v>
          </cell>
          <cell r="E1238" t="str">
            <v>C</v>
          </cell>
          <cell r="G1238">
            <v>1700</v>
          </cell>
          <cell r="H1238">
            <v>600</v>
          </cell>
          <cell r="I1238">
            <v>-1100</v>
          </cell>
          <cell r="J1238">
            <v>600</v>
          </cell>
          <cell r="K1238" t="str">
            <v>C</v>
          </cell>
        </row>
        <row r="1239">
          <cell r="A1239">
            <v>54312</v>
          </cell>
          <cell r="B1239" t="str">
            <v>2.1.04.010.1090</v>
          </cell>
          <cell r="C1239" t="str">
            <v xml:space="preserve">UNIBIO DISTRIBUIDORA E </v>
          </cell>
          <cell r="D1239">
            <v>0</v>
          </cell>
          <cell r="E1239" t="str">
            <v>C</v>
          </cell>
          <cell r="G1239">
            <v>0</v>
          </cell>
          <cell r="H1239">
            <v>710</v>
          </cell>
          <cell r="I1239">
            <v>710</v>
          </cell>
          <cell r="J1239">
            <v>710</v>
          </cell>
          <cell r="K1239" t="str">
            <v>C</v>
          </cell>
        </row>
        <row r="1240">
          <cell r="A1240">
            <v>54322</v>
          </cell>
          <cell r="B1240" t="str">
            <v>2.1.04.010.1095</v>
          </cell>
          <cell r="C1240" t="str">
            <v xml:space="preserve">ALL COMERCIO </v>
          </cell>
          <cell r="D1240">
            <v>20701.16</v>
          </cell>
          <cell r="E1240" t="str">
            <v>C</v>
          </cell>
          <cell r="G1240">
            <v>17250.57</v>
          </cell>
          <cell r="H1240">
            <v>3440.08</v>
          </cell>
          <cell r="I1240">
            <v>-13810.49</v>
          </cell>
          <cell r="J1240">
            <v>6890.67</v>
          </cell>
          <cell r="K1240" t="str">
            <v>C</v>
          </cell>
        </row>
        <row r="1241">
          <cell r="A1241">
            <v>54329</v>
          </cell>
          <cell r="B1241" t="str">
            <v>2.1.04.010.1096</v>
          </cell>
          <cell r="C1241" t="str">
            <v xml:space="preserve">BIOTEC PRODUTOS </v>
          </cell>
          <cell r="D1241">
            <v>5425.2</v>
          </cell>
          <cell r="E1241" t="str">
            <v>C</v>
          </cell>
          <cell r="G1241">
            <v>8772</v>
          </cell>
          <cell r="H1241">
            <v>4786.8</v>
          </cell>
          <cell r="I1241">
            <v>-3985.2</v>
          </cell>
          <cell r="J1241">
            <v>1440</v>
          </cell>
          <cell r="K1241" t="str">
            <v>C</v>
          </cell>
        </row>
        <row r="1242">
          <cell r="A1242">
            <v>54342</v>
          </cell>
          <cell r="B1242" t="str">
            <v>2.1.04.010.1098</v>
          </cell>
          <cell r="C1242" t="str">
            <v xml:space="preserve">ONCORIO DISTRIBUIDORA DE </v>
          </cell>
          <cell r="D1242">
            <v>71838.720000000001</v>
          </cell>
          <cell r="E1242" t="str">
            <v>C</v>
          </cell>
          <cell r="G1242">
            <v>28972.25</v>
          </cell>
          <cell r="H1242">
            <v>49987.8</v>
          </cell>
          <cell r="I1242">
            <v>21015.55</v>
          </cell>
          <cell r="J1242">
            <v>92854.27</v>
          </cell>
          <cell r="K1242" t="str">
            <v>C</v>
          </cell>
        </row>
        <row r="1243">
          <cell r="A1243">
            <v>54343</v>
          </cell>
          <cell r="B1243" t="str">
            <v>2.1.04.010.1099</v>
          </cell>
          <cell r="C1243" t="str">
            <v xml:space="preserve">SIMPRESS COMERCIO </v>
          </cell>
          <cell r="D1243">
            <v>2729.29</v>
          </cell>
          <cell r="E1243" t="str">
            <v>C</v>
          </cell>
          <cell r="G1243">
            <v>2729.29</v>
          </cell>
          <cell r="H1243">
            <v>2991.97</v>
          </cell>
          <cell r="I1243">
            <v>262.68</v>
          </cell>
          <cell r="J1243">
            <v>2991.97</v>
          </cell>
          <cell r="K1243" t="str">
            <v>C</v>
          </cell>
        </row>
        <row r="1244">
          <cell r="A1244">
            <v>54345</v>
          </cell>
          <cell r="B1244" t="str">
            <v>2.1.04.010.1102</v>
          </cell>
          <cell r="C1244" t="str">
            <v xml:space="preserve">STONEMED PRODUTOS </v>
          </cell>
          <cell r="D1244">
            <v>2980</v>
          </cell>
          <cell r="E1244" t="str">
            <v>C</v>
          </cell>
          <cell r="G1244">
            <v>700</v>
          </cell>
          <cell r="H1244">
            <v>400</v>
          </cell>
          <cell r="I1244">
            <v>-300</v>
          </cell>
          <cell r="J1244">
            <v>2680</v>
          </cell>
          <cell r="K1244" t="str">
            <v>C</v>
          </cell>
        </row>
        <row r="1245">
          <cell r="A1245">
            <v>54371</v>
          </cell>
          <cell r="B1245" t="str">
            <v>2.1.04.010.1105</v>
          </cell>
          <cell r="C1245" t="str">
            <v xml:space="preserve">EQUIVALE - EQUIPAMENTOS </v>
          </cell>
          <cell r="D1245">
            <v>749.5</v>
          </cell>
          <cell r="E1245" t="str">
            <v>C</v>
          </cell>
          <cell r="G1245">
            <v>749.5</v>
          </cell>
          <cell r="H1245">
            <v>3429.7</v>
          </cell>
          <cell r="I1245">
            <v>2680.2</v>
          </cell>
          <cell r="J1245">
            <v>3429.7</v>
          </cell>
          <cell r="K1245" t="str">
            <v>C</v>
          </cell>
        </row>
        <row r="1246">
          <cell r="A1246">
            <v>54408</v>
          </cell>
          <cell r="B1246" t="str">
            <v>2.1.04.010.1120</v>
          </cell>
          <cell r="C1246" t="str">
            <v xml:space="preserve">UNIFRAN EPIS E UNIFORMES </v>
          </cell>
          <cell r="D1246">
            <v>5487.4</v>
          </cell>
          <cell r="E1246" t="str">
            <v>C</v>
          </cell>
          <cell r="G1246">
            <v>5756.3</v>
          </cell>
          <cell r="H1246">
            <v>12041.5</v>
          </cell>
          <cell r="I1246">
            <v>6285.2</v>
          </cell>
          <cell r="J1246">
            <v>11772.6</v>
          </cell>
          <cell r="K1246" t="str">
            <v>C</v>
          </cell>
        </row>
        <row r="1247">
          <cell r="A1247">
            <v>54409</v>
          </cell>
          <cell r="B1247" t="str">
            <v>2.1.04.010.1121</v>
          </cell>
          <cell r="C1247" t="str">
            <v xml:space="preserve">TRAUMINAS DISTRIBUIDORA </v>
          </cell>
          <cell r="D1247">
            <v>1557.44</v>
          </cell>
          <cell r="E1247" t="str">
            <v>C</v>
          </cell>
          <cell r="G1247">
            <v>1557.44</v>
          </cell>
          <cell r="H1247">
            <v>3488.61</v>
          </cell>
          <cell r="I1247">
            <v>1931.17</v>
          </cell>
          <cell r="J1247">
            <v>3488.61</v>
          </cell>
          <cell r="K1247" t="str">
            <v>C</v>
          </cell>
        </row>
        <row r="1248">
          <cell r="A1248">
            <v>54413</v>
          </cell>
          <cell r="B1248" t="str">
            <v>2.1.04.010.1122</v>
          </cell>
          <cell r="C1248" t="str">
            <v xml:space="preserve">CAPROMED FARMACEUTICA </v>
          </cell>
          <cell r="D1248">
            <v>0</v>
          </cell>
          <cell r="E1248" t="str">
            <v>C</v>
          </cell>
          <cell r="G1248">
            <v>0</v>
          </cell>
          <cell r="H1248">
            <v>969.6</v>
          </cell>
          <cell r="I1248">
            <v>969.6</v>
          </cell>
          <cell r="J1248">
            <v>969.6</v>
          </cell>
          <cell r="K1248" t="str">
            <v>C</v>
          </cell>
        </row>
        <row r="1249">
          <cell r="A1249">
            <v>54418</v>
          </cell>
          <cell r="B1249" t="str">
            <v>2.1.04.010.1125</v>
          </cell>
          <cell r="C1249" t="str">
            <v>LEANDRO CESAR FERREIRA</v>
          </cell>
          <cell r="D1249">
            <v>490</v>
          </cell>
          <cell r="E1249" t="str">
            <v>C</v>
          </cell>
          <cell r="G1249">
            <v>490</v>
          </cell>
          <cell r="H1249">
            <v>0</v>
          </cell>
          <cell r="I1249">
            <v>-490</v>
          </cell>
          <cell r="J1249">
            <v>0</v>
          </cell>
          <cell r="K1249" t="str">
            <v>C</v>
          </cell>
        </row>
        <row r="1250">
          <cell r="A1250">
            <v>54419</v>
          </cell>
          <cell r="B1250" t="str">
            <v>2.1.04.010.1126</v>
          </cell>
          <cell r="C1250" t="str">
            <v>DANIEL SERODIO DURIGAN</v>
          </cell>
          <cell r="D1250">
            <v>39000</v>
          </cell>
          <cell r="E1250" t="str">
            <v>C</v>
          </cell>
          <cell r="G1250">
            <v>26000</v>
          </cell>
          <cell r="H1250">
            <v>65000</v>
          </cell>
          <cell r="I1250">
            <v>39000</v>
          </cell>
          <cell r="J1250">
            <v>78000</v>
          </cell>
          <cell r="K1250" t="str">
            <v>C</v>
          </cell>
        </row>
        <row r="1251">
          <cell r="A1251">
            <v>54421</v>
          </cell>
          <cell r="B1251" t="str">
            <v>2.1.04.010.1127</v>
          </cell>
          <cell r="C1251" t="str">
            <v xml:space="preserve">MINERACAO MONTEIRO </v>
          </cell>
          <cell r="D1251">
            <v>2313.3000000000002</v>
          </cell>
          <cell r="E1251" t="str">
            <v>C</v>
          </cell>
          <cell r="G1251">
            <v>2313.3000000000002</v>
          </cell>
          <cell r="H1251">
            <v>2479.4499999999998</v>
          </cell>
          <cell r="I1251">
            <v>166.15</v>
          </cell>
          <cell r="J1251">
            <v>2479.4499999999998</v>
          </cell>
          <cell r="K1251" t="str">
            <v>C</v>
          </cell>
        </row>
        <row r="1252">
          <cell r="A1252">
            <v>54425</v>
          </cell>
          <cell r="B1252" t="str">
            <v>2.1.04.010.1130</v>
          </cell>
          <cell r="C1252" t="str">
            <v xml:space="preserve">MARIA MARLY DE CAMPOS </v>
          </cell>
          <cell r="D1252">
            <v>2870</v>
          </cell>
          <cell r="E1252" t="str">
            <v>C</v>
          </cell>
          <cell r="G1252">
            <v>2870</v>
          </cell>
          <cell r="H1252">
            <v>2420</v>
          </cell>
          <cell r="I1252">
            <v>-450</v>
          </cell>
          <cell r="J1252">
            <v>2420</v>
          </cell>
          <cell r="K1252" t="str">
            <v>C</v>
          </cell>
        </row>
        <row r="1253">
          <cell r="A1253">
            <v>54443</v>
          </cell>
          <cell r="B1253" t="str">
            <v>2.1.04.010.1137</v>
          </cell>
          <cell r="C1253" t="str">
            <v xml:space="preserve">CAMAHE INDUSTRIA E </v>
          </cell>
          <cell r="D1253">
            <v>1060</v>
          </cell>
          <cell r="E1253" t="str">
            <v>C</v>
          </cell>
          <cell r="G1253">
            <v>1060</v>
          </cell>
          <cell r="H1253">
            <v>1060</v>
          </cell>
          <cell r="I1253">
            <v>0</v>
          </cell>
          <cell r="J1253">
            <v>1060</v>
          </cell>
          <cell r="K1253" t="str">
            <v>C</v>
          </cell>
        </row>
        <row r="1254">
          <cell r="A1254">
            <v>54459</v>
          </cell>
          <cell r="B1254" t="str">
            <v>2.1.04.010.1141</v>
          </cell>
          <cell r="C1254" t="str">
            <v xml:space="preserve">SILIMED - INDUSTRIA DE </v>
          </cell>
          <cell r="D1254">
            <v>6256</v>
          </cell>
          <cell r="E1254" t="str">
            <v>C</v>
          </cell>
          <cell r="G1254">
            <v>4768</v>
          </cell>
          <cell r="H1254">
            <v>4768</v>
          </cell>
          <cell r="I1254">
            <v>0</v>
          </cell>
          <cell r="J1254">
            <v>6256</v>
          </cell>
          <cell r="K1254" t="str">
            <v>C</v>
          </cell>
        </row>
        <row r="1255">
          <cell r="A1255">
            <v>54461</v>
          </cell>
          <cell r="B1255" t="str">
            <v>2.1.04.010.1142</v>
          </cell>
          <cell r="C1255" t="str">
            <v xml:space="preserve">3 MEDICA COM E IMP DE </v>
          </cell>
          <cell r="D1255">
            <v>8821.43</v>
          </cell>
          <cell r="E1255" t="str">
            <v>C</v>
          </cell>
          <cell r="G1255">
            <v>8821.43</v>
          </cell>
          <cell r="H1255">
            <v>0</v>
          </cell>
          <cell r="I1255">
            <v>-8821.43</v>
          </cell>
          <cell r="J1255">
            <v>0</v>
          </cell>
          <cell r="K1255" t="str">
            <v>C</v>
          </cell>
        </row>
        <row r="1256">
          <cell r="A1256">
            <v>54468</v>
          </cell>
          <cell r="B1256" t="str">
            <v>2.1.04.010.1144</v>
          </cell>
          <cell r="C1256" t="str">
            <v xml:space="preserve">SANNA COMERCIO DE </v>
          </cell>
          <cell r="D1256">
            <v>5947.55</v>
          </cell>
          <cell r="E1256" t="str">
            <v>C</v>
          </cell>
          <cell r="G1256">
            <v>9880.9699999999993</v>
          </cell>
          <cell r="H1256">
            <v>4278.91</v>
          </cell>
          <cell r="I1256">
            <v>-5602.06</v>
          </cell>
          <cell r="J1256">
            <v>345.49</v>
          </cell>
          <cell r="K1256" t="str">
            <v>C</v>
          </cell>
        </row>
        <row r="1257">
          <cell r="A1257">
            <v>54540</v>
          </cell>
          <cell r="B1257" t="str">
            <v>2.1.04.010.1156</v>
          </cell>
          <cell r="C1257" t="str">
            <v xml:space="preserve">ASTRA FARMA COMERCIO DE </v>
          </cell>
          <cell r="D1257">
            <v>895.2</v>
          </cell>
          <cell r="E1257" t="str">
            <v>C</v>
          </cell>
          <cell r="G1257">
            <v>7520.7</v>
          </cell>
          <cell r="H1257">
            <v>7845.58</v>
          </cell>
          <cell r="I1257">
            <v>324.88</v>
          </cell>
          <cell r="J1257">
            <v>1220.08</v>
          </cell>
          <cell r="K1257" t="str">
            <v>C</v>
          </cell>
        </row>
        <row r="1258">
          <cell r="A1258">
            <v>54547</v>
          </cell>
          <cell r="B1258" t="str">
            <v>2.1.04.010.1160</v>
          </cell>
          <cell r="C1258" t="str">
            <v xml:space="preserve">MASIERO COMERCIO DE </v>
          </cell>
          <cell r="D1258">
            <v>5710.5</v>
          </cell>
          <cell r="E1258" t="str">
            <v>C</v>
          </cell>
          <cell r="G1258">
            <v>3547.8</v>
          </cell>
          <cell r="H1258">
            <v>2162.6999999999998</v>
          </cell>
          <cell r="I1258">
            <v>-1385.1</v>
          </cell>
          <cell r="J1258">
            <v>4325.3999999999996</v>
          </cell>
          <cell r="K1258" t="str">
            <v>C</v>
          </cell>
        </row>
        <row r="1259">
          <cell r="A1259">
            <v>54555</v>
          </cell>
          <cell r="B1259" t="str">
            <v>2.1.04.010.1161</v>
          </cell>
          <cell r="C1259" t="str">
            <v xml:space="preserve">PHARMA LOG PRODUTOS </v>
          </cell>
          <cell r="D1259">
            <v>15886.17</v>
          </cell>
          <cell r="E1259" t="str">
            <v>C</v>
          </cell>
          <cell r="G1259">
            <v>15886.17</v>
          </cell>
          <cell r="H1259">
            <v>676.15</v>
          </cell>
          <cell r="I1259">
            <v>-15210.02</v>
          </cell>
          <cell r="J1259">
            <v>676.15</v>
          </cell>
          <cell r="K1259" t="str">
            <v>C</v>
          </cell>
        </row>
        <row r="1260">
          <cell r="A1260">
            <v>37093</v>
          </cell>
          <cell r="B1260" t="str">
            <v>2.1.04.010.1162</v>
          </cell>
          <cell r="C1260" t="str">
            <v xml:space="preserve">BONE SURGICAL VALE </v>
          </cell>
          <cell r="D1260">
            <v>133445.38</v>
          </cell>
          <cell r="E1260" t="str">
            <v>C</v>
          </cell>
          <cell r="G1260">
            <v>28701.67</v>
          </cell>
          <cell r="H1260">
            <v>45270</v>
          </cell>
          <cell r="I1260">
            <v>16568.330000000002</v>
          </cell>
          <cell r="J1260">
            <v>150013.71</v>
          </cell>
          <cell r="K1260" t="str">
            <v>C</v>
          </cell>
        </row>
        <row r="1261">
          <cell r="A1261">
            <v>54575</v>
          </cell>
          <cell r="B1261" t="str">
            <v>2.1.04.010.1164</v>
          </cell>
          <cell r="C1261" t="str">
            <v xml:space="preserve">FIXEN MED COMERCIAL E </v>
          </cell>
          <cell r="D1261">
            <v>28612.5</v>
          </cell>
          <cell r="E1261" t="str">
            <v>C</v>
          </cell>
          <cell r="G1261">
            <v>12262.5</v>
          </cell>
          <cell r="H1261">
            <v>89900</v>
          </cell>
          <cell r="I1261">
            <v>77637.5</v>
          </cell>
          <cell r="J1261">
            <v>106250</v>
          </cell>
          <cell r="K1261" t="str">
            <v>C</v>
          </cell>
        </row>
        <row r="1262">
          <cell r="A1262">
            <v>54578</v>
          </cell>
          <cell r="B1262" t="str">
            <v>2.1.04.010.1165</v>
          </cell>
          <cell r="C1262" t="str">
            <v xml:space="preserve">TRES PHARMA </v>
          </cell>
          <cell r="D1262">
            <v>24059.58</v>
          </cell>
          <cell r="E1262" t="str">
            <v>C</v>
          </cell>
          <cell r="G1262">
            <v>17129.580000000002</v>
          </cell>
          <cell r="H1262">
            <v>0</v>
          </cell>
          <cell r="I1262">
            <v>-17129.580000000002</v>
          </cell>
          <cell r="J1262">
            <v>6930</v>
          </cell>
          <cell r="K1262" t="str">
            <v>C</v>
          </cell>
        </row>
        <row r="1263">
          <cell r="A1263">
            <v>54581</v>
          </cell>
          <cell r="B1263" t="str">
            <v>2.1.04.010.1167</v>
          </cell>
          <cell r="C1263" t="str">
            <v xml:space="preserve">PREMIER PESCADOS </v>
          </cell>
          <cell r="D1263">
            <v>0</v>
          </cell>
          <cell r="E1263" t="str">
            <v>C</v>
          </cell>
          <cell r="G1263">
            <v>3500</v>
          </cell>
          <cell r="H1263">
            <v>3500</v>
          </cell>
          <cell r="I1263">
            <v>0</v>
          </cell>
          <cell r="J1263">
            <v>0</v>
          </cell>
          <cell r="K1263" t="str">
            <v>C</v>
          </cell>
        </row>
        <row r="1264">
          <cell r="A1264">
            <v>54606</v>
          </cell>
          <cell r="B1264" t="str">
            <v>2.1.04.010.1171</v>
          </cell>
          <cell r="C1264" t="str">
            <v xml:space="preserve">MF MEDICAL IMPORTACAO E </v>
          </cell>
          <cell r="D1264">
            <v>14626.06</v>
          </cell>
          <cell r="E1264" t="str">
            <v>C</v>
          </cell>
          <cell r="G1264">
            <v>9745.08</v>
          </cell>
          <cell r="H1264">
            <v>0</v>
          </cell>
          <cell r="I1264">
            <v>-9745.08</v>
          </cell>
          <cell r="J1264">
            <v>4880.9799999999996</v>
          </cell>
          <cell r="K1264" t="str">
            <v>C</v>
          </cell>
        </row>
        <row r="1265">
          <cell r="A1265">
            <v>54607</v>
          </cell>
          <cell r="B1265" t="str">
            <v>2.1.04.010.1172</v>
          </cell>
          <cell r="C1265" t="str">
            <v xml:space="preserve">WOLFORD MEDICAL </v>
          </cell>
          <cell r="D1265">
            <v>60100</v>
          </cell>
          <cell r="E1265" t="str">
            <v>C</v>
          </cell>
          <cell r="G1265">
            <v>18742.84</v>
          </cell>
          <cell r="H1265">
            <v>88850</v>
          </cell>
          <cell r="I1265">
            <v>70107.16</v>
          </cell>
          <cell r="J1265">
            <v>130207.16</v>
          </cell>
          <cell r="K1265" t="str">
            <v>C</v>
          </cell>
        </row>
        <row r="1266">
          <cell r="A1266">
            <v>54615</v>
          </cell>
          <cell r="B1266" t="str">
            <v>2.1.04.010.1180</v>
          </cell>
          <cell r="C1266" t="str">
            <v xml:space="preserve">I-MEDIC COMERCIO DE </v>
          </cell>
          <cell r="D1266">
            <v>179440</v>
          </cell>
          <cell r="E1266" t="str">
            <v>C</v>
          </cell>
          <cell r="G1266">
            <v>128147.5</v>
          </cell>
          <cell r="H1266">
            <v>254100</v>
          </cell>
          <cell r="I1266">
            <v>125952.5</v>
          </cell>
          <cell r="J1266">
            <v>305392.5</v>
          </cell>
          <cell r="K1266" t="str">
            <v>C</v>
          </cell>
        </row>
        <row r="1267">
          <cell r="A1267">
            <v>54618</v>
          </cell>
          <cell r="B1267" t="str">
            <v>2.1.04.010.1181</v>
          </cell>
          <cell r="C1267" t="str">
            <v xml:space="preserve">RITMO SINUSAL COMERCIO E </v>
          </cell>
          <cell r="D1267">
            <v>0</v>
          </cell>
          <cell r="E1267" t="str">
            <v>C</v>
          </cell>
          <cell r="G1267">
            <v>0</v>
          </cell>
          <cell r="H1267">
            <v>24300</v>
          </cell>
          <cell r="I1267">
            <v>24300</v>
          </cell>
          <cell r="J1267">
            <v>24300</v>
          </cell>
          <cell r="K1267" t="str">
            <v>C</v>
          </cell>
        </row>
        <row r="1268">
          <cell r="A1268">
            <v>54619</v>
          </cell>
          <cell r="B1268" t="str">
            <v>2.1.04.010.1182</v>
          </cell>
          <cell r="C1268" t="str">
            <v xml:space="preserve">MM MEDICAL PRODUTOS </v>
          </cell>
          <cell r="D1268">
            <v>0</v>
          </cell>
          <cell r="E1268" t="str">
            <v>C</v>
          </cell>
          <cell r="G1268">
            <v>0</v>
          </cell>
          <cell r="H1268">
            <v>2478</v>
          </cell>
          <cell r="I1268">
            <v>2478</v>
          </cell>
          <cell r="J1268">
            <v>2478</v>
          </cell>
          <cell r="K1268" t="str">
            <v>C</v>
          </cell>
        </row>
        <row r="1269">
          <cell r="A1269">
            <v>38309</v>
          </cell>
          <cell r="B1269" t="str">
            <v>2.1.04.010.1187</v>
          </cell>
          <cell r="C1269" t="str">
            <v>NUTRIPORT COMERCIAL LTDA</v>
          </cell>
          <cell r="D1269">
            <v>20153.650000000001</v>
          </cell>
          <cell r="E1269" t="str">
            <v>C</v>
          </cell>
          <cell r="G1269">
            <v>20153.650000000001</v>
          </cell>
          <cell r="H1269">
            <v>9445.75</v>
          </cell>
          <cell r="I1269">
            <v>-10707.9</v>
          </cell>
          <cell r="J1269">
            <v>9445.75</v>
          </cell>
          <cell r="K1269" t="str">
            <v>C</v>
          </cell>
        </row>
        <row r="1270">
          <cell r="A1270">
            <v>54642</v>
          </cell>
          <cell r="B1270" t="str">
            <v>2.1.04.010.1190</v>
          </cell>
          <cell r="C1270" t="str">
            <v xml:space="preserve">MEDICALL FARMA </v>
          </cell>
          <cell r="D1270">
            <v>634.20000000000005</v>
          </cell>
          <cell r="E1270" t="str">
            <v>C</v>
          </cell>
          <cell r="G1270">
            <v>634.20000000000005</v>
          </cell>
          <cell r="H1270">
            <v>634.20000000000005</v>
          </cell>
          <cell r="I1270">
            <v>0</v>
          </cell>
          <cell r="J1270">
            <v>634.20000000000005</v>
          </cell>
          <cell r="K1270" t="str">
            <v>C</v>
          </cell>
        </row>
        <row r="1271">
          <cell r="A1271">
            <v>54644</v>
          </cell>
          <cell r="B1271" t="str">
            <v>2.1.04.010.1194</v>
          </cell>
          <cell r="C1271" t="str">
            <v xml:space="preserve">BRAZMIX COMERCIO </v>
          </cell>
          <cell r="D1271">
            <v>9025</v>
          </cell>
          <cell r="E1271" t="str">
            <v>C</v>
          </cell>
          <cell r="G1271">
            <v>9230</v>
          </cell>
          <cell r="H1271">
            <v>12105.3</v>
          </cell>
          <cell r="I1271">
            <v>2875.3</v>
          </cell>
          <cell r="J1271">
            <v>11900.3</v>
          </cell>
          <cell r="K1271" t="str">
            <v>C</v>
          </cell>
        </row>
        <row r="1272">
          <cell r="A1272">
            <v>52110</v>
          </cell>
          <cell r="B1272" t="str">
            <v>2.1.04.010.1195</v>
          </cell>
          <cell r="C1272" t="str">
            <v xml:space="preserve">PLANTAO MEDICO </v>
          </cell>
          <cell r="D1272">
            <v>26445</v>
          </cell>
          <cell r="E1272" t="str">
            <v>C</v>
          </cell>
          <cell r="G1272">
            <v>19280</v>
          </cell>
          <cell r="H1272">
            <v>18770</v>
          </cell>
          <cell r="I1272">
            <v>-510</v>
          </cell>
          <cell r="J1272">
            <v>25935</v>
          </cell>
          <cell r="K1272" t="str">
            <v>C</v>
          </cell>
        </row>
        <row r="1273">
          <cell r="A1273">
            <v>54021</v>
          </cell>
          <cell r="B1273" t="str">
            <v>2.1.04.010.1196</v>
          </cell>
          <cell r="C1273" t="str">
            <v>R.T. ROSA &amp; CIA. LTDA</v>
          </cell>
          <cell r="D1273">
            <v>0</v>
          </cell>
          <cell r="E1273" t="str">
            <v>C</v>
          </cell>
          <cell r="G1273">
            <v>1020</v>
          </cell>
          <cell r="H1273">
            <v>1020</v>
          </cell>
          <cell r="I1273">
            <v>0</v>
          </cell>
          <cell r="J1273">
            <v>0</v>
          </cell>
          <cell r="K1273" t="str">
            <v>C</v>
          </cell>
        </row>
        <row r="1274">
          <cell r="A1274">
            <v>54584</v>
          </cell>
          <cell r="B1274" t="str">
            <v>2.1.04.010.1198</v>
          </cell>
          <cell r="C1274" t="str">
            <v xml:space="preserve">CESAR AUGUSTO DEMETRIO </v>
          </cell>
          <cell r="D1274">
            <v>37520.080000000002</v>
          </cell>
          <cell r="E1274" t="str">
            <v>C</v>
          </cell>
          <cell r="G1274">
            <v>34470.080000000002</v>
          </cell>
          <cell r="H1274">
            <v>35611.72</v>
          </cell>
          <cell r="I1274">
            <v>1141.6400000000001</v>
          </cell>
          <cell r="J1274">
            <v>38661.72</v>
          </cell>
          <cell r="K1274" t="str">
            <v>C</v>
          </cell>
        </row>
        <row r="1275">
          <cell r="A1275">
            <v>52794</v>
          </cell>
          <cell r="B1275" t="str">
            <v>2.1.04.010.1205</v>
          </cell>
          <cell r="C1275" t="str">
            <v>HOSPYTALY LTDA ME</v>
          </cell>
          <cell r="D1275">
            <v>2526.66</v>
          </cell>
          <cell r="E1275" t="str">
            <v>C</v>
          </cell>
          <cell r="G1275">
            <v>2526.66</v>
          </cell>
          <cell r="H1275">
            <v>18192</v>
          </cell>
          <cell r="I1275">
            <v>15665.34</v>
          </cell>
          <cell r="J1275">
            <v>18192</v>
          </cell>
          <cell r="K1275" t="str">
            <v>C</v>
          </cell>
        </row>
        <row r="1276">
          <cell r="A1276">
            <v>54645</v>
          </cell>
          <cell r="B1276" t="str">
            <v>2.1.04.010.1206</v>
          </cell>
          <cell r="C1276" t="str">
            <v xml:space="preserve">MEDICSOLUTION PRODUTOS </v>
          </cell>
          <cell r="D1276">
            <v>32074.31</v>
          </cell>
          <cell r="E1276" t="str">
            <v>C</v>
          </cell>
          <cell r="G1276">
            <v>32074.31</v>
          </cell>
          <cell r="H1276">
            <v>4281.0600000000004</v>
          </cell>
          <cell r="I1276">
            <v>-27793.25</v>
          </cell>
          <cell r="J1276">
            <v>4281.0600000000004</v>
          </cell>
          <cell r="K1276" t="str">
            <v>C</v>
          </cell>
        </row>
        <row r="1277">
          <cell r="A1277">
            <v>54647</v>
          </cell>
          <cell r="B1277" t="str">
            <v>2.1.04.010.1207</v>
          </cell>
          <cell r="C1277" t="str">
            <v xml:space="preserve">COMERCIAL PR MENDONCA </v>
          </cell>
          <cell r="D1277">
            <v>22647.4</v>
          </cell>
          <cell r="E1277" t="str">
            <v>C</v>
          </cell>
          <cell r="G1277">
            <v>21420.54</v>
          </cell>
          <cell r="H1277">
            <v>8604.36</v>
          </cell>
          <cell r="I1277">
            <v>-12816.18</v>
          </cell>
          <cell r="J1277">
            <v>9831.2199999999993</v>
          </cell>
          <cell r="K1277" t="str">
            <v>C</v>
          </cell>
        </row>
        <row r="1278">
          <cell r="A1278">
            <v>54689</v>
          </cell>
          <cell r="B1278" t="str">
            <v>2.1.04.010.1217</v>
          </cell>
          <cell r="C1278" t="str">
            <v xml:space="preserve">MEDPEJ - EQUIPAMENTOS </v>
          </cell>
          <cell r="D1278">
            <v>0</v>
          </cell>
          <cell r="E1278" t="str">
            <v>C</v>
          </cell>
          <cell r="G1278">
            <v>153</v>
          </cell>
          <cell r="H1278">
            <v>153</v>
          </cell>
          <cell r="I1278">
            <v>0</v>
          </cell>
          <cell r="J1278">
            <v>0</v>
          </cell>
          <cell r="K1278" t="str">
            <v>C</v>
          </cell>
        </row>
        <row r="1279">
          <cell r="A1279">
            <v>54710</v>
          </cell>
          <cell r="B1279" t="str">
            <v>2.1.04.010.1221</v>
          </cell>
          <cell r="C1279" t="str">
            <v xml:space="preserve">EMPORIO MEGA 100 </v>
          </cell>
          <cell r="D1279">
            <v>55806.7</v>
          </cell>
          <cell r="E1279" t="str">
            <v>C</v>
          </cell>
          <cell r="G1279">
            <v>55806.7</v>
          </cell>
          <cell r="H1279">
            <v>0</v>
          </cell>
          <cell r="I1279">
            <v>-55806.7</v>
          </cell>
          <cell r="J1279">
            <v>0</v>
          </cell>
          <cell r="K1279" t="str">
            <v>C</v>
          </cell>
        </row>
        <row r="1280">
          <cell r="A1280">
            <v>53427</v>
          </cell>
          <cell r="B1280" t="str">
            <v>2.1.04.010.1224</v>
          </cell>
          <cell r="C1280" t="str">
            <v xml:space="preserve">NEUROMEDIC COMERCIO DE </v>
          </cell>
          <cell r="D1280">
            <v>0</v>
          </cell>
          <cell r="E1280" t="str">
            <v>C</v>
          </cell>
          <cell r="G1280">
            <v>0</v>
          </cell>
          <cell r="H1280">
            <v>53302</v>
          </cell>
          <cell r="I1280">
            <v>53302</v>
          </cell>
          <cell r="J1280">
            <v>53302</v>
          </cell>
          <cell r="K1280" t="str">
            <v>C</v>
          </cell>
        </row>
        <row r="1281">
          <cell r="A1281">
            <v>32470</v>
          </cell>
          <cell r="B1281" t="str">
            <v>2.1.04.010.1230</v>
          </cell>
          <cell r="C1281" t="str">
            <v xml:space="preserve">COML.COMMED PRODUTOS </v>
          </cell>
          <cell r="D1281">
            <v>4800</v>
          </cell>
          <cell r="E1281" t="str">
            <v>C</v>
          </cell>
          <cell r="G1281">
            <v>4800</v>
          </cell>
          <cell r="H1281">
            <v>0</v>
          </cell>
          <cell r="I1281">
            <v>-4800</v>
          </cell>
          <cell r="J1281">
            <v>0</v>
          </cell>
          <cell r="K1281" t="str">
            <v>C</v>
          </cell>
        </row>
        <row r="1282">
          <cell r="A1282">
            <v>54739</v>
          </cell>
          <cell r="B1282" t="str">
            <v>2.1.04.010.1234</v>
          </cell>
          <cell r="C1282" t="str">
            <v xml:space="preserve">BUNZL EQUIPAMENTOS PARA </v>
          </cell>
          <cell r="D1282">
            <v>5500.7</v>
          </cell>
          <cell r="E1282" t="str">
            <v>C</v>
          </cell>
          <cell r="G1282">
            <v>3667.14</v>
          </cell>
          <cell r="H1282">
            <v>0</v>
          </cell>
          <cell r="I1282">
            <v>-3667.14</v>
          </cell>
          <cell r="J1282">
            <v>1833.56</v>
          </cell>
          <cell r="K1282" t="str">
            <v>C</v>
          </cell>
        </row>
        <row r="1283">
          <cell r="A1283">
            <v>54755</v>
          </cell>
          <cell r="B1283" t="str">
            <v>2.1.04.010.1240</v>
          </cell>
          <cell r="C1283" t="str">
            <v xml:space="preserve">ANDERSON ROBERTO DO </v>
          </cell>
          <cell r="D1283">
            <v>2250</v>
          </cell>
          <cell r="E1283" t="str">
            <v>C</v>
          </cell>
          <cell r="G1283">
            <v>2250</v>
          </cell>
          <cell r="H1283">
            <v>0</v>
          </cell>
          <cell r="I1283">
            <v>-2250</v>
          </cell>
          <cell r="J1283">
            <v>0</v>
          </cell>
          <cell r="K1283" t="str">
            <v>C</v>
          </cell>
        </row>
        <row r="1284">
          <cell r="A1284">
            <v>54759</v>
          </cell>
          <cell r="B1284" t="str">
            <v>2.1.04.010.1243</v>
          </cell>
          <cell r="C1284" t="str">
            <v>RAPHE MEDICAL LTDA</v>
          </cell>
          <cell r="D1284">
            <v>60228</v>
          </cell>
          <cell r="E1284" t="str">
            <v>C</v>
          </cell>
          <cell r="G1284">
            <v>20076</v>
          </cell>
          <cell r="H1284">
            <v>0</v>
          </cell>
          <cell r="I1284">
            <v>-20076</v>
          </cell>
          <cell r="J1284">
            <v>40152</v>
          </cell>
          <cell r="K1284" t="str">
            <v>C</v>
          </cell>
        </row>
        <row r="1285">
          <cell r="A1285">
            <v>3378</v>
          </cell>
          <cell r="B1285" t="str">
            <v>2.1.04.010.1246</v>
          </cell>
          <cell r="C1285" t="str">
            <v>RUSTON ALIMENTOS LTDA.</v>
          </cell>
          <cell r="D1285">
            <v>8185.74</v>
          </cell>
          <cell r="E1285" t="str">
            <v>C</v>
          </cell>
          <cell r="G1285">
            <v>8185.74</v>
          </cell>
          <cell r="H1285">
            <v>618.98</v>
          </cell>
          <cell r="I1285">
            <v>-7566.76</v>
          </cell>
          <cell r="J1285">
            <v>618.98</v>
          </cell>
          <cell r="K1285" t="str">
            <v>C</v>
          </cell>
        </row>
        <row r="1286">
          <cell r="A1286">
            <v>54781</v>
          </cell>
          <cell r="B1286" t="str">
            <v>2.1.04.010.1248</v>
          </cell>
          <cell r="C1286" t="str">
            <v xml:space="preserve">MGMED PRODUTOS </v>
          </cell>
          <cell r="D1286">
            <v>10476</v>
          </cell>
          <cell r="E1286" t="str">
            <v>C</v>
          </cell>
          <cell r="G1286">
            <v>6314.84</v>
          </cell>
          <cell r="H1286">
            <v>1782</v>
          </cell>
          <cell r="I1286">
            <v>-4532.84</v>
          </cell>
          <cell r="J1286">
            <v>5943.16</v>
          </cell>
          <cell r="K1286" t="str">
            <v>C</v>
          </cell>
        </row>
        <row r="1287">
          <cell r="A1287">
            <v>54782</v>
          </cell>
          <cell r="B1287" t="str">
            <v>2.1.04.010.1249</v>
          </cell>
          <cell r="C1287" t="str">
            <v>MAGAM TEXTIL EIRELI</v>
          </cell>
          <cell r="D1287">
            <v>1060</v>
          </cell>
          <cell r="E1287" t="str">
            <v>C</v>
          </cell>
          <cell r="G1287">
            <v>1060</v>
          </cell>
          <cell r="H1287">
            <v>0</v>
          </cell>
          <cell r="I1287">
            <v>-1060</v>
          </cell>
          <cell r="J1287">
            <v>0</v>
          </cell>
          <cell r="K1287" t="str">
            <v>C</v>
          </cell>
        </row>
        <row r="1288">
          <cell r="A1288">
            <v>54785</v>
          </cell>
          <cell r="B1288" t="str">
            <v>2.1.04.010.1252</v>
          </cell>
          <cell r="C1288" t="str">
            <v xml:space="preserve">MARIO DIITI IGARASHI E </v>
          </cell>
          <cell r="D1288">
            <v>1763.38</v>
          </cell>
          <cell r="E1288" t="str">
            <v>C</v>
          </cell>
          <cell r="G1288">
            <v>1763.38</v>
          </cell>
          <cell r="H1288">
            <v>1023.6</v>
          </cell>
          <cell r="I1288">
            <v>-739.78</v>
          </cell>
          <cell r="J1288">
            <v>1023.6</v>
          </cell>
          <cell r="K1288" t="str">
            <v>C</v>
          </cell>
        </row>
        <row r="1289">
          <cell r="A1289">
            <v>54796</v>
          </cell>
          <cell r="B1289" t="str">
            <v>2.1.04.010.1254</v>
          </cell>
          <cell r="C1289" t="str">
            <v xml:space="preserve">GENESIO A MENDES &amp; CIA </v>
          </cell>
          <cell r="D1289">
            <v>264556.71000000002</v>
          </cell>
          <cell r="E1289" t="str">
            <v>C</v>
          </cell>
          <cell r="G1289">
            <v>156840.34</v>
          </cell>
          <cell r="H1289">
            <v>266424.17</v>
          </cell>
          <cell r="I1289">
            <v>109583.83</v>
          </cell>
          <cell r="J1289">
            <v>374140.54</v>
          </cell>
          <cell r="K1289" t="str">
            <v>C</v>
          </cell>
        </row>
        <row r="1290">
          <cell r="A1290">
            <v>54797</v>
          </cell>
          <cell r="B1290" t="str">
            <v>2.1.04.010.1255</v>
          </cell>
          <cell r="C1290" t="str">
            <v>G C CARVALHO NUTRICAO</v>
          </cell>
          <cell r="D1290">
            <v>0</v>
          </cell>
          <cell r="E1290" t="str">
            <v>C</v>
          </cell>
          <cell r="G1290">
            <v>8653</v>
          </cell>
          <cell r="H1290">
            <v>8653</v>
          </cell>
          <cell r="I1290">
            <v>0</v>
          </cell>
          <cell r="J1290">
            <v>0</v>
          </cell>
          <cell r="K1290" t="str">
            <v>C</v>
          </cell>
        </row>
        <row r="1291">
          <cell r="A1291">
            <v>54798</v>
          </cell>
          <cell r="B1291" t="str">
            <v>2.1.04.010.1256</v>
          </cell>
          <cell r="C1291" t="str">
            <v>BCN DROGARIA LTDA</v>
          </cell>
          <cell r="D1291">
            <v>5749.53</v>
          </cell>
          <cell r="E1291" t="str">
            <v>C</v>
          </cell>
          <cell r="G1291">
            <v>5749.53</v>
          </cell>
          <cell r="H1291">
            <v>5000</v>
          </cell>
          <cell r="I1291">
            <v>-749.53</v>
          </cell>
          <cell r="J1291">
            <v>5000</v>
          </cell>
          <cell r="K1291" t="str">
            <v>C</v>
          </cell>
        </row>
        <row r="1292">
          <cell r="A1292">
            <v>54799</v>
          </cell>
          <cell r="B1292" t="str">
            <v>2.1.04.010.1257</v>
          </cell>
          <cell r="C1292" t="str">
            <v xml:space="preserve">VISAFARMA PRODUTOS </v>
          </cell>
          <cell r="D1292">
            <v>1860.4</v>
          </cell>
          <cell r="E1292" t="str">
            <v>C</v>
          </cell>
          <cell r="G1292">
            <v>2020.52</v>
          </cell>
          <cell r="H1292">
            <v>220.43</v>
          </cell>
          <cell r="I1292">
            <v>-1800.09</v>
          </cell>
          <cell r="J1292">
            <v>60.31</v>
          </cell>
          <cell r="K1292" t="str">
            <v>C</v>
          </cell>
        </row>
        <row r="1293">
          <cell r="A1293">
            <v>34055</v>
          </cell>
          <cell r="B1293" t="str">
            <v>2.1.04.010.1258</v>
          </cell>
          <cell r="C1293" t="str">
            <v>4BIO MEDICAMENTOS LTDA</v>
          </cell>
          <cell r="D1293">
            <v>110966.63</v>
          </cell>
          <cell r="E1293" t="str">
            <v>C</v>
          </cell>
          <cell r="G1293">
            <v>41873.71</v>
          </cell>
          <cell r="H1293">
            <v>115040.04</v>
          </cell>
          <cell r="I1293">
            <v>73166.33</v>
          </cell>
          <cell r="J1293">
            <v>184132.96</v>
          </cell>
          <cell r="K1293" t="str">
            <v>C</v>
          </cell>
        </row>
        <row r="1294">
          <cell r="A1294">
            <v>54806</v>
          </cell>
          <cell r="B1294" t="str">
            <v>2.1.04.010.1261</v>
          </cell>
          <cell r="C1294" t="str">
            <v xml:space="preserve">EASY FARMA COMERCIO DE </v>
          </cell>
          <cell r="D1294">
            <v>13953.93</v>
          </cell>
          <cell r="E1294" t="str">
            <v>C</v>
          </cell>
          <cell r="G1294">
            <v>13953.93</v>
          </cell>
          <cell r="H1294">
            <v>21297.1</v>
          </cell>
          <cell r="I1294">
            <v>7343.17</v>
          </cell>
          <cell r="J1294">
            <v>21297.1</v>
          </cell>
          <cell r="K1294" t="str">
            <v>C</v>
          </cell>
        </row>
        <row r="1295">
          <cell r="A1295">
            <v>33613</v>
          </cell>
          <cell r="B1295" t="str">
            <v>2.1.04.010.1266</v>
          </cell>
          <cell r="C1295" t="str">
            <v xml:space="preserve">COLLECT IMP. E COMERCIO </v>
          </cell>
          <cell r="D1295">
            <v>7330.56</v>
          </cell>
          <cell r="E1295" t="str">
            <v>C</v>
          </cell>
          <cell r="G1295">
            <v>7330.56</v>
          </cell>
          <cell r="H1295">
            <v>29815.919999999998</v>
          </cell>
          <cell r="I1295">
            <v>22485.360000000001</v>
          </cell>
          <cell r="J1295">
            <v>29815.919999999998</v>
          </cell>
          <cell r="K1295" t="str">
            <v>C</v>
          </cell>
        </row>
        <row r="1296">
          <cell r="A1296">
            <v>54819</v>
          </cell>
          <cell r="B1296" t="str">
            <v>2.1.04.010.1270</v>
          </cell>
          <cell r="C1296" t="str">
            <v xml:space="preserve">ALRAN COMERCIO DE </v>
          </cell>
          <cell r="D1296">
            <v>4484</v>
          </cell>
          <cell r="E1296" t="str">
            <v>C</v>
          </cell>
          <cell r="G1296">
            <v>4484</v>
          </cell>
          <cell r="H1296">
            <v>3524</v>
          </cell>
          <cell r="I1296">
            <v>-960</v>
          </cell>
          <cell r="J1296">
            <v>3524</v>
          </cell>
          <cell r="K1296" t="str">
            <v>C</v>
          </cell>
        </row>
        <row r="1297">
          <cell r="A1297">
            <v>54836</v>
          </cell>
          <cell r="B1297" t="str">
            <v>2.1.04.010.1273</v>
          </cell>
          <cell r="C1297" t="str">
            <v xml:space="preserve">MULTICOMPANY BRASIL </v>
          </cell>
          <cell r="D1297">
            <v>546.28</v>
          </cell>
          <cell r="E1297" t="str">
            <v>C</v>
          </cell>
          <cell r="G1297">
            <v>546.28</v>
          </cell>
          <cell r="H1297">
            <v>0</v>
          </cell>
          <cell r="I1297">
            <v>-546.28</v>
          </cell>
          <cell r="J1297">
            <v>0</v>
          </cell>
          <cell r="K1297" t="str">
            <v>C</v>
          </cell>
        </row>
        <row r="1298">
          <cell r="A1298">
            <v>54850</v>
          </cell>
          <cell r="B1298" t="str">
            <v>2.1.04.010.1285</v>
          </cell>
          <cell r="C1298" t="str">
            <v xml:space="preserve">INOMEDICAL COMERCIO DE </v>
          </cell>
          <cell r="D1298">
            <v>76095</v>
          </cell>
          <cell r="E1298" t="str">
            <v>C</v>
          </cell>
          <cell r="G1298">
            <v>33820</v>
          </cell>
          <cell r="H1298">
            <v>0</v>
          </cell>
          <cell r="I1298">
            <v>-33820</v>
          </cell>
          <cell r="J1298">
            <v>42275</v>
          </cell>
          <cell r="K1298" t="str">
            <v>C</v>
          </cell>
        </row>
        <row r="1299">
          <cell r="A1299">
            <v>54858</v>
          </cell>
          <cell r="B1299" t="str">
            <v>2.1.04.010.1292</v>
          </cell>
          <cell r="C1299" t="str">
            <v xml:space="preserve">SUPRICORP SUPRIMENTOS </v>
          </cell>
          <cell r="D1299">
            <v>2570.19</v>
          </cell>
          <cell r="E1299" t="str">
            <v>C</v>
          </cell>
          <cell r="G1299">
            <v>2237.19</v>
          </cell>
          <cell r="H1299">
            <v>1793.09</v>
          </cell>
          <cell r="I1299">
            <v>-444.1</v>
          </cell>
          <cell r="J1299">
            <v>2126.09</v>
          </cell>
          <cell r="K1299" t="str">
            <v>C</v>
          </cell>
        </row>
        <row r="1300">
          <cell r="A1300">
            <v>54859</v>
          </cell>
          <cell r="B1300" t="str">
            <v>2.1.04.010.1293</v>
          </cell>
          <cell r="C1300" t="str">
            <v xml:space="preserve">SANTOS TECHNOLOGIA </v>
          </cell>
          <cell r="D1300">
            <v>73104</v>
          </cell>
          <cell r="E1300" t="str">
            <v>C</v>
          </cell>
          <cell r="G1300">
            <v>18276</v>
          </cell>
          <cell r="H1300">
            <v>0</v>
          </cell>
          <cell r="I1300">
            <v>-18276</v>
          </cell>
          <cell r="J1300">
            <v>54828</v>
          </cell>
          <cell r="K1300" t="str">
            <v>C</v>
          </cell>
        </row>
        <row r="1301">
          <cell r="A1301">
            <v>54860</v>
          </cell>
          <cell r="B1301" t="str">
            <v>2.1.04.010.1294</v>
          </cell>
          <cell r="C1301" t="str">
            <v xml:space="preserve">DUTO IMPORTACAO, </v>
          </cell>
          <cell r="D1301">
            <v>0</v>
          </cell>
          <cell r="E1301" t="str">
            <v>C</v>
          </cell>
          <cell r="G1301">
            <v>354.8</v>
          </cell>
          <cell r="H1301">
            <v>354.8</v>
          </cell>
          <cell r="I1301">
            <v>0</v>
          </cell>
          <cell r="J1301">
            <v>0</v>
          </cell>
          <cell r="K1301" t="str">
            <v>C</v>
          </cell>
        </row>
        <row r="1302">
          <cell r="A1302">
            <v>54868</v>
          </cell>
          <cell r="B1302" t="str">
            <v>2.1.04.010.1303</v>
          </cell>
          <cell r="C1302" t="str">
            <v xml:space="preserve">3D MEDICAL IMPORTACAO E </v>
          </cell>
          <cell r="D1302">
            <v>293085.08</v>
          </cell>
          <cell r="E1302" t="str">
            <v>C</v>
          </cell>
          <cell r="G1302">
            <v>124804.56</v>
          </cell>
          <cell r="H1302">
            <v>73654.259999999995</v>
          </cell>
          <cell r="I1302">
            <v>-51150.3</v>
          </cell>
          <cell r="J1302">
            <v>241934.78</v>
          </cell>
          <cell r="K1302" t="str">
            <v>C</v>
          </cell>
        </row>
        <row r="1303">
          <cell r="A1303">
            <v>54870</v>
          </cell>
          <cell r="B1303" t="str">
            <v>2.1.04.010.1305</v>
          </cell>
          <cell r="C1303" t="str">
            <v xml:space="preserve">IMPERIOMED DISTRIBUIDORA </v>
          </cell>
          <cell r="D1303">
            <v>399</v>
          </cell>
          <cell r="E1303" t="str">
            <v>C</v>
          </cell>
          <cell r="G1303">
            <v>399</v>
          </cell>
          <cell r="H1303">
            <v>0</v>
          </cell>
          <cell r="I1303">
            <v>-399</v>
          </cell>
          <cell r="J1303">
            <v>0</v>
          </cell>
          <cell r="K1303" t="str">
            <v>C</v>
          </cell>
        </row>
        <row r="1304">
          <cell r="A1304">
            <v>54878</v>
          </cell>
          <cell r="B1304" t="str">
            <v>2.1.04.010.1307</v>
          </cell>
          <cell r="C1304" t="str">
            <v xml:space="preserve">ABLACOR COMERCIO E </v>
          </cell>
          <cell r="D1304">
            <v>3750</v>
          </cell>
          <cell r="E1304" t="str">
            <v>C</v>
          </cell>
          <cell r="G1304">
            <v>3750</v>
          </cell>
          <cell r="H1304">
            <v>0</v>
          </cell>
          <cell r="I1304">
            <v>-3750</v>
          </cell>
          <cell r="J1304">
            <v>0</v>
          </cell>
          <cell r="K1304" t="str">
            <v>C</v>
          </cell>
        </row>
        <row r="1305">
          <cell r="A1305">
            <v>54896</v>
          </cell>
          <cell r="B1305" t="str">
            <v>2.1.04.010.1311</v>
          </cell>
          <cell r="C1305" t="str">
            <v xml:space="preserve">EDWARDS LIFESCIENCES </v>
          </cell>
          <cell r="D1305">
            <v>7610</v>
          </cell>
          <cell r="E1305" t="str">
            <v>C</v>
          </cell>
          <cell r="G1305">
            <v>7610</v>
          </cell>
          <cell r="H1305">
            <v>9580</v>
          </cell>
          <cell r="I1305">
            <v>1970</v>
          </cell>
          <cell r="J1305">
            <v>9580</v>
          </cell>
          <cell r="K1305" t="str">
            <v>C</v>
          </cell>
        </row>
        <row r="1306">
          <cell r="A1306">
            <v>54901</v>
          </cell>
          <cell r="B1306" t="str">
            <v>2.1.04.010.1313</v>
          </cell>
          <cell r="C1306" t="str">
            <v>ENVA MEDICAL LTDA</v>
          </cell>
          <cell r="D1306">
            <v>0</v>
          </cell>
          <cell r="E1306" t="str">
            <v>C</v>
          </cell>
          <cell r="G1306">
            <v>0</v>
          </cell>
          <cell r="H1306">
            <v>1215.5999999999999</v>
          </cell>
          <cell r="I1306">
            <v>1215.5999999999999</v>
          </cell>
          <cell r="J1306">
            <v>1215.5999999999999</v>
          </cell>
          <cell r="K1306" t="str">
            <v>C</v>
          </cell>
        </row>
        <row r="1307">
          <cell r="A1307">
            <v>54903</v>
          </cell>
          <cell r="B1307" t="str">
            <v>2.1.04.010.1314</v>
          </cell>
          <cell r="C1307" t="str">
            <v xml:space="preserve">CREPMED COMERCIO DE </v>
          </cell>
          <cell r="D1307">
            <v>26442.7</v>
          </cell>
          <cell r="E1307" t="str">
            <v>C</v>
          </cell>
          <cell r="G1307">
            <v>7852.29</v>
          </cell>
          <cell r="H1307">
            <v>7585.57</v>
          </cell>
          <cell r="I1307">
            <v>-266.72000000000003</v>
          </cell>
          <cell r="J1307">
            <v>26175.98</v>
          </cell>
          <cell r="K1307" t="str">
            <v>C</v>
          </cell>
        </row>
        <row r="1308">
          <cell r="A1308">
            <v>54910</v>
          </cell>
          <cell r="B1308" t="str">
            <v>2.1.04.010.1319</v>
          </cell>
          <cell r="C1308" t="str">
            <v xml:space="preserve">CISCRE IMPORTACAO E </v>
          </cell>
          <cell r="D1308">
            <v>4350</v>
          </cell>
          <cell r="E1308" t="str">
            <v>C</v>
          </cell>
          <cell r="G1308">
            <v>0</v>
          </cell>
          <cell r="H1308">
            <v>7250</v>
          </cell>
          <cell r="I1308">
            <v>7250</v>
          </cell>
          <cell r="J1308">
            <v>11600</v>
          </cell>
          <cell r="K1308" t="str">
            <v>C</v>
          </cell>
        </row>
        <row r="1309">
          <cell r="A1309">
            <v>54911</v>
          </cell>
          <cell r="B1309" t="str">
            <v>2.1.04.010.1320</v>
          </cell>
          <cell r="C1309" t="str">
            <v xml:space="preserve">VIDA FORTE NUTRIENTES IND </v>
          </cell>
          <cell r="D1309">
            <v>3326.24</v>
          </cell>
          <cell r="E1309" t="str">
            <v>C</v>
          </cell>
          <cell r="G1309">
            <v>3326.24</v>
          </cell>
          <cell r="H1309">
            <v>2922</v>
          </cell>
          <cell r="I1309">
            <v>-404.24</v>
          </cell>
          <cell r="J1309">
            <v>2922</v>
          </cell>
          <cell r="K1309" t="str">
            <v>C</v>
          </cell>
        </row>
        <row r="1310">
          <cell r="A1310">
            <v>54927</v>
          </cell>
          <cell r="B1310" t="str">
            <v>2.1.04.010.1325</v>
          </cell>
          <cell r="C1310" t="str">
            <v xml:space="preserve">MED-EL DO BRASIL </v>
          </cell>
          <cell r="D1310">
            <v>109487.75</v>
          </cell>
          <cell r="E1310" t="str">
            <v>C</v>
          </cell>
          <cell r="G1310">
            <v>87590.2</v>
          </cell>
          <cell r="H1310">
            <v>0</v>
          </cell>
          <cell r="I1310">
            <v>-87590.2</v>
          </cell>
          <cell r="J1310">
            <v>21897.55</v>
          </cell>
          <cell r="K1310" t="str">
            <v>C</v>
          </cell>
        </row>
        <row r="1311">
          <cell r="A1311">
            <v>54953</v>
          </cell>
          <cell r="B1311" t="str">
            <v>2.1.04.010.1338</v>
          </cell>
          <cell r="C1311" t="str">
            <v xml:space="preserve">DIMASTER - COMERCIO DE </v>
          </cell>
          <cell r="D1311">
            <v>2088</v>
          </cell>
          <cell r="E1311" t="str">
            <v>C</v>
          </cell>
          <cell r="G1311">
            <v>2088</v>
          </cell>
          <cell r="H1311">
            <v>0</v>
          </cell>
          <cell r="I1311">
            <v>-2088</v>
          </cell>
          <cell r="J1311">
            <v>0</v>
          </cell>
          <cell r="K1311" t="str">
            <v>C</v>
          </cell>
        </row>
        <row r="1312">
          <cell r="A1312">
            <v>54972</v>
          </cell>
          <cell r="B1312" t="str">
            <v>2.1.04.010.1341</v>
          </cell>
          <cell r="C1312" t="str">
            <v xml:space="preserve">IMAGEM SISTEMAS MEDICOS </v>
          </cell>
          <cell r="D1312">
            <v>0</v>
          </cell>
          <cell r="E1312" t="str">
            <v>C</v>
          </cell>
          <cell r="G1312">
            <v>0</v>
          </cell>
          <cell r="H1312">
            <v>1840</v>
          </cell>
          <cell r="I1312">
            <v>1840</v>
          </cell>
          <cell r="J1312">
            <v>1840</v>
          </cell>
          <cell r="K1312" t="str">
            <v>C</v>
          </cell>
        </row>
        <row r="1313">
          <cell r="A1313">
            <v>54975</v>
          </cell>
          <cell r="B1313" t="str">
            <v>2.1.04.010.1344</v>
          </cell>
          <cell r="C1313" t="str">
            <v xml:space="preserve">SEOMYS COMUNICACAO </v>
          </cell>
          <cell r="D1313">
            <v>1515</v>
          </cell>
          <cell r="E1313" t="str">
            <v>C</v>
          </cell>
          <cell r="G1313">
            <v>1515</v>
          </cell>
          <cell r="H1313">
            <v>0</v>
          </cell>
          <cell r="I1313">
            <v>-1515</v>
          </cell>
          <cell r="J1313">
            <v>0</v>
          </cell>
          <cell r="K1313" t="str">
            <v>C</v>
          </cell>
        </row>
        <row r="1314">
          <cell r="A1314">
            <v>54983</v>
          </cell>
          <cell r="B1314" t="str">
            <v>2.1.04.010.1350</v>
          </cell>
          <cell r="C1314" t="str">
            <v xml:space="preserve">MARCOS ROBERTO DE </v>
          </cell>
          <cell r="D1314">
            <v>0</v>
          </cell>
          <cell r="E1314" t="str">
            <v>C</v>
          </cell>
          <cell r="G1314">
            <v>0</v>
          </cell>
          <cell r="H1314">
            <v>3780</v>
          </cell>
          <cell r="I1314">
            <v>3780</v>
          </cell>
          <cell r="J1314">
            <v>3780</v>
          </cell>
          <cell r="K1314" t="str">
            <v>C</v>
          </cell>
        </row>
        <row r="1315">
          <cell r="A1315">
            <v>55006</v>
          </cell>
          <cell r="B1315" t="str">
            <v>2.1.04.010.1362</v>
          </cell>
          <cell r="C1315" t="str">
            <v>SM PAIVA ELETRONICOS</v>
          </cell>
          <cell r="D1315">
            <v>2871.07</v>
          </cell>
          <cell r="E1315" t="str">
            <v>C</v>
          </cell>
          <cell r="G1315">
            <v>2871.07</v>
          </cell>
          <cell r="H1315">
            <v>1095</v>
          </cell>
          <cell r="I1315">
            <v>-1776.07</v>
          </cell>
          <cell r="J1315">
            <v>1095</v>
          </cell>
          <cell r="K1315" t="str">
            <v>C</v>
          </cell>
        </row>
        <row r="1316">
          <cell r="A1316">
            <v>55012</v>
          </cell>
          <cell r="B1316" t="str">
            <v>2.1.04.010.1364</v>
          </cell>
          <cell r="C1316" t="str">
            <v xml:space="preserve">ORTHO SYSTEM COMERCIO </v>
          </cell>
          <cell r="D1316">
            <v>0</v>
          </cell>
          <cell r="E1316" t="str">
            <v>C</v>
          </cell>
          <cell r="G1316">
            <v>0</v>
          </cell>
          <cell r="H1316">
            <v>101300</v>
          </cell>
          <cell r="I1316">
            <v>101300</v>
          </cell>
          <cell r="J1316">
            <v>101300</v>
          </cell>
          <cell r="K1316" t="str">
            <v>C</v>
          </cell>
        </row>
        <row r="1317">
          <cell r="A1317">
            <v>55015</v>
          </cell>
          <cell r="B1317" t="str">
            <v>2.1.04.010.1365</v>
          </cell>
          <cell r="C1317" t="str">
            <v>ORO TECNOLOGIA LTDA</v>
          </cell>
          <cell r="D1317">
            <v>6450</v>
          </cell>
          <cell r="E1317" t="str">
            <v>C</v>
          </cell>
          <cell r="G1317">
            <v>5145.26</v>
          </cell>
          <cell r="H1317">
            <v>8183</v>
          </cell>
          <cell r="I1317">
            <v>3037.74</v>
          </cell>
          <cell r="J1317">
            <v>9487.74</v>
          </cell>
          <cell r="K1317" t="str">
            <v>C</v>
          </cell>
        </row>
        <row r="1318">
          <cell r="A1318">
            <v>55044</v>
          </cell>
          <cell r="B1318" t="str">
            <v>2.1.04.010.1379</v>
          </cell>
          <cell r="C1318" t="str">
            <v xml:space="preserve">7 IMPLANTES COMERCIO DE </v>
          </cell>
          <cell r="D1318">
            <v>0</v>
          </cell>
          <cell r="E1318" t="str">
            <v>C</v>
          </cell>
          <cell r="G1318">
            <v>0</v>
          </cell>
          <cell r="H1318">
            <v>110310.85</v>
          </cell>
          <cell r="I1318">
            <v>110310.85</v>
          </cell>
          <cell r="J1318">
            <v>110310.85</v>
          </cell>
          <cell r="K1318" t="str">
            <v>C</v>
          </cell>
        </row>
        <row r="1319">
          <cell r="A1319">
            <v>55048</v>
          </cell>
          <cell r="B1319" t="str">
            <v>2.1.04.010.1382</v>
          </cell>
          <cell r="C1319" t="str">
            <v xml:space="preserve">CIAMED - DISTRIBUIDORA DE </v>
          </cell>
          <cell r="D1319">
            <v>7118.34</v>
          </cell>
          <cell r="E1319" t="str">
            <v>C</v>
          </cell>
          <cell r="G1319">
            <v>7083.98</v>
          </cell>
          <cell r="H1319">
            <v>2859</v>
          </cell>
          <cell r="I1319">
            <v>-4224.9799999999996</v>
          </cell>
          <cell r="J1319">
            <v>2893.36</v>
          </cell>
          <cell r="K1319" t="str">
            <v>C</v>
          </cell>
        </row>
        <row r="1320">
          <cell r="A1320">
            <v>55051</v>
          </cell>
          <cell r="B1320" t="str">
            <v>2.1.04.010.1383</v>
          </cell>
          <cell r="C1320" t="str">
            <v>BRASMED SUL ODONTO-</v>
          </cell>
          <cell r="D1320">
            <v>6680</v>
          </cell>
          <cell r="E1320" t="str">
            <v>C</v>
          </cell>
          <cell r="G1320">
            <v>4453.32</v>
          </cell>
          <cell r="H1320">
            <v>6680</v>
          </cell>
          <cell r="I1320">
            <v>2226.6799999999998</v>
          </cell>
          <cell r="J1320">
            <v>8906.68</v>
          </cell>
          <cell r="K1320" t="str">
            <v>C</v>
          </cell>
        </row>
        <row r="1321">
          <cell r="A1321">
            <v>55054</v>
          </cell>
          <cell r="B1321" t="str">
            <v>2.1.04.010.1384</v>
          </cell>
          <cell r="C1321" t="str">
            <v xml:space="preserve">POTENZA CELANO </v>
          </cell>
          <cell r="D1321">
            <v>0</v>
          </cell>
          <cell r="E1321" t="str">
            <v>C</v>
          </cell>
          <cell r="G1321">
            <v>0</v>
          </cell>
          <cell r="H1321">
            <v>185.52</v>
          </cell>
          <cell r="I1321">
            <v>185.52</v>
          </cell>
          <cell r="J1321">
            <v>185.52</v>
          </cell>
          <cell r="K1321" t="str">
            <v>C</v>
          </cell>
        </row>
        <row r="1322">
          <cell r="A1322">
            <v>55065</v>
          </cell>
          <cell r="B1322" t="str">
            <v>2.1.04.010.1393</v>
          </cell>
          <cell r="C1322" t="str">
            <v xml:space="preserve">MADSON FERNANDO </v>
          </cell>
          <cell r="D1322">
            <v>0</v>
          </cell>
          <cell r="E1322" t="str">
            <v>C</v>
          </cell>
          <cell r="G1322">
            <v>0</v>
          </cell>
          <cell r="H1322">
            <v>700</v>
          </cell>
          <cell r="I1322">
            <v>700</v>
          </cell>
          <cell r="J1322">
            <v>700</v>
          </cell>
          <cell r="K1322" t="str">
            <v>C</v>
          </cell>
        </row>
        <row r="1323">
          <cell r="A1323">
            <v>55072</v>
          </cell>
          <cell r="B1323" t="str">
            <v>2.1.04.010.1398</v>
          </cell>
          <cell r="C1323" t="str">
            <v xml:space="preserve">MEDSYSTEM EQUIPAMENTOS </v>
          </cell>
          <cell r="D1323">
            <v>1563.74</v>
          </cell>
          <cell r="E1323" t="str">
            <v>C</v>
          </cell>
          <cell r="G1323">
            <v>0</v>
          </cell>
          <cell r="H1323">
            <v>0</v>
          </cell>
          <cell r="I1323">
            <v>0</v>
          </cell>
          <cell r="J1323">
            <v>1563.74</v>
          </cell>
          <cell r="K1323" t="str">
            <v>C</v>
          </cell>
        </row>
        <row r="1324">
          <cell r="A1324">
            <v>55086</v>
          </cell>
          <cell r="B1324" t="str">
            <v>2.1.04.010.1400</v>
          </cell>
          <cell r="C1324" t="str">
            <v>M R DIAS ELETRONICA</v>
          </cell>
          <cell r="D1324">
            <v>2070</v>
          </cell>
          <cell r="E1324" t="str">
            <v>C</v>
          </cell>
          <cell r="G1324">
            <v>2070</v>
          </cell>
          <cell r="H1324">
            <v>1030</v>
          </cell>
          <cell r="I1324">
            <v>-1040</v>
          </cell>
          <cell r="J1324">
            <v>1030</v>
          </cell>
          <cell r="K1324" t="str">
            <v>C</v>
          </cell>
        </row>
        <row r="1325">
          <cell r="A1325">
            <v>37058</v>
          </cell>
          <cell r="B1325" t="str">
            <v>2.1.04.010.1406</v>
          </cell>
          <cell r="C1325" t="str">
            <v xml:space="preserve">FABRICA DE ARTEFATOS DE </v>
          </cell>
          <cell r="D1325">
            <v>0</v>
          </cell>
          <cell r="E1325" t="str">
            <v>C</v>
          </cell>
          <cell r="G1325">
            <v>0</v>
          </cell>
          <cell r="H1325">
            <v>476.78</v>
          </cell>
          <cell r="I1325">
            <v>476.78</v>
          </cell>
          <cell r="J1325">
            <v>476.78</v>
          </cell>
          <cell r="K1325" t="str">
            <v>C</v>
          </cell>
        </row>
        <row r="1326">
          <cell r="A1326">
            <v>55103</v>
          </cell>
          <cell r="B1326" t="str">
            <v>2.1.04.010.1414</v>
          </cell>
          <cell r="C1326" t="str">
            <v xml:space="preserve">MED CENTER COMERCIAL </v>
          </cell>
          <cell r="D1326">
            <v>92860.2</v>
          </cell>
          <cell r="E1326" t="str">
            <v>C</v>
          </cell>
          <cell r="G1326">
            <v>67637.55</v>
          </cell>
          <cell r="H1326">
            <v>97453.78</v>
          </cell>
          <cell r="I1326">
            <v>29816.23</v>
          </cell>
          <cell r="J1326">
            <v>122676.43</v>
          </cell>
          <cell r="K1326" t="str">
            <v>C</v>
          </cell>
        </row>
        <row r="1327">
          <cell r="A1327">
            <v>55116</v>
          </cell>
          <cell r="B1327" t="str">
            <v>2.1.04.010.1422</v>
          </cell>
          <cell r="C1327" t="str">
            <v xml:space="preserve">ONCOFARMA COMERCIO </v>
          </cell>
          <cell r="D1327">
            <v>22242.38</v>
          </cell>
          <cell r="E1327" t="str">
            <v>C</v>
          </cell>
          <cell r="G1327">
            <v>14932.39</v>
          </cell>
          <cell r="H1327">
            <v>10600</v>
          </cell>
          <cell r="I1327">
            <v>-4332.3900000000003</v>
          </cell>
          <cell r="J1327">
            <v>17909.990000000002</v>
          </cell>
          <cell r="K1327" t="str">
            <v>C</v>
          </cell>
        </row>
        <row r="1328">
          <cell r="A1328">
            <v>55121</v>
          </cell>
          <cell r="B1328" t="str">
            <v>2.1.04.010.1425</v>
          </cell>
          <cell r="C1328" t="str">
            <v xml:space="preserve">ALTAMEDICAL PRODUTOS </v>
          </cell>
          <cell r="D1328">
            <v>9530</v>
          </cell>
          <cell r="E1328" t="str">
            <v>C</v>
          </cell>
          <cell r="G1328">
            <v>0</v>
          </cell>
          <cell r="H1328">
            <v>48562</v>
          </cell>
          <cell r="I1328">
            <v>48562</v>
          </cell>
          <cell r="J1328">
            <v>58092</v>
          </cell>
          <cell r="K1328" t="str">
            <v>C</v>
          </cell>
        </row>
        <row r="1329">
          <cell r="A1329">
            <v>55122</v>
          </cell>
          <cell r="B1329" t="str">
            <v>2.1.04.010.1426</v>
          </cell>
          <cell r="C1329" t="str">
            <v xml:space="preserve">RIMEDUALC IMPORTACAO </v>
          </cell>
          <cell r="D1329">
            <v>298880.15000000002</v>
          </cell>
          <cell r="E1329" t="str">
            <v>C</v>
          </cell>
          <cell r="G1329">
            <v>118892.62</v>
          </cell>
          <cell r="H1329">
            <v>210400</v>
          </cell>
          <cell r="I1329">
            <v>91507.38</v>
          </cell>
          <cell r="J1329">
            <v>390387.53</v>
          </cell>
          <cell r="K1329" t="str">
            <v>C</v>
          </cell>
        </row>
        <row r="1330">
          <cell r="A1330">
            <v>55134</v>
          </cell>
          <cell r="B1330" t="str">
            <v>2.1.04.010.1434</v>
          </cell>
          <cell r="C1330" t="str">
            <v xml:space="preserve">JK DESCARTAVEIS TAUBATE </v>
          </cell>
          <cell r="D1330">
            <v>8958.3799999999992</v>
          </cell>
          <cell r="E1330" t="str">
            <v>C</v>
          </cell>
          <cell r="G1330">
            <v>6441.31</v>
          </cell>
          <cell r="H1330">
            <v>6930.94</v>
          </cell>
          <cell r="I1330">
            <v>489.63</v>
          </cell>
          <cell r="J1330">
            <v>9448.01</v>
          </cell>
          <cell r="K1330" t="str">
            <v>C</v>
          </cell>
        </row>
        <row r="1331">
          <cell r="A1331">
            <v>55158</v>
          </cell>
          <cell r="B1331" t="str">
            <v>2.1.04.010.1447</v>
          </cell>
          <cell r="C1331" t="str">
            <v xml:space="preserve">CASA DE CARNES MAJESTADE </v>
          </cell>
          <cell r="D1331">
            <v>11528</v>
          </cell>
          <cell r="E1331" t="str">
            <v>C</v>
          </cell>
          <cell r="G1331">
            <v>14857.08</v>
          </cell>
          <cell r="H1331">
            <v>6408.25</v>
          </cell>
          <cell r="I1331">
            <v>-8448.83</v>
          </cell>
          <cell r="J1331">
            <v>3079.17</v>
          </cell>
          <cell r="K1331" t="str">
            <v>C</v>
          </cell>
        </row>
        <row r="1332">
          <cell r="A1332">
            <v>55171</v>
          </cell>
          <cell r="B1332" t="str">
            <v>2.1.04.010.1450</v>
          </cell>
          <cell r="C1332" t="str">
            <v xml:space="preserve">ACO-FER COMERCIO DE </v>
          </cell>
          <cell r="D1332">
            <v>6256.1</v>
          </cell>
          <cell r="E1332" t="str">
            <v>C</v>
          </cell>
          <cell r="G1332">
            <v>6256.1</v>
          </cell>
          <cell r="H1332">
            <v>0</v>
          </cell>
          <cell r="I1332">
            <v>-6256.1</v>
          </cell>
          <cell r="J1332">
            <v>0</v>
          </cell>
          <cell r="K1332" t="str">
            <v>C</v>
          </cell>
        </row>
        <row r="1333">
          <cell r="A1333">
            <v>55174</v>
          </cell>
          <cell r="B1333" t="str">
            <v>2.1.04.010.1452</v>
          </cell>
          <cell r="C1333" t="str">
            <v xml:space="preserve">HOSPFAR INDUSTRIA E </v>
          </cell>
          <cell r="D1333">
            <v>8375.9599999999991</v>
          </cell>
          <cell r="E1333" t="str">
            <v>C</v>
          </cell>
          <cell r="G1333">
            <v>6091.86</v>
          </cell>
          <cell r="H1333">
            <v>668.1</v>
          </cell>
          <cell r="I1333">
            <v>-5423.76</v>
          </cell>
          <cell r="J1333">
            <v>2952.2</v>
          </cell>
          <cell r="K1333" t="str">
            <v>C</v>
          </cell>
        </row>
        <row r="1334">
          <cell r="A1334">
            <v>55186</v>
          </cell>
          <cell r="B1334" t="str">
            <v>2.1.04.010.1461</v>
          </cell>
          <cell r="C1334" t="str">
            <v xml:space="preserve">MOLNLYCKE HEALTH CARE </v>
          </cell>
          <cell r="D1334">
            <v>0</v>
          </cell>
          <cell r="E1334" t="str">
            <v>C</v>
          </cell>
          <cell r="G1334">
            <v>0</v>
          </cell>
          <cell r="H1334">
            <v>1331.42</v>
          </cell>
          <cell r="I1334">
            <v>1331.42</v>
          </cell>
          <cell r="J1334">
            <v>1331.42</v>
          </cell>
          <cell r="K1334" t="str">
            <v>C</v>
          </cell>
        </row>
        <row r="1335">
          <cell r="A1335">
            <v>55187</v>
          </cell>
          <cell r="B1335" t="str">
            <v>2.1.04.010.1462</v>
          </cell>
          <cell r="C1335" t="str">
            <v>MUNICIPIO DE TAUBATE</v>
          </cell>
          <cell r="D1335">
            <v>900</v>
          </cell>
          <cell r="E1335" t="str">
            <v>C</v>
          </cell>
          <cell r="G1335">
            <v>1062.19</v>
          </cell>
          <cell r="H1335">
            <v>162.19</v>
          </cell>
          <cell r="I1335">
            <v>-900</v>
          </cell>
          <cell r="J1335">
            <v>0</v>
          </cell>
          <cell r="K1335" t="str">
            <v>C</v>
          </cell>
        </row>
        <row r="1336">
          <cell r="A1336">
            <v>55193</v>
          </cell>
          <cell r="B1336" t="str">
            <v>2.1.04.010.1465</v>
          </cell>
          <cell r="C1336" t="str">
            <v xml:space="preserve">MOCH GROUP TECNOLOGIA </v>
          </cell>
          <cell r="D1336">
            <v>76856</v>
          </cell>
          <cell r="E1336" t="str">
            <v>C</v>
          </cell>
          <cell r="G1336">
            <v>10000</v>
          </cell>
          <cell r="H1336">
            <v>0</v>
          </cell>
          <cell r="I1336">
            <v>-10000</v>
          </cell>
          <cell r="J1336">
            <v>66856</v>
          </cell>
          <cell r="K1336" t="str">
            <v>C</v>
          </cell>
        </row>
        <row r="1337">
          <cell r="A1337">
            <v>55207</v>
          </cell>
          <cell r="B1337" t="str">
            <v>2.1.04.010.1478</v>
          </cell>
          <cell r="C1337" t="str">
            <v xml:space="preserve">PRECISION COMERCIAL </v>
          </cell>
          <cell r="D1337">
            <v>30993.7</v>
          </cell>
          <cell r="E1337" t="str">
            <v>C</v>
          </cell>
          <cell r="G1337">
            <v>33285.94</v>
          </cell>
          <cell r="H1337">
            <v>40434.800000000003</v>
          </cell>
          <cell r="I1337">
            <v>7148.86</v>
          </cell>
          <cell r="J1337">
            <v>38142.559999999998</v>
          </cell>
          <cell r="K1337" t="str">
            <v>C</v>
          </cell>
        </row>
        <row r="1338">
          <cell r="A1338">
            <v>55210</v>
          </cell>
          <cell r="B1338" t="str">
            <v>2.1.04.010.1481</v>
          </cell>
          <cell r="C1338" t="str">
            <v xml:space="preserve">DISK MED PADUA </v>
          </cell>
          <cell r="D1338">
            <v>3500.1</v>
          </cell>
          <cell r="E1338" t="str">
            <v>C</v>
          </cell>
          <cell r="G1338">
            <v>0</v>
          </cell>
          <cell r="H1338">
            <v>0</v>
          </cell>
          <cell r="I1338">
            <v>0</v>
          </cell>
          <cell r="J1338">
            <v>3500.1</v>
          </cell>
          <cell r="K1338" t="str">
            <v>C</v>
          </cell>
        </row>
        <row r="1339">
          <cell r="A1339">
            <v>55213</v>
          </cell>
          <cell r="B1339" t="str">
            <v>2.1.04.010.1484</v>
          </cell>
          <cell r="C1339" t="str">
            <v xml:space="preserve">MERCADINHO CASTANHEIRAS </v>
          </cell>
          <cell r="D1339">
            <v>15494.39</v>
          </cell>
          <cell r="E1339" t="str">
            <v>C</v>
          </cell>
          <cell r="G1339">
            <v>19825.61</v>
          </cell>
          <cell r="H1339">
            <v>14485.46</v>
          </cell>
          <cell r="I1339">
            <v>-5340.15</v>
          </cell>
          <cell r="J1339">
            <v>10154.24</v>
          </cell>
          <cell r="K1339" t="str">
            <v>C</v>
          </cell>
        </row>
        <row r="1340">
          <cell r="A1340">
            <v>55216</v>
          </cell>
          <cell r="B1340" t="str">
            <v>2.1.04.010.1487</v>
          </cell>
          <cell r="C1340" t="str">
            <v xml:space="preserve">SIM MEDICAL COMERCIO, </v>
          </cell>
          <cell r="D1340">
            <v>13500</v>
          </cell>
          <cell r="E1340" t="str">
            <v>C</v>
          </cell>
          <cell r="G1340">
            <v>13500</v>
          </cell>
          <cell r="H1340">
            <v>0</v>
          </cell>
          <cell r="I1340">
            <v>-13500</v>
          </cell>
          <cell r="J1340">
            <v>0</v>
          </cell>
          <cell r="K1340" t="str">
            <v>C</v>
          </cell>
        </row>
        <row r="1341">
          <cell r="A1341">
            <v>55218</v>
          </cell>
          <cell r="B1341" t="str">
            <v>2.1.04.010.1488</v>
          </cell>
          <cell r="C1341" t="str">
            <v xml:space="preserve">VALE SAFE COMERCIO EPIS </v>
          </cell>
          <cell r="D1341">
            <v>1016.3</v>
          </cell>
          <cell r="E1341" t="str">
            <v>C</v>
          </cell>
          <cell r="G1341">
            <v>1447.6</v>
          </cell>
          <cell r="H1341">
            <v>431.3</v>
          </cell>
          <cell r="I1341">
            <v>-1016.3</v>
          </cell>
          <cell r="J1341">
            <v>0</v>
          </cell>
          <cell r="K1341" t="str">
            <v>C</v>
          </cell>
        </row>
        <row r="1342">
          <cell r="A1342">
            <v>55220</v>
          </cell>
          <cell r="B1342" t="str">
            <v>2.1.04.010.1490</v>
          </cell>
          <cell r="C1342" t="str">
            <v xml:space="preserve">M&amp;F DISTRIBUIDORA DE </v>
          </cell>
          <cell r="D1342">
            <v>0</v>
          </cell>
          <cell r="E1342" t="str">
            <v>C</v>
          </cell>
          <cell r="G1342">
            <v>1540.54</v>
          </cell>
          <cell r="H1342">
            <v>1540.54</v>
          </cell>
          <cell r="I1342">
            <v>0</v>
          </cell>
          <cell r="J1342">
            <v>0</v>
          </cell>
          <cell r="K1342" t="str">
            <v>C</v>
          </cell>
        </row>
        <row r="1343">
          <cell r="A1343">
            <v>55221</v>
          </cell>
          <cell r="B1343" t="str">
            <v>2.1.04.010.1491</v>
          </cell>
          <cell r="C1343" t="str">
            <v xml:space="preserve">TECNOFERRAMENTAS </v>
          </cell>
          <cell r="D1343">
            <v>0</v>
          </cell>
          <cell r="E1343" t="str">
            <v>C</v>
          </cell>
          <cell r="G1343">
            <v>0</v>
          </cell>
          <cell r="H1343">
            <v>963.31</v>
          </cell>
          <cell r="I1343">
            <v>963.31</v>
          </cell>
          <cell r="J1343">
            <v>963.31</v>
          </cell>
          <cell r="K1343" t="str">
            <v>C</v>
          </cell>
        </row>
        <row r="1344">
          <cell r="A1344">
            <v>55230</v>
          </cell>
          <cell r="B1344" t="str">
            <v>2.1.04.010.1492</v>
          </cell>
          <cell r="C1344" t="str">
            <v xml:space="preserve">BRAFER CONSTRUCOES </v>
          </cell>
          <cell r="D1344">
            <v>2118015.13</v>
          </cell>
          <cell r="E1344" t="str">
            <v>C</v>
          </cell>
          <cell r="G1344">
            <v>2265660.92</v>
          </cell>
          <cell r="H1344">
            <v>1607394.67</v>
          </cell>
          <cell r="I1344">
            <v>-658266.25</v>
          </cell>
          <cell r="J1344">
            <v>1459748.88</v>
          </cell>
          <cell r="K1344" t="str">
            <v>C</v>
          </cell>
        </row>
        <row r="1345">
          <cell r="A1345">
            <v>55356</v>
          </cell>
          <cell r="B1345" t="str">
            <v>2.1.04.010.1502</v>
          </cell>
          <cell r="C1345" t="str">
            <v xml:space="preserve">MF MEDICAL IMPORTACAO E </v>
          </cell>
          <cell r="D1345">
            <v>62804.14</v>
          </cell>
          <cell r="E1345" t="str">
            <v>C</v>
          </cell>
          <cell r="G1345">
            <v>25186.12</v>
          </cell>
          <cell r="H1345">
            <v>140040.4</v>
          </cell>
          <cell r="I1345">
            <v>114854.28</v>
          </cell>
          <cell r="J1345">
            <v>177658.42</v>
          </cell>
          <cell r="K1345" t="str">
            <v>C</v>
          </cell>
        </row>
        <row r="1346">
          <cell r="A1346">
            <v>55363</v>
          </cell>
          <cell r="B1346" t="str">
            <v>2.1.04.010.1508</v>
          </cell>
          <cell r="C1346" t="str">
            <v xml:space="preserve">GEMEDICAL DO BRASIL </v>
          </cell>
          <cell r="D1346">
            <v>1972</v>
          </cell>
          <cell r="E1346" t="str">
            <v>C</v>
          </cell>
          <cell r="G1346">
            <v>1972</v>
          </cell>
          <cell r="H1346">
            <v>382.8</v>
          </cell>
          <cell r="I1346">
            <v>-1589.2</v>
          </cell>
          <cell r="J1346">
            <v>382.8</v>
          </cell>
          <cell r="K1346" t="str">
            <v>C</v>
          </cell>
        </row>
        <row r="1347">
          <cell r="A1347">
            <v>55383</v>
          </cell>
          <cell r="B1347" t="str">
            <v>2.1.04.010.1522</v>
          </cell>
          <cell r="C1347" t="str">
            <v>XPART COMERCIO EIRELI</v>
          </cell>
          <cell r="D1347">
            <v>5997</v>
          </cell>
          <cell r="E1347" t="str">
            <v>C</v>
          </cell>
          <cell r="G1347">
            <v>5997</v>
          </cell>
          <cell r="H1347">
            <v>0</v>
          </cell>
          <cell r="I1347">
            <v>-5997</v>
          </cell>
          <cell r="J1347">
            <v>0</v>
          </cell>
          <cell r="K1347" t="str">
            <v>C</v>
          </cell>
        </row>
        <row r="1348">
          <cell r="A1348">
            <v>55391</v>
          </cell>
          <cell r="B1348" t="str">
            <v>2.1.04.010.1530</v>
          </cell>
          <cell r="C1348" t="str">
            <v xml:space="preserve">X - SAFE COMERCIO DE </v>
          </cell>
          <cell r="D1348">
            <v>1071308.3</v>
          </cell>
          <cell r="E1348" t="str">
            <v>C</v>
          </cell>
          <cell r="G1348">
            <v>324086.58</v>
          </cell>
          <cell r="H1348">
            <v>493527.15</v>
          </cell>
          <cell r="I1348">
            <v>169440.57</v>
          </cell>
          <cell r="J1348">
            <v>1240748.8700000001</v>
          </cell>
          <cell r="K1348" t="str">
            <v>C</v>
          </cell>
        </row>
        <row r="1349">
          <cell r="A1349">
            <v>55394</v>
          </cell>
          <cell r="B1349" t="str">
            <v>2.1.04.010.1532</v>
          </cell>
          <cell r="C1349" t="str">
            <v xml:space="preserve">WOG COMERCIO DE METAIS </v>
          </cell>
          <cell r="D1349">
            <v>941.64</v>
          </cell>
          <cell r="E1349" t="str">
            <v>C</v>
          </cell>
          <cell r="G1349">
            <v>941.64</v>
          </cell>
          <cell r="H1349">
            <v>0</v>
          </cell>
          <cell r="I1349">
            <v>-941.64</v>
          </cell>
          <cell r="J1349">
            <v>0</v>
          </cell>
          <cell r="K1349" t="str">
            <v>C</v>
          </cell>
        </row>
        <row r="1350">
          <cell r="A1350">
            <v>55409</v>
          </cell>
          <cell r="B1350" t="str">
            <v>2.1.04.010.1535</v>
          </cell>
          <cell r="C1350" t="str">
            <v xml:space="preserve">EQUILIBRIO MEDICAL - </v>
          </cell>
          <cell r="D1350">
            <v>3060</v>
          </cell>
          <cell r="E1350" t="str">
            <v>C</v>
          </cell>
          <cell r="G1350">
            <v>3060</v>
          </cell>
          <cell r="H1350">
            <v>3060</v>
          </cell>
          <cell r="I1350">
            <v>0</v>
          </cell>
          <cell r="J1350">
            <v>3060</v>
          </cell>
          <cell r="K1350" t="str">
            <v>C</v>
          </cell>
        </row>
        <row r="1351">
          <cell r="A1351">
            <v>55425</v>
          </cell>
          <cell r="B1351" t="str">
            <v>2.1.04.010.1542</v>
          </cell>
          <cell r="C1351" t="str">
            <v>MAURICIO ESCOBAR PRETO</v>
          </cell>
          <cell r="D1351">
            <v>0</v>
          </cell>
          <cell r="E1351" t="str">
            <v>C</v>
          </cell>
          <cell r="G1351">
            <v>0</v>
          </cell>
          <cell r="H1351">
            <v>634</v>
          </cell>
          <cell r="I1351">
            <v>634</v>
          </cell>
          <cell r="J1351">
            <v>634</v>
          </cell>
          <cell r="K1351" t="str">
            <v>C</v>
          </cell>
        </row>
        <row r="1352">
          <cell r="A1352">
            <v>55430</v>
          </cell>
          <cell r="B1352" t="str">
            <v>2.1.04.010.1545</v>
          </cell>
          <cell r="C1352" t="str">
            <v xml:space="preserve">HEALTH INDUSTRIA E </v>
          </cell>
          <cell r="D1352">
            <v>0</v>
          </cell>
          <cell r="E1352" t="str">
            <v>C</v>
          </cell>
          <cell r="G1352">
            <v>8750</v>
          </cell>
          <cell r="H1352">
            <v>17500</v>
          </cell>
          <cell r="I1352">
            <v>8750</v>
          </cell>
          <cell r="J1352">
            <v>8750</v>
          </cell>
          <cell r="K1352" t="str">
            <v>C</v>
          </cell>
        </row>
        <row r="1353">
          <cell r="A1353">
            <v>55432</v>
          </cell>
          <cell r="B1353" t="str">
            <v>2.1.04.010.1547</v>
          </cell>
          <cell r="C1353" t="str">
            <v>NATBIO IMPORTADORA LTDA</v>
          </cell>
          <cell r="D1353">
            <v>651.64</v>
          </cell>
          <cell r="E1353" t="str">
            <v>C</v>
          </cell>
          <cell r="G1353">
            <v>651.64</v>
          </cell>
          <cell r="H1353">
            <v>1129.67</v>
          </cell>
          <cell r="I1353">
            <v>478.03</v>
          </cell>
          <cell r="J1353">
            <v>1129.67</v>
          </cell>
          <cell r="K1353" t="str">
            <v>C</v>
          </cell>
        </row>
        <row r="1354">
          <cell r="A1354">
            <v>55439</v>
          </cell>
          <cell r="B1354" t="str">
            <v>2.1.04.010.1549</v>
          </cell>
          <cell r="C1354" t="str">
            <v>AIDC TECNOLOGIA LTDA</v>
          </cell>
          <cell r="D1354">
            <v>18264.5</v>
          </cell>
          <cell r="E1354" t="str">
            <v>C</v>
          </cell>
          <cell r="G1354">
            <v>18264.5</v>
          </cell>
          <cell r="H1354">
            <v>0</v>
          </cell>
          <cell r="I1354">
            <v>-18264.5</v>
          </cell>
          <cell r="J1354">
            <v>0</v>
          </cell>
          <cell r="K1354" t="str">
            <v>C</v>
          </cell>
        </row>
        <row r="1355">
          <cell r="A1355">
            <v>55442</v>
          </cell>
          <cell r="B1355" t="str">
            <v>2.1.04.010.1550</v>
          </cell>
          <cell r="C1355" t="str">
            <v xml:space="preserve">REFRISSUL COMERCIO DE </v>
          </cell>
          <cell r="D1355">
            <v>4357.1000000000004</v>
          </cell>
          <cell r="E1355" t="str">
            <v>C</v>
          </cell>
          <cell r="G1355">
            <v>4357.1000000000004</v>
          </cell>
          <cell r="H1355">
            <v>2935.41</v>
          </cell>
          <cell r="I1355">
            <v>-1421.69</v>
          </cell>
          <cell r="J1355">
            <v>2935.41</v>
          </cell>
          <cell r="K1355" t="str">
            <v>C</v>
          </cell>
        </row>
        <row r="1356">
          <cell r="A1356">
            <v>55447</v>
          </cell>
          <cell r="B1356" t="str">
            <v>2.1.04.010.1552</v>
          </cell>
          <cell r="C1356" t="str">
            <v xml:space="preserve">RJB COMERCIO DE </v>
          </cell>
          <cell r="D1356">
            <v>11145</v>
          </cell>
          <cell r="E1356" t="str">
            <v>C</v>
          </cell>
          <cell r="G1356">
            <v>11145</v>
          </cell>
          <cell r="H1356">
            <v>0</v>
          </cell>
          <cell r="I1356">
            <v>-11145</v>
          </cell>
          <cell r="J1356">
            <v>0</v>
          </cell>
          <cell r="K1356" t="str">
            <v>C</v>
          </cell>
        </row>
        <row r="1357">
          <cell r="A1357">
            <v>55457</v>
          </cell>
          <cell r="B1357" t="str">
            <v>2.1.04.010.1555</v>
          </cell>
          <cell r="C1357" t="str">
            <v xml:space="preserve">NOGUEIRA COMERCIO DE </v>
          </cell>
          <cell r="D1357">
            <v>0</v>
          </cell>
          <cell r="E1357" t="str">
            <v>C</v>
          </cell>
          <cell r="G1357">
            <v>0</v>
          </cell>
          <cell r="H1357">
            <v>2355</v>
          </cell>
          <cell r="I1357">
            <v>2355</v>
          </cell>
          <cell r="J1357">
            <v>2355</v>
          </cell>
          <cell r="K1357" t="str">
            <v>C</v>
          </cell>
        </row>
        <row r="1358">
          <cell r="A1358">
            <v>55462</v>
          </cell>
          <cell r="B1358" t="str">
            <v>2.1.04.010.1557</v>
          </cell>
          <cell r="C1358" t="str">
            <v>LINCIONE METAIS EIRELI</v>
          </cell>
          <cell r="D1358">
            <v>1002.03</v>
          </cell>
          <cell r="E1358" t="str">
            <v>C</v>
          </cell>
          <cell r="G1358">
            <v>1002.03</v>
          </cell>
          <cell r="H1358">
            <v>0</v>
          </cell>
          <cell r="I1358">
            <v>-1002.03</v>
          </cell>
          <cell r="J1358">
            <v>0</v>
          </cell>
          <cell r="K1358" t="str">
            <v>C</v>
          </cell>
        </row>
        <row r="1359">
          <cell r="A1359">
            <v>55466</v>
          </cell>
          <cell r="B1359" t="str">
            <v>2.1.04.010.1560</v>
          </cell>
          <cell r="C1359" t="str">
            <v xml:space="preserve">SINNERGY IMPORTACAO E </v>
          </cell>
          <cell r="D1359">
            <v>7800</v>
          </cell>
          <cell r="E1359" t="str">
            <v>C</v>
          </cell>
          <cell r="G1359">
            <v>7800</v>
          </cell>
          <cell r="H1359">
            <v>19313.8</v>
          </cell>
          <cell r="I1359">
            <v>11513.8</v>
          </cell>
          <cell r="J1359">
            <v>19313.8</v>
          </cell>
          <cell r="K1359" t="str">
            <v>C</v>
          </cell>
        </row>
        <row r="1360">
          <cell r="A1360">
            <v>55473</v>
          </cell>
          <cell r="B1360" t="str">
            <v>2.1.04.010.1564</v>
          </cell>
          <cell r="C1360" t="str">
            <v xml:space="preserve">GRUPOMEDIC COMERCIO E </v>
          </cell>
          <cell r="D1360">
            <v>17000</v>
          </cell>
          <cell r="E1360" t="str">
            <v>C</v>
          </cell>
          <cell r="G1360">
            <v>17000</v>
          </cell>
          <cell r="H1360">
            <v>0</v>
          </cell>
          <cell r="I1360">
            <v>-17000</v>
          </cell>
          <cell r="J1360">
            <v>0</v>
          </cell>
          <cell r="K1360" t="str">
            <v>C</v>
          </cell>
        </row>
        <row r="1361">
          <cell r="A1361">
            <v>55476</v>
          </cell>
          <cell r="B1361" t="str">
            <v>2.1.04.010.1566</v>
          </cell>
          <cell r="C1361" t="str">
            <v xml:space="preserve">LIFE SUPPORT TECNOLOGIA </v>
          </cell>
          <cell r="D1361">
            <v>5750</v>
          </cell>
          <cell r="E1361" t="str">
            <v>C</v>
          </cell>
          <cell r="G1361">
            <v>0</v>
          </cell>
          <cell r="H1361">
            <v>750</v>
          </cell>
          <cell r="I1361">
            <v>750</v>
          </cell>
          <cell r="J1361">
            <v>6500</v>
          </cell>
          <cell r="K1361" t="str">
            <v>C</v>
          </cell>
        </row>
        <row r="1362">
          <cell r="A1362">
            <v>55477</v>
          </cell>
          <cell r="B1362" t="str">
            <v>2.1.04.010.1567</v>
          </cell>
          <cell r="C1362" t="str">
            <v>NG DO BRASIL LTDA</v>
          </cell>
          <cell r="D1362">
            <v>0</v>
          </cell>
          <cell r="E1362" t="str">
            <v>C</v>
          </cell>
          <cell r="G1362">
            <v>180</v>
          </cell>
          <cell r="H1362">
            <v>180</v>
          </cell>
          <cell r="I1362">
            <v>0</v>
          </cell>
          <cell r="J1362">
            <v>0</v>
          </cell>
          <cell r="K1362" t="str">
            <v>C</v>
          </cell>
        </row>
        <row r="1363">
          <cell r="A1363">
            <v>55478</v>
          </cell>
          <cell r="B1363" t="str">
            <v>2.1.04.010.1568</v>
          </cell>
          <cell r="C1363" t="str">
            <v>EDITORA MARTINARI LTDA</v>
          </cell>
          <cell r="D1363">
            <v>0</v>
          </cell>
          <cell r="E1363" t="str">
            <v>C</v>
          </cell>
          <cell r="G1363">
            <v>2397.5</v>
          </cell>
          <cell r="H1363">
            <v>4795</v>
          </cell>
          <cell r="I1363">
            <v>2397.5</v>
          </cell>
          <cell r="J1363">
            <v>2397.5</v>
          </cell>
          <cell r="K1363" t="str">
            <v>C</v>
          </cell>
        </row>
        <row r="1364">
          <cell r="A1364">
            <v>55480</v>
          </cell>
          <cell r="B1364" t="str">
            <v>2.1.04.010.1570</v>
          </cell>
          <cell r="C1364" t="str">
            <v xml:space="preserve">SOS COMERCIO DE </v>
          </cell>
          <cell r="D1364">
            <v>0</v>
          </cell>
          <cell r="E1364" t="str">
            <v>C</v>
          </cell>
          <cell r="G1364">
            <v>0</v>
          </cell>
          <cell r="H1364">
            <v>960</v>
          </cell>
          <cell r="I1364">
            <v>960</v>
          </cell>
          <cell r="J1364">
            <v>960</v>
          </cell>
          <cell r="K1364" t="str">
            <v>C</v>
          </cell>
        </row>
        <row r="1365">
          <cell r="A1365">
            <v>55481</v>
          </cell>
          <cell r="B1365" t="str">
            <v>2.1.04.010.1571</v>
          </cell>
          <cell r="C1365" t="str">
            <v xml:space="preserve">FRIGELAR COMERCIO E </v>
          </cell>
          <cell r="D1365">
            <v>3282.52</v>
          </cell>
          <cell r="E1365" t="str">
            <v>C</v>
          </cell>
          <cell r="G1365">
            <v>2375.91</v>
          </cell>
          <cell r="H1365">
            <v>1750.74</v>
          </cell>
          <cell r="I1365">
            <v>-625.16999999999996</v>
          </cell>
          <cell r="J1365">
            <v>2657.35</v>
          </cell>
          <cell r="K1365" t="str">
            <v>C</v>
          </cell>
        </row>
        <row r="1366">
          <cell r="A1366">
            <v>55851</v>
          </cell>
          <cell r="B1366" t="str">
            <v>2.1.04.010.1573</v>
          </cell>
          <cell r="C1366" t="str">
            <v xml:space="preserve">ENDOLIFE IMPORTACAO, </v>
          </cell>
          <cell r="D1366">
            <v>3000</v>
          </cell>
          <cell r="E1366" t="str">
            <v>C</v>
          </cell>
          <cell r="G1366">
            <v>3000</v>
          </cell>
          <cell r="H1366">
            <v>0</v>
          </cell>
          <cell r="I1366">
            <v>-3000</v>
          </cell>
          <cell r="J1366">
            <v>0</v>
          </cell>
          <cell r="K1366" t="str">
            <v>C</v>
          </cell>
        </row>
        <row r="1367">
          <cell r="A1367">
            <v>55854</v>
          </cell>
          <cell r="B1367" t="str">
            <v>2.1.04.010.1574</v>
          </cell>
          <cell r="C1367" t="str">
            <v xml:space="preserve">MICROMEDICAL IMPLANTES </v>
          </cell>
          <cell r="D1367">
            <v>7570</v>
          </cell>
          <cell r="E1367" t="str">
            <v>C</v>
          </cell>
          <cell r="G1367">
            <v>7570</v>
          </cell>
          <cell r="H1367">
            <v>0</v>
          </cell>
          <cell r="I1367">
            <v>-7570</v>
          </cell>
          <cell r="J1367">
            <v>0</v>
          </cell>
          <cell r="K1367" t="str">
            <v>C</v>
          </cell>
        </row>
        <row r="1368">
          <cell r="A1368">
            <v>55857</v>
          </cell>
          <cell r="B1368" t="str">
            <v>2.1.04.010.1575</v>
          </cell>
          <cell r="C1368" t="str">
            <v xml:space="preserve">SALUS BIOMEDICAL </v>
          </cell>
          <cell r="D1368">
            <v>5917.74</v>
          </cell>
          <cell r="E1368" t="str">
            <v>C</v>
          </cell>
          <cell r="G1368">
            <v>5917.74</v>
          </cell>
          <cell r="H1368">
            <v>0</v>
          </cell>
          <cell r="I1368">
            <v>-5917.74</v>
          </cell>
          <cell r="J1368">
            <v>0</v>
          </cell>
          <cell r="K1368" t="str">
            <v>C</v>
          </cell>
        </row>
        <row r="1369">
          <cell r="A1369">
            <v>55858</v>
          </cell>
          <cell r="B1369" t="str">
            <v>2.1.04.010.1576</v>
          </cell>
          <cell r="C1369" t="str">
            <v xml:space="preserve">NEXT IMPLANTES COMERCIO, </v>
          </cell>
          <cell r="D1369">
            <v>0</v>
          </cell>
          <cell r="E1369" t="str">
            <v>C</v>
          </cell>
          <cell r="G1369">
            <v>0</v>
          </cell>
          <cell r="H1369">
            <v>7200</v>
          </cell>
          <cell r="I1369">
            <v>7200</v>
          </cell>
          <cell r="J1369">
            <v>7200</v>
          </cell>
          <cell r="K1369" t="str">
            <v>C</v>
          </cell>
        </row>
        <row r="1370">
          <cell r="A1370">
            <v>55864</v>
          </cell>
          <cell r="B1370" t="str">
            <v>2.1.04.010.1578</v>
          </cell>
          <cell r="C1370" t="str">
            <v>MEGA MAIS UNIFORMES LTDA</v>
          </cell>
          <cell r="D1370">
            <v>14153.9</v>
          </cell>
          <cell r="E1370" t="str">
            <v>C</v>
          </cell>
          <cell r="G1370">
            <v>5900.29</v>
          </cell>
          <cell r="H1370">
            <v>720</v>
          </cell>
          <cell r="I1370">
            <v>-5180.29</v>
          </cell>
          <cell r="J1370">
            <v>8973.61</v>
          </cell>
          <cell r="K1370" t="str">
            <v>C</v>
          </cell>
        </row>
        <row r="1371">
          <cell r="A1371">
            <v>55868</v>
          </cell>
          <cell r="B1371" t="str">
            <v>2.1.04.010.1580</v>
          </cell>
          <cell r="C1371" t="str">
            <v xml:space="preserve">ISOVAL VALVULAS E </v>
          </cell>
          <cell r="D1371">
            <v>1156</v>
          </cell>
          <cell r="E1371" t="str">
            <v>C</v>
          </cell>
          <cell r="G1371">
            <v>1156</v>
          </cell>
          <cell r="H1371">
            <v>0</v>
          </cell>
          <cell r="I1371">
            <v>-1156</v>
          </cell>
          <cell r="J1371">
            <v>0</v>
          </cell>
          <cell r="K1371" t="str">
            <v>C</v>
          </cell>
        </row>
        <row r="1372">
          <cell r="A1372">
            <v>55905</v>
          </cell>
          <cell r="B1372" t="str">
            <v>2.1.04.010.1592</v>
          </cell>
          <cell r="C1372" t="str">
            <v xml:space="preserve">PRO HEALTH DISTRIBUIDORA </v>
          </cell>
          <cell r="D1372">
            <v>19800</v>
          </cell>
          <cell r="E1372" t="str">
            <v>C</v>
          </cell>
          <cell r="G1372">
            <v>14850</v>
          </cell>
          <cell r="H1372">
            <v>0</v>
          </cell>
          <cell r="I1372">
            <v>-14850</v>
          </cell>
          <cell r="J1372">
            <v>4950</v>
          </cell>
          <cell r="K1372" t="str">
            <v>C</v>
          </cell>
        </row>
        <row r="1373">
          <cell r="A1373">
            <v>55911</v>
          </cell>
          <cell r="B1373" t="str">
            <v>2.1.04.010.1595</v>
          </cell>
          <cell r="C1373" t="str">
            <v xml:space="preserve">FESTPAN ALIMENTOS </v>
          </cell>
          <cell r="D1373">
            <v>1950.63</v>
          </cell>
          <cell r="E1373" t="str">
            <v>C</v>
          </cell>
          <cell r="G1373">
            <v>1950.63</v>
          </cell>
          <cell r="H1373">
            <v>2431.86</v>
          </cell>
          <cell r="I1373">
            <v>481.23</v>
          </cell>
          <cell r="J1373">
            <v>2431.86</v>
          </cell>
          <cell r="K1373" t="str">
            <v>C</v>
          </cell>
        </row>
        <row r="1374">
          <cell r="A1374">
            <v>55919</v>
          </cell>
          <cell r="B1374" t="str">
            <v>2.1.04.010.1600</v>
          </cell>
          <cell r="C1374" t="str">
            <v xml:space="preserve">PRISMA COMERCIAL E </v>
          </cell>
          <cell r="D1374">
            <v>9363.2999999999993</v>
          </cell>
          <cell r="E1374" t="str">
            <v>C</v>
          </cell>
          <cell r="G1374">
            <v>9363.2999999999993</v>
          </cell>
          <cell r="H1374">
            <v>0</v>
          </cell>
          <cell r="I1374">
            <v>-9363.2999999999993</v>
          </cell>
          <cell r="J1374">
            <v>0</v>
          </cell>
          <cell r="K1374" t="str">
            <v>C</v>
          </cell>
        </row>
        <row r="1375">
          <cell r="A1375">
            <v>55922</v>
          </cell>
          <cell r="B1375" t="str">
            <v>2.1.04.010.1601</v>
          </cell>
          <cell r="C1375" t="str">
            <v xml:space="preserve">TECNO4 PRODUTOS </v>
          </cell>
          <cell r="D1375">
            <v>475</v>
          </cell>
          <cell r="E1375" t="str">
            <v>C</v>
          </cell>
          <cell r="G1375">
            <v>475</v>
          </cell>
          <cell r="H1375">
            <v>325</v>
          </cell>
          <cell r="I1375">
            <v>-150</v>
          </cell>
          <cell r="J1375">
            <v>325</v>
          </cell>
          <cell r="K1375" t="str">
            <v>C</v>
          </cell>
        </row>
        <row r="1376">
          <cell r="A1376">
            <v>55923</v>
          </cell>
          <cell r="B1376" t="str">
            <v>2.1.04.010.1602</v>
          </cell>
          <cell r="C1376" t="str">
            <v xml:space="preserve">F A PEREIRA FABRIMED </v>
          </cell>
          <cell r="D1376">
            <v>2000</v>
          </cell>
          <cell r="E1376" t="str">
            <v>C</v>
          </cell>
          <cell r="G1376">
            <v>2000</v>
          </cell>
          <cell r="H1376">
            <v>0</v>
          </cell>
          <cell r="I1376">
            <v>-2000</v>
          </cell>
          <cell r="J1376">
            <v>0</v>
          </cell>
          <cell r="K1376" t="str">
            <v>C</v>
          </cell>
        </row>
        <row r="1377">
          <cell r="A1377">
            <v>55924</v>
          </cell>
          <cell r="B1377" t="str">
            <v>2.1.04.010.1603</v>
          </cell>
          <cell r="C1377" t="str">
            <v xml:space="preserve">PSICOBOX INDUSTRIA E </v>
          </cell>
          <cell r="D1377">
            <v>0</v>
          </cell>
          <cell r="E1377" t="str">
            <v>C</v>
          </cell>
          <cell r="G1377">
            <v>0</v>
          </cell>
          <cell r="H1377">
            <v>4800</v>
          </cell>
          <cell r="I1377">
            <v>4800</v>
          </cell>
          <cell r="J1377">
            <v>4800</v>
          </cell>
          <cell r="K1377" t="str">
            <v>C</v>
          </cell>
        </row>
        <row r="1378">
          <cell r="A1378">
            <v>55927</v>
          </cell>
          <cell r="B1378" t="str">
            <v>2.1.04.010.1605</v>
          </cell>
          <cell r="C1378" t="str">
            <v xml:space="preserve">D'SPINOLA &amp; CARVALHO </v>
          </cell>
          <cell r="D1378">
            <v>5500</v>
          </cell>
          <cell r="E1378" t="str">
            <v>C</v>
          </cell>
          <cell r="G1378">
            <v>5500</v>
          </cell>
          <cell r="H1378">
            <v>0</v>
          </cell>
          <cell r="I1378">
            <v>-5500</v>
          </cell>
          <cell r="J1378">
            <v>0</v>
          </cell>
          <cell r="K1378" t="str">
            <v>C</v>
          </cell>
        </row>
        <row r="1379">
          <cell r="A1379">
            <v>55929</v>
          </cell>
          <cell r="B1379" t="str">
            <v>2.1.04.010.1607</v>
          </cell>
          <cell r="C1379" t="str">
            <v xml:space="preserve">OLIVEIRA ALVES COMERCIO </v>
          </cell>
          <cell r="D1379">
            <v>440</v>
          </cell>
          <cell r="E1379" t="str">
            <v>C</v>
          </cell>
          <cell r="G1379">
            <v>440</v>
          </cell>
          <cell r="H1379">
            <v>0</v>
          </cell>
          <cell r="I1379">
            <v>-440</v>
          </cell>
          <cell r="J1379">
            <v>0</v>
          </cell>
          <cell r="K1379" t="str">
            <v>C</v>
          </cell>
        </row>
        <row r="1380">
          <cell r="A1380">
            <v>55930</v>
          </cell>
          <cell r="B1380" t="str">
            <v>2.1.04.010.1608</v>
          </cell>
          <cell r="C1380" t="str">
            <v xml:space="preserve">ATIVA MEDICO CIRURGICA </v>
          </cell>
          <cell r="D1380">
            <v>2654.8</v>
          </cell>
          <cell r="E1380" t="str">
            <v>C</v>
          </cell>
          <cell r="G1380">
            <v>2654.8</v>
          </cell>
          <cell r="H1380">
            <v>1505.24</v>
          </cell>
          <cell r="I1380">
            <v>-1149.56</v>
          </cell>
          <cell r="J1380">
            <v>1505.24</v>
          </cell>
          <cell r="K1380" t="str">
            <v>C</v>
          </cell>
        </row>
        <row r="1381">
          <cell r="A1381">
            <v>55931</v>
          </cell>
          <cell r="B1381" t="str">
            <v>2.1.04.010.1609</v>
          </cell>
          <cell r="C1381" t="str">
            <v xml:space="preserve">CDI BARRA PRODUTOS - </v>
          </cell>
          <cell r="D1381">
            <v>905.48</v>
          </cell>
          <cell r="E1381" t="str">
            <v>C</v>
          </cell>
          <cell r="G1381">
            <v>905.48</v>
          </cell>
          <cell r="H1381">
            <v>4075.92</v>
          </cell>
          <cell r="I1381">
            <v>3170.44</v>
          </cell>
          <cell r="J1381">
            <v>4075.92</v>
          </cell>
          <cell r="K1381" t="str">
            <v>C</v>
          </cell>
        </row>
        <row r="1382">
          <cell r="A1382">
            <v>55932</v>
          </cell>
          <cell r="B1382" t="str">
            <v>2.1.04.010.1610</v>
          </cell>
          <cell r="C1382" t="str">
            <v xml:space="preserve">DREAMS HOME LAR E </v>
          </cell>
          <cell r="D1382">
            <v>0</v>
          </cell>
          <cell r="E1382" t="str">
            <v>C</v>
          </cell>
          <cell r="G1382">
            <v>0</v>
          </cell>
          <cell r="H1382">
            <v>1143.5999999999999</v>
          </cell>
          <cell r="I1382">
            <v>1143.5999999999999</v>
          </cell>
          <cell r="J1382">
            <v>1143.5999999999999</v>
          </cell>
          <cell r="K1382" t="str">
            <v>C</v>
          </cell>
        </row>
        <row r="1383">
          <cell r="A1383">
            <v>55933</v>
          </cell>
          <cell r="B1383" t="str">
            <v>2.1.04.010.1611</v>
          </cell>
          <cell r="C1383" t="str">
            <v xml:space="preserve">DOUGLAS CLAY DE SOUSA </v>
          </cell>
          <cell r="D1383">
            <v>58</v>
          </cell>
          <cell r="E1383" t="str">
            <v>C</v>
          </cell>
          <cell r="G1383">
            <v>58</v>
          </cell>
          <cell r="H1383">
            <v>0</v>
          </cell>
          <cell r="I1383">
            <v>-58</v>
          </cell>
          <cell r="J1383">
            <v>0</v>
          </cell>
          <cell r="K1383" t="str">
            <v>C</v>
          </cell>
        </row>
        <row r="1384">
          <cell r="A1384">
            <v>55934</v>
          </cell>
          <cell r="B1384" t="str">
            <v>2.1.04.010.1612</v>
          </cell>
          <cell r="C1384" t="str">
            <v xml:space="preserve">CELSO LOPES MARTINS </v>
          </cell>
          <cell r="D1384">
            <v>1686.4</v>
          </cell>
          <cell r="E1384" t="str">
            <v>C</v>
          </cell>
          <cell r="G1384">
            <v>1686.4</v>
          </cell>
          <cell r="H1384">
            <v>0</v>
          </cell>
          <cell r="I1384">
            <v>-1686.4</v>
          </cell>
          <cell r="J1384">
            <v>0</v>
          </cell>
          <cell r="K1384" t="str">
            <v>C</v>
          </cell>
        </row>
        <row r="1385">
          <cell r="A1385">
            <v>55937</v>
          </cell>
          <cell r="B1385" t="str">
            <v>2.1.04.010.1614</v>
          </cell>
          <cell r="C1385" t="str">
            <v xml:space="preserve">CASA DE CARNES LEITE &amp; </v>
          </cell>
          <cell r="D1385">
            <v>0</v>
          </cell>
          <cell r="E1385" t="str">
            <v>C</v>
          </cell>
          <cell r="G1385">
            <v>12454.64</v>
          </cell>
          <cell r="H1385">
            <v>42045.2</v>
          </cell>
          <cell r="I1385">
            <v>29590.560000000001</v>
          </cell>
          <cell r="J1385">
            <v>29590.560000000001</v>
          </cell>
          <cell r="K1385" t="str">
            <v>C</v>
          </cell>
        </row>
        <row r="1386">
          <cell r="A1386">
            <v>55945</v>
          </cell>
          <cell r="B1386" t="str">
            <v>2.1.04.010.1617</v>
          </cell>
          <cell r="C1386" t="str">
            <v xml:space="preserve">CLR COMERCIO DE MATERIAL </v>
          </cell>
          <cell r="D1386">
            <v>35000</v>
          </cell>
          <cell r="E1386" t="str">
            <v>C</v>
          </cell>
          <cell r="G1386">
            <v>35000</v>
          </cell>
          <cell r="H1386">
            <v>0</v>
          </cell>
          <cell r="I1386">
            <v>-35000</v>
          </cell>
          <cell r="J1386">
            <v>0</v>
          </cell>
          <cell r="K1386" t="str">
            <v>C</v>
          </cell>
        </row>
        <row r="1387">
          <cell r="A1387">
            <v>55948</v>
          </cell>
          <cell r="B1387" t="str">
            <v>2.1.04.010.1618</v>
          </cell>
          <cell r="C1387" t="str">
            <v>BACABAL BLOCOS LTDA</v>
          </cell>
          <cell r="D1387">
            <v>1244</v>
          </cell>
          <cell r="E1387" t="str">
            <v>C</v>
          </cell>
          <cell r="G1387">
            <v>1244</v>
          </cell>
          <cell r="H1387">
            <v>0</v>
          </cell>
          <cell r="I1387">
            <v>-1244</v>
          </cell>
          <cell r="J1387">
            <v>0</v>
          </cell>
          <cell r="K1387" t="str">
            <v>C</v>
          </cell>
        </row>
        <row r="1388">
          <cell r="A1388">
            <v>55956</v>
          </cell>
          <cell r="B1388" t="str">
            <v>2.1.04.010.1620</v>
          </cell>
          <cell r="C1388" t="str">
            <v xml:space="preserve">VGR MEDICAL DISTRIBUIDORA </v>
          </cell>
          <cell r="D1388">
            <v>0</v>
          </cell>
          <cell r="E1388" t="str">
            <v>C</v>
          </cell>
          <cell r="G1388">
            <v>782.8</v>
          </cell>
          <cell r="H1388">
            <v>782.8</v>
          </cell>
          <cell r="I1388">
            <v>0</v>
          </cell>
          <cell r="J1388">
            <v>0</v>
          </cell>
          <cell r="K1388" t="str">
            <v>C</v>
          </cell>
        </row>
        <row r="1389">
          <cell r="A1389">
            <v>55958</v>
          </cell>
          <cell r="B1389" t="str">
            <v>2.1.04.010.1621</v>
          </cell>
          <cell r="C1389" t="str">
            <v xml:space="preserve">BRASIL INTER COMEX </v>
          </cell>
          <cell r="D1389">
            <v>0</v>
          </cell>
          <cell r="E1389" t="str">
            <v>C</v>
          </cell>
          <cell r="G1389">
            <v>688</v>
          </cell>
          <cell r="H1389">
            <v>688</v>
          </cell>
          <cell r="I1389">
            <v>0</v>
          </cell>
          <cell r="J1389">
            <v>0</v>
          </cell>
          <cell r="K1389" t="str">
            <v>C</v>
          </cell>
        </row>
        <row r="1390">
          <cell r="A1390">
            <v>55959</v>
          </cell>
          <cell r="B1390" t="str">
            <v>2.1.04.010.1622</v>
          </cell>
          <cell r="C1390" t="str">
            <v xml:space="preserve">JAL INDUSTRIA E COMERCIO </v>
          </cell>
          <cell r="D1390">
            <v>0</v>
          </cell>
          <cell r="E1390" t="str">
            <v>C</v>
          </cell>
          <cell r="G1390">
            <v>48110</v>
          </cell>
          <cell r="H1390">
            <v>48110</v>
          </cell>
          <cell r="I1390">
            <v>0</v>
          </cell>
          <cell r="J1390">
            <v>0</v>
          </cell>
          <cell r="K1390" t="str">
            <v>C</v>
          </cell>
        </row>
        <row r="1391">
          <cell r="A1391">
            <v>55960</v>
          </cell>
          <cell r="B1391" t="str">
            <v>2.1.04.010.1623</v>
          </cell>
          <cell r="C1391" t="str">
            <v xml:space="preserve">P.R.H PRODUTOS </v>
          </cell>
          <cell r="D1391">
            <v>0</v>
          </cell>
          <cell r="E1391" t="str">
            <v>C</v>
          </cell>
          <cell r="G1391">
            <v>9850</v>
          </cell>
          <cell r="H1391">
            <v>9850</v>
          </cell>
          <cell r="I1391">
            <v>0</v>
          </cell>
          <cell r="J1391">
            <v>0</v>
          </cell>
          <cell r="K1391" t="str">
            <v>C</v>
          </cell>
        </row>
        <row r="1392">
          <cell r="A1392">
            <v>55965</v>
          </cell>
          <cell r="B1392" t="str">
            <v>2.1.04.010.1624</v>
          </cell>
          <cell r="C1392" t="str">
            <v xml:space="preserve">SLIC EQUIPAMENTOS DE </v>
          </cell>
          <cell r="D1392">
            <v>0</v>
          </cell>
          <cell r="E1392" t="str">
            <v>C</v>
          </cell>
          <cell r="G1392">
            <v>0</v>
          </cell>
          <cell r="H1392">
            <v>1235.83</v>
          </cell>
          <cell r="I1392">
            <v>1235.83</v>
          </cell>
          <cell r="J1392">
            <v>1235.83</v>
          </cell>
          <cell r="K1392" t="str">
            <v>C</v>
          </cell>
        </row>
        <row r="1393">
          <cell r="A1393">
            <v>55968</v>
          </cell>
          <cell r="B1393" t="str">
            <v>2.1.04.010.1626</v>
          </cell>
          <cell r="C1393" t="str">
            <v xml:space="preserve">LEO MADEIRAS, MAQUINAS E </v>
          </cell>
          <cell r="D1393">
            <v>0</v>
          </cell>
          <cell r="E1393" t="str">
            <v>C</v>
          </cell>
          <cell r="G1393">
            <v>0</v>
          </cell>
          <cell r="H1393">
            <v>250.33</v>
          </cell>
          <cell r="I1393">
            <v>250.33</v>
          </cell>
          <cell r="J1393">
            <v>250.33</v>
          </cell>
          <cell r="K1393" t="str">
            <v>C</v>
          </cell>
        </row>
        <row r="1394">
          <cell r="A1394">
            <v>55970</v>
          </cell>
          <cell r="B1394" t="str">
            <v>2.1.04.010.1627</v>
          </cell>
          <cell r="C1394" t="str">
            <v>NOXTER DO BRASIL LTDA</v>
          </cell>
          <cell r="D1394">
            <v>0</v>
          </cell>
          <cell r="E1394" t="str">
            <v>C</v>
          </cell>
          <cell r="G1394">
            <v>0</v>
          </cell>
          <cell r="H1394">
            <v>658.8</v>
          </cell>
          <cell r="I1394">
            <v>658.8</v>
          </cell>
          <cell r="J1394">
            <v>658.8</v>
          </cell>
          <cell r="K1394" t="str">
            <v>C</v>
          </cell>
        </row>
        <row r="1395">
          <cell r="A1395">
            <v>55971</v>
          </cell>
          <cell r="B1395" t="str">
            <v>2.1.04.010.1628</v>
          </cell>
          <cell r="C1395" t="str">
            <v xml:space="preserve">DEPOSITO CARDOSO </v>
          </cell>
          <cell r="D1395">
            <v>0</v>
          </cell>
          <cell r="E1395" t="str">
            <v>C</v>
          </cell>
          <cell r="G1395">
            <v>555.5</v>
          </cell>
          <cell r="H1395">
            <v>555.5</v>
          </cell>
          <cell r="I1395">
            <v>0</v>
          </cell>
          <cell r="J1395">
            <v>0</v>
          </cell>
          <cell r="K1395" t="str">
            <v>C</v>
          </cell>
        </row>
        <row r="1396">
          <cell r="A1396">
            <v>55976</v>
          </cell>
          <cell r="B1396" t="str">
            <v>2.1.04.010.1629</v>
          </cell>
          <cell r="C1396" t="str">
            <v xml:space="preserve">AGROLITORAL PRODUTOS E </v>
          </cell>
          <cell r="D1396">
            <v>0</v>
          </cell>
          <cell r="E1396" t="str">
            <v>C</v>
          </cell>
          <cell r="G1396">
            <v>0</v>
          </cell>
          <cell r="H1396">
            <v>340</v>
          </cell>
          <cell r="I1396">
            <v>340</v>
          </cell>
          <cell r="J1396">
            <v>340</v>
          </cell>
          <cell r="K1396" t="str">
            <v>C</v>
          </cell>
        </row>
        <row r="1397">
          <cell r="A1397">
            <v>55978</v>
          </cell>
          <cell r="B1397" t="str">
            <v>2.1.04.010.1630</v>
          </cell>
          <cell r="C1397" t="str">
            <v xml:space="preserve">LONG FARMA DISTRIBUIDORA </v>
          </cell>
          <cell r="D1397">
            <v>0</v>
          </cell>
          <cell r="E1397" t="str">
            <v>C</v>
          </cell>
          <cell r="G1397">
            <v>0</v>
          </cell>
          <cell r="H1397">
            <v>1725</v>
          </cell>
          <cell r="I1397">
            <v>1725</v>
          </cell>
          <cell r="J1397">
            <v>1725</v>
          </cell>
          <cell r="K1397" t="str">
            <v>C</v>
          </cell>
        </row>
        <row r="1398">
          <cell r="A1398">
            <v>55979</v>
          </cell>
          <cell r="B1398" t="str">
            <v>2.1.04.010.1631</v>
          </cell>
          <cell r="C1398" t="str">
            <v xml:space="preserve">MAXEL MATERIAIS ELETRICOS </v>
          </cell>
          <cell r="D1398">
            <v>0</v>
          </cell>
          <cell r="E1398" t="str">
            <v>C</v>
          </cell>
          <cell r="G1398">
            <v>0</v>
          </cell>
          <cell r="H1398">
            <v>10083</v>
          </cell>
          <cell r="I1398">
            <v>10083</v>
          </cell>
          <cell r="J1398">
            <v>10083</v>
          </cell>
          <cell r="K1398" t="str">
            <v>C</v>
          </cell>
        </row>
        <row r="1399">
          <cell r="A1399">
            <v>55982</v>
          </cell>
          <cell r="B1399" t="str">
            <v>2.1.04.010.1632</v>
          </cell>
          <cell r="C1399" t="str">
            <v xml:space="preserve">F &amp; F DISTRIBUIDORA DE </v>
          </cell>
          <cell r="D1399">
            <v>0</v>
          </cell>
          <cell r="E1399" t="str">
            <v>C</v>
          </cell>
          <cell r="G1399">
            <v>0</v>
          </cell>
          <cell r="H1399">
            <v>14512</v>
          </cell>
          <cell r="I1399">
            <v>14512</v>
          </cell>
          <cell r="J1399">
            <v>14512</v>
          </cell>
          <cell r="K1399" t="str">
            <v>C</v>
          </cell>
        </row>
        <row r="1400">
          <cell r="A1400">
            <v>55993</v>
          </cell>
          <cell r="B1400" t="str">
            <v>2.1.04.010.1637</v>
          </cell>
          <cell r="C1400" t="str">
            <v xml:space="preserve">VITOR VIANA DOS SANTOS </v>
          </cell>
          <cell r="D1400">
            <v>0</v>
          </cell>
          <cell r="E1400" t="str">
            <v>C</v>
          </cell>
          <cell r="G1400">
            <v>1600</v>
          </cell>
          <cell r="H1400">
            <v>1600</v>
          </cell>
          <cell r="I1400">
            <v>0</v>
          </cell>
          <cell r="J1400">
            <v>0</v>
          </cell>
          <cell r="K1400" t="str">
            <v>C</v>
          </cell>
        </row>
        <row r="1401">
          <cell r="A1401">
            <v>55847</v>
          </cell>
          <cell r="B1401" t="str">
            <v>2.1.04.010.1659</v>
          </cell>
          <cell r="C1401" t="str">
            <v xml:space="preserve">E. ALCALDE COMERCIO DE </v>
          </cell>
          <cell r="D1401">
            <v>983.37</v>
          </cell>
          <cell r="E1401" t="str">
            <v>C</v>
          </cell>
          <cell r="G1401">
            <v>983.36</v>
          </cell>
          <cell r="H1401">
            <v>0</v>
          </cell>
          <cell r="I1401">
            <v>-983.36</v>
          </cell>
          <cell r="J1401">
            <v>0.01</v>
          </cell>
          <cell r="K1401" t="str">
            <v>C</v>
          </cell>
        </row>
        <row r="1402">
          <cell r="A1402">
            <v>53064</v>
          </cell>
          <cell r="B1402" t="str">
            <v>2.1.04.020</v>
          </cell>
          <cell r="C1402" t="str">
            <v>FORNECEDOR DE SERVICOS</v>
          </cell>
          <cell r="D1402">
            <v>1278824.19</v>
          </cell>
          <cell r="E1402" t="str">
            <v>C</v>
          </cell>
          <cell r="G1402">
            <v>1895147.12</v>
          </cell>
          <cell r="H1402">
            <v>2457893.7400000002</v>
          </cell>
          <cell r="I1402">
            <v>562746.62</v>
          </cell>
          <cell r="J1402">
            <v>1841570.81</v>
          </cell>
          <cell r="K1402" t="str">
            <v>C</v>
          </cell>
        </row>
        <row r="1403">
          <cell r="A1403">
            <v>36631</v>
          </cell>
          <cell r="B1403" t="str">
            <v>2.1.04.020.0005</v>
          </cell>
          <cell r="C1403" t="str">
            <v xml:space="preserve">ABC TRANSPORTES </v>
          </cell>
          <cell r="D1403">
            <v>0</v>
          </cell>
          <cell r="E1403" t="str">
            <v>C</v>
          </cell>
          <cell r="G1403">
            <v>754.3</v>
          </cell>
          <cell r="H1403">
            <v>754.3</v>
          </cell>
          <cell r="I1403">
            <v>0</v>
          </cell>
          <cell r="J1403">
            <v>0</v>
          </cell>
          <cell r="K1403" t="str">
            <v>C</v>
          </cell>
        </row>
        <row r="1404">
          <cell r="A1404">
            <v>52254</v>
          </cell>
          <cell r="B1404" t="str">
            <v>2.1.04.020.0010</v>
          </cell>
          <cell r="C1404" t="str">
            <v xml:space="preserve">ADYEN SERVICOS DE </v>
          </cell>
          <cell r="D1404">
            <v>0</v>
          </cell>
          <cell r="E1404" t="str">
            <v>C</v>
          </cell>
          <cell r="G1404">
            <v>3000</v>
          </cell>
          <cell r="H1404">
            <v>3000</v>
          </cell>
          <cell r="I1404">
            <v>0</v>
          </cell>
          <cell r="J1404">
            <v>0</v>
          </cell>
          <cell r="K1404" t="str">
            <v>C</v>
          </cell>
        </row>
        <row r="1405">
          <cell r="A1405">
            <v>1911</v>
          </cell>
          <cell r="B1405" t="str">
            <v>2.1.04.020.0012</v>
          </cell>
          <cell r="C1405" t="str">
            <v xml:space="preserve">AGENCIA NACIONAL SAUDE </v>
          </cell>
          <cell r="D1405">
            <v>0</v>
          </cell>
          <cell r="E1405" t="str">
            <v>C</v>
          </cell>
          <cell r="G1405">
            <v>8188.84</v>
          </cell>
          <cell r="H1405">
            <v>8188.84</v>
          </cell>
          <cell r="I1405">
            <v>0</v>
          </cell>
          <cell r="J1405">
            <v>0</v>
          </cell>
          <cell r="K1405" t="str">
            <v>C</v>
          </cell>
        </row>
        <row r="1406">
          <cell r="A1406">
            <v>51172</v>
          </cell>
          <cell r="B1406" t="str">
            <v>2.1.04.020.0015</v>
          </cell>
          <cell r="C1406" t="str">
            <v>ALICE TORRES DELGADO - ME</v>
          </cell>
          <cell r="D1406">
            <v>0</v>
          </cell>
          <cell r="E1406" t="str">
            <v>C</v>
          </cell>
          <cell r="G1406">
            <v>30874.6</v>
          </cell>
          <cell r="H1406">
            <v>30874.6</v>
          </cell>
          <cell r="I1406">
            <v>0</v>
          </cell>
          <cell r="J1406">
            <v>0</v>
          </cell>
          <cell r="K1406" t="str">
            <v>C</v>
          </cell>
        </row>
        <row r="1407">
          <cell r="A1407">
            <v>12459</v>
          </cell>
          <cell r="B1407" t="str">
            <v>2.1.04.020.0019</v>
          </cell>
          <cell r="C1407" t="str">
            <v xml:space="preserve">AMPRO - LABORATORIO E </v>
          </cell>
          <cell r="D1407">
            <v>2374</v>
          </cell>
          <cell r="E1407" t="str">
            <v>C</v>
          </cell>
          <cell r="G1407">
            <v>2374</v>
          </cell>
          <cell r="H1407">
            <v>3363.51</v>
          </cell>
          <cell r="I1407">
            <v>989.51</v>
          </cell>
          <cell r="J1407">
            <v>3363.51</v>
          </cell>
          <cell r="K1407" t="str">
            <v>C</v>
          </cell>
        </row>
        <row r="1408">
          <cell r="A1408">
            <v>51727</v>
          </cell>
          <cell r="B1408" t="str">
            <v>2.1.04.020.0020</v>
          </cell>
          <cell r="C1408" t="str">
            <v xml:space="preserve">ANA ROSA SORRENTI SETTI E </v>
          </cell>
          <cell r="D1408">
            <v>284.2</v>
          </cell>
          <cell r="E1408" t="str">
            <v>C</v>
          </cell>
          <cell r="G1408">
            <v>868.05</v>
          </cell>
          <cell r="H1408">
            <v>583.85</v>
          </cell>
          <cell r="I1408">
            <v>-284.2</v>
          </cell>
          <cell r="J1408">
            <v>0</v>
          </cell>
          <cell r="K1408" t="str">
            <v>C</v>
          </cell>
        </row>
        <row r="1409">
          <cell r="A1409">
            <v>52336</v>
          </cell>
          <cell r="B1409" t="str">
            <v>2.1.04.020.0021</v>
          </cell>
          <cell r="C1409" t="str">
            <v xml:space="preserve">ANDRE FREIRE ASSESSORIA E </v>
          </cell>
          <cell r="D1409">
            <v>26980.42</v>
          </cell>
          <cell r="E1409" t="str">
            <v>C</v>
          </cell>
          <cell r="G1409">
            <v>16865.25</v>
          </cell>
          <cell r="H1409">
            <v>13500.16</v>
          </cell>
          <cell r="I1409">
            <v>-3365.09</v>
          </cell>
          <cell r="J1409">
            <v>23615.33</v>
          </cell>
          <cell r="K1409" t="str">
            <v>C</v>
          </cell>
        </row>
        <row r="1410">
          <cell r="A1410">
            <v>2429</v>
          </cell>
          <cell r="B1410" t="str">
            <v>2.1.04.020.0022</v>
          </cell>
          <cell r="C1410" t="str">
            <v xml:space="preserve">ANDREI PUBLIC.MED.FARM.E </v>
          </cell>
          <cell r="D1410">
            <v>0</v>
          </cell>
          <cell r="E1410" t="str">
            <v>C</v>
          </cell>
          <cell r="G1410">
            <v>1530</v>
          </cell>
          <cell r="H1410">
            <v>3210</v>
          </cell>
          <cell r="I1410">
            <v>1680</v>
          </cell>
          <cell r="J1410">
            <v>1680</v>
          </cell>
          <cell r="K1410" t="str">
            <v>C</v>
          </cell>
        </row>
        <row r="1411">
          <cell r="A1411">
            <v>51283</v>
          </cell>
          <cell r="B1411" t="str">
            <v>2.1.04.020.0025</v>
          </cell>
          <cell r="C1411" t="str">
            <v xml:space="preserve">ASSOCIACAO SANTA CASA </v>
          </cell>
          <cell r="D1411">
            <v>0</v>
          </cell>
          <cell r="E1411" t="str">
            <v>C</v>
          </cell>
          <cell r="G1411">
            <v>122326.65</v>
          </cell>
          <cell r="H1411">
            <v>122326.65</v>
          </cell>
          <cell r="I1411">
            <v>0</v>
          </cell>
          <cell r="J1411">
            <v>0</v>
          </cell>
          <cell r="K1411" t="str">
            <v>C</v>
          </cell>
        </row>
        <row r="1412">
          <cell r="A1412">
            <v>52825</v>
          </cell>
          <cell r="B1412" t="str">
            <v>2.1.04.020.0029</v>
          </cell>
          <cell r="C1412" t="str">
            <v xml:space="preserve">AVATAR SOLUCOES EM </v>
          </cell>
          <cell r="D1412">
            <v>0</v>
          </cell>
          <cell r="E1412" t="str">
            <v>C</v>
          </cell>
          <cell r="G1412">
            <v>2533.9499999999998</v>
          </cell>
          <cell r="H1412">
            <v>2533.9499999999998</v>
          </cell>
          <cell r="I1412">
            <v>0</v>
          </cell>
          <cell r="J1412">
            <v>0</v>
          </cell>
          <cell r="K1412" t="str">
            <v>C</v>
          </cell>
        </row>
        <row r="1413">
          <cell r="A1413">
            <v>52123</v>
          </cell>
          <cell r="B1413" t="str">
            <v>2.1.04.020.0038</v>
          </cell>
          <cell r="C1413" t="str">
            <v xml:space="preserve">CALL MEDICS SUPRIM MED </v>
          </cell>
          <cell r="D1413">
            <v>4400</v>
          </cell>
          <cell r="E1413" t="str">
            <v>C</v>
          </cell>
          <cell r="G1413">
            <v>4400</v>
          </cell>
          <cell r="H1413">
            <v>32901.599999999999</v>
          </cell>
          <cell r="I1413">
            <v>28501.599999999999</v>
          </cell>
          <cell r="J1413">
            <v>32901.599999999999</v>
          </cell>
          <cell r="K1413" t="str">
            <v>C</v>
          </cell>
        </row>
        <row r="1414">
          <cell r="A1414">
            <v>38750</v>
          </cell>
          <cell r="B1414" t="str">
            <v>2.1.04.020.0039</v>
          </cell>
          <cell r="C1414" t="str">
            <v xml:space="preserve">CENTRO DE INTEGRACAO </v>
          </cell>
          <cell r="D1414">
            <v>0</v>
          </cell>
          <cell r="E1414" t="str">
            <v>C</v>
          </cell>
          <cell r="G1414">
            <v>377.67</v>
          </cell>
          <cell r="H1414">
            <v>377.67</v>
          </cell>
          <cell r="I1414">
            <v>0</v>
          </cell>
          <cell r="J1414">
            <v>0</v>
          </cell>
          <cell r="K1414" t="str">
            <v>C</v>
          </cell>
        </row>
        <row r="1415">
          <cell r="A1415">
            <v>52628</v>
          </cell>
          <cell r="B1415" t="str">
            <v>2.1.04.020.0040</v>
          </cell>
          <cell r="C1415" t="str">
            <v xml:space="preserve">CERTIFICA  AR CONTROLE </v>
          </cell>
          <cell r="D1415">
            <v>650</v>
          </cell>
          <cell r="E1415" t="str">
            <v>C</v>
          </cell>
          <cell r="G1415">
            <v>650</v>
          </cell>
          <cell r="H1415">
            <v>0</v>
          </cell>
          <cell r="I1415">
            <v>-650</v>
          </cell>
          <cell r="J1415">
            <v>0</v>
          </cell>
          <cell r="K1415" t="str">
            <v>C</v>
          </cell>
        </row>
        <row r="1416">
          <cell r="A1416">
            <v>34106</v>
          </cell>
          <cell r="B1416" t="str">
            <v>2.1.04.020.0042</v>
          </cell>
          <cell r="C1416" t="str">
            <v xml:space="preserve">SEM PARAR INSTITUICAO DE </v>
          </cell>
          <cell r="D1416">
            <v>0</v>
          </cell>
          <cell r="E1416" t="str">
            <v>C</v>
          </cell>
          <cell r="G1416">
            <v>971.34</v>
          </cell>
          <cell r="H1416">
            <v>971.34</v>
          </cell>
          <cell r="I1416">
            <v>0</v>
          </cell>
          <cell r="J1416">
            <v>0</v>
          </cell>
          <cell r="K1416" t="str">
            <v>C</v>
          </cell>
        </row>
        <row r="1417">
          <cell r="A1417">
            <v>37679</v>
          </cell>
          <cell r="B1417" t="str">
            <v>2.1.04.020.0046</v>
          </cell>
          <cell r="C1417" t="str">
            <v xml:space="preserve">COMPANHIA BRAS SOLUCOES </v>
          </cell>
          <cell r="D1417">
            <v>380935.51</v>
          </cell>
          <cell r="E1417" t="str">
            <v>C</v>
          </cell>
          <cell r="G1417">
            <v>380935.51</v>
          </cell>
          <cell r="H1417">
            <v>418785.42</v>
          </cell>
          <cell r="I1417">
            <v>37849.910000000003</v>
          </cell>
          <cell r="J1417">
            <v>418785.42</v>
          </cell>
          <cell r="K1417" t="str">
            <v>C</v>
          </cell>
        </row>
        <row r="1418">
          <cell r="A1418">
            <v>51835</v>
          </cell>
          <cell r="B1418" t="str">
            <v>2.1.04.020.0047</v>
          </cell>
          <cell r="C1418" t="str">
            <v xml:space="preserve">RAMIRO BERTOLINO DE </v>
          </cell>
          <cell r="D1418">
            <v>1280</v>
          </cell>
          <cell r="E1418" t="str">
            <v>C</v>
          </cell>
          <cell r="G1418">
            <v>1280</v>
          </cell>
          <cell r="H1418">
            <v>0</v>
          </cell>
          <cell r="I1418">
            <v>-1280</v>
          </cell>
          <cell r="J1418">
            <v>0</v>
          </cell>
          <cell r="K1418" t="str">
            <v>C</v>
          </cell>
        </row>
        <row r="1419">
          <cell r="A1419">
            <v>51154</v>
          </cell>
          <cell r="B1419" t="str">
            <v>2.1.04.020.0048</v>
          </cell>
          <cell r="C1419" t="str">
            <v xml:space="preserve">CONFEDERACAO DAS SANTAS </v>
          </cell>
          <cell r="D1419">
            <v>1696</v>
          </cell>
          <cell r="E1419" t="str">
            <v>C</v>
          </cell>
          <cell r="G1419">
            <v>3392</v>
          </cell>
          <cell r="H1419">
            <v>3392</v>
          </cell>
          <cell r="I1419">
            <v>0</v>
          </cell>
          <cell r="J1419">
            <v>1696</v>
          </cell>
          <cell r="K1419" t="str">
            <v>C</v>
          </cell>
        </row>
        <row r="1420">
          <cell r="A1420">
            <v>3756</v>
          </cell>
          <cell r="B1420" t="str">
            <v>2.1.04.020.0052</v>
          </cell>
          <cell r="C1420" t="str">
            <v xml:space="preserve">COPIADORA COPCENTRO </v>
          </cell>
          <cell r="D1420">
            <v>6320.4</v>
          </cell>
          <cell r="E1420" t="str">
            <v>C</v>
          </cell>
          <cell r="G1420">
            <v>6320.4</v>
          </cell>
          <cell r="H1420">
            <v>1535.31</v>
          </cell>
          <cell r="I1420">
            <v>-4785.09</v>
          </cell>
          <cell r="J1420">
            <v>1535.31</v>
          </cell>
          <cell r="K1420" t="str">
            <v>C</v>
          </cell>
        </row>
        <row r="1421">
          <cell r="A1421">
            <v>2701</v>
          </cell>
          <cell r="B1421" t="str">
            <v>2.1.04.020.0054</v>
          </cell>
          <cell r="C1421" t="str">
            <v>DISTRIFILM COMERCIAL LTDA.</v>
          </cell>
          <cell r="D1421">
            <v>2735.42</v>
          </cell>
          <cell r="E1421" t="str">
            <v>C</v>
          </cell>
          <cell r="G1421">
            <v>2735.42</v>
          </cell>
          <cell r="H1421">
            <v>2931.65</v>
          </cell>
          <cell r="I1421">
            <v>196.23</v>
          </cell>
          <cell r="J1421">
            <v>2931.65</v>
          </cell>
          <cell r="K1421" t="str">
            <v>C</v>
          </cell>
        </row>
        <row r="1422">
          <cell r="A1422">
            <v>3777</v>
          </cell>
          <cell r="B1422" t="str">
            <v>2.1.04.020.0055</v>
          </cell>
          <cell r="C1422" t="str">
            <v>DNMV SISTEMAS LTDA</v>
          </cell>
          <cell r="D1422">
            <v>25569.37</v>
          </cell>
          <cell r="E1422" t="str">
            <v>C</v>
          </cell>
          <cell r="G1422">
            <v>28926.43</v>
          </cell>
          <cell r="H1422">
            <v>39770.5</v>
          </cell>
          <cell r="I1422">
            <v>10844.07</v>
          </cell>
          <cell r="J1422">
            <v>36413.440000000002</v>
          </cell>
          <cell r="K1422" t="str">
            <v>C</v>
          </cell>
        </row>
        <row r="1423">
          <cell r="A1423">
            <v>2711</v>
          </cell>
          <cell r="B1423" t="str">
            <v>2.1.04.020.0056</v>
          </cell>
          <cell r="C1423" t="str">
            <v xml:space="preserve">DRAGER INDUSTRIA E </v>
          </cell>
          <cell r="D1423">
            <v>7820.5</v>
          </cell>
          <cell r="E1423" t="str">
            <v>C</v>
          </cell>
          <cell r="G1423">
            <v>7820.5</v>
          </cell>
          <cell r="H1423">
            <v>5534.1</v>
          </cell>
          <cell r="I1423">
            <v>-2286.4</v>
          </cell>
          <cell r="J1423">
            <v>5534.1</v>
          </cell>
          <cell r="K1423" t="str">
            <v>C</v>
          </cell>
        </row>
        <row r="1424">
          <cell r="A1424">
            <v>3800</v>
          </cell>
          <cell r="B1424" t="str">
            <v>2.1.04.020.0059</v>
          </cell>
          <cell r="C1424" t="str">
            <v xml:space="preserve">EMPR.DE ONIBUS PASSARO </v>
          </cell>
          <cell r="D1424">
            <v>0</v>
          </cell>
          <cell r="E1424" t="str">
            <v>C</v>
          </cell>
          <cell r="G1424">
            <v>7947.03</v>
          </cell>
          <cell r="H1424">
            <v>7947.03</v>
          </cell>
          <cell r="I1424">
            <v>0</v>
          </cell>
          <cell r="J1424">
            <v>0</v>
          </cell>
          <cell r="K1424" t="str">
            <v>C</v>
          </cell>
        </row>
        <row r="1425">
          <cell r="A1425">
            <v>3801</v>
          </cell>
          <cell r="B1425" t="str">
            <v>2.1.04.020.0060</v>
          </cell>
          <cell r="C1425" t="str">
            <v xml:space="preserve">EMPR.ENG.E CONT. BRASIL </v>
          </cell>
          <cell r="D1425">
            <v>0</v>
          </cell>
          <cell r="E1425" t="str">
            <v>C</v>
          </cell>
          <cell r="G1425">
            <v>29291</v>
          </cell>
          <cell r="H1425">
            <v>29291</v>
          </cell>
          <cell r="I1425">
            <v>0</v>
          </cell>
          <cell r="J1425">
            <v>0</v>
          </cell>
          <cell r="K1425" t="str">
            <v>C</v>
          </cell>
        </row>
        <row r="1426">
          <cell r="A1426">
            <v>38047</v>
          </cell>
          <cell r="B1426" t="str">
            <v>2.1.04.020.0061</v>
          </cell>
          <cell r="C1426" t="str">
            <v xml:space="preserve">EMPRESA BRASILEIRA DE </v>
          </cell>
          <cell r="D1426">
            <v>0</v>
          </cell>
          <cell r="E1426" t="str">
            <v>C</v>
          </cell>
          <cell r="G1426">
            <v>2041</v>
          </cell>
          <cell r="H1426">
            <v>2041</v>
          </cell>
          <cell r="I1426">
            <v>0</v>
          </cell>
          <cell r="J1426">
            <v>0</v>
          </cell>
          <cell r="K1426" t="str">
            <v>C</v>
          </cell>
        </row>
        <row r="1427">
          <cell r="A1427">
            <v>51223</v>
          </cell>
          <cell r="B1427" t="str">
            <v>2.1.04.020.0063</v>
          </cell>
          <cell r="C1427" t="str">
            <v xml:space="preserve">ESTACIONAMENTO RICIERI </v>
          </cell>
          <cell r="D1427">
            <v>1330</v>
          </cell>
          <cell r="E1427" t="str">
            <v>C</v>
          </cell>
          <cell r="G1427">
            <v>1330</v>
          </cell>
          <cell r="H1427">
            <v>1330</v>
          </cell>
          <cell r="I1427">
            <v>0</v>
          </cell>
          <cell r="J1427">
            <v>1330</v>
          </cell>
          <cell r="K1427" t="str">
            <v>C</v>
          </cell>
        </row>
        <row r="1428">
          <cell r="A1428">
            <v>38079</v>
          </cell>
          <cell r="B1428" t="str">
            <v>2.1.04.020.0065</v>
          </cell>
          <cell r="C1428" t="str">
            <v xml:space="preserve">FEDERACAO DAS STAS CASAS </v>
          </cell>
          <cell r="D1428">
            <v>1220.06</v>
          </cell>
          <cell r="E1428" t="str">
            <v>C</v>
          </cell>
          <cell r="G1428">
            <v>1220.06</v>
          </cell>
          <cell r="H1428">
            <v>1581.94</v>
          </cell>
          <cell r="I1428">
            <v>361.88</v>
          </cell>
          <cell r="J1428">
            <v>1581.94</v>
          </cell>
          <cell r="K1428" t="str">
            <v>C</v>
          </cell>
        </row>
        <row r="1429">
          <cell r="A1429">
            <v>52226</v>
          </cell>
          <cell r="B1429" t="str">
            <v>2.1.04.020.0066</v>
          </cell>
          <cell r="C1429" t="str">
            <v xml:space="preserve">FISIREHO BRASIL SERVICOS </v>
          </cell>
          <cell r="D1429">
            <v>0</v>
          </cell>
          <cell r="E1429" t="str">
            <v>C</v>
          </cell>
          <cell r="G1429">
            <v>350</v>
          </cell>
          <cell r="H1429">
            <v>350</v>
          </cell>
          <cell r="I1429">
            <v>0</v>
          </cell>
          <cell r="J1429">
            <v>0</v>
          </cell>
          <cell r="K1429" t="str">
            <v>C</v>
          </cell>
        </row>
        <row r="1430">
          <cell r="A1430">
            <v>12458</v>
          </cell>
          <cell r="B1430" t="str">
            <v>2.1.04.020.0070</v>
          </cell>
          <cell r="C1430" t="str">
            <v>FORNECEDORES DIVERSOS</v>
          </cell>
          <cell r="D1430">
            <v>1433.5</v>
          </cell>
          <cell r="E1430" t="str">
            <v>C</v>
          </cell>
          <cell r="G1430">
            <v>12495.21</v>
          </cell>
          <cell r="H1430">
            <v>74176.09</v>
          </cell>
          <cell r="I1430">
            <v>61680.88</v>
          </cell>
          <cell r="J1430">
            <v>63114.38</v>
          </cell>
          <cell r="K1430" t="str">
            <v>C</v>
          </cell>
        </row>
        <row r="1431">
          <cell r="A1431">
            <v>36709</v>
          </cell>
          <cell r="B1431" t="str">
            <v>2.1.04.020.0076</v>
          </cell>
          <cell r="C1431" t="str">
            <v xml:space="preserve">GRAFICA COPCENTRO LTDA - </v>
          </cell>
          <cell r="D1431">
            <v>12911.4</v>
          </cell>
          <cell r="E1431" t="str">
            <v>C</v>
          </cell>
          <cell r="G1431">
            <v>8959.15</v>
          </cell>
          <cell r="H1431">
            <v>5852.9</v>
          </cell>
          <cell r="I1431">
            <v>-3106.25</v>
          </cell>
          <cell r="J1431">
            <v>9805.15</v>
          </cell>
          <cell r="K1431" t="str">
            <v>C</v>
          </cell>
        </row>
        <row r="1432">
          <cell r="A1432">
            <v>4124</v>
          </cell>
          <cell r="B1432" t="str">
            <v>2.1.04.020.0084</v>
          </cell>
          <cell r="C1432" t="str">
            <v xml:space="preserve">HOTEL DAN INN SAO JOSE </v>
          </cell>
          <cell r="D1432">
            <v>0</v>
          </cell>
          <cell r="E1432" t="str">
            <v>C</v>
          </cell>
          <cell r="G1432">
            <v>418</v>
          </cell>
          <cell r="H1432">
            <v>418</v>
          </cell>
          <cell r="I1432">
            <v>0</v>
          </cell>
          <cell r="J1432">
            <v>0</v>
          </cell>
          <cell r="K1432" t="str">
            <v>C</v>
          </cell>
        </row>
        <row r="1433">
          <cell r="A1433">
            <v>3875</v>
          </cell>
          <cell r="B1433" t="str">
            <v>2.1.04.020.0090</v>
          </cell>
          <cell r="C1433" t="str">
            <v xml:space="preserve">INSTITUTO QUALISA DE </v>
          </cell>
          <cell r="D1433">
            <v>0</v>
          </cell>
          <cell r="E1433" t="str">
            <v>C</v>
          </cell>
          <cell r="G1433">
            <v>0</v>
          </cell>
          <cell r="H1433">
            <v>7948.48</v>
          </cell>
          <cell r="I1433">
            <v>7948.48</v>
          </cell>
          <cell r="J1433">
            <v>7948.48</v>
          </cell>
          <cell r="K1433" t="str">
            <v>C</v>
          </cell>
        </row>
        <row r="1434">
          <cell r="A1434">
            <v>33574</v>
          </cell>
          <cell r="B1434" t="str">
            <v>2.1.04.020.0091</v>
          </cell>
          <cell r="C1434" t="str">
            <v xml:space="preserve">IPMMI OBRA DE ACAO SOCIAL </v>
          </cell>
          <cell r="D1434">
            <v>0</v>
          </cell>
          <cell r="E1434" t="str">
            <v>C</v>
          </cell>
          <cell r="G1434">
            <v>0</v>
          </cell>
          <cell r="H1434">
            <v>27467.16</v>
          </cell>
          <cell r="I1434">
            <v>27467.16</v>
          </cell>
          <cell r="J1434">
            <v>27467.16</v>
          </cell>
          <cell r="K1434" t="str">
            <v>C</v>
          </cell>
        </row>
        <row r="1435">
          <cell r="A1435">
            <v>2959</v>
          </cell>
          <cell r="B1435" t="str">
            <v>2.1.04.020.0094</v>
          </cell>
          <cell r="C1435" t="str">
            <v xml:space="preserve">JACAREI TRANSPORTE </v>
          </cell>
          <cell r="D1435">
            <v>0</v>
          </cell>
          <cell r="E1435" t="str">
            <v>C</v>
          </cell>
          <cell r="G1435">
            <v>10525</v>
          </cell>
          <cell r="H1435">
            <v>10525</v>
          </cell>
          <cell r="I1435">
            <v>0</v>
          </cell>
          <cell r="J1435">
            <v>0</v>
          </cell>
          <cell r="K1435" t="str">
            <v>C</v>
          </cell>
        </row>
        <row r="1436">
          <cell r="A1436">
            <v>34177</v>
          </cell>
          <cell r="B1436" t="str">
            <v>2.1.04.020.0104</v>
          </cell>
          <cell r="C1436" t="str">
            <v xml:space="preserve">LOCAWEB SERVICOS DE </v>
          </cell>
          <cell r="D1436">
            <v>1252.6099999999999</v>
          </cell>
          <cell r="E1436" t="str">
            <v>C</v>
          </cell>
          <cell r="G1436">
            <v>1252.6099999999999</v>
          </cell>
          <cell r="H1436">
            <v>1252.6099999999999</v>
          </cell>
          <cell r="I1436">
            <v>0</v>
          </cell>
          <cell r="J1436">
            <v>1252.6099999999999</v>
          </cell>
          <cell r="K1436" t="str">
            <v>C</v>
          </cell>
        </row>
        <row r="1437">
          <cell r="A1437">
            <v>51756</v>
          </cell>
          <cell r="B1437" t="str">
            <v>2.1.04.020.0109</v>
          </cell>
          <cell r="C1437" t="str">
            <v xml:space="preserve">NEUROVITTA CLIN NEUROL </v>
          </cell>
          <cell r="D1437">
            <v>0</v>
          </cell>
          <cell r="E1437" t="str">
            <v>C</v>
          </cell>
          <cell r="G1437">
            <v>0</v>
          </cell>
          <cell r="H1437">
            <v>541.42999999999995</v>
          </cell>
          <cell r="I1437">
            <v>541.42999999999995</v>
          </cell>
          <cell r="J1437">
            <v>541.42999999999995</v>
          </cell>
          <cell r="K1437" t="str">
            <v>C</v>
          </cell>
        </row>
        <row r="1438">
          <cell r="A1438">
            <v>51122</v>
          </cell>
          <cell r="B1438" t="str">
            <v>2.1.04.020.0110</v>
          </cell>
          <cell r="C1438" t="str">
            <v>NEWTON OG PINOTTI - ME</v>
          </cell>
          <cell r="D1438">
            <v>0</v>
          </cell>
          <cell r="E1438" t="str">
            <v>C</v>
          </cell>
          <cell r="G1438">
            <v>29920</v>
          </cell>
          <cell r="H1438">
            <v>29920</v>
          </cell>
          <cell r="I1438">
            <v>0</v>
          </cell>
          <cell r="J1438">
            <v>0</v>
          </cell>
          <cell r="K1438" t="str">
            <v>C</v>
          </cell>
        </row>
        <row r="1439">
          <cell r="A1439">
            <v>52925</v>
          </cell>
          <cell r="B1439" t="str">
            <v>2.1.04.020.0115</v>
          </cell>
          <cell r="C1439" t="str">
            <v>P.D.F EMPREITEIRA EIRELLI</v>
          </cell>
          <cell r="D1439">
            <v>978.91</v>
          </cell>
          <cell r="E1439" t="str">
            <v>C</v>
          </cell>
          <cell r="G1439">
            <v>978.91</v>
          </cell>
          <cell r="H1439">
            <v>0</v>
          </cell>
          <cell r="I1439">
            <v>-978.91</v>
          </cell>
          <cell r="J1439">
            <v>0</v>
          </cell>
          <cell r="K1439" t="str">
            <v>C</v>
          </cell>
        </row>
        <row r="1440">
          <cell r="A1440">
            <v>4048</v>
          </cell>
          <cell r="B1440" t="str">
            <v>2.1.04.020.0116</v>
          </cell>
          <cell r="C1440" t="str">
            <v>PLANISA PLANEJ.ORGAN.</v>
          </cell>
          <cell r="D1440">
            <v>0</v>
          </cell>
          <cell r="E1440" t="str">
            <v>C</v>
          </cell>
          <cell r="G1440">
            <v>2976.03</v>
          </cell>
          <cell r="H1440">
            <v>2976.03</v>
          </cell>
          <cell r="I1440">
            <v>0</v>
          </cell>
          <cell r="J1440">
            <v>0</v>
          </cell>
          <cell r="K1440" t="str">
            <v>C</v>
          </cell>
        </row>
        <row r="1441">
          <cell r="A1441">
            <v>50886</v>
          </cell>
          <cell r="B1441" t="str">
            <v>2.1.04.020.0119</v>
          </cell>
          <cell r="C1441" t="str">
            <v xml:space="preserve">PREFEITURA  DE S PAULO - </v>
          </cell>
          <cell r="D1441">
            <v>260.32</v>
          </cell>
          <cell r="E1441" t="str">
            <v>C</v>
          </cell>
          <cell r="G1441">
            <v>260.32</v>
          </cell>
          <cell r="H1441">
            <v>0</v>
          </cell>
          <cell r="I1441">
            <v>-260.32</v>
          </cell>
          <cell r="J1441">
            <v>0</v>
          </cell>
          <cell r="K1441" t="str">
            <v>C</v>
          </cell>
        </row>
        <row r="1442">
          <cell r="A1442">
            <v>50942</v>
          </cell>
          <cell r="B1442" t="str">
            <v>2.1.04.020.0120</v>
          </cell>
          <cell r="C1442" t="str">
            <v xml:space="preserve">PREFEITURA MUNICIPAL DE </v>
          </cell>
          <cell r="D1442">
            <v>0</v>
          </cell>
          <cell r="E1442" t="str">
            <v>C</v>
          </cell>
          <cell r="G1442">
            <v>365.4</v>
          </cell>
          <cell r="H1442">
            <v>365.4</v>
          </cell>
          <cell r="I1442">
            <v>0</v>
          </cell>
          <cell r="J1442">
            <v>0</v>
          </cell>
          <cell r="K1442" t="str">
            <v>C</v>
          </cell>
        </row>
        <row r="1443">
          <cell r="A1443">
            <v>53021</v>
          </cell>
          <cell r="B1443" t="str">
            <v>2.1.04.020.0121</v>
          </cell>
          <cell r="C1443" t="str">
            <v xml:space="preserve">PRINT MAILING COM SERVIC E </v>
          </cell>
          <cell r="D1443">
            <v>3459.94</v>
          </cell>
          <cell r="E1443" t="str">
            <v>C</v>
          </cell>
          <cell r="G1443">
            <v>3459.94</v>
          </cell>
          <cell r="H1443">
            <v>1856.41</v>
          </cell>
          <cell r="I1443">
            <v>-1603.53</v>
          </cell>
          <cell r="J1443">
            <v>1856.41</v>
          </cell>
          <cell r="K1443" t="str">
            <v>C</v>
          </cell>
        </row>
        <row r="1444">
          <cell r="A1444">
            <v>52937</v>
          </cell>
          <cell r="B1444" t="str">
            <v>2.1.04.020.0135</v>
          </cell>
          <cell r="C1444" t="str">
            <v xml:space="preserve">SECRETARIA DO SUPERIOR </v>
          </cell>
          <cell r="D1444">
            <v>0</v>
          </cell>
          <cell r="E1444" t="str">
            <v>C</v>
          </cell>
          <cell r="G1444">
            <v>223.3</v>
          </cell>
          <cell r="H1444">
            <v>223.3</v>
          </cell>
          <cell r="I1444">
            <v>0</v>
          </cell>
          <cell r="J1444">
            <v>0</v>
          </cell>
          <cell r="K1444" t="str">
            <v>C</v>
          </cell>
        </row>
        <row r="1445">
          <cell r="A1445">
            <v>4118</v>
          </cell>
          <cell r="B1445" t="str">
            <v>2.1.04.020.0138</v>
          </cell>
          <cell r="C1445" t="str">
            <v>SERASA S.A.</v>
          </cell>
          <cell r="D1445">
            <v>0</v>
          </cell>
          <cell r="E1445" t="str">
            <v>C</v>
          </cell>
          <cell r="G1445">
            <v>0</v>
          </cell>
          <cell r="H1445">
            <v>409.87</v>
          </cell>
          <cell r="I1445">
            <v>409.87</v>
          </cell>
          <cell r="J1445">
            <v>409.87</v>
          </cell>
          <cell r="K1445" t="str">
            <v>C</v>
          </cell>
        </row>
        <row r="1446">
          <cell r="A1446">
            <v>51892</v>
          </cell>
          <cell r="B1446" t="str">
            <v>2.1.04.020.0139</v>
          </cell>
          <cell r="C1446" t="str">
            <v xml:space="preserve">SERVI MIL MANUT MONT </v>
          </cell>
          <cell r="D1446">
            <v>0</v>
          </cell>
          <cell r="E1446" t="str">
            <v>C</v>
          </cell>
          <cell r="G1446">
            <v>0</v>
          </cell>
          <cell r="H1446">
            <v>1908.33</v>
          </cell>
          <cell r="I1446">
            <v>1908.33</v>
          </cell>
          <cell r="J1446">
            <v>1908.33</v>
          </cell>
          <cell r="K1446" t="str">
            <v>C</v>
          </cell>
        </row>
        <row r="1447">
          <cell r="A1447">
            <v>51385</v>
          </cell>
          <cell r="B1447" t="str">
            <v>2.1.04.020.0141</v>
          </cell>
          <cell r="C1447" t="str">
            <v>SERV-RAD LTDA - ME</v>
          </cell>
          <cell r="D1447">
            <v>0</v>
          </cell>
          <cell r="E1447" t="str">
            <v>C</v>
          </cell>
          <cell r="G1447">
            <v>0</v>
          </cell>
          <cell r="H1447">
            <v>2859.43</v>
          </cell>
          <cell r="I1447">
            <v>2859.43</v>
          </cell>
          <cell r="J1447">
            <v>2859.43</v>
          </cell>
          <cell r="K1447" t="str">
            <v>C</v>
          </cell>
        </row>
        <row r="1448">
          <cell r="A1448">
            <v>3425</v>
          </cell>
          <cell r="B1448" t="str">
            <v>2.1.04.020.0142</v>
          </cell>
          <cell r="C1448" t="str">
            <v xml:space="preserve">SGS AUDITORES </v>
          </cell>
          <cell r="D1448">
            <v>0</v>
          </cell>
          <cell r="E1448" t="str">
            <v>C</v>
          </cell>
          <cell r="G1448">
            <v>1313</v>
          </cell>
          <cell r="H1448">
            <v>1313</v>
          </cell>
          <cell r="I1448">
            <v>0</v>
          </cell>
          <cell r="J1448">
            <v>0</v>
          </cell>
          <cell r="K1448" t="str">
            <v>C</v>
          </cell>
        </row>
        <row r="1449">
          <cell r="A1449">
            <v>4140</v>
          </cell>
          <cell r="B1449" t="str">
            <v>2.1.04.020.0145</v>
          </cell>
          <cell r="C1449" t="str">
            <v xml:space="preserve">SOARES CARVALHO E OTANI </v>
          </cell>
          <cell r="D1449">
            <v>0</v>
          </cell>
          <cell r="E1449" t="str">
            <v>C</v>
          </cell>
          <cell r="G1449">
            <v>10792.75</v>
          </cell>
          <cell r="H1449">
            <v>10992.3</v>
          </cell>
          <cell r="I1449">
            <v>199.55</v>
          </cell>
          <cell r="J1449">
            <v>199.55</v>
          </cell>
          <cell r="K1449" t="str">
            <v>C</v>
          </cell>
        </row>
        <row r="1450">
          <cell r="A1450">
            <v>33279</v>
          </cell>
          <cell r="B1450" t="str">
            <v>2.1.04.020.0149</v>
          </cell>
          <cell r="C1450" t="str">
            <v xml:space="preserve">SPEEDCAR CENTRO </v>
          </cell>
          <cell r="D1450">
            <v>2190</v>
          </cell>
          <cell r="E1450" t="str">
            <v>C</v>
          </cell>
          <cell r="G1450">
            <v>2485.75</v>
          </cell>
          <cell r="H1450">
            <v>11575</v>
          </cell>
          <cell r="I1450">
            <v>9089.25</v>
          </cell>
          <cell r="J1450">
            <v>11279.25</v>
          </cell>
          <cell r="K1450" t="str">
            <v>C</v>
          </cell>
        </row>
        <row r="1451">
          <cell r="A1451">
            <v>50848</v>
          </cell>
          <cell r="B1451" t="str">
            <v>2.1.04.020.0150</v>
          </cell>
          <cell r="C1451" t="str">
            <v xml:space="preserve">SSA RH SOLUCOES TREIN </v>
          </cell>
          <cell r="D1451">
            <v>1126.2</v>
          </cell>
          <cell r="E1451" t="str">
            <v>C</v>
          </cell>
          <cell r="G1451">
            <v>6475.65</v>
          </cell>
          <cell r="H1451">
            <v>5349.45</v>
          </cell>
          <cell r="I1451">
            <v>-1126.2</v>
          </cell>
          <cell r="J1451">
            <v>0</v>
          </cell>
          <cell r="K1451" t="str">
            <v>C</v>
          </cell>
        </row>
        <row r="1452">
          <cell r="A1452">
            <v>38715</v>
          </cell>
          <cell r="B1452" t="str">
            <v>2.1.04.020.0156</v>
          </cell>
          <cell r="C1452" t="str">
            <v xml:space="preserve">TERCEIRO TABELIAO DE </v>
          </cell>
          <cell r="D1452">
            <v>0</v>
          </cell>
          <cell r="E1452" t="str">
            <v>C</v>
          </cell>
          <cell r="G1452">
            <v>57.42</v>
          </cell>
          <cell r="H1452">
            <v>57.42</v>
          </cell>
          <cell r="I1452">
            <v>0</v>
          </cell>
          <cell r="J1452">
            <v>0</v>
          </cell>
          <cell r="K1452" t="str">
            <v>C</v>
          </cell>
        </row>
        <row r="1453">
          <cell r="A1453">
            <v>32601</v>
          </cell>
          <cell r="B1453" t="str">
            <v>2.1.04.020.0159</v>
          </cell>
          <cell r="C1453" t="str">
            <v xml:space="preserve">THYSSENKRUPP </v>
          </cell>
          <cell r="D1453">
            <v>11100.67</v>
          </cell>
          <cell r="E1453" t="str">
            <v>C</v>
          </cell>
          <cell r="G1453">
            <v>11100.67</v>
          </cell>
          <cell r="H1453">
            <v>5433.37</v>
          </cell>
          <cell r="I1453">
            <v>-5667.3</v>
          </cell>
          <cell r="J1453">
            <v>5433.37</v>
          </cell>
          <cell r="K1453" t="str">
            <v>C</v>
          </cell>
        </row>
        <row r="1454">
          <cell r="A1454">
            <v>36832</v>
          </cell>
          <cell r="B1454" t="str">
            <v>2.1.04.020.0161</v>
          </cell>
          <cell r="C1454" t="str">
            <v xml:space="preserve">TOOLMED MAN REPAR EQUIP </v>
          </cell>
          <cell r="D1454">
            <v>5307.5</v>
          </cell>
          <cell r="E1454" t="str">
            <v>C</v>
          </cell>
          <cell r="G1454">
            <v>1061.5</v>
          </cell>
          <cell r="H1454">
            <v>0</v>
          </cell>
          <cell r="I1454">
            <v>-1061.5</v>
          </cell>
          <cell r="J1454">
            <v>4246</v>
          </cell>
          <cell r="K1454" t="str">
            <v>C</v>
          </cell>
        </row>
        <row r="1455">
          <cell r="A1455">
            <v>52429</v>
          </cell>
          <cell r="B1455" t="str">
            <v>2.1.04.020.0163</v>
          </cell>
          <cell r="C1455" t="str">
            <v xml:space="preserve">TOTVALLE SOLUCOES EM </v>
          </cell>
          <cell r="D1455">
            <v>7956.86</v>
          </cell>
          <cell r="E1455" t="str">
            <v>C</v>
          </cell>
          <cell r="G1455">
            <v>7956.86</v>
          </cell>
          <cell r="H1455">
            <v>0</v>
          </cell>
          <cell r="I1455">
            <v>-7956.86</v>
          </cell>
          <cell r="J1455">
            <v>0</v>
          </cell>
          <cell r="K1455" t="str">
            <v>C</v>
          </cell>
        </row>
        <row r="1456">
          <cell r="A1456">
            <v>52436</v>
          </cell>
          <cell r="B1456" t="str">
            <v>2.1.04.020.0164</v>
          </cell>
          <cell r="C1456" t="str">
            <v>TOTVS S A</v>
          </cell>
          <cell r="D1456">
            <v>0</v>
          </cell>
          <cell r="E1456" t="str">
            <v>C</v>
          </cell>
          <cell r="G1456">
            <v>14539.89</v>
          </cell>
          <cell r="H1456">
            <v>14539.89</v>
          </cell>
          <cell r="I1456">
            <v>0</v>
          </cell>
          <cell r="J1456">
            <v>0</v>
          </cell>
          <cell r="K1456" t="str">
            <v>C</v>
          </cell>
        </row>
        <row r="1457">
          <cell r="A1457">
            <v>51658</v>
          </cell>
          <cell r="B1457" t="str">
            <v>2.1.04.020.0167</v>
          </cell>
          <cell r="C1457" t="str">
            <v xml:space="preserve">ECKERT E ZIEGLER BRASIL </v>
          </cell>
          <cell r="D1457">
            <v>1707.28</v>
          </cell>
          <cell r="E1457" t="str">
            <v>C</v>
          </cell>
          <cell r="G1457">
            <v>1707.28</v>
          </cell>
          <cell r="H1457">
            <v>1707.28</v>
          </cell>
          <cell r="I1457">
            <v>0</v>
          </cell>
          <cell r="J1457">
            <v>1707.28</v>
          </cell>
          <cell r="K1457" t="str">
            <v>C</v>
          </cell>
        </row>
        <row r="1458">
          <cell r="A1458">
            <v>36730</v>
          </cell>
          <cell r="B1458" t="str">
            <v>2.1.04.020.0169</v>
          </cell>
          <cell r="C1458" t="str">
            <v xml:space="preserve">UNIODONTO SJCAMPOS COOP </v>
          </cell>
          <cell r="D1458">
            <v>34739.1</v>
          </cell>
          <cell r="E1458" t="str">
            <v>C</v>
          </cell>
          <cell r="G1458">
            <v>34739.1</v>
          </cell>
          <cell r="H1458">
            <v>35078.400000000001</v>
          </cell>
          <cell r="I1458">
            <v>339.3</v>
          </cell>
          <cell r="J1458">
            <v>35078.400000000001</v>
          </cell>
          <cell r="K1458" t="str">
            <v>C</v>
          </cell>
        </row>
        <row r="1459">
          <cell r="A1459">
            <v>4192</v>
          </cell>
          <cell r="B1459" t="str">
            <v>2.1.04.020.0170</v>
          </cell>
          <cell r="C1459" t="str">
            <v>V. V. J. GRAFICA LTDA. - ME</v>
          </cell>
          <cell r="D1459">
            <v>66138</v>
          </cell>
          <cell r="E1459" t="str">
            <v>C</v>
          </cell>
          <cell r="G1459">
            <v>55269</v>
          </cell>
          <cell r="H1459">
            <v>33142.5</v>
          </cell>
          <cell r="I1459">
            <v>-22126.5</v>
          </cell>
          <cell r="J1459">
            <v>44011.5</v>
          </cell>
          <cell r="K1459" t="str">
            <v>C</v>
          </cell>
        </row>
        <row r="1460">
          <cell r="A1460">
            <v>3559</v>
          </cell>
          <cell r="B1460" t="str">
            <v>2.1.04.020.0173</v>
          </cell>
          <cell r="C1460" t="str">
            <v>VIACAO JACAREI LTDA.</v>
          </cell>
          <cell r="D1460">
            <v>0</v>
          </cell>
          <cell r="E1460" t="str">
            <v>C</v>
          </cell>
          <cell r="G1460">
            <v>20892.55</v>
          </cell>
          <cell r="H1460">
            <v>20892.55</v>
          </cell>
          <cell r="I1460">
            <v>0</v>
          </cell>
          <cell r="J1460">
            <v>0</v>
          </cell>
          <cell r="K1460" t="str">
            <v>C</v>
          </cell>
        </row>
        <row r="1461">
          <cell r="A1461">
            <v>51637</v>
          </cell>
          <cell r="B1461" t="str">
            <v>2.1.04.020.0174</v>
          </cell>
          <cell r="C1461" t="str">
            <v xml:space="preserve">VIEIRA DE MELO LOCACOES E </v>
          </cell>
          <cell r="D1461">
            <v>483.62</v>
          </cell>
          <cell r="E1461" t="str">
            <v>C</v>
          </cell>
          <cell r="G1461">
            <v>483.62</v>
          </cell>
          <cell r="H1461">
            <v>0</v>
          </cell>
          <cell r="I1461">
            <v>-483.62</v>
          </cell>
          <cell r="J1461">
            <v>0</v>
          </cell>
          <cell r="K1461" t="str">
            <v>C</v>
          </cell>
        </row>
        <row r="1462">
          <cell r="A1462">
            <v>3577</v>
          </cell>
          <cell r="B1462" t="str">
            <v>2.1.04.020.0177</v>
          </cell>
          <cell r="C1462" t="str">
            <v xml:space="preserve">VIVA PRINTER SOLUCOES </v>
          </cell>
          <cell r="D1462">
            <v>35112.07</v>
          </cell>
          <cell r="E1462" t="str">
            <v>C</v>
          </cell>
          <cell r="G1462">
            <v>28457.52</v>
          </cell>
          <cell r="H1462">
            <v>31514.99</v>
          </cell>
          <cell r="I1462">
            <v>3057.47</v>
          </cell>
          <cell r="J1462">
            <v>38169.54</v>
          </cell>
          <cell r="K1462" t="str">
            <v>C</v>
          </cell>
        </row>
        <row r="1463">
          <cell r="A1463">
            <v>53058</v>
          </cell>
          <cell r="B1463" t="str">
            <v>2.1.04.020.0185</v>
          </cell>
          <cell r="C1463" t="str">
            <v xml:space="preserve">ENGEL MARTINS SERVICOS </v>
          </cell>
          <cell r="D1463">
            <v>0</v>
          </cell>
          <cell r="E1463" t="str">
            <v>C</v>
          </cell>
          <cell r="G1463">
            <v>0</v>
          </cell>
          <cell r="H1463">
            <v>7682.35</v>
          </cell>
          <cell r="I1463">
            <v>7682.35</v>
          </cell>
          <cell r="J1463">
            <v>7682.35</v>
          </cell>
          <cell r="K1463" t="str">
            <v>C</v>
          </cell>
        </row>
        <row r="1464">
          <cell r="A1464">
            <v>53192</v>
          </cell>
          <cell r="B1464" t="str">
            <v>2.1.04.020.0208</v>
          </cell>
          <cell r="C1464" t="str">
            <v xml:space="preserve">ENGEPRAG CONTROLE DE </v>
          </cell>
          <cell r="D1464">
            <v>0</v>
          </cell>
          <cell r="E1464" t="str">
            <v>C</v>
          </cell>
          <cell r="G1464">
            <v>2945.33</v>
          </cell>
          <cell r="H1464">
            <v>3167.83</v>
          </cell>
          <cell r="I1464">
            <v>222.5</v>
          </cell>
          <cell r="J1464">
            <v>222.5</v>
          </cell>
          <cell r="K1464" t="str">
            <v>C</v>
          </cell>
        </row>
        <row r="1465">
          <cell r="A1465">
            <v>53199</v>
          </cell>
          <cell r="B1465" t="str">
            <v>2.1.04.020.0211</v>
          </cell>
          <cell r="C1465" t="str">
            <v xml:space="preserve">INST. NAC. DE METROL. </v>
          </cell>
          <cell r="D1465">
            <v>0</v>
          </cell>
          <cell r="E1465" t="str">
            <v>C</v>
          </cell>
          <cell r="G1465">
            <v>8912.43</v>
          </cell>
          <cell r="H1465">
            <v>8912.43</v>
          </cell>
          <cell r="I1465">
            <v>0</v>
          </cell>
          <cell r="J1465">
            <v>0</v>
          </cell>
          <cell r="K1465" t="str">
            <v>C</v>
          </cell>
        </row>
        <row r="1466">
          <cell r="A1466">
            <v>51955</v>
          </cell>
          <cell r="B1466" t="str">
            <v>2.1.04.020.0215</v>
          </cell>
          <cell r="C1466" t="str">
            <v xml:space="preserve">5S - FIVE SOLUTIONS COM E </v>
          </cell>
          <cell r="D1466">
            <v>4252.1400000000003</v>
          </cell>
          <cell r="E1466" t="str">
            <v>C</v>
          </cell>
          <cell r="G1466">
            <v>4252.1400000000003</v>
          </cell>
          <cell r="H1466">
            <v>0</v>
          </cell>
          <cell r="I1466">
            <v>-4252.1400000000003</v>
          </cell>
          <cell r="J1466">
            <v>0</v>
          </cell>
          <cell r="K1466" t="str">
            <v>C</v>
          </cell>
        </row>
        <row r="1467">
          <cell r="A1467">
            <v>52321</v>
          </cell>
          <cell r="B1467" t="str">
            <v>2.1.04.020.0216</v>
          </cell>
          <cell r="C1467" t="str">
            <v xml:space="preserve">SANTA BRANCA </v>
          </cell>
          <cell r="D1467">
            <v>0</v>
          </cell>
          <cell r="E1467" t="str">
            <v>C</v>
          </cell>
          <cell r="G1467">
            <v>445.41</v>
          </cell>
          <cell r="H1467">
            <v>445.41</v>
          </cell>
          <cell r="I1467">
            <v>0</v>
          </cell>
          <cell r="J1467">
            <v>0</v>
          </cell>
          <cell r="K1467" t="str">
            <v>C</v>
          </cell>
        </row>
        <row r="1468">
          <cell r="A1468">
            <v>53280</v>
          </cell>
          <cell r="B1468" t="str">
            <v>2.1.04.020.0233</v>
          </cell>
          <cell r="C1468" t="str">
            <v xml:space="preserve">OK WEB PRODUCOES </v>
          </cell>
          <cell r="D1468">
            <v>670.73</v>
          </cell>
          <cell r="E1468" t="str">
            <v>C</v>
          </cell>
          <cell r="G1468">
            <v>670.73</v>
          </cell>
          <cell r="H1468">
            <v>0</v>
          </cell>
          <cell r="I1468">
            <v>-670.73</v>
          </cell>
          <cell r="J1468">
            <v>0</v>
          </cell>
          <cell r="K1468" t="str">
            <v>C</v>
          </cell>
        </row>
        <row r="1469">
          <cell r="A1469">
            <v>53299</v>
          </cell>
          <cell r="B1469" t="str">
            <v>2.1.04.020.0235</v>
          </cell>
          <cell r="C1469" t="str">
            <v>MV INFORMATICA NORDESTE</v>
          </cell>
          <cell r="D1469">
            <v>8601.4599999999991</v>
          </cell>
          <cell r="E1469" t="str">
            <v>C</v>
          </cell>
          <cell r="G1469">
            <v>9361.64</v>
          </cell>
          <cell r="H1469">
            <v>9842.91</v>
          </cell>
          <cell r="I1469">
            <v>481.27</v>
          </cell>
          <cell r="J1469">
            <v>9082.73</v>
          </cell>
          <cell r="K1469" t="str">
            <v>C</v>
          </cell>
        </row>
        <row r="1470">
          <cell r="A1470">
            <v>51869</v>
          </cell>
          <cell r="B1470" t="str">
            <v>2.1.04.020.0246</v>
          </cell>
          <cell r="C1470" t="str">
            <v xml:space="preserve">CARTORIO 1° OFICIO REG </v>
          </cell>
          <cell r="D1470">
            <v>95.48</v>
          </cell>
          <cell r="E1470" t="str">
            <v>C</v>
          </cell>
          <cell r="G1470">
            <v>95.48</v>
          </cell>
          <cell r="H1470">
            <v>64.819999999999993</v>
          </cell>
          <cell r="I1470">
            <v>-30.66</v>
          </cell>
          <cell r="J1470">
            <v>64.819999999999993</v>
          </cell>
          <cell r="K1470" t="str">
            <v>C</v>
          </cell>
        </row>
        <row r="1471">
          <cell r="A1471">
            <v>53355</v>
          </cell>
          <cell r="B1471" t="str">
            <v>2.1.04.020.0253</v>
          </cell>
          <cell r="C1471" t="str">
            <v xml:space="preserve">L C FREITAS RESTAURANTE </v>
          </cell>
          <cell r="D1471">
            <v>0</v>
          </cell>
          <cell r="E1471" t="str">
            <v>C</v>
          </cell>
          <cell r="G1471">
            <v>2592</v>
          </cell>
          <cell r="H1471">
            <v>2592</v>
          </cell>
          <cell r="I1471">
            <v>0</v>
          </cell>
          <cell r="J1471">
            <v>0</v>
          </cell>
          <cell r="K1471" t="str">
            <v>C</v>
          </cell>
        </row>
        <row r="1472">
          <cell r="A1472">
            <v>53361</v>
          </cell>
          <cell r="B1472" t="str">
            <v>2.1.04.020.0256</v>
          </cell>
          <cell r="C1472" t="str">
            <v xml:space="preserve">POWERBLADE SOLUCOES EM </v>
          </cell>
          <cell r="D1472">
            <v>0</v>
          </cell>
          <cell r="E1472" t="str">
            <v>C</v>
          </cell>
          <cell r="G1472">
            <v>2960.3</v>
          </cell>
          <cell r="H1472">
            <v>2960.3</v>
          </cell>
          <cell r="I1472">
            <v>0</v>
          </cell>
          <cell r="J1472">
            <v>0</v>
          </cell>
          <cell r="K1472" t="str">
            <v>C</v>
          </cell>
        </row>
        <row r="1473">
          <cell r="A1473">
            <v>51274</v>
          </cell>
          <cell r="B1473" t="str">
            <v>2.1.04.020.0272</v>
          </cell>
          <cell r="C1473" t="str">
            <v xml:space="preserve">PLOCAD INFORMATICA E </v>
          </cell>
          <cell r="D1473">
            <v>1203.46</v>
          </cell>
          <cell r="E1473" t="str">
            <v>C</v>
          </cell>
          <cell r="G1473">
            <v>4682.4799999999996</v>
          </cell>
          <cell r="H1473">
            <v>3479.02</v>
          </cell>
          <cell r="I1473">
            <v>-1203.46</v>
          </cell>
          <cell r="J1473">
            <v>0</v>
          </cell>
          <cell r="K1473" t="str">
            <v>C</v>
          </cell>
        </row>
        <row r="1474">
          <cell r="A1474">
            <v>53419</v>
          </cell>
          <cell r="B1474" t="str">
            <v>2.1.04.020.0273</v>
          </cell>
          <cell r="C1474" t="str">
            <v xml:space="preserve">VGM FALCI EQUIPAMENTOS </v>
          </cell>
          <cell r="D1474">
            <v>4432.5</v>
          </cell>
          <cell r="E1474" t="str">
            <v>C</v>
          </cell>
          <cell r="G1474">
            <v>2562.5</v>
          </cell>
          <cell r="H1474">
            <v>0</v>
          </cell>
          <cell r="I1474">
            <v>-2562.5</v>
          </cell>
          <cell r="J1474">
            <v>1870</v>
          </cell>
          <cell r="K1474" t="str">
            <v>C</v>
          </cell>
        </row>
        <row r="1475">
          <cell r="A1475">
            <v>2675</v>
          </cell>
          <cell r="B1475" t="str">
            <v>2.1.04.020.0279</v>
          </cell>
          <cell r="C1475" t="str">
            <v xml:space="preserve">DEGRAUS ANDAIME E </v>
          </cell>
          <cell r="D1475">
            <v>3849.2</v>
          </cell>
          <cell r="E1475" t="str">
            <v>C</v>
          </cell>
          <cell r="G1475">
            <v>3849.2</v>
          </cell>
          <cell r="H1475">
            <v>3064.62</v>
          </cell>
          <cell r="I1475">
            <v>-784.58</v>
          </cell>
          <cell r="J1475">
            <v>3064.62</v>
          </cell>
          <cell r="K1475" t="str">
            <v>C</v>
          </cell>
        </row>
        <row r="1476">
          <cell r="A1476">
            <v>53479</v>
          </cell>
          <cell r="B1476" t="str">
            <v>2.1.04.020.0287</v>
          </cell>
          <cell r="C1476" t="str">
            <v xml:space="preserve">NUMB3RS CONSULTORIA E </v>
          </cell>
          <cell r="D1476">
            <v>0</v>
          </cell>
          <cell r="E1476" t="str">
            <v>C</v>
          </cell>
          <cell r="G1476">
            <v>1591.05</v>
          </cell>
          <cell r="H1476">
            <v>1591.05</v>
          </cell>
          <cell r="I1476">
            <v>0</v>
          </cell>
          <cell r="J1476">
            <v>0</v>
          </cell>
          <cell r="K1476" t="str">
            <v>C</v>
          </cell>
        </row>
        <row r="1477">
          <cell r="A1477">
            <v>52026</v>
          </cell>
          <cell r="B1477" t="str">
            <v>2.1.04.020.0294</v>
          </cell>
          <cell r="C1477" t="str">
            <v xml:space="preserve">ACIM SERVICOS MEDICOS </v>
          </cell>
          <cell r="D1477">
            <v>495.2</v>
          </cell>
          <cell r="E1477" t="str">
            <v>C</v>
          </cell>
          <cell r="G1477">
            <v>0</v>
          </cell>
          <cell r="H1477">
            <v>0</v>
          </cell>
          <cell r="I1477">
            <v>0</v>
          </cell>
          <cell r="J1477">
            <v>495.2</v>
          </cell>
          <cell r="K1477" t="str">
            <v>C</v>
          </cell>
        </row>
        <row r="1478">
          <cell r="A1478">
            <v>53505</v>
          </cell>
          <cell r="B1478" t="str">
            <v>2.1.04.020.0296</v>
          </cell>
          <cell r="C1478" t="str">
            <v xml:space="preserve">BRASILIA CONSULTORIA </v>
          </cell>
          <cell r="D1478">
            <v>0</v>
          </cell>
          <cell r="E1478" t="str">
            <v>C</v>
          </cell>
          <cell r="G1478">
            <v>16575</v>
          </cell>
          <cell r="H1478">
            <v>16575</v>
          </cell>
          <cell r="I1478">
            <v>0</v>
          </cell>
          <cell r="J1478">
            <v>0</v>
          </cell>
          <cell r="K1478" t="str">
            <v>C</v>
          </cell>
        </row>
        <row r="1479">
          <cell r="A1479">
            <v>53563</v>
          </cell>
          <cell r="B1479" t="str">
            <v>2.1.04.020.0311</v>
          </cell>
          <cell r="C1479" t="str">
            <v xml:space="preserve">SETE MEIA </v>
          </cell>
          <cell r="D1479">
            <v>5200</v>
          </cell>
          <cell r="E1479" t="str">
            <v>C</v>
          </cell>
          <cell r="G1479">
            <v>5200</v>
          </cell>
          <cell r="H1479">
            <v>6800</v>
          </cell>
          <cell r="I1479">
            <v>1600</v>
          </cell>
          <cell r="J1479">
            <v>6800</v>
          </cell>
          <cell r="K1479" t="str">
            <v>C</v>
          </cell>
        </row>
        <row r="1480">
          <cell r="A1480">
            <v>4038</v>
          </cell>
          <cell r="B1480" t="str">
            <v>2.1.04.020.0321</v>
          </cell>
          <cell r="C1480" t="str">
            <v>PAULO ROBERTO FERRAZ - PJ</v>
          </cell>
          <cell r="D1480">
            <v>7617.18</v>
          </cell>
          <cell r="E1480" t="str">
            <v>C</v>
          </cell>
          <cell r="G1480">
            <v>7617.18</v>
          </cell>
          <cell r="H1480">
            <v>769.76</v>
          </cell>
          <cell r="I1480">
            <v>-6847.42</v>
          </cell>
          <cell r="J1480">
            <v>769.76</v>
          </cell>
          <cell r="K1480" t="str">
            <v>C</v>
          </cell>
        </row>
        <row r="1481">
          <cell r="A1481">
            <v>53714</v>
          </cell>
          <cell r="B1481" t="str">
            <v>2.1.04.020.0329</v>
          </cell>
          <cell r="C1481" t="str">
            <v>DANILO LOPES RIBEIRO</v>
          </cell>
          <cell r="D1481">
            <v>55052.12</v>
          </cell>
          <cell r="E1481" t="str">
            <v>C</v>
          </cell>
          <cell r="G1481">
            <v>9175.36</v>
          </cell>
          <cell r="H1481">
            <v>0</v>
          </cell>
          <cell r="I1481">
            <v>-9175.36</v>
          </cell>
          <cell r="J1481">
            <v>45876.76</v>
          </cell>
          <cell r="K1481" t="str">
            <v>C</v>
          </cell>
        </row>
        <row r="1482">
          <cell r="A1482">
            <v>53725</v>
          </cell>
          <cell r="B1482" t="str">
            <v>2.1.04.020.0332</v>
          </cell>
          <cell r="C1482" t="str">
            <v xml:space="preserve">BULBLESS SERVICOS </v>
          </cell>
          <cell r="D1482">
            <v>0</v>
          </cell>
          <cell r="E1482" t="str">
            <v>C</v>
          </cell>
          <cell r="G1482">
            <v>0</v>
          </cell>
          <cell r="H1482">
            <v>1294.3499999999999</v>
          </cell>
          <cell r="I1482">
            <v>1294.3499999999999</v>
          </cell>
          <cell r="J1482">
            <v>1294.3499999999999</v>
          </cell>
          <cell r="K1482" t="str">
            <v>C</v>
          </cell>
        </row>
        <row r="1483">
          <cell r="A1483">
            <v>53726</v>
          </cell>
          <cell r="B1483" t="str">
            <v>2.1.04.020.0333</v>
          </cell>
          <cell r="C1483" t="str">
            <v xml:space="preserve">ALEXANDRE DO NASCIMENTO </v>
          </cell>
          <cell r="D1483">
            <v>0</v>
          </cell>
          <cell r="E1483" t="str">
            <v>C</v>
          </cell>
          <cell r="G1483">
            <v>0</v>
          </cell>
          <cell r="H1483">
            <v>3993.5</v>
          </cell>
          <cell r="I1483">
            <v>3993.5</v>
          </cell>
          <cell r="J1483">
            <v>3993.5</v>
          </cell>
          <cell r="K1483" t="str">
            <v>C</v>
          </cell>
        </row>
        <row r="1484">
          <cell r="A1484">
            <v>53732</v>
          </cell>
          <cell r="B1484" t="str">
            <v>2.1.04.020.0336</v>
          </cell>
          <cell r="C1484" t="str">
            <v xml:space="preserve">LF SJCAMPOS ALUGUEL DE </v>
          </cell>
          <cell r="D1484">
            <v>1624</v>
          </cell>
          <cell r="E1484" t="str">
            <v>C</v>
          </cell>
          <cell r="G1484">
            <v>3248</v>
          </cell>
          <cell r="H1484">
            <v>1624</v>
          </cell>
          <cell r="I1484">
            <v>-1624</v>
          </cell>
          <cell r="J1484">
            <v>0</v>
          </cell>
          <cell r="K1484" t="str">
            <v>C</v>
          </cell>
        </row>
        <row r="1485">
          <cell r="A1485">
            <v>53799</v>
          </cell>
          <cell r="B1485" t="str">
            <v>2.1.04.020.0341</v>
          </cell>
          <cell r="C1485" t="str">
            <v xml:space="preserve">SOARES E CARVALHO </v>
          </cell>
          <cell r="D1485">
            <v>2655.36</v>
          </cell>
          <cell r="E1485" t="str">
            <v>C</v>
          </cell>
          <cell r="G1485">
            <v>2655.36</v>
          </cell>
          <cell r="H1485">
            <v>2655.36</v>
          </cell>
          <cell r="I1485">
            <v>0</v>
          </cell>
          <cell r="J1485">
            <v>2655.36</v>
          </cell>
          <cell r="K1485" t="str">
            <v>C</v>
          </cell>
        </row>
        <row r="1486">
          <cell r="A1486">
            <v>53823</v>
          </cell>
          <cell r="B1486" t="str">
            <v>2.1.04.020.0347</v>
          </cell>
          <cell r="C1486" t="str">
            <v xml:space="preserve">ESTERILAV COMERCIO E </v>
          </cell>
          <cell r="D1486">
            <v>315</v>
          </cell>
          <cell r="E1486" t="str">
            <v>C</v>
          </cell>
          <cell r="G1486">
            <v>315</v>
          </cell>
          <cell r="H1486">
            <v>1580</v>
          </cell>
          <cell r="I1486">
            <v>1265</v>
          </cell>
          <cell r="J1486">
            <v>1580</v>
          </cell>
          <cell r="K1486" t="str">
            <v>C</v>
          </cell>
        </row>
        <row r="1487">
          <cell r="A1487">
            <v>53941</v>
          </cell>
          <cell r="B1487" t="str">
            <v>2.1.04.020.0375</v>
          </cell>
          <cell r="C1487" t="str">
            <v xml:space="preserve">GILBERTO DE CARVALHO </v>
          </cell>
          <cell r="D1487">
            <v>0</v>
          </cell>
          <cell r="E1487" t="str">
            <v>C</v>
          </cell>
          <cell r="G1487">
            <v>0</v>
          </cell>
          <cell r="H1487">
            <v>1046.81</v>
          </cell>
          <cell r="I1487">
            <v>1046.81</v>
          </cell>
          <cell r="J1487">
            <v>1046.81</v>
          </cell>
          <cell r="K1487" t="str">
            <v>C</v>
          </cell>
        </row>
        <row r="1488">
          <cell r="A1488">
            <v>53943</v>
          </cell>
          <cell r="B1488" t="str">
            <v>2.1.04.020.0376</v>
          </cell>
          <cell r="C1488" t="str">
            <v xml:space="preserve">ISMAEL DE OLIVEIRA BATISTA </v>
          </cell>
          <cell r="D1488">
            <v>0</v>
          </cell>
          <cell r="E1488" t="str">
            <v>C</v>
          </cell>
          <cell r="G1488">
            <v>0</v>
          </cell>
          <cell r="H1488">
            <v>5250</v>
          </cell>
          <cell r="I1488">
            <v>5250</v>
          </cell>
          <cell r="J1488">
            <v>5250</v>
          </cell>
          <cell r="K1488" t="str">
            <v>C</v>
          </cell>
        </row>
        <row r="1489">
          <cell r="A1489">
            <v>53989</v>
          </cell>
          <cell r="B1489" t="str">
            <v>2.1.04.020.0393</v>
          </cell>
          <cell r="C1489" t="str">
            <v xml:space="preserve">STERICYCLE GESTAO </v>
          </cell>
          <cell r="D1489">
            <v>25562.5</v>
          </cell>
          <cell r="E1489" t="str">
            <v>C</v>
          </cell>
          <cell r="G1489">
            <v>25562.5</v>
          </cell>
          <cell r="H1489">
            <v>27399.61</v>
          </cell>
          <cell r="I1489">
            <v>1837.11</v>
          </cell>
          <cell r="J1489">
            <v>27399.61</v>
          </cell>
          <cell r="K1489" t="str">
            <v>C</v>
          </cell>
        </row>
        <row r="1490">
          <cell r="A1490">
            <v>53999</v>
          </cell>
          <cell r="B1490" t="str">
            <v>2.1.04.020.0395</v>
          </cell>
          <cell r="C1490" t="str">
            <v xml:space="preserve">LEANDRO FABIO DE ANDRADE </v>
          </cell>
          <cell r="D1490">
            <v>0</v>
          </cell>
          <cell r="E1490" t="str">
            <v>C</v>
          </cell>
          <cell r="G1490">
            <v>12229.26</v>
          </cell>
          <cell r="H1490">
            <v>12229.26</v>
          </cell>
          <cell r="I1490">
            <v>0</v>
          </cell>
          <cell r="J1490">
            <v>0</v>
          </cell>
          <cell r="K1490" t="str">
            <v>C</v>
          </cell>
        </row>
        <row r="1491">
          <cell r="A1491">
            <v>54600</v>
          </cell>
          <cell r="B1491" t="str">
            <v>2.1.04.020.0428</v>
          </cell>
          <cell r="C1491" t="str">
            <v xml:space="preserve">CAMILA MOUSINHO LIMA </v>
          </cell>
          <cell r="D1491">
            <v>1390</v>
          </cell>
          <cell r="E1491" t="str">
            <v>C</v>
          </cell>
          <cell r="G1491">
            <v>1390</v>
          </cell>
          <cell r="H1491">
            <v>0</v>
          </cell>
          <cell r="I1491">
            <v>-1390</v>
          </cell>
          <cell r="J1491">
            <v>0</v>
          </cell>
          <cell r="K1491" t="str">
            <v>C</v>
          </cell>
        </row>
        <row r="1492">
          <cell r="A1492">
            <v>54601</v>
          </cell>
          <cell r="B1492" t="str">
            <v>2.1.04.020.0429</v>
          </cell>
          <cell r="C1492" t="str">
            <v xml:space="preserve">MV SISTEMAS DE MEDICINA </v>
          </cell>
          <cell r="D1492">
            <v>4449.22</v>
          </cell>
          <cell r="E1492" t="str">
            <v>C</v>
          </cell>
          <cell r="G1492">
            <v>4449.22</v>
          </cell>
          <cell r="H1492">
            <v>4449.22</v>
          </cell>
          <cell r="I1492">
            <v>0</v>
          </cell>
          <cell r="J1492">
            <v>4449.22</v>
          </cell>
          <cell r="K1492" t="str">
            <v>C</v>
          </cell>
        </row>
        <row r="1493">
          <cell r="A1493">
            <v>54626</v>
          </cell>
          <cell r="B1493" t="str">
            <v>2.1.04.020.0434</v>
          </cell>
          <cell r="C1493" t="str">
            <v xml:space="preserve">CORONEL SERVICOS DE </v>
          </cell>
          <cell r="D1493">
            <v>20651.61</v>
          </cell>
          <cell r="E1493" t="str">
            <v>C</v>
          </cell>
          <cell r="G1493">
            <v>20651.61</v>
          </cell>
          <cell r="H1493">
            <v>19486.54</v>
          </cell>
          <cell r="I1493">
            <v>-1165.07</v>
          </cell>
          <cell r="J1493">
            <v>19486.54</v>
          </cell>
          <cell r="K1493" t="str">
            <v>C</v>
          </cell>
        </row>
        <row r="1494">
          <cell r="A1494">
            <v>54074</v>
          </cell>
          <cell r="B1494" t="str">
            <v>2.1.04.020.0544</v>
          </cell>
          <cell r="C1494" t="str">
            <v xml:space="preserve">WILLIAN DOS SANTOS LIMA </v>
          </cell>
          <cell r="D1494">
            <v>6933</v>
          </cell>
          <cell r="E1494" t="str">
            <v>C</v>
          </cell>
          <cell r="G1494">
            <v>6933</v>
          </cell>
          <cell r="H1494">
            <v>6400</v>
          </cell>
          <cell r="I1494">
            <v>-533</v>
          </cell>
          <cell r="J1494">
            <v>6400</v>
          </cell>
          <cell r="K1494" t="str">
            <v>C</v>
          </cell>
        </row>
        <row r="1495">
          <cell r="A1495">
            <v>54109</v>
          </cell>
          <cell r="B1495" t="str">
            <v>2.1.04.020.0554</v>
          </cell>
          <cell r="C1495" t="str">
            <v xml:space="preserve">RESTAURANTE BERROYER </v>
          </cell>
          <cell r="D1495">
            <v>0</v>
          </cell>
          <cell r="E1495" t="str">
            <v>C</v>
          </cell>
          <cell r="G1495">
            <v>0</v>
          </cell>
          <cell r="H1495">
            <v>1044.3399999999999</v>
          </cell>
          <cell r="I1495">
            <v>1044.3399999999999</v>
          </cell>
          <cell r="J1495">
            <v>1044.3399999999999</v>
          </cell>
          <cell r="K1495" t="str">
            <v>C</v>
          </cell>
        </row>
        <row r="1496">
          <cell r="A1496">
            <v>54279</v>
          </cell>
          <cell r="B1496" t="str">
            <v>2.1.04.020.0576</v>
          </cell>
          <cell r="C1496" t="str">
            <v xml:space="preserve">FEITOSA NEFROLOGIA </v>
          </cell>
          <cell r="D1496">
            <v>1006.8</v>
          </cell>
          <cell r="E1496" t="str">
            <v>C</v>
          </cell>
          <cell r="G1496">
            <v>0</v>
          </cell>
          <cell r="H1496">
            <v>0</v>
          </cell>
          <cell r="I1496">
            <v>0</v>
          </cell>
          <cell r="J1496">
            <v>1006.8</v>
          </cell>
          <cell r="K1496" t="str">
            <v>C</v>
          </cell>
        </row>
        <row r="1497">
          <cell r="A1497">
            <v>54294</v>
          </cell>
          <cell r="B1497" t="str">
            <v>2.1.04.020.0581</v>
          </cell>
          <cell r="C1497" t="str">
            <v xml:space="preserve">ABC DO VALE TRANSPORTES </v>
          </cell>
          <cell r="D1497">
            <v>0</v>
          </cell>
          <cell r="E1497" t="str">
            <v>C</v>
          </cell>
          <cell r="G1497">
            <v>1308.0999999999999</v>
          </cell>
          <cell r="H1497">
            <v>1308.0999999999999</v>
          </cell>
          <cell r="I1497">
            <v>0</v>
          </cell>
          <cell r="J1497">
            <v>0</v>
          </cell>
          <cell r="K1497" t="str">
            <v>C</v>
          </cell>
        </row>
        <row r="1498">
          <cell r="A1498">
            <v>54304</v>
          </cell>
          <cell r="B1498" t="str">
            <v>2.1.04.020.0585</v>
          </cell>
          <cell r="C1498" t="str">
            <v xml:space="preserve">I-SOLUTIONCARD COMERCIO </v>
          </cell>
          <cell r="D1498">
            <v>0</v>
          </cell>
          <cell r="E1498" t="str">
            <v>C</v>
          </cell>
          <cell r="G1498">
            <v>0</v>
          </cell>
          <cell r="H1498">
            <v>260</v>
          </cell>
          <cell r="I1498">
            <v>260</v>
          </cell>
          <cell r="J1498">
            <v>260</v>
          </cell>
          <cell r="K1498" t="str">
            <v>C</v>
          </cell>
        </row>
        <row r="1499">
          <cell r="A1499">
            <v>54314</v>
          </cell>
          <cell r="B1499" t="str">
            <v>2.1.04.020.0588</v>
          </cell>
          <cell r="C1499" t="str">
            <v xml:space="preserve">RAQUEL RODRIGUES COSTA </v>
          </cell>
          <cell r="D1499">
            <v>0</v>
          </cell>
          <cell r="E1499" t="str">
            <v>C</v>
          </cell>
          <cell r="G1499">
            <v>1600</v>
          </cell>
          <cell r="H1499">
            <v>1600</v>
          </cell>
          <cell r="I1499">
            <v>0</v>
          </cell>
          <cell r="J1499">
            <v>0</v>
          </cell>
          <cell r="K1499" t="str">
            <v>C</v>
          </cell>
        </row>
        <row r="1500">
          <cell r="A1500">
            <v>54346</v>
          </cell>
          <cell r="B1500" t="str">
            <v>2.1.04.020.0596</v>
          </cell>
          <cell r="C1500" t="str">
            <v xml:space="preserve">GRAU ENGENHARIA DE </v>
          </cell>
          <cell r="D1500">
            <v>0</v>
          </cell>
          <cell r="E1500" t="str">
            <v>C</v>
          </cell>
          <cell r="G1500">
            <v>0</v>
          </cell>
          <cell r="H1500">
            <v>1830.07</v>
          </cell>
          <cell r="I1500">
            <v>1830.07</v>
          </cell>
          <cell r="J1500">
            <v>1830.07</v>
          </cell>
          <cell r="K1500" t="str">
            <v>C</v>
          </cell>
        </row>
        <row r="1501">
          <cell r="A1501">
            <v>54372</v>
          </cell>
          <cell r="B1501" t="str">
            <v>2.1.04.020.0604</v>
          </cell>
          <cell r="C1501" t="str">
            <v xml:space="preserve">S H ONOE SERVICOS DE </v>
          </cell>
          <cell r="D1501">
            <v>65.739999999999995</v>
          </cell>
          <cell r="E1501" t="str">
            <v>C</v>
          </cell>
          <cell r="G1501">
            <v>65.739999999999995</v>
          </cell>
          <cell r="H1501">
            <v>0</v>
          </cell>
          <cell r="I1501">
            <v>-65.739999999999995</v>
          </cell>
          <cell r="J1501">
            <v>0</v>
          </cell>
          <cell r="K1501" t="str">
            <v>C</v>
          </cell>
        </row>
        <row r="1502">
          <cell r="A1502">
            <v>54412</v>
          </cell>
          <cell r="B1502" t="str">
            <v>2.1.04.020.0612</v>
          </cell>
          <cell r="C1502" t="str">
            <v xml:space="preserve">FREDERICO REIS COSTA </v>
          </cell>
          <cell r="D1502">
            <v>3091.8</v>
          </cell>
          <cell r="E1502" t="str">
            <v>C</v>
          </cell>
          <cell r="G1502">
            <v>3091.8</v>
          </cell>
          <cell r="H1502">
            <v>3628.83</v>
          </cell>
          <cell r="I1502">
            <v>537.03</v>
          </cell>
          <cell r="J1502">
            <v>3628.83</v>
          </cell>
          <cell r="K1502" t="str">
            <v>C</v>
          </cell>
        </row>
        <row r="1503">
          <cell r="A1503">
            <v>54423</v>
          </cell>
          <cell r="B1503" t="str">
            <v>2.1.04.020.0613</v>
          </cell>
          <cell r="C1503" t="str">
            <v xml:space="preserve">BRUMED COMERCIO E </v>
          </cell>
          <cell r="D1503">
            <v>875</v>
          </cell>
          <cell r="E1503" t="str">
            <v>C</v>
          </cell>
          <cell r="G1503">
            <v>0</v>
          </cell>
          <cell r="H1503">
            <v>0</v>
          </cell>
          <cell r="I1503">
            <v>0</v>
          </cell>
          <cell r="J1503">
            <v>875</v>
          </cell>
          <cell r="K1503" t="str">
            <v>C</v>
          </cell>
        </row>
        <row r="1504">
          <cell r="A1504">
            <v>54460</v>
          </cell>
          <cell r="B1504" t="str">
            <v>2.1.04.020.0617</v>
          </cell>
          <cell r="C1504" t="str">
            <v>L F RIBEIRO EXTINTORES</v>
          </cell>
          <cell r="D1504">
            <v>0</v>
          </cell>
          <cell r="E1504" t="str">
            <v>C</v>
          </cell>
          <cell r="G1504">
            <v>0</v>
          </cell>
          <cell r="H1504">
            <v>164.8</v>
          </cell>
          <cell r="I1504">
            <v>164.8</v>
          </cell>
          <cell r="J1504">
            <v>164.8</v>
          </cell>
          <cell r="K1504" t="str">
            <v>C</v>
          </cell>
        </row>
        <row r="1505">
          <cell r="A1505">
            <v>54506</v>
          </cell>
          <cell r="B1505" t="str">
            <v>2.1.04.020.0635</v>
          </cell>
          <cell r="C1505" t="str">
            <v xml:space="preserve">CARLOS ROBERTO CAMARGO </v>
          </cell>
          <cell r="D1505">
            <v>6488.11</v>
          </cell>
          <cell r="E1505" t="str">
            <v>C</v>
          </cell>
          <cell r="G1505">
            <v>6488.11</v>
          </cell>
          <cell r="H1505">
            <v>6488.11</v>
          </cell>
          <cell r="I1505">
            <v>0</v>
          </cell>
          <cell r="J1505">
            <v>6488.11</v>
          </cell>
          <cell r="K1505" t="str">
            <v>C</v>
          </cell>
        </row>
        <row r="1506">
          <cell r="A1506">
            <v>54507</v>
          </cell>
          <cell r="B1506" t="str">
            <v>2.1.04.020.0636</v>
          </cell>
          <cell r="C1506" t="str">
            <v xml:space="preserve">CELIA REGINA CAMARGO </v>
          </cell>
          <cell r="D1506">
            <v>6488.11</v>
          </cell>
          <cell r="E1506" t="str">
            <v>C</v>
          </cell>
          <cell r="G1506">
            <v>6488.11</v>
          </cell>
          <cell r="H1506">
            <v>6488.11</v>
          </cell>
          <cell r="I1506">
            <v>0</v>
          </cell>
          <cell r="J1506">
            <v>6488.11</v>
          </cell>
          <cell r="K1506" t="str">
            <v>C</v>
          </cell>
        </row>
        <row r="1507">
          <cell r="A1507">
            <v>54508</v>
          </cell>
          <cell r="B1507" t="str">
            <v>2.1.04.020.0637</v>
          </cell>
          <cell r="C1507" t="str">
            <v xml:space="preserve">MARIA DO CARMO DE FARIA </v>
          </cell>
          <cell r="D1507">
            <v>6159.54</v>
          </cell>
          <cell r="E1507" t="str">
            <v>C</v>
          </cell>
          <cell r="G1507">
            <v>6159.54</v>
          </cell>
          <cell r="H1507">
            <v>6159.54</v>
          </cell>
          <cell r="I1507">
            <v>0</v>
          </cell>
          <cell r="J1507">
            <v>6159.54</v>
          </cell>
          <cell r="K1507" t="str">
            <v>C</v>
          </cell>
        </row>
        <row r="1508">
          <cell r="A1508">
            <v>54509</v>
          </cell>
          <cell r="B1508" t="str">
            <v>2.1.04.020.0638</v>
          </cell>
          <cell r="C1508" t="str">
            <v xml:space="preserve">JOSE GILBERTO BEZERRA </v>
          </cell>
          <cell r="D1508">
            <v>13417.3</v>
          </cell>
          <cell r="E1508" t="str">
            <v>C</v>
          </cell>
          <cell r="G1508">
            <v>13417.3</v>
          </cell>
          <cell r="H1508">
            <v>13626.97</v>
          </cell>
          <cell r="I1508">
            <v>209.67</v>
          </cell>
          <cell r="J1508">
            <v>13626.97</v>
          </cell>
          <cell r="K1508" t="str">
            <v>C</v>
          </cell>
        </row>
        <row r="1509">
          <cell r="A1509">
            <v>54534</v>
          </cell>
          <cell r="B1509" t="str">
            <v>2.1.04.020.0639</v>
          </cell>
          <cell r="C1509" t="str">
            <v>IANO ANDRE COSTA</v>
          </cell>
          <cell r="D1509">
            <v>4536.72</v>
          </cell>
          <cell r="E1509" t="str">
            <v>C</v>
          </cell>
          <cell r="G1509">
            <v>4536.72</v>
          </cell>
          <cell r="H1509">
            <v>4353.29</v>
          </cell>
          <cell r="I1509">
            <v>-183.43</v>
          </cell>
          <cell r="J1509">
            <v>4353.29</v>
          </cell>
          <cell r="K1509" t="str">
            <v>C</v>
          </cell>
        </row>
        <row r="1510">
          <cell r="A1510">
            <v>54535</v>
          </cell>
          <cell r="B1510" t="str">
            <v>2.1.04.020.0640</v>
          </cell>
          <cell r="C1510" t="str">
            <v xml:space="preserve">SERGIA GERTRUDES GOVEIA </v>
          </cell>
          <cell r="D1510">
            <v>4536.72</v>
          </cell>
          <cell r="E1510" t="str">
            <v>C</v>
          </cell>
          <cell r="G1510">
            <v>4536.72</v>
          </cell>
          <cell r="H1510">
            <v>4353.29</v>
          </cell>
          <cell r="I1510">
            <v>-183.43</v>
          </cell>
          <cell r="J1510">
            <v>4353.29</v>
          </cell>
          <cell r="K1510" t="str">
            <v>C</v>
          </cell>
        </row>
        <row r="1511">
          <cell r="A1511">
            <v>54536</v>
          </cell>
          <cell r="B1511" t="str">
            <v>2.1.04.020.0641</v>
          </cell>
          <cell r="C1511" t="str">
            <v>ANTONIO SERGIO COSTA</v>
          </cell>
          <cell r="D1511">
            <v>4536.72</v>
          </cell>
          <cell r="E1511" t="str">
            <v>C</v>
          </cell>
          <cell r="G1511">
            <v>4536.72</v>
          </cell>
          <cell r="H1511">
            <v>4353.29</v>
          </cell>
          <cell r="I1511">
            <v>-183.43</v>
          </cell>
          <cell r="J1511">
            <v>4353.29</v>
          </cell>
          <cell r="K1511" t="str">
            <v>C</v>
          </cell>
        </row>
        <row r="1512">
          <cell r="A1512">
            <v>54537</v>
          </cell>
          <cell r="B1512" t="str">
            <v>2.1.04.020.0642</v>
          </cell>
          <cell r="C1512" t="str">
            <v>ANGELA CELESTE COSTA</v>
          </cell>
          <cell r="D1512">
            <v>4536.72</v>
          </cell>
          <cell r="E1512" t="str">
            <v>C</v>
          </cell>
          <cell r="G1512">
            <v>4536.72</v>
          </cell>
          <cell r="H1512">
            <v>4353.29</v>
          </cell>
          <cell r="I1512">
            <v>-183.43</v>
          </cell>
          <cell r="J1512">
            <v>4353.29</v>
          </cell>
          <cell r="K1512" t="str">
            <v>C</v>
          </cell>
        </row>
        <row r="1513">
          <cell r="A1513">
            <v>54538</v>
          </cell>
          <cell r="B1513" t="str">
            <v>2.1.04.020.0643</v>
          </cell>
          <cell r="C1513" t="str">
            <v xml:space="preserve">CONTINENTAL HEALTHCARE </v>
          </cell>
          <cell r="D1513">
            <v>0</v>
          </cell>
          <cell r="E1513" t="str">
            <v>C</v>
          </cell>
          <cell r="G1513">
            <v>19000</v>
          </cell>
          <cell r="H1513">
            <v>19000</v>
          </cell>
          <cell r="I1513">
            <v>0</v>
          </cell>
          <cell r="J1513">
            <v>0</v>
          </cell>
          <cell r="K1513" t="str">
            <v>C</v>
          </cell>
        </row>
        <row r="1514">
          <cell r="A1514">
            <v>54541</v>
          </cell>
          <cell r="B1514" t="str">
            <v>2.1.04.020.0645</v>
          </cell>
          <cell r="C1514" t="str">
            <v xml:space="preserve">WILSON DE PAULA JUNIOR </v>
          </cell>
          <cell r="D1514">
            <v>705</v>
          </cell>
          <cell r="E1514" t="str">
            <v>C</v>
          </cell>
          <cell r="G1514">
            <v>705</v>
          </cell>
          <cell r="H1514">
            <v>0</v>
          </cell>
          <cell r="I1514">
            <v>-705</v>
          </cell>
          <cell r="J1514">
            <v>0</v>
          </cell>
          <cell r="K1514" t="str">
            <v>C</v>
          </cell>
        </row>
        <row r="1515">
          <cell r="A1515">
            <v>54628</v>
          </cell>
          <cell r="B1515" t="str">
            <v>2.1.04.020.0660</v>
          </cell>
          <cell r="C1515" t="str">
            <v xml:space="preserve">MITSUI SUMITOMO SEGUROS </v>
          </cell>
          <cell r="D1515">
            <v>7494.5</v>
          </cell>
          <cell r="E1515" t="str">
            <v>C</v>
          </cell>
          <cell r="G1515">
            <v>1498.9</v>
          </cell>
          <cell r="H1515">
            <v>0</v>
          </cell>
          <cell r="I1515">
            <v>-1498.9</v>
          </cell>
          <cell r="J1515">
            <v>5995.6</v>
          </cell>
          <cell r="K1515" t="str">
            <v>C</v>
          </cell>
        </row>
        <row r="1516">
          <cell r="A1516">
            <v>51917</v>
          </cell>
          <cell r="B1516" t="str">
            <v>2.1.04.020.0666</v>
          </cell>
          <cell r="C1516" t="str">
            <v xml:space="preserve">BENEDITA DE CASSIA DE </v>
          </cell>
          <cell r="D1516">
            <v>2260</v>
          </cell>
          <cell r="E1516" t="str">
            <v>C</v>
          </cell>
          <cell r="G1516">
            <v>2260</v>
          </cell>
          <cell r="H1516">
            <v>3140</v>
          </cell>
          <cell r="I1516">
            <v>880</v>
          </cell>
          <cell r="J1516">
            <v>3140</v>
          </cell>
          <cell r="K1516" t="str">
            <v>C</v>
          </cell>
        </row>
        <row r="1517">
          <cell r="A1517">
            <v>33709</v>
          </cell>
          <cell r="B1517" t="str">
            <v>2.1.04.020.0668</v>
          </cell>
          <cell r="C1517" t="str">
            <v xml:space="preserve">CONSORCIO 123 SAO JOSE </v>
          </cell>
          <cell r="D1517">
            <v>0</v>
          </cell>
          <cell r="E1517" t="str">
            <v>C</v>
          </cell>
          <cell r="G1517">
            <v>130000</v>
          </cell>
          <cell r="H1517">
            <v>130000</v>
          </cell>
          <cell r="I1517">
            <v>0</v>
          </cell>
          <cell r="J1517">
            <v>0</v>
          </cell>
          <cell r="K1517" t="str">
            <v>C</v>
          </cell>
        </row>
        <row r="1518">
          <cell r="A1518">
            <v>37997</v>
          </cell>
          <cell r="B1518" t="str">
            <v>2.1.04.020.0669</v>
          </cell>
          <cell r="C1518" t="str">
            <v xml:space="preserve">DBACOMP TECNOLOGIA DE </v>
          </cell>
          <cell r="D1518">
            <v>3025</v>
          </cell>
          <cell r="E1518" t="str">
            <v>C</v>
          </cell>
          <cell r="G1518">
            <v>3025</v>
          </cell>
          <cell r="H1518">
            <v>3025</v>
          </cell>
          <cell r="I1518">
            <v>0</v>
          </cell>
          <cell r="J1518">
            <v>3025</v>
          </cell>
          <cell r="K1518" t="str">
            <v>C</v>
          </cell>
        </row>
        <row r="1519">
          <cell r="A1519">
            <v>51062</v>
          </cell>
          <cell r="B1519" t="str">
            <v>2.1.04.020.0670</v>
          </cell>
          <cell r="C1519" t="str">
            <v xml:space="preserve">ELEV STATION COM PECAS E </v>
          </cell>
          <cell r="D1519">
            <v>0</v>
          </cell>
          <cell r="E1519" t="str">
            <v>C</v>
          </cell>
          <cell r="G1519">
            <v>415.57</v>
          </cell>
          <cell r="H1519">
            <v>415.57</v>
          </cell>
          <cell r="I1519">
            <v>0</v>
          </cell>
          <cell r="J1519">
            <v>0</v>
          </cell>
          <cell r="K1519" t="str">
            <v>C</v>
          </cell>
        </row>
        <row r="1520">
          <cell r="A1520">
            <v>52079</v>
          </cell>
          <cell r="B1520" t="str">
            <v>2.1.04.020.0671</v>
          </cell>
          <cell r="C1520" t="str">
            <v xml:space="preserve">GERIR ORGANIZ E </v>
          </cell>
          <cell r="D1520">
            <v>1888.45</v>
          </cell>
          <cell r="E1520" t="str">
            <v>C</v>
          </cell>
          <cell r="G1520">
            <v>1888.45</v>
          </cell>
          <cell r="H1520">
            <v>1888.45</v>
          </cell>
          <cell r="I1520">
            <v>0</v>
          </cell>
          <cell r="J1520">
            <v>1888.45</v>
          </cell>
          <cell r="K1520" t="str">
            <v>C</v>
          </cell>
        </row>
        <row r="1521">
          <cell r="A1521">
            <v>52786</v>
          </cell>
          <cell r="B1521" t="str">
            <v>2.1.04.020.0672</v>
          </cell>
          <cell r="C1521" t="str">
            <v>JP IT SERVICES LTDA</v>
          </cell>
          <cell r="D1521">
            <v>3128</v>
          </cell>
          <cell r="E1521" t="str">
            <v>C</v>
          </cell>
          <cell r="G1521">
            <v>3128</v>
          </cell>
          <cell r="H1521">
            <v>3128</v>
          </cell>
          <cell r="I1521">
            <v>0</v>
          </cell>
          <cell r="J1521">
            <v>3128</v>
          </cell>
          <cell r="K1521" t="str">
            <v>C</v>
          </cell>
        </row>
        <row r="1522">
          <cell r="A1522">
            <v>38248</v>
          </cell>
          <cell r="B1522" t="str">
            <v>2.1.04.020.0674</v>
          </cell>
          <cell r="C1522" t="str">
            <v xml:space="preserve">NIPCABLE DO BRASIL </v>
          </cell>
          <cell r="D1522">
            <v>0</v>
          </cell>
          <cell r="E1522" t="str">
            <v>C</v>
          </cell>
          <cell r="G1522">
            <v>4400</v>
          </cell>
          <cell r="H1522">
            <v>4400</v>
          </cell>
          <cell r="I1522">
            <v>0</v>
          </cell>
          <cell r="J1522">
            <v>0</v>
          </cell>
          <cell r="K1522" t="str">
            <v>C</v>
          </cell>
        </row>
        <row r="1523">
          <cell r="A1523">
            <v>52511</v>
          </cell>
          <cell r="B1523" t="str">
            <v>2.1.04.020.0675</v>
          </cell>
          <cell r="C1523" t="str">
            <v xml:space="preserve">OPTIKX COMERCIO E </v>
          </cell>
          <cell r="D1523">
            <v>2730</v>
          </cell>
          <cell r="E1523" t="str">
            <v>C</v>
          </cell>
          <cell r="G1523">
            <v>2730</v>
          </cell>
          <cell r="H1523">
            <v>4256</v>
          </cell>
          <cell r="I1523">
            <v>1526</v>
          </cell>
          <cell r="J1523">
            <v>4256</v>
          </cell>
          <cell r="K1523" t="str">
            <v>C</v>
          </cell>
        </row>
        <row r="1524">
          <cell r="A1524">
            <v>51294</v>
          </cell>
          <cell r="B1524" t="str">
            <v>2.1.04.020.0676</v>
          </cell>
          <cell r="C1524" t="str">
            <v xml:space="preserve">OZOXI IND COM EQP </v>
          </cell>
          <cell r="D1524">
            <v>0</v>
          </cell>
          <cell r="E1524" t="str">
            <v>C</v>
          </cell>
          <cell r="G1524">
            <v>10980</v>
          </cell>
          <cell r="H1524">
            <v>10980</v>
          </cell>
          <cell r="I1524">
            <v>0</v>
          </cell>
          <cell r="J1524">
            <v>0</v>
          </cell>
          <cell r="K1524" t="str">
            <v>C</v>
          </cell>
        </row>
        <row r="1525">
          <cell r="A1525">
            <v>4055</v>
          </cell>
          <cell r="B1525" t="str">
            <v>2.1.04.020.0677</v>
          </cell>
          <cell r="C1525" t="str">
            <v xml:space="preserve">PORTO SEGURO CIA DE </v>
          </cell>
          <cell r="D1525">
            <v>3963</v>
          </cell>
          <cell r="E1525" t="str">
            <v>C</v>
          </cell>
          <cell r="G1525">
            <v>1464.64</v>
          </cell>
          <cell r="H1525">
            <v>6042.51</v>
          </cell>
          <cell r="I1525">
            <v>4577.87</v>
          </cell>
          <cell r="J1525">
            <v>8540.8700000000008</v>
          </cell>
          <cell r="K1525" t="str">
            <v>C</v>
          </cell>
        </row>
        <row r="1526">
          <cell r="A1526">
            <v>4097</v>
          </cell>
          <cell r="B1526" t="str">
            <v>2.1.04.020.0679</v>
          </cell>
          <cell r="C1526" t="str">
            <v>ROMAO E RAMOS LTDA</v>
          </cell>
          <cell r="D1526">
            <v>0</v>
          </cell>
          <cell r="E1526" t="str">
            <v>C</v>
          </cell>
          <cell r="G1526">
            <v>0</v>
          </cell>
          <cell r="H1526">
            <v>1028.5</v>
          </cell>
          <cell r="I1526">
            <v>1028.5</v>
          </cell>
          <cell r="J1526">
            <v>1028.5</v>
          </cell>
          <cell r="K1526" t="str">
            <v>C</v>
          </cell>
        </row>
        <row r="1527">
          <cell r="A1527">
            <v>52722</v>
          </cell>
          <cell r="B1527" t="str">
            <v>2.1.04.020.0680</v>
          </cell>
          <cell r="C1527" t="str">
            <v>SABRINA LEITE MOREIRA ME</v>
          </cell>
          <cell r="D1527">
            <v>0</v>
          </cell>
          <cell r="E1527" t="str">
            <v>C</v>
          </cell>
          <cell r="G1527">
            <v>900</v>
          </cell>
          <cell r="H1527">
            <v>900</v>
          </cell>
          <cell r="I1527">
            <v>0</v>
          </cell>
          <cell r="J1527">
            <v>0</v>
          </cell>
          <cell r="K1527" t="str">
            <v>C</v>
          </cell>
        </row>
        <row r="1528">
          <cell r="A1528">
            <v>52580</v>
          </cell>
          <cell r="B1528" t="str">
            <v>2.1.04.020.0681</v>
          </cell>
          <cell r="C1528" t="str">
            <v xml:space="preserve">SAMUEL ELIAS DE SOUSA </v>
          </cell>
          <cell r="D1528">
            <v>0</v>
          </cell>
          <cell r="E1528" t="str">
            <v>C</v>
          </cell>
          <cell r="G1528">
            <v>2000</v>
          </cell>
          <cell r="H1528">
            <v>2000</v>
          </cell>
          <cell r="I1528">
            <v>0</v>
          </cell>
          <cell r="J1528">
            <v>0</v>
          </cell>
          <cell r="K1528" t="str">
            <v>C</v>
          </cell>
        </row>
        <row r="1529">
          <cell r="A1529">
            <v>4111</v>
          </cell>
          <cell r="B1529" t="str">
            <v>2.1.04.020.0682</v>
          </cell>
          <cell r="C1529" t="str">
            <v xml:space="preserve">SAPRA LANDAUER SERV. DE </v>
          </cell>
          <cell r="D1529">
            <v>1684.6</v>
          </cell>
          <cell r="E1529" t="str">
            <v>C</v>
          </cell>
          <cell r="G1529">
            <v>1684.6</v>
          </cell>
          <cell r="H1529">
            <v>1657.66</v>
          </cell>
          <cell r="I1529">
            <v>-26.94</v>
          </cell>
          <cell r="J1529">
            <v>1657.66</v>
          </cell>
          <cell r="K1529" t="str">
            <v>C</v>
          </cell>
        </row>
        <row r="1530">
          <cell r="A1530">
            <v>52663</v>
          </cell>
          <cell r="B1530" t="str">
            <v>2.1.04.020.0683</v>
          </cell>
          <cell r="C1530" t="str">
            <v xml:space="preserve">SEGTRONICA COM DE </v>
          </cell>
          <cell r="D1530">
            <v>95.06</v>
          </cell>
          <cell r="E1530" t="str">
            <v>C</v>
          </cell>
          <cell r="G1530">
            <v>3009.81</v>
          </cell>
          <cell r="H1530">
            <v>2914.75</v>
          </cell>
          <cell r="I1530">
            <v>-95.06</v>
          </cell>
          <cell r="J1530">
            <v>0</v>
          </cell>
          <cell r="K1530" t="str">
            <v>C</v>
          </cell>
        </row>
        <row r="1531">
          <cell r="A1531">
            <v>4125</v>
          </cell>
          <cell r="B1531" t="str">
            <v>2.1.04.020.0684</v>
          </cell>
          <cell r="C1531" t="str">
            <v xml:space="preserve">SIEMENS HEALTHCARE DIAG </v>
          </cell>
          <cell r="D1531">
            <v>19760.89</v>
          </cell>
          <cell r="E1531" t="str">
            <v>C</v>
          </cell>
          <cell r="G1531">
            <v>19760.89</v>
          </cell>
          <cell r="H1531">
            <v>19326.47</v>
          </cell>
          <cell r="I1531">
            <v>-434.42</v>
          </cell>
          <cell r="J1531">
            <v>19326.47</v>
          </cell>
          <cell r="K1531" t="str">
            <v>C</v>
          </cell>
        </row>
        <row r="1532">
          <cell r="A1532">
            <v>4130</v>
          </cell>
          <cell r="B1532" t="str">
            <v>2.1.04.020.0686</v>
          </cell>
          <cell r="C1532" t="str">
            <v xml:space="preserve">SIMPRO </v>
          </cell>
          <cell r="D1532">
            <v>1958.04</v>
          </cell>
          <cell r="E1532" t="str">
            <v>C</v>
          </cell>
          <cell r="G1532">
            <v>1958.04</v>
          </cell>
          <cell r="H1532">
            <v>1958.04</v>
          </cell>
          <cell r="I1532">
            <v>0</v>
          </cell>
          <cell r="J1532">
            <v>1958.04</v>
          </cell>
          <cell r="K1532" t="str">
            <v>C</v>
          </cell>
        </row>
        <row r="1533">
          <cell r="A1533">
            <v>3461</v>
          </cell>
          <cell r="B1533" t="str">
            <v>2.1.04.020.0687</v>
          </cell>
          <cell r="C1533" t="str">
            <v xml:space="preserve">STEMAC SA GRUPOS </v>
          </cell>
          <cell r="D1533">
            <v>0</v>
          </cell>
          <cell r="E1533" t="str">
            <v>C</v>
          </cell>
          <cell r="G1533">
            <v>0</v>
          </cell>
          <cell r="H1533">
            <v>3163.02</v>
          </cell>
          <cell r="I1533">
            <v>3163.02</v>
          </cell>
          <cell r="J1533">
            <v>3163.02</v>
          </cell>
          <cell r="K1533" t="str">
            <v>C</v>
          </cell>
        </row>
        <row r="1534">
          <cell r="A1534">
            <v>52655</v>
          </cell>
          <cell r="B1534" t="str">
            <v>2.1.04.020.0689</v>
          </cell>
          <cell r="C1534" t="str">
            <v xml:space="preserve">TAPECARIA DOIS IRMAOS </v>
          </cell>
          <cell r="D1534">
            <v>0</v>
          </cell>
          <cell r="E1534" t="str">
            <v>C</v>
          </cell>
          <cell r="G1534">
            <v>397.7</v>
          </cell>
          <cell r="H1534">
            <v>397.7</v>
          </cell>
          <cell r="I1534">
            <v>0</v>
          </cell>
          <cell r="J1534">
            <v>0</v>
          </cell>
          <cell r="K1534" t="str">
            <v>C</v>
          </cell>
        </row>
        <row r="1535">
          <cell r="A1535">
            <v>34109</v>
          </cell>
          <cell r="B1535" t="str">
            <v>2.1.04.020.0690</v>
          </cell>
          <cell r="C1535" t="str">
            <v xml:space="preserve">TECNOALIM SERV TECNICOS </v>
          </cell>
          <cell r="D1535">
            <v>3074</v>
          </cell>
          <cell r="E1535" t="str">
            <v>C</v>
          </cell>
          <cell r="G1535">
            <v>3074</v>
          </cell>
          <cell r="H1535">
            <v>3074</v>
          </cell>
          <cell r="I1535">
            <v>0</v>
          </cell>
          <cell r="J1535">
            <v>3074</v>
          </cell>
          <cell r="K1535" t="str">
            <v>C</v>
          </cell>
        </row>
        <row r="1536">
          <cell r="A1536">
            <v>54207</v>
          </cell>
          <cell r="B1536" t="str">
            <v>2.1.04.020.0691</v>
          </cell>
          <cell r="C1536" t="str">
            <v xml:space="preserve">ALPHA ELETRO ENGENHARIA </v>
          </cell>
          <cell r="D1536">
            <v>0</v>
          </cell>
          <cell r="E1536" t="str">
            <v>C</v>
          </cell>
          <cell r="G1536">
            <v>6871.72</v>
          </cell>
          <cell r="H1536">
            <v>6871.72</v>
          </cell>
          <cell r="I1536">
            <v>0</v>
          </cell>
          <cell r="J1536">
            <v>0</v>
          </cell>
          <cell r="K1536" t="str">
            <v>C</v>
          </cell>
        </row>
        <row r="1537">
          <cell r="A1537">
            <v>54338</v>
          </cell>
          <cell r="B1537" t="str">
            <v>2.1.04.020.0694</v>
          </cell>
          <cell r="C1537" t="str">
            <v>EMAC PROJETOS S/S LTDA</v>
          </cell>
          <cell r="D1537">
            <v>0</v>
          </cell>
          <cell r="E1537" t="str">
            <v>C</v>
          </cell>
          <cell r="G1537">
            <v>5086.67</v>
          </cell>
          <cell r="H1537">
            <v>5086.67</v>
          </cell>
          <cell r="I1537">
            <v>0</v>
          </cell>
          <cell r="J1537">
            <v>0</v>
          </cell>
          <cell r="K1537" t="str">
            <v>C</v>
          </cell>
        </row>
        <row r="1538">
          <cell r="A1538">
            <v>54402</v>
          </cell>
          <cell r="B1538" t="str">
            <v>2.1.04.020.0695</v>
          </cell>
          <cell r="C1538" t="str">
            <v xml:space="preserve">CLIMA ROCHA SOLUCOES EM </v>
          </cell>
          <cell r="D1538">
            <v>0</v>
          </cell>
          <cell r="E1538" t="str">
            <v>C</v>
          </cell>
          <cell r="G1538">
            <v>0</v>
          </cell>
          <cell r="H1538">
            <v>2250.4</v>
          </cell>
          <cell r="I1538">
            <v>2250.4</v>
          </cell>
          <cell r="J1538">
            <v>2250.4</v>
          </cell>
          <cell r="K1538" t="str">
            <v>C</v>
          </cell>
        </row>
        <row r="1539">
          <cell r="A1539">
            <v>54544</v>
          </cell>
          <cell r="B1539" t="str">
            <v>2.1.04.020.0696</v>
          </cell>
          <cell r="C1539" t="str">
            <v xml:space="preserve">OGINO ULTRASSONOGRAFIA </v>
          </cell>
          <cell r="D1539">
            <v>17385.36</v>
          </cell>
          <cell r="E1539" t="str">
            <v>C</v>
          </cell>
          <cell r="G1539">
            <v>14730</v>
          </cell>
          <cell r="H1539">
            <v>22163.58</v>
          </cell>
          <cell r="I1539">
            <v>7433.58</v>
          </cell>
          <cell r="J1539">
            <v>24818.94</v>
          </cell>
          <cell r="K1539" t="str">
            <v>C</v>
          </cell>
        </row>
        <row r="1540">
          <cell r="A1540">
            <v>54614</v>
          </cell>
          <cell r="B1540" t="str">
            <v>2.1.04.020.0697</v>
          </cell>
          <cell r="C1540" t="str">
            <v xml:space="preserve">MARIA DA CONCEICAO </v>
          </cell>
          <cell r="D1540">
            <v>3557.4</v>
          </cell>
          <cell r="E1540" t="str">
            <v>C</v>
          </cell>
          <cell r="G1540">
            <v>3557.4</v>
          </cell>
          <cell r="H1540">
            <v>3616.2</v>
          </cell>
          <cell r="I1540">
            <v>58.8</v>
          </cell>
          <cell r="J1540">
            <v>3616.2</v>
          </cell>
          <cell r="K1540" t="str">
            <v>C</v>
          </cell>
        </row>
        <row r="1541">
          <cell r="A1541">
            <v>54283</v>
          </cell>
          <cell r="B1541" t="str">
            <v>2.1.04.020.0701</v>
          </cell>
          <cell r="C1541" t="str">
            <v xml:space="preserve">JBF ASSISTENCIA TECNICA </v>
          </cell>
          <cell r="D1541">
            <v>1040</v>
          </cell>
          <cell r="E1541" t="str">
            <v>C</v>
          </cell>
          <cell r="G1541">
            <v>1040</v>
          </cell>
          <cell r="H1541">
            <v>0</v>
          </cell>
          <cell r="I1541">
            <v>-1040</v>
          </cell>
          <cell r="J1541">
            <v>0</v>
          </cell>
          <cell r="K1541" t="str">
            <v>C</v>
          </cell>
        </row>
        <row r="1542">
          <cell r="A1542">
            <v>51798</v>
          </cell>
          <cell r="B1542" t="str">
            <v>2.1.04.020.0712</v>
          </cell>
          <cell r="C1542" t="str">
            <v xml:space="preserve">MR DA SILVA SJ DOS CAMPOS </v>
          </cell>
          <cell r="D1542">
            <v>2600</v>
          </cell>
          <cell r="E1542" t="str">
            <v>C</v>
          </cell>
          <cell r="G1542">
            <v>2600</v>
          </cell>
          <cell r="H1542">
            <v>0</v>
          </cell>
          <cell r="I1542">
            <v>-2600</v>
          </cell>
          <cell r="J1542">
            <v>0</v>
          </cell>
          <cell r="K1542" t="str">
            <v>C</v>
          </cell>
        </row>
        <row r="1543">
          <cell r="A1543">
            <v>54677</v>
          </cell>
          <cell r="B1543" t="str">
            <v>2.1.04.020.0716</v>
          </cell>
          <cell r="C1543" t="str">
            <v>POWERTISS SISTEMAS LTDA</v>
          </cell>
          <cell r="D1543">
            <v>4223.25</v>
          </cell>
          <cell r="E1543" t="str">
            <v>C</v>
          </cell>
          <cell r="G1543">
            <v>4223.25</v>
          </cell>
          <cell r="H1543">
            <v>4223.25</v>
          </cell>
          <cell r="I1543">
            <v>0</v>
          </cell>
          <cell r="J1543">
            <v>4223.25</v>
          </cell>
          <cell r="K1543" t="str">
            <v>C</v>
          </cell>
        </row>
        <row r="1544">
          <cell r="A1544">
            <v>3309</v>
          </cell>
          <cell r="B1544" t="str">
            <v>2.1.04.020.0722</v>
          </cell>
          <cell r="C1544" t="str">
            <v xml:space="preserve">PRODUMED SERV. IND. E </v>
          </cell>
          <cell r="D1544">
            <v>782.18</v>
          </cell>
          <cell r="E1544" t="str">
            <v>C</v>
          </cell>
          <cell r="G1544">
            <v>782.18</v>
          </cell>
          <cell r="H1544">
            <v>338.84</v>
          </cell>
          <cell r="I1544">
            <v>-443.34</v>
          </cell>
          <cell r="J1544">
            <v>338.84</v>
          </cell>
          <cell r="K1544" t="str">
            <v>C</v>
          </cell>
        </row>
        <row r="1545">
          <cell r="A1545">
            <v>54697</v>
          </cell>
          <cell r="B1545" t="str">
            <v>2.1.04.020.0723</v>
          </cell>
          <cell r="C1545" t="str">
            <v xml:space="preserve">ALEX APARECIDO DA SILVA </v>
          </cell>
          <cell r="D1545">
            <v>4375</v>
          </cell>
          <cell r="E1545" t="str">
            <v>C</v>
          </cell>
          <cell r="G1545">
            <v>875</v>
          </cell>
          <cell r="H1545">
            <v>2230</v>
          </cell>
          <cell r="I1545">
            <v>1355</v>
          </cell>
          <cell r="J1545">
            <v>5730</v>
          </cell>
          <cell r="K1545" t="str">
            <v>C</v>
          </cell>
        </row>
        <row r="1546">
          <cell r="A1546">
            <v>54706</v>
          </cell>
          <cell r="B1546" t="str">
            <v>2.1.04.020.0727</v>
          </cell>
          <cell r="C1546" t="str">
            <v>MLABS SOFTWARE S.A.</v>
          </cell>
          <cell r="D1546">
            <v>225.6</v>
          </cell>
          <cell r="E1546" t="str">
            <v>C</v>
          </cell>
          <cell r="G1546">
            <v>225.6</v>
          </cell>
          <cell r="H1546">
            <v>0</v>
          </cell>
          <cell r="I1546">
            <v>-225.6</v>
          </cell>
          <cell r="J1546">
            <v>0</v>
          </cell>
          <cell r="K1546" t="str">
            <v>C</v>
          </cell>
        </row>
        <row r="1547">
          <cell r="A1547">
            <v>54744</v>
          </cell>
          <cell r="B1547" t="str">
            <v>2.1.04.020.0737</v>
          </cell>
          <cell r="C1547" t="str">
            <v xml:space="preserve">JORGE APARECIDO FERREIRA </v>
          </cell>
          <cell r="D1547">
            <v>12090</v>
          </cell>
          <cell r="E1547" t="str">
            <v>C</v>
          </cell>
          <cell r="G1547">
            <v>12090</v>
          </cell>
          <cell r="H1547">
            <v>10920</v>
          </cell>
          <cell r="I1547">
            <v>-1170</v>
          </cell>
          <cell r="J1547">
            <v>10920</v>
          </cell>
          <cell r="K1547" t="str">
            <v>C</v>
          </cell>
        </row>
        <row r="1548">
          <cell r="A1548">
            <v>54774</v>
          </cell>
          <cell r="B1548" t="str">
            <v>2.1.04.020.0741</v>
          </cell>
          <cell r="C1548" t="str">
            <v>POLO DOS CAFES LTDA</v>
          </cell>
          <cell r="D1548">
            <v>2586.1999999999998</v>
          </cell>
          <cell r="E1548" t="str">
            <v>C</v>
          </cell>
          <cell r="G1548">
            <v>2586.1999999999998</v>
          </cell>
          <cell r="H1548">
            <v>3717.45</v>
          </cell>
          <cell r="I1548">
            <v>1131.25</v>
          </cell>
          <cell r="J1548">
            <v>3717.45</v>
          </cell>
          <cell r="K1548" t="str">
            <v>C</v>
          </cell>
        </row>
        <row r="1549">
          <cell r="A1549">
            <v>52672</v>
          </cell>
          <cell r="B1549" t="str">
            <v>2.1.04.020.0742</v>
          </cell>
          <cell r="C1549" t="str">
            <v>PLAZA E CAMPOS LTDA ME</v>
          </cell>
          <cell r="D1549">
            <v>1066.2</v>
          </cell>
          <cell r="E1549" t="str">
            <v>C</v>
          </cell>
          <cell r="G1549">
            <v>1066.2</v>
          </cell>
          <cell r="H1549">
            <v>1066.2</v>
          </cell>
          <cell r="I1549">
            <v>0</v>
          </cell>
          <cell r="J1549">
            <v>1066.2</v>
          </cell>
          <cell r="K1549" t="str">
            <v>C</v>
          </cell>
        </row>
        <row r="1550">
          <cell r="A1550">
            <v>53006</v>
          </cell>
          <cell r="B1550" t="str">
            <v>2.1.04.020.0745</v>
          </cell>
          <cell r="C1550" t="str">
            <v>EC RAPOSO BALANCAS ME</v>
          </cell>
          <cell r="D1550">
            <v>580</v>
          </cell>
          <cell r="E1550" t="str">
            <v>C</v>
          </cell>
          <cell r="G1550">
            <v>580</v>
          </cell>
          <cell r="H1550">
            <v>200</v>
          </cell>
          <cell r="I1550">
            <v>-380</v>
          </cell>
          <cell r="J1550">
            <v>200</v>
          </cell>
          <cell r="K1550" t="str">
            <v>C</v>
          </cell>
        </row>
        <row r="1551">
          <cell r="A1551">
            <v>54779</v>
          </cell>
          <cell r="B1551" t="str">
            <v>2.1.04.020.0747</v>
          </cell>
          <cell r="C1551" t="str">
            <v xml:space="preserve">DRM EDUCACAO - SISTEMA </v>
          </cell>
          <cell r="D1551">
            <v>0</v>
          </cell>
          <cell r="E1551" t="str">
            <v>C</v>
          </cell>
          <cell r="G1551">
            <v>0</v>
          </cell>
          <cell r="H1551">
            <v>1270</v>
          </cell>
          <cell r="I1551">
            <v>1270</v>
          </cell>
          <cell r="J1551">
            <v>1270</v>
          </cell>
          <cell r="K1551" t="str">
            <v>C</v>
          </cell>
        </row>
        <row r="1552">
          <cell r="A1552">
            <v>54800</v>
          </cell>
          <cell r="B1552" t="str">
            <v>2.1.04.020.0753</v>
          </cell>
          <cell r="C1552" t="str">
            <v xml:space="preserve">LOCASET LOCADORA DE </v>
          </cell>
          <cell r="D1552">
            <v>400</v>
          </cell>
          <cell r="E1552" t="str">
            <v>C</v>
          </cell>
          <cell r="G1552">
            <v>400</v>
          </cell>
          <cell r="H1552">
            <v>400</v>
          </cell>
          <cell r="I1552">
            <v>0</v>
          </cell>
          <cell r="J1552">
            <v>400</v>
          </cell>
          <cell r="K1552" t="str">
            <v>C</v>
          </cell>
        </row>
        <row r="1553">
          <cell r="A1553">
            <v>54843</v>
          </cell>
          <cell r="B1553" t="str">
            <v>2.1.04.020.0760</v>
          </cell>
          <cell r="C1553" t="str">
            <v>PHVS RESTAURANTE LTDA</v>
          </cell>
          <cell r="D1553">
            <v>0</v>
          </cell>
          <cell r="E1553" t="str">
            <v>C</v>
          </cell>
          <cell r="G1553">
            <v>2178</v>
          </cell>
          <cell r="H1553">
            <v>2178</v>
          </cell>
          <cell r="I1553">
            <v>0</v>
          </cell>
          <cell r="J1553">
            <v>0</v>
          </cell>
          <cell r="K1553" t="str">
            <v>C</v>
          </cell>
        </row>
        <row r="1554">
          <cell r="A1554">
            <v>54871</v>
          </cell>
          <cell r="B1554" t="str">
            <v>2.1.04.020.0763</v>
          </cell>
          <cell r="C1554" t="str">
            <v xml:space="preserve">HORACIO ALAN DE OLIVEIRA </v>
          </cell>
          <cell r="D1554">
            <v>0</v>
          </cell>
          <cell r="E1554" t="str">
            <v>C</v>
          </cell>
          <cell r="G1554">
            <v>0</v>
          </cell>
          <cell r="H1554">
            <v>52</v>
          </cell>
          <cell r="I1554">
            <v>52</v>
          </cell>
          <cell r="J1554">
            <v>52</v>
          </cell>
          <cell r="K1554" t="str">
            <v>C</v>
          </cell>
        </row>
        <row r="1555">
          <cell r="A1555">
            <v>54879</v>
          </cell>
          <cell r="B1555" t="str">
            <v>2.1.04.020.0765</v>
          </cell>
          <cell r="C1555" t="str">
            <v xml:space="preserve">PALLAS INTELIGENCIA EM </v>
          </cell>
          <cell r="D1555">
            <v>0</v>
          </cell>
          <cell r="E1555" t="str">
            <v>C</v>
          </cell>
          <cell r="G1555">
            <v>0</v>
          </cell>
          <cell r="H1555">
            <v>10341.1</v>
          </cell>
          <cell r="I1555">
            <v>10341.1</v>
          </cell>
          <cell r="J1555">
            <v>10341.1</v>
          </cell>
          <cell r="K1555" t="str">
            <v>C</v>
          </cell>
        </row>
        <row r="1556">
          <cell r="A1556">
            <v>54886</v>
          </cell>
          <cell r="B1556" t="str">
            <v>2.1.04.020.0766</v>
          </cell>
          <cell r="C1556" t="str">
            <v xml:space="preserve">TECNOVALE EXTINTORES </v>
          </cell>
          <cell r="D1556">
            <v>2658.37</v>
          </cell>
          <cell r="E1556" t="str">
            <v>C</v>
          </cell>
          <cell r="G1556">
            <v>2658.37</v>
          </cell>
          <cell r="H1556">
            <v>388</v>
          </cell>
          <cell r="I1556">
            <v>-2270.37</v>
          </cell>
          <cell r="J1556">
            <v>388</v>
          </cell>
          <cell r="K1556" t="str">
            <v>C</v>
          </cell>
        </row>
        <row r="1557">
          <cell r="A1557">
            <v>54922</v>
          </cell>
          <cell r="B1557" t="str">
            <v>2.1.04.020.0769</v>
          </cell>
          <cell r="C1557" t="str">
            <v xml:space="preserve">CLODOALDO TOBIAS DA SILVA </v>
          </cell>
          <cell r="D1557">
            <v>0</v>
          </cell>
          <cell r="E1557" t="str">
            <v>C</v>
          </cell>
          <cell r="G1557">
            <v>0</v>
          </cell>
          <cell r="H1557">
            <v>11000</v>
          </cell>
          <cell r="I1557">
            <v>11000</v>
          </cell>
          <cell r="J1557">
            <v>11000</v>
          </cell>
          <cell r="K1557" t="str">
            <v>C</v>
          </cell>
        </row>
        <row r="1558">
          <cell r="A1558">
            <v>54928</v>
          </cell>
          <cell r="B1558" t="str">
            <v>2.1.04.020.0770</v>
          </cell>
          <cell r="C1558" t="str">
            <v xml:space="preserve">LEANDRO JOSE DO CARMO </v>
          </cell>
          <cell r="D1558">
            <v>8500</v>
          </cell>
          <cell r="E1558" t="str">
            <v>C</v>
          </cell>
          <cell r="G1558">
            <v>8500</v>
          </cell>
          <cell r="H1558">
            <v>8500</v>
          </cell>
          <cell r="I1558">
            <v>0</v>
          </cell>
          <cell r="J1558">
            <v>8500</v>
          </cell>
          <cell r="K1558" t="str">
            <v>C</v>
          </cell>
        </row>
        <row r="1559">
          <cell r="A1559">
            <v>54931</v>
          </cell>
          <cell r="B1559" t="str">
            <v>2.1.04.020.0773</v>
          </cell>
          <cell r="C1559" t="str">
            <v xml:space="preserve">BARBOSA &amp; DRUMOND APOIO </v>
          </cell>
          <cell r="D1559">
            <v>0</v>
          </cell>
          <cell r="E1559" t="str">
            <v>C</v>
          </cell>
          <cell r="G1559">
            <v>6500</v>
          </cell>
          <cell r="H1559">
            <v>6500</v>
          </cell>
          <cell r="I1559">
            <v>0</v>
          </cell>
          <cell r="J1559">
            <v>0</v>
          </cell>
          <cell r="K1559" t="str">
            <v>C</v>
          </cell>
        </row>
        <row r="1560">
          <cell r="A1560">
            <v>54937</v>
          </cell>
          <cell r="B1560" t="str">
            <v>2.1.04.020.0775</v>
          </cell>
          <cell r="C1560" t="str">
            <v xml:space="preserve">JANE ANTUNES DE BRITO </v>
          </cell>
          <cell r="D1560">
            <v>0</v>
          </cell>
          <cell r="E1560" t="str">
            <v>C</v>
          </cell>
          <cell r="G1560">
            <v>0</v>
          </cell>
          <cell r="H1560">
            <v>215.7</v>
          </cell>
          <cell r="I1560">
            <v>215.7</v>
          </cell>
          <cell r="J1560">
            <v>215.7</v>
          </cell>
          <cell r="K1560" t="str">
            <v>C</v>
          </cell>
        </row>
        <row r="1561">
          <cell r="A1561">
            <v>54945</v>
          </cell>
          <cell r="B1561" t="str">
            <v>2.1.04.020.0777</v>
          </cell>
          <cell r="C1561" t="str">
            <v xml:space="preserve">PROMEC VENT ENGENHARIA </v>
          </cell>
          <cell r="D1561">
            <v>5004.3999999999996</v>
          </cell>
          <cell r="E1561" t="str">
            <v>C</v>
          </cell>
          <cell r="G1561">
            <v>1251.0999999999999</v>
          </cell>
          <cell r="H1561">
            <v>0</v>
          </cell>
          <cell r="I1561">
            <v>-1251.0999999999999</v>
          </cell>
          <cell r="J1561">
            <v>3753.3</v>
          </cell>
          <cell r="K1561" t="str">
            <v>C</v>
          </cell>
        </row>
        <row r="1562">
          <cell r="A1562">
            <v>54985</v>
          </cell>
          <cell r="B1562" t="str">
            <v>2.1.04.020.0786</v>
          </cell>
          <cell r="C1562" t="str">
            <v xml:space="preserve">MAFFEI BELLINI APOIO </v>
          </cell>
          <cell r="D1562">
            <v>11000</v>
          </cell>
          <cell r="E1562" t="str">
            <v>C</v>
          </cell>
          <cell r="G1562">
            <v>11000</v>
          </cell>
          <cell r="H1562">
            <v>11000</v>
          </cell>
          <cell r="I1562">
            <v>0</v>
          </cell>
          <cell r="J1562">
            <v>11000</v>
          </cell>
          <cell r="K1562" t="str">
            <v>C</v>
          </cell>
        </row>
        <row r="1563">
          <cell r="A1563">
            <v>55007</v>
          </cell>
          <cell r="B1563" t="str">
            <v>2.1.04.020.0787</v>
          </cell>
          <cell r="C1563" t="str">
            <v xml:space="preserve">LMM ARMAZENAMENTO DE </v>
          </cell>
          <cell r="D1563">
            <v>0</v>
          </cell>
          <cell r="E1563" t="str">
            <v>C</v>
          </cell>
          <cell r="G1563">
            <v>330</v>
          </cell>
          <cell r="H1563">
            <v>330</v>
          </cell>
          <cell r="I1563">
            <v>0</v>
          </cell>
          <cell r="J1563">
            <v>0</v>
          </cell>
          <cell r="K1563" t="str">
            <v>C</v>
          </cell>
        </row>
        <row r="1564">
          <cell r="A1564">
            <v>55020</v>
          </cell>
          <cell r="B1564" t="str">
            <v>2.1.04.020.0790</v>
          </cell>
          <cell r="C1564" t="str">
            <v xml:space="preserve">MARIANA MILANEZ </v>
          </cell>
          <cell r="D1564">
            <v>4250</v>
          </cell>
          <cell r="E1564" t="str">
            <v>C</v>
          </cell>
          <cell r="G1564">
            <v>4250</v>
          </cell>
          <cell r="H1564">
            <v>0</v>
          </cell>
          <cell r="I1564">
            <v>-4250</v>
          </cell>
          <cell r="J1564">
            <v>0</v>
          </cell>
          <cell r="K1564" t="str">
            <v>C</v>
          </cell>
        </row>
        <row r="1565">
          <cell r="A1565">
            <v>55023</v>
          </cell>
          <cell r="B1565" t="str">
            <v>2.1.04.020.0792</v>
          </cell>
          <cell r="C1565" t="str">
            <v xml:space="preserve">RODOAN LOGISTICA E </v>
          </cell>
          <cell r="D1565">
            <v>0</v>
          </cell>
          <cell r="E1565" t="str">
            <v>C</v>
          </cell>
          <cell r="G1565">
            <v>0</v>
          </cell>
          <cell r="H1565">
            <v>1700</v>
          </cell>
          <cell r="I1565">
            <v>1700</v>
          </cell>
          <cell r="J1565">
            <v>1700</v>
          </cell>
          <cell r="K1565" t="str">
            <v>C</v>
          </cell>
        </row>
        <row r="1566">
          <cell r="A1566">
            <v>55030</v>
          </cell>
          <cell r="B1566" t="str">
            <v>2.1.04.020.0797</v>
          </cell>
          <cell r="C1566" t="str">
            <v>MARIANA ARAUJO SANTOS</v>
          </cell>
          <cell r="D1566">
            <v>244.48</v>
          </cell>
          <cell r="E1566" t="str">
            <v>C</v>
          </cell>
          <cell r="G1566">
            <v>0</v>
          </cell>
          <cell r="H1566">
            <v>0</v>
          </cell>
          <cell r="I1566">
            <v>0</v>
          </cell>
          <cell r="J1566">
            <v>244.48</v>
          </cell>
          <cell r="K1566" t="str">
            <v>C</v>
          </cell>
        </row>
        <row r="1567">
          <cell r="A1567">
            <v>55031</v>
          </cell>
          <cell r="B1567" t="str">
            <v>2.1.04.020.0798</v>
          </cell>
          <cell r="C1567" t="str">
            <v xml:space="preserve">CAMILA MARIA MARTINS </v>
          </cell>
          <cell r="D1567">
            <v>460.8</v>
          </cell>
          <cell r="E1567" t="str">
            <v>C</v>
          </cell>
          <cell r="G1567">
            <v>460.8</v>
          </cell>
          <cell r="H1567">
            <v>0</v>
          </cell>
          <cell r="I1567">
            <v>-460.8</v>
          </cell>
          <cell r="J1567">
            <v>0</v>
          </cell>
          <cell r="K1567" t="str">
            <v>C</v>
          </cell>
        </row>
        <row r="1568">
          <cell r="A1568">
            <v>55045</v>
          </cell>
          <cell r="B1568" t="str">
            <v>2.1.04.020.0799</v>
          </cell>
          <cell r="C1568" t="str">
            <v xml:space="preserve">GENI MELO DE OLIVEIRA </v>
          </cell>
          <cell r="D1568">
            <v>5034.7</v>
          </cell>
          <cell r="E1568" t="str">
            <v>C</v>
          </cell>
          <cell r="G1568">
            <v>9770.9</v>
          </cell>
          <cell r="H1568">
            <v>9552</v>
          </cell>
          <cell r="I1568">
            <v>-218.9</v>
          </cell>
          <cell r="J1568">
            <v>4815.8</v>
          </cell>
          <cell r="K1568" t="str">
            <v>C</v>
          </cell>
        </row>
        <row r="1569">
          <cell r="A1569">
            <v>55050</v>
          </cell>
          <cell r="B1569" t="str">
            <v>2.1.04.020.0801</v>
          </cell>
          <cell r="C1569" t="str">
            <v xml:space="preserve">CONTBAN COMERCIO E </v>
          </cell>
          <cell r="D1569">
            <v>3120</v>
          </cell>
          <cell r="E1569" t="str">
            <v>C</v>
          </cell>
          <cell r="G1569">
            <v>3120</v>
          </cell>
          <cell r="H1569">
            <v>1560</v>
          </cell>
          <cell r="I1569">
            <v>-1560</v>
          </cell>
          <cell r="J1569">
            <v>1560</v>
          </cell>
          <cell r="K1569" t="str">
            <v>C</v>
          </cell>
        </row>
        <row r="1570">
          <cell r="A1570">
            <v>55075</v>
          </cell>
          <cell r="B1570" t="str">
            <v>2.1.04.020.0810</v>
          </cell>
          <cell r="C1570" t="str">
            <v>PINESE VIEIRA LTDA.</v>
          </cell>
          <cell r="D1570">
            <v>0</v>
          </cell>
          <cell r="E1570" t="str">
            <v>C</v>
          </cell>
          <cell r="G1570">
            <v>0</v>
          </cell>
          <cell r="H1570">
            <v>481538.7</v>
          </cell>
          <cell r="I1570">
            <v>481538.7</v>
          </cell>
          <cell r="J1570">
            <v>481538.7</v>
          </cell>
          <cell r="K1570" t="str">
            <v>C</v>
          </cell>
        </row>
        <row r="1571">
          <cell r="A1571">
            <v>55090</v>
          </cell>
          <cell r="B1571" t="str">
            <v>2.1.04.020.0812</v>
          </cell>
          <cell r="C1571" t="str">
            <v xml:space="preserve">FNTT COMERCIO E SERVICOS </v>
          </cell>
          <cell r="D1571">
            <v>8756.2000000000007</v>
          </cell>
          <cell r="E1571" t="str">
            <v>C</v>
          </cell>
          <cell r="G1571">
            <v>8756.2000000000007</v>
          </cell>
          <cell r="H1571">
            <v>8756.2000000000007</v>
          </cell>
          <cell r="I1571">
            <v>0</v>
          </cell>
          <cell r="J1571">
            <v>8756.2000000000007</v>
          </cell>
          <cell r="K1571" t="str">
            <v>C</v>
          </cell>
        </row>
        <row r="1572">
          <cell r="A1572">
            <v>55093</v>
          </cell>
          <cell r="B1572" t="str">
            <v>2.1.04.020.0813</v>
          </cell>
          <cell r="C1572" t="str">
            <v xml:space="preserve">ANA BEATRIZ DE OLIVEIRA </v>
          </cell>
          <cell r="D1572">
            <v>1920</v>
          </cell>
          <cell r="E1572" t="str">
            <v>C</v>
          </cell>
          <cell r="G1572">
            <v>6240</v>
          </cell>
          <cell r="H1572">
            <v>4320</v>
          </cell>
          <cell r="I1572">
            <v>-1920</v>
          </cell>
          <cell r="J1572">
            <v>0</v>
          </cell>
          <cell r="K1572" t="str">
            <v>C</v>
          </cell>
        </row>
        <row r="1573">
          <cell r="A1573">
            <v>55108</v>
          </cell>
          <cell r="B1573" t="str">
            <v>2.1.04.020.0814</v>
          </cell>
          <cell r="C1573" t="str">
            <v>DECIO DE BARROS JUNIOR</v>
          </cell>
          <cell r="D1573">
            <v>22075.61</v>
          </cell>
          <cell r="E1573" t="str">
            <v>C</v>
          </cell>
          <cell r="G1573">
            <v>22075.61</v>
          </cell>
          <cell r="H1573">
            <v>22075.61</v>
          </cell>
          <cell r="I1573">
            <v>0</v>
          </cell>
          <cell r="J1573">
            <v>22075.61</v>
          </cell>
          <cell r="K1573" t="str">
            <v>C</v>
          </cell>
        </row>
        <row r="1574">
          <cell r="A1574">
            <v>55110</v>
          </cell>
          <cell r="B1574" t="str">
            <v>2.1.04.020.0816</v>
          </cell>
          <cell r="C1574" t="str">
            <v xml:space="preserve">NEUROSERVICE NEUROLOGIA </v>
          </cell>
          <cell r="D1574">
            <v>5443.3</v>
          </cell>
          <cell r="E1574" t="str">
            <v>C</v>
          </cell>
          <cell r="G1574">
            <v>5443.3</v>
          </cell>
          <cell r="H1574">
            <v>0</v>
          </cell>
          <cell r="I1574">
            <v>-5443.3</v>
          </cell>
          <cell r="J1574">
            <v>0</v>
          </cell>
          <cell r="K1574" t="str">
            <v>C</v>
          </cell>
        </row>
        <row r="1575">
          <cell r="A1575">
            <v>55117</v>
          </cell>
          <cell r="B1575" t="str">
            <v>2.1.04.020.0818</v>
          </cell>
          <cell r="C1575" t="str">
            <v xml:space="preserve">A. A. DE SANTANA </v>
          </cell>
          <cell r="D1575">
            <v>2400</v>
          </cell>
          <cell r="E1575" t="str">
            <v>C</v>
          </cell>
          <cell r="G1575">
            <v>2400</v>
          </cell>
          <cell r="H1575">
            <v>2400</v>
          </cell>
          <cell r="I1575">
            <v>0</v>
          </cell>
          <cell r="J1575">
            <v>2400</v>
          </cell>
          <cell r="K1575" t="str">
            <v>C</v>
          </cell>
        </row>
        <row r="1576">
          <cell r="A1576">
            <v>55146</v>
          </cell>
          <cell r="B1576" t="str">
            <v>2.1.04.020.0825</v>
          </cell>
          <cell r="C1576" t="str">
            <v xml:space="preserve">RJ VALE INFRAESTRUTURA </v>
          </cell>
          <cell r="D1576">
            <v>0</v>
          </cell>
          <cell r="E1576" t="str">
            <v>C</v>
          </cell>
          <cell r="G1576">
            <v>0</v>
          </cell>
          <cell r="H1576">
            <v>2100</v>
          </cell>
          <cell r="I1576">
            <v>2100</v>
          </cell>
          <cell r="J1576">
            <v>2100</v>
          </cell>
          <cell r="K1576" t="str">
            <v>C</v>
          </cell>
        </row>
        <row r="1577">
          <cell r="A1577">
            <v>55147</v>
          </cell>
          <cell r="B1577" t="str">
            <v>2.1.04.020.0826</v>
          </cell>
          <cell r="C1577" t="str">
            <v>CONSTRUTORA DEVINI LTDA</v>
          </cell>
          <cell r="D1577">
            <v>0</v>
          </cell>
          <cell r="E1577" t="str">
            <v>C</v>
          </cell>
          <cell r="G1577">
            <v>0</v>
          </cell>
          <cell r="H1577">
            <v>1773.28</v>
          </cell>
          <cell r="I1577">
            <v>1773.28</v>
          </cell>
          <cell r="J1577">
            <v>1773.28</v>
          </cell>
          <cell r="K1577" t="str">
            <v>C</v>
          </cell>
        </row>
        <row r="1578">
          <cell r="A1578">
            <v>55156</v>
          </cell>
          <cell r="B1578" t="str">
            <v>2.1.04.020.0829</v>
          </cell>
          <cell r="C1578" t="str">
            <v>POLIMIX CONCRETO LTDA</v>
          </cell>
          <cell r="D1578">
            <v>4136.99</v>
          </cell>
          <cell r="E1578" t="str">
            <v>C</v>
          </cell>
          <cell r="G1578">
            <v>4136.99</v>
          </cell>
          <cell r="H1578">
            <v>0</v>
          </cell>
          <cell r="I1578">
            <v>-4136.99</v>
          </cell>
          <cell r="J1578">
            <v>0</v>
          </cell>
          <cell r="K1578" t="str">
            <v>C</v>
          </cell>
        </row>
        <row r="1579">
          <cell r="A1579">
            <v>55217</v>
          </cell>
          <cell r="B1579" t="str">
            <v>2.1.04.020.0834</v>
          </cell>
          <cell r="C1579" t="str">
            <v xml:space="preserve">PEDREIRA SANTA ISABEL </v>
          </cell>
          <cell r="D1579">
            <v>2551.9</v>
          </cell>
          <cell r="E1579" t="str">
            <v>C</v>
          </cell>
          <cell r="G1579">
            <v>2551.9</v>
          </cell>
          <cell r="H1579">
            <v>0</v>
          </cell>
          <cell r="I1579">
            <v>-2551.9</v>
          </cell>
          <cell r="J1579">
            <v>0</v>
          </cell>
          <cell r="K1579" t="str">
            <v>C</v>
          </cell>
        </row>
        <row r="1580">
          <cell r="A1580">
            <v>55222</v>
          </cell>
          <cell r="B1580" t="str">
            <v>2.1.04.020.0835</v>
          </cell>
          <cell r="C1580" t="str">
            <v xml:space="preserve">QUALITEC TECNOLOGIA DE </v>
          </cell>
          <cell r="D1580">
            <v>0</v>
          </cell>
          <cell r="E1580" t="str">
            <v>C</v>
          </cell>
          <cell r="G1580">
            <v>6429.72</v>
          </cell>
          <cell r="H1580">
            <v>6429.72</v>
          </cell>
          <cell r="I1580">
            <v>0</v>
          </cell>
          <cell r="J1580">
            <v>0</v>
          </cell>
          <cell r="K1580" t="str">
            <v>C</v>
          </cell>
        </row>
        <row r="1581">
          <cell r="A1581">
            <v>55357</v>
          </cell>
          <cell r="B1581" t="str">
            <v>2.1.04.020.0841</v>
          </cell>
          <cell r="C1581" t="str">
            <v xml:space="preserve">MARCIO HENRIQUE AFFINI DA </v>
          </cell>
          <cell r="D1581">
            <v>10180</v>
          </cell>
          <cell r="E1581" t="str">
            <v>C</v>
          </cell>
          <cell r="G1581">
            <v>4780</v>
          </cell>
          <cell r="H1581">
            <v>0</v>
          </cell>
          <cell r="I1581">
            <v>-4780</v>
          </cell>
          <cell r="J1581">
            <v>5400</v>
          </cell>
          <cell r="K1581" t="str">
            <v>C</v>
          </cell>
        </row>
        <row r="1582">
          <cell r="A1582">
            <v>55254</v>
          </cell>
          <cell r="B1582" t="str">
            <v>2.1.04.020.0842</v>
          </cell>
          <cell r="C1582" t="str">
            <v>S A O ESTADO DE S PAULO</v>
          </cell>
          <cell r="D1582">
            <v>31575.52</v>
          </cell>
          <cell r="E1582" t="str">
            <v>C</v>
          </cell>
          <cell r="G1582">
            <v>0</v>
          </cell>
          <cell r="H1582">
            <v>0</v>
          </cell>
          <cell r="I1582">
            <v>0</v>
          </cell>
          <cell r="J1582">
            <v>31575.52</v>
          </cell>
          <cell r="K1582" t="str">
            <v>C</v>
          </cell>
        </row>
        <row r="1583">
          <cell r="A1583">
            <v>55410</v>
          </cell>
          <cell r="B1583" t="str">
            <v>2.1.04.020.0851</v>
          </cell>
          <cell r="C1583" t="str">
            <v>MODULUS ENGENHARIA LTDA</v>
          </cell>
          <cell r="D1583">
            <v>15016</v>
          </cell>
          <cell r="E1583" t="str">
            <v>C</v>
          </cell>
          <cell r="G1583">
            <v>15016</v>
          </cell>
          <cell r="H1583">
            <v>0</v>
          </cell>
          <cell r="I1583">
            <v>-15016</v>
          </cell>
          <cell r="J1583">
            <v>0</v>
          </cell>
          <cell r="K1583" t="str">
            <v>C</v>
          </cell>
        </row>
        <row r="1584">
          <cell r="A1584">
            <v>55413</v>
          </cell>
          <cell r="B1584" t="str">
            <v>2.1.04.020.0852</v>
          </cell>
          <cell r="C1584" t="str">
            <v xml:space="preserve">SECRETARIA DA FAZENDA E </v>
          </cell>
          <cell r="D1584">
            <v>0</v>
          </cell>
          <cell r="E1584" t="str">
            <v>C</v>
          </cell>
          <cell r="G1584">
            <v>0</v>
          </cell>
          <cell r="H1584">
            <v>213.51</v>
          </cell>
          <cell r="I1584">
            <v>213.51</v>
          </cell>
          <cell r="J1584">
            <v>213.51</v>
          </cell>
          <cell r="K1584" t="str">
            <v>C</v>
          </cell>
        </row>
        <row r="1585">
          <cell r="A1585">
            <v>55418</v>
          </cell>
          <cell r="B1585" t="str">
            <v>2.1.04.020.0855</v>
          </cell>
          <cell r="C1585" t="str">
            <v xml:space="preserve">VAI LOCAR EQUIPAMENTOS </v>
          </cell>
          <cell r="D1585">
            <v>3535</v>
          </cell>
          <cell r="E1585" t="str">
            <v>C</v>
          </cell>
          <cell r="G1585">
            <v>5130</v>
          </cell>
          <cell r="H1585">
            <v>5291</v>
          </cell>
          <cell r="I1585">
            <v>161</v>
          </cell>
          <cell r="J1585">
            <v>3696</v>
          </cell>
          <cell r="K1585" t="str">
            <v>C</v>
          </cell>
        </row>
        <row r="1586">
          <cell r="A1586">
            <v>55419</v>
          </cell>
          <cell r="B1586" t="str">
            <v>2.1.04.020.0856</v>
          </cell>
          <cell r="C1586" t="str">
            <v xml:space="preserve">TANGRAM APP </v>
          </cell>
          <cell r="D1586">
            <v>0</v>
          </cell>
          <cell r="E1586" t="str">
            <v>C</v>
          </cell>
          <cell r="G1586">
            <v>4436.9399999999996</v>
          </cell>
          <cell r="H1586">
            <v>4436.9399999999996</v>
          </cell>
          <cell r="I1586">
            <v>0</v>
          </cell>
          <cell r="J1586">
            <v>0</v>
          </cell>
          <cell r="K1586" t="str">
            <v>C</v>
          </cell>
        </row>
        <row r="1587">
          <cell r="A1587">
            <v>55422</v>
          </cell>
          <cell r="B1587" t="str">
            <v>2.1.04.020.0858</v>
          </cell>
          <cell r="C1587" t="str">
            <v xml:space="preserve">PM EMPREENDIMENTOS </v>
          </cell>
          <cell r="D1587">
            <v>0</v>
          </cell>
          <cell r="E1587" t="str">
            <v>C</v>
          </cell>
          <cell r="G1587">
            <v>25000</v>
          </cell>
          <cell r="H1587">
            <v>25000</v>
          </cell>
          <cell r="I1587">
            <v>0</v>
          </cell>
          <cell r="J1587">
            <v>0</v>
          </cell>
          <cell r="K1587" t="str">
            <v>C</v>
          </cell>
        </row>
        <row r="1588">
          <cell r="A1588">
            <v>55423</v>
          </cell>
          <cell r="B1588" t="str">
            <v>2.1.04.020.0859</v>
          </cell>
          <cell r="C1588" t="str">
            <v xml:space="preserve">LOCAR GUINDASTES E </v>
          </cell>
          <cell r="D1588">
            <v>0</v>
          </cell>
          <cell r="E1588" t="str">
            <v>C</v>
          </cell>
          <cell r="G1588">
            <v>14460.36</v>
          </cell>
          <cell r="H1588">
            <v>46259.8</v>
          </cell>
          <cell r="I1588">
            <v>31799.439999999999</v>
          </cell>
          <cell r="J1588">
            <v>31799.439999999999</v>
          </cell>
          <cell r="K1588" t="str">
            <v>C</v>
          </cell>
        </row>
        <row r="1589">
          <cell r="A1589">
            <v>55440</v>
          </cell>
          <cell r="B1589" t="str">
            <v>2.1.04.020.0865</v>
          </cell>
          <cell r="C1589" t="str">
            <v xml:space="preserve">INOVAR SOLUCOES </v>
          </cell>
          <cell r="D1589">
            <v>0</v>
          </cell>
          <cell r="E1589" t="str">
            <v>C</v>
          </cell>
          <cell r="G1589">
            <v>1742.04</v>
          </cell>
          <cell r="H1589">
            <v>1742.04</v>
          </cell>
          <cell r="I1589">
            <v>0</v>
          </cell>
          <cell r="J1589">
            <v>0</v>
          </cell>
          <cell r="K1589" t="str">
            <v>C</v>
          </cell>
        </row>
        <row r="1590">
          <cell r="A1590">
            <v>55441</v>
          </cell>
          <cell r="B1590" t="str">
            <v>2.1.04.020.0866</v>
          </cell>
          <cell r="C1590" t="str">
            <v xml:space="preserve">SOLOTRAT ENGENHARIA </v>
          </cell>
          <cell r="D1590">
            <v>78139.210000000006</v>
          </cell>
          <cell r="E1590" t="str">
            <v>C</v>
          </cell>
          <cell r="G1590">
            <v>145020.73000000001</v>
          </cell>
          <cell r="H1590">
            <v>66881.52</v>
          </cell>
          <cell r="I1590">
            <v>-78139.210000000006</v>
          </cell>
          <cell r="J1590">
            <v>0</v>
          </cell>
          <cell r="K1590" t="str">
            <v>C</v>
          </cell>
        </row>
        <row r="1591">
          <cell r="A1591">
            <v>55446</v>
          </cell>
          <cell r="B1591" t="str">
            <v>2.1.04.020.0867</v>
          </cell>
          <cell r="C1591" t="str">
            <v xml:space="preserve">LAYHER COMERCIO DE </v>
          </cell>
          <cell r="D1591">
            <v>0</v>
          </cell>
          <cell r="E1591" t="str">
            <v>C</v>
          </cell>
          <cell r="G1591">
            <v>9261.83</v>
          </cell>
          <cell r="H1591">
            <v>9261.83</v>
          </cell>
          <cell r="I1591">
            <v>0</v>
          </cell>
          <cell r="J1591">
            <v>0</v>
          </cell>
          <cell r="K1591" t="str">
            <v>C</v>
          </cell>
        </row>
        <row r="1592">
          <cell r="A1592">
            <v>55460</v>
          </cell>
          <cell r="B1592" t="str">
            <v>2.1.04.020.0868</v>
          </cell>
          <cell r="C1592" t="str">
            <v>ELEVADORES VILLARTA LTDA</v>
          </cell>
          <cell r="D1592">
            <v>357.32</v>
          </cell>
          <cell r="E1592" t="str">
            <v>C</v>
          </cell>
          <cell r="G1592">
            <v>357.32</v>
          </cell>
          <cell r="H1592">
            <v>357.32</v>
          </cell>
          <cell r="I1592">
            <v>0</v>
          </cell>
          <cell r="J1592">
            <v>357.32</v>
          </cell>
          <cell r="K1592" t="str">
            <v>C</v>
          </cell>
        </row>
        <row r="1593">
          <cell r="A1593">
            <v>55471</v>
          </cell>
          <cell r="B1593" t="str">
            <v>2.1.04.020.0869</v>
          </cell>
          <cell r="C1593" t="str">
            <v xml:space="preserve">PODER JUDICIARIO TRIBUNAL </v>
          </cell>
          <cell r="D1593">
            <v>37336.269999999997</v>
          </cell>
          <cell r="E1593" t="str">
            <v>C</v>
          </cell>
          <cell r="G1593">
            <v>37336.269999999997</v>
          </cell>
          <cell r="H1593">
            <v>0</v>
          </cell>
          <cell r="I1593">
            <v>-37336.269999999997</v>
          </cell>
          <cell r="J1593">
            <v>0</v>
          </cell>
          <cell r="K1593" t="str">
            <v>C</v>
          </cell>
        </row>
        <row r="1594">
          <cell r="A1594">
            <v>55856</v>
          </cell>
          <cell r="B1594" t="str">
            <v>2.1.04.020.0877</v>
          </cell>
          <cell r="C1594" t="str">
            <v>ALLIANZ SEGUROS S/A</v>
          </cell>
          <cell r="D1594">
            <v>615.78</v>
          </cell>
          <cell r="E1594" t="str">
            <v>C</v>
          </cell>
          <cell r="G1594">
            <v>307.89</v>
          </cell>
          <cell r="H1594">
            <v>0</v>
          </cell>
          <cell r="I1594">
            <v>-307.89</v>
          </cell>
          <cell r="J1594">
            <v>307.89</v>
          </cell>
          <cell r="K1594" t="str">
            <v>C</v>
          </cell>
        </row>
        <row r="1595">
          <cell r="A1595">
            <v>55861</v>
          </cell>
          <cell r="B1595" t="str">
            <v>2.1.04.020.0878</v>
          </cell>
          <cell r="C1595" t="str">
            <v xml:space="preserve">CONSDOC PROCESSAMENTO </v>
          </cell>
          <cell r="D1595">
            <v>0</v>
          </cell>
          <cell r="E1595" t="str">
            <v>C</v>
          </cell>
          <cell r="G1595">
            <v>0</v>
          </cell>
          <cell r="H1595">
            <v>380.45</v>
          </cell>
          <cell r="I1595">
            <v>380.45</v>
          </cell>
          <cell r="J1595">
            <v>380.45</v>
          </cell>
          <cell r="K1595" t="str">
            <v>C</v>
          </cell>
        </row>
        <row r="1596">
          <cell r="A1596">
            <v>55863</v>
          </cell>
          <cell r="B1596" t="str">
            <v>2.1.04.020.0879</v>
          </cell>
          <cell r="C1596" t="str">
            <v>SPONTE INFORMATICA S. A.</v>
          </cell>
          <cell r="D1596">
            <v>0</v>
          </cell>
          <cell r="E1596" t="str">
            <v>C</v>
          </cell>
          <cell r="G1596">
            <v>190</v>
          </cell>
          <cell r="H1596">
            <v>190</v>
          </cell>
          <cell r="I1596">
            <v>0</v>
          </cell>
          <cell r="J1596">
            <v>0</v>
          </cell>
          <cell r="K1596" t="str">
            <v>C</v>
          </cell>
        </row>
        <row r="1597">
          <cell r="A1597">
            <v>55867</v>
          </cell>
          <cell r="B1597" t="str">
            <v>2.1.04.020.0881</v>
          </cell>
          <cell r="C1597" t="str">
            <v xml:space="preserve">DRYWALL MASTER </v>
          </cell>
          <cell r="D1597">
            <v>11000</v>
          </cell>
          <cell r="E1597" t="str">
            <v>C</v>
          </cell>
          <cell r="G1597">
            <v>13000</v>
          </cell>
          <cell r="H1597">
            <v>2000</v>
          </cell>
          <cell r="I1597">
            <v>-11000</v>
          </cell>
          <cell r="J1597">
            <v>0</v>
          </cell>
          <cell r="K1597" t="str">
            <v>C</v>
          </cell>
        </row>
        <row r="1598">
          <cell r="A1598">
            <v>55872</v>
          </cell>
          <cell r="B1598" t="str">
            <v>2.1.04.020.0882</v>
          </cell>
          <cell r="C1598" t="str">
            <v xml:space="preserve">GO TIME LAPSE LOCACAO DE </v>
          </cell>
          <cell r="D1598">
            <v>1650</v>
          </cell>
          <cell r="E1598" t="str">
            <v>C</v>
          </cell>
          <cell r="G1598">
            <v>1650</v>
          </cell>
          <cell r="H1598">
            <v>1625</v>
          </cell>
          <cell r="I1598">
            <v>-25</v>
          </cell>
          <cell r="J1598">
            <v>1625</v>
          </cell>
          <cell r="K1598" t="str">
            <v>C</v>
          </cell>
        </row>
        <row r="1599">
          <cell r="A1599">
            <v>55888</v>
          </cell>
          <cell r="B1599" t="str">
            <v>2.1.04.020.0889</v>
          </cell>
          <cell r="C1599" t="str">
            <v>SOMPO SEGUROS S.A.</v>
          </cell>
          <cell r="D1599">
            <v>1400.37</v>
          </cell>
          <cell r="E1599" t="str">
            <v>C</v>
          </cell>
          <cell r="G1599">
            <v>280.08</v>
          </cell>
          <cell r="H1599">
            <v>0</v>
          </cell>
          <cell r="I1599">
            <v>-280.08</v>
          </cell>
          <cell r="J1599">
            <v>1120.29</v>
          </cell>
          <cell r="K1599" t="str">
            <v>C</v>
          </cell>
        </row>
        <row r="1600">
          <cell r="A1600">
            <v>55890</v>
          </cell>
          <cell r="B1600" t="str">
            <v>2.1.04.020.0890</v>
          </cell>
          <cell r="C1600" t="str">
            <v xml:space="preserve">HIDRO BALA TRANSPORTES E </v>
          </cell>
          <cell r="D1600">
            <v>3104</v>
          </cell>
          <cell r="E1600" t="str">
            <v>C</v>
          </cell>
          <cell r="G1600">
            <v>3104</v>
          </cell>
          <cell r="H1600">
            <v>1164</v>
          </cell>
          <cell r="I1600">
            <v>-1940</v>
          </cell>
          <cell r="J1600">
            <v>1164</v>
          </cell>
          <cell r="K1600" t="str">
            <v>C</v>
          </cell>
        </row>
        <row r="1601">
          <cell r="A1601">
            <v>55889</v>
          </cell>
          <cell r="B1601" t="str">
            <v>2.1.04.020.0891</v>
          </cell>
          <cell r="C1601" t="str">
            <v>VIVIANE GOIS DA SILVA</v>
          </cell>
          <cell r="D1601">
            <v>8770.77</v>
          </cell>
          <cell r="E1601" t="str">
            <v>C</v>
          </cell>
          <cell r="G1601">
            <v>8770.77</v>
          </cell>
          <cell r="H1601">
            <v>0</v>
          </cell>
          <cell r="I1601">
            <v>-8770.77</v>
          </cell>
          <cell r="J1601">
            <v>0</v>
          </cell>
          <cell r="K1601" t="str">
            <v>C</v>
          </cell>
        </row>
        <row r="1602">
          <cell r="A1602">
            <v>55899</v>
          </cell>
          <cell r="B1602" t="str">
            <v>2.1.04.020.0893</v>
          </cell>
          <cell r="C1602" t="str">
            <v xml:space="preserve">RIGGING BRASIL PRESTACAO </v>
          </cell>
          <cell r="D1602">
            <v>0</v>
          </cell>
          <cell r="E1602" t="str">
            <v>C</v>
          </cell>
          <cell r="G1602">
            <v>0</v>
          </cell>
          <cell r="H1602">
            <v>933.8</v>
          </cell>
          <cell r="I1602">
            <v>933.8</v>
          </cell>
          <cell r="J1602">
            <v>933.8</v>
          </cell>
          <cell r="K1602" t="str">
            <v>C</v>
          </cell>
        </row>
        <row r="1603">
          <cell r="A1603">
            <v>55904</v>
          </cell>
          <cell r="B1603" t="str">
            <v>2.1.04.020.0895</v>
          </cell>
          <cell r="C1603" t="str">
            <v xml:space="preserve">MARGEN MEDICINA DO </v>
          </cell>
          <cell r="D1603">
            <v>0</v>
          </cell>
          <cell r="E1603" t="str">
            <v>C</v>
          </cell>
          <cell r="G1603">
            <v>6796.9</v>
          </cell>
          <cell r="H1603">
            <v>6796.9</v>
          </cell>
          <cell r="I1603">
            <v>0</v>
          </cell>
          <cell r="J1603">
            <v>0</v>
          </cell>
          <cell r="K1603" t="str">
            <v>C</v>
          </cell>
        </row>
        <row r="1604">
          <cell r="A1604">
            <v>55906</v>
          </cell>
          <cell r="B1604" t="str">
            <v>2.1.04.020.0896</v>
          </cell>
          <cell r="C1604" t="str">
            <v xml:space="preserve">PROGIC TECNOLOGIA </v>
          </cell>
          <cell r="D1604">
            <v>0</v>
          </cell>
          <cell r="E1604" t="str">
            <v>C</v>
          </cell>
          <cell r="G1604">
            <v>1245</v>
          </cell>
          <cell r="H1604">
            <v>2490</v>
          </cell>
          <cell r="I1604">
            <v>1245</v>
          </cell>
          <cell r="J1604">
            <v>1245</v>
          </cell>
          <cell r="K1604" t="str">
            <v>C</v>
          </cell>
        </row>
        <row r="1605">
          <cell r="A1605">
            <v>55917</v>
          </cell>
          <cell r="B1605" t="str">
            <v>2.1.04.020.0898</v>
          </cell>
          <cell r="C1605" t="str">
            <v xml:space="preserve">RADIO DIFUSORA DE SAO </v>
          </cell>
          <cell r="D1605">
            <v>0</v>
          </cell>
          <cell r="E1605" t="str">
            <v>C</v>
          </cell>
          <cell r="G1605">
            <v>5500</v>
          </cell>
          <cell r="H1605">
            <v>5500</v>
          </cell>
          <cell r="I1605">
            <v>0</v>
          </cell>
          <cell r="J1605">
            <v>0</v>
          </cell>
          <cell r="K1605" t="str">
            <v>C</v>
          </cell>
        </row>
        <row r="1606">
          <cell r="A1606">
            <v>55920</v>
          </cell>
          <cell r="B1606" t="str">
            <v>2.1.04.020.0899</v>
          </cell>
          <cell r="C1606" t="str">
            <v xml:space="preserve">SIMONE SOARES PINHEIRO </v>
          </cell>
          <cell r="D1606">
            <v>0</v>
          </cell>
          <cell r="E1606" t="str">
            <v>C</v>
          </cell>
          <cell r="G1606">
            <v>715</v>
          </cell>
          <cell r="H1606">
            <v>715</v>
          </cell>
          <cell r="I1606">
            <v>0</v>
          </cell>
          <cell r="J1606">
            <v>0</v>
          </cell>
          <cell r="K1606" t="str">
            <v>C</v>
          </cell>
        </row>
        <row r="1607">
          <cell r="A1607">
            <v>55926</v>
          </cell>
          <cell r="B1607" t="str">
            <v>2.1.04.020.0900</v>
          </cell>
          <cell r="C1607" t="str">
            <v>CONECTE-SE LTDA</v>
          </cell>
          <cell r="D1607">
            <v>10417.35</v>
          </cell>
          <cell r="E1607" t="str">
            <v>C</v>
          </cell>
          <cell r="G1607">
            <v>10417.35</v>
          </cell>
          <cell r="H1607">
            <v>844.65</v>
          </cell>
          <cell r="I1607">
            <v>-9572.7000000000007</v>
          </cell>
          <cell r="J1607">
            <v>844.65</v>
          </cell>
          <cell r="K1607" t="str">
            <v>C</v>
          </cell>
        </row>
        <row r="1608">
          <cell r="A1608">
            <v>55935</v>
          </cell>
          <cell r="B1608" t="str">
            <v>2.1.04.020.0901</v>
          </cell>
          <cell r="C1608" t="str">
            <v xml:space="preserve">ANDRESSA GABRIELLE DALA </v>
          </cell>
          <cell r="D1608">
            <v>0</v>
          </cell>
          <cell r="E1608" t="str">
            <v>C</v>
          </cell>
          <cell r="G1608">
            <v>175</v>
          </cell>
          <cell r="H1608">
            <v>175</v>
          </cell>
          <cell r="I1608">
            <v>0</v>
          </cell>
          <cell r="J1608">
            <v>0</v>
          </cell>
          <cell r="K1608" t="str">
            <v>C</v>
          </cell>
        </row>
        <row r="1609">
          <cell r="A1609">
            <v>55938</v>
          </cell>
          <cell r="B1609" t="str">
            <v>2.1.04.020.0902</v>
          </cell>
          <cell r="C1609" t="str">
            <v xml:space="preserve">SOUZA LIMA SEGURANCA </v>
          </cell>
          <cell r="D1609">
            <v>641.22</v>
          </cell>
          <cell r="E1609" t="str">
            <v>C</v>
          </cell>
          <cell r="G1609">
            <v>641.22</v>
          </cell>
          <cell r="H1609">
            <v>0</v>
          </cell>
          <cell r="I1609">
            <v>-641.22</v>
          </cell>
          <cell r="J1609">
            <v>0</v>
          </cell>
          <cell r="K1609" t="str">
            <v>C</v>
          </cell>
        </row>
        <row r="1610">
          <cell r="A1610">
            <v>55944</v>
          </cell>
          <cell r="B1610" t="str">
            <v>2.1.04.020.0903</v>
          </cell>
          <cell r="C1610" t="str">
            <v xml:space="preserve">RICARDO MATEUS FRANCO </v>
          </cell>
          <cell r="D1610">
            <v>1068</v>
          </cell>
          <cell r="E1610" t="str">
            <v>C</v>
          </cell>
          <cell r="G1610">
            <v>1068</v>
          </cell>
          <cell r="H1610">
            <v>0</v>
          </cell>
          <cell r="I1610">
            <v>-1068</v>
          </cell>
          <cell r="J1610">
            <v>0</v>
          </cell>
          <cell r="K1610" t="str">
            <v>C</v>
          </cell>
        </row>
        <row r="1611">
          <cell r="A1611">
            <v>55946</v>
          </cell>
          <cell r="B1611" t="str">
            <v>2.1.04.020.0904</v>
          </cell>
          <cell r="C1611" t="str">
            <v xml:space="preserve">CORONEL SEGURANCA </v>
          </cell>
          <cell r="D1611">
            <v>6710</v>
          </cell>
          <cell r="E1611" t="str">
            <v>C</v>
          </cell>
          <cell r="G1611">
            <v>3000</v>
          </cell>
          <cell r="H1611">
            <v>4871</v>
          </cell>
          <cell r="I1611">
            <v>1871</v>
          </cell>
          <cell r="J1611">
            <v>8581</v>
          </cell>
          <cell r="K1611" t="str">
            <v>C</v>
          </cell>
        </row>
        <row r="1612">
          <cell r="A1612">
            <v>55949</v>
          </cell>
          <cell r="B1612" t="str">
            <v>2.1.04.020.0906</v>
          </cell>
          <cell r="C1612" t="str">
            <v xml:space="preserve">JUSTICA FEDERAL DE </v>
          </cell>
          <cell r="D1612">
            <v>50</v>
          </cell>
          <cell r="E1612" t="str">
            <v>C</v>
          </cell>
          <cell r="G1612">
            <v>50</v>
          </cell>
          <cell r="H1612">
            <v>0</v>
          </cell>
          <cell r="I1612">
            <v>-50</v>
          </cell>
          <cell r="J1612">
            <v>0</v>
          </cell>
          <cell r="K1612" t="str">
            <v>C</v>
          </cell>
        </row>
        <row r="1613">
          <cell r="A1613">
            <v>55950</v>
          </cell>
          <cell r="B1613" t="str">
            <v>2.1.04.020.0907</v>
          </cell>
          <cell r="C1613" t="str">
            <v xml:space="preserve">INOSERVICE SERVICOS DE </v>
          </cell>
          <cell r="D1613">
            <v>6479.6</v>
          </cell>
          <cell r="E1613" t="str">
            <v>C</v>
          </cell>
          <cell r="G1613">
            <v>6479.6</v>
          </cell>
          <cell r="H1613">
            <v>1872.1</v>
          </cell>
          <cell r="I1613">
            <v>-4607.5</v>
          </cell>
          <cell r="J1613">
            <v>1872.1</v>
          </cell>
          <cell r="K1613" t="str">
            <v>C</v>
          </cell>
        </row>
        <row r="1614">
          <cell r="A1614">
            <v>55954</v>
          </cell>
          <cell r="B1614" t="str">
            <v>2.1.04.020.0908</v>
          </cell>
          <cell r="C1614" t="str">
            <v xml:space="preserve">BAMBOO II RESTAURANTE E </v>
          </cell>
          <cell r="D1614">
            <v>0</v>
          </cell>
          <cell r="E1614" t="str">
            <v>C</v>
          </cell>
          <cell r="G1614">
            <v>6840</v>
          </cell>
          <cell r="H1614">
            <v>6840</v>
          </cell>
          <cell r="I1614">
            <v>0</v>
          </cell>
          <cell r="J1614">
            <v>0</v>
          </cell>
          <cell r="K1614" t="str">
            <v>C</v>
          </cell>
        </row>
        <row r="1615">
          <cell r="A1615">
            <v>55969</v>
          </cell>
          <cell r="B1615" t="str">
            <v>2.1.04.020.0909</v>
          </cell>
          <cell r="C1615" t="str">
            <v xml:space="preserve">ALEXANDRE RODRIGUES </v>
          </cell>
          <cell r="D1615">
            <v>0</v>
          </cell>
          <cell r="E1615" t="str">
            <v>C</v>
          </cell>
          <cell r="G1615">
            <v>12700</v>
          </cell>
          <cell r="H1615">
            <v>12700</v>
          </cell>
          <cell r="I1615">
            <v>0</v>
          </cell>
          <cell r="J1615">
            <v>0</v>
          </cell>
          <cell r="K1615" t="str">
            <v>C</v>
          </cell>
        </row>
        <row r="1616">
          <cell r="A1616">
            <v>55973</v>
          </cell>
          <cell r="B1616" t="str">
            <v>2.1.04.020.0910</v>
          </cell>
          <cell r="C1616" t="str">
            <v>OSCAR PORCELLI FLORIS ME</v>
          </cell>
          <cell r="D1616">
            <v>0</v>
          </cell>
          <cell r="E1616" t="str">
            <v>C</v>
          </cell>
          <cell r="G1616">
            <v>0</v>
          </cell>
          <cell r="H1616">
            <v>160</v>
          </cell>
          <cell r="I1616">
            <v>160</v>
          </cell>
          <cell r="J1616">
            <v>160</v>
          </cell>
          <cell r="K1616" t="str">
            <v>C</v>
          </cell>
        </row>
        <row r="1617">
          <cell r="A1617">
            <v>55974</v>
          </cell>
          <cell r="B1617" t="str">
            <v>2.1.04.020.0911</v>
          </cell>
          <cell r="C1617" t="str">
            <v>EMPLAC PUBLICIDADE LTDA</v>
          </cell>
          <cell r="D1617">
            <v>0</v>
          </cell>
          <cell r="E1617" t="str">
            <v>C</v>
          </cell>
          <cell r="G1617">
            <v>0</v>
          </cell>
          <cell r="H1617">
            <v>1446</v>
          </cell>
          <cell r="I1617">
            <v>1446</v>
          </cell>
          <cell r="J1617">
            <v>1446</v>
          </cell>
          <cell r="K1617" t="str">
            <v>C</v>
          </cell>
        </row>
        <row r="1618">
          <cell r="A1618">
            <v>55975</v>
          </cell>
          <cell r="B1618" t="str">
            <v>2.1.04.020.0912</v>
          </cell>
          <cell r="C1618" t="str">
            <v>MAXGERA GERADORES EIRELI</v>
          </cell>
          <cell r="D1618">
            <v>0</v>
          </cell>
          <cell r="E1618" t="str">
            <v>C</v>
          </cell>
          <cell r="G1618">
            <v>0</v>
          </cell>
          <cell r="H1618">
            <v>8819.1</v>
          </cell>
          <cell r="I1618">
            <v>8819.1</v>
          </cell>
          <cell r="J1618">
            <v>8819.1</v>
          </cell>
          <cell r="K1618" t="str">
            <v>C</v>
          </cell>
        </row>
        <row r="1619">
          <cell r="A1619">
            <v>55980</v>
          </cell>
          <cell r="B1619" t="str">
            <v>2.1.04.020.0913</v>
          </cell>
          <cell r="C1619" t="str">
            <v xml:space="preserve">FERNANDA MONSCOFSQUE </v>
          </cell>
          <cell r="D1619">
            <v>0</v>
          </cell>
          <cell r="E1619" t="str">
            <v>C</v>
          </cell>
          <cell r="G1619">
            <v>4166.66</v>
          </cell>
          <cell r="H1619">
            <v>12500</v>
          </cell>
          <cell r="I1619">
            <v>8333.34</v>
          </cell>
          <cell r="J1619">
            <v>8333.34</v>
          </cell>
          <cell r="K1619" t="str">
            <v>C</v>
          </cell>
        </row>
        <row r="1620">
          <cell r="A1620">
            <v>55981</v>
          </cell>
          <cell r="B1620" t="str">
            <v>2.1.04.020.0914</v>
          </cell>
          <cell r="C1620" t="str">
            <v xml:space="preserve">F.G.A. LEMOS LOCACAO DE </v>
          </cell>
          <cell r="D1620">
            <v>0</v>
          </cell>
          <cell r="E1620" t="str">
            <v>C</v>
          </cell>
          <cell r="G1620">
            <v>0</v>
          </cell>
          <cell r="H1620">
            <v>712.5</v>
          </cell>
          <cell r="I1620">
            <v>712.5</v>
          </cell>
          <cell r="J1620">
            <v>712.5</v>
          </cell>
          <cell r="K1620" t="str">
            <v>C</v>
          </cell>
        </row>
        <row r="1621">
          <cell r="A1621">
            <v>55987</v>
          </cell>
          <cell r="B1621" t="str">
            <v>2.1.04.020.0915</v>
          </cell>
          <cell r="C1621" t="str">
            <v xml:space="preserve">ASSOCIACAO NACIONAL DE </v>
          </cell>
          <cell r="D1621">
            <v>0</v>
          </cell>
          <cell r="E1621" t="str">
            <v>C</v>
          </cell>
          <cell r="G1621">
            <v>10302.26</v>
          </cell>
          <cell r="H1621">
            <v>41209.040000000001</v>
          </cell>
          <cell r="I1621">
            <v>30906.78</v>
          </cell>
          <cell r="J1621">
            <v>30906.78</v>
          </cell>
          <cell r="K1621" t="str">
            <v>C</v>
          </cell>
        </row>
        <row r="1622">
          <cell r="A1622">
            <v>55992</v>
          </cell>
          <cell r="B1622" t="str">
            <v>2.1.04.020.0916</v>
          </cell>
          <cell r="C1622" t="str">
            <v xml:space="preserve">EPIMED SOLUTIONS </v>
          </cell>
          <cell r="D1622">
            <v>0</v>
          </cell>
          <cell r="E1622" t="str">
            <v>C</v>
          </cell>
          <cell r="G1622">
            <v>0</v>
          </cell>
          <cell r="H1622">
            <v>8700</v>
          </cell>
          <cell r="I1622">
            <v>8700</v>
          </cell>
          <cell r="J1622">
            <v>8700</v>
          </cell>
          <cell r="K1622" t="str">
            <v>C</v>
          </cell>
        </row>
        <row r="1623">
          <cell r="A1623">
            <v>55994</v>
          </cell>
          <cell r="B1623" t="str">
            <v>2.1.04.020.0917</v>
          </cell>
          <cell r="C1623" t="str">
            <v xml:space="preserve">NEOS INDUSTRIA DE </v>
          </cell>
          <cell r="D1623">
            <v>0</v>
          </cell>
          <cell r="E1623" t="str">
            <v>C</v>
          </cell>
          <cell r="G1623">
            <v>0</v>
          </cell>
          <cell r="H1623">
            <v>643.76</v>
          </cell>
          <cell r="I1623">
            <v>643.76</v>
          </cell>
          <cell r="J1623">
            <v>643.76</v>
          </cell>
          <cell r="K1623" t="str">
            <v>C</v>
          </cell>
        </row>
        <row r="1624">
          <cell r="A1624">
            <v>55998</v>
          </cell>
          <cell r="B1624" t="str">
            <v>2.1.04.020.0918</v>
          </cell>
          <cell r="C1624" t="str">
            <v xml:space="preserve">NOVO HORIZONTE </v>
          </cell>
          <cell r="D1624">
            <v>0</v>
          </cell>
          <cell r="E1624" t="str">
            <v>C</v>
          </cell>
          <cell r="G1624">
            <v>0</v>
          </cell>
          <cell r="H1624">
            <v>2460</v>
          </cell>
          <cell r="I1624">
            <v>2460</v>
          </cell>
          <cell r="J1624">
            <v>2460</v>
          </cell>
          <cell r="K1624" t="str">
            <v>C</v>
          </cell>
        </row>
        <row r="1625">
          <cell r="A1625">
            <v>56005</v>
          </cell>
          <cell r="B1625" t="str">
            <v>2.1.04.020.0919</v>
          </cell>
          <cell r="C1625" t="str">
            <v>CONCEITO LOCADORA LTDA</v>
          </cell>
          <cell r="D1625">
            <v>0</v>
          </cell>
          <cell r="E1625" t="str">
            <v>C</v>
          </cell>
          <cell r="G1625">
            <v>0</v>
          </cell>
          <cell r="H1625">
            <v>200</v>
          </cell>
          <cell r="I1625">
            <v>200</v>
          </cell>
          <cell r="J1625">
            <v>200</v>
          </cell>
          <cell r="K1625" t="str">
            <v>C</v>
          </cell>
        </row>
        <row r="1626">
          <cell r="A1626">
            <v>40592</v>
          </cell>
          <cell r="B1626" t="str">
            <v>2.1.05</v>
          </cell>
          <cell r="C1626" t="str">
            <v>OUTRAS OBRIGACOES</v>
          </cell>
          <cell r="D1626">
            <v>3401071.06</v>
          </cell>
          <cell r="E1626" t="str">
            <v>C</v>
          </cell>
          <cell r="G1626">
            <v>20019526.34</v>
          </cell>
          <cell r="H1626">
            <v>20215857.109999999</v>
          </cell>
          <cell r="I1626">
            <v>196330.77</v>
          </cell>
          <cell r="J1626">
            <v>3597401.83</v>
          </cell>
          <cell r="K1626" t="str">
            <v>C</v>
          </cell>
        </row>
        <row r="1627">
          <cell r="A1627">
            <v>4270</v>
          </cell>
          <cell r="B1627" t="str">
            <v>2.1.05.010</v>
          </cell>
          <cell r="C1627" t="str">
            <v xml:space="preserve">OUTRAS OBRIGAÇOES - </v>
          </cell>
          <cell r="D1627">
            <v>2445309.46</v>
          </cell>
          <cell r="E1627" t="str">
            <v>C</v>
          </cell>
          <cell r="G1627">
            <v>20019526.34</v>
          </cell>
          <cell r="H1627">
            <v>20215857.109999999</v>
          </cell>
          <cell r="I1627">
            <v>196330.77</v>
          </cell>
          <cell r="J1627">
            <v>2641640.23</v>
          </cell>
          <cell r="K1627" t="str">
            <v>C</v>
          </cell>
        </row>
        <row r="1628">
          <cell r="A1628">
            <v>4273</v>
          </cell>
          <cell r="B1628" t="str">
            <v>2.1.05.010.0002</v>
          </cell>
          <cell r="C1628" t="str">
            <v xml:space="preserve">CHEQUES A PAGAR </v>
          </cell>
          <cell r="D1628">
            <v>8470.01</v>
          </cell>
          <cell r="E1628" t="str">
            <v>C</v>
          </cell>
          <cell r="G1628">
            <v>8470.01</v>
          </cell>
          <cell r="H1628">
            <v>2468.6</v>
          </cell>
          <cell r="I1628">
            <v>-6001.41</v>
          </cell>
          <cell r="J1628">
            <v>2468.6</v>
          </cell>
          <cell r="K1628" t="str">
            <v>C</v>
          </cell>
        </row>
        <row r="1629">
          <cell r="A1629">
            <v>4281</v>
          </cell>
          <cell r="B1629" t="str">
            <v>2.1.05.010.0003</v>
          </cell>
          <cell r="C1629" t="str">
            <v xml:space="preserve">COMGAS A PAGAR </v>
          </cell>
          <cell r="D1629">
            <v>32239.34</v>
          </cell>
          <cell r="E1629" t="str">
            <v>C</v>
          </cell>
          <cell r="G1629">
            <v>32239.34</v>
          </cell>
          <cell r="H1629">
            <v>31951.63</v>
          </cell>
          <cell r="I1629">
            <v>-287.70999999999998</v>
          </cell>
          <cell r="J1629">
            <v>31951.63</v>
          </cell>
          <cell r="K1629" t="str">
            <v>C</v>
          </cell>
        </row>
        <row r="1630">
          <cell r="A1630">
            <v>4277</v>
          </cell>
          <cell r="B1630" t="str">
            <v>2.1.05.010.0004</v>
          </cell>
          <cell r="C1630" t="str">
            <v xml:space="preserve">CONTA DE AGUA </v>
          </cell>
          <cell r="D1630">
            <v>80004.59</v>
          </cell>
          <cell r="E1630" t="str">
            <v>C</v>
          </cell>
          <cell r="G1630">
            <v>51698.92</v>
          </cell>
          <cell r="H1630">
            <v>73869.78</v>
          </cell>
          <cell r="I1630">
            <v>22170.86</v>
          </cell>
          <cell r="J1630">
            <v>102175.45</v>
          </cell>
          <cell r="K1630" t="str">
            <v>C</v>
          </cell>
        </row>
        <row r="1631">
          <cell r="A1631">
            <v>4276</v>
          </cell>
          <cell r="B1631" t="str">
            <v>2.1.05.010.0005</v>
          </cell>
          <cell r="C1631" t="str">
            <v xml:space="preserve">CONTA DE ENERGIA </v>
          </cell>
          <cell r="D1631">
            <v>482115.57</v>
          </cell>
          <cell r="E1631" t="str">
            <v>C</v>
          </cell>
          <cell r="G1631">
            <v>351415.84</v>
          </cell>
          <cell r="H1631">
            <v>544990.64</v>
          </cell>
          <cell r="I1631">
            <v>193574.8</v>
          </cell>
          <cell r="J1631">
            <v>675690.37</v>
          </cell>
          <cell r="K1631" t="str">
            <v>C</v>
          </cell>
        </row>
        <row r="1632">
          <cell r="A1632">
            <v>4275</v>
          </cell>
          <cell r="B1632" t="str">
            <v>2.1.05.010.0006</v>
          </cell>
          <cell r="C1632" t="str">
            <v xml:space="preserve">CONTA TELEFONICA </v>
          </cell>
          <cell r="D1632">
            <v>12703.53</v>
          </cell>
          <cell r="E1632" t="str">
            <v>C</v>
          </cell>
          <cell r="G1632">
            <v>15802.6</v>
          </cell>
          <cell r="H1632">
            <v>15113.9</v>
          </cell>
          <cell r="I1632">
            <v>-688.7</v>
          </cell>
          <cell r="J1632">
            <v>12014.83</v>
          </cell>
          <cell r="K1632" t="str">
            <v>C</v>
          </cell>
        </row>
        <row r="1633">
          <cell r="A1633">
            <v>4235</v>
          </cell>
          <cell r="B1633" t="str">
            <v>2.1.05.010.0010</v>
          </cell>
          <cell r="C1633" t="str">
            <v>DEPOSITO ANTECIPADO</v>
          </cell>
          <cell r="D1633">
            <v>1726724.68</v>
          </cell>
          <cell r="E1633" t="str">
            <v>C</v>
          </cell>
          <cell r="G1633">
            <v>91856.75</v>
          </cell>
          <cell r="H1633">
            <v>74517.14</v>
          </cell>
          <cell r="I1633">
            <v>-17339.61</v>
          </cell>
          <cell r="J1633">
            <v>1709385.07</v>
          </cell>
          <cell r="K1633" t="str">
            <v>C</v>
          </cell>
        </row>
        <row r="1634">
          <cell r="A1634">
            <v>32728</v>
          </cell>
          <cell r="B1634" t="str">
            <v>2.1.05.010.0011</v>
          </cell>
          <cell r="C1634" t="str">
            <v>CONTA TRANSITORIA</v>
          </cell>
          <cell r="D1634">
            <v>65837.710000000006</v>
          </cell>
          <cell r="E1634" t="str">
            <v>C</v>
          </cell>
          <cell r="G1634">
            <v>19420031.030000001</v>
          </cell>
          <cell r="H1634">
            <v>19423506.649999999</v>
          </cell>
          <cell r="I1634">
            <v>3475.62</v>
          </cell>
          <cell r="J1634">
            <v>69313.33</v>
          </cell>
          <cell r="K1634" t="str">
            <v>C</v>
          </cell>
        </row>
        <row r="1635">
          <cell r="A1635">
            <v>4258</v>
          </cell>
          <cell r="B1635" t="str">
            <v>2.1.05.010.0013</v>
          </cell>
          <cell r="C1635" t="str">
            <v xml:space="preserve">ALUGUEIS A PAGAR - </v>
          </cell>
          <cell r="D1635">
            <v>37214.03</v>
          </cell>
          <cell r="E1635" t="str">
            <v>C</v>
          </cell>
          <cell r="G1635">
            <v>44375.85</v>
          </cell>
          <cell r="H1635">
            <v>45802.77</v>
          </cell>
          <cell r="I1635">
            <v>1426.92</v>
          </cell>
          <cell r="J1635">
            <v>38640.949999999997</v>
          </cell>
          <cell r="K1635" t="str">
            <v>C</v>
          </cell>
        </row>
        <row r="1636">
          <cell r="A1636">
            <v>53413</v>
          </cell>
          <cell r="B1636" t="str">
            <v>2.1.05.010.0016</v>
          </cell>
          <cell r="C1636" t="str">
            <v>PROCESSOS</v>
          </cell>
          <cell r="D1636">
            <v>0</v>
          </cell>
          <cell r="E1636" t="str">
            <v>C</v>
          </cell>
          <cell r="G1636">
            <v>3636</v>
          </cell>
          <cell r="H1636">
            <v>3636</v>
          </cell>
          <cell r="I1636">
            <v>0</v>
          </cell>
          <cell r="J1636">
            <v>0</v>
          </cell>
          <cell r="K1636" t="str">
            <v>C</v>
          </cell>
        </row>
        <row r="1637">
          <cell r="A1637">
            <v>53595</v>
          </cell>
          <cell r="B1637" t="str">
            <v>2.1.05.011</v>
          </cell>
          <cell r="C1637" t="str">
            <v xml:space="preserve">OUTRAS OBRIGACOES - </v>
          </cell>
          <cell r="D1637">
            <v>955761.6</v>
          </cell>
          <cell r="E1637" t="str">
            <v>C</v>
          </cell>
          <cell r="G1637">
            <v>0</v>
          </cell>
          <cell r="H1637">
            <v>0</v>
          </cell>
          <cell r="I1637">
            <v>0</v>
          </cell>
          <cell r="J1637">
            <v>955761.6</v>
          </cell>
          <cell r="K1637" t="str">
            <v>C</v>
          </cell>
        </row>
        <row r="1638">
          <cell r="A1638">
            <v>53596</v>
          </cell>
          <cell r="B1638" t="str">
            <v>2.1.05.011.0001</v>
          </cell>
          <cell r="C1638" t="str">
            <v xml:space="preserve">PROJETOS A REALIZAR - </v>
          </cell>
          <cell r="D1638">
            <v>955761.6</v>
          </cell>
          <cell r="E1638" t="str">
            <v>C</v>
          </cell>
          <cell r="G1638">
            <v>0</v>
          </cell>
          <cell r="H1638">
            <v>0</v>
          </cell>
          <cell r="I1638">
            <v>0</v>
          </cell>
          <cell r="J1638">
            <v>955761.6</v>
          </cell>
          <cell r="K1638" t="str">
            <v>C</v>
          </cell>
        </row>
        <row r="1639">
          <cell r="A1639">
            <v>55271</v>
          </cell>
          <cell r="B1639" t="str">
            <v>2.1.06</v>
          </cell>
          <cell r="C1639" t="str">
            <v>RECEITAS DIFERIDAS</v>
          </cell>
          <cell r="D1639">
            <v>333333.24</v>
          </cell>
          <cell r="E1639" t="str">
            <v>C</v>
          </cell>
          <cell r="G1639">
            <v>27777.78</v>
          </cell>
          <cell r="H1639">
            <v>0</v>
          </cell>
          <cell r="I1639">
            <v>-27777.78</v>
          </cell>
          <cell r="J1639">
            <v>305555.46000000002</v>
          </cell>
          <cell r="K1639" t="str">
            <v>C</v>
          </cell>
        </row>
        <row r="1640">
          <cell r="A1640">
            <v>55272</v>
          </cell>
          <cell r="B1640" t="str">
            <v>2.1.06.010</v>
          </cell>
          <cell r="C1640" t="str">
            <v>CONTRATOS</v>
          </cell>
          <cell r="D1640">
            <v>333333.24</v>
          </cell>
          <cell r="E1640" t="str">
            <v>C</v>
          </cell>
          <cell r="G1640">
            <v>27777.78</v>
          </cell>
          <cell r="H1640">
            <v>0</v>
          </cell>
          <cell r="I1640">
            <v>-27777.78</v>
          </cell>
          <cell r="J1640">
            <v>305555.46000000002</v>
          </cell>
          <cell r="K1640" t="str">
            <v>C</v>
          </cell>
        </row>
        <row r="1641">
          <cell r="A1641">
            <v>55273</v>
          </cell>
          <cell r="B1641" t="str">
            <v>2.1.06.010.0001</v>
          </cell>
          <cell r="C1641" t="str">
            <v xml:space="preserve">SANTANDER - CONTRATO </v>
          </cell>
          <cell r="D1641">
            <v>333333.24</v>
          </cell>
          <cell r="E1641" t="str">
            <v>C</v>
          </cell>
          <cell r="G1641">
            <v>27777.78</v>
          </cell>
          <cell r="H1641">
            <v>0</v>
          </cell>
          <cell r="I1641">
            <v>-27777.78</v>
          </cell>
          <cell r="J1641">
            <v>305555.46000000002</v>
          </cell>
          <cell r="K1641" t="str">
            <v>C</v>
          </cell>
        </row>
        <row r="1642">
          <cell r="A1642">
            <v>4283</v>
          </cell>
          <cell r="B1642" t="str">
            <v>2.2</v>
          </cell>
          <cell r="C1642" t="str">
            <v>PASSIVO NAO CIRCULANTE</v>
          </cell>
          <cell r="D1642">
            <v>62996490.159999996</v>
          </cell>
          <cell r="E1642" t="str">
            <v>C</v>
          </cell>
          <cell r="G1642">
            <v>92999.41</v>
          </cell>
          <cell r="H1642">
            <v>50255.199999999997</v>
          </cell>
          <cell r="I1642">
            <v>-42744.21</v>
          </cell>
          <cell r="J1642">
            <v>62953745.950000003</v>
          </cell>
          <cell r="K1642" t="str">
            <v>C</v>
          </cell>
        </row>
        <row r="1643">
          <cell r="A1643">
            <v>38373</v>
          </cell>
          <cell r="B1643" t="str">
            <v>2.2.01</v>
          </cell>
          <cell r="C1643" t="str">
            <v>CONTIGENCIAS</v>
          </cell>
          <cell r="D1643">
            <v>1271019.29</v>
          </cell>
          <cell r="E1643" t="str">
            <v>C</v>
          </cell>
          <cell r="G1643">
            <v>0</v>
          </cell>
          <cell r="H1643">
            <v>0</v>
          </cell>
          <cell r="I1643">
            <v>0</v>
          </cell>
          <cell r="J1643">
            <v>1271019.29</v>
          </cell>
          <cell r="K1643" t="str">
            <v>C</v>
          </cell>
        </row>
        <row r="1644">
          <cell r="A1644">
            <v>38875</v>
          </cell>
          <cell r="B1644" t="str">
            <v>2.2.01.010</v>
          </cell>
          <cell r="C1644" t="str">
            <v xml:space="preserve">PROVISOES PARA </v>
          </cell>
          <cell r="D1644">
            <v>1271019.29</v>
          </cell>
          <cell r="E1644" t="str">
            <v>C</v>
          </cell>
          <cell r="G1644">
            <v>0</v>
          </cell>
          <cell r="H1644">
            <v>0</v>
          </cell>
          <cell r="I1644">
            <v>0</v>
          </cell>
          <cell r="J1644">
            <v>1271019.29</v>
          </cell>
          <cell r="K1644" t="str">
            <v>C</v>
          </cell>
        </row>
        <row r="1645">
          <cell r="A1645">
            <v>33455</v>
          </cell>
          <cell r="B1645" t="str">
            <v>2.2.01.010.0001</v>
          </cell>
          <cell r="C1645" t="str">
            <v xml:space="preserve">PROVISAO PARA </v>
          </cell>
          <cell r="D1645">
            <v>350592.24</v>
          </cell>
          <cell r="E1645" t="str">
            <v>C</v>
          </cell>
          <cell r="G1645">
            <v>0</v>
          </cell>
          <cell r="H1645">
            <v>0</v>
          </cell>
          <cell r="I1645">
            <v>0</v>
          </cell>
          <cell r="J1645">
            <v>350592.24</v>
          </cell>
          <cell r="K1645" t="str">
            <v>C</v>
          </cell>
        </row>
        <row r="1646">
          <cell r="A1646">
            <v>32908</v>
          </cell>
          <cell r="B1646" t="str">
            <v>2.2.01.010.0002</v>
          </cell>
          <cell r="C1646" t="str">
            <v xml:space="preserve">PROVISAO P/CONTINGENCIA </v>
          </cell>
          <cell r="D1646">
            <v>920427.05</v>
          </cell>
          <cell r="E1646" t="str">
            <v>C</v>
          </cell>
          <cell r="G1646">
            <v>0</v>
          </cell>
          <cell r="H1646">
            <v>0</v>
          </cell>
          <cell r="I1646">
            <v>0</v>
          </cell>
          <cell r="J1646">
            <v>920427.05</v>
          </cell>
          <cell r="K1646" t="str">
            <v>C</v>
          </cell>
        </row>
        <row r="1647">
          <cell r="A1647">
            <v>38372</v>
          </cell>
          <cell r="B1647" t="str">
            <v>2.2.02</v>
          </cell>
          <cell r="C1647" t="str">
            <v xml:space="preserve">EMPRESTIMOS E </v>
          </cell>
          <cell r="D1647">
            <v>44362293.210000001</v>
          </cell>
          <cell r="E1647" t="str">
            <v>C</v>
          </cell>
          <cell r="G1647">
            <v>48815.22</v>
          </cell>
          <cell r="H1647">
            <v>48815.22</v>
          </cell>
          <cell r="I1647">
            <v>0</v>
          </cell>
          <cell r="J1647">
            <v>44362293.210000001</v>
          </cell>
          <cell r="K1647" t="str">
            <v>C</v>
          </cell>
        </row>
        <row r="1648">
          <cell r="A1648">
            <v>40742</v>
          </cell>
          <cell r="B1648" t="str">
            <v>2.2.02.010</v>
          </cell>
          <cell r="C1648" t="str">
            <v xml:space="preserve">EMPRESTIMOS E </v>
          </cell>
          <cell r="D1648">
            <v>54475025.270000003</v>
          </cell>
          <cell r="E1648" t="str">
            <v>C</v>
          </cell>
          <cell r="G1648">
            <v>48815.22</v>
          </cell>
          <cell r="H1648">
            <v>48815.22</v>
          </cell>
          <cell r="I1648">
            <v>0</v>
          </cell>
          <cell r="J1648">
            <v>54475025.270000003</v>
          </cell>
          <cell r="K1648" t="str">
            <v>C</v>
          </cell>
        </row>
        <row r="1649">
          <cell r="A1649">
            <v>37695</v>
          </cell>
          <cell r="B1649" t="str">
            <v>2.2.02.010.0006</v>
          </cell>
          <cell r="C1649" t="str">
            <v xml:space="preserve">EMPRESTIMO BANCO DO </v>
          </cell>
          <cell r="D1649">
            <v>0</v>
          </cell>
          <cell r="E1649" t="str">
            <v>C</v>
          </cell>
          <cell r="G1649">
            <v>48815.22</v>
          </cell>
          <cell r="H1649">
            <v>48815.22</v>
          </cell>
          <cell r="I1649">
            <v>0</v>
          </cell>
          <cell r="J1649">
            <v>0</v>
          </cell>
          <cell r="K1649" t="str">
            <v>C</v>
          </cell>
        </row>
        <row r="1650">
          <cell r="A1650">
            <v>37452</v>
          </cell>
          <cell r="B1650" t="str">
            <v>2.2.02.010.0008</v>
          </cell>
          <cell r="C1650" t="str">
            <v xml:space="preserve">EMPRESTIMO BANCO </v>
          </cell>
          <cell r="D1650">
            <v>33328572.379999999</v>
          </cell>
          <cell r="E1650" t="str">
            <v>C</v>
          </cell>
          <cell r="G1650">
            <v>0</v>
          </cell>
          <cell r="H1650">
            <v>0</v>
          </cell>
          <cell r="I1650">
            <v>0</v>
          </cell>
          <cell r="J1650">
            <v>33328572.379999999</v>
          </cell>
          <cell r="K1650" t="str">
            <v>C</v>
          </cell>
        </row>
        <row r="1651">
          <cell r="A1651">
            <v>51497</v>
          </cell>
          <cell r="B1651" t="str">
            <v>2.2.02.010.0009</v>
          </cell>
          <cell r="C1651" t="str">
            <v xml:space="preserve">EMPRESTIMO DESENVOLVE </v>
          </cell>
          <cell r="D1651">
            <v>4047528.51</v>
          </cell>
          <cell r="E1651" t="str">
            <v>C</v>
          </cell>
          <cell r="G1651">
            <v>0</v>
          </cell>
          <cell r="H1651">
            <v>0</v>
          </cell>
          <cell r="I1651">
            <v>0</v>
          </cell>
          <cell r="J1651">
            <v>4047528.51</v>
          </cell>
          <cell r="K1651" t="str">
            <v>C</v>
          </cell>
        </row>
        <row r="1652">
          <cell r="A1652">
            <v>54964</v>
          </cell>
          <cell r="B1652" t="str">
            <v>2.2.02.010.0015</v>
          </cell>
          <cell r="C1652" t="str">
            <v xml:space="preserve">BCO NACIONAL DE DESENV </v>
          </cell>
          <cell r="D1652">
            <v>17098924.379999999</v>
          </cell>
          <cell r="E1652" t="str">
            <v>C</v>
          </cell>
          <cell r="G1652">
            <v>0</v>
          </cell>
          <cell r="H1652">
            <v>0</v>
          </cell>
          <cell r="I1652">
            <v>0</v>
          </cell>
          <cell r="J1652">
            <v>17098924.379999999</v>
          </cell>
          <cell r="K1652" t="str">
            <v>C</v>
          </cell>
        </row>
        <row r="1653">
          <cell r="A1653">
            <v>38935</v>
          </cell>
          <cell r="B1653" t="str">
            <v>2.2.02.020</v>
          </cell>
          <cell r="C1653" t="str">
            <v>(-) JUROS A APRPRIAR</v>
          </cell>
          <cell r="D1653">
            <v>-10196818.49</v>
          </cell>
          <cell r="E1653" t="str">
            <v>D</v>
          </cell>
          <cell r="G1653">
            <v>0</v>
          </cell>
          <cell r="H1653">
            <v>0</v>
          </cell>
          <cell r="I1653">
            <v>0</v>
          </cell>
          <cell r="J1653">
            <v>-10196818.49</v>
          </cell>
          <cell r="K1653" t="str">
            <v>D</v>
          </cell>
        </row>
        <row r="1654">
          <cell r="A1654">
            <v>37454</v>
          </cell>
          <cell r="B1654" t="str">
            <v>2.2.02.020.0005</v>
          </cell>
          <cell r="C1654" t="str">
            <v xml:space="preserve">(-) JUROS A APROPRIAR - </v>
          </cell>
          <cell r="D1654">
            <v>-2580047.4</v>
          </cell>
          <cell r="E1654" t="str">
            <v>D</v>
          </cell>
          <cell r="G1654">
            <v>0</v>
          </cell>
          <cell r="H1654">
            <v>0</v>
          </cell>
          <cell r="I1654">
            <v>0</v>
          </cell>
          <cell r="J1654">
            <v>-2580047.4</v>
          </cell>
          <cell r="K1654" t="str">
            <v>D</v>
          </cell>
        </row>
        <row r="1655">
          <cell r="A1655">
            <v>51499</v>
          </cell>
          <cell r="B1655" t="str">
            <v>2.2.02.020.0008</v>
          </cell>
          <cell r="C1655" t="str">
            <v xml:space="preserve">(-) JUROS A APROPRIAR - </v>
          </cell>
          <cell r="D1655">
            <v>-517846.71</v>
          </cell>
          <cell r="E1655" t="str">
            <v>D</v>
          </cell>
          <cell r="G1655">
            <v>0</v>
          </cell>
          <cell r="H1655">
            <v>0</v>
          </cell>
          <cell r="I1655">
            <v>0</v>
          </cell>
          <cell r="J1655">
            <v>-517846.71</v>
          </cell>
          <cell r="K1655" t="str">
            <v>D</v>
          </cell>
        </row>
        <row r="1656">
          <cell r="A1656">
            <v>54965</v>
          </cell>
          <cell r="B1656" t="str">
            <v>2.2.02.020.0016</v>
          </cell>
          <cell r="C1656" t="str">
            <v xml:space="preserve">(-)JUROS APROP - BANCO </v>
          </cell>
          <cell r="D1656">
            <v>-7098924.3799999999</v>
          </cell>
          <cell r="E1656" t="str">
            <v>D</v>
          </cell>
          <cell r="G1656">
            <v>0</v>
          </cell>
          <cell r="H1656">
            <v>0</v>
          </cell>
          <cell r="I1656">
            <v>0</v>
          </cell>
          <cell r="J1656">
            <v>-7098924.3799999999</v>
          </cell>
          <cell r="K1656" t="str">
            <v>D</v>
          </cell>
        </row>
        <row r="1657">
          <cell r="A1657">
            <v>25584</v>
          </cell>
          <cell r="B1657" t="str">
            <v>2.2.02.030</v>
          </cell>
          <cell r="C1657" t="str">
            <v xml:space="preserve">FINANCIAMENTOS </v>
          </cell>
          <cell r="D1657">
            <v>106313.94</v>
          </cell>
          <cell r="E1657" t="str">
            <v>C</v>
          </cell>
          <cell r="G1657">
            <v>0</v>
          </cell>
          <cell r="H1657">
            <v>0</v>
          </cell>
          <cell r="I1657">
            <v>0</v>
          </cell>
          <cell r="J1657">
            <v>106313.94</v>
          </cell>
          <cell r="K1657" t="str">
            <v>C</v>
          </cell>
        </row>
        <row r="1658">
          <cell r="A1658">
            <v>51722</v>
          </cell>
          <cell r="B1658" t="str">
            <v>2.2.02.030.0005</v>
          </cell>
          <cell r="C1658" t="str">
            <v xml:space="preserve">EMPRESTIMO SANTANDER </v>
          </cell>
          <cell r="D1658">
            <v>66560.34</v>
          </cell>
          <cell r="E1658" t="str">
            <v>C</v>
          </cell>
          <cell r="G1658">
            <v>0</v>
          </cell>
          <cell r="H1658">
            <v>0</v>
          </cell>
          <cell r="I1658">
            <v>0</v>
          </cell>
          <cell r="J1658">
            <v>66560.34</v>
          </cell>
          <cell r="K1658" t="str">
            <v>C</v>
          </cell>
        </row>
        <row r="1659">
          <cell r="A1659">
            <v>54057</v>
          </cell>
          <cell r="B1659" t="str">
            <v>2.2.02.030.0007</v>
          </cell>
          <cell r="C1659" t="str">
            <v>SAFRA LEASING S A</v>
          </cell>
          <cell r="D1659">
            <v>39753.599999999999</v>
          </cell>
          <cell r="E1659" t="str">
            <v>C</v>
          </cell>
          <cell r="G1659">
            <v>0</v>
          </cell>
          <cell r="H1659">
            <v>0</v>
          </cell>
          <cell r="I1659">
            <v>0</v>
          </cell>
          <cell r="J1659">
            <v>39753.599999999999</v>
          </cell>
          <cell r="K1659" t="str">
            <v>C</v>
          </cell>
        </row>
        <row r="1660">
          <cell r="A1660">
            <v>34765</v>
          </cell>
          <cell r="B1660" t="str">
            <v>2.2.02.040</v>
          </cell>
          <cell r="C1660" t="str">
            <v>(-) JUROS A APROPRIAR</v>
          </cell>
          <cell r="D1660">
            <v>-22227.51</v>
          </cell>
          <cell r="E1660" t="str">
            <v>D</v>
          </cell>
          <cell r="G1660">
            <v>0</v>
          </cell>
          <cell r="H1660">
            <v>0</v>
          </cell>
          <cell r="I1660">
            <v>0</v>
          </cell>
          <cell r="J1660">
            <v>-22227.51</v>
          </cell>
          <cell r="K1660" t="str">
            <v>D</v>
          </cell>
        </row>
        <row r="1661">
          <cell r="A1661">
            <v>51724</v>
          </cell>
          <cell r="B1661" t="str">
            <v>2.2.02.040.0002</v>
          </cell>
          <cell r="C1661" t="str">
            <v xml:space="preserve">(-) JUROS A APROPRIAR - </v>
          </cell>
          <cell r="D1661">
            <v>-14034.01</v>
          </cell>
          <cell r="E1661" t="str">
            <v>D</v>
          </cell>
          <cell r="G1661">
            <v>0</v>
          </cell>
          <cell r="H1661">
            <v>0</v>
          </cell>
          <cell r="I1661">
            <v>0</v>
          </cell>
          <cell r="J1661">
            <v>-14034.01</v>
          </cell>
          <cell r="K1661" t="str">
            <v>D</v>
          </cell>
        </row>
        <row r="1662">
          <cell r="A1662">
            <v>54374</v>
          </cell>
          <cell r="B1662" t="str">
            <v>2.2.02.040.0004</v>
          </cell>
          <cell r="C1662" t="str">
            <v xml:space="preserve">(-) JUROA A APROPRIAR </v>
          </cell>
          <cell r="D1662">
            <v>-8193.5</v>
          </cell>
          <cell r="E1662" t="str">
            <v>D</v>
          </cell>
          <cell r="G1662">
            <v>0</v>
          </cell>
          <cell r="H1662">
            <v>0</v>
          </cell>
          <cell r="I1662">
            <v>0</v>
          </cell>
          <cell r="J1662">
            <v>-8193.5</v>
          </cell>
          <cell r="K1662" t="str">
            <v>D</v>
          </cell>
        </row>
        <row r="1663">
          <cell r="A1663">
            <v>40746</v>
          </cell>
          <cell r="B1663" t="str">
            <v>2.2.03</v>
          </cell>
          <cell r="C1663" t="str">
            <v xml:space="preserve">OUTRAS OBRIGACOES DE </v>
          </cell>
          <cell r="D1663">
            <v>4778091.55</v>
          </cell>
          <cell r="E1663" t="str">
            <v>C</v>
          </cell>
          <cell r="G1663">
            <v>42744.21</v>
          </cell>
          <cell r="H1663">
            <v>0</v>
          </cell>
          <cell r="I1663">
            <v>-42744.21</v>
          </cell>
          <cell r="J1663">
            <v>4735347.34</v>
          </cell>
          <cell r="K1663" t="str">
            <v>C</v>
          </cell>
        </row>
        <row r="1664">
          <cell r="A1664">
            <v>40747</v>
          </cell>
          <cell r="B1664" t="str">
            <v>2.2.03.010</v>
          </cell>
          <cell r="C1664" t="str">
            <v xml:space="preserve">OUTRAS OBRIGACOES DE </v>
          </cell>
          <cell r="D1664">
            <v>4778091.55</v>
          </cell>
          <cell r="E1664" t="str">
            <v>C</v>
          </cell>
          <cell r="G1664">
            <v>42744.21</v>
          </cell>
          <cell r="H1664">
            <v>0</v>
          </cell>
          <cell r="I1664">
            <v>-42744.21</v>
          </cell>
          <cell r="J1664">
            <v>4735347.34</v>
          </cell>
          <cell r="K1664" t="str">
            <v>C</v>
          </cell>
        </row>
        <row r="1665">
          <cell r="A1665">
            <v>38129</v>
          </cell>
          <cell r="B1665" t="str">
            <v>2.2.03.010.0001</v>
          </cell>
          <cell r="C1665" t="str">
            <v xml:space="preserve">PROJETOS A REALIZAR - </v>
          </cell>
          <cell r="D1665">
            <v>200384.77</v>
          </cell>
          <cell r="E1665" t="str">
            <v>C</v>
          </cell>
          <cell r="G1665">
            <v>2332.0700000000002</v>
          </cell>
          <cell r="H1665">
            <v>0</v>
          </cell>
          <cell r="I1665">
            <v>-2332.0700000000002</v>
          </cell>
          <cell r="J1665">
            <v>198052.7</v>
          </cell>
          <cell r="K1665" t="str">
            <v>C</v>
          </cell>
        </row>
        <row r="1666">
          <cell r="A1666">
            <v>51503</v>
          </cell>
          <cell r="B1666" t="str">
            <v>2.2.03.010.0003</v>
          </cell>
          <cell r="C1666" t="str">
            <v xml:space="preserve">SUBVENCOES ATIVOS </v>
          </cell>
          <cell r="D1666">
            <v>2749124.92</v>
          </cell>
          <cell r="E1666" t="str">
            <v>C</v>
          </cell>
          <cell r="G1666">
            <v>25498.91</v>
          </cell>
          <cell r="H1666">
            <v>0</v>
          </cell>
          <cell r="I1666">
            <v>-25498.91</v>
          </cell>
          <cell r="J1666">
            <v>2723626.01</v>
          </cell>
          <cell r="K1666" t="str">
            <v>C</v>
          </cell>
        </row>
        <row r="1667">
          <cell r="A1667">
            <v>51745</v>
          </cell>
          <cell r="B1667" t="str">
            <v>2.2.03.010.0004</v>
          </cell>
          <cell r="C1667" t="str">
            <v xml:space="preserve">PROJETOS A REALIZAR COM </v>
          </cell>
          <cell r="D1667">
            <v>1828581.86</v>
          </cell>
          <cell r="E1667" t="str">
            <v>C</v>
          </cell>
          <cell r="G1667">
            <v>14913.23</v>
          </cell>
          <cell r="H1667">
            <v>0</v>
          </cell>
          <cell r="I1667">
            <v>-14913.23</v>
          </cell>
          <cell r="J1667">
            <v>1813668.63</v>
          </cell>
          <cell r="K1667" t="str">
            <v>C</v>
          </cell>
        </row>
        <row r="1668">
          <cell r="A1668">
            <v>38371</v>
          </cell>
          <cell r="B1668" t="str">
            <v>2.2.04</v>
          </cell>
          <cell r="C1668" t="str">
            <v xml:space="preserve">TRIBUTOS E ENCARGOS </v>
          </cell>
          <cell r="D1668">
            <v>8080886.6399999997</v>
          </cell>
          <cell r="E1668" t="str">
            <v>C</v>
          </cell>
          <cell r="G1668">
            <v>0</v>
          </cell>
          <cell r="H1668">
            <v>0</v>
          </cell>
          <cell r="I1668">
            <v>0</v>
          </cell>
          <cell r="J1668">
            <v>8080886.6399999997</v>
          </cell>
          <cell r="K1668" t="str">
            <v>C</v>
          </cell>
        </row>
        <row r="1669">
          <cell r="A1669">
            <v>40611</v>
          </cell>
          <cell r="B1669" t="str">
            <v>2.2.04.001</v>
          </cell>
          <cell r="C1669" t="str">
            <v xml:space="preserve">TRIBUTOS E ENCARGOS </v>
          </cell>
          <cell r="D1669">
            <v>8080886.6399999997</v>
          </cell>
          <cell r="E1669" t="str">
            <v>C</v>
          </cell>
          <cell r="G1669">
            <v>0</v>
          </cell>
          <cell r="H1669">
            <v>0</v>
          </cell>
          <cell r="I1669">
            <v>0</v>
          </cell>
          <cell r="J1669">
            <v>8080886.6399999997</v>
          </cell>
          <cell r="K1669" t="str">
            <v>C</v>
          </cell>
        </row>
        <row r="1670">
          <cell r="A1670">
            <v>33959</v>
          </cell>
          <cell r="B1670" t="str">
            <v>2.2.04.001.0001</v>
          </cell>
          <cell r="C1670" t="str">
            <v xml:space="preserve">1194 IRRF PGN </v>
          </cell>
          <cell r="D1670">
            <v>988768.91</v>
          </cell>
          <cell r="E1670" t="str">
            <v>C</v>
          </cell>
          <cell r="G1670">
            <v>0</v>
          </cell>
          <cell r="H1670">
            <v>0</v>
          </cell>
          <cell r="I1670">
            <v>0</v>
          </cell>
          <cell r="J1670">
            <v>988768.91</v>
          </cell>
          <cell r="K1670" t="str">
            <v>C</v>
          </cell>
        </row>
        <row r="1671">
          <cell r="A1671">
            <v>4335</v>
          </cell>
          <cell r="B1671" t="str">
            <v>2.2.04.001.0002</v>
          </cell>
          <cell r="C1671" t="str">
            <v xml:space="preserve">1285 IRRF RSF </v>
          </cell>
          <cell r="D1671">
            <v>4501216.8</v>
          </cell>
          <cell r="E1671" t="str">
            <v>C</v>
          </cell>
          <cell r="G1671">
            <v>0</v>
          </cell>
          <cell r="H1671">
            <v>0</v>
          </cell>
          <cell r="I1671">
            <v>0</v>
          </cell>
          <cell r="J1671">
            <v>4501216.8</v>
          </cell>
          <cell r="K1671" t="str">
            <v>C</v>
          </cell>
        </row>
        <row r="1672">
          <cell r="A1672">
            <v>4376</v>
          </cell>
          <cell r="B1672" t="str">
            <v>2.2.04.001.0003</v>
          </cell>
          <cell r="C1672" t="str">
            <v xml:space="preserve">1233 PREVIDENCIA </v>
          </cell>
          <cell r="D1672">
            <v>2249395.35</v>
          </cell>
          <cell r="E1672" t="str">
            <v>C</v>
          </cell>
          <cell r="G1672">
            <v>0</v>
          </cell>
          <cell r="H1672">
            <v>0</v>
          </cell>
          <cell r="I1672">
            <v>0</v>
          </cell>
          <cell r="J1672">
            <v>2249395.35</v>
          </cell>
          <cell r="K1672" t="str">
            <v>C</v>
          </cell>
        </row>
        <row r="1673">
          <cell r="A1673">
            <v>33117</v>
          </cell>
          <cell r="B1673" t="str">
            <v>2.2.04.001.0004</v>
          </cell>
          <cell r="C1673" t="str">
            <v>FGTS</v>
          </cell>
          <cell r="D1673">
            <v>341505.58</v>
          </cell>
          <cell r="E1673" t="str">
            <v>C</v>
          </cell>
          <cell r="G1673">
            <v>0</v>
          </cell>
          <cell r="H1673">
            <v>0</v>
          </cell>
          <cell r="I1673">
            <v>0</v>
          </cell>
          <cell r="J1673">
            <v>341505.58</v>
          </cell>
          <cell r="K1673" t="str">
            <v>C</v>
          </cell>
        </row>
        <row r="1674">
          <cell r="A1674">
            <v>54451</v>
          </cell>
          <cell r="B1674" t="str">
            <v>2.2.06</v>
          </cell>
          <cell r="C1674" t="str">
            <v>PROCESSOS</v>
          </cell>
          <cell r="D1674">
            <v>2837532.71</v>
          </cell>
          <cell r="E1674" t="str">
            <v>C</v>
          </cell>
          <cell r="G1674">
            <v>1439.98</v>
          </cell>
          <cell r="H1674">
            <v>1439.98</v>
          </cell>
          <cell r="I1674">
            <v>0</v>
          </cell>
          <cell r="J1674">
            <v>2837532.71</v>
          </cell>
          <cell r="K1674" t="str">
            <v>C</v>
          </cell>
        </row>
        <row r="1675">
          <cell r="A1675">
            <v>54452</v>
          </cell>
          <cell r="B1675" t="str">
            <v>2.2.06.010</v>
          </cell>
          <cell r="C1675" t="str">
            <v>PROCESSO TRABALHISTA</v>
          </cell>
          <cell r="D1675">
            <v>2837532.71</v>
          </cell>
          <cell r="E1675" t="str">
            <v>C</v>
          </cell>
          <cell r="G1675">
            <v>1439.98</v>
          </cell>
          <cell r="H1675">
            <v>1439.98</v>
          </cell>
          <cell r="I1675">
            <v>0</v>
          </cell>
          <cell r="J1675">
            <v>2837532.71</v>
          </cell>
          <cell r="K1675" t="str">
            <v>C</v>
          </cell>
        </row>
        <row r="1676">
          <cell r="A1676">
            <v>54453</v>
          </cell>
          <cell r="B1676" t="str">
            <v>2.2.06.010.0001</v>
          </cell>
          <cell r="C1676" t="str">
            <v>ACORDO TRABALHISTA</v>
          </cell>
          <cell r="D1676">
            <v>2837532.71</v>
          </cell>
          <cell r="E1676" t="str">
            <v>C</v>
          </cell>
          <cell r="G1676">
            <v>1439.98</v>
          </cell>
          <cell r="H1676">
            <v>1439.98</v>
          </cell>
          <cell r="I1676">
            <v>0</v>
          </cell>
          <cell r="J1676">
            <v>2837532.71</v>
          </cell>
          <cell r="K1676" t="str">
            <v>C</v>
          </cell>
        </row>
        <row r="1677">
          <cell r="A1677">
            <v>55274</v>
          </cell>
          <cell r="B1677" t="str">
            <v>2.2.07</v>
          </cell>
          <cell r="C1677" t="str">
            <v>RECEITAS DIFERIDAS</v>
          </cell>
          <cell r="D1677">
            <v>1666666.76</v>
          </cell>
          <cell r="E1677" t="str">
            <v>C</v>
          </cell>
          <cell r="G1677">
            <v>0</v>
          </cell>
          <cell r="H1677">
            <v>0</v>
          </cell>
          <cell r="I1677">
            <v>0</v>
          </cell>
          <cell r="J1677">
            <v>1666666.76</v>
          </cell>
          <cell r="K1677" t="str">
            <v>C</v>
          </cell>
        </row>
        <row r="1678">
          <cell r="A1678">
            <v>55275</v>
          </cell>
          <cell r="B1678" t="str">
            <v>2.2.07.010</v>
          </cell>
          <cell r="C1678" t="str">
            <v>CONTRATOS</v>
          </cell>
          <cell r="D1678">
            <v>1666666.76</v>
          </cell>
          <cell r="E1678" t="str">
            <v>C</v>
          </cell>
          <cell r="G1678">
            <v>0</v>
          </cell>
          <cell r="H1678">
            <v>0</v>
          </cell>
          <cell r="I1678">
            <v>0</v>
          </cell>
          <cell r="J1678">
            <v>1666666.76</v>
          </cell>
          <cell r="K1678" t="str">
            <v>C</v>
          </cell>
        </row>
        <row r="1679">
          <cell r="A1679">
            <v>55276</v>
          </cell>
          <cell r="B1679" t="str">
            <v>2.2.07.010.0001</v>
          </cell>
          <cell r="C1679" t="str">
            <v xml:space="preserve">SANTANDER - CONTRATO </v>
          </cell>
          <cell r="D1679">
            <v>1666666.76</v>
          </cell>
          <cell r="E1679" t="str">
            <v>C</v>
          </cell>
          <cell r="G1679">
            <v>0</v>
          </cell>
          <cell r="H1679">
            <v>0</v>
          </cell>
          <cell r="I1679">
            <v>0</v>
          </cell>
          <cell r="J1679">
            <v>1666666.76</v>
          </cell>
          <cell r="K1679" t="str">
            <v>C</v>
          </cell>
        </row>
        <row r="1680">
          <cell r="A1680">
            <v>4484</v>
          </cell>
          <cell r="B1680" t="str">
            <v>2.3</v>
          </cell>
          <cell r="C1680" t="str">
            <v>PATRIMONIO</v>
          </cell>
          <cell r="D1680">
            <v>61042475.869999997</v>
          </cell>
          <cell r="E1680" t="str">
            <v>C</v>
          </cell>
          <cell r="G1680">
            <v>0</v>
          </cell>
          <cell r="H1680">
            <v>25000</v>
          </cell>
          <cell r="I1680">
            <v>25000</v>
          </cell>
          <cell r="J1680">
            <v>61067475.869999997</v>
          </cell>
          <cell r="K1680" t="str">
            <v>C</v>
          </cell>
        </row>
        <row r="1681">
          <cell r="A1681">
            <v>4485</v>
          </cell>
          <cell r="B1681" t="str">
            <v>2.3.01</v>
          </cell>
          <cell r="C1681" t="str">
            <v>PATRIMONIO LIQUIDO</v>
          </cell>
          <cell r="D1681">
            <v>61042475.869999997</v>
          </cell>
          <cell r="E1681" t="str">
            <v>C</v>
          </cell>
          <cell r="G1681">
            <v>0</v>
          </cell>
          <cell r="H1681">
            <v>25000</v>
          </cell>
          <cell r="I1681">
            <v>25000</v>
          </cell>
          <cell r="J1681">
            <v>61067475.869999997</v>
          </cell>
          <cell r="K1681" t="str">
            <v>C</v>
          </cell>
        </row>
        <row r="1682">
          <cell r="A1682">
            <v>4486</v>
          </cell>
          <cell r="B1682" t="str">
            <v>2.3.01.010</v>
          </cell>
          <cell r="C1682" t="str">
            <v>PATRIMONIO SOCIAL</v>
          </cell>
          <cell r="D1682">
            <v>55617782.5</v>
          </cell>
          <cell r="E1682" t="str">
            <v>C</v>
          </cell>
          <cell r="G1682">
            <v>0</v>
          </cell>
          <cell r="H1682">
            <v>0</v>
          </cell>
          <cell r="I1682">
            <v>0</v>
          </cell>
          <cell r="J1682">
            <v>55617782.5</v>
          </cell>
          <cell r="K1682" t="str">
            <v>C</v>
          </cell>
        </row>
        <row r="1683">
          <cell r="A1683">
            <v>4495</v>
          </cell>
          <cell r="B1683" t="str">
            <v>2.3.01.010.0001</v>
          </cell>
          <cell r="C1683" t="str">
            <v>PATRIMONIO SOCIAL</v>
          </cell>
          <cell r="D1683">
            <v>55617782.5</v>
          </cell>
          <cell r="E1683" t="str">
            <v>C</v>
          </cell>
          <cell r="G1683">
            <v>0</v>
          </cell>
          <cell r="H1683">
            <v>0</v>
          </cell>
          <cell r="I1683">
            <v>0</v>
          </cell>
          <cell r="J1683">
            <v>55617782.5</v>
          </cell>
          <cell r="K1683" t="str">
            <v>C</v>
          </cell>
        </row>
        <row r="1684">
          <cell r="A1684">
            <v>4582</v>
          </cell>
          <cell r="B1684" t="str">
            <v>2.3.01.050</v>
          </cell>
          <cell r="C1684" t="str">
            <v xml:space="preserve">SUPERAVIT/DEFICIT DO </v>
          </cell>
          <cell r="D1684">
            <v>5424693.3700000001</v>
          </cell>
          <cell r="E1684" t="str">
            <v>C</v>
          </cell>
          <cell r="G1684">
            <v>0</v>
          </cell>
          <cell r="H1684">
            <v>25000</v>
          </cell>
          <cell r="I1684">
            <v>25000</v>
          </cell>
          <cell r="J1684">
            <v>5449693.3700000001</v>
          </cell>
          <cell r="K1684" t="str">
            <v>C</v>
          </cell>
        </row>
        <row r="1685">
          <cell r="A1685">
            <v>4592</v>
          </cell>
          <cell r="B1685" t="str">
            <v>2.3.01.050.0001</v>
          </cell>
          <cell r="C1685" t="str">
            <v>SUPERAVITS/ ACUMULADOS</v>
          </cell>
          <cell r="D1685">
            <v>80840242.909999996</v>
          </cell>
          <cell r="E1685" t="str">
            <v>C</v>
          </cell>
          <cell r="G1685">
            <v>0</v>
          </cell>
          <cell r="H1685">
            <v>0</v>
          </cell>
          <cell r="I1685">
            <v>0</v>
          </cell>
          <cell r="J1685">
            <v>80840242.909999996</v>
          </cell>
          <cell r="K1685" t="str">
            <v>C</v>
          </cell>
        </row>
        <row r="1686">
          <cell r="A1686">
            <v>4597</v>
          </cell>
          <cell r="B1686" t="str">
            <v>2.3.01.050.0002</v>
          </cell>
          <cell r="C1686" t="str">
            <v>DEFICITS ACUMULADOS</v>
          </cell>
          <cell r="D1686">
            <v>-55966053.770000003</v>
          </cell>
          <cell r="E1686" t="str">
            <v>D</v>
          </cell>
          <cell r="G1686">
            <v>0</v>
          </cell>
          <cell r="H1686">
            <v>0</v>
          </cell>
          <cell r="I1686">
            <v>0</v>
          </cell>
          <cell r="J1686">
            <v>-55966053.770000003</v>
          </cell>
          <cell r="K1686" t="str">
            <v>D</v>
          </cell>
        </row>
        <row r="1687">
          <cell r="A1687">
            <v>32465</v>
          </cell>
          <cell r="B1687" t="str">
            <v>2.3.01.050.0004</v>
          </cell>
          <cell r="C1687" t="str">
            <v xml:space="preserve">LUCROS/SUPERAVITS </v>
          </cell>
          <cell r="D1687">
            <v>7615</v>
          </cell>
          <cell r="E1687" t="str">
            <v>C</v>
          </cell>
          <cell r="G1687">
            <v>0</v>
          </cell>
          <cell r="H1687">
            <v>0</v>
          </cell>
          <cell r="I1687">
            <v>0</v>
          </cell>
          <cell r="J1687">
            <v>7615</v>
          </cell>
          <cell r="K1687" t="str">
            <v>C</v>
          </cell>
        </row>
        <row r="1688">
          <cell r="A1688">
            <v>4612</v>
          </cell>
          <cell r="B1688" t="str">
            <v>2.3.01.050.0005</v>
          </cell>
          <cell r="C1688" t="str">
            <v xml:space="preserve">AJUSTES DE EXERCICIOS </v>
          </cell>
          <cell r="D1688">
            <v>-19457110.77</v>
          </cell>
          <cell r="E1688" t="str">
            <v>D</v>
          </cell>
          <cell r="G1688">
            <v>0</v>
          </cell>
          <cell r="H1688">
            <v>25000</v>
          </cell>
          <cell r="I1688">
            <v>25000</v>
          </cell>
          <cell r="J1688">
            <v>-19432110.77</v>
          </cell>
          <cell r="K1688" t="str">
            <v>D</v>
          </cell>
        </row>
        <row r="1689">
          <cell r="A1689">
            <v>4625</v>
          </cell>
          <cell r="B1689">
            <v>3</v>
          </cell>
          <cell r="C1689" t="str">
            <v>RECEITA</v>
          </cell>
          <cell r="D1689">
            <v>23024404.199999999</v>
          </cell>
          <cell r="E1689" t="str">
            <v>C</v>
          </cell>
          <cell r="G1689">
            <v>2161065.5499999998</v>
          </cell>
          <cell r="H1689">
            <v>23838871.960000001</v>
          </cell>
          <cell r="I1689">
            <v>21677806.41</v>
          </cell>
          <cell r="J1689">
            <v>44702210.609999999</v>
          </cell>
          <cell r="K1689" t="str">
            <v>C</v>
          </cell>
        </row>
        <row r="1690">
          <cell r="A1690">
            <v>4860</v>
          </cell>
          <cell r="B1690" t="str">
            <v>3.1</v>
          </cell>
          <cell r="C1690" t="str">
            <v>RECEITAS OPERACIONAIS</v>
          </cell>
          <cell r="D1690">
            <v>20560189.079999998</v>
          </cell>
          <cell r="E1690" t="str">
            <v>C</v>
          </cell>
          <cell r="G1690">
            <v>2157100.46</v>
          </cell>
          <cell r="H1690">
            <v>22386720.420000002</v>
          </cell>
          <cell r="I1690">
            <v>20229619.960000001</v>
          </cell>
          <cell r="J1690">
            <v>40789809.039999999</v>
          </cell>
          <cell r="K1690" t="str">
            <v>C</v>
          </cell>
        </row>
        <row r="1691">
          <cell r="A1691">
            <v>4861</v>
          </cell>
          <cell r="B1691" t="str">
            <v>3.1.01</v>
          </cell>
          <cell r="C1691" t="str">
            <v>RECEITAS OPERACIONAIS</v>
          </cell>
          <cell r="D1691">
            <v>20560189.079999998</v>
          </cell>
          <cell r="E1691" t="str">
            <v>C</v>
          </cell>
          <cell r="G1691">
            <v>2157100.46</v>
          </cell>
          <cell r="H1691">
            <v>22386720.420000002</v>
          </cell>
          <cell r="I1691">
            <v>20229619.960000001</v>
          </cell>
          <cell r="J1691">
            <v>40789809.039999999</v>
          </cell>
          <cell r="K1691" t="str">
            <v>C</v>
          </cell>
        </row>
        <row r="1692">
          <cell r="A1692">
            <v>4862</v>
          </cell>
          <cell r="B1692" t="str">
            <v>3.1.01.010</v>
          </cell>
          <cell r="C1692" t="str">
            <v>RECEITAS COM COVENIOS</v>
          </cell>
          <cell r="D1692">
            <v>17202867.800000001</v>
          </cell>
          <cell r="E1692" t="str">
            <v>C</v>
          </cell>
          <cell r="G1692">
            <v>112194.74</v>
          </cell>
          <cell r="H1692">
            <v>16607176.789999999</v>
          </cell>
          <cell r="I1692">
            <v>16494982.050000001</v>
          </cell>
          <cell r="J1692">
            <v>33697849.850000001</v>
          </cell>
          <cell r="K1692" t="str">
            <v>C</v>
          </cell>
        </row>
        <row r="1693">
          <cell r="A1693">
            <v>4908</v>
          </cell>
          <cell r="B1693" t="str">
            <v>3.1.01.010.0001</v>
          </cell>
          <cell r="C1693" t="str">
            <v>ABRANGE</v>
          </cell>
          <cell r="D1693">
            <v>405.9</v>
          </cell>
          <cell r="E1693" t="str">
            <v>C</v>
          </cell>
          <cell r="G1693">
            <v>0</v>
          </cell>
          <cell r="H1693">
            <v>1321.64</v>
          </cell>
          <cell r="I1693">
            <v>1321.64</v>
          </cell>
          <cell r="J1693">
            <v>1727.54</v>
          </cell>
          <cell r="K1693" t="str">
            <v>C</v>
          </cell>
        </row>
        <row r="1694">
          <cell r="A1694">
            <v>33137</v>
          </cell>
          <cell r="B1694" t="str">
            <v>3.1.01.010.0002</v>
          </cell>
          <cell r="C1694" t="str">
            <v>ALIANZ SAUDE</v>
          </cell>
          <cell r="D1694">
            <v>140.78</v>
          </cell>
          <cell r="E1694" t="str">
            <v>C</v>
          </cell>
          <cell r="G1694">
            <v>0</v>
          </cell>
          <cell r="H1694">
            <v>0</v>
          </cell>
          <cell r="I1694">
            <v>0</v>
          </cell>
          <cell r="J1694">
            <v>140.78</v>
          </cell>
          <cell r="K1694" t="str">
            <v>C</v>
          </cell>
        </row>
        <row r="1695">
          <cell r="A1695">
            <v>4910</v>
          </cell>
          <cell r="B1695" t="str">
            <v>3.1.01.010.0003</v>
          </cell>
          <cell r="C1695" t="str">
            <v>AMAFRESP</v>
          </cell>
          <cell r="D1695">
            <v>1694.06</v>
          </cell>
          <cell r="E1695" t="str">
            <v>C</v>
          </cell>
          <cell r="G1695">
            <v>0</v>
          </cell>
          <cell r="H1695">
            <v>75</v>
          </cell>
          <cell r="I1695">
            <v>75</v>
          </cell>
          <cell r="J1695">
            <v>1769.06</v>
          </cell>
          <cell r="K1695" t="str">
            <v>C</v>
          </cell>
        </row>
        <row r="1696">
          <cell r="A1696">
            <v>4911</v>
          </cell>
          <cell r="B1696" t="str">
            <v>3.1.01.010.0005</v>
          </cell>
          <cell r="C1696" t="str">
            <v>AMIL</v>
          </cell>
          <cell r="D1696">
            <v>246714.81</v>
          </cell>
          <cell r="E1696" t="str">
            <v>C</v>
          </cell>
          <cell r="G1696">
            <v>0</v>
          </cell>
          <cell r="H1696">
            <v>120112.43</v>
          </cell>
          <cell r="I1696">
            <v>120112.43</v>
          </cell>
          <cell r="J1696">
            <v>366827.24</v>
          </cell>
          <cell r="K1696" t="str">
            <v>C</v>
          </cell>
        </row>
        <row r="1697">
          <cell r="A1697">
            <v>32999</v>
          </cell>
          <cell r="B1697" t="str">
            <v>3.1.01.010.0007</v>
          </cell>
          <cell r="C1697" t="str">
            <v xml:space="preserve">ATIVIA / COOPERATIVA </v>
          </cell>
          <cell r="D1697">
            <v>6911.44</v>
          </cell>
          <cell r="E1697" t="str">
            <v>C</v>
          </cell>
          <cell r="G1697">
            <v>0</v>
          </cell>
          <cell r="H1697">
            <v>0</v>
          </cell>
          <cell r="I1697">
            <v>0</v>
          </cell>
          <cell r="J1697">
            <v>6911.44</v>
          </cell>
          <cell r="K1697" t="str">
            <v>C</v>
          </cell>
        </row>
        <row r="1698">
          <cell r="A1698">
            <v>32898</v>
          </cell>
          <cell r="B1698" t="str">
            <v>3.1.01.010.0008</v>
          </cell>
          <cell r="C1698" t="str">
            <v xml:space="preserve">AVAMP ASSOC V. PARAIBANA </v>
          </cell>
          <cell r="D1698">
            <v>3948.72</v>
          </cell>
          <cell r="E1698" t="str">
            <v>C</v>
          </cell>
          <cell r="G1698">
            <v>0</v>
          </cell>
          <cell r="H1698">
            <v>209500.55</v>
          </cell>
          <cell r="I1698">
            <v>209500.55</v>
          </cell>
          <cell r="J1698">
            <v>213449.27</v>
          </cell>
          <cell r="K1698" t="str">
            <v>C</v>
          </cell>
        </row>
        <row r="1699">
          <cell r="A1699">
            <v>4914</v>
          </cell>
          <cell r="B1699" t="str">
            <v>3.1.01.010.0009</v>
          </cell>
          <cell r="C1699" t="str">
            <v>BRADESCO SEGURO</v>
          </cell>
          <cell r="D1699">
            <v>194564.66</v>
          </cell>
          <cell r="E1699" t="str">
            <v>C</v>
          </cell>
          <cell r="G1699">
            <v>0</v>
          </cell>
          <cell r="H1699">
            <v>240881.94</v>
          </cell>
          <cell r="I1699">
            <v>240881.94</v>
          </cell>
          <cell r="J1699">
            <v>435446.6</v>
          </cell>
          <cell r="K1699" t="str">
            <v>C</v>
          </cell>
        </row>
        <row r="1700">
          <cell r="A1700">
            <v>4915</v>
          </cell>
          <cell r="B1700" t="str">
            <v>3.1.01.010.0010</v>
          </cell>
          <cell r="C1700" t="str">
            <v>CABESP CAIXA BENEF.</v>
          </cell>
          <cell r="D1700">
            <v>1147.8499999999999</v>
          </cell>
          <cell r="E1700" t="str">
            <v>C</v>
          </cell>
          <cell r="G1700">
            <v>0</v>
          </cell>
          <cell r="H1700">
            <v>300</v>
          </cell>
          <cell r="I1700">
            <v>300</v>
          </cell>
          <cell r="J1700">
            <v>1447.85</v>
          </cell>
          <cell r="K1700" t="str">
            <v>C</v>
          </cell>
        </row>
        <row r="1701">
          <cell r="A1701">
            <v>37841</v>
          </cell>
          <cell r="B1701" t="str">
            <v>3.1.01.010.0011</v>
          </cell>
          <cell r="C1701" t="str">
            <v xml:space="preserve">CAIXA ECONOMICA FEDERAL </v>
          </cell>
          <cell r="D1701">
            <v>26570.66</v>
          </cell>
          <cell r="E1701" t="str">
            <v>C</v>
          </cell>
          <cell r="G1701">
            <v>0</v>
          </cell>
          <cell r="H1701">
            <v>4251.62</v>
          </cell>
          <cell r="I1701">
            <v>4251.62</v>
          </cell>
          <cell r="J1701">
            <v>30822.28</v>
          </cell>
          <cell r="K1701" t="str">
            <v>C</v>
          </cell>
        </row>
        <row r="1702">
          <cell r="A1702">
            <v>4916</v>
          </cell>
          <cell r="B1702" t="str">
            <v>3.1.01.010.0012</v>
          </cell>
          <cell r="C1702" t="str">
            <v xml:space="preserve">CARE PLUS MEDIC. </v>
          </cell>
          <cell r="D1702">
            <v>3075.77</v>
          </cell>
          <cell r="E1702" t="str">
            <v>C</v>
          </cell>
          <cell r="G1702">
            <v>0</v>
          </cell>
          <cell r="H1702">
            <v>796.48</v>
          </cell>
          <cell r="I1702">
            <v>796.48</v>
          </cell>
          <cell r="J1702">
            <v>3872.25</v>
          </cell>
          <cell r="K1702" t="str">
            <v>C</v>
          </cell>
        </row>
        <row r="1703">
          <cell r="A1703">
            <v>4917</v>
          </cell>
          <cell r="B1703" t="str">
            <v>3.1.01.010.0013</v>
          </cell>
          <cell r="C1703" t="str">
            <v>CASSI - CAIXA ASSIST.FUNC.</v>
          </cell>
          <cell r="D1703">
            <v>37446.699999999997</v>
          </cell>
          <cell r="E1703" t="str">
            <v>C</v>
          </cell>
          <cell r="G1703">
            <v>0</v>
          </cell>
          <cell r="H1703">
            <v>153200.64000000001</v>
          </cell>
          <cell r="I1703">
            <v>153200.64000000001</v>
          </cell>
          <cell r="J1703">
            <v>190647.34</v>
          </cell>
          <cell r="K1703" t="str">
            <v>C</v>
          </cell>
        </row>
        <row r="1704">
          <cell r="A1704">
            <v>4920</v>
          </cell>
          <cell r="B1704" t="str">
            <v>3.1.01.010.0015</v>
          </cell>
          <cell r="C1704" t="str">
            <v>CORREIO</v>
          </cell>
          <cell r="D1704">
            <v>33184.19</v>
          </cell>
          <cell r="E1704" t="str">
            <v>C</v>
          </cell>
          <cell r="G1704">
            <v>0</v>
          </cell>
          <cell r="H1704">
            <v>17140.38</v>
          </cell>
          <cell r="I1704">
            <v>17140.38</v>
          </cell>
          <cell r="J1704">
            <v>50324.57</v>
          </cell>
          <cell r="K1704" t="str">
            <v>C</v>
          </cell>
        </row>
        <row r="1705">
          <cell r="A1705">
            <v>32970</v>
          </cell>
          <cell r="B1705" t="str">
            <v>3.1.01.010.0018</v>
          </cell>
          <cell r="C1705" t="str">
            <v>FUNDACAO CESP</v>
          </cell>
          <cell r="D1705">
            <v>1817.33</v>
          </cell>
          <cell r="E1705" t="str">
            <v>C</v>
          </cell>
          <cell r="G1705">
            <v>0</v>
          </cell>
          <cell r="H1705">
            <v>4147.47</v>
          </cell>
          <cell r="I1705">
            <v>4147.47</v>
          </cell>
          <cell r="J1705">
            <v>5964.8</v>
          </cell>
          <cell r="K1705" t="str">
            <v>C</v>
          </cell>
        </row>
        <row r="1706">
          <cell r="A1706">
            <v>33032</v>
          </cell>
          <cell r="B1706" t="str">
            <v>3.1.01.010.0019</v>
          </cell>
          <cell r="C1706" t="str">
            <v>FUSEX</v>
          </cell>
          <cell r="D1706">
            <v>200163.74</v>
          </cell>
          <cell r="E1706" t="str">
            <v>C</v>
          </cell>
          <cell r="G1706">
            <v>111929.74</v>
          </cell>
          <cell r="H1706">
            <v>296669.68</v>
          </cell>
          <cell r="I1706">
            <v>184739.94</v>
          </cell>
          <cell r="J1706">
            <v>384903.67999999999</v>
          </cell>
          <cell r="K1706" t="str">
            <v>C</v>
          </cell>
        </row>
        <row r="1707">
          <cell r="A1707">
            <v>38174</v>
          </cell>
          <cell r="B1707" t="str">
            <v>3.1.01.010.0022</v>
          </cell>
          <cell r="C1707" t="str">
            <v xml:space="preserve">INSTIT ASSIST MEDICA AO </v>
          </cell>
          <cell r="D1707">
            <v>1407295.27</v>
          </cell>
          <cell r="E1707" t="str">
            <v>C</v>
          </cell>
          <cell r="G1707">
            <v>265</v>
          </cell>
          <cell r="H1707">
            <v>1165073.98</v>
          </cell>
          <cell r="I1707">
            <v>1164808.98</v>
          </cell>
          <cell r="J1707">
            <v>2572104.25</v>
          </cell>
          <cell r="K1707" t="str">
            <v>C</v>
          </cell>
        </row>
        <row r="1708">
          <cell r="A1708">
            <v>37686</v>
          </cell>
          <cell r="B1708" t="str">
            <v>3.1.01.010.0023</v>
          </cell>
          <cell r="C1708" t="str">
            <v xml:space="preserve">INTERMEDICA SISTEMA DE </v>
          </cell>
          <cell r="D1708">
            <v>104981.7</v>
          </cell>
          <cell r="E1708" t="str">
            <v>C</v>
          </cell>
          <cell r="G1708">
            <v>0</v>
          </cell>
          <cell r="H1708">
            <v>86903.73</v>
          </cell>
          <cell r="I1708">
            <v>86903.73</v>
          </cell>
          <cell r="J1708">
            <v>191885.43</v>
          </cell>
          <cell r="K1708" t="str">
            <v>C</v>
          </cell>
        </row>
        <row r="1709">
          <cell r="A1709">
            <v>33914</v>
          </cell>
          <cell r="B1709" t="str">
            <v>3.1.01.010.0024</v>
          </cell>
          <cell r="C1709" t="str">
            <v>LIFE EMPRESARIAL SAUDE</v>
          </cell>
          <cell r="D1709">
            <v>4296.3599999999997</v>
          </cell>
          <cell r="E1709" t="str">
            <v>C</v>
          </cell>
          <cell r="G1709">
            <v>0</v>
          </cell>
          <cell r="H1709">
            <v>1710.49</v>
          </cell>
          <cell r="I1709">
            <v>1710.49</v>
          </cell>
          <cell r="J1709">
            <v>6006.85</v>
          </cell>
          <cell r="K1709" t="str">
            <v>C</v>
          </cell>
        </row>
        <row r="1710">
          <cell r="A1710">
            <v>4928</v>
          </cell>
          <cell r="B1710" t="str">
            <v>3.1.01.010.0025</v>
          </cell>
          <cell r="C1710" t="str">
            <v>MARITIMA SAUDE</v>
          </cell>
          <cell r="D1710">
            <v>320.29000000000002</v>
          </cell>
          <cell r="E1710" t="str">
            <v>C</v>
          </cell>
          <cell r="G1710">
            <v>0</v>
          </cell>
          <cell r="H1710">
            <v>100.28</v>
          </cell>
          <cell r="I1710">
            <v>100.28</v>
          </cell>
          <cell r="J1710">
            <v>420.57</v>
          </cell>
          <cell r="K1710" t="str">
            <v>C</v>
          </cell>
        </row>
        <row r="1711">
          <cell r="A1711">
            <v>4930</v>
          </cell>
          <cell r="B1711" t="str">
            <v>3.1.01.010.0026</v>
          </cell>
          <cell r="C1711" t="str">
            <v>MEDISERVICE</v>
          </cell>
          <cell r="D1711">
            <v>16878.29</v>
          </cell>
          <cell r="E1711" t="str">
            <v>C</v>
          </cell>
          <cell r="G1711">
            <v>0</v>
          </cell>
          <cell r="H1711">
            <v>18367.03</v>
          </cell>
          <cell r="I1711">
            <v>18367.03</v>
          </cell>
          <cell r="J1711">
            <v>35245.32</v>
          </cell>
          <cell r="K1711" t="str">
            <v>C</v>
          </cell>
        </row>
        <row r="1712">
          <cell r="A1712">
            <v>4931</v>
          </cell>
          <cell r="B1712" t="str">
            <v>3.1.01.010.0027</v>
          </cell>
          <cell r="C1712" t="str">
            <v>NOTRE DAME</v>
          </cell>
          <cell r="D1712">
            <v>87729.61</v>
          </cell>
          <cell r="E1712" t="str">
            <v>C</v>
          </cell>
          <cell r="G1712">
            <v>0</v>
          </cell>
          <cell r="H1712">
            <v>135272.75</v>
          </cell>
          <cell r="I1712">
            <v>135272.75</v>
          </cell>
          <cell r="J1712">
            <v>223002.36</v>
          </cell>
          <cell r="K1712" t="str">
            <v>C</v>
          </cell>
        </row>
        <row r="1713">
          <cell r="A1713">
            <v>4933</v>
          </cell>
          <cell r="B1713" t="str">
            <v>3.1.01.010.0029</v>
          </cell>
          <cell r="C1713" t="str">
            <v xml:space="preserve">PETROBRAS PETROLEO </v>
          </cell>
          <cell r="D1713">
            <v>7371.46</v>
          </cell>
          <cell r="E1713" t="str">
            <v>C</v>
          </cell>
          <cell r="G1713">
            <v>0</v>
          </cell>
          <cell r="H1713">
            <v>10749.78</v>
          </cell>
          <cell r="I1713">
            <v>10749.78</v>
          </cell>
          <cell r="J1713">
            <v>18121.240000000002</v>
          </cell>
          <cell r="K1713" t="str">
            <v>C</v>
          </cell>
        </row>
        <row r="1714">
          <cell r="A1714">
            <v>4936</v>
          </cell>
          <cell r="B1714" t="str">
            <v>3.1.01.010.0031</v>
          </cell>
          <cell r="C1714" t="str">
            <v>PORTO SEGURO SAUDE S/A</v>
          </cell>
          <cell r="D1714">
            <v>79723.97</v>
          </cell>
          <cell r="E1714" t="str">
            <v>C</v>
          </cell>
          <cell r="G1714">
            <v>0</v>
          </cell>
          <cell r="H1714">
            <v>52422.77</v>
          </cell>
          <cell r="I1714">
            <v>52422.77</v>
          </cell>
          <cell r="J1714">
            <v>132146.74</v>
          </cell>
          <cell r="K1714" t="str">
            <v>C</v>
          </cell>
        </row>
        <row r="1715">
          <cell r="A1715">
            <v>37850</v>
          </cell>
          <cell r="B1715" t="str">
            <v>3.1.01.010.0033</v>
          </cell>
          <cell r="C1715" t="str">
            <v xml:space="preserve">SPDM ASSOCIACAO PAULISTA </v>
          </cell>
          <cell r="D1715">
            <v>34641.730000000003</v>
          </cell>
          <cell r="E1715" t="str">
            <v>C</v>
          </cell>
          <cell r="G1715">
            <v>0</v>
          </cell>
          <cell r="H1715">
            <v>49158.36</v>
          </cell>
          <cell r="I1715">
            <v>49158.36</v>
          </cell>
          <cell r="J1715">
            <v>83800.09</v>
          </cell>
          <cell r="K1715" t="str">
            <v>C</v>
          </cell>
        </row>
        <row r="1716">
          <cell r="A1716">
            <v>32503</v>
          </cell>
          <cell r="B1716" t="str">
            <v>3.1.01.010.0034</v>
          </cell>
          <cell r="C1716" t="str">
            <v>SUL AMERICA</v>
          </cell>
          <cell r="D1716">
            <v>861438.02</v>
          </cell>
          <cell r="E1716" t="str">
            <v>C</v>
          </cell>
          <cell r="G1716">
            <v>0</v>
          </cell>
          <cell r="H1716">
            <v>676032.72</v>
          </cell>
          <cell r="I1716">
            <v>676032.72</v>
          </cell>
          <cell r="J1716">
            <v>1537470.74</v>
          </cell>
          <cell r="K1716" t="str">
            <v>C</v>
          </cell>
        </row>
        <row r="1717">
          <cell r="A1717">
            <v>4945</v>
          </cell>
          <cell r="B1717" t="str">
            <v>3.1.01.010.0036</v>
          </cell>
          <cell r="C1717" t="str">
            <v>UNIMED</v>
          </cell>
          <cell r="D1717">
            <v>789323.08</v>
          </cell>
          <cell r="E1717" t="str">
            <v>C</v>
          </cell>
          <cell r="G1717">
            <v>0</v>
          </cell>
          <cell r="H1717">
            <v>993161.19</v>
          </cell>
          <cell r="I1717">
            <v>993161.19</v>
          </cell>
          <cell r="J1717">
            <v>1782484.27</v>
          </cell>
          <cell r="K1717" t="str">
            <v>C</v>
          </cell>
        </row>
        <row r="1718">
          <cell r="A1718">
            <v>38595</v>
          </cell>
          <cell r="B1718" t="str">
            <v>3.1.01.010.0039</v>
          </cell>
          <cell r="C1718" t="str">
            <v xml:space="preserve">PREFEITURA MUNICIPAL DE </v>
          </cell>
          <cell r="D1718">
            <v>114414.43</v>
          </cell>
          <cell r="E1718" t="str">
            <v>C</v>
          </cell>
          <cell r="G1718">
            <v>0</v>
          </cell>
          <cell r="H1718">
            <v>131892.65</v>
          </cell>
          <cell r="I1718">
            <v>131892.65</v>
          </cell>
          <cell r="J1718">
            <v>246307.08</v>
          </cell>
          <cell r="K1718" t="str">
            <v>C</v>
          </cell>
        </row>
        <row r="1719">
          <cell r="A1719">
            <v>38683</v>
          </cell>
          <cell r="B1719" t="str">
            <v>3.1.01.010.0040</v>
          </cell>
          <cell r="C1719" t="str">
            <v>COMANDO DA MARINHA</v>
          </cell>
          <cell r="D1719">
            <v>38145.550000000003</v>
          </cell>
          <cell r="E1719" t="str">
            <v>C</v>
          </cell>
          <cell r="G1719">
            <v>0</v>
          </cell>
          <cell r="H1719">
            <v>20275.28</v>
          </cell>
          <cell r="I1719">
            <v>20275.28</v>
          </cell>
          <cell r="J1719">
            <v>58420.83</v>
          </cell>
          <cell r="K1719" t="str">
            <v>C</v>
          </cell>
        </row>
        <row r="1720">
          <cell r="A1720">
            <v>51150</v>
          </cell>
          <cell r="B1720" t="str">
            <v>3.1.01.010.0044</v>
          </cell>
          <cell r="C1720" t="str">
            <v xml:space="preserve">ASSOCIACAO SANTA CASA </v>
          </cell>
          <cell r="D1720">
            <v>12487098.99</v>
          </cell>
          <cell r="E1720" t="str">
            <v>C</v>
          </cell>
          <cell r="G1720">
            <v>0</v>
          </cell>
          <cell r="H1720">
            <v>11933744.789999999</v>
          </cell>
          <cell r="I1720">
            <v>11933744.789999999</v>
          </cell>
          <cell r="J1720">
            <v>24420843.780000001</v>
          </cell>
          <cell r="K1720" t="str">
            <v>C</v>
          </cell>
        </row>
        <row r="1721">
          <cell r="A1721">
            <v>51841</v>
          </cell>
          <cell r="B1721" t="str">
            <v>3.1.01.010.0052</v>
          </cell>
          <cell r="C1721" t="str">
            <v xml:space="preserve">COMANDO DA  AERONAUTICA </v>
          </cell>
          <cell r="D1721">
            <v>43933.32</v>
          </cell>
          <cell r="E1721" t="str">
            <v>C</v>
          </cell>
          <cell r="G1721">
            <v>0</v>
          </cell>
          <cell r="H1721">
            <v>40203.71</v>
          </cell>
          <cell r="I1721">
            <v>40203.71</v>
          </cell>
          <cell r="J1721">
            <v>84137.03</v>
          </cell>
          <cell r="K1721" t="str">
            <v>C</v>
          </cell>
        </row>
        <row r="1722">
          <cell r="A1722">
            <v>54750</v>
          </cell>
          <cell r="B1722" t="str">
            <v>3.1.01.010.0063</v>
          </cell>
          <cell r="C1722" t="str">
            <v>BRADESCO SAUDE</v>
          </cell>
          <cell r="D1722">
            <v>310092.32</v>
          </cell>
          <cell r="E1722" t="str">
            <v>C</v>
          </cell>
          <cell r="G1722">
            <v>0</v>
          </cell>
          <cell r="H1722">
            <v>175728.03</v>
          </cell>
          <cell r="I1722">
            <v>175728.03</v>
          </cell>
          <cell r="J1722">
            <v>485820.35</v>
          </cell>
          <cell r="K1722" t="str">
            <v>C</v>
          </cell>
        </row>
        <row r="1723">
          <cell r="A1723">
            <v>55014</v>
          </cell>
          <cell r="B1723" t="str">
            <v>3.1.01.010.0064</v>
          </cell>
          <cell r="C1723" t="str">
            <v xml:space="preserve">GO CARE PLANOS DE SAUDE </v>
          </cell>
          <cell r="D1723">
            <v>57396.800000000003</v>
          </cell>
          <cell r="E1723" t="str">
            <v>C</v>
          </cell>
          <cell r="G1723">
            <v>0</v>
          </cell>
          <cell r="H1723">
            <v>67981.42</v>
          </cell>
          <cell r="I1723">
            <v>67981.42</v>
          </cell>
          <cell r="J1723">
            <v>125378.22</v>
          </cell>
          <cell r="K1723" t="str">
            <v>C</v>
          </cell>
        </row>
        <row r="1724">
          <cell r="A1724">
            <v>53065</v>
          </cell>
          <cell r="B1724" t="str">
            <v>3.1.01.030</v>
          </cell>
          <cell r="C1724" t="str">
            <v>PACIENTES PARTICULAR</v>
          </cell>
          <cell r="D1724">
            <v>103216.78</v>
          </cell>
          <cell r="E1724" t="str">
            <v>C</v>
          </cell>
          <cell r="G1724">
            <v>527</v>
          </cell>
          <cell r="H1724">
            <v>195939.75</v>
          </cell>
          <cell r="I1724">
            <v>195412.75</v>
          </cell>
          <cell r="J1724">
            <v>298629.53000000003</v>
          </cell>
          <cell r="K1724" t="str">
            <v>C</v>
          </cell>
        </row>
        <row r="1725">
          <cell r="A1725">
            <v>4904</v>
          </cell>
          <cell r="B1725" t="str">
            <v>3.1.01.030.0001</v>
          </cell>
          <cell r="C1725" t="str">
            <v>PACIENTES PARTICULAR</v>
          </cell>
          <cell r="D1725">
            <v>103216.78</v>
          </cell>
          <cell r="E1725" t="str">
            <v>C</v>
          </cell>
          <cell r="G1725">
            <v>527</v>
          </cell>
          <cell r="H1725">
            <v>195939.75</v>
          </cell>
          <cell r="I1725">
            <v>195412.75</v>
          </cell>
          <cell r="J1725">
            <v>298629.53000000003</v>
          </cell>
          <cell r="K1725" t="str">
            <v>C</v>
          </cell>
        </row>
        <row r="1726">
          <cell r="A1726">
            <v>4962</v>
          </cell>
          <cell r="B1726" t="str">
            <v>3.1.01.040</v>
          </cell>
          <cell r="C1726" t="str">
            <v xml:space="preserve">( - ) GLOSAS DAS RECEITAS </v>
          </cell>
          <cell r="D1726">
            <v>-38356.910000000003</v>
          </cell>
          <cell r="E1726" t="str">
            <v>D</v>
          </cell>
          <cell r="G1726">
            <v>40522.720000000001</v>
          </cell>
          <cell r="H1726">
            <v>0</v>
          </cell>
          <cell r="I1726">
            <v>-40522.720000000001</v>
          </cell>
          <cell r="J1726">
            <v>-78879.63</v>
          </cell>
          <cell r="K1726" t="str">
            <v>D</v>
          </cell>
        </row>
        <row r="1727">
          <cell r="A1727">
            <v>36537</v>
          </cell>
          <cell r="B1727" t="str">
            <v>3.1.01.040.0001</v>
          </cell>
          <cell r="C1727" t="str">
            <v xml:space="preserve">( - ) RECURSO/ACEITE DE </v>
          </cell>
          <cell r="D1727">
            <v>-830.98</v>
          </cell>
          <cell r="E1727" t="str">
            <v>D</v>
          </cell>
          <cell r="G1727">
            <v>0</v>
          </cell>
          <cell r="H1727">
            <v>0</v>
          </cell>
          <cell r="I1727">
            <v>0</v>
          </cell>
          <cell r="J1727">
            <v>-830.98</v>
          </cell>
          <cell r="K1727" t="str">
            <v>D</v>
          </cell>
        </row>
        <row r="1728">
          <cell r="A1728">
            <v>36540</v>
          </cell>
          <cell r="B1728" t="str">
            <v>3.1.01.040.0002</v>
          </cell>
          <cell r="C1728" t="str">
            <v xml:space="preserve">( - ) RECURSO/ACEITE DE </v>
          </cell>
          <cell r="D1728">
            <v>-34</v>
          </cell>
          <cell r="E1728" t="str">
            <v>D</v>
          </cell>
          <cell r="G1728">
            <v>0</v>
          </cell>
          <cell r="H1728">
            <v>0</v>
          </cell>
          <cell r="I1728">
            <v>0</v>
          </cell>
          <cell r="J1728">
            <v>-34</v>
          </cell>
          <cell r="K1728" t="str">
            <v>D</v>
          </cell>
        </row>
        <row r="1729">
          <cell r="A1729">
            <v>36539</v>
          </cell>
          <cell r="B1729" t="str">
            <v>3.1.01.040.0003</v>
          </cell>
          <cell r="C1729" t="str">
            <v xml:space="preserve">( - ) RECURSO/ACEITE DE </v>
          </cell>
          <cell r="D1729">
            <v>-1340.75</v>
          </cell>
          <cell r="E1729" t="str">
            <v>D</v>
          </cell>
          <cell r="G1729">
            <v>372.98</v>
          </cell>
          <cell r="H1729">
            <v>0</v>
          </cell>
          <cell r="I1729">
            <v>-372.98</v>
          </cell>
          <cell r="J1729">
            <v>-1713.73</v>
          </cell>
          <cell r="K1729" t="str">
            <v>D</v>
          </cell>
        </row>
        <row r="1730">
          <cell r="A1730">
            <v>36545</v>
          </cell>
          <cell r="B1730" t="str">
            <v>3.1.01.040.0004</v>
          </cell>
          <cell r="C1730" t="str">
            <v xml:space="preserve">( - ) RECURSO/ACEITE DE </v>
          </cell>
          <cell r="D1730">
            <v>-0.26</v>
          </cell>
          <cell r="E1730" t="str">
            <v>D</v>
          </cell>
          <cell r="G1730">
            <v>0.31</v>
          </cell>
          <cell r="H1730">
            <v>0</v>
          </cell>
          <cell r="I1730">
            <v>-0.31</v>
          </cell>
          <cell r="J1730">
            <v>-0.56999999999999995</v>
          </cell>
          <cell r="K1730" t="str">
            <v>D</v>
          </cell>
        </row>
        <row r="1731">
          <cell r="A1731">
            <v>36541</v>
          </cell>
          <cell r="B1731" t="str">
            <v>3.1.01.040.0008</v>
          </cell>
          <cell r="C1731" t="str">
            <v xml:space="preserve">( - ) RECURSO/ACEITE DE </v>
          </cell>
          <cell r="D1731">
            <v>-9141.5</v>
          </cell>
          <cell r="E1731" t="str">
            <v>D</v>
          </cell>
          <cell r="G1731">
            <v>249.51</v>
          </cell>
          <cell r="H1731">
            <v>0</v>
          </cell>
          <cell r="I1731">
            <v>-249.51</v>
          </cell>
          <cell r="J1731">
            <v>-9391.01</v>
          </cell>
          <cell r="K1731" t="str">
            <v>D</v>
          </cell>
        </row>
        <row r="1732">
          <cell r="A1732">
            <v>36538</v>
          </cell>
          <cell r="B1732" t="str">
            <v>3.1.01.040.0009</v>
          </cell>
          <cell r="C1732" t="str">
            <v xml:space="preserve">( - ) RECURSO/ACEITE DE </v>
          </cell>
          <cell r="D1732">
            <v>-335.46</v>
          </cell>
          <cell r="E1732" t="str">
            <v>D</v>
          </cell>
          <cell r="G1732">
            <v>619.51</v>
          </cell>
          <cell r="H1732">
            <v>0</v>
          </cell>
          <cell r="I1732">
            <v>-619.51</v>
          </cell>
          <cell r="J1732">
            <v>-954.97</v>
          </cell>
          <cell r="K1732" t="str">
            <v>D</v>
          </cell>
        </row>
        <row r="1733">
          <cell r="A1733">
            <v>4966</v>
          </cell>
          <cell r="B1733" t="str">
            <v>3.1.01.040.0010</v>
          </cell>
          <cell r="C1733" t="str">
            <v xml:space="preserve">( - ) RECURSO/ACEITE DE </v>
          </cell>
          <cell r="D1733">
            <v>-669.12</v>
          </cell>
          <cell r="E1733" t="str">
            <v>D</v>
          </cell>
          <cell r="G1733">
            <v>25134</v>
          </cell>
          <cell r="H1733">
            <v>0</v>
          </cell>
          <cell r="I1733">
            <v>-25134</v>
          </cell>
          <cell r="J1733">
            <v>-25803.119999999999</v>
          </cell>
          <cell r="K1733" t="str">
            <v>D</v>
          </cell>
        </row>
        <row r="1734">
          <cell r="A1734">
            <v>36535</v>
          </cell>
          <cell r="B1734" t="str">
            <v>3.1.01.040.0011</v>
          </cell>
          <cell r="C1734" t="str">
            <v xml:space="preserve">( - ) RECURSO/ACEITE DE </v>
          </cell>
          <cell r="D1734">
            <v>-0.01</v>
          </cell>
          <cell r="E1734" t="str">
            <v>D</v>
          </cell>
          <cell r="G1734">
            <v>0.05</v>
          </cell>
          <cell r="H1734">
            <v>0</v>
          </cell>
          <cell r="I1734">
            <v>-0.05</v>
          </cell>
          <cell r="J1734">
            <v>-0.06</v>
          </cell>
          <cell r="K1734" t="str">
            <v>D</v>
          </cell>
        </row>
        <row r="1735">
          <cell r="A1735">
            <v>53744</v>
          </cell>
          <cell r="B1735" t="str">
            <v>3.1.01.040.0020</v>
          </cell>
          <cell r="C1735" t="str">
            <v xml:space="preserve">( - ) RECURSO/ACEITE DE </v>
          </cell>
          <cell r="D1735">
            <v>-25223.69</v>
          </cell>
          <cell r="E1735" t="str">
            <v>D</v>
          </cell>
          <cell r="G1735">
            <v>0</v>
          </cell>
          <cell r="H1735">
            <v>0</v>
          </cell>
          <cell r="I1735">
            <v>0</v>
          </cell>
          <cell r="J1735">
            <v>-25223.69</v>
          </cell>
          <cell r="K1735" t="str">
            <v>D</v>
          </cell>
        </row>
        <row r="1736">
          <cell r="A1736">
            <v>53761</v>
          </cell>
          <cell r="B1736" t="str">
            <v>3.1.01.040.0030</v>
          </cell>
          <cell r="C1736" t="str">
            <v xml:space="preserve">( - ) RECURSO/ACEITE DE </v>
          </cell>
          <cell r="D1736">
            <v>-258.86</v>
          </cell>
          <cell r="E1736" t="str">
            <v>D</v>
          </cell>
          <cell r="G1736">
            <v>211.12</v>
          </cell>
          <cell r="H1736">
            <v>0</v>
          </cell>
          <cell r="I1736">
            <v>-211.12</v>
          </cell>
          <cell r="J1736">
            <v>-469.98</v>
          </cell>
          <cell r="K1736" t="str">
            <v>D</v>
          </cell>
        </row>
        <row r="1737">
          <cell r="A1737">
            <v>53756</v>
          </cell>
          <cell r="B1737" t="str">
            <v>3.1.01.040.0034</v>
          </cell>
          <cell r="C1737" t="str">
            <v xml:space="preserve">( - ) RECURSO/ACEITE DE </v>
          </cell>
          <cell r="D1737">
            <v>-50.88</v>
          </cell>
          <cell r="E1737" t="str">
            <v>D</v>
          </cell>
          <cell r="G1737">
            <v>0</v>
          </cell>
          <cell r="H1737">
            <v>0</v>
          </cell>
          <cell r="I1737">
            <v>0</v>
          </cell>
          <cell r="J1737">
            <v>-50.88</v>
          </cell>
          <cell r="K1737" t="str">
            <v>D</v>
          </cell>
        </row>
        <row r="1738">
          <cell r="A1738">
            <v>53774</v>
          </cell>
          <cell r="B1738" t="str">
            <v>3.1.01.040.0048</v>
          </cell>
          <cell r="C1738" t="str">
            <v xml:space="preserve">( - ) RECURSO/ACEITE DE </v>
          </cell>
          <cell r="D1738">
            <v>-106.29</v>
          </cell>
          <cell r="E1738" t="str">
            <v>D</v>
          </cell>
          <cell r="G1738">
            <v>7.7</v>
          </cell>
          <cell r="H1738">
            <v>0</v>
          </cell>
          <cell r="I1738">
            <v>-7.7</v>
          </cell>
          <cell r="J1738">
            <v>-113.99</v>
          </cell>
          <cell r="K1738" t="str">
            <v>D</v>
          </cell>
        </row>
        <row r="1739">
          <cell r="A1739">
            <v>53776</v>
          </cell>
          <cell r="B1739" t="str">
            <v>3.1.01.040.0052</v>
          </cell>
          <cell r="C1739" t="str">
            <v xml:space="preserve">( - ) RECURSO/ACEITE DE </v>
          </cell>
          <cell r="D1739">
            <v>0</v>
          </cell>
          <cell r="E1739" t="str">
            <v>C</v>
          </cell>
          <cell r="G1739">
            <v>13070.79</v>
          </cell>
          <cell r="H1739">
            <v>0</v>
          </cell>
          <cell r="I1739">
            <v>-13070.79</v>
          </cell>
          <cell r="J1739">
            <v>-13070.79</v>
          </cell>
          <cell r="K1739" t="str">
            <v>D</v>
          </cell>
        </row>
        <row r="1740">
          <cell r="A1740">
            <v>53784</v>
          </cell>
          <cell r="B1740" t="str">
            <v>3.1.01.040.0056</v>
          </cell>
          <cell r="C1740" t="str">
            <v xml:space="preserve">( - ) RECURSO/ACEITE DE </v>
          </cell>
          <cell r="D1740">
            <v>-123.57</v>
          </cell>
          <cell r="E1740" t="str">
            <v>D</v>
          </cell>
          <cell r="G1740">
            <v>0</v>
          </cell>
          <cell r="H1740">
            <v>0</v>
          </cell>
          <cell r="I1740">
            <v>0</v>
          </cell>
          <cell r="J1740">
            <v>-123.57</v>
          </cell>
          <cell r="K1740" t="str">
            <v>D</v>
          </cell>
        </row>
        <row r="1741">
          <cell r="A1741">
            <v>54752</v>
          </cell>
          <cell r="B1741" t="str">
            <v>3.1.01.040.0062</v>
          </cell>
          <cell r="C1741" t="str">
            <v xml:space="preserve">( - ) RECURSO/ACEITE DE </v>
          </cell>
          <cell r="D1741">
            <v>-2.37</v>
          </cell>
          <cell r="E1741" t="str">
            <v>D</v>
          </cell>
          <cell r="G1741">
            <v>5.66</v>
          </cell>
          <cell r="H1741">
            <v>0</v>
          </cell>
          <cell r="I1741">
            <v>-5.66</v>
          </cell>
          <cell r="J1741">
            <v>-8.0299999999999994</v>
          </cell>
          <cell r="K1741" t="str">
            <v>D</v>
          </cell>
        </row>
        <row r="1742">
          <cell r="A1742">
            <v>55035</v>
          </cell>
          <cell r="B1742" t="str">
            <v>3.1.01.040.0063</v>
          </cell>
          <cell r="C1742" t="str">
            <v xml:space="preserve">( - ) RECURSO/ACEITE DE </v>
          </cell>
          <cell r="D1742">
            <v>-239.17</v>
          </cell>
          <cell r="E1742" t="str">
            <v>D</v>
          </cell>
          <cell r="G1742">
            <v>851.09</v>
          </cell>
          <cell r="H1742">
            <v>0</v>
          </cell>
          <cell r="I1742">
            <v>-851.09</v>
          </cell>
          <cell r="J1742">
            <v>-1090.26</v>
          </cell>
          <cell r="K1742" t="str">
            <v>D</v>
          </cell>
        </row>
        <row r="1743">
          <cell r="A1743">
            <v>40769</v>
          </cell>
          <cell r="B1743" t="str">
            <v>3.1.01.050</v>
          </cell>
          <cell r="C1743" t="str">
            <v>RECEITAS SUS</v>
          </cell>
          <cell r="D1743">
            <v>3738186.66</v>
          </cell>
          <cell r="E1743" t="str">
            <v>C</v>
          </cell>
          <cell r="G1743">
            <v>1472086.62</v>
          </cell>
          <cell r="H1743">
            <v>5429258.3700000001</v>
          </cell>
          <cell r="I1743">
            <v>3957171.75</v>
          </cell>
          <cell r="J1743">
            <v>7695358.4100000001</v>
          </cell>
          <cell r="K1743" t="str">
            <v>C</v>
          </cell>
        </row>
        <row r="1744">
          <cell r="A1744">
            <v>4882</v>
          </cell>
          <cell r="B1744" t="str">
            <v>3.1.01.050.0001</v>
          </cell>
          <cell r="C1744" t="str">
            <v>SUS - HEMODIALISE</v>
          </cell>
          <cell r="D1744">
            <v>937561.31</v>
          </cell>
          <cell r="E1744" t="str">
            <v>C</v>
          </cell>
          <cell r="G1744">
            <v>0</v>
          </cell>
          <cell r="H1744">
            <v>873248.6</v>
          </cell>
          <cell r="I1744">
            <v>873248.6</v>
          </cell>
          <cell r="J1744">
            <v>1810809.91</v>
          </cell>
          <cell r="K1744" t="str">
            <v>C</v>
          </cell>
        </row>
        <row r="1745">
          <cell r="A1745">
            <v>4887</v>
          </cell>
          <cell r="B1745" t="str">
            <v>3.1.01.050.0002</v>
          </cell>
          <cell r="C1745" t="str">
            <v>SUS - AIH</v>
          </cell>
          <cell r="D1745">
            <v>1673663.12</v>
          </cell>
          <cell r="E1745" t="str">
            <v>C</v>
          </cell>
          <cell r="G1745">
            <v>471400.48</v>
          </cell>
          <cell r="H1745">
            <v>1504127.26</v>
          </cell>
          <cell r="I1745">
            <v>1032726.78</v>
          </cell>
          <cell r="J1745">
            <v>2706389.9</v>
          </cell>
          <cell r="K1745" t="str">
            <v>C</v>
          </cell>
        </row>
        <row r="1746">
          <cell r="A1746">
            <v>4888</v>
          </cell>
          <cell r="B1746" t="str">
            <v>3.1.01.050.0003</v>
          </cell>
          <cell r="C1746" t="str">
            <v>SUS - AMBULATORIO</v>
          </cell>
          <cell r="D1746">
            <v>944410.15</v>
          </cell>
          <cell r="E1746" t="str">
            <v>C</v>
          </cell>
          <cell r="G1746">
            <v>1000686.14</v>
          </cell>
          <cell r="H1746">
            <v>1978432.54</v>
          </cell>
          <cell r="I1746">
            <v>977746.4</v>
          </cell>
          <cell r="J1746">
            <v>1922156.55</v>
          </cell>
          <cell r="K1746" t="str">
            <v>C</v>
          </cell>
        </row>
        <row r="1747">
          <cell r="A1747">
            <v>53295</v>
          </cell>
          <cell r="B1747" t="str">
            <v>3.1.01.050.0004</v>
          </cell>
          <cell r="C1747" t="str">
            <v>SUS - FAEC BARIATRICA</v>
          </cell>
          <cell r="D1747">
            <v>20957.55</v>
          </cell>
          <cell r="E1747" t="str">
            <v>C</v>
          </cell>
          <cell r="G1747">
            <v>0</v>
          </cell>
          <cell r="H1747">
            <v>127879.07</v>
          </cell>
          <cell r="I1747">
            <v>127879.07</v>
          </cell>
          <cell r="J1747">
            <v>148836.62</v>
          </cell>
          <cell r="K1747" t="str">
            <v>C</v>
          </cell>
        </row>
        <row r="1748">
          <cell r="A1748">
            <v>53296</v>
          </cell>
          <cell r="B1748" t="str">
            <v>3.1.01.050.0005</v>
          </cell>
          <cell r="C1748" t="str">
            <v>SUS - FAEC TRANSPLANTE</v>
          </cell>
          <cell r="D1748">
            <v>152798.44</v>
          </cell>
          <cell r="E1748" t="str">
            <v>C</v>
          </cell>
          <cell r="G1748">
            <v>0</v>
          </cell>
          <cell r="H1748">
            <v>154111.44</v>
          </cell>
          <cell r="I1748">
            <v>154111.44</v>
          </cell>
          <cell r="J1748">
            <v>306909.88</v>
          </cell>
          <cell r="K1748" t="str">
            <v>C</v>
          </cell>
        </row>
        <row r="1749">
          <cell r="A1749">
            <v>53330</v>
          </cell>
          <cell r="B1749" t="str">
            <v>3.1.01.050.0006</v>
          </cell>
          <cell r="C1749" t="str">
            <v>SUS - COMPLEMENTO TETO</v>
          </cell>
          <cell r="D1749">
            <v>0</v>
          </cell>
          <cell r="E1749" t="str">
            <v>C</v>
          </cell>
          <cell r="G1749">
            <v>0</v>
          </cell>
          <cell r="H1749">
            <v>528221.52</v>
          </cell>
          <cell r="I1749">
            <v>528221.52</v>
          </cell>
          <cell r="J1749">
            <v>528221.52</v>
          </cell>
          <cell r="K1749" t="str">
            <v>C</v>
          </cell>
        </row>
        <row r="1750">
          <cell r="A1750">
            <v>54814</v>
          </cell>
          <cell r="B1750" t="str">
            <v>3.1.01.050.0008</v>
          </cell>
          <cell r="C1750" t="str">
            <v>SUS COMPL COVID</v>
          </cell>
          <cell r="D1750">
            <v>0</v>
          </cell>
          <cell r="E1750" t="str">
            <v>C</v>
          </cell>
          <cell r="G1750">
            <v>0</v>
          </cell>
          <cell r="H1750">
            <v>237114.69</v>
          </cell>
          <cell r="I1750">
            <v>237114.69</v>
          </cell>
          <cell r="J1750">
            <v>237114.69</v>
          </cell>
          <cell r="K1750" t="str">
            <v>C</v>
          </cell>
        </row>
        <row r="1751">
          <cell r="A1751">
            <v>55261</v>
          </cell>
          <cell r="B1751" t="str">
            <v>3.1.01.050.0009</v>
          </cell>
          <cell r="C1751" t="str">
            <v>SUS - FAEC EETIVA</v>
          </cell>
          <cell r="D1751">
            <v>3571.44</v>
          </cell>
          <cell r="E1751" t="str">
            <v>C</v>
          </cell>
          <cell r="G1751">
            <v>0</v>
          </cell>
          <cell r="H1751">
            <v>0</v>
          </cell>
          <cell r="I1751">
            <v>0</v>
          </cell>
          <cell r="J1751">
            <v>3571.44</v>
          </cell>
          <cell r="K1751" t="str">
            <v>C</v>
          </cell>
        </row>
        <row r="1752">
          <cell r="A1752">
            <v>55265</v>
          </cell>
          <cell r="B1752" t="str">
            <v>3.1.01.050.0010</v>
          </cell>
          <cell r="C1752" t="str">
            <v>SUS - FAEC ONCOLOGIA</v>
          </cell>
          <cell r="D1752">
            <v>5224.6499999999996</v>
          </cell>
          <cell r="E1752" t="str">
            <v>C</v>
          </cell>
          <cell r="G1752">
            <v>0</v>
          </cell>
          <cell r="H1752">
            <v>26123.25</v>
          </cell>
          <cell r="I1752">
            <v>26123.25</v>
          </cell>
          <cell r="J1752">
            <v>31347.9</v>
          </cell>
          <cell r="K1752" t="str">
            <v>C</v>
          </cell>
        </row>
        <row r="1753">
          <cell r="A1753">
            <v>4889</v>
          </cell>
          <cell r="B1753" t="str">
            <v>3.1.01.060</v>
          </cell>
          <cell r="C1753" t="str">
            <v xml:space="preserve">( - ) DEDUCAO DE RECEITAS </v>
          </cell>
          <cell r="D1753">
            <v>-594783.31000000006</v>
          </cell>
          <cell r="E1753" t="str">
            <v>D</v>
          </cell>
          <cell r="G1753">
            <v>531769.38</v>
          </cell>
          <cell r="H1753">
            <v>0</v>
          </cell>
          <cell r="I1753">
            <v>-531769.38</v>
          </cell>
          <cell r="J1753">
            <v>-1126552.69</v>
          </cell>
          <cell r="K1753" t="str">
            <v>D</v>
          </cell>
        </row>
        <row r="1754">
          <cell r="A1754">
            <v>4893</v>
          </cell>
          <cell r="B1754" t="str">
            <v>3.1.01.060.0001</v>
          </cell>
          <cell r="C1754" t="str">
            <v>( - ) SUS TETO</v>
          </cell>
          <cell r="D1754">
            <v>-594783.31000000006</v>
          </cell>
          <cell r="E1754" t="str">
            <v>D</v>
          </cell>
          <cell r="G1754">
            <v>531769.38</v>
          </cell>
          <cell r="H1754">
            <v>0</v>
          </cell>
          <cell r="I1754">
            <v>-531769.38</v>
          </cell>
          <cell r="J1754">
            <v>-1126552.69</v>
          </cell>
          <cell r="K1754" t="str">
            <v>D</v>
          </cell>
        </row>
        <row r="1755">
          <cell r="A1755">
            <v>40774</v>
          </cell>
          <cell r="B1755" t="str">
            <v>3.1.01.070</v>
          </cell>
          <cell r="C1755" t="str">
            <v>RECEITAS CONTRATUAIS</v>
          </cell>
          <cell r="D1755">
            <v>149058.06</v>
          </cell>
          <cell r="E1755" t="str">
            <v>C</v>
          </cell>
          <cell r="G1755">
            <v>0</v>
          </cell>
          <cell r="H1755">
            <v>154345.51</v>
          </cell>
          <cell r="I1755">
            <v>154345.51</v>
          </cell>
          <cell r="J1755">
            <v>303403.57</v>
          </cell>
          <cell r="K1755" t="str">
            <v>C</v>
          </cell>
        </row>
        <row r="1756">
          <cell r="A1756">
            <v>5001</v>
          </cell>
          <cell r="B1756" t="str">
            <v>3.1.01.070.0001</v>
          </cell>
          <cell r="C1756" t="str">
            <v>RECEITAS CONTR. NEFROMED</v>
          </cell>
          <cell r="D1756">
            <v>149058.06</v>
          </cell>
          <cell r="E1756" t="str">
            <v>C</v>
          </cell>
          <cell r="G1756">
            <v>0</v>
          </cell>
          <cell r="H1756">
            <v>154345.51</v>
          </cell>
          <cell r="I1756">
            <v>154345.51</v>
          </cell>
          <cell r="J1756">
            <v>303403.57</v>
          </cell>
          <cell r="K1756" t="str">
            <v>C</v>
          </cell>
        </row>
        <row r="1757">
          <cell r="A1757">
            <v>5137</v>
          </cell>
          <cell r="B1757" t="str">
            <v>3.5</v>
          </cell>
          <cell r="C1757" t="str">
            <v>RECEITAS FINANCEIRAS</v>
          </cell>
          <cell r="D1757">
            <v>275066.28999999998</v>
          </cell>
          <cell r="E1757" t="str">
            <v>C</v>
          </cell>
          <cell r="G1757">
            <v>664.56</v>
          </cell>
          <cell r="H1757">
            <v>288271.28000000003</v>
          </cell>
          <cell r="I1757">
            <v>287606.71999999997</v>
          </cell>
          <cell r="J1757">
            <v>562673.01</v>
          </cell>
          <cell r="K1757" t="str">
            <v>C</v>
          </cell>
        </row>
        <row r="1758">
          <cell r="A1758">
            <v>5028</v>
          </cell>
          <cell r="B1758" t="str">
            <v>3.5.01</v>
          </cell>
          <cell r="C1758" t="str">
            <v>RECEITAS FINANCEIRAS</v>
          </cell>
          <cell r="D1758">
            <v>275066.28999999998</v>
          </cell>
          <cell r="E1758" t="str">
            <v>C</v>
          </cell>
          <cell r="G1758">
            <v>664.56</v>
          </cell>
          <cell r="H1758">
            <v>288271.28000000003</v>
          </cell>
          <cell r="I1758">
            <v>287606.71999999997</v>
          </cell>
          <cell r="J1758">
            <v>562673.01</v>
          </cell>
          <cell r="K1758" t="str">
            <v>C</v>
          </cell>
        </row>
        <row r="1759">
          <cell r="A1759">
            <v>5130</v>
          </cell>
          <cell r="B1759" t="str">
            <v>3.5.01.020</v>
          </cell>
          <cell r="C1759" t="str">
            <v xml:space="preserve">OUTRAS RECEITAS </v>
          </cell>
          <cell r="D1759">
            <v>275066.28999999998</v>
          </cell>
          <cell r="E1759" t="str">
            <v>C</v>
          </cell>
          <cell r="G1759">
            <v>664.56</v>
          </cell>
          <cell r="H1759">
            <v>288271.28000000003</v>
          </cell>
          <cell r="I1759">
            <v>287606.71999999997</v>
          </cell>
          <cell r="J1759">
            <v>562673.01</v>
          </cell>
          <cell r="K1759" t="str">
            <v>C</v>
          </cell>
        </row>
        <row r="1760">
          <cell r="A1760">
            <v>12258</v>
          </cell>
          <cell r="B1760" t="str">
            <v>3.5.01.020.0001</v>
          </cell>
          <cell r="C1760" t="str">
            <v xml:space="preserve">DESCONTO OBTIDO </v>
          </cell>
          <cell r="D1760">
            <v>8201.7900000000009</v>
          </cell>
          <cell r="E1760" t="str">
            <v>C</v>
          </cell>
          <cell r="G1760">
            <v>0</v>
          </cell>
          <cell r="H1760">
            <v>31995.200000000001</v>
          </cell>
          <cell r="I1760">
            <v>31995.200000000001</v>
          </cell>
          <cell r="J1760">
            <v>40196.99</v>
          </cell>
          <cell r="K1760" t="str">
            <v>C</v>
          </cell>
        </row>
        <row r="1761">
          <cell r="A1761">
            <v>12474</v>
          </cell>
          <cell r="B1761" t="str">
            <v>3.5.01.020.0002</v>
          </cell>
          <cell r="C1761" t="str">
            <v xml:space="preserve">RENDIMENTOS SOBRE </v>
          </cell>
          <cell r="D1761">
            <v>266844.5</v>
          </cell>
          <cell r="E1761" t="str">
            <v>C</v>
          </cell>
          <cell r="G1761">
            <v>409.21</v>
          </cell>
          <cell r="H1761">
            <v>255998.83</v>
          </cell>
          <cell r="I1761">
            <v>255589.62</v>
          </cell>
          <cell r="J1761">
            <v>522434.12</v>
          </cell>
          <cell r="K1761" t="str">
            <v>C</v>
          </cell>
        </row>
        <row r="1762">
          <cell r="A1762">
            <v>32733</v>
          </cell>
          <cell r="B1762" t="str">
            <v>3.5.01.020.0004</v>
          </cell>
          <cell r="C1762" t="str">
            <v xml:space="preserve">JUROS ATIVOS - </v>
          </cell>
          <cell r="D1762">
            <v>20</v>
          </cell>
          <cell r="E1762" t="str">
            <v>C</v>
          </cell>
          <cell r="G1762">
            <v>255.35</v>
          </cell>
          <cell r="H1762">
            <v>277.25</v>
          </cell>
          <cell r="I1762">
            <v>21.9</v>
          </cell>
          <cell r="J1762">
            <v>41.9</v>
          </cell>
          <cell r="K1762" t="str">
            <v>C</v>
          </cell>
        </row>
        <row r="1763">
          <cell r="A1763">
            <v>40784</v>
          </cell>
          <cell r="B1763" t="str">
            <v>3.6</v>
          </cell>
          <cell r="C1763" t="str">
            <v>RECEITAS PATRIMONIAIS</v>
          </cell>
          <cell r="D1763">
            <v>8916.2199999999993</v>
          </cell>
          <cell r="E1763" t="str">
            <v>C</v>
          </cell>
          <cell r="G1763">
            <v>0</v>
          </cell>
          <cell r="H1763">
            <v>8916.2199999999993</v>
          </cell>
          <cell r="I1763">
            <v>8916.2199999999993</v>
          </cell>
          <cell r="J1763">
            <v>17832.439999999999</v>
          </cell>
          <cell r="K1763" t="str">
            <v>C</v>
          </cell>
        </row>
        <row r="1764">
          <cell r="A1764">
            <v>40785</v>
          </cell>
          <cell r="B1764" t="str">
            <v>3.6.01</v>
          </cell>
          <cell r="C1764" t="str">
            <v>RECEITAS PATRIMONIAIS</v>
          </cell>
          <cell r="D1764">
            <v>8916.2199999999993</v>
          </cell>
          <cell r="E1764" t="str">
            <v>C</v>
          </cell>
          <cell r="G1764">
            <v>0</v>
          </cell>
          <cell r="H1764">
            <v>8916.2199999999993</v>
          </cell>
          <cell r="I1764">
            <v>8916.2199999999993</v>
          </cell>
          <cell r="J1764">
            <v>17832.439999999999</v>
          </cell>
          <cell r="K1764" t="str">
            <v>C</v>
          </cell>
        </row>
        <row r="1765">
          <cell r="A1765">
            <v>40786</v>
          </cell>
          <cell r="B1765" t="str">
            <v>3.6.01.010</v>
          </cell>
          <cell r="C1765" t="str">
            <v>RECEITAS ALUGUEIS</v>
          </cell>
          <cell r="D1765">
            <v>8916.2199999999993</v>
          </cell>
          <cell r="E1765" t="str">
            <v>C</v>
          </cell>
          <cell r="G1765">
            <v>0</v>
          </cell>
          <cell r="H1765">
            <v>8916.2199999999993</v>
          </cell>
          <cell r="I1765">
            <v>8916.2199999999993</v>
          </cell>
          <cell r="J1765">
            <v>17832.439999999999</v>
          </cell>
          <cell r="K1765" t="str">
            <v>C</v>
          </cell>
        </row>
        <row r="1766">
          <cell r="A1766">
            <v>27432</v>
          </cell>
          <cell r="B1766" t="str">
            <v>3.6.01.010.0001</v>
          </cell>
          <cell r="C1766" t="str">
            <v>RECEITAS COM ALUGUEIS</v>
          </cell>
          <cell r="D1766">
            <v>8916.2199999999993</v>
          </cell>
          <cell r="E1766" t="str">
            <v>C</v>
          </cell>
          <cell r="G1766">
            <v>0</v>
          </cell>
          <cell r="H1766">
            <v>8916.2199999999993</v>
          </cell>
          <cell r="I1766">
            <v>8916.2199999999993</v>
          </cell>
          <cell r="J1766">
            <v>17832.439999999999</v>
          </cell>
          <cell r="K1766" t="str">
            <v>C</v>
          </cell>
        </row>
        <row r="1767">
          <cell r="A1767">
            <v>53066</v>
          </cell>
          <cell r="B1767" t="str">
            <v>3.7</v>
          </cell>
          <cell r="C1767" t="str">
            <v>OUTRAS RECEITAS</v>
          </cell>
          <cell r="D1767">
            <v>2171594.77</v>
          </cell>
          <cell r="E1767" t="str">
            <v>C</v>
          </cell>
          <cell r="G1767">
            <v>3300.53</v>
          </cell>
          <cell r="H1767">
            <v>1146291.6499999999</v>
          </cell>
          <cell r="I1767">
            <v>1142991.1200000001</v>
          </cell>
          <cell r="J1767">
            <v>3314585.89</v>
          </cell>
          <cell r="K1767" t="str">
            <v>C</v>
          </cell>
        </row>
        <row r="1768">
          <cell r="A1768">
            <v>53067</v>
          </cell>
          <cell r="B1768" t="str">
            <v>3.7.01</v>
          </cell>
          <cell r="C1768" t="str">
            <v xml:space="preserve">OUTRAS RECEITAS </v>
          </cell>
          <cell r="D1768">
            <v>2171594.77</v>
          </cell>
          <cell r="E1768" t="str">
            <v>C</v>
          </cell>
          <cell r="G1768">
            <v>3300.53</v>
          </cell>
          <cell r="H1768">
            <v>1146291.6499999999</v>
          </cell>
          <cell r="I1768">
            <v>1142991.1200000001</v>
          </cell>
          <cell r="J1768">
            <v>3314585.89</v>
          </cell>
          <cell r="K1768" t="str">
            <v>C</v>
          </cell>
        </row>
        <row r="1769">
          <cell r="A1769">
            <v>53068</v>
          </cell>
          <cell r="B1769" t="str">
            <v>3.7.01.010</v>
          </cell>
          <cell r="C1769" t="str">
            <v xml:space="preserve">OUTRAS RECEITAS </v>
          </cell>
          <cell r="D1769">
            <v>190120.03</v>
          </cell>
          <cell r="E1769" t="str">
            <v>C</v>
          </cell>
          <cell r="G1769">
            <v>1690.9</v>
          </cell>
          <cell r="H1769">
            <v>245039.13</v>
          </cell>
          <cell r="I1769">
            <v>243348.23</v>
          </cell>
          <cell r="J1769">
            <v>433468.26</v>
          </cell>
          <cell r="K1769" t="str">
            <v>C</v>
          </cell>
        </row>
        <row r="1770">
          <cell r="A1770">
            <v>5193</v>
          </cell>
          <cell r="B1770" t="str">
            <v>3.7.01.010.0003</v>
          </cell>
          <cell r="C1770" t="str">
            <v>DONATIVOS - PF/PJ</v>
          </cell>
          <cell r="D1770">
            <v>20942.689999999999</v>
          </cell>
          <cell r="E1770" t="str">
            <v>C</v>
          </cell>
          <cell r="G1770">
            <v>0</v>
          </cell>
          <cell r="H1770">
            <v>16079.8</v>
          </cell>
          <cell r="I1770">
            <v>16079.8</v>
          </cell>
          <cell r="J1770">
            <v>37022.49</v>
          </cell>
          <cell r="K1770" t="str">
            <v>C</v>
          </cell>
        </row>
        <row r="1771">
          <cell r="A1771">
            <v>5194</v>
          </cell>
          <cell r="B1771" t="str">
            <v>3.7.01.010.0004</v>
          </cell>
          <cell r="C1771" t="str">
            <v xml:space="preserve">DONATIVOS DE DROGAS E </v>
          </cell>
          <cell r="D1771">
            <v>0.08</v>
          </cell>
          <cell r="E1771" t="str">
            <v>C</v>
          </cell>
          <cell r="G1771">
            <v>0</v>
          </cell>
          <cell r="H1771">
            <v>0.35</v>
          </cell>
          <cell r="I1771">
            <v>0.35</v>
          </cell>
          <cell r="J1771">
            <v>0.43</v>
          </cell>
          <cell r="K1771" t="str">
            <v>C</v>
          </cell>
        </row>
        <row r="1772">
          <cell r="A1772">
            <v>5195</v>
          </cell>
          <cell r="B1772" t="str">
            <v>3.7.01.010.0005</v>
          </cell>
          <cell r="C1772" t="str">
            <v xml:space="preserve">DONATIVOS DE MATERIAIS DE </v>
          </cell>
          <cell r="D1772">
            <v>3169.81</v>
          </cell>
          <cell r="E1772" t="str">
            <v>C</v>
          </cell>
          <cell r="G1772">
            <v>0</v>
          </cell>
          <cell r="H1772">
            <v>0.2</v>
          </cell>
          <cell r="I1772">
            <v>0.2</v>
          </cell>
          <cell r="J1772">
            <v>3170.01</v>
          </cell>
          <cell r="K1772" t="str">
            <v>C</v>
          </cell>
        </row>
        <row r="1773">
          <cell r="A1773">
            <v>5180</v>
          </cell>
          <cell r="B1773" t="str">
            <v>3.7.01.010.0011</v>
          </cell>
          <cell r="C1773" t="str">
            <v xml:space="preserve">RECEITAS DE CURSOS E </v>
          </cell>
          <cell r="D1773">
            <v>32200</v>
          </cell>
          <cell r="E1773" t="str">
            <v>C</v>
          </cell>
          <cell r="G1773">
            <v>0</v>
          </cell>
          <cell r="H1773">
            <v>85680</v>
          </cell>
          <cell r="I1773">
            <v>85680</v>
          </cell>
          <cell r="J1773">
            <v>117880</v>
          </cell>
          <cell r="K1773" t="str">
            <v>C</v>
          </cell>
        </row>
        <row r="1774">
          <cell r="A1774">
            <v>5181</v>
          </cell>
          <cell r="B1774" t="str">
            <v>3.7.01.010.0012</v>
          </cell>
          <cell r="C1774" t="str">
            <v>RECEITAS DIVERSAS</v>
          </cell>
          <cell r="D1774">
            <v>2422.6999999999998</v>
          </cell>
          <cell r="E1774" t="str">
            <v>C</v>
          </cell>
          <cell r="G1774">
            <v>0</v>
          </cell>
          <cell r="H1774">
            <v>3121.29</v>
          </cell>
          <cell r="I1774">
            <v>3121.29</v>
          </cell>
          <cell r="J1774">
            <v>5543.99</v>
          </cell>
          <cell r="K1774" t="str">
            <v>C</v>
          </cell>
        </row>
        <row r="1775">
          <cell r="A1775">
            <v>52302</v>
          </cell>
          <cell r="B1775" t="str">
            <v>3.7.01.010.0013</v>
          </cell>
          <cell r="C1775" t="str">
            <v xml:space="preserve">(IEP) RECEITAS DE CURSOS E </v>
          </cell>
          <cell r="D1775">
            <v>131384.75</v>
          </cell>
          <cell r="E1775" t="str">
            <v>C</v>
          </cell>
          <cell r="G1775">
            <v>1660</v>
          </cell>
          <cell r="H1775">
            <v>137466.59</v>
          </cell>
          <cell r="I1775">
            <v>135806.59</v>
          </cell>
          <cell r="J1775">
            <v>267191.34000000003</v>
          </cell>
          <cell r="K1775" t="str">
            <v>C</v>
          </cell>
        </row>
        <row r="1776">
          <cell r="A1776">
            <v>53260</v>
          </cell>
          <cell r="B1776" t="str">
            <v>3.7.01.010.0015</v>
          </cell>
          <cell r="C1776" t="str">
            <v xml:space="preserve">SUBVENÇÃO EMENDA </v>
          </cell>
          <cell r="D1776">
            <v>0</v>
          </cell>
          <cell r="E1776" t="str">
            <v>C</v>
          </cell>
          <cell r="G1776">
            <v>30.9</v>
          </cell>
          <cell r="H1776">
            <v>30.9</v>
          </cell>
          <cell r="I1776">
            <v>0</v>
          </cell>
          <cell r="J1776">
            <v>0</v>
          </cell>
          <cell r="K1776" t="str">
            <v>C</v>
          </cell>
        </row>
        <row r="1777">
          <cell r="A1777">
            <v>5177</v>
          </cell>
          <cell r="B1777" t="str">
            <v>3.7.01.010.0019</v>
          </cell>
          <cell r="C1777" t="str">
            <v>VENDA SUCATA</v>
          </cell>
          <cell r="D1777">
            <v>0</v>
          </cell>
          <cell r="E1777" t="str">
            <v>C</v>
          </cell>
          <cell r="G1777">
            <v>0</v>
          </cell>
          <cell r="H1777">
            <v>2660</v>
          </cell>
          <cell r="I1777">
            <v>2660</v>
          </cell>
          <cell r="J1777">
            <v>2660</v>
          </cell>
          <cell r="K1777" t="str">
            <v>C</v>
          </cell>
        </row>
        <row r="1778">
          <cell r="A1778">
            <v>55242</v>
          </cell>
          <cell r="B1778" t="str">
            <v>3.7.01.011</v>
          </cell>
          <cell r="C1778" t="str">
            <v xml:space="preserve">RECEITAS SUBVENCOES E </v>
          </cell>
          <cell r="D1778">
            <v>1150744.21</v>
          </cell>
          <cell r="E1778" t="str">
            <v>C</v>
          </cell>
          <cell r="G1778">
            <v>1609.63</v>
          </cell>
          <cell r="H1778">
            <v>42744.21</v>
          </cell>
          <cell r="I1778">
            <v>41134.58</v>
          </cell>
          <cell r="J1778">
            <v>1191878.79</v>
          </cell>
          <cell r="K1778" t="str">
            <v>C</v>
          </cell>
        </row>
        <row r="1779">
          <cell r="A1779">
            <v>55244</v>
          </cell>
          <cell r="B1779" t="str">
            <v>3.7.01.011.0001</v>
          </cell>
          <cell r="C1779" t="str">
            <v xml:space="preserve">SUBVENCOES COM </v>
          </cell>
          <cell r="D1779">
            <v>42744.21</v>
          </cell>
          <cell r="E1779" t="str">
            <v>C</v>
          </cell>
          <cell r="G1779">
            <v>0</v>
          </cell>
          <cell r="H1779">
            <v>42744.21</v>
          </cell>
          <cell r="I1779">
            <v>42744.21</v>
          </cell>
          <cell r="J1779">
            <v>85488.42</v>
          </cell>
          <cell r="K1779" t="str">
            <v>C</v>
          </cell>
        </row>
        <row r="1780">
          <cell r="A1780">
            <v>55245</v>
          </cell>
          <cell r="B1780" t="str">
            <v>3.7.01.011.0002</v>
          </cell>
          <cell r="C1780" t="str">
            <v>SUBVENCOES</v>
          </cell>
          <cell r="D1780">
            <v>0</v>
          </cell>
          <cell r="E1780" t="str">
            <v>C</v>
          </cell>
          <cell r="G1780">
            <v>1609.63</v>
          </cell>
          <cell r="H1780">
            <v>0</v>
          </cell>
          <cell r="I1780">
            <v>-1609.63</v>
          </cell>
          <cell r="J1780">
            <v>-1609.63</v>
          </cell>
          <cell r="K1780" t="str">
            <v>D</v>
          </cell>
        </row>
        <row r="1781">
          <cell r="A1781">
            <v>55246</v>
          </cell>
          <cell r="B1781" t="str">
            <v>3.7.01.011.0003</v>
          </cell>
          <cell r="C1781" t="str">
            <v>EMENDA PARLAMENTAR</v>
          </cell>
          <cell r="D1781">
            <v>1108000</v>
          </cell>
          <cell r="E1781" t="str">
            <v>C</v>
          </cell>
          <cell r="G1781">
            <v>0</v>
          </cell>
          <cell r="H1781">
            <v>0</v>
          </cell>
          <cell r="I1781">
            <v>0</v>
          </cell>
          <cell r="J1781">
            <v>1108000</v>
          </cell>
          <cell r="K1781" t="str">
            <v>C</v>
          </cell>
        </row>
        <row r="1782">
          <cell r="A1782">
            <v>55243</v>
          </cell>
          <cell r="B1782" t="str">
            <v>3.7.01.012</v>
          </cell>
          <cell r="C1782" t="str">
            <v>RECEITAS INCENTIVOS</v>
          </cell>
          <cell r="D1782">
            <v>830730.53</v>
          </cell>
          <cell r="E1782" t="str">
            <v>C</v>
          </cell>
          <cell r="G1782">
            <v>0</v>
          </cell>
          <cell r="H1782">
            <v>830730.53</v>
          </cell>
          <cell r="I1782">
            <v>830730.53</v>
          </cell>
          <cell r="J1782">
            <v>1661461.06</v>
          </cell>
          <cell r="K1782" t="str">
            <v>C</v>
          </cell>
        </row>
        <row r="1783">
          <cell r="A1783">
            <v>55247</v>
          </cell>
          <cell r="B1783" t="str">
            <v>3.7.01.012.0001</v>
          </cell>
          <cell r="C1783" t="str">
            <v xml:space="preserve">SUSTENTAVEL(SECRETARIA </v>
          </cell>
          <cell r="D1783">
            <v>561325</v>
          </cell>
          <cell r="E1783" t="str">
            <v>C</v>
          </cell>
          <cell r="G1783">
            <v>0</v>
          </cell>
          <cell r="H1783">
            <v>561325</v>
          </cell>
          <cell r="I1783">
            <v>561325</v>
          </cell>
          <cell r="J1783">
            <v>1122650</v>
          </cell>
          <cell r="K1783" t="str">
            <v>C</v>
          </cell>
        </row>
        <row r="1784">
          <cell r="A1784">
            <v>55248</v>
          </cell>
          <cell r="B1784" t="str">
            <v>3.7.01.012.0002</v>
          </cell>
          <cell r="C1784" t="str">
            <v>IAC</v>
          </cell>
          <cell r="D1784">
            <v>199045.21</v>
          </cell>
          <cell r="E1784" t="str">
            <v>C</v>
          </cell>
          <cell r="G1784">
            <v>0</v>
          </cell>
          <cell r="H1784">
            <v>199045.21</v>
          </cell>
          <cell r="I1784">
            <v>199045.21</v>
          </cell>
          <cell r="J1784">
            <v>398090.42</v>
          </cell>
          <cell r="K1784" t="str">
            <v>C</v>
          </cell>
        </row>
        <row r="1785">
          <cell r="A1785">
            <v>55249</v>
          </cell>
          <cell r="B1785" t="str">
            <v>3.7.01.012.0003</v>
          </cell>
          <cell r="C1785" t="str">
            <v>REDE CEGONHA</v>
          </cell>
          <cell r="D1785">
            <v>70360.320000000007</v>
          </cell>
          <cell r="E1785" t="str">
            <v>C</v>
          </cell>
          <cell r="G1785">
            <v>0</v>
          </cell>
          <cell r="H1785">
            <v>70360.320000000007</v>
          </cell>
          <cell r="I1785">
            <v>70360.320000000007</v>
          </cell>
          <cell r="J1785">
            <v>140720.64000000001</v>
          </cell>
          <cell r="K1785" t="str">
            <v>C</v>
          </cell>
        </row>
        <row r="1786">
          <cell r="A1786">
            <v>55290</v>
          </cell>
          <cell r="B1786" t="str">
            <v>3.7.01.013</v>
          </cell>
          <cell r="C1786" t="str">
            <v xml:space="preserve">RECEITA CONTRATO </v>
          </cell>
          <cell r="D1786">
            <v>0</v>
          </cell>
          <cell r="E1786" t="str">
            <v>C</v>
          </cell>
          <cell r="G1786">
            <v>0</v>
          </cell>
          <cell r="H1786">
            <v>27777.78</v>
          </cell>
          <cell r="I1786">
            <v>27777.78</v>
          </cell>
          <cell r="J1786">
            <v>27777.78</v>
          </cell>
          <cell r="K1786" t="str">
            <v>C</v>
          </cell>
        </row>
        <row r="1787">
          <cell r="A1787">
            <v>55291</v>
          </cell>
          <cell r="B1787" t="str">
            <v>3.7.01.013.0001</v>
          </cell>
          <cell r="C1787" t="str">
            <v xml:space="preserve">SANTANDER - CONTRATO </v>
          </cell>
          <cell r="D1787">
            <v>0</v>
          </cell>
          <cell r="E1787" t="str">
            <v>C</v>
          </cell>
          <cell r="G1787">
            <v>0</v>
          </cell>
          <cell r="H1787">
            <v>27777.78</v>
          </cell>
          <cell r="I1787">
            <v>27777.78</v>
          </cell>
          <cell r="J1787">
            <v>27777.78</v>
          </cell>
          <cell r="K1787" t="str">
            <v>C</v>
          </cell>
        </row>
        <row r="1788">
          <cell r="A1788">
            <v>5128</v>
          </cell>
          <cell r="B1788" t="str">
            <v>3.8</v>
          </cell>
          <cell r="C1788" t="str">
            <v>ACOES JUDICIAIS</v>
          </cell>
          <cell r="D1788">
            <v>8637.84</v>
          </cell>
          <cell r="E1788" t="str">
            <v>C</v>
          </cell>
          <cell r="G1788">
            <v>0</v>
          </cell>
          <cell r="H1788">
            <v>8672.39</v>
          </cell>
          <cell r="I1788">
            <v>8672.39</v>
          </cell>
          <cell r="J1788">
            <v>17310.23</v>
          </cell>
          <cell r="K1788" t="str">
            <v>C</v>
          </cell>
        </row>
        <row r="1789">
          <cell r="A1789">
            <v>38580</v>
          </cell>
          <cell r="B1789" t="str">
            <v>3.8.01</v>
          </cell>
          <cell r="C1789" t="str">
            <v>ACOES JUDICIAIS</v>
          </cell>
          <cell r="D1789">
            <v>8637.84</v>
          </cell>
          <cell r="E1789" t="str">
            <v>C</v>
          </cell>
          <cell r="G1789">
            <v>0</v>
          </cell>
          <cell r="H1789">
            <v>8672.39</v>
          </cell>
          <cell r="I1789">
            <v>8672.39</v>
          </cell>
          <cell r="J1789">
            <v>17310.23</v>
          </cell>
          <cell r="K1789" t="str">
            <v>C</v>
          </cell>
        </row>
        <row r="1790">
          <cell r="A1790">
            <v>38581</v>
          </cell>
          <cell r="B1790" t="str">
            <v>3.8.01.001</v>
          </cell>
          <cell r="C1790" t="str">
            <v>ACOES JUDICIAIS</v>
          </cell>
          <cell r="D1790">
            <v>8637.84</v>
          </cell>
          <cell r="E1790" t="str">
            <v>C</v>
          </cell>
          <cell r="G1790">
            <v>0</v>
          </cell>
          <cell r="H1790">
            <v>8672.39</v>
          </cell>
          <cell r="I1790">
            <v>8672.39</v>
          </cell>
          <cell r="J1790">
            <v>17310.23</v>
          </cell>
          <cell r="K1790" t="str">
            <v>C</v>
          </cell>
        </row>
        <row r="1791">
          <cell r="A1791">
            <v>27379</v>
          </cell>
          <cell r="B1791" t="str">
            <v>3.8.01.001.0002</v>
          </cell>
          <cell r="C1791" t="str">
            <v xml:space="preserve">JUROS DEPOSITOS JUDICIAIS </v>
          </cell>
          <cell r="D1791">
            <v>8637.84</v>
          </cell>
          <cell r="E1791" t="str">
            <v>C</v>
          </cell>
          <cell r="G1791">
            <v>0</v>
          </cell>
          <cell r="H1791">
            <v>8672.39</v>
          </cell>
          <cell r="I1791">
            <v>8672.39</v>
          </cell>
          <cell r="J1791">
            <v>17310.23</v>
          </cell>
          <cell r="K1791" t="str">
            <v>C</v>
          </cell>
        </row>
        <row r="1792">
          <cell r="A1792">
            <v>5200</v>
          </cell>
          <cell r="B1792">
            <v>4</v>
          </cell>
          <cell r="C1792" t="str">
            <v>DESPESAS</v>
          </cell>
          <cell r="D1792">
            <v>20696205.739999998</v>
          </cell>
          <cell r="E1792" t="str">
            <v>D</v>
          </cell>
          <cell r="G1792">
            <v>23800062.649999999</v>
          </cell>
          <cell r="H1792">
            <v>1189294.77</v>
          </cell>
          <cell r="I1792">
            <v>22610767.879999999</v>
          </cell>
          <cell r="J1792">
            <v>43306973.619999997</v>
          </cell>
          <cell r="K1792" t="str">
            <v>D</v>
          </cell>
        </row>
        <row r="1793">
          <cell r="A1793">
            <v>40535</v>
          </cell>
          <cell r="B1793" t="str">
            <v>4.1</v>
          </cell>
          <cell r="C1793" t="str">
            <v>DESPESAS HOSPITALAR</v>
          </cell>
          <cell r="D1793">
            <v>18368062.050000001</v>
          </cell>
          <cell r="E1793" t="str">
            <v>D</v>
          </cell>
          <cell r="G1793">
            <v>21058512.98</v>
          </cell>
          <cell r="H1793">
            <v>882068.96</v>
          </cell>
          <cell r="I1793">
            <v>20176444.02</v>
          </cell>
          <cell r="J1793">
            <v>38544506.07</v>
          </cell>
          <cell r="K1793" t="str">
            <v>D</v>
          </cell>
        </row>
        <row r="1794">
          <cell r="A1794">
            <v>10788</v>
          </cell>
          <cell r="B1794" t="str">
            <v>4.1.01</v>
          </cell>
          <cell r="C1794" t="str">
            <v>DESPESAS MAO-DE-OBRA</v>
          </cell>
          <cell r="D1794">
            <v>12637788.59</v>
          </cell>
          <cell r="E1794" t="str">
            <v>D</v>
          </cell>
          <cell r="G1794">
            <v>12619191.050000001</v>
          </cell>
          <cell r="H1794">
            <v>320826.65999999997</v>
          </cell>
          <cell r="I1794">
            <v>12298364.390000001</v>
          </cell>
          <cell r="J1794">
            <v>24936152.98</v>
          </cell>
          <cell r="L1794" t="e">
            <v>#N/A</v>
          </cell>
        </row>
        <row r="1795">
          <cell r="A1795">
            <v>54169</v>
          </cell>
          <cell r="B1795" t="str">
            <v>4.1.01.007</v>
          </cell>
          <cell r="C1795" t="str">
            <v xml:space="preserve">SERVICOS DE TERCEIROS </v>
          </cell>
          <cell r="D1795">
            <v>755273.17</v>
          </cell>
          <cell r="E1795" t="str">
            <v>D</v>
          </cell>
          <cell r="G1795">
            <v>339742.32</v>
          </cell>
          <cell r="H1795">
            <v>0</v>
          </cell>
          <cell r="I1795">
            <v>339742.32</v>
          </cell>
          <cell r="J1795">
            <v>1095015.49</v>
          </cell>
          <cell r="K1795" t="str">
            <v>D</v>
          </cell>
          <cell r="L1795">
            <v>54169</v>
          </cell>
        </row>
        <row r="1796">
          <cell r="A1796">
            <v>54170</v>
          </cell>
          <cell r="B1796" t="str">
            <v>4.1.01.007.0001</v>
          </cell>
          <cell r="C1796" t="str">
            <v>IAMSPE TERCEIROS</v>
          </cell>
          <cell r="D1796">
            <v>178523.13</v>
          </cell>
          <cell r="E1796" t="str">
            <v>D</v>
          </cell>
          <cell r="G1796">
            <v>78283.92</v>
          </cell>
          <cell r="H1796">
            <v>0</v>
          </cell>
          <cell r="I1796">
            <v>78283.92</v>
          </cell>
          <cell r="J1796">
            <v>256807.05</v>
          </cell>
          <cell r="K1796" t="str">
            <v>D</v>
          </cell>
          <cell r="L1796" t="e">
            <v>#N/A</v>
          </cell>
        </row>
        <row r="1797">
          <cell r="A1797">
            <v>54171</v>
          </cell>
          <cell r="B1797" t="str">
            <v>4.1.01.007.0002</v>
          </cell>
          <cell r="C1797" t="str">
            <v>SUS AMB TERCEIROS</v>
          </cell>
          <cell r="D1797">
            <v>97436.92</v>
          </cell>
          <cell r="E1797" t="str">
            <v>D</v>
          </cell>
          <cell r="G1797">
            <v>27227.7</v>
          </cell>
          <cell r="H1797">
            <v>0</v>
          </cell>
          <cell r="I1797">
            <v>27227.7</v>
          </cell>
          <cell r="J1797">
            <v>124664.62</v>
          </cell>
          <cell r="K1797" t="str">
            <v>D</v>
          </cell>
          <cell r="L1797" t="e">
            <v>#N/A</v>
          </cell>
        </row>
        <row r="1798">
          <cell r="A1798">
            <v>54172</v>
          </cell>
          <cell r="B1798" t="str">
            <v>4.1.01.007.0003</v>
          </cell>
          <cell r="C1798" t="str">
            <v>SUL AMERICA TERCEIROS</v>
          </cell>
          <cell r="D1798">
            <v>29234.59</v>
          </cell>
          <cell r="E1798" t="str">
            <v>D</v>
          </cell>
          <cell r="G1798">
            <v>20002.84</v>
          </cell>
          <cell r="H1798">
            <v>0</v>
          </cell>
          <cell r="I1798">
            <v>20002.84</v>
          </cell>
          <cell r="J1798">
            <v>49237.43</v>
          </cell>
          <cell r="K1798" t="str">
            <v>D</v>
          </cell>
          <cell r="L1798" t="e">
            <v>#N/A</v>
          </cell>
        </row>
        <row r="1799">
          <cell r="A1799">
            <v>54174</v>
          </cell>
          <cell r="B1799" t="str">
            <v>4.1.01.007.0005</v>
          </cell>
          <cell r="C1799" t="str">
            <v>PORTO SEGURO TERCEIROS</v>
          </cell>
          <cell r="D1799">
            <v>10129.24</v>
          </cell>
          <cell r="E1799" t="str">
            <v>D</v>
          </cell>
          <cell r="G1799">
            <v>2061.83</v>
          </cell>
          <cell r="H1799">
            <v>0</v>
          </cell>
          <cell r="I1799">
            <v>2061.83</v>
          </cell>
          <cell r="J1799">
            <v>12191.07</v>
          </cell>
          <cell r="K1799" t="str">
            <v>D</v>
          </cell>
          <cell r="L1799" t="e">
            <v>#N/A</v>
          </cell>
        </row>
        <row r="1800">
          <cell r="A1800">
            <v>54175</v>
          </cell>
          <cell r="B1800" t="str">
            <v>4.1.01.007.0006</v>
          </cell>
          <cell r="C1800" t="str">
            <v>BRADESCO TERCEIROS</v>
          </cell>
          <cell r="D1800">
            <v>17102.43</v>
          </cell>
          <cell r="E1800" t="str">
            <v>D</v>
          </cell>
          <cell r="G1800">
            <v>5912.08</v>
          </cell>
          <cell r="H1800">
            <v>0</v>
          </cell>
          <cell r="I1800">
            <v>5912.08</v>
          </cell>
          <cell r="J1800">
            <v>23014.51</v>
          </cell>
          <cell r="K1800" t="str">
            <v>D</v>
          </cell>
          <cell r="L1800" t="e">
            <v>#N/A</v>
          </cell>
        </row>
        <row r="1801">
          <cell r="A1801">
            <v>54176</v>
          </cell>
          <cell r="B1801" t="str">
            <v>4.1.01.007.0007</v>
          </cell>
          <cell r="C1801" t="str">
            <v>MEDISERVICE TERCEIROS</v>
          </cell>
          <cell r="D1801">
            <v>1050</v>
          </cell>
          <cell r="E1801" t="str">
            <v>D</v>
          </cell>
          <cell r="G1801">
            <v>661.31</v>
          </cell>
          <cell r="H1801">
            <v>0</v>
          </cell>
          <cell r="I1801">
            <v>661.31</v>
          </cell>
          <cell r="J1801">
            <v>1711.31</v>
          </cell>
          <cell r="K1801" t="str">
            <v>D</v>
          </cell>
          <cell r="L1801" t="e">
            <v>#N/A</v>
          </cell>
        </row>
        <row r="1802">
          <cell r="A1802">
            <v>54177</v>
          </cell>
          <cell r="B1802" t="str">
            <v>4.1.01.007.0008</v>
          </cell>
          <cell r="C1802" t="str">
            <v>CASSI TERCEIROS</v>
          </cell>
          <cell r="D1802">
            <v>2310.89</v>
          </cell>
          <cell r="E1802" t="str">
            <v>D</v>
          </cell>
          <cell r="G1802">
            <v>3430.2</v>
          </cell>
          <cell r="H1802">
            <v>0</v>
          </cell>
          <cell r="I1802">
            <v>3430.2</v>
          </cell>
          <cell r="J1802">
            <v>5741.09</v>
          </cell>
          <cell r="K1802" t="str">
            <v>D</v>
          </cell>
          <cell r="L1802" t="e">
            <v>#N/A</v>
          </cell>
        </row>
        <row r="1803">
          <cell r="A1803">
            <v>54178</v>
          </cell>
          <cell r="B1803" t="str">
            <v>4.1.01.007.0009</v>
          </cell>
          <cell r="C1803" t="str">
            <v>POSTAL SAUDE TERCEIROS</v>
          </cell>
          <cell r="D1803">
            <v>4474.29</v>
          </cell>
          <cell r="E1803" t="str">
            <v>D</v>
          </cell>
          <cell r="G1803">
            <v>1491.16</v>
          </cell>
          <cell r="H1803">
            <v>0</v>
          </cell>
          <cell r="I1803">
            <v>1491.16</v>
          </cell>
          <cell r="J1803">
            <v>5965.45</v>
          </cell>
          <cell r="K1803" t="str">
            <v>D</v>
          </cell>
          <cell r="L1803" t="e">
            <v>#N/A</v>
          </cell>
        </row>
        <row r="1804">
          <cell r="A1804">
            <v>54179</v>
          </cell>
          <cell r="B1804" t="str">
            <v>4.1.01.007.0010</v>
          </cell>
          <cell r="C1804" t="str">
            <v>PETROBRAS TERCEIROS</v>
          </cell>
          <cell r="D1804">
            <v>900</v>
          </cell>
          <cell r="E1804" t="str">
            <v>D</v>
          </cell>
          <cell r="G1804">
            <v>314.33999999999997</v>
          </cell>
          <cell r="H1804">
            <v>0</v>
          </cell>
          <cell r="I1804">
            <v>314.33999999999997</v>
          </cell>
          <cell r="J1804">
            <v>1214.3399999999999</v>
          </cell>
          <cell r="K1804" t="str">
            <v>D</v>
          </cell>
          <cell r="L1804" t="e">
            <v>#N/A</v>
          </cell>
        </row>
        <row r="1805">
          <cell r="A1805">
            <v>54180</v>
          </cell>
          <cell r="B1805" t="str">
            <v>4.1.01.007.0011</v>
          </cell>
          <cell r="C1805" t="str">
            <v>NOTRE DAME TERCEIROS</v>
          </cell>
          <cell r="D1805">
            <v>9031.4599999999991</v>
          </cell>
          <cell r="E1805" t="str">
            <v>D</v>
          </cell>
          <cell r="G1805">
            <v>3641.63</v>
          </cell>
          <cell r="H1805">
            <v>0</v>
          </cell>
          <cell r="I1805">
            <v>3641.63</v>
          </cell>
          <cell r="J1805">
            <v>12673.09</v>
          </cell>
          <cell r="K1805" t="str">
            <v>D</v>
          </cell>
          <cell r="L1805" t="e">
            <v>#N/A</v>
          </cell>
        </row>
        <row r="1806">
          <cell r="A1806">
            <v>54181</v>
          </cell>
          <cell r="B1806" t="str">
            <v>4.1.01.007.0012</v>
          </cell>
          <cell r="C1806" t="str">
            <v>AVAMP TERCEIROS</v>
          </cell>
          <cell r="D1806">
            <v>508.16</v>
          </cell>
          <cell r="E1806" t="str">
            <v>D</v>
          </cell>
          <cell r="G1806">
            <v>2871.79</v>
          </cell>
          <cell r="H1806">
            <v>0</v>
          </cell>
          <cell r="I1806">
            <v>2871.79</v>
          </cell>
          <cell r="J1806">
            <v>3379.95</v>
          </cell>
          <cell r="K1806" t="str">
            <v>D</v>
          </cell>
          <cell r="L1806" t="e">
            <v>#N/A</v>
          </cell>
        </row>
        <row r="1807">
          <cell r="A1807">
            <v>54182</v>
          </cell>
          <cell r="B1807" t="str">
            <v>4.1.01.007.0013</v>
          </cell>
          <cell r="C1807" t="str">
            <v>FUNDACAO CESP TERCEIROS</v>
          </cell>
          <cell r="D1807">
            <v>6.12</v>
          </cell>
          <cell r="E1807" t="str">
            <v>D</v>
          </cell>
          <cell r="G1807">
            <v>1059.18</v>
          </cell>
          <cell r="H1807">
            <v>0</v>
          </cell>
          <cell r="I1807">
            <v>1059.18</v>
          </cell>
          <cell r="J1807">
            <v>1065.3</v>
          </cell>
          <cell r="K1807" t="str">
            <v>D</v>
          </cell>
          <cell r="L1807" t="e">
            <v>#N/A</v>
          </cell>
        </row>
        <row r="1808">
          <cell r="A1808">
            <v>54183</v>
          </cell>
          <cell r="B1808" t="str">
            <v>4.1.01.007.0014</v>
          </cell>
          <cell r="C1808" t="str">
            <v>INTERMEDICA TERCEIROS</v>
          </cell>
          <cell r="D1808">
            <v>11985.86</v>
          </cell>
          <cell r="E1808" t="str">
            <v>D</v>
          </cell>
          <cell r="G1808">
            <v>3199.49</v>
          </cell>
          <cell r="H1808">
            <v>0</v>
          </cell>
          <cell r="I1808">
            <v>3199.49</v>
          </cell>
          <cell r="J1808">
            <v>15185.35</v>
          </cell>
          <cell r="K1808" t="str">
            <v>D</v>
          </cell>
          <cell r="L1808" t="e">
            <v>#N/A</v>
          </cell>
        </row>
        <row r="1809">
          <cell r="A1809">
            <v>54184</v>
          </cell>
          <cell r="B1809" t="str">
            <v>4.1.01.007.0015</v>
          </cell>
          <cell r="C1809" t="str">
            <v>SAUDE CAIXA TERCEIROS</v>
          </cell>
          <cell r="D1809">
            <v>1427.87</v>
          </cell>
          <cell r="E1809" t="str">
            <v>D</v>
          </cell>
          <cell r="G1809">
            <v>21.6</v>
          </cell>
          <cell r="H1809">
            <v>0</v>
          </cell>
          <cell r="I1809">
            <v>21.6</v>
          </cell>
          <cell r="J1809">
            <v>1449.47</v>
          </cell>
          <cell r="K1809" t="str">
            <v>D</v>
          </cell>
          <cell r="L1809" t="e">
            <v>#N/A</v>
          </cell>
        </row>
        <row r="1810">
          <cell r="A1810">
            <v>54185</v>
          </cell>
          <cell r="B1810" t="str">
            <v>4.1.01.007.0016</v>
          </cell>
          <cell r="C1810" t="str">
            <v>MARINHA TERCEIROS</v>
          </cell>
          <cell r="D1810">
            <v>5390.24</v>
          </cell>
          <cell r="E1810" t="str">
            <v>D</v>
          </cell>
          <cell r="G1810">
            <v>1854.41</v>
          </cell>
          <cell r="H1810">
            <v>0</v>
          </cell>
          <cell r="I1810">
            <v>1854.41</v>
          </cell>
          <cell r="J1810">
            <v>7244.65</v>
          </cell>
          <cell r="K1810" t="str">
            <v>D</v>
          </cell>
          <cell r="L1810" t="e">
            <v>#N/A</v>
          </cell>
        </row>
        <row r="1811">
          <cell r="A1811">
            <v>54186</v>
          </cell>
          <cell r="B1811" t="str">
            <v>4.1.01.007.0017</v>
          </cell>
          <cell r="C1811" t="str">
            <v>AMIL TERCEIROS</v>
          </cell>
          <cell r="D1811">
            <v>22820.080000000002</v>
          </cell>
          <cell r="E1811" t="str">
            <v>D</v>
          </cell>
          <cell r="G1811">
            <v>3554.91</v>
          </cell>
          <cell r="H1811">
            <v>0</v>
          </cell>
          <cell r="I1811">
            <v>3554.91</v>
          </cell>
          <cell r="J1811">
            <v>26374.99</v>
          </cell>
          <cell r="K1811" t="str">
            <v>D</v>
          </cell>
          <cell r="L1811" t="e">
            <v>#N/A</v>
          </cell>
        </row>
        <row r="1812">
          <cell r="A1812">
            <v>54187</v>
          </cell>
          <cell r="B1812" t="str">
            <v>4.1.01.007.0018</v>
          </cell>
          <cell r="C1812" t="str">
            <v>CABESP TERCEIROS</v>
          </cell>
          <cell r="D1812">
            <v>300</v>
          </cell>
          <cell r="E1812" t="str">
            <v>D</v>
          </cell>
          <cell r="G1812">
            <v>0</v>
          </cell>
          <cell r="H1812">
            <v>0</v>
          </cell>
          <cell r="I1812">
            <v>0</v>
          </cell>
          <cell r="J1812">
            <v>300</v>
          </cell>
          <cell r="K1812" t="str">
            <v>D</v>
          </cell>
          <cell r="L1812" t="e">
            <v>#N/A</v>
          </cell>
        </row>
        <row r="1813">
          <cell r="A1813">
            <v>54189</v>
          </cell>
          <cell r="B1813" t="str">
            <v>4.1.01.007.0020</v>
          </cell>
          <cell r="C1813" t="str">
            <v>FUSEX TERCEIROS</v>
          </cell>
          <cell r="D1813">
            <v>4930.7700000000004</v>
          </cell>
          <cell r="E1813" t="str">
            <v>D</v>
          </cell>
          <cell r="G1813">
            <v>5909.84</v>
          </cell>
          <cell r="H1813">
            <v>0</v>
          </cell>
          <cell r="I1813">
            <v>5909.84</v>
          </cell>
          <cell r="J1813">
            <v>10840.61</v>
          </cell>
          <cell r="K1813" t="str">
            <v>D</v>
          </cell>
          <cell r="L1813" t="e">
            <v>#N/A</v>
          </cell>
        </row>
        <row r="1814">
          <cell r="A1814">
            <v>54190</v>
          </cell>
          <cell r="B1814" t="str">
            <v>4.1.01.007.0021</v>
          </cell>
          <cell r="C1814" t="str">
            <v xml:space="preserve">COMANDO DA AERONAUTICA </v>
          </cell>
          <cell r="D1814">
            <v>380.92</v>
          </cell>
          <cell r="E1814" t="str">
            <v>D</v>
          </cell>
          <cell r="G1814">
            <v>213.13</v>
          </cell>
          <cell r="H1814">
            <v>0</v>
          </cell>
          <cell r="I1814">
            <v>213.13</v>
          </cell>
          <cell r="J1814">
            <v>594.04999999999995</v>
          </cell>
          <cell r="K1814" t="str">
            <v>D</v>
          </cell>
          <cell r="L1814" t="e">
            <v>#N/A</v>
          </cell>
        </row>
        <row r="1815">
          <cell r="A1815">
            <v>54191</v>
          </cell>
          <cell r="B1815" t="str">
            <v>4.1.01.007.0022</v>
          </cell>
          <cell r="C1815" t="str">
            <v xml:space="preserve">LIFE EMPRESARIAL </v>
          </cell>
          <cell r="D1815">
            <v>150</v>
          </cell>
          <cell r="E1815" t="str">
            <v>D</v>
          </cell>
          <cell r="G1815">
            <v>0</v>
          </cell>
          <cell r="H1815">
            <v>0</v>
          </cell>
          <cell r="I1815">
            <v>0</v>
          </cell>
          <cell r="J1815">
            <v>150</v>
          </cell>
          <cell r="K1815" t="str">
            <v>D</v>
          </cell>
          <cell r="L1815" t="e">
            <v>#N/A</v>
          </cell>
        </row>
        <row r="1816">
          <cell r="A1816">
            <v>54192</v>
          </cell>
          <cell r="B1816" t="str">
            <v>4.1.01.007.0023</v>
          </cell>
          <cell r="C1816" t="str">
            <v>SUS AIH TERCEIROS</v>
          </cell>
          <cell r="D1816">
            <v>44146.239999999998</v>
          </cell>
          <cell r="E1816" t="str">
            <v>D</v>
          </cell>
          <cell r="G1816">
            <v>27432.93</v>
          </cell>
          <cell r="H1816">
            <v>0</v>
          </cell>
          <cell r="I1816">
            <v>27432.93</v>
          </cell>
          <cell r="J1816">
            <v>71579.17</v>
          </cell>
          <cell r="K1816" t="str">
            <v>D</v>
          </cell>
          <cell r="L1816" t="e">
            <v>#N/A</v>
          </cell>
        </row>
        <row r="1817">
          <cell r="A1817">
            <v>54193</v>
          </cell>
          <cell r="B1817" t="str">
            <v>4.1.01.007.0024</v>
          </cell>
          <cell r="C1817" t="str">
            <v>UNIMED TERCEIROS</v>
          </cell>
          <cell r="D1817">
            <v>7911.92</v>
          </cell>
          <cell r="E1817" t="str">
            <v>D</v>
          </cell>
          <cell r="G1817">
            <v>13462.3</v>
          </cell>
          <cell r="H1817">
            <v>0</v>
          </cell>
          <cell r="I1817">
            <v>13462.3</v>
          </cell>
          <cell r="J1817">
            <v>21374.22</v>
          </cell>
          <cell r="K1817" t="str">
            <v>D</v>
          </cell>
          <cell r="L1817" t="e">
            <v>#N/A</v>
          </cell>
        </row>
        <row r="1818">
          <cell r="A1818">
            <v>54410</v>
          </cell>
          <cell r="B1818" t="str">
            <v>4.1.01.007.0028</v>
          </cell>
          <cell r="C1818" t="str">
            <v xml:space="preserve">ASSOCIACAO SANTA CASA </v>
          </cell>
          <cell r="D1818">
            <v>282432.59000000003</v>
          </cell>
          <cell r="E1818" t="str">
            <v>D</v>
          </cell>
          <cell r="G1818">
            <v>116142.93</v>
          </cell>
          <cell r="H1818">
            <v>0</v>
          </cell>
          <cell r="I1818">
            <v>116142.93</v>
          </cell>
          <cell r="J1818">
            <v>398575.52</v>
          </cell>
          <cell r="K1818" t="str">
            <v>D</v>
          </cell>
          <cell r="L1818" t="e">
            <v>#N/A</v>
          </cell>
        </row>
        <row r="1819">
          <cell r="A1819">
            <v>54447</v>
          </cell>
          <cell r="B1819" t="str">
            <v>4.1.01.007.0030</v>
          </cell>
          <cell r="C1819" t="str">
            <v>ABRANGE TERCEIROS</v>
          </cell>
          <cell r="D1819">
            <v>21.64</v>
          </cell>
          <cell r="E1819" t="str">
            <v>D</v>
          </cell>
          <cell r="G1819">
            <v>205.25</v>
          </cell>
          <cell r="H1819">
            <v>0</v>
          </cell>
          <cell r="I1819">
            <v>205.25</v>
          </cell>
          <cell r="J1819">
            <v>226.89</v>
          </cell>
          <cell r="K1819" t="str">
            <v>D</v>
          </cell>
          <cell r="L1819" t="e">
            <v>#N/A</v>
          </cell>
        </row>
        <row r="1820">
          <cell r="A1820">
            <v>54632</v>
          </cell>
          <cell r="B1820" t="str">
            <v>4.1.01.007.0032</v>
          </cell>
          <cell r="C1820" t="str">
            <v>ATIVIA TERCEIROS</v>
          </cell>
          <cell r="D1820">
            <v>17.079999999999998</v>
          </cell>
          <cell r="E1820" t="str">
            <v>D</v>
          </cell>
          <cell r="G1820">
            <v>0</v>
          </cell>
          <cell r="H1820">
            <v>0</v>
          </cell>
          <cell r="I1820">
            <v>0</v>
          </cell>
          <cell r="J1820">
            <v>17.079999999999998</v>
          </cell>
          <cell r="K1820" t="str">
            <v>D</v>
          </cell>
          <cell r="L1820" t="e">
            <v>#N/A</v>
          </cell>
        </row>
        <row r="1821">
          <cell r="A1821">
            <v>54633</v>
          </cell>
          <cell r="B1821" t="str">
            <v>4.1.01.007.0033</v>
          </cell>
          <cell r="C1821" t="str">
            <v xml:space="preserve">UNIMED INTERCAMBIO </v>
          </cell>
          <cell r="D1821">
            <v>3091.97</v>
          </cell>
          <cell r="E1821" t="str">
            <v>D</v>
          </cell>
          <cell r="G1821">
            <v>9346.34</v>
          </cell>
          <cell r="H1821">
            <v>0</v>
          </cell>
          <cell r="I1821">
            <v>9346.34</v>
          </cell>
          <cell r="J1821">
            <v>12438.31</v>
          </cell>
          <cell r="K1821" t="str">
            <v>D</v>
          </cell>
          <cell r="L1821" t="e">
            <v>#N/A</v>
          </cell>
        </row>
        <row r="1822">
          <cell r="A1822">
            <v>54634</v>
          </cell>
          <cell r="B1822" t="str">
            <v>4.1.01.007.0034</v>
          </cell>
          <cell r="C1822" t="str">
            <v>CARE PLUS TERCEIROS</v>
          </cell>
          <cell r="D1822">
            <v>150</v>
          </cell>
          <cell r="E1822" t="str">
            <v>D</v>
          </cell>
          <cell r="G1822">
            <v>0</v>
          </cell>
          <cell r="H1822">
            <v>0</v>
          </cell>
          <cell r="I1822">
            <v>0</v>
          </cell>
          <cell r="J1822">
            <v>150</v>
          </cell>
          <cell r="K1822" t="str">
            <v>D</v>
          </cell>
          <cell r="L1822" t="e">
            <v>#N/A</v>
          </cell>
        </row>
        <row r="1823">
          <cell r="A1823">
            <v>54906</v>
          </cell>
          <cell r="B1823" t="str">
            <v>4.1.01.007.0038</v>
          </cell>
          <cell r="C1823" t="str">
            <v>UNIMED FEDERAL TERCEIROS</v>
          </cell>
          <cell r="D1823">
            <v>0</v>
          </cell>
          <cell r="E1823" t="str">
            <v>D</v>
          </cell>
          <cell r="G1823">
            <v>472.24</v>
          </cell>
          <cell r="H1823">
            <v>0</v>
          </cell>
          <cell r="I1823">
            <v>472.24</v>
          </cell>
          <cell r="J1823">
            <v>472.24</v>
          </cell>
          <cell r="K1823" t="str">
            <v>D</v>
          </cell>
          <cell r="L1823" t="e">
            <v>#N/A</v>
          </cell>
        </row>
        <row r="1824">
          <cell r="A1824">
            <v>55010</v>
          </cell>
          <cell r="B1824" t="str">
            <v>4.1.01.007.0040</v>
          </cell>
          <cell r="C1824" t="str">
            <v xml:space="preserve">BRADESCO SAUDE </v>
          </cell>
          <cell r="D1824">
            <v>14201.51</v>
          </cell>
          <cell r="E1824" t="str">
            <v>D</v>
          </cell>
          <cell r="G1824">
            <v>4896.1400000000003</v>
          </cell>
          <cell r="H1824">
            <v>0</v>
          </cell>
          <cell r="I1824">
            <v>4896.1400000000003</v>
          </cell>
          <cell r="J1824">
            <v>19097.650000000001</v>
          </cell>
          <cell r="K1824" t="str">
            <v>D</v>
          </cell>
          <cell r="L1824" t="e">
            <v>#N/A</v>
          </cell>
        </row>
        <row r="1825">
          <cell r="A1825">
            <v>55257</v>
          </cell>
          <cell r="B1825" t="str">
            <v>4.1.01.007.0041</v>
          </cell>
          <cell r="C1825" t="str">
            <v>GO CARE TERCEIROS</v>
          </cell>
          <cell r="D1825">
            <v>5207.25</v>
          </cell>
          <cell r="E1825" t="str">
            <v>D</v>
          </cell>
          <cell r="G1825">
            <v>6072.83</v>
          </cell>
          <cell r="H1825">
            <v>0</v>
          </cell>
          <cell r="I1825">
            <v>6072.83</v>
          </cell>
          <cell r="J1825">
            <v>11280.08</v>
          </cell>
          <cell r="K1825" t="str">
            <v>D</v>
          </cell>
          <cell r="L1825" t="e">
            <v>#N/A</v>
          </cell>
        </row>
        <row r="1826">
          <cell r="A1826">
            <v>54128</v>
          </cell>
          <cell r="B1826" t="str">
            <v>4.1.01.008</v>
          </cell>
          <cell r="C1826" t="str">
            <v xml:space="preserve">SERVICOS MEDICOS </v>
          </cell>
          <cell r="D1826">
            <v>1325370.04</v>
          </cell>
          <cell r="E1826" t="str">
            <v>D</v>
          </cell>
          <cell r="G1826">
            <v>1390981.31</v>
          </cell>
          <cell r="H1826">
            <v>0</v>
          </cell>
          <cell r="I1826">
            <v>1390981.31</v>
          </cell>
          <cell r="J1826">
            <v>2716351.35</v>
          </cell>
          <cell r="K1826" t="str">
            <v>D</v>
          </cell>
          <cell r="L1826">
            <v>54128</v>
          </cell>
        </row>
        <row r="1827">
          <cell r="A1827">
            <v>54130</v>
          </cell>
          <cell r="B1827" t="str">
            <v>4.1.01.008.0002</v>
          </cell>
          <cell r="C1827" t="str">
            <v>ALIANZ SAUDE</v>
          </cell>
          <cell r="D1827">
            <v>98.54</v>
          </cell>
          <cell r="E1827" t="str">
            <v>D</v>
          </cell>
          <cell r="G1827">
            <v>0</v>
          </cell>
          <cell r="H1827">
            <v>0</v>
          </cell>
          <cell r="I1827">
            <v>0</v>
          </cell>
          <cell r="J1827">
            <v>98.54</v>
          </cell>
          <cell r="K1827" t="str">
            <v>D</v>
          </cell>
          <cell r="L1827" t="e">
            <v>#N/A</v>
          </cell>
        </row>
        <row r="1828">
          <cell r="A1828">
            <v>54131</v>
          </cell>
          <cell r="B1828" t="str">
            <v>4.1.01.008.0003</v>
          </cell>
          <cell r="C1828" t="str">
            <v>AMIL</v>
          </cell>
          <cell r="D1828">
            <v>28443.5</v>
          </cell>
          <cell r="E1828" t="str">
            <v>D</v>
          </cell>
          <cell r="G1828">
            <v>17453.29</v>
          </cell>
          <cell r="H1828">
            <v>0</v>
          </cell>
          <cell r="I1828">
            <v>17453.29</v>
          </cell>
          <cell r="J1828">
            <v>45896.79</v>
          </cell>
          <cell r="K1828" t="str">
            <v>D</v>
          </cell>
          <cell r="L1828" t="e">
            <v>#N/A</v>
          </cell>
        </row>
        <row r="1829">
          <cell r="A1829">
            <v>54132</v>
          </cell>
          <cell r="B1829" t="str">
            <v>4.1.01.008.0004</v>
          </cell>
          <cell r="C1829" t="str">
            <v>ASSOCIACAO SANTA CASA</v>
          </cell>
          <cell r="D1829">
            <v>441781.15</v>
          </cell>
          <cell r="E1829" t="str">
            <v>D</v>
          </cell>
          <cell r="G1829">
            <v>438425.78</v>
          </cell>
          <cell r="H1829">
            <v>0</v>
          </cell>
          <cell r="I1829">
            <v>438425.78</v>
          </cell>
          <cell r="J1829">
            <v>880206.93</v>
          </cell>
          <cell r="K1829" t="str">
            <v>D</v>
          </cell>
          <cell r="L1829" t="e">
            <v>#N/A</v>
          </cell>
        </row>
        <row r="1830">
          <cell r="A1830">
            <v>54133</v>
          </cell>
          <cell r="B1830" t="str">
            <v>4.1.01.008.0005</v>
          </cell>
          <cell r="C1830" t="str">
            <v>ATIVIA COOPERATIVA MEDICA</v>
          </cell>
          <cell r="D1830">
            <v>127.92</v>
          </cell>
          <cell r="E1830" t="str">
            <v>D</v>
          </cell>
          <cell r="G1830">
            <v>0</v>
          </cell>
          <cell r="H1830">
            <v>0</v>
          </cell>
          <cell r="I1830">
            <v>0</v>
          </cell>
          <cell r="J1830">
            <v>127.92</v>
          </cell>
          <cell r="K1830" t="str">
            <v>D</v>
          </cell>
          <cell r="L1830" t="e">
            <v>#N/A</v>
          </cell>
        </row>
        <row r="1831">
          <cell r="A1831">
            <v>54134</v>
          </cell>
          <cell r="B1831" t="str">
            <v>4.1.01.008.0006</v>
          </cell>
          <cell r="C1831" t="str">
            <v>AVAMP ASSOC.V.PARAIBANA</v>
          </cell>
          <cell r="D1831">
            <v>431.5</v>
          </cell>
          <cell r="E1831" t="str">
            <v>D</v>
          </cell>
          <cell r="G1831">
            <v>1711.2</v>
          </cell>
          <cell r="H1831">
            <v>0</v>
          </cell>
          <cell r="I1831">
            <v>1711.2</v>
          </cell>
          <cell r="J1831">
            <v>2142.6999999999998</v>
          </cell>
          <cell r="K1831" t="str">
            <v>D</v>
          </cell>
          <cell r="L1831" t="e">
            <v>#N/A</v>
          </cell>
        </row>
        <row r="1832">
          <cell r="A1832">
            <v>54135</v>
          </cell>
          <cell r="B1832" t="str">
            <v>4.1.01.008.0007</v>
          </cell>
          <cell r="C1832" t="str">
            <v>BRADESCO SEGUROS</v>
          </cell>
          <cell r="D1832">
            <v>21880.99</v>
          </cell>
          <cell r="E1832" t="str">
            <v>D</v>
          </cell>
          <cell r="G1832">
            <v>20053.39</v>
          </cell>
          <cell r="H1832">
            <v>0</v>
          </cell>
          <cell r="I1832">
            <v>20053.39</v>
          </cell>
          <cell r="J1832">
            <v>41934.379999999997</v>
          </cell>
          <cell r="K1832" t="str">
            <v>D</v>
          </cell>
          <cell r="L1832" t="e">
            <v>#N/A</v>
          </cell>
        </row>
        <row r="1833">
          <cell r="A1833">
            <v>54136</v>
          </cell>
          <cell r="B1833" t="str">
            <v>4.1.01.008.0008</v>
          </cell>
          <cell r="C1833" t="str">
            <v>CABESP CXA BENEF FUNC</v>
          </cell>
          <cell r="D1833">
            <v>210</v>
          </cell>
          <cell r="E1833" t="str">
            <v>D</v>
          </cell>
          <cell r="G1833">
            <v>210</v>
          </cell>
          <cell r="H1833">
            <v>0</v>
          </cell>
          <cell r="I1833">
            <v>210</v>
          </cell>
          <cell r="J1833">
            <v>420</v>
          </cell>
          <cell r="K1833" t="str">
            <v>D</v>
          </cell>
          <cell r="L1833" t="e">
            <v>#N/A</v>
          </cell>
        </row>
        <row r="1834">
          <cell r="A1834">
            <v>54137</v>
          </cell>
          <cell r="B1834" t="str">
            <v>4.1.01.008.0009</v>
          </cell>
          <cell r="C1834" t="str">
            <v>CARE PLUS MEDIC</v>
          </cell>
          <cell r="D1834">
            <v>240.67</v>
          </cell>
          <cell r="E1834" t="str">
            <v>D</v>
          </cell>
          <cell r="G1834">
            <v>171.34</v>
          </cell>
          <cell r="H1834">
            <v>0</v>
          </cell>
          <cell r="I1834">
            <v>171.34</v>
          </cell>
          <cell r="J1834">
            <v>412.01</v>
          </cell>
          <cell r="K1834" t="str">
            <v>D</v>
          </cell>
          <cell r="L1834" t="e">
            <v>#N/A</v>
          </cell>
        </row>
        <row r="1835">
          <cell r="A1835">
            <v>54138</v>
          </cell>
          <cell r="B1835" t="str">
            <v>4.1.01.008.0010</v>
          </cell>
          <cell r="C1835" t="str">
            <v>CASSI CXA ASSIST FUNC BCO</v>
          </cell>
          <cell r="D1835">
            <v>4223.87</v>
          </cell>
          <cell r="E1835" t="str">
            <v>D</v>
          </cell>
          <cell r="G1835">
            <v>6032.89</v>
          </cell>
          <cell r="H1835">
            <v>0</v>
          </cell>
          <cell r="I1835">
            <v>6032.89</v>
          </cell>
          <cell r="J1835">
            <v>10256.76</v>
          </cell>
          <cell r="K1835" t="str">
            <v>D</v>
          </cell>
          <cell r="L1835" t="e">
            <v>#N/A</v>
          </cell>
        </row>
        <row r="1836">
          <cell r="A1836">
            <v>54142</v>
          </cell>
          <cell r="B1836" t="str">
            <v>4.1.01.008.0014</v>
          </cell>
          <cell r="C1836" t="str">
            <v>FUSEX</v>
          </cell>
          <cell r="D1836">
            <v>24434.38</v>
          </cell>
          <cell r="E1836" t="str">
            <v>D</v>
          </cell>
          <cell r="G1836">
            <v>14131.92</v>
          </cell>
          <cell r="H1836">
            <v>0</v>
          </cell>
          <cell r="I1836">
            <v>14131.92</v>
          </cell>
          <cell r="J1836">
            <v>38566.300000000003</v>
          </cell>
          <cell r="K1836" t="str">
            <v>D</v>
          </cell>
          <cell r="L1836" t="e">
            <v>#N/A</v>
          </cell>
        </row>
        <row r="1837">
          <cell r="A1837">
            <v>54143</v>
          </cell>
          <cell r="B1837" t="str">
            <v>4.1.01.008.0015</v>
          </cell>
          <cell r="C1837" t="str">
            <v>COMANDO DA AERONAUTICA</v>
          </cell>
          <cell r="D1837">
            <v>4464.01</v>
          </cell>
          <cell r="E1837" t="str">
            <v>D</v>
          </cell>
          <cell r="G1837">
            <v>8254.24</v>
          </cell>
          <cell r="H1837">
            <v>0</v>
          </cell>
          <cell r="I1837">
            <v>8254.24</v>
          </cell>
          <cell r="J1837">
            <v>12718.25</v>
          </cell>
          <cell r="K1837" t="str">
            <v>D</v>
          </cell>
          <cell r="L1837" t="e">
            <v>#N/A</v>
          </cell>
        </row>
        <row r="1838">
          <cell r="A1838">
            <v>54144</v>
          </cell>
          <cell r="B1838" t="str">
            <v>4.1.01.008.0016</v>
          </cell>
          <cell r="C1838" t="str">
            <v>IAMSPE INSTIT DE ASSIST</v>
          </cell>
          <cell r="D1838">
            <v>205254.98</v>
          </cell>
          <cell r="E1838" t="str">
            <v>D</v>
          </cell>
          <cell r="G1838">
            <v>181332.76</v>
          </cell>
          <cell r="H1838">
            <v>0</v>
          </cell>
          <cell r="I1838">
            <v>181332.76</v>
          </cell>
          <cell r="J1838">
            <v>386587.74</v>
          </cell>
          <cell r="K1838" t="str">
            <v>D</v>
          </cell>
          <cell r="L1838" t="e">
            <v>#N/A</v>
          </cell>
        </row>
        <row r="1839">
          <cell r="A1839">
            <v>54145</v>
          </cell>
          <cell r="B1839" t="str">
            <v>4.1.01.008.0017</v>
          </cell>
          <cell r="C1839" t="str">
            <v>INTERMEDICA SISTEMAS</v>
          </cell>
          <cell r="D1839">
            <v>9068.18</v>
          </cell>
          <cell r="E1839" t="str">
            <v>D</v>
          </cell>
          <cell r="G1839">
            <v>16535.23</v>
          </cell>
          <cell r="H1839">
            <v>0</v>
          </cell>
          <cell r="I1839">
            <v>16535.23</v>
          </cell>
          <cell r="J1839">
            <v>25603.41</v>
          </cell>
          <cell r="K1839" t="str">
            <v>D</v>
          </cell>
          <cell r="L1839" t="e">
            <v>#N/A</v>
          </cell>
        </row>
        <row r="1840">
          <cell r="A1840">
            <v>54146</v>
          </cell>
          <cell r="B1840" t="str">
            <v>4.1.01.008.0018</v>
          </cell>
          <cell r="C1840" t="str">
            <v>LIFE EMPRESARIAL SAUDE</v>
          </cell>
          <cell r="D1840">
            <v>470.32</v>
          </cell>
          <cell r="E1840" t="str">
            <v>D</v>
          </cell>
          <cell r="G1840">
            <v>470.81</v>
          </cell>
          <cell r="H1840">
            <v>0</v>
          </cell>
          <cell r="I1840">
            <v>470.81</v>
          </cell>
          <cell r="J1840">
            <v>941.13</v>
          </cell>
          <cell r="K1840" t="str">
            <v>D</v>
          </cell>
          <cell r="L1840" t="e">
            <v>#N/A</v>
          </cell>
        </row>
        <row r="1841">
          <cell r="A1841">
            <v>54147</v>
          </cell>
          <cell r="B1841" t="str">
            <v>4.1.01.008.0019</v>
          </cell>
          <cell r="C1841" t="str">
            <v>COMANDO DA MARINHA</v>
          </cell>
          <cell r="D1841">
            <v>5552.5</v>
          </cell>
          <cell r="E1841" t="str">
            <v>D</v>
          </cell>
          <cell r="G1841">
            <v>3974.84</v>
          </cell>
          <cell r="H1841">
            <v>0</v>
          </cell>
          <cell r="I1841">
            <v>3974.84</v>
          </cell>
          <cell r="J1841">
            <v>9527.34</v>
          </cell>
          <cell r="K1841" t="str">
            <v>D</v>
          </cell>
          <cell r="L1841" t="e">
            <v>#N/A</v>
          </cell>
        </row>
        <row r="1842">
          <cell r="A1842">
            <v>54148</v>
          </cell>
          <cell r="B1842" t="str">
            <v>4.1.01.008.0020</v>
          </cell>
          <cell r="C1842" t="str">
            <v>MARITIMA</v>
          </cell>
          <cell r="D1842">
            <v>0</v>
          </cell>
          <cell r="E1842" t="str">
            <v>D</v>
          </cell>
          <cell r="G1842">
            <v>56</v>
          </cell>
          <cell r="H1842">
            <v>0</v>
          </cell>
          <cell r="I1842">
            <v>56</v>
          </cell>
          <cell r="J1842">
            <v>56</v>
          </cell>
          <cell r="K1842" t="str">
            <v>D</v>
          </cell>
          <cell r="L1842" t="e">
            <v>#N/A</v>
          </cell>
        </row>
        <row r="1843">
          <cell r="A1843">
            <v>54149</v>
          </cell>
          <cell r="B1843" t="str">
            <v>4.1.01.008.0021</v>
          </cell>
          <cell r="C1843" t="str">
            <v>MEDISERVICE</v>
          </cell>
          <cell r="D1843">
            <v>2198.5700000000002</v>
          </cell>
          <cell r="E1843" t="str">
            <v>D</v>
          </cell>
          <cell r="G1843">
            <v>1638.95</v>
          </cell>
          <cell r="H1843">
            <v>0</v>
          </cell>
          <cell r="I1843">
            <v>1638.95</v>
          </cell>
          <cell r="J1843">
            <v>3837.52</v>
          </cell>
          <cell r="K1843" t="str">
            <v>D</v>
          </cell>
          <cell r="L1843" t="e">
            <v>#N/A</v>
          </cell>
        </row>
        <row r="1844">
          <cell r="A1844">
            <v>54150</v>
          </cell>
          <cell r="B1844" t="str">
            <v>4.1.01.008.0022</v>
          </cell>
          <cell r="C1844" t="str">
            <v>NOTRE DAME</v>
          </cell>
          <cell r="D1844">
            <v>11647.2</v>
          </cell>
          <cell r="E1844" t="str">
            <v>D</v>
          </cell>
          <cell r="G1844">
            <v>9261.5</v>
          </cell>
          <cell r="H1844">
            <v>0</v>
          </cell>
          <cell r="I1844">
            <v>9261.5</v>
          </cell>
          <cell r="J1844">
            <v>20908.7</v>
          </cell>
          <cell r="K1844" t="str">
            <v>D</v>
          </cell>
          <cell r="L1844" t="e">
            <v>#N/A</v>
          </cell>
        </row>
        <row r="1845">
          <cell r="A1845">
            <v>54151</v>
          </cell>
          <cell r="B1845" t="str">
            <v>4.1.01.008.0023</v>
          </cell>
          <cell r="C1845" t="str">
            <v>PETROBRAS PETROLEO</v>
          </cell>
          <cell r="D1845">
            <v>963</v>
          </cell>
          <cell r="E1845" t="str">
            <v>D</v>
          </cell>
          <cell r="G1845">
            <v>1055.55</v>
          </cell>
          <cell r="H1845">
            <v>0</v>
          </cell>
          <cell r="I1845">
            <v>1055.55</v>
          </cell>
          <cell r="J1845">
            <v>2018.55</v>
          </cell>
          <cell r="K1845" t="str">
            <v>D</v>
          </cell>
          <cell r="L1845" t="e">
            <v>#N/A</v>
          </cell>
        </row>
        <row r="1846">
          <cell r="A1846">
            <v>54152</v>
          </cell>
          <cell r="B1846" t="str">
            <v>4.1.01.008.0024</v>
          </cell>
          <cell r="C1846" t="str">
            <v>PORTO SEGURO SAUDE SA</v>
          </cell>
          <cell r="D1846">
            <v>6711</v>
          </cell>
          <cell r="E1846" t="str">
            <v>D</v>
          </cell>
          <cell r="G1846">
            <v>5351.06</v>
          </cell>
          <cell r="H1846">
            <v>0</v>
          </cell>
          <cell r="I1846">
            <v>5351.06</v>
          </cell>
          <cell r="J1846">
            <v>12062.06</v>
          </cell>
          <cell r="K1846" t="str">
            <v>D</v>
          </cell>
          <cell r="L1846" t="e">
            <v>#N/A</v>
          </cell>
        </row>
        <row r="1847">
          <cell r="A1847">
            <v>54153</v>
          </cell>
          <cell r="B1847" t="str">
            <v>4.1.01.008.0025</v>
          </cell>
          <cell r="C1847" t="str">
            <v>PREFEITURA MUNICIPAL</v>
          </cell>
          <cell r="D1847">
            <v>50935</v>
          </cell>
          <cell r="E1847" t="str">
            <v>D</v>
          </cell>
          <cell r="G1847">
            <v>55308</v>
          </cell>
          <cell r="H1847">
            <v>0</v>
          </cell>
          <cell r="I1847">
            <v>55308</v>
          </cell>
          <cell r="J1847">
            <v>106243</v>
          </cell>
          <cell r="K1847" t="str">
            <v>D</v>
          </cell>
          <cell r="L1847" t="e">
            <v>#N/A</v>
          </cell>
        </row>
        <row r="1848">
          <cell r="A1848">
            <v>54154</v>
          </cell>
          <cell r="B1848" t="str">
            <v>4.1.01.008.0026</v>
          </cell>
          <cell r="C1848" t="str">
            <v>CAIXA ECONOMICA FEDERAL</v>
          </cell>
          <cell r="D1848">
            <v>1568.11</v>
          </cell>
          <cell r="E1848" t="str">
            <v>D</v>
          </cell>
          <cell r="G1848">
            <v>1035.1600000000001</v>
          </cell>
          <cell r="H1848">
            <v>0</v>
          </cell>
          <cell r="I1848">
            <v>1035.1600000000001</v>
          </cell>
          <cell r="J1848">
            <v>2603.27</v>
          </cell>
          <cell r="K1848" t="str">
            <v>D</v>
          </cell>
          <cell r="L1848" t="e">
            <v>#N/A</v>
          </cell>
        </row>
        <row r="1849">
          <cell r="A1849">
            <v>54155</v>
          </cell>
          <cell r="B1849" t="str">
            <v>4.1.01.008.0027</v>
          </cell>
          <cell r="C1849" t="str">
            <v>SPDM ASSOCIACAO PAULISTA</v>
          </cell>
          <cell r="D1849">
            <v>7290.08</v>
          </cell>
          <cell r="E1849" t="str">
            <v>D</v>
          </cell>
          <cell r="G1849">
            <v>8550</v>
          </cell>
          <cell r="H1849">
            <v>0</v>
          </cell>
          <cell r="I1849">
            <v>8550</v>
          </cell>
          <cell r="J1849">
            <v>15840.08</v>
          </cell>
          <cell r="K1849" t="str">
            <v>D</v>
          </cell>
          <cell r="L1849" t="e">
            <v>#N/A</v>
          </cell>
        </row>
        <row r="1850">
          <cell r="A1850">
            <v>54156</v>
          </cell>
          <cell r="B1850" t="str">
            <v>4.1.01.008.0028</v>
          </cell>
          <cell r="C1850" t="str">
            <v>CORREIO</v>
          </cell>
          <cell r="D1850">
            <v>3220.85</v>
          </cell>
          <cell r="E1850" t="str">
            <v>D</v>
          </cell>
          <cell r="G1850">
            <v>3030.96</v>
          </cell>
          <cell r="H1850">
            <v>0</v>
          </cell>
          <cell r="I1850">
            <v>3030.96</v>
          </cell>
          <cell r="J1850">
            <v>6251.81</v>
          </cell>
          <cell r="K1850" t="str">
            <v>D</v>
          </cell>
          <cell r="L1850" t="e">
            <v>#N/A</v>
          </cell>
        </row>
        <row r="1851">
          <cell r="A1851">
            <v>54157</v>
          </cell>
          <cell r="B1851" t="str">
            <v>4.1.01.008.0029</v>
          </cell>
          <cell r="C1851" t="str">
            <v>SUS AMBULATORIO</v>
          </cell>
          <cell r="D1851">
            <v>69761.98</v>
          </cell>
          <cell r="E1851" t="str">
            <v>D</v>
          </cell>
          <cell r="G1851">
            <v>135571.46</v>
          </cell>
          <cell r="H1851">
            <v>0</v>
          </cell>
          <cell r="I1851">
            <v>135571.46</v>
          </cell>
          <cell r="J1851">
            <v>205333.44</v>
          </cell>
          <cell r="K1851" t="str">
            <v>D</v>
          </cell>
          <cell r="L1851" t="e">
            <v>#N/A</v>
          </cell>
        </row>
        <row r="1852">
          <cell r="A1852">
            <v>54159</v>
          </cell>
          <cell r="B1852" t="str">
            <v>4.1.01.008.0031</v>
          </cell>
          <cell r="C1852" t="str">
            <v>SUL AMERICA</v>
          </cell>
          <cell r="D1852">
            <v>27875.33</v>
          </cell>
          <cell r="E1852" t="str">
            <v>D</v>
          </cell>
          <cell r="G1852">
            <v>71206.350000000006</v>
          </cell>
          <cell r="H1852">
            <v>0</v>
          </cell>
          <cell r="I1852">
            <v>71206.350000000006</v>
          </cell>
          <cell r="J1852">
            <v>99081.68</v>
          </cell>
          <cell r="K1852" t="str">
            <v>D</v>
          </cell>
          <cell r="L1852" t="e">
            <v>#N/A</v>
          </cell>
        </row>
        <row r="1853">
          <cell r="A1853">
            <v>54160</v>
          </cell>
          <cell r="B1853" t="str">
            <v>4.1.01.008.0032</v>
          </cell>
          <cell r="C1853" t="str">
            <v>UNIMED</v>
          </cell>
          <cell r="D1853">
            <v>14427.56</v>
          </cell>
          <cell r="E1853" t="str">
            <v>D</v>
          </cell>
          <cell r="G1853">
            <v>33215.01</v>
          </cell>
          <cell r="H1853">
            <v>0</v>
          </cell>
          <cell r="I1853">
            <v>33215.01</v>
          </cell>
          <cell r="J1853">
            <v>47642.57</v>
          </cell>
          <cell r="K1853" t="str">
            <v>D</v>
          </cell>
          <cell r="L1853" t="e">
            <v>#N/A</v>
          </cell>
        </row>
        <row r="1854">
          <cell r="A1854">
            <v>54161</v>
          </cell>
          <cell r="B1854" t="str">
            <v>4.1.01.008.0033</v>
          </cell>
          <cell r="C1854" t="str">
            <v>UNIMED INTERCAMBIO</v>
          </cell>
          <cell r="D1854">
            <v>5393.76</v>
          </cell>
          <cell r="E1854" t="str">
            <v>D</v>
          </cell>
          <cell r="G1854">
            <v>7046.36</v>
          </cell>
          <cell r="H1854">
            <v>0</v>
          </cell>
          <cell r="I1854">
            <v>7046.36</v>
          </cell>
          <cell r="J1854">
            <v>12440.12</v>
          </cell>
          <cell r="K1854" t="str">
            <v>D</v>
          </cell>
          <cell r="L1854" t="e">
            <v>#N/A</v>
          </cell>
        </row>
        <row r="1855">
          <cell r="A1855">
            <v>54163</v>
          </cell>
          <cell r="B1855" t="str">
            <v>4.1.01.008.0034</v>
          </cell>
          <cell r="C1855" t="str">
            <v>SUS AIH</v>
          </cell>
          <cell r="D1855">
            <v>289453.90000000002</v>
          </cell>
          <cell r="E1855" t="str">
            <v>D</v>
          </cell>
          <cell r="G1855">
            <v>263230.99</v>
          </cell>
          <cell r="H1855">
            <v>0</v>
          </cell>
          <cell r="I1855">
            <v>263230.99</v>
          </cell>
          <cell r="J1855">
            <v>552684.89</v>
          </cell>
          <cell r="K1855" t="str">
            <v>D</v>
          </cell>
          <cell r="L1855" t="e">
            <v>#N/A</v>
          </cell>
        </row>
        <row r="1856">
          <cell r="A1856">
            <v>54196</v>
          </cell>
          <cell r="B1856" t="str">
            <v>4.1.01.008.0035</v>
          </cell>
          <cell r="C1856" t="str">
            <v>FUNDACAO CESP</v>
          </cell>
          <cell r="D1856">
            <v>605.62</v>
          </cell>
          <cell r="E1856" t="str">
            <v>D</v>
          </cell>
          <cell r="G1856">
            <v>1020.12</v>
          </cell>
          <cell r="H1856">
            <v>0</v>
          </cell>
          <cell r="I1856">
            <v>1020.12</v>
          </cell>
          <cell r="J1856">
            <v>1625.74</v>
          </cell>
          <cell r="K1856" t="str">
            <v>D</v>
          </cell>
          <cell r="L1856" t="e">
            <v>#N/A</v>
          </cell>
        </row>
        <row r="1857">
          <cell r="A1857">
            <v>54197</v>
          </cell>
          <cell r="B1857" t="str">
            <v>4.1.01.008.0036</v>
          </cell>
          <cell r="C1857" t="str">
            <v>AFRESP</v>
          </cell>
          <cell r="D1857">
            <v>427.5</v>
          </cell>
          <cell r="E1857" t="str">
            <v>D</v>
          </cell>
          <cell r="G1857">
            <v>52.5</v>
          </cell>
          <cell r="H1857">
            <v>0</v>
          </cell>
          <cell r="I1857">
            <v>52.5</v>
          </cell>
          <cell r="J1857">
            <v>480</v>
          </cell>
          <cell r="K1857" t="str">
            <v>D</v>
          </cell>
          <cell r="L1857" t="e">
            <v>#N/A</v>
          </cell>
        </row>
        <row r="1858">
          <cell r="A1858">
            <v>54736</v>
          </cell>
          <cell r="B1858" t="str">
            <v>4.1.01.008.0041</v>
          </cell>
          <cell r="C1858" t="str">
            <v>IAMSPE CLINICA</v>
          </cell>
          <cell r="D1858">
            <v>66976.320000000007</v>
          </cell>
          <cell r="E1858" t="str">
            <v>D</v>
          </cell>
          <cell r="G1858">
            <v>63819.56</v>
          </cell>
          <cell r="H1858">
            <v>0</v>
          </cell>
          <cell r="I1858">
            <v>63819.56</v>
          </cell>
          <cell r="J1858">
            <v>130795.88</v>
          </cell>
          <cell r="K1858" t="str">
            <v>D</v>
          </cell>
          <cell r="L1858" t="e">
            <v>#N/A</v>
          </cell>
        </row>
        <row r="1859">
          <cell r="A1859">
            <v>54907</v>
          </cell>
          <cell r="B1859" t="str">
            <v>4.1.01.008.0044</v>
          </cell>
          <cell r="C1859" t="str">
            <v>UNIMED FEDERAL</v>
          </cell>
          <cell r="D1859">
            <v>0</v>
          </cell>
          <cell r="E1859" t="str">
            <v>D</v>
          </cell>
          <cell r="G1859">
            <v>1209</v>
          </cell>
          <cell r="H1859">
            <v>0</v>
          </cell>
          <cell r="I1859">
            <v>1209</v>
          </cell>
          <cell r="J1859">
            <v>1209</v>
          </cell>
          <cell r="K1859" t="str">
            <v>D</v>
          </cell>
          <cell r="L1859" t="e">
            <v>#N/A</v>
          </cell>
        </row>
        <row r="1860">
          <cell r="A1860">
            <v>55011</v>
          </cell>
          <cell r="B1860" t="str">
            <v>4.1.01.008.0045</v>
          </cell>
          <cell r="C1860" t="str">
            <v>BRADESCO SAUDE</v>
          </cell>
          <cell r="D1860">
            <v>12230.34</v>
          </cell>
          <cell r="E1860" t="str">
            <v>D</v>
          </cell>
          <cell r="G1860">
            <v>15002.59</v>
          </cell>
          <cell r="H1860">
            <v>0</v>
          </cell>
          <cell r="I1860">
            <v>15002.59</v>
          </cell>
          <cell r="J1860">
            <v>27232.93</v>
          </cell>
          <cell r="K1860" t="str">
            <v>D</v>
          </cell>
          <cell r="L1860" t="e">
            <v>#N/A</v>
          </cell>
        </row>
        <row r="1861">
          <cell r="A1861">
            <v>55173</v>
          </cell>
          <cell r="B1861" t="str">
            <v>4.1.01.008.0046</v>
          </cell>
          <cell r="C1861" t="str">
            <v>GO CARE</v>
          </cell>
          <cell r="D1861">
            <v>7001.41</v>
          </cell>
          <cell r="E1861" t="str">
            <v>D</v>
          </cell>
          <cell r="G1861">
            <v>5562.5</v>
          </cell>
          <cell r="H1861">
            <v>0</v>
          </cell>
          <cell r="I1861">
            <v>5562.5</v>
          </cell>
          <cell r="J1861">
            <v>12563.91</v>
          </cell>
          <cell r="K1861" t="str">
            <v>D</v>
          </cell>
          <cell r="L1861" t="e">
            <v>#N/A</v>
          </cell>
        </row>
        <row r="1862">
          <cell r="A1862">
            <v>10789</v>
          </cell>
          <cell r="B1862" t="str">
            <v>4.1.01.010</v>
          </cell>
          <cell r="C1862" t="str">
            <v xml:space="preserve"> SERVICOS  MEDICOS</v>
          </cell>
          <cell r="D1862">
            <v>3380129.22</v>
          </cell>
          <cell r="E1862" t="str">
            <v>D</v>
          </cell>
          <cell r="G1862">
            <v>3342883.61</v>
          </cell>
          <cell r="H1862">
            <v>1500</v>
          </cell>
          <cell r="I1862">
            <v>3341383.61</v>
          </cell>
          <cell r="J1862">
            <v>6721512.8300000001</v>
          </cell>
          <cell r="K1862" t="str">
            <v>D</v>
          </cell>
          <cell r="L1862" t="e">
            <v>#N/A</v>
          </cell>
        </row>
        <row r="1863">
          <cell r="A1863">
            <v>51288</v>
          </cell>
          <cell r="B1863" t="str">
            <v>4.1.01.010.0001</v>
          </cell>
          <cell r="C1863" t="str">
            <v>DESPESAS AMBULATORIAIS</v>
          </cell>
          <cell r="D1863">
            <v>697593.25</v>
          </cell>
          <cell r="E1863" t="str">
            <v>D</v>
          </cell>
          <cell r="G1863">
            <v>696916.56</v>
          </cell>
          <cell r="H1863">
            <v>0</v>
          </cell>
          <cell r="I1863">
            <v>696916.56</v>
          </cell>
          <cell r="J1863">
            <v>1394509.81</v>
          </cell>
          <cell r="K1863" t="str">
            <v>D</v>
          </cell>
          <cell r="L1863">
            <v>51288</v>
          </cell>
        </row>
        <row r="1864">
          <cell r="A1864">
            <v>51761</v>
          </cell>
          <cell r="B1864" t="str">
            <v>4.1.01.010.0002</v>
          </cell>
          <cell r="C1864" t="str">
            <v xml:space="preserve">DESPESAS DE </v>
          </cell>
          <cell r="D1864">
            <v>19228</v>
          </cell>
          <cell r="E1864" t="str">
            <v>D</v>
          </cell>
          <cell r="G1864">
            <v>8176</v>
          </cell>
          <cell r="H1864">
            <v>0</v>
          </cell>
          <cell r="I1864">
            <v>8176</v>
          </cell>
          <cell r="J1864">
            <v>27404</v>
          </cell>
          <cell r="K1864" t="str">
            <v>D</v>
          </cell>
          <cell r="L1864">
            <v>51761</v>
          </cell>
        </row>
        <row r="1865">
          <cell r="A1865">
            <v>51014</v>
          </cell>
          <cell r="B1865" t="str">
            <v>4.1.01.010.0003</v>
          </cell>
          <cell r="C1865" t="str">
            <v>PLANTAO DISPONIBILIDADE</v>
          </cell>
          <cell r="D1865">
            <v>228743</v>
          </cell>
          <cell r="E1865" t="str">
            <v>D</v>
          </cell>
          <cell r="G1865">
            <v>232684.29</v>
          </cell>
          <cell r="H1865">
            <v>0</v>
          </cell>
          <cell r="I1865">
            <v>232684.29</v>
          </cell>
          <cell r="J1865">
            <v>461427.29</v>
          </cell>
          <cell r="K1865" t="str">
            <v>D</v>
          </cell>
          <cell r="L1865">
            <v>51014</v>
          </cell>
        </row>
        <row r="1866">
          <cell r="A1866">
            <v>51019</v>
          </cell>
          <cell r="B1866" t="str">
            <v>4.1.01.010.0004</v>
          </cell>
          <cell r="C1866" t="str">
            <v>PLANTAO INTERNISTAS</v>
          </cell>
          <cell r="D1866">
            <v>151550.39999999999</v>
          </cell>
          <cell r="E1866" t="str">
            <v>D</v>
          </cell>
          <cell r="G1866">
            <v>162571.20000000001</v>
          </cell>
          <cell r="H1866">
            <v>0</v>
          </cell>
          <cell r="I1866">
            <v>162571.20000000001</v>
          </cell>
          <cell r="J1866">
            <v>314121.59999999998</v>
          </cell>
          <cell r="K1866" t="str">
            <v>D</v>
          </cell>
          <cell r="L1866">
            <v>51019</v>
          </cell>
        </row>
        <row r="1867">
          <cell r="A1867">
            <v>51020</v>
          </cell>
          <cell r="B1867" t="str">
            <v>4.1.01.010.0005</v>
          </cell>
          <cell r="C1867" t="str">
            <v>PLANTAO MATERNIDADE</v>
          </cell>
          <cell r="D1867">
            <v>129460</v>
          </cell>
          <cell r="E1867" t="str">
            <v>D</v>
          </cell>
          <cell r="G1867">
            <v>157192</v>
          </cell>
          <cell r="H1867">
            <v>0</v>
          </cell>
          <cell r="I1867">
            <v>157192</v>
          </cell>
          <cell r="J1867">
            <v>286652</v>
          </cell>
          <cell r="K1867" t="str">
            <v>D</v>
          </cell>
          <cell r="L1867">
            <v>51020</v>
          </cell>
        </row>
        <row r="1868">
          <cell r="A1868">
            <v>25044</v>
          </cell>
          <cell r="B1868" t="str">
            <v>4.1.01.010.0006</v>
          </cell>
          <cell r="C1868" t="str">
            <v xml:space="preserve">PLANTAO ORTOPEDIA </v>
          </cell>
          <cell r="D1868">
            <v>89452.96</v>
          </cell>
          <cell r="E1868" t="str">
            <v>D</v>
          </cell>
          <cell r="G1868">
            <v>79061.919999999998</v>
          </cell>
          <cell r="H1868">
            <v>0</v>
          </cell>
          <cell r="I1868">
            <v>79061.919999999998</v>
          </cell>
          <cell r="J1868">
            <v>168514.88</v>
          </cell>
          <cell r="K1868" t="str">
            <v>D</v>
          </cell>
          <cell r="L1868">
            <v>25044</v>
          </cell>
        </row>
        <row r="1869">
          <cell r="A1869">
            <v>51012</v>
          </cell>
          <cell r="B1869" t="str">
            <v>4.1.01.010.0007</v>
          </cell>
          <cell r="C1869" t="str">
            <v>PLANTAO PA</v>
          </cell>
          <cell r="D1869">
            <v>498537.6</v>
          </cell>
          <cell r="E1869" t="str">
            <v>D</v>
          </cell>
          <cell r="G1869">
            <v>389288</v>
          </cell>
          <cell r="H1869">
            <v>0</v>
          </cell>
          <cell r="I1869">
            <v>389288</v>
          </cell>
          <cell r="J1869">
            <v>887825.6</v>
          </cell>
          <cell r="K1869" t="str">
            <v>D</v>
          </cell>
          <cell r="L1869">
            <v>51012</v>
          </cell>
        </row>
        <row r="1870">
          <cell r="A1870">
            <v>51010</v>
          </cell>
          <cell r="B1870" t="str">
            <v>4.1.01.010.0008</v>
          </cell>
          <cell r="C1870" t="str">
            <v>PLANTAO PEDIATRIA</v>
          </cell>
          <cell r="D1870">
            <v>191990</v>
          </cell>
          <cell r="E1870" t="str">
            <v>D</v>
          </cell>
          <cell r="G1870">
            <v>170062</v>
          </cell>
          <cell r="H1870">
            <v>0</v>
          </cell>
          <cell r="I1870">
            <v>170062</v>
          </cell>
          <cell r="J1870">
            <v>362052</v>
          </cell>
          <cell r="K1870" t="str">
            <v>D</v>
          </cell>
          <cell r="L1870">
            <v>51010</v>
          </cell>
        </row>
        <row r="1871">
          <cell r="A1871">
            <v>51011</v>
          </cell>
          <cell r="B1871" t="str">
            <v>4.1.01.010.0009</v>
          </cell>
          <cell r="C1871" t="str">
            <v>PLANTAO UTI NEO</v>
          </cell>
          <cell r="D1871">
            <v>297230</v>
          </cell>
          <cell r="E1871" t="str">
            <v>D</v>
          </cell>
          <cell r="G1871">
            <v>291294</v>
          </cell>
          <cell r="H1871">
            <v>0</v>
          </cell>
          <cell r="I1871">
            <v>291294</v>
          </cell>
          <cell r="J1871">
            <v>588524</v>
          </cell>
          <cell r="K1871" t="str">
            <v>D</v>
          </cell>
          <cell r="L1871">
            <v>51011</v>
          </cell>
        </row>
        <row r="1872">
          <cell r="A1872">
            <v>12202</v>
          </cell>
          <cell r="B1872" t="str">
            <v>4.1.01.010.0011</v>
          </cell>
          <cell r="C1872" t="str">
            <v xml:space="preserve">SERV PREST UNIDADE </v>
          </cell>
          <cell r="D1872">
            <v>116815.16</v>
          </cell>
          <cell r="E1872" t="str">
            <v>D</v>
          </cell>
          <cell r="G1872">
            <v>104159.2</v>
          </cell>
          <cell r="H1872">
            <v>0</v>
          </cell>
          <cell r="I1872">
            <v>104159.2</v>
          </cell>
          <cell r="J1872">
            <v>220974.36</v>
          </cell>
          <cell r="K1872" t="str">
            <v>D</v>
          </cell>
          <cell r="L1872">
            <v>12202</v>
          </cell>
        </row>
        <row r="1873">
          <cell r="A1873">
            <v>51819</v>
          </cell>
          <cell r="B1873" t="str">
            <v>4.1.01.010.0012</v>
          </cell>
          <cell r="C1873" t="str">
            <v>SERVICO DE DENSITOMETRIA</v>
          </cell>
          <cell r="D1873">
            <v>343.03</v>
          </cell>
          <cell r="E1873" t="str">
            <v>D</v>
          </cell>
          <cell r="G1873">
            <v>280.2</v>
          </cell>
          <cell r="H1873">
            <v>0</v>
          </cell>
          <cell r="I1873">
            <v>280.2</v>
          </cell>
          <cell r="J1873">
            <v>623.23</v>
          </cell>
          <cell r="K1873" t="str">
            <v>D</v>
          </cell>
          <cell r="L1873">
            <v>51819</v>
          </cell>
        </row>
        <row r="1874">
          <cell r="A1874">
            <v>51645</v>
          </cell>
          <cell r="B1874" t="str">
            <v>4.1.01.010.0013</v>
          </cell>
          <cell r="C1874" t="str">
            <v>SERVICOS DE IMAGEM</v>
          </cell>
          <cell r="D1874">
            <v>470</v>
          </cell>
          <cell r="E1874" t="str">
            <v>D</v>
          </cell>
          <cell r="G1874">
            <v>330</v>
          </cell>
          <cell r="H1874">
            <v>0</v>
          </cell>
          <cell r="I1874">
            <v>330</v>
          </cell>
          <cell r="J1874">
            <v>800</v>
          </cell>
          <cell r="K1874" t="str">
            <v>D</v>
          </cell>
          <cell r="L1874">
            <v>51645</v>
          </cell>
        </row>
        <row r="1875">
          <cell r="A1875">
            <v>51820</v>
          </cell>
          <cell r="B1875" t="str">
            <v>4.1.01.010.0014</v>
          </cell>
          <cell r="C1875" t="str">
            <v>SERVICOS DE MAMOGRAFIA</v>
          </cell>
          <cell r="D1875">
            <v>1033.1500000000001</v>
          </cell>
          <cell r="E1875" t="str">
            <v>D</v>
          </cell>
          <cell r="G1875">
            <v>970.32</v>
          </cell>
          <cell r="H1875">
            <v>0</v>
          </cell>
          <cell r="I1875">
            <v>970.32</v>
          </cell>
          <cell r="J1875">
            <v>2003.47</v>
          </cell>
          <cell r="K1875" t="str">
            <v>D</v>
          </cell>
          <cell r="L1875">
            <v>51820</v>
          </cell>
        </row>
        <row r="1876">
          <cell r="A1876">
            <v>51822</v>
          </cell>
          <cell r="B1876" t="str">
            <v>4.1.01.010.0015</v>
          </cell>
          <cell r="C1876" t="str">
            <v xml:space="preserve">SERVICOS DE </v>
          </cell>
          <cell r="D1876">
            <v>97153.46</v>
          </cell>
          <cell r="E1876" t="str">
            <v>D</v>
          </cell>
          <cell r="G1876">
            <v>95027.47</v>
          </cell>
          <cell r="H1876">
            <v>0</v>
          </cell>
          <cell r="I1876">
            <v>95027.47</v>
          </cell>
          <cell r="J1876">
            <v>192180.93</v>
          </cell>
          <cell r="K1876" t="str">
            <v>D</v>
          </cell>
          <cell r="L1876">
            <v>51822</v>
          </cell>
        </row>
        <row r="1877">
          <cell r="A1877">
            <v>51821</v>
          </cell>
          <cell r="B1877" t="str">
            <v>4.1.01.010.0016</v>
          </cell>
          <cell r="C1877" t="str">
            <v xml:space="preserve">SERVICOS MEDICINA </v>
          </cell>
          <cell r="D1877">
            <v>3349.62</v>
          </cell>
          <cell r="E1877" t="str">
            <v>D</v>
          </cell>
          <cell r="G1877">
            <v>3286.81</v>
          </cell>
          <cell r="H1877">
            <v>0</v>
          </cell>
          <cell r="I1877">
            <v>3286.81</v>
          </cell>
          <cell r="J1877">
            <v>6636.43</v>
          </cell>
          <cell r="K1877" t="str">
            <v>D</v>
          </cell>
          <cell r="L1877">
            <v>51821</v>
          </cell>
        </row>
        <row r="1878">
          <cell r="A1878">
            <v>12229</v>
          </cell>
          <cell r="B1878" t="str">
            <v>4.1.01.010.0017</v>
          </cell>
          <cell r="C1878" t="str">
            <v xml:space="preserve">SERVICOS PRESTADOS NA </v>
          </cell>
          <cell r="D1878">
            <v>427487.82</v>
          </cell>
          <cell r="E1878" t="str">
            <v>D</v>
          </cell>
          <cell r="G1878">
            <v>394312.23</v>
          </cell>
          <cell r="H1878">
            <v>1500</v>
          </cell>
          <cell r="I1878">
            <v>392812.23</v>
          </cell>
          <cell r="J1878">
            <v>820300.05</v>
          </cell>
          <cell r="K1878" t="str">
            <v>D</v>
          </cell>
          <cell r="L1878">
            <v>12229</v>
          </cell>
        </row>
        <row r="1879">
          <cell r="A1879">
            <v>12230</v>
          </cell>
          <cell r="B1879" t="str">
            <v>4.1.01.010.0018</v>
          </cell>
          <cell r="C1879" t="str">
            <v xml:space="preserve">SERVICOS RADIOLOGICOS </v>
          </cell>
          <cell r="D1879">
            <v>17152.29</v>
          </cell>
          <cell r="E1879" t="str">
            <v>D</v>
          </cell>
          <cell r="G1879">
            <v>18407.66</v>
          </cell>
          <cell r="H1879">
            <v>0</v>
          </cell>
          <cell r="I1879">
            <v>18407.66</v>
          </cell>
          <cell r="J1879">
            <v>35559.949999999997</v>
          </cell>
          <cell r="K1879" t="str">
            <v>D</v>
          </cell>
          <cell r="L1879">
            <v>12230</v>
          </cell>
        </row>
        <row r="1880">
          <cell r="A1880">
            <v>33765</v>
          </cell>
          <cell r="B1880" t="str">
            <v>4.1.01.010.0019</v>
          </cell>
          <cell r="C1880" t="str">
            <v xml:space="preserve">SERVICOS REMOCAO DE </v>
          </cell>
          <cell r="D1880">
            <v>400</v>
          </cell>
          <cell r="E1880" t="str">
            <v>D</v>
          </cell>
          <cell r="G1880">
            <v>0</v>
          </cell>
          <cell r="H1880">
            <v>0</v>
          </cell>
          <cell r="I1880">
            <v>0</v>
          </cell>
          <cell r="J1880">
            <v>400</v>
          </cell>
          <cell r="K1880" t="str">
            <v>D</v>
          </cell>
          <cell r="L1880">
            <v>33765</v>
          </cell>
        </row>
        <row r="1881">
          <cell r="A1881">
            <v>51013</v>
          </cell>
          <cell r="B1881" t="str">
            <v>4.1.01.010.0021</v>
          </cell>
          <cell r="C1881" t="str">
            <v>TRANSPLANTE DE FIGADO</v>
          </cell>
          <cell r="D1881">
            <v>7624.45</v>
          </cell>
          <cell r="E1881" t="str">
            <v>D</v>
          </cell>
          <cell r="G1881">
            <v>7024.45</v>
          </cell>
          <cell r="H1881">
            <v>0</v>
          </cell>
          <cell r="I1881">
            <v>7024.45</v>
          </cell>
          <cell r="J1881">
            <v>14648.9</v>
          </cell>
          <cell r="K1881" t="str">
            <v>D</v>
          </cell>
          <cell r="L1881">
            <v>51013</v>
          </cell>
        </row>
        <row r="1882">
          <cell r="A1882">
            <v>12204</v>
          </cell>
          <cell r="B1882" t="str">
            <v>4.1.01.010.0022</v>
          </cell>
          <cell r="C1882" t="str">
            <v xml:space="preserve">SERVICO DE EXAMES </v>
          </cell>
          <cell r="D1882">
            <v>2219.94</v>
          </cell>
          <cell r="E1882" t="str">
            <v>D</v>
          </cell>
          <cell r="G1882">
            <v>3168.27</v>
          </cell>
          <cell r="H1882">
            <v>0</v>
          </cell>
          <cell r="I1882">
            <v>3168.27</v>
          </cell>
          <cell r="J1882">
            <v>5388.21</v>
          </cell>
          <cell r="K1882" t="str">
            <v>D</v>
          </cell>
          <cell r="L1882">
            <v>12204</v>
          </cell>
        </row>
        <row r="1883">
          <cell r="A1883">
            <v>12207</v>
          </cell>
          <cell r="B1883" t="str">
            <v>4.1.01.010.0023</v>
          </cell>
          <cell r="C1883" t="str">
            <v xml:space="preserve">SERVICO DE RESSONANCIA </v>
          </cell>
          <cell r="D1883">
            <v>13263.65</v>
          </cell>
          <cell r="E1883" t="str">
            <v>D</v>
          </cell>
          <cell r="G1883">
            <v>11880.22</v>
          </cell>
          <cell r="H1883">
            <v>0</v>
          </cell>
          <cell r="I1883">
            <v>11880.22</v>
          </cell>
          <cell r="J1883">
            <v>25143.87</v>
          </cell>
          <cell r="K1883" t="str">
            <v>D</v>
          </cell>
          <cell r="L1883">
            <v>12207</v>
          </cell>
        </row>
        <row r="1884">
          <cell r="A1884">
            <v>12222</v>
          </cell>
          <cell r="B1884" t="str">
            <v>4.1.01.010.0024</v>
          </cell>
          <cell r="C1884" t="str">
            <v xml:space="preserve">SERVICOS REMOCAO DE </v>
          </cell>
          <cell r="D1884">
            <v>5085.51</v>
          </cell>
          <cell r="E1884" t="str">
            <v>D</v>
          </cell>
          <cell r="G1884">
            <v>1643.9</v>
          </cell>
          <cell r="H1884">
            <v>0</v>
          </cell>
          <cell r="I1884">
            <v>1643.9</v>
          </cell>
          <cell r="J1884">
            <v>6729.41</v>
          </cell>
          <cell r="K1884" t="str">
            <v>D</v>
          </cell>
          <cell r="L1884">
            <v>12222</v>
          </cell>
        </row>
        <row r="1885">
          <cell r="A1885">
            <v>12231</v>
          </cell>
          <cell r="B1885" t="str">
            <v>4.1.01.010.0027</v>
          </cell>
          <cell r="C1885" t="str">
            <v xml:space="preserve">SERVICOS TOMOGRAFIA  - </v>
          </cell>
          <cell r="D1885">
            <v>30790.04</v>
          </cell>
          <cell r="E1885" t="str">
            <v>D</v>
          </cell>
          <cell r="G1885">
            <v>53720.77</v>
          </cell>
          <cell r="H1885">
            <v>0</v>
          </cell>
          <cell r="I1885">
            <v>53720.77</v>
          </cell>
          <cell r="J1885">
            <v>84510.81</v>
          </cell>
          <cell r="K1885" t="str">
            <v>D</v>
          </cell>
          <cell r="L1885">
            <v>12231</v>
          </cell>
        </row>
        <row r="1886">
          <cell r="A1886">
            <v>52230</v>
          </cell>
          <cell r="B1886" t="str">
            <v>4.1.01.010.0028</v>
          </cell>
          <cell r="C1886" t="str">
            <v>SERVICOS DERMATOLOGICOS</v>
          </cell>
          <cell r="D1886">
            <v>69226</v>
          </cell>
          <cell r="E1886" t="str">
            <v>D</v>
          </cell>
          <cell r="G1886">
            <v>67552</v>
          </cell>
          <cell r="H1886">
            <v>0</v>
          </cell>
          <cell r="I1886">
            <v>67552</v>
          </cell>
          <cell r="J1886">
            <v>136778</v>
          </cell>
          <cell r="K1886" t="str">
            <v>D</v>
          </cell>
          <cell r="L1886">
            <v>52230</v>
          </cell>
        </row>
        <row r="1887">
          <cell r="A1887">
            <v>52563</v>
          </cell>
          <cell r="B1887" t="str">
            <v>4.1.01.010.0029</v>
          </cell>
          <cell r="C1887" t="str">
            <v xml:space="preserve">SERVICO DE  CIRURGIA </v>
          </cell>
          <cell r="D1887">
            <v>18126</v>
          </cell>
          <cell r="E1887" t="str">
            <v>D</v>
          </cell>
          <cell r="G1887">
            <v>17686</v>
          </cell>
          <cell r="H1887">
            <v>0</v>
          </cell>
          <cell r="I1887">
            <v>17686</v>
          </cell>
          <cell r="J1887">
            <v>35812</v>
          </cell>
          <cell r="K1887" t="str">
            <v>D</v>
          </cell>
          <cell r="L1887">
            <v>52563</v>
          </cell>
        </row>
        <row r="1888">
          <cell r="A1888">
            <v>51641</v>
          </cell>
          <cell r="B1888" t="str">
            <v>4.1.01.010.0030</v>
          </cell>
          <cell r="C1888" t="str">
            <v xml:space="preserve">SERVICOS MEDICOS </v>
          </cell>
          <cell r="D1888">
            <v>58315.74</v>
          </cell>
          <cell r="E1888" t="str">
            <v>D</v>
          </cell>
          <cell r="G1888">
            <v>105659.65</v>
          </cell>
          <cell r="H1888">
            <v>0</v>
          </cell>
          <cell r="I1888">
            <v>105659.65</v>
          </cell>
          <cell r="J1888">
            <v>163975.39000000001</v>
          </cell>
          <cell r="K1888" t="str">
            <v>D</v>
          </cell>
          <cell r="L1888">
            <v>51641</v>
          </cell>
        </row>
        <row r="1889">
          <cell r="A1889">
            <v>12889</v>
          </cell>
          <cell r="B1889" t="str">
            <v>4.1.01.010.0032</v>
          </cell>
          <cell r="C1889" t="str">
            <v xml:space="preserve">SERVICOS MEDICOS  </v>
          </cell>
          <cell r="D1889">
            <v>900</v>
          </cell>
          <cell r="E1889" t="str">
            <v>D</v>
          </cell>
          <cell r="G1889">
            <v>848.11</v>
          </cell>
          <cell r="H1889">
            <v>0</v>
          </cell>
          <cell r="I1889">
            <v>848.11</v>
          </cell>
          <cell r="J1889">
            <v>1748.11</v>
          </cell>
          <cell r="K1889" t="str">
            <v>D</v>
          </cell>
          <cell r="L1889">
            <v>12889</v>
          </cell>
        </row>
        <row r="1890">
          <cell r="A1890">
            <v>12193</v>
          </cell>
          <cell r="B1890" t="str">
            <v>4.1.01.010.0034</v>
          </cell>
          <cell r="C1890" t="str">
            <v xml:space="preserve">SERV DE </v>
          </cell>
          <cell r="D1890">
            <v>0</v>
          </cell>
          <cell r="E1890" t="str">
            <v>D</v>
          </cell>
          <cell r="G1890">
            <v>580</v>
          </cell>
          <cell r="H1890">
            <v>0</v>
          </cell>
          <cell r="I1890">
            <v>580</v>
          </cell>
          <cell r="J1890">
            <v>580</v>
          </cell>
          <cell r="K1890" t="str">
            <v>D</v>
          </cell>
          <cell r="L1890">
            <v>12193</v>
          </cell>
        </row>
        <row r="1891">
          <cell r="A1891">
            <v>53920</v>
          </cell>
          <cell r="B1891" t="str">
            <v>4.1.01.010.0037</v>
          </cell>
          <cell r="C1891" t="str">
            <v xml:space="preserve">SERVICOS DE CIRURGIA </v>
          </cell>
          <cell r="D1891">
            <v>11000</v>
          </cell>
          <cell r="E1891" t="str">
            <v>D</v>
          </cell>
          <cell r="G1891">
            <v>11000</v>
          </cell>
          <cell r="H1891">
            <v>0</v>
          </cell>
          <cell r="I1891">
            <v>11000</v>
          </cell>
          <cell r="J1891">
            <v>22000</v>
          </cell>
          <cell r="K1891" t="str">
            <v>D</v>
          </cell>
          <cell r="L1891">
            <v>53920</v>
          </cell>
        </row>
        <row r="1892">
          <cell r="A1892">
            <v>53921</v>
          </cell>
          <cell r="B1892" t="str">
            <v>4.1.01.010.0038</v>
          </cell>
          <cell r="C1892" t="str">
            <v xml:space="preserve">SERVICOS DE CIRURGIA </v>
          </cell>
          <cell r="D1892">
            <v>2000</v>
          </cell>
          <cell r="E1892" t="str">
            <v>D</v>
          </cell>
          <cell r="G1892">
            <v>16014</v>
          </cell>
          <cell r="H1892">
            <v>0</v>
          </cell>
          <cell r="I1892">
            <v>16014</v>
          </cell>
          <cell r="J1892">
            <v>18014</v>
          </cell>
          <cell r="K1892" t="str">
            <v>D</v>
          </cell>
          <cell r="L1892">
            <v>53921</v>
          </cell>
        </row>
        <row r="1893">
          <cell r="A1893">
            <v>54162</v>
          </cell>
          <cell r="B1893" t="str">
            <v>4.1.01.010.0041</v>
          </cell>
          <cell r="C1893" t="str">
            <v xml:space="preserve">SERVIÇOS DE </v>
          </cell>
          <cell r="D1893">
            <v>14376.18</v>
          </cell>
          <cell r="E1893" t="str">
            <v>D</v>
          </cell>
          <cell r="G1893">
            <v>25404.26</v>
          </cell>
          <cell r="H1893">
            <v>0</v>
          </cell>
          <cell r="I1893">
            <v>25404.26</v>
          </cell>
          <cell r="J1893">
            <v>39780.44</v>
          </cell>
          <cell r="K1893" t="str">
            <v>D</v>
          </cell>
          <cell r="L1893">
            <v>54162</v>
          </cell>
        </row>
        <row r="1894">
          <cell r="A1894">
            <v>54391</v>
          </cell>
          <cell r="B1894" t="str">
            <v>4.1.01.010.0042</v>
          </cell>
          <cell r="C1894" t="str">
            <v xml:space="preserve">SERVIÇOS DE RESIDENCIA </v>
          </cell>
          <cell r="D1894">
            <v>87956.96</v>
          </cell>
          <cell r="E1894" t="str">
            <v>D</v>
          </cell>
          <cell r="G1894">
            <v>90317.119999999995</v>
          </cell>
          <cell r="H1894">
            <v>0</v>
          </cell>
          <cell r="I1894">
            <v>90317.119999999995</v>
          </cell>
          <cell r="J1894">
            <v>178274.08</v>
          </cell>
          <cell r="K1894" t="str">
            <v>D</v>
          </cell>
          <cell r="L1894">
            <v>54391</v>
          </cell>
        </row>
        <row r="1895">
          <cell r="A1895">
            <v>54448</v>
          </cell>
          <cell r="B1895" t="str">
            <v>4.1.01.010.0043</v>
          </cell>
          <cell r="C1895" t="str">
            <v xml:space="preserve">SERVICOS ONCOLOGIA </v>
          </cell>
          <cell r="D1895">
            <v>5425</v>
          </cell>
          <cell r="E1895" t="str">
            <v>D</v>
          </cell>
          <cell r="G1895">
            <v>4025</v>
          </cell>
          <cell r="H1895">
            <v>0</v>
          </cell>
          <cell r="I1895">
            <v>4025</v>
          </cell>
          <cell r="J1895">
            <v>9450</v>
          </cell>
          <cell r="K1895" t="str">
            <v>D</v>
          </cell>
          <cell r="L1895">
            <v>54448</v>
          </cell>
        </row>
        <row r="1896">
          <cell r="A1896">
            <v>54956</v>
          </cell>
          <cell r="B1896" t="str">
            <v>4.1.01.010.0045</v>
          </cell>
          <cell r="C1896" t="str">
            <v xml:space="preserve">PLANTÃO INTERNISTAS - </v>
          </cell>
          <cell r="D1896">
            <v>10230</v>
          </cell>
          <cell r="E1896" t="str">
            <v>D</v>
          </cell>
          <cell r="G1896">
            <v>9240</v>
          </cell>
          <cell r="H1896">
            <v>0</v>
          </cell>
          <cell r="I1896">
            <v>9240</v>
          </cell>
          <cell r="J1896">
            <v>19470</v>
          </cell>
          <cell r="K1896" t="str">
            <v>D</v>
          </cell>
          <cell r="L1896">
            <v>54956</v>
          </cell>
        </row>
        <row r="1897">
          <cell r="A1897">
            <v>54957</v>
          </cell>
          <cell r="B1897" t="str">
            <v>4.1.01.010.0046</v>
          </cell>
          <cell r="C1897" t="str">
            <v>TRANSPLANTE DE RIM</v>
          </cell>
          <cell r="D1897">
            <v>6300.01</v>
          </cell>
          <cell r="E1897" t="str">
            <v>D</v>
          </cell>
          <cell r="G1897">
            <v>15900</v>
          </cell>
          <cell r="H1897">
            <v>0</v>
          </cell>
          <cell r="I1897">
            <v>15900</v>
          </cell>
          <cell r="J1897">
            <v>22200.01</v>
          </cell>
          <cell r="K1897" t="str">
            <v>D</v>
          </cell>
          <cell r="L1897">
            <v>54957</v>
          </cell>
        </row>
        <row r="1898">
          <cell r="A1898">
            <v>55229</v>
          </cell>
          <cell r="B1898" t="str">
            <v>4.1.01.010.0049</v>
          </cell>
          <cell r="C1898" t="str">
            <v xml:space="preserve">SERVIÇO DE INTERNATO </v>
          </cell>
          <cell r="D1898">
            <v>47520</v>
          </cell>
          <cell r="E1898" t="str">
            <v>D</v>
          </cell>
          <cell r="G1898">
            <v>92400</v>
          </cell>
          <cell r="H1898">
            <v>0</v>
          </cell>
          <cell r="I1898">
            <v>92400</v>
          </cell>
          <cell r="J1898">
            <v>139920</v>
          </cell>
          <cell r="K1898" t="str">
            <v>D</v>
          </cell>
          <cell r="L1898">
            <v>55229</v>
          </cell>
        </row>
        <row r="1899">
          <cell r="A1899">
            <v>55277</v>
          </cell>
          <cell r="B1899" t="str">
            <v>4.1.01.010.0050</v>
          </cell>
          <cell r="C1899" t="str">
            <v xml:space="preserve">SERVIÇOS CUIDADOS </v>
          </cell>
          <cell r="D1899">
            <v>21780</v>
          </cell>
          <cell r="E1899" t="str">
            <v>D</v>
          </cell>
          <cell r="G1899">
            <v>4800</v>
          </cell>
          <cell r="H1899">
            <v>0</v>
          </cell>
          <cell r="I1899">
            <v>4800</v>
          </cell>
          <cell r="J1899">
            <v>26580</v>
          </cell>
          <cell r="K1899" t="str">
            <v>D</v>
          </cell>
          <cell r="L1899">
            <v>55277</v>
          </cell>
        </row>
        <row r="1900">
          <cell r="A1900">
            <v>53069</v>
          </cell>
          <cell r="B1900" t="str">
            <v>4.1.01.011</v>
          </cell>
          <cell r="C1900" t="str">
            <v>SERVICOS DE TERCEIROS</v>
          </cell>
          <cell r="D1900">
            <v>933228.63</v>
          </cell>
          <cell r="E1900" t="str">
            <v>D</v>
          </cell>
          <cell r="G1900">
            <v>996334.38</v>
          </cell>
          <cell r="H1900">
            <v>48239.65</v>
          </cell>
          <cell r="I1900">
            <v>948094.73</v>
          </cell>
          <cell r="J1900">
            <v>1881323.36</v>
          </cell>
          <cell r="K1900" t="str">
            <v>D</v>
          </cell>
          <cell r="L1900" t="e">
            <v>#N/A</v>
          </cell>
        </row>
        <row r="1901">
          <cell r="A1901">
            <v>12899</v>
          </cell>
          <cell r="B1901" t="str">
            <v>4.1.01.011.0001</v>
          </cell>
          <cell r="C1901" t="str">
            <v xml:space="preserve">SERVICOS DE HEMODIALISE - </v>
          </cell>
          <cell r="D1901">
            <v>910465.19</v>
          </cell>
          <cell r="E1901" t="str">
            <v>D</v>
          </cell>
          <cell r="G1901">
            <v>949290.94</v>
          </cell>
          <cell r="H1901">
            <v>48239.65</v>
          </cell>
          <cell r="I1901">
            <v>901051.29</v>
          </cell>
          <cell r="J1901">
            <v>1811516.48</v>
          </cell>
          <cell r="K1901" t="str">
            <v>D</v>
          </cell>
          <cell r="L1901">
            <v>12899</v>
          </cell>
        </row>
        <row r="1902">
          <cell r="A1902">
            <v>12226</v>
          </cell>
          <cell r="B1902" t="str">
            <v>4.1.01.011.0002</v>
          </cell>
          <cell r="C1902" t="str">
            <v xml:space="preserve">SERVICOS LABORATORIAIS - </v>
          </cell>
          <cell r="D1902">
            <v>22763.439999999999</v>
          </cell>
          <cell r="E1902" t="str">
            <v>D</v>
          </cell>
          <cell r="G1902">
            <v>47043.44</v>
          </cell>
          <cell r="H1902">
            <v>0</v>
          </cell>
          <cell r="I1902">
            <v>47043.44</v>
          </cell>
          <cell r="J1902">
            <v>69806.880000000005</v>
          </cell>
          <cell r="K1902" t="str">
            <v>D</v>
          </cell>
          <cell r="L1902">
            <v>12226</v>
          </cell>
        </row>
        <row r="1903">
          <cell r="A1903">
            <v>38908</v>
          </cell>
          <cell r="B1903" t="str">
            <v>4.1.01.012</v>
          </cell>
          <cell r="C1903" t="str">
            <v xml:space="preserve">(-) RECUPERACAO DE </v>
          </cell>
          <cell r="D1903">
            <v>-80753.509999999995</v>
          </cell>
          <cell r="E1903" t="str">
            <v>C</v>
          </cell>
          <cell r="G1903">
            <v>0</v>
          </cell>
          <cell r="H1903">
            <v>80792.39</v>
          </cell>
          <cell r="I1903">
            <v>-80792.39</v>
          </cell>
          <cell r="J1903">
            <v>-161545.9</v>
          </cell>
          <cell r="K1903" t="str">
            <v>C</v>
          </cell>
          <cell r="L1903" t="e">
            <v>#N/A</v>
          </cell>
        </row>
        <row r="1904">
          <cell r="A1904">
            <v>33248</v>
          </cell>
          <cell r="B1904" t="str">
            <v>4.1.01.012.0003</v>
          </cell>
          <cell r="C1904" t="str">
            <v xml:space="preserve">(-)RECUPERACAO DE </v>
          </cell>
          <cell r="D1904">
            <v>-80753.509999999995</v>
          </cell>
          <cell r="E1904" t="str">
            <v>C</v>
          </cell>
          <cell r="G1904">
            <v>0</v>
          </cell>
          <cell r="H1904">
            <v>80792.39</v>
          </cell>
          <cell r="I1904">
            <v>-80792.39</v>
          </cell>
          <cell r="J1904">
            <v>-161545.9</v>
          </cell>
          <cell r="K1904" t="str">
            <v>C</v>
          </cell>
          <cell r="L1904">
            <v>33248</v>
          </cell>
        </row>
        <row r="1905">
          <cell r="A1905">
            <v>33261</v>
          </cell>
          <cell r="B1905" t="str">
            <v>4.1.01.013</v>
          </cell>
          <cell r="C1905" t="str">
            <v xml:space="preserve">PROVISOES PARA PERDAS </v>
          </cell>
          <cell r="D1905">
            <v>250000</v>
          </cell>
          <cell r="E1905" t="str">
            <v>D</v>
          </cell>
          <cell r="G1905">
            <v>0</v>
          </cell>
          <cell r="H1905">
            <v>0</v>
          </cell>
          <cell r="I1905">
            <v>0</v>
          </cell>
          <cell r="J1905">
            <v>250000</v>
          </cell>
          <cell r="K1905" t="str">
            <v>D</v>
          </cell>
          <cell r="L1905" t="e">
            <v>#N/A</v>
          </cell>
        </row>
        <row r="1906">
          <cell r="A1906">
            <v>33263</v>
          </cell>
          <cell r="B1906" t="str">
            <v>4.1.01.013.0001</v>
          </cell>
          <cell r="C1906" t="str">
            <v xml:space="preserve">PROVISOES PARA PERDAS </v>
          </cell>
          <cell r="D1906">
            <v>250000</v>
          </cell>
          <cell r="E1906" t="str">
            <v>D</v>
          </cell>
          <cell r="G1906">
            <v>0</v>
          </cell>
          <cell r="H1906">
            <v>0</v>
          </cell>
          <cell r="I1906">
            <v>0</v>
          </cell>
          <cell r="J1906">
            <v>250000</v>
          </cell>
          <cell r="K1906" t="str">
            <v>D</v>
          </cell>
          <cell r="L1906">
            <v>33263</v>
          </cell>
        </row>
        <row r="1907">
          <cell r="A1907">
            <v>54492</v>
          </cell>
          <cell r="B1907" t="str">
            <v>4.1.01.014</v>
          </cell>
          <cell r="C1907" t="str">
            <v>SERVICOS REPASSE</v>
          </cell>
          <cell r="D1907">
            <v>109191.06</v>
          </cell>
          <cell r="E1907" t="str">
            <v>D</v>
          </cell>
          <cell r="G1907">
            <v>73516.160000000003</v>
          </cell>
          <cell r="H1907">
            <v>0</v>
          </cell>
          <cell r="I1907">
            <v>73516.160000000003</v>
          </cell>
          <cell r="J1907">
            <v>182707.22</v>
          </cell>
          <cell r="K1907" t="str">
            <v>D</v>
          </cell>
          <cell r="L1907" t="e">
            <v>#N/A</v>
          </cell>
        </row>
        <row r="1908">
          <cell r="A1908">
            <v>54493</v>
          </cell>
          <cell r="B1908" t="str">
            <v>4.1.01.014.0001</v>
          </cell>
          <cell r="C1908" t="str">
            <v>SERVICOS REPASSE</v>
          </cell>
          <cell r="D1908">
            <v>109191.06</v>
          </cell>
          <cell r="E1908" t="str">
            <v>D</v>
          </cell>
          <cell r="G1908">
            <v>73516.160000000003</v>
          </cell>
          <cell r="H1908">
            <v>0</v>
          </cell>
          <cell r="I1908">
            <v>73516.160000000003</v>
          </cell>
          <cell r="J1908">
            <v>182707.22</v>
          </cell>
          <cell r="K1908" t="str">
            <v>D</v>
          </cell>
          <cell r="L1908">
            <v>54493</v>
          </cell>
        </row>
        <row r="1909">
          <cell r="A1909">
            <v>11281</v>
          </cell>
          <cell r="B1909" t="str">
            <v>4.1.01.020</v>
          </cell>
          <cell r="C1909" t="str">
            <v xml:space="preserve">SALARIOS </v>
          </cell>
          <cell r="D1909">
            <v>3983678.45</v>
          </cell>
          <cell r="E1909" t="str">
            <v>D</v>
          </cell>
          <cell r="G1909">
            <v>4418214.96</v>
          </cell>
          <cell r="H1909">
            <v>173454.42</v>
          </cell>
          <cell r="I1909">
            <v>4244760.54</v>
          </cell>
          <cell r="J1909">
            <v>8228438.9900000002</v>
          </cell>
          <cell r="K1909" t="str">
            <v>D</v>
          </cell>
          <cell r="L1909" t="e">
            <v>#N/A</v>
          </cell>
        </row>
        <row r="1910">
          <cell r="A1910">
            <v>11298</v>
          </cell>
          <cell r="B1910" t="str">
            <v>4.1.01.020.0001</v>
          </cell>
          <cell r="C1910" t="str">
            <v xml:space="preserve">SALARIOS E ORDENADOS </v>
          </cell>
          <cell r="D1910">
            <v>3470204.98</v>
          </cell>
          <cell r="E1910" t="str">
            <v>D</v>
          </cell>
          <cell r="G1910">
            <v>3860238.71</v>
          </cell>
          <cell r="H1910">
            <v>173454.42</v>
          </cell>
          <cell r="I1910">
            <v>3686784.29</v>
          </cell>
          <cell r="J1910">
            <v>7156989.2699999996</v>
          </cell>
          <cell r="K1910" t="str">
            <v>D</v>
          </cell>
          <cell r="L1910">
            <v>11298</v>
          </cell>
        </row>
        <row r="1911">
          <cell r="A1911">
            <v>11304</v>
          </cell>
          <cell r="B1911" t="str">
            <v>4.1.01.020.0002</v>
          </cell>
          <cell r="C1911" t="str">
            <v xml:space="preserve">SERVICOS EXTRAORDINARIOS </v>
          </cell>
          <cell r="D1911">
            <v>98624.86</v>
          </cell>
          <cell r="E1911" t="str">
            <v>D</v>
          </cell>
          <cell r="G1911">
            <v>88645.63</v>
          </cell>
          <cell r="H1911">
            <v>0</v>
          </cell>
          <cell r="I1911">
            <v>88645.63</v>
          </cell>
          <cell r="J1911">
            <v>187270.49</v>
          </cell>
          <cell r="K1911" t="str">
            <v>D</v>
          </cell>
          <cell r="L1911">
            <v>11304</v>
          </cell>
        </row>
        <row r="1912">
          <cell r="A1912">
            <v>11346</v>
          </cell>
          <cell r="B1912" t="str">
            <v>4.1.01.020.0003</v>
          </cell>
          <cell r="C1912" t="str">
            <v xml:space="preserve">ADICIONAL DE </v>
          </cell>
          <cell r="D1912">
            <v>373175.2</v>
          </cell>
          <cell r="E1912" t="str">
            <v>D</v>
          </cell>
          <cell r="G1912">
            <v>402918.96</v>
          </cell>
          <cell r="H1912">
            <v>0</v>
          </cell>
          <cell r="I1912">
            <v>402918.96</v>
          </cell>
          <cell r="J1912">
            <v>776094.16</v>
          </cell>
          <cell r="K1912" t="str">
            <v>D</v>
          </cell>
          <cell r="L1912">
            <v>11346</v>
          </cell>
        </row>
        <row r="1913">
          <cell r="A1913">
            <v>12276</v>
          </cell>
          <cell r="B1913" t="str">
            <v>4.1.01.020.0004</v>
          </cell>
          <cell r="C1913" t="str">
            <v xml:space="preserve">DESPESA COM ESTAGIARIOS </v>
          </cell>
          <cell r="D1913">
            <v>8633.67</v>
          </cell>
          <cell r="E1913" t="str">
            <v>D</v>
          </cell>
          <cell r="G1913">
            <v>1937.67</v>
          </cell>
          <cell r="H1913">
            <v>0</v>
          </cell>
          <cell r="I1913">
            <v>1937.67</v>
          </cell>
          <cell r="J1913">
            <v>10571.34</v>
          </cell>
          <cell r="K1913" t="str">
            <v>D</v>
          </cell>
          <cell r="L1913">
            <v>12276</v>
          </cell>
        </row>
        <row r="1914">
          <cell r="A1914">
            <v>53468</v>
          </cell>
          <cell r="B1914" t="str">
            <v>4.1.01.020.0005</v>
          </cell>
          <cell r="C1914" t="str">
            <v>MERITOCRACIA - PGR</v>
          </cell>
          <cell r="D1914">
            <v>350</v>
          </cell>
          <cell r="E1914" t="str">
            <v>D</v>
          </cell>
          <cell r="G1914">
            <v>53433.34</v>
          </cell>
          <cell r="H1914">
            <v>0</v>
          </cell>
          <cell r="I1914">
            <v>53433.34</v>
          </cell>
          <cell r="J1914">
            <v>53783.34</v>
          </cell>
          <cell r="K1914" t="str">
            <v>D</v>
          </cell>
          <cell r="L1914">
            <v>53468</v>
          </cell>
        </row>
        <row r="1915">
          <cell r="A1915">
            <v>53469</v>
          </cell>
          <cell r="B1915" t="str">
            <v>4.1.01.020.0006</v>
          </cell>
          <cell r="C1915" t="str">
            <v>GRATIFICAÇÕES</v>
          </cell>
          <cell r="D1915">
            <v>32689.74</v>
          </cell>
          <cell r="E1915" t="str">
            <v>D</v>
          </cell>
          <cell r="G1915">
            <v>11040.65</v>
          </cell>
          <cell r="H1915">
            <v>0</v>
          </cell>
          <cell r="I1915">
            <v>11040.65</v>
          </cell>
          <cell r="J1915">
            <v>43730.39</v>
          </cell>
          <cell r="K1915" t="str">
            <v>D</v>
          </cell>
          <cell r="L1915">
            <v>53469</v>
          </cell>
        </row>
        <row r="1916">
          <cell r="A1916">
            <v>11348</v>
          </cell>
          <cell r="B1916" t="str">
            <v>4.1.01.030</v>
          </cell>
          <cell r="C1916" t="str">
            <v>INDENIZACOES</v>
          </cell>
          <cell r="D1916">
            <v>42394.99</v>
          </cell>
          <cell r="E1916" t="str">
            <v>D</v>
          </cell>
          <cell r="G1916">
            <v>51832.99</v>
          </cell>
          <cell r="H1916">
            <v>0</v>
          </cell>
          <cell r="I1916">
            <v>51832.99</v>
          </cell>
          <cell r="J1916">
            <v>94227.98</v>
          </cell>
          <cell r="K1916" t="str">
            <v>D</v>
          </cell>
          <cell r="L1916">
            <v>11348</v>
          </cell>
        </row>
        <row r="1917">
          <cell r="A1917">
            <v>11369</v>
          </cell>
          <cell r="B1917" t="str">
            <v>4.1.01.030.0003</v>
          </cell>
          <cell r="C1917" t="str">
            <v xml:space="preserve">INDENIZACOES </v>
          </cell>
          <cell r="D1917">
            <v>42394.99</v>
          </cell>
          <cell r="E1917" t="str">
            <v>D</v>
          </cell>
          <cell r="G1917">
            <v>51832.99</v>
          </cell>
          <cell r="H1917">
            <v>0</v>
          </cell>
          <cell r="I1917">
            <v>51832.99</v>
          </cell>
          <cell r="J1917">
            <v>94227.98</v>
          </cell>
          <cell r="K1917" t="str">
            <v>D</v>
          </cell>
          <cell r="L1917" t="e">
            <v>#N/A</v>
          </cell>
        </row>
        <row r="1918">
          <cell r="A1918">
            <v>38487</v>
          </cell>
          <cell r="B1918" t="str">
            <v>4.1.01.040</v>
          </cell>
          <cell r="C1918" t="str">
            <v>13º SALARIOS/FERIAS</v>
          </cell>
          <cell r="D1918">
            <v>957724.13</v>
          </cell>
          <cell r="E1918" t="str">
            <v>D</v>
          </cell>
          <cell r="G1918">
            <v>896280.41</v>
          </cell>
          <cell r="H1918">
            <v>0</v>
          </cell>
          <cell r="I1918">
            <v>896280.41</v>
          </cell>
          <cell r="J1918">
            <v>1854004.54</v>
          </cell>
          <cell r="K1918" t="str">
            <v>D</v>
          </cell>
          <cell r="L1918" t="e">
            <v>#N/A</v>
          </cell>
        </row>
        <row r="1919">
          <cell r="A1919">
            <v>11316</v>
          </cell>
          <cell r="B1919" t="str">
            <v>4.1.01.040.0001</v>
          </cell>
          <cell r="C1919" t="str">
            <v>13º SALARIO</v>
          </cell>
          <cell r="D1919">
            <v>511340.58</v>
          </cell>
          <cell r="E1919" t="str">
            <v>D</v>
          </cell>
          <cell r="G1919">
            <v>408706.86</v>
          </cell>
          <cell r="H1919">
            <v>0</v>
          </cell>
          <cell r="I1919">
            <v>408706.86</v>
          </cell>
          <cell r="J1919">
            <v>920047.44</v>
          </cell>
          <cell r="K1919" t="str">
            <v>D</v>
          </cell>
          <cell r="L1919">
            <v>11316</v>
          </cell>
        </row>
        <row r="1920">
          <cell r="A1920">
            <v>11322</v>
          </cell>
          <cell r="B1920" t="str">
            <v>4.1.01.040.0002</v>
          </cell>
          <cell r="C1920" t="str">
            <v xml:space="preserve">FERIAS </v>
          </cell>
          <cell r="D1920">
            <v>446383.55</v>
          </cell>
          <cell r="E1920" t="str">
            <v>D</v>
          </cell>
          <cell r="G1920">
            <v>487573.55</v>
          </cell>
          <cell r="H1920">
            <v>0</v>
          </cell>
          <cell r="I1920">
            <v>487573.55</v>
          </cell>
          <cell r="J1920">
            <v>933957.1</v>
          </cell>
          <cell r="K1920" t="str">
            <v>D</v>
          </cell>
          <cell r="L1920">
            <v>11322</v>
          </cell>
        </row>
        <row r="1921">
          <cell r="A1921">
            <v>11377</v>
          </cell>
          <cell r="B1921" t="str">
            <v>4.1.01.050</v>
          </cell>
          <cell r="C1921" t="str">
            <v>ENCARGOS SOCIAIS</v>
          </cell>
          <cell r="D1921">
            <v>377724.5</v>
          </cell>
          <cell r="E1921" t="str">
            <v>D</v>
          </cell>
          <cell r="G1921">
            <v>438324.64</v>
          </cell>
          <cell r="H1921">
            <v>345.06</v>
          </cell>
          <cell r="I1921">
            <v>437979.58</v>
          </cell>
          <cell r="J1921">
            <v>815704.08</v>
          </cell>
          <cell r="K1921" t="str">
            <v>D</v>
          </cell>
          <cell r="L1921" t="e">
            <v>#N/A</v>
          </cell>
        </row>
        <row r="1922">
          <cell r="A1922">
            <v>11392</v>
          </cell>
          <cell r="B1922" t="str">
            <v>4.1.01.050.0002</v>
          </cell>
          <cell r="C1922" t="str">
            <v xml:space="preserve">FGTS </v>
          </cell>
          <cell r="D1922">
            <v>353235.24</v>
          </cell>
          <cell r="E1922" t="str">
            <v>D</v>
          </cell>
          <cell r="G1922">
            <v>365947.86</v>
          </cell>
          <cell r="H1922">
            <v>345.06</v>
          </cell>
          <cell r="I1922">
            <v>365602.8</v>
          </cell>
          <cell r="J1922">
            <v>718838.04</v>
          </cell>
          <cell r="K1922" t="str">
            <v>D</v>
          </cell>
          <cell r="L1922">
            <v>11392</v>
          </cell>
        </row>
        <row r="1923">
          <cell r="A1923">
            <v>36873</v>
          </cell>
          <cell r="B1923" t="str">
            <v>4.1.01.050.0003</v>
          </cell>
          <cell r="C1923" t="str">
            <v>FGTS - MULTA RESCISORIA</v>
          </cell>
          <cell r="D1923">
            <v>24489.26</v>
          </cell>
          <cell r="E1923" t="str">
            <v>D</v>
          </cell>
          <cell r="G1923">
            <v>72376.78</v>
          </cell>
          <cell r="H1923">
            <v>0</v>
          </cell>
          <cell r="I1923">
            <v>72376.78</v>
          </cell>
          <cell r="J1923">
            <v>96866.04</v>
          </cell>
          <cell r="K1923" t="str">
            <v>D</v>
          </cell>
          <cell r="L1923">
            <v>36873</v>
          </cell>
        </row>
        <row r="1924">
          <cell r="A1924">
            <v>11449</v>
          </cell>
          <cell r="B1924" t="str">
            <v>4.1.01.060</v>
          </cell>
          <cell r="C1924" t="str">
            <v>DESPESAS COM BENEFICIOS</v>
          </cell>
          <cell r="D1924">
            <v>603827.91</v>
          </cell>
          <cell r="E1924" t="str">
            <v>D</v>
          </cell>
          <cell r="G1924">
            <v>671080.27</v>
          </cell>
          <cell r="H1924">
            <v>16495.14</v>
          </cell>
          <cell r="I1924">
            <v>654585.13</v>
          </cell>
          <cell r="J1924">
            <v>1258413.04</v>
          </cell>
          <cell r="K1924" t="str">
            <v>D</v>
          </cell>
          <cell r="L1924" t="e">
            <v>#N/A</v>
          </cell>
        </row>
        <row r="1925">
          <cell r="A1925">
            <v>11470</v>
          </cell>
          <cell r="B1925" t="str">
            <v>4.1.01.060.0001</v>
          </cell>
          <cell r="C1925" t="str">
            <v xml:space="preserve">ALIMENTACAO AO </v>
          </cell>
          <cell r="D1925">
            <v>373375.51</v>
          </cell>
          <cell r="E1925" t="str">
            <v>D</v>
          </cell>
          <cell r="G1925">
            <v>395373.92</v>
          </cell>
          <cell r="H1925">
            <v>12000</v>
          </cell>
          <cell r="I1925">
            <v>383373.92</v>
          </cell>
          <cell r="J1925">
            <v>756749.43</v>
          </cell>
          <cell r="K1925" t="str">
            <v>D</v>
          </cell>
          <cell r="L1925">
            <v>11470</v>
          </cell>
        </row>
        <row r="1926">
          <cell r="A1926">
            <v>11498</v>
          </cell>
          <cell r="B1926" t="str">
            <v>4.1.01.060.0002</v>
          </cell>
          <cell r="C1926" t="str">
            <v xml:space="preserve">AUXILIO CRECHE </v>
          </cell>
          <cell r="D1926">
            <v>13241.51</v>
          </cell>
          <cell r="E1926" t="str">
            <v>D</v>
          </cell>
          <cell r="G1926">
            <v>14988.51</v>
          </cell>
          <cell r="H1926">
            <v>588.73</v>
          </cell>
          <cell r="I1926">
            <v>14399.78</v>
          </cell>
          <cell r="J1926">
            <v>27641.29</v>
          </cell>
          <cell r="K1926" t="str">
            <v>D</v>
          </cell>
          <cell r="L1926">
            <v>11498</v>
          </cell>
        </row>
        <row r="1927">
          <cell r="A1927">
            <v>12320</v>
          </cell>
          <cell r="B1927" t="str">
            <v>4.1.01.060.0006</v>
          </cell>
          <cell r="C1927" t="str">
            <v>CURSOS/TREINAMENTOS/CON</v>
          </cell>
          <cell r="D1927">
            <v>5788.66</v>
          </cell>
          <cell r="E1927" t="str">
            <v>D</v>
          </cell>
          <cell r="G1927">
            <v>9088.66</v>
          </cell>
          <cell r="H1927">
            <v>0</v>
          </cell>
          <cell r="I1927">
            <v>9088.66</v>
          </cell>
          <cell r="J1927">
            <v>14877.32</v>
          </cell>
          <cell r="K1927" t="str">
            <v>D</v>
          </cell>
          <cell r="L1927">
            <v>12320</v>
          </cell>
        </row>
        <row r="1928">
          <cell r="A1928">
            <v>11422</v>
          </cell>
          <cell r="B1928" t="str">
            <v>4.1.01.060.0009</v>
          </cell>
          <cell r="C1928" t="str">
            <v>SEGUROS</v>
          </cell>
          <cell r="D1928">
            <v>139.41</v>
          </cell>
          <cell r="E1928" t="str">
            <v>D</v>
          </cell>
          <cell r="G1928">
            <v>98.1</v>
          </cell>
          <cell r="H1928">
            <v>0</v>
          </cell>
          <cell r="I1928">
            <v>98.1</v>
          </cell>
          <cell r="J1928">
            <v>237.51</v>
          </cell>
          <cell r="K1928" t="str">
            <v>D</v>
          </cell>
          <cell r="L1928">
            <v>11422</v>
          </cell>
        </row>
        <row r="1929">
          <cell r="A1929">
            <v>11434</v>
          </cell>
          <cell r="B1929" t="str">
            <v>4.1.01.060.0010</v>
          </cell>
          <cell r="C1929" t="str">
            <v>UNIFORMES, EPI</v>
          </cell>
          <cell r="D1929">
            <v>42035.67</v>
          </cell>
          <cell r="E1929" t="str">
            <v>D</v>
          </cell>
          <cell r="G1929">
            <v>55996.74</v>
          </cell>
          <cell r="H1929">
            <v>3906.41</v>
          </cell>
          <cell r="I1929">
            <v>52090.33</v>
          </cell>
          <cell r="J1929">
            <v>94126</v>
          </cell>
          <cell r="K1929" t="str">
            <v>D</v>
          </cell>
          <cell r="L1929">
            <v>11434</v>
          </cell>
        </row>
        <row r="1930">
          <cell r="A1930">
            <v>11481</v>
          </cell>
          <cell r="B1930" t="str">
            <v>4.1.01.060.0011</v>
          </cell>
          <cell r="C1930" t="str">
            <v xml:space="preserve">VALE TRANSPORTE </v>
          </cell>
          <cell r="D1930">
            <v>150769.69</v>
          </cell>
          <cell r="E1930" t="str">
            <v>D</v>
          </cell>
          <cell r="G1930">
            <v>171987.19</v>
          </cell>
          <cell r="H1930">
            <v>0</v>
          </cell>
          <cell r="I1930">
            <v>171987.19</v>
          </cell>
          <cell r="J1930">
            <v>322756.88</v>
          </cell>
          <cell r="K1930" t="str">
            <v>D</v>
          </cell>
          <cell r="L1930">
            <v>11481</v>
          </cell>
        </row>
        <row r="1931">
          <cell r="A1931">
            <v>11416</v>
          </cell>
          <cell r="B1931" t="str">
            <v>4.1.01.060.0012</v>
          </cell>
          <cell r="C1931" t="str">
            <v xml:space="preserve">REFEICAO AO TRABALHADOR </v>
          </cell>
          <cell r="D1931">
            <v>10917.46</v>
          </cell>
          <cell r="E1931" t="str">
            <v>D</v>
          </cell>
          <cell r="G1931">
            <v>16905.150000000001</v>
          </cell>
          <cell r="H1931">
            <v>0</v>
          </cell>
          <cell r="I1931">
            <v>16905.150000000001</v>
          </cell>
          <cell r="J1931">
            <v>27822.61</v>
          </cell>
          <cell r="K1931" t="str">
            <v>D</v>
          </cell>
          <cell r="L1931">
            <v>11416</v>
          </cell>
        </row>
        <row r="1932">
          <cell r="A1932">
            <v>55262</v>
          </cell>
          <cell r="B1932" t="str">
            <v>4.1.01.060.0013</v>
          </cell>
          <cell r="C1932" t="str">
            <v>REFEICAO AO TRABALHADOR</v>
          </cell>
          <cell r="D1932">
            <v>7560</v>
          </cell>
          <cell r="E1932" t="str">
            <v>D</v>
          </cell>
          <cell r="G1932">
            <v>6642</v>
          </cell>
          <cell r="H1932">
            <v>0</v>
          </cell>
          <cell r="I1932">
            <v>6642</v>
          </cell>
          <cell r="J1932">
            <v>14202</v>
          </cell>
          <cell r="K1932" t="str">
            <v>D</v>
          </cell>
          <cell r="L1932">
            <v>55262</v>
          </cell>
        </row>
        <row r="1933">
          <cell r="A1933">
            <v>38465</v>
          </cell>
          <cell r="B1933" t="str">
            <v>4.1.02</v>
          </cell>
          <cell r="C1933" t="str">
            <v>INSUMOS</v>
          </cell>
          <cell r="D1933">
            <v>5730273.46</v>
          </cell>
          <cell r="E1933" t="str">
            <v>D</v>
          </cell>
          <cell r="G1933">
            <v>8439321.9299999997</v>
          </cell>
          <cell r="H1933">
            <v>561242.30000000005</v>
          </cell>
          <cell r="I1933">
            <v>7878079.6299999999</v>
          </cell>
          <cell r="J1933">
            <v>13608353.09</v>
          </cell>
          <cell r="K1933" t="str">
            <v>D</v>
          </cell>
          <cell r="L1933" t="e">
            <v>#N/A</v>
          </cell>
        </row>
        <row r="1934">
          <cell r="A1934">
            <v>38466</v>
          </cell>
          <cell r="B1934" t="str">
            <v>4.1.02.010</v>
          </cell>
          <cell r="C1934" t="str">
            <v>INSUMOS</v>
          </cell>
          <cell r="D1934">
            <v>5730273.46</v>
          </cell>
          <cell r="E1934" t="str">
            <v>D</v>
          </cell>
          <cell r="G1934">
            <v>8439321.9299999997</v>
          </cell>
          <cell r="H1934">
            <v>561242.30000000005</v>
          </cell>
          <cell r="I1934">
            <v>7878079.6299999999</v>
          </cell>
          <cell r="J1934">
            <v>13608353.09</v>
          </cell>
          <cell r="K1934" t="str">
            <v>D</v>
          </cell>
          <cell r="L1934" t="e">
            <v>#N/A</v>
          </cell>
        </row>
        <row r="1935">
          <cell r="A1935">
            <v>12328</v>
          </cell>
          <cell r="B1935" t="str">
            <v>4.1.02.010.0001</v>
          </cell>
          <cell r="C1935" t="str">
            <v xml:space="preserve">BAIXAS/PERDAS </v>
          </cell>
          <cell r="D1935">
            <v>10518.59</v>
          </cell>
          <cell r="E1935" t="str">
            <v>D</v>
          </cell>
          <cell r="G1935">
            <v>3312.79</v>
          </cell>
          <cell r="H1935">
            <v>0</v>
          </cell>
          <cell r="I1935">
            <v>3312.79</v>
          </cell>
          <cell r="J1935">
            <v>13831.38</v>
          </cell>
          <cell r="K1935" t="str">
            <v>D</v>
          </cell>
          <cell r="L1935">
            <v>12328</v>
          </cell>
        </row>
        <row r="1936">
          <cell r="A1936">
            <v>32497</v>
          </cell>
          <cell r="B1936" t="str">
            <v>4.1.02.010.0002</v>
          </cell>
          <cell r="C1936" t="str">
            <v xml:space="preserve">DIETA ENTERAL </v>
          </cell>
          <cell r="D1936">
            <v>93734.77</v>
          </cell>
          <cell r="E1936" t="str">
            <v>D</v>
          </cell>
          <cell r="G1936">
            <v>139568.10999999999</v>
          </cell>
          <cell r="H1936">
            <v>20119.45</v>
          </cell>
          <cell r="I1936">
            <v>119448.66</v>
          </cell>
          <cell r="J1936">
            <v>213183.43</v>
          </cell>
          <cell r="K1936" t="str">
            <v>D</v>
          </cell>
          <cell r="L1936">
            <v>32497</v>
          </cell>
        </row>
        <row r="1937">
          <cell r="A1937">
            <v>12869</v>
          </cell>
          <cell r="B1937" t="str">
            <v>4.1.02.010.0003</v>
          </cell>
          <cell r="C1937" t="str">
            <v xml:space="preserve">GASES MEDICINAIS </v>
          </cell>
          <cell r="D1937">
            <v>82311.28</v>
          </cell>
          <cell r="E1937" t="str">
            <v>D</v>
          </cell>
          <cell r="G1937">
            <v>83083.740000000005</v>
          </cell>
          <cell r="H1937">
            <v>0</v>
          </cell>
          <cell r="I1937">
            <v>83083.740000000005</v>
          </cell>
          <cell r="J1937">
            <v>165395.01999999999</v>
          </cell>
          <cell r="K1937" t="str">
            <v>D</v>
          </cell>
          <cell r="L1937">
            <v>12869</v>
          </cell>
        </row>
        <row r="1938">
          <cell r="A1938">
            <v>12338</v>
          </cell>
          <cell r="B1938" t="str">
            <v>4.1.02.010.0004</v>
          </cell>
          <cell r="C1938" t="str">
            <v xml:space="preserve">GENEROS ALIMENTICIOS </v>
          </cell>
          <cell r="D1938">
            <v>339228.49</v>
          </cell>
          <cell r="E1938" t="str">
            <v>D</v>
          </cell>
          <cell r="G1938">
            <v>290413.01</v>
          </cell>
          <cell r="H1938">
            <v>193.7</v>
          </cell>
          <cell r="I1938">
            <v>290219.31</v>
          </cell>
          <cell r="J1938">
            <v>629447.80000000005</v>
          </cell>
          <cell r="K1938" t="str">
            <v>D</v>
          </cell>
          <cell r="L1938">
            <v>12338</v>
          </cell>
        </row>
        <row r="1939">
          <cell r="A1939">
            <v>11605</v>
          </cell>
          <cell r="B1939" t="str">
            <v>4.1.02.010.0006</v>
          </cell>
          <cell r="C1939" t="str">
            <v xml:space="preserve">MAT EXPEDIENTE, IMPRES </v>
          </cell>
          <cell r="D1939">
            <v>72359.37</v>
          </cell>
          <cell r="E1939" t="str">
            <v>D</v>
          </cell>
          <cell r="G1939">
            <v>102197.38</v>
          </cell>
          <cell r="H1939">
            <v>398.61</v>
          </cell>
          <cell r="I1939">
            <v>101798.77</v>
          </cell>
          <cell r="J1939">
            <v>174158.14</v>
          </cell>
          <cell r="K1939" t="str">
            <v>D</v>
          </cell>
          <cell r="L1939">
            <v>11605</v>
          </cell>
        </row>
        <row r="1940">
          <cell r="A1940">
            <v>12299</v>
          </cell>
          <cell r="B1940" t="str">
            <v>4.1.02.010.0007</v>
          </cell>
          <cell r="C1940" t="str">
            <v xml:space="preserve">MATERIAIS DE CONSUMO </v>
          </cell>
          <cell r="D1940">
            <v>781019.57</v>
          </cell>
          <cell r="E1940" t="str">
            <v>D</v>
          </cell>
          <cell r="G1940">
            <v>1035689.77</v>
          </cell>
          <cell r="H1940">
            <v>240532.64</v>
          </cell>
          <cell r="I1940">
            <v>795157.13</v>
          </cell>
          <cell r="J1940">
            <v>1576176.7</v>
          </cell>
          <cell r="K1940" t="str">
            <v>D</v>
          </cell>
          <cell r="L1940">
            <v>12299</v>
          </cell>
        </row>
        <row r="1941">
          <cell r="A1941">
            <v>12297</v>
          </cell>
          <cell r="B1941" t="str">
            <v>4.1.02.010.0008</v>
          </cell>
          <cell r="C1941" t="str">
            <v xml:space="preserve">MATERIAIS DESCARTAVEIS </v>
          </cell>
          <cell r="D1941">
            <v>58444.56</v>
          </cell>
          <cell r="E1941" t="str">
            <v>D</v>
          </cell>
          <cell r="G1941">
            <v>54437.47</v>
          </cell>
          <cell r="H1941">
            <v>0</v>
          </cell>
          <cell r="I1941">
            <v>54437.47</v>
          </cell>
          <cell r="J1941">
            <v>112882.03</v>
          </cell>
          <cell r="K1941" t="str">
            <v>D</v>
          </cell>
          <cell r="L1941">
            <v>12297</v>
          </cell>
        </row>
        <row r="1942">
          <cell r="A1942">
            <v>12303</v>
          </cell>
          <cell r="B1942" t="str">
            <v>4.1.02.010.0009</v>
          </cell>
          <cell r="C1942" t="str">
            <v xml:space="preserve">MATERIAL DE INFORMATICA </v>
          </cell>
          <cell r="D1942">
            <v>4724.37</v>
          </cell>
          <cell r="E1942" t="str">
            <v>D</v>
          </cell>
          <cell r="G1942">
            <v>12052.21</v>
          </cell>
          <cell r="H1942">
            <v>34.5</v>
          </cell>
          <cell r="I1942">
            <v>12017.71</v>
          </cell>
          <cell r="J1942">
            <v>16742.080000000002</v>
          </cell>
          <cell r="K1942" t="str">
            <v>D</v>
          </cell>
          <cell r="L1942">
            <v>12303</v>
          </cell>
        </row>
        <row r="1943">
          <cell r="A1943">
            <v>12333</v>
          </cell>
          <cell r="B1943" t="str">
            <v>4.1.02.010.0010</v>
          </cell>
          <cell r="C1943" t="str">
            <v xml:space="preserve">MATERIAL DE LAVANDERIA </v>
          </cell>
          <cell r="D1943">
            <v>37481.980000000003</v>
          </cell>
          <cell r="E1943" t="str">
            <v>D</v>
          </cell>
          <cell r="G1943">
            <v>44306.23</v>
          </cell>
          <cell r="H1943">
            <v>0</v>
          </cell>
          <cell r="I1943">
            <v>44306.23</v>
          </cell>
          <cell r="J1943">
            <v>81788.210000000006</v>
          </cell>
          <cell r="K1943" t="str">
            <v>D</v>
          </cell>
          <cell r="L1943">
            <v>12333</v>
          </cell>
        </row>
        <row r="1944">
          <cell r="A1944">
            <v>12331</v>
          </cell>
          <cell r="B1944" t="str">
            <v>4.1.02.010.0011</v>
          </cell>
          <cell r="C1944" t="str">
            <v xml:space="preserve">MATERIAL DE LIMPEZA E </v>
          </cell>
          <cell r="D1944">
            <v>165193.1</v>
          </cell>
          <cell r="E1944" t="str">
            <v>D</v>
          </cell>
          <cell r="G1944">
            <v>155292.41</v>
          </cell>
          <cell r="H1944">
            <v>1471.32</v>
          </cell>
          <cell r="I1944">
            <v>153821.09</v>
          </cell>
          <cell r="J1944">
            <v>319014.19</v>
          </cell>
          <cell r="K1944" t="str">
            <v>D</v>
          </cell>
          <cell r="L1944">
            <v>12331</v>
          </cell>
        </row>
        <row r="1945">
          <cell r="A1945">
            <v>12301</v>
          </cell>
          <cell r="B1945" t="str">
            <v>4.1.02.010.0012</v>
          </cell>
          <cell r="C1945" t="str">
            <v>MEDICAMENTOS</v>
          </cell>
          <cell r="D1945">
            <v>2294480.2599999998</v>
          </cell>
          <cell r="E1945" t="str">
            <v>D</v>
          </cell>
          <cell r="G1945">
            <v>2376512.67</v>
          </cell>
          <cell r="H1945">
            <v>255927.15</v>
          </cell>
          <cell r="I1945">
            <v>2120585.52</v>
          </cell>
          <cell r="J1945">
            <v>4415065.78</v>
          </cell>
          <cell r="K1945" t="str">
            <v>D</v>
          </cell>
          <cell r="L1945">
            <v>12301</v>
          </cell>
        </row>
        <row r="1946">
          <cell r="A1946">
            <v>12329</v>
          </cell>
          <cell r="B1946" t="str">
            <v>4.1.02.010.0013</v>
          </cell>
          <cell r="C1946" t="str">
            <v xml:space="preserve">ORTESE E PROTESE </v>
          </cell>
          <cell r="D1946">
            <v>1382386.28</v>
          </cell>
          <cell r="E1946" t="str">
            <v>D</v>
          </cell>
          <cell r="G1946">
            <v>3544304.26</v>
          </cell>
          <cell r="H1946">
            <v>0.28999999999999998</v>
          </cell>
          <cell r="I1946">
            <v>3544303.97</v>
          </cell>
          <cell r="J1946">
            <v>4926690.25</v>
          </cell>
          <cell r="K1946" t="str">
            <v>D</v>
          </cell>
          <cell r="L1946">
            <v>12329</v>
          </cell>
        </row>
        <row r="1947">
          <cell r="A1947">
            <v>51649</v>
          </cell>
          <cell r="B1947" t="str">
            <v>4.1.02.010.0014</v>
          </cell>
          <cell r="C1947" t="str">
            <v>RADIOFARMACOS</v>
          </cell>
          <cell r="D1947">
            <v>10023.25</v>
          </cell>
          <cell r="E1947" t="str">
            <v>D</v>
          </cell>
          <cell r="G1947">
            <v>11861.78</v>
          </cell>
          <cell r="H1947">
            <v>0</v>
          </cell>
          <cell r="I1947">
            <v>11861.78</v>
          </cell>
          <cell r="J1947">
            <v>21885.03</v>
          </cell>
          <cell r="K1947" t="str">
            <v>D</v>
          </cell>
          <cell r="L1947">
            <v>51649</v>
          </cell>
        </row>
        <row r="1948">
          <cell r="A1948">
            <v>12332</v>
          </cell>
          <cell r="B1948" t="str">
            <v>4.1.02.010.0015</v>
          </cell>
          <cell r="C1948" t="str">
            <v xml:space="preserve">TECIDOS AVIAMENTOS </v>
          </cell>
          <cell r="D1948">
            <v>24722.78</v>
          </cell>
          <cell r="E1948" t="str">
            <v>D</v>
          </cell>
          <cell r="G1948">
            <v>24942.27</v>
          </cell>
          <cell r="H1948">
            <v>0</v>
          </cell>
          <cell r="I1948">
            <v>24942.27</v>
          </cell>
          <cell r="J1948">
            <v>49665.05</v>
          </cell>
          <cell r="K1948" t="str">
            <v>D</v>
          </cell>
          <cell r="L1948">
            <v>12332</v>
          </cell>
        </row>
        <row r="1949">
          <cell r="A1949">
            <v>12325</v>
          </cell>
          <cell r="B1949" t="str">
            <v>4.1.02.010.0018</v>
          </cell>
          <cell r="C1949" t="str">
            <v xml:space="preserve">INVENTARIO - CAF - </v>
          </cell>
          <cell r="D1949">
            <v>-103.65</v>
          </cell>
          <cell r="E1949" t="str">
            <v>C</v>
          </cell>
          <cell r="G1949">
            <v>402.97</v>
          </cell>
          <cell r="H1949">
            <v>36532.559999999998</v>
          </cell>
          <cell r="I1949">
            <v>-36129.589999999997</v>
          </cell>
          <cell r="J1949">
            <v>-36233.24</v>
          </cell>
          <cell r="K1949" t="str">
            <v>C</v>
          </cell>
          <cell r="L1949">
            <v>12325</v>
          </cell>
        </row>
        <row r="1950">
          <cell r="A1950">
            <v>54554</v>
          </cell>
          <cell r="B1950" t="str">
            <v>4.1.02.010.0020</v>
          </cell>
          <cell r="C1950" t="str">
            <v>MATERIAIS ESPECIAIS</v>
          </cell>
          <cell r="D1950">
            <v>373748.46</v>
          </cell>
          <cell r="E1950" t="str">
            <v>D</v>
          </cell>
          <cell r="G1950">
            <v>560944.86</v>
          </cell>
          <cell r="H1950">
            <v>6032.08</v>
          </cell>
          <cell r="I1950">
            <v>554912.78</v>
          </cell>
          <cell r="J1950">
            <v>928661.24</v>
          </cell>
          <cell r="K1950" t="str">
            <v>D</v>
          </cell>
          <cell r="L1950">
            <v>54554</v>
          </cell>
        </row>
        <row r="1951">
          <cell r="A1951">
            <v>11279</v>
          </cell>
          <cell r="B1951" t="str">
            <v>4.2</v>
          </cell>
          <cell r="C1951" t="str">
            <v>DESPESAS ADMINISTRATIVAS</v>
          </cell>
          <cell r="D1951">
            <v>1677516.82</v>
          </cell>
          <cell r="E1951" t="str">
            <v>D</v>
          </cell>
          <cell r="G1951">
            <v>2138746.4900000002</v>
          </cell>
          <cell r="H1951">
            <v>304470.27</v>
          </cell>
          <cell r="I1951">
            <v>1834276.22</v>
          </cell>
          <cell r="J1951">
            <v>3511793.04</v>
          </cell>
          <cell r="K1951" t="str">
            <v>D</v>
          </cell>
          <cell r="L1951" t="e">
            <v>#N/A</v>
          </cell>
        </row>
        <row r="1952">
          <cell r="A1952">
            <v>11499</v>
          </cell>
          <cell r="B1952" t="str">
            <v>4.2.01</v>
          </cell>
          <cell r="C1952" t="str">
            <v xml:space="preserve">SERVICOS DE TERCEIROS  E </v>
          </cell>
          <cell r="D1952">
            <v>1354643.64</v>
          </cell>
          <cell r="E1952" t="str">
            <v>D</v>
          </cell>
          <cell r="G1952">
            <v>1700144.44</v>
          </cell>
          <cell r="H1952">
            <v>281793.96999999997</v>
          </cell>
          <cell r="I1952">
            <v>1418350.47</v>
          </cell>
          <cell r="J1952">
            <v>2772994.11</v>
          </cell>
          <cell r="K1952" t="str">
            <v>D</v>
          </cell>
          <cell r="L1952" t="e">
            <v>#N/A</v>
          </cell>
        </row>
        <row r="1953">
          <cell r="A1953">
            <v>11500</v>
          </cell>
          <cell r="B1953" t="str">
            <v>4.2.01.010</v>
          </cell>
          <cell r="C1953" t="str">
            <v xml:space="preserve"> SERVICOS CONTRATADOS</v>
          </cell>
          <cell r="D1953">
            <v>592990.43000000005</v>
          </cell>
          <cell r="E1953" t="str">
            <v>D</v>
          </cell>
          <cell r="G1953">
            <v>643493.73</v>
          </cell>
          <cell r="H1953">
            <v>12716.65</v>
          </cell>
          <cell r="I1953">
            <v>630777.07999999996</v>
          </cell>
          <cell r="J1953">
            <v>1223767.51</v>
          </cell>
          <cell r="K1953" t="str">
            <v>D</v>
          </cell>
          <cell r="L1953" t="e">
            <v>#N/A</v>
          </cell>
        </row>
        <row r="1954">
          <cell r="A1954">
            <v>12900</v>
          </cell>
          <cell r="B1954" t="str">
            <v>4.2.01.010.0002</v>
          </cell>
          <cell r="C1954" t="str">
            <v xml:space="preserve">LOCACAO DE CILINDRO </v>
          </cell>
          <cell r="D1954">
            <v>11383.09</v>
          </cell>
          <cell r="E1954" t="str">
            <v>D</v>
          </cell>
          <cell r="G1954">
            <v>9649.7800000000007</v>
          </cell>
          <cell r="H1954">
            <v>0</v>
          </cell>
          <cell r="I1954">
            <v>9649.7800000000007</v>
          </cell>
          <cell r="J1954">
            <v>21032.87</v>
          </cell>
          <cell r="K1954" t="str">
            <v>D</v>
          </cell>
          <cell r="L1954">
            <v>12900</v>
          </cell>
        </row>
        <row r="1955">
          <cell r="A1955">
            <v>12293</v>
          </cell>
          <cell r="B1955" t="str">
            <v>4.2.01.010.0003</v>
          </cell>
          <cell r="C1955" t="str">
            <v xml:space="preserve">SERV </v>
          </cell>
          <cell r="D1955">
            <v>31167.06</v>
          </cell>
          <cell r="E1955" t="str">
            <v>D</v>
          </cell>
          <cell r="G1955">
            <v>33565.24</v>
          </cell>
          <cell r="H1955">
            <v>0</v>
          </cell>
          <cell r="I1955">
            <v>33565.24</v>
          </cell>
          <cell r="J1955">
            <v>64732.3</v>
          </cell>
          <cell r="K1955" t="str">
            <v>D</v>
          </cell>
          <cell r="L1955">
            <v>12293</v>
          </cell>
        </row>
        <row r="1956">
          <cell r="A1956">
            <v>12461</v>
          </cell>
          <cell r="B1956" t="str">
            <v>4.2.01.010.0004</v>
          </cell>
          <cell r="C1956" t="str">
            <v xml:space="preserve">SERVICO ACREDITACAO </v>
          </cell>
          <cell r="D1956">
            <v>8749.02</v>
          </cell>
          <cell r="E1956" t="str">
            <v>D</v>
          </cell>
          <cell r="G1956">
            <v>8749.02</v>
          </cell>
          <cell r="H1956">
            <v>0</v>
          </cell>
          <cell r="I1956">
            <v>8749.02</v>
          </cell>
          <cell r="J1956">
            <v>17498.04</v>
          </cell>
          <cell r="K1956" t="str">
            <v>D</v>
          </cell>
          <cell r="L1956">
            <v>12461</v>
          </cell>
        </row>
        <row r="1957">
          <cell r="A1957">
            <v>51665</v>
          </cell>
          <cell r="B1957" t="str">
            <v>4.2.01.010.0005</v>
          </cell>
          <cell r="C1957" t="str">
            <v xml:space="preserve">SERVICO DE ENGENHARIA </v>
          </cell>
          <cell r="D1957">
            <v>65025.51</v>
          </cell>
          <cell r="E1957" t="str">
            <v>D</v>
          </cell>
          <cell r="G1957">
            <v>69805.11</v>
          </cell>
          <cell r="H1957">
            <v>0</v>
          </cell>
          <cell r="I1957">
            <v>69805.11</v>
          </cell>
          <cell r="J1957">
            <v>134830.62</v>
          </cell>
          <cell r="K1957" t="str">
            <v>D</v>
          </cell>
          <cell r="L1957">
            <v>51665</v>
          </cell>
        </row>
        <row r="1958">
          <cell r="A1958">
            <v>51127</v>
          </cell>
          <cell r="B1958" t="str">
            <v>4.2.01.010.0006</v>
          </cell>
          <cell r="C1958" t="str">
            <v xml:space="preserve">SERVIÇO DE LICENCIAMENTO </v>
          </cell>
          <cell r="D1958">
            <v>26087.26</v>
          </cell>
          <cell r="E1958" t="str">
            <v>D</v>
          </cell>
          <cell r="G1958">
            <v>39296.75</v>
          </cell>
          <cell r="H1958">
            <v>0</v>
          </cell>
          <cell r="I1958">
            <v>39296.75</v>
          </cell>
          <cell r="J1958">
            <v>65384.01</v>
          </cell>
          <cell r="K1958" t="str">
            <v>D</v>
          </cell>
          <cell r="L1958">
            <v>51127</v>
          </cell>
        </row>
        <row r="1959">
          <cell r="A1959">
            <v>51666</v>
          </cell>
          <cell r="B1959" t="str">
            <v>4.2.01.010.0007</v>
          </cell>
          <cell r="C1959" t="str">
            <v xml:space="preserve">SERVICO DE MANUTENCAO </v>
          </cell>
          <cell r="D1959">
            <v>11413.27</v>
          </cell>
          <cell r="E1959" t="str">
            <v>D</v>
          </cell>
          <cell r="G1959">
            <v>23738.85</v>
          </cell>
          <cell r="H1959">
            <v>0</v>
          </cell>
          <cell r="I1959">
            <v>23738.85</v>
          </cell>
          <cell r="J1959">
            <v>35152.120000000003</v>
          </cell>
          <cell r="K1959" t="str">
            <v>D</v>
          </cell>
          <cell r="L1959">
            <v>51666</v>
          </cell>
        </row>
        <row r="1960">
          <cell r="A1960">
            <v>51667</v>
          </cell>
          <cell r="B1960" t="str">
            <v>4.2.01.010.0008</v>
          </cell>
          <cell r="C1960" t="str">
            <v xml:space="preserve">SERVICO DE MANUTENCAO </v>
          </cell>
          <cell r="D1960">
            <v>2730</v>
          </cell>
          <cell r="E1960" t="str">
            <v>D</v>
          </cell>
          <cell r="G1960">
            <v>4256</v>
          </cell>
          <cell r="H1960">
            <v>0</v>
          </cell>
          <cell r="I1960">
            <v>4256</v>
          </cell>
          <cell r="J1960">
            <v>6986</v>
          </cell>
          <cell r="K1960" t="str">
            <v>D</v>
          </cell>
          <cell r="L1960">
            <v>51667</v>
          </cell>
        </row>
        <row r="1961">
          <cell r="A1961">
            <v>51673</v>
          </cell>
          <cell r="B1961" t="str">
            <v>4.2.01.010.0009</v>
          </cell>
          <cell r="C1961" t="str">
            <v xml:space="preserve">SERVICO DE TV POR </v>
          </cell>
          <cell r="D1961">
            <v>3251.4</v>
          </cell>
          <cell r="E1961" t="str">
            <v>D</v>
          </cell>
          <cell r="G1961">
            <v>3251.4</v>
          </cell>
          <cell r="H1961">
            <v>0</v>
          </cell>
          <cell r="I1961">
            <v>3251.4</v>
          </cell>
          <cell r="J1961">
            <v>6502.8</v>
          </cell>
          <cell r="K1961" t="str">
            <v>D</v>
          </cell>
          <cell r="L1961">
            <v>51673</v>
          </cell>
        </row>
        <row r="1962">
          <cell r="A1962">
            <v>12267</v>
          </cell>
          <cell r="B1962" t="str">
            <v>4.2.01.010.0010</v>
          </cell>
          <cell r="C1962" t="str">
            <v xml:space="preserve">SERVICO SEGURANCA </v>
          </cell>
          <cell r="D1962">
            <v>47701.25</v>
          </cell>
          <cell r="E1962" t="str">
            <v>D</v>
          </cell>
          <cell r="G1962">
            <v>44548.25</v>
          </cell>
          <cell r="H1962">
            <v>0</v>
          </cell>
          <cell r="I1962">
            <v>44548.25</v>
          </cell>
          <cell r="J1962">
            <v>92249.5</v>
          </cell>
          <cell r="K1962" t="str">
            <v>D</v>
          </cell>
          <cell r="L1962">
            <v>12267</v>
          </cell>
        </row>
        <row r="1963">
          <cell r="A1963">
            <v>11510</v>
          </cell>
          <cell r="B1963" t="str">
            <v>4.2.01.010.0011</v>
          </cell>
          <cell r="C1963" t="str">
            <v>SERVICOS ADVOCATICIOS</v>
          </cell>
          <cell r="D1963">
            <v>11500</v>
          </cell>
          <cell r="E1963" t="str">
            <v>D</v>
          </cell>
          <cell r="G1963">
            <v>11699.55</v>
          </cell>
          <cell r="H1963">
            <v>0</v>
          </cell>
          <cell r="I1963">
            <v>11699.55</v>
          </cell>
          <cell r="J1963">
            <v>23199.55</v>
          </cell>
          <cell r="K1963" t="str">
            <v>D</v>
          </cell>
          <cell r="L1963">
            <v>11510</v>
          </cell>
        </row>
        <row r="1964">
          <cell r="A1964">
            <v>11516</v>
          </cell>
          <cell r="B1964" t="str">
            <v>4.2.01.010.0012</v>
          </cell>
          <cell r="C1964" t="str">
            <v>SERVICOS AUDITORIA</v>
          </cell>
          <cell r="D1964">
            <v>1313</v>
          </cell>
          <cell r="E1964" t="str">
            <v>D</v>
          </cell>
          <cell r="G1964">
            <v>1313</v>
          </cell>
          <cell r="H1964">
            <v>0</v>
          </cell>
          <cell r="I1964">
            <v>1313</v>
          </cell>
          <cell r="J1964">
            <v>2626</v>
          </cell>
          <cell r="K1964" t="str">
            <v>D</v>
          </cell>
          <cell r="L1964">
            <v>11516</v>
          </cell>
        </row>
        <row r="1965">
          <cell r="A1965">
            <v>37259</v>
          </cell>
          <cell r="B1965" t="str">
            <v>4.2.01.010.0014</v>
          </cell>
          <cell r="C1965" t="str">
            <v>SERVICOS DE ANALISES</v>
          </cell>
          <cell r="D1965">
            <v>5448</v>
          </cell>
          <cell r="E1965" t="str">
            <v>D</v>
          </cell>
          <cell r="G1965">
            <v>6542</v>
          </cell>
          <cell r="H1965">
            <v>0</v>
          </cell>
          <cell r="I1965">
            <v>6542</v>
          </cell>
          <cell r="J1965">
            <v>11990</v>
          </cell>
          <cell r="K1965" t="str">
            <v>D</v>
          </cell>
          <cell r="L1965">
            <v>37259</v>
          </cell>
        </row>
        <row r="1966">
          <cell r="A1966">
            <v>12865</v>
          </cell>
          <cell r="B1966" t="str">
            <v>4.2.01.010.0015</v>
          </cell>
          <cell r="C1966" t="str">
            <v>SERVICOS DE DEDETIZACAO</v>
          </cell>
          <cell r="D1966">
            <v>2505.33</v>
          </cell>
          <cell r="E1966" t="str">
            <v>D</v>
          </cell>
          <cell r="G1966">
            <v>2755.33</v>
          </cell>
          <cell r="H1966">
            <v>0</v>
          </cell>
          <cell r="I1966">
            <v>2755.33</v>
          </cell>
          <cell r="J1966">
            <v>5260.66</v>
          </cell>
          <cell r="K1966" t="str">
            <v>D</v>
          </cell>
          <cell r="L1966">
            <v>12865</v>
          </cell>
        </row>
        <row r="1967">
          <cell r="A1967">
            <v>12878</v>
          </cell>
          <cell r="B1967" t="str">
            <v>4.2.01.010.0016</v>
          </cell>
          <cell r="C1967" t="str">
            <v xml:space="preserve">SERVICOS DE ESTERILIZACAO </v>
          </cell>
          <cell r="D1967">
            <v>782.18</v>
          </cell>
          <cell r="E1967" t="str">
            <v>D</v>
          </cell>
          <cell r="G1967">
            <v>338.84</v>
          </cell>
          <cell r="H1967">
            <v>0</v>
          </cell>
          <cell r="I1967">
            <v>338.84</v>
          </cell>
          <cell r="J1967">
            <v>1121.02</v>
          </cell>
          <cell r="K1967" t="str">
            <v>D</v>
          </cell>
          <cell r="L1967">
            <v>12878</v>
          </cell>
        </row>
        <row r="1968">
          <cell r="A1968">
            <v>12272</v>
          </cell>
          <cell r="B1968" t="str">
            <v>4.2.01.010.0019</v>
          </cell>
          <cell r="C1968" t="str">
            <v xml:space="preserve">SERVICOS DE INTERNET </v>
          </cell>
          <cell r="D1968">
            <v>11069.06</v>
          </cell>
          <cell r="E1968" t="str">
            <v>D</v>
          </cell>
          <cell r="G1968">
            <v>12665.38</v>
          </cell>
          <cell r="H1968">
            <v>0</v>
          </cell>
          <cell r="I1968">
            <v>12665.38</v>
          </cell>
          <cell r="J1968">
            <v>23734.44</v>
          </cell>
          <cell r="K1968" t="str">
            <v>D</v>
          </cell>
          <cell r="L1968">
            <v>12272</v>
          </cell>
        </row>
        <row r="1969">
          <cell r="A1969">
            <v>12888</v>
          </cell>
          <cell r="B1969" t="str">
            <v>4.2.01.010.0021</v>
          </cell>
          <cell r="C1969" t="str">
            <v xml:space="preserve">SERVICOS DE LOCACAO </v>
          </cell>
          <cell r="D1969">
            <v>26194</v>
          </cell>
          <cell r="E1969" t="str">
            <v>D</v>
          </cell>
          <cell r="G1969">
            <v>35510.660000000003</v>
          </cell>
          <cell r="H1969">
            <v>7084</v>
          </cell>
          <cell r="I1969">
            <v>28426.66</v>
          </cell>
          <cell r="J1969">
            <v>54620.66</v>
          </cell>
          <cell r="K1969" t="str">
            <v>D</v>
          </cell>
          <cell r="L1969">
            <v>12888</v>
          </cell>
        </row>
        <row r="1970">
          <cell r="A1970">
            <v>12282</v>
          </cell>
          <cell r="B1970" t="str">
            <v>4.2.01.010.0022</v>
          </cell>
          <cell r="C1970" t="str">
            <v xml:space="preserve">SERVICOS DE MANUTENCAO </v>
          </cell>
          <cell r="D1970">
            <v>10154.85</v>
          </cell>
          <cell r="E1970" t="str">
            <v>D</v>
          </cell>
          <cell r="G1970">
            <v>35272.42</v>
          </cell>
          <cell r="H1970">
            <v>199.3</v>
          </cell>
          <cell r="I1970">
            <v>35073.120000000003</v>
          </cell>
          <cell r="J1970">
            <v>45227.97</v>
          </cell>
          <cell r="K1970" t="str">
            <v>D</v>
          </cell>
          <cell r="L1970">
            <v>12282</v>
          </cell>
        </row>
        <row r="1971">
          <cell r="A1971">
            <v>12284</v>
          </cell>
          <cell r="B1971" t="str">
            <v>4.2.01.010.0023</v>
          </cell>
          <cell r="C1971" t="str">
            <v xml:space="preserve">SERVICOS DE MANUTENCAO </v>
          </cell>
          <cell r="D1971">
            <v>8149.5</v>
          </cell>
          <cell r="E1971" t="str">
            <v>D</v>
          </cell>
          <cell r="G1971">
            <v>9872</v>
          </cell>
          <cell r="H1971">
            <v>0</v>
          </cell>
          <cell r="I1971">
            <v>9872</v>
          </cell>
          <cell r="J1971">
            <v>18021.5</v>
          </cell>
          <cell r="K1971" t="str">
            <v>D</v>
          </cell>
          <cell r="L1971">
            <v>12284</v>
          </cell>
        </row>
        <row r="1972">
          <cell r="A1972">
            <v>12280</v>
          </cell>
          <cell r="B1972" t="str">
            <v>4.2.01.010.0024</v>
          </cell>
          <cell r="C1972" t="str">
            <v xml:space="preserve">SERVICOS DE MANUTENCAO </v>
          </cell>
          <cell r="D1972">
            <v>27227.47</v>
          </cell>
          <cell r="E1972" t="str">
            <v>D</v>
          </cell>
          <cell r="G1972">
            <v>16961.57</v>
          </cell>
          <cell r="H1972">
            <v>5433.35</v>
          </cell>
          <cell r="I1972">
            <v>11528.22</v>
          </cell>
          <cell r="J1972">
            <v>38755.69</v>
          </cell>
          <cell r="K1972" t="str">
            <v>D</v>
          </cell>
          <cell r="L1972">
            <v>12280</v>
          </cell>
        </row>
        <row r="1973">
          <cell r="A1973">
            <v>33097</v>
          </cell>
          <cell r="B1973" t="str">
            <v>4.2.01.010.0025</v>
          </cell>
          <cell r="C1973" t="str">
            <v xml:space="preserve">SERVICOS DE MOTOBOY </v>
          </cell>
          <cell r="D1973">
            <v>1370</v>
          </cell>
          <cell r="E1973" t="str">
            <v>D</v>
          </cell>
          <cell r="G1973">
            <v>2000</v>
          </cell>
          <cell r="H1973">
            <v>0</v>
          </cell>
          <cell r="I1973">
            <v>2000</v>
          </cell>
          <cell r="J1973">
            <v>3370</v>
          </cell>
          <cell r="K1973" t="str">
            <v>D</v>
          </cell>
          <cell r="L1973">
            <v>33097</v>
          </cell>
        </row>
        <row r="1974">
          <cell r="A1974">
            <v>37763</v>
          </cell>
          <cell r="B1974" t="str">
            <v>4.2.01.010.0027</v>
          </cell>
          <cell r="C1974" t="str">
            <v xml:space="preserve">SERVICOS DE REMOCAO DE </v>
          </cell>
          <cell r="D1974">
            <v>25562.5</v>
          </cell>
          <cell r="E1974" t="str">
            <v>D</v>
          </cell>
          <cell r="G1974">
            <v>28848.23</v>
          </cell>
          <cell r="H1974">
            <v>0</v>
          </cell>
          <cell r="I1974">
            <v>28848.23</v>
          </cell>
          <cell r="J1974">
            <v>54410.73</v>
          </cell>
          <cell r="K1974" t="str">
            <v>D</v>
          </cell>
          <cell r="L1974">
            <v>37763</v>
          </cell>
        </row>
        <row r="1975">
          <cell r="A1975">
            <v>11534</v>
          </cell>
          <cell r="B1975" t="str">
            <v>4.2.01.010.0028</v>
          </cell>
          <cell r="C1975" t="str">
            <v xml:space="preserve">SERVICOS FRETES E </v>
          </cell>
          <cell r="D1975">
            <v>2156.7399999999998</v>
          </cell>
          <cell r="E1975" t="str">
            <v>D</v>
          </cell>
          <cell r="G1975">
            <v>1715.27</v>
          </cell>
          <cell r="H1975">
            <v>0</v>
          </cell>
          <cell r="I1975">
            <v>1715.27</v>
          </cell>
          <cell r="J1975">
            <v>3872.01</v>
          </cell>
          <cell r="K1975" t="str">
            <v>D</v>
          </cell>
          <cell r="L1975">
            <v>11534</v>
          </cell>
        </row>
        <row r="1976">
          <cell r="A1976">
            <v>11669</v>
          </cell>
          <cell r="B1976" t="str">
            <v>4.2.01.010.0029</v>
          </cell>
          <cell r="C1976" t="str">
            <v xml:space="preserve">SERVICOS MALOTES E </v>
          </cell>
          <cell r="D1976">
            <v>2043.4</v>
          </cell>
          <cell r="E1976" t="str">
            <v>D</v>
          </cell>
          <cell r="G1976">
            <v>2125.4</v>
          </cell>
          <cell r="H1976">
            <v>0</v>
          </cell>
          <cell r="I1976">
            <v>2125.4</v>
          </cell>
          <cell r="J1976">
            <v>4168.8</v>
          </cell>
          <cell r="K1976" t="str">
            <v>D</v>
          </cell>
          <cell r="L1976">
            <v>11669</v>
          </cell>
        </row>
        <row r="1977">
          <cell r="A1977">
            <v>11528</v>
          </cell>
          <cell r="B1977" t="str">
            <v>4.2.01.010.0031</v>
          </cell>
          <cell r="C1977" t="str">
            <v xml:space="preserve">SERVICOS TECNICOS ADM </v>
          </cell>
          <cell r="D1977">
            <v>6153</v>
          </cell>
          <cell r="E1977" t="str">
            <v>D</v>
          </cell>
          <cell r="G1977">
            <v>6153</v>
          </cell>
          <cell r="H1977">
            <v>0</v>
          </cell>
          <cell r="I1977">
            <v>6153</v>
          </cell>
          <cell r="J1977">
            <v>12306</v>
          </cell>
          <cell r="K1977" t="str">
            <v>D</v>
          </cell>
          <cell r="L1977">
            <v>11528</v>
          </cell>
        </row>
        <row r="1978">
          <cell r="A1978">
            <v>11522</v>
          </cell>
          <cell r="B1978" t="str">
            <v>4.2.01.010.0032</v>
          </cell>
          <cell r="C1978" t="str">
            <v xml:space="preserve">HONORARIOS DE </v>
          </cell>
          <cell r="D1978">
            <v>145670.20000000001</v>
          </cell>
          <cell r="E1978" t="str">
            <v>D</v>
          </cell>
          <cell r="G1978">
            <v>105202.97</v>
          </cell>
          <cell r="H1978">
            <v>0</v>
          </cell>
          <cell r="I1978">
            <v>105202.97</v>
          </cell>
          <cell r="J1978">
            <v>250873.17</v>
          </cell>
          <cell r="K1978" t="str">
            <v>D</v>
          </cell>
          <cell r="L1978">
            <v>11522</v>
          </cell>
        </row>
        <row r="1979">
          <cell r="A1979">
            <v>11527</v>
          </cell>
          <cell r="B1979" t="str">
            <v>4.2.01.010.0033</v>
          </cell>
          <cell r="C1979" t="str">
            <v xml:space="preserve">HONORARIOS DE SERVICOS </v>
          </cell>
          <cell r="D1979">
            <v>11042.6</v>
          </cell>
          <cell r="E1979" t="str">
            <v>D</v>
          </cell>
          <cell r="G1979">
            <v>9643.11</v>
          </cell>
          <cell r="H1979">
            <v>0</v>
          </cell>
          <cell r="I1979">
            <v>9643.11</v>
          </cell>
          <cell r="J1979">
            <v>20685.71</v>
          </cell>
          <cell r="K1979" t="str">
            <v>D</v>
          </cell>
          <cell r="L1979">
            <v>11527</v>
          </cell>
        </row>
        <row r="1980">
          <cell r="A1980">
            <v>11540</v>
          </cell>
          <cell r="B1980" t="str">
            <v>4.2.01.010.0034</v>
          </cell>
          <cell r="C1980" t="str">
            <v xml:space="preserve">SERVICOS DIVERSOS - </v>
          </cell>
          <cell r="D1980">
            <v>22281.59</v>
          </cell>
          <cell r="E1980" t="str">
            <v>D</v>
          </cell>
          <cell r="G1980">
            <v>29064.59</v>
          </cell>
          <cell r="H1980">
            <v>0</v>
          </cell>
          <cell r="I1980">
            <v>29064.59</v>
          </cell>
          <cell r="J1980">
            <v>51346.18</v>
          </cell>
          <cell r="K1980" t="str">
            <v>D</v>
          </cell>
          <cell r="L1980">
            <v>11540</v>
          </cell>
        </row>
        <row r="1981">
          <cell r="A1981">
            <v>51090</v>
          </cell>
          <cell r="B1981" t="str">
            <v>4.2.01.010.0035</v>
          </cell>
          <cell r="C1981" t="str">
            <v xml:space="preserve">SERVICOS MANUTENCAO AR </v>
          </cell>
          <cell r="D1981">
            <v>6313.5</v>
          </cell>
          <cell r="E1981" t="str">
            <v>D</v>
          </cell>
          <cell r="G1981">
            <v>24023.5</v>
          </cell>
          <cell r="H1981">
            <v>0</v>
          </cell>
          <cell r="I1981">
            <v>24023.5</v>
          </cell>
          <cell r="J1981">
            <v>30337</v>
          </cell>
          <cell r="K1981" t="str">
            <v>D</v>
          </cell>
          <cell r="L1981">
            <v>51090</v>
          </cell>
        </row>
        <row r="1982">
          <cell r="A1982">
            <v>52206</v>
          </cell>
          <cell r="B1982" t="str">
            <v>4.2.01.010.0036</v>
          </cell>
          <cell r="C1982" t="str">
            <v xml:space="preserve">SERV ESPECIALIZADO EM </v>
          </cell>
          <cell r="D1982">
            <v>1888.45</v>
          </cell>
          <cell r="E1982" t="str">
            <v>D</v>
          </cell>
          <cell r="G1982">
            <v>1888.45</v>
          </cell>
          <cell r="H1982">
            <v>0</v>
          </cell>
          <cell r="I1982">
            <v>1888.45</v>
          </cell>
          <cell r="J1982">
            <v>3776.9</v>
          </cell>
          <cell r="K1982" t="str">
            <v>D</v>
          </cell>
          <cell r="L1982">
            <v>52206</v>
          </cell>
        </row>
        <row r="1983">
          <cell r="A1983">
            <v>53792</v>
          </cell>
          <cell r="B1983" t="str">
            <v>4.2.01.010.0041</v>
          </cell>
          <cell r="C1983" t="str">
            <v xml:space="preserve">SERVICO DE MANUTENÇÃO </v>
          </cell>
          <cell r="D1983">
            <v>44762.2</v>
          </cell>
          <cell r="E1983" t="str">
            <v>D</v>
          </cell>
          <cell r="G1983">
            <v>51143.06</v>
          </cell>
          <cell r="H1983">
            <v>0</v>
          </cell>
          <cell r="I1983">
            <v>51143.06</v>
          </cell>
          <cell r="J1983">
            <v>95905.26</v>
          </cell>
          <cell r="K1983" t="str">
            <v>D</v>
          </cell>
          <cell r="L1983">
            <v>53792</v>
          </cell>
        </row>
        <row r="1984">
          <cell r="A1984">
            <v>54164</v>
          </cell>
          <cell r="B1984" t="str">
            <v>4.2.01.010.0042</v>
          </cell>
          <cell r="C1984" t="str">
            <v xml:space="preserve">LOCACAO DE EQUIPAMENTOS </v>
          </cell>
          <cell r="D1984">
            <v>11895</v>
          </cell>
          <cell r="E1984" t="str">
            <v>D</v>
          </cell>
          <cell r="G1984">
            <v>11895</v>
          </cell>
          <cell r="H1984">
            <v>0</v>
          </cell>
          <cell r="I1984">
            <v>11895</v>
          </cell>
          <cell r="J1984">
            <v>23790</v>
          </cell>
          <cell r="K1984" t="str">
            <v>D</v>
          </cell>
          <cell r="L1984">
            <v>54164</v>
          </cell>
        </row>
        <row r="1985">
          <cell r="A1985">
            <v>11554</v>
          </cell>
          <cell r="B1985" t="str">
            <v>4.2.01.030</v>
          </cell>
          <cell r="C1985" t="str">
            <v xml:space="preserve">ALUGUEIS </v>
          </cell>
          <cell r="D1985">
            <v>179451.89</v>
          </cell>
          <cell r="E1985" t="str">
            <v>D</v>
          </cell>
          <cell r="G1985">
            <v>163414.78</v>
          </cell>
          <cell r="H1985">
            <v>7161.82</v>
          </cell>
          <cell r="I1985">
            <v>156252.96</v>
          </cell>
          <cell r="J1985">
            <v>335704.85</v>
          </cell>
          <cell r="K1985" t="str">
            <v>D</v>
          </cell>
          <cell r="L1985" t="e">
            <v>#N/A</v>
          </cell>
        </row>
        <row r="1986">
          <cell r="A1986">
            <v>11563</v>
          </cell>
          <cell r="B1986" t="str">
            <v>4.2.01.030.0001</v>
          </cell>
          <cell r="C1986" t="str">
            <v>ALUGUEL</v>
          </cell>
          <cell r="D1986">
            <v>132260.47</v>
          </cell>
          <cell r="E1986" t="str">
            <v>D</v>
          </cell>
          <cell r="G1986">
            <v>116490.76</v>
          </cell>
          <cell r="H1986">
            <v>7161.82</v>
          </cell>
          <cell r="I1986">
            <v>109328.94</v>
          </cell>
          <cell r="J1986">
            <v>241589.41</v>
          </cell>
          <cell r="K1986" t="str">
            <v>D</v>
          </cell>
          <cell r="L1986">
            <v>11563</v>
          </cell>
        </row>
        <row r="1987">
          <cell r="A1987">
            <v>11634</v>
          </cell>
          <cell r="B1987" t="str">
            <v>4.2.01.030.0002</v>
          </cell>
          <cell r="C1987" t="str">
            <v xml:space="preserve"> EQUIPAMENTOS </v>
          </cell>
          <cell r="D1987">
            <v>21101.7</v>
          </cell>
          <cell r="E1987" t="str">
            <v>D</v>
          </cell>
          <cell r="G1987">
            <v>21328.14</v>
          </cell>
          <cell r="H1987">
            <v>0</v>
          </cell>
          <cell r="I1987">
            <v>21328.14</v>
          </cell>
          <cell r="J1987">
            <v>42429.84</v>
          </cell>
          <cell r="K1987" t="str">
            <v>D</v>
          </cell>
          <cell r="L1987">
            <v>11634</v>
          </cell>
        </row>
        <row r="1988">
          <cell r="A1988">
            <v>11704</v>
          </cell>
          <cell r="B1988" t="str">
            <v>4.2.01.030.0003</v>
          </cell>
          <cell r="C1988" t="str">
            <v xml:space="preserve">ESTACIONAMENTO </v>
          </cell>
          <cell r="D1988">
            <v>5856</v>
          </cell>
          <cell r="E1988" t="str">
            <v>D</v>
          </cell>
          <cell r="G1988">
            <v>6690</v>
          </cell>
          <cell r="H1988">
            <v>0</v>
          </cell>
          <cell r="I1988">
            <v>6690</v>
          </cell>
          <cell r="J1988">
            <v>12546</v>
          </cell>
          <cell r="K1988" t="str">
            <v>D</v>
          </cell>
          <cell r="L1988">
            <v>11704</v>
          </cell>
        </row>
        <row r="1989">
          <cell r="A1989">
            <v>53791</v>
          </cell>
          <cell r="B1989" t="str">
            <v>4.2.01.030.0006</v>
          </cell>
          <cell r="C1989" t="str">
            <v>ALUGUEL PREDIAL IEP</v>
          </cell>
          <cell r="D1989">
            <v>20233.72</v>
          </cell>
          <cell r="E1989" t="str">
            <v>D</v>
          </cell>
          <cell r="G1989">
            <v>18905.88</v>
          </cell>
          <cell r="H1989">
            <v>0</v>
          </cell>
          <cell r="I1989">
            <v>18905.88</v>
          </cell>
          <cell r="J1989">
            <v>39139.599999999999</v>
          </cell>
          <cell r="K1989" t="str">
            <v>D</v>
          </cell>
          <cell r="L1989">
            <v>53791</v>
          </cell>
        </row>
        <row r="1990">
          <cell r="A1990">
            <v>11571</v>
          </cell>
          <cell r="B1990" t="str">
            <v>4.2.01.040</v>
          </cell>
          <cell r="C1990" t="str">
            <v>UTILIDADES</v>
          </cell>
          <cell r="D1990">
            <v>379143.98</v>
          </cell>
          <cell r="E1990" t="str">
            <v>D</v>
          </cell>
          <cell r="G1990">
            <v>655584.75</v>
          </cell>
          <cell r="H1990">
            <v>260448.36</v>
          </cell>
          <cell r="I1990">
            <v>395136.39</v>
          </cell>
          <cell r="J1990">
            <v>774280.37</v>
          </cell>
          <cell r="K1990" t="str">
            <v>D</v>
          </cell>
          <cell r="L1990" t="e">
            <v>#N/A</v>
          </cell>
        </row>
        <row r="1991">
          <cell r="A1991">
            <v>11576</v>
          </cell>
          <cell r="B1991" t="str">
            <v>4.2.01.040.0001</v>
          </cell>
          <cell r="C1991" t="str">
            <v xml:space="preserve">AGUA </v>
          </cell>
          <cell r="D1991">
            <v>29137.200000000001</v>
          </cell>
          <cell r="E1991" t="str">
            <v>D</v>
          </cell>
          <cell r="G1991">
            <v>41923.19</v>
          </cell>
          <cell r="H1991">
            <v>0</v>
          </cell>
          <cell r="I1991">
            <v>41923.19</v>
          </cell>
          <cell r="J1991">
            <v>71060.39</v>
          </cell>
          <cell r="K1991" t="str">
            <v>D</v>
          </cell>
          <cell r="L1991">
            <v>11576</v>
          </cell>
        </row>
        <row r="1992">
          <cell r="A1992">
            <v>32935</v>
          </cell>
          <cell r="B1992" t="str">
            <v>4.2.01.040.0002</v>
          </cell>
          <cell r="C1992" t="str">
            <v xml:space="preserve">LUZ </v>
          </cell>
          <cell r="D1992">
            <v>252151.5</v>
          </cell>
          <cell r="E1992" t="str">
            <v>D</v>
          </cell>
          <cell r="G1992">
            <v>489769.28</v>
          </cell>
          <cell r="H1992">
            <v>252151.5</v>
          </cell>
          <cell r="I1992">
            <v>237617.78</v>
          </cell>
          <cell r="J1992">
            <v>489769.28</v>
          </cell>
          <cell r="K1992" t="str">
            <v>D</v>
          </cell>
          <cell r="L1992">
            <v>32935</v>
          </cell>
        </row>
        <row r="1993">
          <cell r="A1993">
            <v>32937</v>
          </cell>
          <cell r="B1993" t="str">
            <v>4.2.01.040.0003</v>
          </cell>
          <cell r="C1993" t="str">
            <v xml:space="preserve">GAS </v>
          </cell>
          <cell r="D1993">
            <v>32239.34</v>
          </cell>
          <cell r="E1993" t="str">
            <v>D</v>
          </cell>
          <cell r="G1993">
            <v>31951.63</v>
          </cell>
          <cell r="H1993">
            <v>0</v>
          </cell>
          <cell r="I1993">
            <v>31951.63</v>
          </cell>
          <cell r="J1993">
            <v>64190.97</v>
          </cell>
          <cell r="K1993" t="str">
            <v>D</v>
          </cell>
          <cell r="L1993">
            <v>32937</v>
          </cell>
        </row>
        <row r="1994">
          <cell r="A1994">
            <v>12305</v>
          </cell>
          <cell r="B1994" t="str">
            <v>4.2.01.040.0004</v>
          </cell>
          <cell r="C1994" t="str">
            <v>TELEFONIA MOVEL</v>
          </cell>
          <cell r="D1994">
            <v>6274.76</v>
          </cell>
          <cell r="E1994" t="str">
            <v>D</v>
          </cell>
          <cell r="G1994">
            <v>5923.37</v>
          </cell>
          <cell r="H1994">
            <v>0</v>
          </cell>
          <cell r="I1994">
            <v>5923.37</v>
          </cell>
          <cell r="J1994">
            <v>12198.13</v>
          </cell>
          <cell r="K1994" t="str">
            <v>D</v>
          </cell>
          <cell r="L1994">
            <v>12305</v>
          </cell>
        </row>
        <row r="1995">
          <cell r="A1995">
            <v>11675</v>
          </cell>
          <cell r="B1995" t="str">
            <v>4.2.01.040.0005</v>
          </cell>
          <cell r="C1995" t="str">
            <v>TELEFONIA FIXA</v>
          </cell>
          <cell r="D1995">
            <v>2844.87</v>
          </cell>
          <cell r="E1995" t="str">
            <v>D</v>
          </cell>
          <cell r="G1995">
            <v>2503.88</v>
          </cell>
          <cell r="H1995">
            <v>0</v>
          </cell>
          <cell r="I1995">
            <v>2503.88</v>
          </cell>
          <cell r="J1995">
            <v>5348.75</v>
          </cell>
          <cell r="K1995" t="str">
            <v>D</v>
          </cell>
          <cell r="L1995">
            <v>11675</v>
          </cell>
        </row>
        <row r="1996">
          <cell r="A1996">
            <v>33003</v>
          </cell>
          <cell r="B1996" t="str">
            <v>4.2.01.040.0006</v>
          </cell>
          <cell r="C1996" t="str">
            <v xml:space="preserve">AGUA - (DIRETO) - </v>
          </cell>
          <cell r="D1996">
            <v>24747.33</v>
          </cell>
          <cell r="E1996" t="str">
            <v>D</v>
          </cell>
          <cell r="G1996">
            <v>31299.65</v>
          </cell>
          <cell r="H1996">
            <v>0</v>
          </cell>
          <cell r="I1996">
            <v>31299.65</v>
          </cell>
          <cell r="J1996">
            <v>56046.98</v>
          </cell>
          <cell r="K1996" t="str">
            <v>D</v>
          </cell>
          <cell r="L1996">
            <v>33003</v>
          </cell>
        </row>
        <row r="1997">
          <cell r="A1997">
            <v>33005</v>
          </cell>
          <cell r="B1997" t="str">
            <v>4.2.01.040.0007</v>
          </cell>
          <cell r="C1997" t="str">
            <v xml:space="preserve">LUZ - (DIRETO) - </v>
          </cell>
          <cell r="D1997">
            <v>29950.98</v>
          </cell>
          <cell r="E1997" t="str">
            <v>D</v>
          </cell>
          <cell r="G1997">
            <v>50415.75</v>
          </cell>
          <cell r="H1997">
            <v>8296.86</v>
          </cell>
          <cell r="I1997">
            <v>42118.89</v>
          </cell>
          <cell r="J1997">
            <v>72069.87</v>
          </cell>
          <cell r="K1997" t="str">
            <v>D</v>
          </cell>
          <cell r="L1997">
            <v>33005</v>
          </cell>
        </row>
        <row r="1998">
          <cell r="A1998">
            <v>33004</v>
          </cell>
          <cell r="B1998" t="str">
            <v>4.2.01.040.0008</v>
          </cell>
          <cell r="C1998" t="str">
            <v>TELEFONE - (DIRETO) - MANTE</v>
          </cell>
          <cell r="D1998">
            <v>1798</v>
          </cell>
          <cell r="E1998" t="str">
            <v>D</v>
          </cell>
          <cell r="G1998">
            <v>1798</v>
          </cell>
          <cell r="H1998">
            <v>0</v>
          </cell>
          <cell r="I1998">
            <v>1798</v>
          </cell>
          <cell r="J1998">
            <v>3596</v>
          </cell>
          <cell r="K1998" t="str">
            <v>D</v>
          </cell>
          <cell r="L1998">
            <v>33004</v>
          </cell>
        </row>
        <row r="1999">
          <cell r="A1999">
            <v>11585</v>
          </cell>
          <cell r="B1999" t="str">
            <v>4.2.01.050</v>
          </cell>
          <cell r="C1999" t="str">
            <v>MATERIAIS MANUTENCAO</v>
          </cell>
          <cell r="D1999">
            <v>103406.45</v>
          </cell>
          <cell r="E1999" t="str">
            <v>D</v>
          </cell>
          <cell r="G1999">
            <v>121105.85</v>
          </cell>
          <cell r="H1999">
            <v>1033.53</v>
          </cell>
          <cell r="I1999">
            <v>120072.32000000001</v>
          </cell>
          <cell r="J1999">
            <v>223478.77</v>
          </cell>
          <cell r="K1999" t="str">
            <v>D</v>
          </cell>
          <cell r="L1999" t="e">
            <v>#N/A</v>
          </cell>
        </row>
        <row r="2000">
          <cell r="A2000">
            <v>12330</v>
          </cell>
          <cell r="B2000" t="str">
            <v>4.2.01.050.0001</v>
          </cell>
          <cell r="C2000" t="str">
            <v xml:space="preserve">MANUTENCAO GERAL  </v>
          </cell>
          <cell r="D2000">
            <v>65700.479999999996</v>
          </cell>
          <cell r="E2000" t="str">
            <v>D</v>
          </cell>
          <cell r="G2000">
            <v>87181.89</v>
          </cell>
          <cell r="H2000">
            <v>242.19</v>
          </cell>
          <cell r="I2000">
            <v>86939.7</v>
          </cell>
          <cell r="J2000">
            <v>152640.18</v>
          </cell>
          <cell r="K2000" t="str">
            <v>D</v>
          </cell>
          <cell r="L2000">
            <v>12330</v>
          </cell>
        </row>
        <row r="2001">
          <cell r="A2001">
            <v>12893</v>
          </cell>
          <cell r="B2001" t="str">
            <v>4.2.01.050.0002</v>
          </cell>
          <cell r="C2001" t="str">
            <v xml:space="preserve">MANUTENCAO PREDIAL </v>
          </cell>
          <cell r="D2001">
            <v>5588.99</v>
          </cell>
          <cell r="E2001" t="str">
            <v>D</v>
          </cell>
          <cell r="G2001">
            <v>4619.71</v>
          </cell>
          <cell r="H2001">
            <v>0</v>
          </cell>
          <cell r="I2001">
            <v>4619.71</v>
          </cell>
          <cell r="J2001">
            <v>10208.700000000001</v>
          </cell>
          <cell r="K2001" t="str">
            <v>D</v>
          </cell>
          <cell r="L2001">
            <v>12893</v>
          </cell>
        </row>
        <row r="2002">
          <cell r="A2002">
            <v>12334</v>
          </cell>
          <cell r="B2002" t="str">
            <v>4.2.01.050.0003</v>
          </cell>
          <cell r="C2002" t="str">
            <v>MAQUINAS/EQUIPAMENTOS</v>
          </cell>
          <cell r="D2002">
            <v>32116.98</v>
          </cell>
          <cell r="E2002" t="str">
            <v>D</v>
          </cell>
          <cell r="G2002">
            <v>29304.25</v>
          </cell>
          <cell r="H2002">
            <v>791.34</v>
          </cell>
          <cell r="I2002">
            <v>28512.91</v>
          </cell>
          <cell r="J2002">
            <v>60629.89</v>
          </cell>
          <cell r="K2002" t="str">
            <v>D</v>
          </cell>
          <cell r="L2002">
            <v>12334</v>
          </cell>
        </row>
        <row r="2003">
          <cell r="A2003">
            <v>40541</v>
          </cell>
          <cell r="B2003" t="str">
            <v>4.2.01.060</v>
          </cell>
          <cell r="C2003" t="str">
            <v xml:space="preserve"> DESPESAS GERAIS</v>
          </cell>
          <cell r="D2003">
            <v>90251</v>
          </cell>
          <cell r="E2003" t="str">
            <v>D</v>
          </cell>
          <cell r="G2003">
            <v>92139.21</v>
          </cell>
          <cell r="H2003">
            <v>77.81</v>
          </cell>
          <cell r="I2003">
            <v>92061.4</v>
          </cell>
          <cell r="J2003">
            <v>182312.4</v>
          </cell>
          <cell r="K2003" t="str">
            <v>D</v>
          </cell>
          <cell r="L2003" t="e">
            <v>#N/A</v>
          </cell>
        </row>
        <row r="2004">
          <cell r="A2004">
            <v>12881</v>
          </cell>
          <cell r="B2004" t="str">
            <v>4.2.01.060.0002</v>
          </cell>
          <cell r="C2004" t="str">
            <v xml:space="preserve">LANCHES E REFEICOES </v>
          </cell>
          <cell r="D2004">
            <v>33.33</v>
          </cell>
          <cell r="E2004" t="str">
            <v>D</v>
          </cell>
          <cell r="G2004">
            <v>854.6</v>
          </cell>
          <cell r="H2004">
            <v>0</v>
          </cell>
          <cell r="I2004">
            <v>854.6</v>
          </cell>
          <cell r="J2004">
            <v>887.93</v>
          </cell>
          <cell r="K2004" t="str">
            <v>D</v>
          </cell>
          <cell r="L2004">
            <v>12881</v>
          </cell>
        </row>
        <row r="2005">
          <cell r="A2005">
            <v>12864</v>
          </cell>
          <cell r="B2005" t="str">
            <v>4.2.01.060.0003</v>
          </cell>
          <cell r="C2005" t="str">
            <v xml:space="preserve">CAMPANHAS E EVENTOS </v>
          </cell>
          <cell r="D2005">
            <v>170</v>
          </cell>
          <cell r="E2005" t="str">
            <v>D</v>
          </cell>
          <cell r="G2005">
            <v>0</v>
          </cell>
          <cell r="H2005">
            <v>0</v>
          </cell>
          <cell r="I2005">
            <v>0</v>
          </cell>
          <cell r="J2005">
            <v>170</v>
          </cell>
          <cell r="K2005" t="str">
            <v>D</v>
          </cell>
          <cell r="L2005">
            <v>12864</v>
          </cell>
        </row>
        <row r="2006">
          <cell r="A2006">
            <v>11692</v>
          </cell>
          <cell r="B2006" t="str">
            <v>4.2.01.060.0004</v>
          </cell>
          <cell r="C2006" t="str">
            <v xml:space="preserve">VIAGENS E ESTADIAS </v>
          </cell>
          <cell r="D2006">
            <v>3024.59</v>
          </cell>
          <cell r="E2006" t="str">
            <v>D</v>
          </cell>
          <cell r="G2006">
            <v>3600.07</v>
          </cell>
          <cell r="H2006">
            <v>0</v>
          </cell>
          <cell r="I2006">
            <v>3600.07</v>
          </cell>
          <cell r="J2006">
            <v>6624.66</v>
          </cell>
          <cell r="K2006" t="str">
            <v>D</v>
          </cell>
          <cell r="L2006">
            <v>11692</v>
          </cell>
        </row>
        <row r="2007">
          <cell r="A2007">
            <v>11784</v>
          </cell>
          <cell r="B2007" t="str">
            <v>4.2.01.060.0005</v>
          </cell>
          <cell r="C2007" t="str">
            <v xml:space="preserve">PUBLICIDADE E PROPAGANDA </v>
          </cell>
          <cell r="D2007">
            <v>8049.44</v>
          </cell>
          <cell r="E2007" t="str">
            <v>D</v>
          </cell>
          <cell r="G2007">
            <v>5592</v>
          </cell>
          <cell r="H2007">
            <v>0</v>
          </cell>
          <cell r="I2007">
            <v>5592</v>
          </cell>
          <cell r="J2007">
            <v>13641.44</v>
          </cell>
          <cell r="K2007" t="str">
            <v>D</v>
          </cell>
          <cell r="L2007">
            <v>11784</v>
          </cell>
        </row>
        <row r="2008">
          <cell r="A2008">
            <v>11983</v>
          </cell>
          <cell r="B2008" t="str">
            <v>4.2.01.060.0006</v>
          </cell>
          <cell r="C2008" t="str">
            <v>LIVROS/JORNAIS/REVISTAS/PE</v>
          </cell>
          <cell r="D2008">
            <v>2111.36</v>
          </cell>
          <cell r="E2008" t="str">
            <v>D</v>
          </cell>
          <cell r="G2008">
            <v>3616.36</v>
          </cell>
          <cell r="H2008">
            <v>0</v>
          </cell>
          <cell r="I2008">
            <v>3616.36</v>
          </cell>
          <cell r="J2008">
            <v>5727.72</v>
          </cell>
          <cell r="K2008" t="str">
            <v>D</v>
          </cell>
          <cell r="L2008">
            <v>11983</v>
          </cell>
        </row>
        <row r="2009">
          <cell r="A2009">
            <v>12316</v>
          </cell>
          <cell r="B2009" t="str">
            <v>4.2.01.060.0007</v>
          </cell>
          <cell r="C2009" t="str">
            <v xml:space="preserve">BENS DE PEQUENO VALOR </v>
          </cell>
          <cell r="D2009">
            <v>28906.53</v>
          </cell>
          <cell r="E2009" t="str">
            <v>D</v>
          </cell>
          <cell r="G2009">
            <v>41807.4</v>
          </cell>
          <cell r="H2009">
            <v>77.81</v>
          </cell>
          <cell r="I2009">
            <v>41729.589999999997</v>
          </cell>
          <cell r="J2009">
            <v>70636.12</v>
          </cell>
          <cell r="K2009" t="str">
            <v>D</v>
          </cell>
          <cell r="L2009">
            <v>12316</v>
          </cell>
        </row>
        <row r="2010">
          <cell r="A2010">
            <v>11698</v>
          </cell>
          <cell r="B2010" t="str">
            <v>4.2.01.060.0009</v>
          </cell>
          <cell r="C2010" t="str">
            <v xml:space="preserve">CONDUCOES E PASSAGENS - </v>
          </cell>
          <cell r="D2010">
            <v>81.11</v>
          </cell>
          <cell r="E2010" t="str">
            <v>D</v>
          </cell>
          <cell r="G2010">
            <v>0</v>
          </cell>
          <cell r="H2010">
            <v>0</v>
          </cell>
          <cell r="I2010">
            <v>0</v>
          </cell>
          <cell r="J2010">
            <v>81.11</v>
          </cell>
          <cell r="K2010" t="str">
            <v>D</v>
          </cell>
          <cell r="L2010">
            <v>11698</v>
          </cell>
        </row>
        <row r="2011">
          <cell r="A2011">
            <v>11623</v>
          </cell>
          <cell r="B2011" t="str">
            <v>4.2.01.060.0014</v>
          </cell>
          <cell r="C2011" t="str">
            <v xml:space="preserve">OUTRAS DESPESAS - </v>
          </cell>
          <cell r="D2011">
            <v>475.2</v>
          </cell>
          <cell r="E2011" t="str">
            <v>D</v>
          </cell>
          <cell r="G2011">
            <v>2180.5500000000002</v>
          </cell>
          <cell r="H2011">
            <v>0</v>
          </cell>
          <cell r="I2011">
            <v>2180.5500000000002</v>
          </cell>
          <cell r="J2011">
            <v>2655.75</v>
          </cell>
          <cell r="K2011" t="str">
            <v>D</v>
          </cell>
          <cell r="L2011">
            <v>11623</v>
          </cell>
        </row>
        <row r="2012">
          <cell r="A2012">
            <v>53803</v>
          </cell>
          <cell r="B2012" t="str">
            <v>4.2.01.060.0018</v>
          </cell>
          <cell r="C2012" t="str">
            <v>DESPESAS IEP</v>
          </cell>
          <cell r="D2012">
            <v>47399.44</v>
          </cell>
          <cell r="E2012" t="str">
            <v>D</v>
          </cell>
          <cell r="G2012">
            <v>34488.230000000003</v>
          </cell>
          <cell r="H2012">
            <v>0</v>
          </cell>
          <cell r="I2012">
            <v>34488.230000000003</v>
          </cell>
          <cell r="J2012">
            <v>81887.67</v>
          </cell>
          <cell r="K2012" t="str">
            <v>D</v>
          </cell>
          <cell r="L2012">
            <v>53803</v>
          </cell>
        </row>
        <row r="2013">
          <cell r="A2013">
            <v>53070</v>
          </cell>
          <cell r="B2013" t="str">
            <v>4.2.01.070</v>
          </cell>
          <cell r="C2013" t="str">
            <v>CARTORIO</v>
          </cell>
          <cell r="D2013">
            <v>9.1999999999999993</v>
          </cell>
          <cell r="E2013" t="str">
            <v>D</v>
          </cell>
          <cell r="G2013">
            <v>57.42</v>
          </cell>
          <cell r="H2013">
            <v>95.48</v>
          </cell>
          <cell r="I2013">
            <v>-38.06</v>
          </cell>
          <cell r="J2013">
            <v>-28.86</v>
          </cell>
          <cell r="K2013" t="str">
            <v>C</v>
          </cell>
          <cell r="L2013" t="e">
            <v>#N/A</v>
          </cell>
        </row>
        <row r="2014">
          <cell r="A2014">
            <v>51091</v>
          </cell>
          <cell r="B2014" t="str">
            <v>4.2.01.070.0001</v>
          </cell>
          <cell r="C2014" t="str">
            <v>AUTENTICACOES E.</v>
          </cell>
          <cell r="D2014">
            <v>9.1999999999999993</v>
          </cell>
          <cell r="E2014" t="str">
            <v>D</v>
          </cell>
          <cell r="G2014">
            <v>57.42</v>
          </cell>
          <cell r="H2014">
            <v>0</v>
          </cell>
          <cell r="I2014">
            <v>57.42</v>
          </cell>
          <cell r="J2014">
            <v>66.62</v>
          </cell>
          <cell r="K2014" t="str">
            <v>D</v>
          </cell>
          <cell r="L2014">
            <v>51091</v>
          </cell>
        </row>
        <row r="2015">
          <cell r="A2015">
            <v>12291</v>
          </cell>
          <cell r="B2015" t="str">
            <v>4.2.01.070.0003</v>
          </cell>
          <cell r="C2015" t="str">
            <v>PROTESTO</v>
          </cell>
          <cell r="D2015">
            <v>0</v>
          </cell>
          <cell r="E2015" t="str">
            <v>D</v>
          </cell>
          <cell r="G2015">
            <v>0</v>
          </cell>
          <cell r="H2015">
            <v>95.48</v>
          </cell>
          <cell r="I2015">
            <v>-95.48</v>
          </cell>
          <cell r="J2015">
            <v>-95.48</v>
          </cell>
          <cell r="K2015" t="str">
            <v>C</v>
          </cell>
          <cell r="L2015">
            <v>12291</v>
          </cell>
        </row>
        <row r="2016">
          <cell r="A2016">
            <v>11641</v>
          </cell>
          <cell r="B2016" t="str">
            <v>4.2.01.080</v>
          </cell>
          <cell r="C2016" t="str">
            <v>VEICULOS</v>
          </cell>
          <cell r="D2016">
            <v>3917.02</v>
          </cell>
          <cell r="E2016" t="str">
            <v>D</v>
          </cell>
          <cell r="G2016">
            <v>20797.189999999999</v>
          </cell>
          <cell r="H2016">
            <v>260.32</v>
          </cell>
          <cell r="I2016">
            <v>20536.87</v>
          </cell>
          <cell r="J2016">
            <v>24453.89</v>
          </cell>
          <cell r="K2016" t="str">
            <v>D</v>
          </cell>
          <cell r="L2016" t="e">
            <v>#N/A</v>
          </cell>
        </row>
        <row r="2017">
          <cell r="A2017">
            <v>38302</v>
          </cell>
          <cell r="B2017" t="str">
            <v>4.2.01.080.0001</v>
          </cell>
          <cell r="C2017" t="str">
            <v xml:space="preserve">MULTAS DE TRANSITO </v>
          </cell>
          <cell r="D2017">
            <v>0</v>
          </cell>
          <cell r="E2017" t="str">
            <v>D</v>
          </cell>
          <cell r="G2017">
            <v>0</v>
          </cell>
          <cell r="H2017">
            <v>260.32</v>
          </cell>
          <cell r="I2017">
            <v>-260.32</v>
          </cell>
          <cell r="J2017">
            <v>-260.32</v>
          </cell>
          <cell r="K2017" t="str">
            <v>C</v>
          </cell>
          <cell r="L2017">
            <v>38302</v>
          </cell>
        </row>
        <row r="2018">
          <cell r="A2018">
            <v>11652</v>
          </cell>
          <cell r="B2018" t="str">
            <v>4.2.01.080.0003</v>
          </cell>
          <cell r="C2018" t="str">
            <v xml:space="preserve">COMBUSTIVEL E </v>
          </cell>
          <cell r="D2018">
            <v>1391.02</v>
          </cell>
          <cell r="E2018" t="str">
            <v>D</v>
          </cell>
          <cell r="G2018">
            <v>18367.189999999999</v>
          </cell>
          <cell r="H2018">
            <v>0</v>
          </cell>
          <cell r="I2018">
            <v>18367.189999999999</v>
          </cell>
          <cell r="J2018">
            <v>19758.21</v>
          </cell>
          <cell r="K2018" t="str">
            <v>D</v>
          </cell>
          <cell r="L2018">
            <v>11652</v>
          </cell>
        </row>
        <row r="2019">
          <cell r="A2019">
            <v>11646</v>
          </cell>
          <cell r="B2019" t="str">
            <v>4.2.01.080.0004</v>
          </cell>
          <cell r="C2019" t="str">
            <v xml:space="preserve">MANUTENCAO VEICULOS </v>
          </cell>
          <cell r="D2019">
            <v>2526</v>
          </cell>
          <cell r="E2019" t="str">
            <v>D</v>
          </cell>
          <cell r="G2019">
            <v>2430</v>
          </cell>
          <cell r="H2019">
            <v>0</v>
          </cell>
          <cell r="I2019">
            <v>2430</v>
          </cell>
          <cell r="J2019">
            <v>4956</v>
          </cell>
          <cell r="K2019" t="str">
            <v>D</v>
          </cell>
          <cell r="L2019">
            <v>11646</v>
          </cell>
        </row>
        <row r="2020">
          <cell r="A2020">
            <v>11653</v>
          </cell>
          <cell r="B2020" t="str">
            <v>4.2.01.090</v>
          </cell>
          <cell r="C2020" t="str">
            <v>SEGUROS DIVERSOS</v>
          </cell>
          <cell r="D2020">
            <v>5473.67</v>
          </cell>
          <cell r="E2020" t="str">
            <v>D</v>
          </cell>
          <cell r="G2020">
            <v>3551.51</v>
          </cell>
          <cell r="H2020">
            <v>0</v>
          </cell>
          <cell r="I2020">
            <v>3551.51</v>
          </cell>
          <cell r="J2020">
            <v>9025.18</v>
          </cell>
          <cell r="K2020" t="str">
            <v>D</v>
          </cell>
          <cell r="L2020" t="e">
            <v>#N/A</v>
          </cell>
        </row>
        <row r="2021">
          <cell r="A2021">
            <v>11715</v>
          </cell>
          <cell r="B2021" t="str">
            <v>4.2.01.090.0002</v>
          </cell>
          <cell r="C2021" t="str">
            <v xml:space="preserve">BENS IMOVEIS SEGUROS </v>
          </cell>
          <cell r="D2021">
            <v>4360.21</v>
          </cell>
          <cell r="E2021" t="str">
            <v>D</v>
          </cell>
          <cell r="G2021">
            <v>2950.41</v>
          </cell>
          <cell r="H2021">
            <v>0</v>
          </cell>
          <cell r="I2021">
            <v>2950.41</v>
          </cell>
          <cell r="J2021">
            <v>7310.62</v>
          </cell>
          <cell r="K2021" t="str">
            <v>D</v>
          </cell>
          <cell r="L2021">
            <v>11715</v>
          </cell>
        </row>
        <row r="2022">
          <cell r="A2022">
            <v>11721</v>
          </cell>
          <cell r="B2022" t="str">
            <v>4.2.01.090.0003</v>
          </cell>
          <cell r="C2022" t="str">
            <v>VEICULOS SEGUROS</v>
          </cell>
          <cell r="D2022">
            <v>1113.46</v>
          </cell>
          <cell r="E2022" t="str">
            <v>D</v>
          </cell>
          <cell r="G2022">
            <v>601.1</v>
          </cell>
          <cell r="H2022">
            <v>0</v>
          </cell>
          <cell r="I2022">
            <v>601.1</v>
          </cell>
          <cell r="J2022">
            <v>1714.56</v>
          </cell>
          <cell r="K2022" t="str">
            <v>D</v>
          </cell>
          <cell r="L2022">
            <v>11721</v>
          </cell>
        </row>
        <row r="2023">
          <cell r="A2023">
            <v>11740</v>
          </cell>
          <cell r="B2023" t="str">
            <v>4.2.02</v>
          </cell>
          <cell r="C2023" t="str">
            <v xml:space="preserve">DEPRECIACOES E </v>
          </cell>
          <cell r="D2023">
            <v>216337.51</v>
          </cell>
          <cell r="E2023" t="str">
            <v>D</v>
          </cell>
          <cell r="G2023">
            <v>235110.31</v>
          </cell>
          <cell r="H2023">
            <v>5127.41</v>
          </cell>
          <cell r="I2023">
            <v>229982.9</v>
          </cell>
          <cell r="J2023">
            <v>446320.41</v>
          </cell>
          <cell r="K2023" t="str">
            <v>D</v>
          </cell>
          <cell r="L2023" t="e">
            <v>#N/A</v>
          </cell>
        </row>
        <row r="2024">
          <cell r="A2024">
            <v>11741</v>
          </cell>
          <cell r="B2024" t="str">
            <v>4.2.02.010</v>
          </cell>
          <cell r="C2024" t="str">
            <v xml:space="preserve">DEPRECIACOES E </v>
          </cell>
          <cell r="D2024">
            <v>173593.3</v>
          </cell>
          <cell r="E2024" t="str">
            <v>D</v>
          </cell>
          <cell r="G2024">
            <v>192366.09</v>
          </cell>
          <cell r="H2024">
            <v>5127.41</v>
          </cell>
          <cell r="I2024">
            <v>187238.68</v>
          </cell>
          <cell r="J2024">
            <v>360831.98</v>
          </cell>
          <cell r="K2024" t="str">
            <v>D</v>
          </cell>
          <cell r="L2024" t="e">
            <v>#N/A</v>
          </cell>
        </row>
        <row r="2025">
          <cell r="A2025">
            <v>33736</v>
          </cell>
          <cell r="B2025" t="str">
            <v>4.2.02.010.0001</v>
          </cell>
          <cell r="C2025" t="str">
            <v xml:space="preserve">DEPRECIACOES EDIFICACOES </v>
          </cell>
          <cell r="D2025">
            <v>32710.93</v>
          </cell>
          <cell r="E2025" t="str">
            <v>D</v>
          </cell>
          <cell r="G2025">
            <v>32710.93</v>
          </cell>
          <cell r="H2025">
            <v>0</v>
          </cell>
          <cell r="I2025">
            <v>32710.93</v>
          </cell>
          <cell r="J2025">
            <v>65421.86</v>
          </cell>
          <cell r="K2025" t="str">
            <v>D</v>
          </cell>
          <cell r="L2025">
            <v>33736</v>
          </cell>
        </row>
        <row r="2026">
          <cell r="A2026">
            <v>11750</v>
          </cell>
          <cell r="B2026" t="str">
            <v>4.2.02.010.0002</v>
          </cell>
          <cell r="C2026" t="str">
            <v>DEPRECIACOES  GERAIS</v>
          </cell>
          <cell r="D2026">
            <v>134097.24</v>
          </cell>
          <cell r="E2026" t="str">
            <v>D</v>
          </cell>
          <cell r="G2026">
            <v>152870.03</v>
          </cell>
          <cell r="H2026">
            <v>5127.41</v>
          </cell>
          <cell r="I2026">
            <v>147742.62</v>
          </cell>
          <cell r="J2026">
            <v>281839.86</v>
          </cell>
          <cell r="K2026" t="str">
            <v>D</v>
          </cell>
          <cell r="L2026">
            <v>11750</v>
          </cell>
        </row>
        <row r="2027">
          <cell r="A2027">
            <v>11761</v>
          </cell>
          <cell r="B2027" t="str">
            <v>4.2.02.010.0003</v>
          </cell>
          <cell r="C2027" t="str">
            <v xml:space="preserve">AMORTIZACOES </v>
          </cell>
          <cell r="D2027">
            <v>6785.13</v>
          </cell>
          <cell r="E2027" t="str">
            <v>D</v>
          </cell>
          <cell r="G2027">
            <v>6785.13</v>
          </cell>
          <cell r="H2027">
            <v>0</v>
          </cell>
          <cell r="I2027">
            <v>6785.13</v>
          </cell>
          <cell r="J2027">
            <v>13570.26</v>
          </cell>
          <cell r="K2027" t="str">
            <v>D</v>
          </cell>
          <cell r="L2027">
            <v>11761</v>
          </cell>
        </row>
        <row r="2028">
          <cell r="A2028">
            <v>53696</v>
          </cell>
          <cell r="B2028" t="str">
            <v>4.2.02.011</v>
          </cell>
          <cell r="C2028" t="str">
            <v xml:space="preserve">DEPRECIACAO E </v>
          </cell>
          <cell r="D2028">
            <v>42744.21</v>
          </cell>
          <cell r="E2028" t="str">
            <v>D</v>
          </cell>
          <cell r="G2028">
            <v>42744.22</v>
          </cell>
          <cell r="H2028">
            <v>0</v>
          </cell>
          <cell r="I2028">
            <v>42744.22</v>
          </cell>
          <cell r="J2028">
            <v>85488.43</v>
          </cell>
          <cell r="K2028" t="str">
            <v>D</v>
          </cell>
          <cell r="L2028" t="e">
            <v>#N/A</v>
          </cell>
        </row>
        <row r="2029">
          <cell r="A2029">
            <v>51430</v>
          </cell>
          <cell r="B2029" t="str">
            <v>4.2.02.011.0001</v>
          </cell>
          <cell r="C2029" t="str">
            <v xml:space="preserve">DEPRECIACOES COM </v>
          </cell>
          <cell r="D2029">
            <v>42744.21</v>
          </cell>
          <cell r="E2029" t="str">
            <v>D</v>
          </cell>
          <cell r="G2029">
            <v>42744.22</v>
          </cell>
          <cell r="H2029">
            <v>0</v>
          </cell>
          <cell r="I2029">
            <v>42744.22</v>
          </cell>
          <cell r="J2029">
            <v>85488.43</v>
          </cell>
          <cell r="K2029" t="str">
            <v>D</v>
          </cell>
          <cell r="L2029">
            <v>51430</v>
          </cell>
        </row>
        <row r="2030">
          <cell r="A2030">
            <v>11803</v>
          </cell>
          <cell r="B2030" t="str">
            <v>4.2.03</v>
          </cell>
          <cell r="C2030" t="str">
            <v xml:space="preserve">TAXAS </v>
          </cell>
          <cell r="D2030">
            <v>106535.67</v>
          </cell>
          <cell r="E2030" t="str">
            <v>D</v>
          </cell>
          <cell r="G2030">
            <v>203491.74</v>
          </cell>
          <cell r="H2030">
            <v>17548.89</v>
          </cell>
          <cell r="I2030">
            <v>185942.85</v>
          </cell>
          <cell r="J2030">
            <v>292478.52</v>
          </cell>
          <cell r="K2030" t="str">
            <v>D</v>
          </cell>
          <cell r="L2030" t="e">
            <v>#N/A</v>
          </cell>
        </row>
        <row r="2031">
          <cell r="A2031">
            <v>11804</v>
          </cell>
          <cell r="B2031" t="str">
            <v>4.2.03.010</v>
          </cell>
          <cell r="C2031" t="str">
            <v>TRIBUTOS</v>
          </cell>
          <cell r="D2031">
            <v>82514.880000000005</v>
          </cell>
          <cell r="E2031" t="str">
            <v>D</v>
          </cell>
          <cell r="G2031">
            <v>70191.63</v>
          </cell>
          <cell r="H2031">
            <v>0</v>
          </cell>
          <cell r="I2031">
            <v>70191.63</v>
          </cell>
          <cell r="J2031">
            <v>152706.51</v>
          </cell>
          <cell r="K2031" t="str">
            <v>D</v>
          </cell>
          <cell r="L2031" t="e">
            <v>#N/A</v>
          </cell>
        </row>
        <row r="2032">
          <cell r="A2032">
            <v>11820</v>
          </cell>
          <cell r="B2032" t="str">
            <v>4.2.03.010.0002</v>
          </cell>
          <cell r="C2032" t="str">
            <v xml:space="preserve">IMPOSTOS MUNICIPAIS </v>
          </cell>
          <cell r="D2032">
            <v>41371.29</v>
          </cell>
          <cell r="E2032" t="str">
            <v>D</v>
          </cell>
          <cell r="G2032">
            <v>15859.83</v>
          </cell>
          <cell r="H2032">
            <v>0</v>
          </cell>
          <cell r="I2032">
            <v>15859.83</v>
          </cell>
          <cell r="J2032">
            <v>57231.12</v>
          </cell>
          <cell r="K2032" t="str">
            <v>D</v>
          </cell>
          <cell r="L2032">
            <v>11820</v>
          </cell>
        </row>
        <row r="2033">
          <cell r="A2033">
            <v>12314</v>
          </cell>
          <cell r="B2033" t="str">
            <v>4.2.03.010.0005</v>
          </cell>
          <cell r="C2033" t="str">
            <v>TAXAS E LICENCAS</v>
          </cell>
          <cell r="D2033">
            <v>37908.36</v>
          </cell>
          <cell r="E2033" t="str">
            <v>D</v>
          </cell>
          <cell r="G2033">
            <v>8148.82</v>
          </cell>
          <cell r="H2033">
            <v>0</v>
          </cell>
          <cell r="I2033">
            <v>8148.82</v>
          </cell>
          <cell r="J2033">
            <v>46057.18</v>
          </cell>
          <cell r="K2033" t="str">
            <v>D</v>
          </cell>
          <cell r="L2033">
            <v>12314</v>
          </cell>
        </row>
        <row r="2034">
          <cell r="A2034">
            <v>12336</v>
          </cell>
          <cell r="B2034" t="str">
            <v>4.2.03.010.0006</v>
          </cell>
          <cell r="C2034" t="str">
            <v xml:space="preserve">CONTRIBUICAO E </v>
          </cell>
          <cell r="D2034">
            <v>2916.06</v>
          </cell>
          <cell r="E2034" t="str">
            <v>D</v>
          </cell>
          <cell r="G2034">
            <v>46182.98</v>
          </cell>
          <cell r="H2034">
            <v>0</v>
          </cell>
          <cell r="I2034">
            <v>46182.98</v>
          </cell>
          <cell r="J2034">
            <v>49099.040000000001</v>
          </cell>
          <cell r="K2034" t="str">
            <v>D</v>
          </cell>
          <cell r="L2034">
            <v>12336</v>
          </cell>
        </row>
        <row r="2035">
          <cell r="A2035">
            <v>11862</v>
          </cell>
          <cell r="B2035" t="str">
            <v>4.2.03.010.0007</v>
          </cell>
          <cell r="C2035" t="str">
            <v xml:space="preserve">OUTROS TRIBUTOS - </v>
          </cell>
          <cell r="D2035">
            <v>319.17</v>
          </cell>
          <cell r="E2035" t="str">
            <v>D</v>
          </cell>
          <cell r="G2035">
            <v>0</v>
          </cell>
          <cell r="H2035">
            <v>0</v>
          </cell>
          <cell r="I2035">
            <v>0</v>
          </cell>
          <cell r="J2035">
            <v>319.17</v>
          </cell>
          <cell r="K2035" t="str">
            <v>D</v>
          </cell>
          <cell r="L2035">
            <v>11862</v>
          </cell>
        </row>
        <row r="2036">
          <cell r="A2036">
            <v>11869</v>
          </cell>
          <cell r="B2036" t="str">
            <v>4.2.03.020</v>
          </cell>
          <cell r="C2036" t="str">
            <v>JUDICIAIS E CONTINGENCIAS</v>
          </cell>
          <cell r="D2036">
            <v>24020.79</v>
          </cell>
          <cell r="E2036" t="str">
            <v>D</v>
          </cell>
          <cell r="G2036">
            <v>133300.10999999999</v>
          </cell>
          <cell r="H2036">
            <v>17548.89</v>
          </cell>
          <cell r="I2036">
            <v>115751.22</v>
          </cell>
          <cell r="J2036">
            <v>139772.01</v>
          </cell>
          <cell r="K2036" t="str">
            <v>D</v>
          </cell>
          <cell r="L2036" t="e">
            <v>#N/A</v>
          </cell>
        </row>
        <row r="2037">
          <cell r="A2037">
            <v>11972</v>
          </cell>
          <cell r="B2037" t="str">
            <v>4.2.03.020.0004</v>
          </cell>
          <cell r="C2037" t="str">
            <v xml:space="preserve">JUDICIAIS </v>
          </cell>
          <cell r="D2037">
            <v>8642.64</v>
          </cell>
          <cell r="E2037" t="str">
            <v>D</v>
          </cell>
          <cell r="G2037">
            <v>120489.35</v>
          </cell>
          <cell r="H2037">
            <v>17548.89</v>
          </cell>
          <cell r="I2037">
            <v>102940.46</v>
          </cell>
          <cell r="J2037">
            <v>111583.1</v>
          </cell>
          <cell r="K2037" t="str">
            <v>D</v>
          </cell>
          <cell r="L2037">
            <v>11972</v>
          </cell>
        </row>
        <row r="2038">
          <cell r="A2038">
            <v>51514</v>
          </cell>
          <cell r="B2038" t="str">
            <v>4.2.03.020.0005</v>
          </cell>
          <cell r="C2038" t="str">
            <v>MULTA ADMINISTRATIVAS</v>
          </cell>
          <cell r="D2038">
            <v>9575.6200000000008</v>
          </cell>
          <cell r="E2038" t="str">
            <v>D</v>
          </cell>
          <cell r="G2038">
            <v>6969.53</v>
          </cell>
          <cell r="H2038">
            <v>0</v>
          </cell>
          <cell r="I2038">
            <v>6969.53</v>
          </cell>
          <cell r="J2038">
            <v>16545.150000000001</v>
          </cell>
          <cell r="K2038" t="str">
            <v>D</v>
          </cell>
          <cell r="L2038">
            <v>51514</v>
          </cell>
        </row>
        <row r="2039">
          <cell r="A2039">
            <v>52148</v>
          </cell>
          <cell r="B2039" t="str">
            <v>4.2.03.020.0006</v>
          </cell>
          <cell r="C2039" t="str">
            <v xml:space="preserve">MULTA CLT (AUTO DE </v>
          </cell>
          <cell r="D2039">
            <v>5802.53</v>
          </cell>
          <cell r="E2039" t="str">
            <v>D</v>
          </cell>
          <cell r="G2039">
            <v>5841.23</v>
          </cell>
          <cell r="H2039">
            <v>0</v>
          </cell>
          <cell r="I2039">
            <v>5841.23</v>
          </cell>
          <cell r="J2039">
            <v>11643.76</v>
          </cell>
          <cell r="K2039" t="str">
            <v>D</v>
          </cell>
          <cell r="L2039">
            <v>52148</v>
          </cell>
        </row>
        <row r="2040">
          <cell r="A2040">
            <v>11064</v>
          </cell>
          <cell r="B2040" t="str">
            <v>4.3</v>
          </cell>
          <cell r="C2040" t="str">
            <v>DESPESAS FINANCEIRAS</v>
          </cell>
          <cell r="D2040">
            <v>650626.87</v>
          </cell>
          <cell r="E2040" t="str">
            <v>D</v>
          </cell>
          <cell r="G2040">
            <v>602803.18000000005</v>
          </cell>
          <cell r="H2040">
            <v>2755.54</v>
          </cell>
          <cell r="I2040">
            <v>600047.64</v>
          </cell>
          <cell r="J2040">
            <v>1250674.51</v>
          </cell>
          <cell r="K2040" t="str">
            <v>D</v>
          </cell>
          <cell r="L2040" t="e">
            <v>#N/A</v>
          </cell>
        </row>
        <row r="2041">
          <cell r="A2041">
            <v>11065</v>
          </cell>
          <cell r="B2041" t="str">
            <v>4.3.01</v>
          </cell>
          <cell r="C2041" t="str">
            <v>DESPESAS FINANCEIRAS</v>
          </cell>
          <cell r="D2041">
            <v>650626.87</v>
          </cell>
          <cell r="E2041" t="str">
            <v>D</v>
          </cell>
          <cell r="G2041">
            <v>602803.18000000005</v>
          </cell>
          <cell r="H2041">
            <v>2755.54</v>
          </cell>
          <cell r="I2041">
            <v>600047.64</v>
          </cell>
          <cell r="J2041">
            <v>1250674.51</v>
          </cell>
          <cell r="K2041" t="str">
            <v>D</v>
          </cell>
          <cell r="L2041" t="e">
            <v>#N/A</v>
          </cell>
        </row>
        <row r="2042">
          <cell r="A2042">
            <v>11140</v>
          </cell>
          <cell r="B2042" t="str">
            <v>4.3.01.010</v>
          </cell>
          <cell r="C2042" t="str">
            <v xml:space="preserve">EMPRESTIMOS  BANCARIOS </v>
          </cell>
          <cell r="D2042">
            <v>622266.75</v>
          </cell>
          <cell r="E2042" t="str">
            <v>D</v>
          </cell>
          <cell r="G2042">
            <v>576685.80000000005</v>
          </cell>
          <cell r="H2042">
            <v>92.47</v>
          </cell>
          <cell r="I2042">
            <v>576593.32999999996</v>
          </cell>
          <cell r="J2042">
            <v>1198860.08</v>
          </cell>
          <cell r="K2042" t="str">
            <v>D</v>
          </cell>
          <cell r="L2042" t="e">
            <v>#N/A</v>
          </cell>
        </row>
        <row r="2043">
          <cell r="A2043">
            <v>11159</v>
          </cell>
          <cell r="B2043" t="str">
            <v>4.3.01.010.0001</v>
          </cell>
          <cell r="C2043" t="str">
            <v xml:space="preserve">JUROS BANCARIOS </v>
          </cell>
          <cell r="D2043">
            <v>617039.56999999995</v>
          </cell>
          <cell r="E2043" t="str">
            <v>D</v>
          </cell>
          <cell r="G2043">
            <v>562408.79</v>
          </cell>
          <cell r="H2043">
            <v>0</v>
          </cell>
          <cell r="I2043">
            <v>562408.79</v>
          </cell>
          <cell r="J2043">
            <v>1179448.3600000001</v>
          </cell>
          <cell r="K2043" t="str">
            <v>D</v>
          </cell>
          <cell r="L2043">
            <v>11159</v>
          </cell>
        </row>
        <row r="2044">
          <cell r="A2044">
            <v>11161</v>
          </cell>
          <cell r="B2044" t="str">
            <v>4.3.01.010.0003</v>
          </cell>
          <cell r="C2044" t="str">
            <v>TAXAS CARTOES</v>
          </cell>
          <cell r="D2044">
            <v>2438.0500000000002</v>
          </cell>
          <cell r="E2044" t="str">
            <v>D</v>
          </cell>
          <cell r="G2044">
            <v>1703.13</v>
          </cell>
          <cell r="H2044">
            <v>92.47</v>
          </cell>
          <cell r="I2044">
            <v>1610.66</v>
          </cell>
          <cell r="J2044">
            <v>4048.71</v>
          </cell>
          <cell r="K2044" t="str">
            <v>D</v>
          </cell>
          <cell r="L2044">
            <v>11161</v>
          </cell>
        </row>
        <row r="2045">
          <cell r="A2045">
            <v>11122</v>
          </cell>
          <cell r="B2045" t="str">
            <v>4.3.01.010.0004</v>
          </cell>
          <cell r="C2045" t="str">
            <v xml:space="preserve">DESCONTOS CONCEDIDOS </v>
          </cell>
          <cell r="D2045">
            <v>2789.13</v>
          </cell>
          <cell r="E2045" t="str">
            <v>D</v>
          </cell>
          <cell r="G2045">
            <v>12573.88</v>
          </cell>
          <cell r="H2045">
            <v>0</v>
          </cell>
          <cell r="I2045">
            <v>12573.88</v>
          </cell>
          <cell r="J2045">
            <v>15363.01</v>
          </cell>
          <cell r="K2045" t="str">
            <v>D</v>
          </cell>
          <cell r="L2045">
            <v>11122</v>
          </cell>
        </row>
        <row r="2046">
          <cell r="A2046">
            <v>11164</v>
          </cell>
          <cell r="B2046" t="str">
            <v>4.3.01.020</v>
          </cell>
          <cell r="C2046" t="str">
            <v xml:space="preserve">FINANCEIRA </v>
          </cell>
          <cell r="D2046">
            <v>819.35</v>
          </cell>
          <cell r="E2046" t="str">
            <v>D</v>
          </cell>
          <cell r="G2046">
            <v>0</v>
          </cell>
          <cell r="H2046">
            <v>0</v>
          </cell>
          <cell r="I2046">
            <v>0</v>
          </cell>
          <cell r="J2046">
            <v>819.35</v>
          </cell>
          <cell r="K2046" t="str">
            <v>D</v>
          </cell>
          <cell r="L2046" t="e">
            <v>#N/A</v>
          </cell>
        </row>
        <row r="2047">
          <cell r="A2047">
            <v>11177</v>
          </cell>
          <cell r="B2047" t="str">
            <v>4.3.01.020.0001</v>
          </cell>
          <cell r="C2047" t="str">
            <v xml:space="preserve">JUROS SOBRE </v>
          </cell>
          <cell r="D2047">
            <v>819.35</v>
          </cell>
          <cell r="E2047" t="str">
            <v>D</v>
          </cell>
          <cell r="G2047">
            <v>0</v>
          </cell>
          <cell r="H2047">
            <v>0</v>
          </cell>
          <cell r="I2047">
            <v>0</v>
          </cell>
          <cell r="J2047">
            <v>819.35</v>
          </cell>
          <cell r="K2047" t="str">
            <v>D</v>
          </cell>
          <cell r="L2047">
            <v>11177</v>
          </cell>
        </row>
        <row r="2048">
          <cell r="A2048">
            <v>11183</v>
          </cell>
          <cell r="B2048" t="str">
            <v>4.3.01.030</v>
          </cell>
          <cell r="C2048" t="str">
            <v xml:space="preserve"> FINANCEIRAS ENCARGOS DE </v>
          </cell>
          <cell r="D2048">
            <v>558.58000000000004</v>
          </cell>
          <cell r="E2048" t="str">
            <v>D</v>
          </cell>
          <cell r="G2048">
            <v>1740.38</v>
          </cell>
          <cell r="H2048">
            <v>2663.07</v>
          </cell>
          <cell r="I2048">
            <v>-922.69</v>
          </cell>
          <cell r="J2048">
            <v>-364.11</v>
          </cell>
          <cell r="K2048" t="str">
            <v>C</v>
          </cell>
          <cell r="L2048" t="e">
            <v>#N/A</v>
          </cell>
        </row>
        <row r="2049">
          <cell r="A2049">
            <v>11195</v>
          </cell>
          <cell r="B2049" t="str">
            <v>4.3.01.030.0001</v>
          </cell>
          <cell r="C2049" t="str">
            <v xml:space="preserve">JUROS (IRRF/CSRF) </v>
          </cell>
          <cell r="D2049">
            <v>-8.89</v>
          </cell>
          <cell r="E2049" t="str">
            <v>C</v>
          </cell>
          <cell r="G2049">
            <v>367.91</v>
          </cell>
          <cell r="H2049">
            <v>411.16</v>
          </cell>
          <cell r="I2049">
            <v>-43.25</v>
          </cell>
          <cell r="J2049">
            <v>-52.14</v>
          </cell>
          <cell r="K2049" t="str">
            <v>C</v>
          </cell>
          <cell r="L2049">
            <v>11195</v>
          </cell>
        </row>
        <row r="2050">
          <cell r="A2050">
            <v>32896</v>
          </cell>
          <cell r="B2050" t="str">
            <v>4.3.01.030.0002</v>
          </cell>
          <cell r="C2050" t="str">
            <v xml:space="preserve">JUROS (INSS/FGTS) </v>
          </cell>
          <cell r="D2050">
            <v>460.25</v>
          </cell>
          <cell r="E2050" t="str">
            <v>D</v>
          </cell>
          <cell r="G2050">
            <v>48.77</v>
          </cell>
          <cell r="H2050">
            <v>0</v>
          </cell>
          <cell r="I2050">
            <v>48.77</v>
          </cell>
          <cell r="J2050">
            <v>509.02</v>
          </cell>
          <cell r="K2050" t="str">
            <v>D</v>
          </cell>
          <cell r="L2050">
            <v>32896</v>
          </cell>
        </row>
        <row r="2051">
          <cell r="A2051">
            <v>11196</v>
          </cell>
          <cell r="B2051" t="str">
            <v>4.3.01.030.0003</v>
          </cell>
          <cell r="C2051" t="str">
            <v>MULTAS (IRRF/CSRF)</v>
          </cell>
          <cell r="D2051">
            <v>303.27999999999997</v>
          </cell>
          <cell r="E2051" t="str">
            <v>D</v>
          </cell>
          <cell r="G2051">
            <v>1319.81</v>
          </cell>
          <cell r="H2051">
            <v>2251.91</v>
          </cell>
          <cell r="I2051">
            <v>-932.1</v>
          </cell>
          <cell r="J2051">
            <v>-628.82000000000005</v>
          </cell>
          <cell r="K2051" t="str">
            <v>C</v>
          </cell>
          <cell r="L2051">
            <v>11196</v>
          </cell>
        </row>
        <row r="2052">
          <cell r="A2052">
            <v>32897</v>
          </cell>
          <cell r="B2052" t="str">
            <v>4.3.01.030.0004</v>
          </cell>
          <cell r="C2052" t="str">
            <v xml:space="preserve">MULTAS (INSS/FGTS) </v>
          </cell>
          <cell r="D2052">
            <v>-196.06</v>
          </cell>
          <cell r="E2052" t="str">
            <v>C</v>
          </cell>
          <cell r="G2052">
            <v>3.89</v>
          </cell>
          <cell r="H2052">
            <v>0</v>
          </cell>
          <cell r="I2052">
            <v>3.89</v>
          </cell>
          <cell r="J2052">
            <v>-192.17</v>
          </cell>
          <cell r="K2052" t="str">
            <v>C</v>
          </cell>
          <cell r="L2052">
            <v>32897</v>
          </cell>
        </row>
        <row r="2053">
          <cell r="A2053">
            <v>11218</v>
          </cell>
          <cell r="B2053" t="str">
            <v>4.3.01.040</v>
          </cell>
          <cell r="C2053" t="str">
            <v>PAGAMENTOS EM ATRASO</v>
          </cell>
          <cell r="D2053">
            <v>7949.18</v>
          </cell>
          <cell r="E2053" t="str">
            <v>D</v>
          </cell>
          <cell r="G2053">
            <v>5002.72</v>
          </cell>
          <cell r="H2053">
            <v>0</v>
          </cell>
          <cell r="I2053">
            <v>5002.72</v>
          </cell>
          <cell r="J2053">
            <v>12951.9</v>
          </cell>
          <cell r="K2053" t="str">
            <v>D</v>
          </cell>
          <cell r="L2053" t="e">
            <v>#N/A</v>
          </cell>
        </row>
        <row r="2054">
          <cell r="A2054">
            <v>11231</v>
          </cell>
          <cell r="B2054" t="str">
            <v>4.3.01.040.0001</v>
          </cell>
          <cell r="C2054" t="str">
            <v xml:space="preserve">JUROS PASSIVOS </v>
          </cell>
          <cell r="D2054">
            <v>7949.18</v>
          </cell>
          <cell r="E2054" t="str">
            <v>D</v>
          </cell>
          <cell r="G2054">
            <v>5002.72</v>
          </cell>
          <cell r="H2054">
            <v>0</v>
          </cell>
          <cell r="I2054">
            <v>5002.72</v>
          </cell>
          <cell r="J2054">
            <v>12951.9</v>
          </cell>
          <cell r="K2054" t="str">
            <v>D</v>
          </cell>
          <cell r="L2054">
            <v>11231</v>
          </cell>
        </row>
        <row r="2055">
          <cell r="A2055">
            <v>11274</v>
          </cell>
          <cell r="B2055" t="str">
            <v>4.3.01.050</v>
          </cell>
          <cell r="C2055" t="str">
            <v xml:space="preserve">BANCARIAS </v>
          </cell>
          <cell r="D2055">
            <v>19033.009999999998</v>
          </cell>
          <cell r="E2055" t="str">
            <v>D</v>
          </cell>
          <cell r="G2055">
            <v>19374.28</v>
          </cell>
          <cell r="H2055">
            <v>0</v>
          </cell>
          <cell r="I2055">
            <v>19374.28</v>
          </cell>
          <cell r="J2055">
            <v>38407.29</v>
          </cell>
          <cell r="K2055" t="str">
            <v>D</v>
          </cell>
          <cell r="L2055" t="e">
            <v>#N/A</v>
          </cell>
        </row>
        <row r="2056">
          <cell r="A2056">
            <v>11259</v>
          </cell>
          <cell r="B2056" t="str">
            <v>4.3.01.050.0001</v>
          </cell>
          <cell r="C2056" t="str">
            <v xml:space="preserve">IMPOSTO SOBRE OPERACOES </v>
          </cell>
          <cell r="D2056">
            <v>0</v>
          </cell>
          <cell r="E2056" t="str">
            <v>D</v>
          </cell>
          <cell r="G2056">
            <v>0.19</v>
          </cell>
          <cell r="H2056">
            <v>0</v>
          </cell>
          <cell r="I2056">
            <v>0.19</v>
          </cell>
          <cell r="J2056">
            <v>0.19</v>
          </cell>
          <cell r="K2056" t="str">
            <v>D</v>
          </cell>
          <cell r="L2056">
            <v>11259</v>
          </cell>
        </row>
        <row r="2057">
          <cell r="A2057">
            <v>12867</v>
          </cell>
          <cell r="B2057" t="str">
            <v>4.3.01.050.0002</v>
          </cell>
          <cell r="C2057" t="str">
            <v>TARIFAS BANCARIAS</v>
          </cell>
          <cell r="D2057">
            <v>19033.009999999998</v>
          </cell>
          <cell r="E2057" t="str">
            <v>D</v>
          </cell>
          <cell r="G2057">
            <v>19374.09</v>
          </cell>
          <cell r="H2057">
            <v>0</v>
          </cell>
          <cell r="I2057">
            <v>19374.09</v>
          </cell>
          <cell r="J2057">
            <v>38407.1</v>
          </cell>
          <cell r="K2057" t="str">
            <v>D</v>
          </cell>
          <cell r="L2057">
            <v>12867</v>
          </cell>
        </row>
        <row r="2058">
          <cell r="E2058">
            <v>0</v>
          </cell>
          <cell r="G2058">
            <v>208503227.11000001</v>
          </cell>
          <cell r="I2058">
            <v>208503227.11000001</v>
          </cell>
          <cell r="K2058">
            <v>0</v>
          </cell>
          <cell r="L2058" t="e">
            <v>#N/A</v>
          </cell>
        </row>
        <row r="2059">
          <cell r="A2059" t="str">
            <v>Total :</v>
          </cell>
          <cell r="D2059">
            <v>2056</v>
          </cell>
          <cell r="E2059" t="str">
            <v>Contas</v>
          </cell>
          <cell r="L2059" t="e">
            <v>#N/A</v>
          </cell>
        </row>
        <row r="2060">
          <cell r="B2060" t="str">
            <v>IVA MOLINA</v>
          </cell>
          <cell r="F2060" t="str">
            <v>ALANA CARMO SIMÕES RIBEIRO</v>
          </cell>
          <cell r="L2060" t="e">
            <v>#N/A</v>
          </cell>
        </row>
        <row r="2061">
          <cell r="G2061" t="str">
            <v>CRC:</v>
          </cell>
          <cell r="H2061" t="str">
            <v>1SP330055/O</v>
          </cell>
          <cell r="I2061" t="str">
            <v>CPF:</v>
          </cell>
          <cell r="J2061" t="str">
            <v>408.655.788-69</v>
          </cell>
        </row>
        <row r="2062">
          <cell r="B2062" t="str">
            <v>Responsável</v>
          </cell>
          <cell r="F2062" t="str">
            <v>Contador</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TE ORÇAMENTO"/>
    </sheetNames>
    <sheetDataSet>
      <sheetData sheetId="0">
        <row r="1">
          <cell r="A1" t="str">
            <v>Red.</v>
          </cell>
          <cell r="B1" t="str">
            <v>Conta</v>
          </cell>
          <cell r="C1" t="str">
            <v>Descrição</v>
          </cell>
          <cell r="D1" t="str">
            <v>Saldo Anterior</v>
          </cell>
          <cell r="F1" t="str">
            <v>Valor Crédito</v>
          </cell>
          <cell r="G1" t="str">
            <v>Movimento</v>
          </cell>
          <cell r="H1" t="str">
            <v>Saldo Atual</v>
          </cell>
        </row>
        <row r="2">
          <cell r="A2">
            <v>3</v>
          </cell>
          <cell r="B2">
            <v>1</v>
          </cell>
          <cell r="C2" t="str">
            <v>ATIVO</v>
          </cell>
          <cell r="D2">
            <v>173126726.40000001</v>
          </cell>
          <cell r="E2">
            <v>118786643.65000001</v>
          </cell>
          <cell r="F2">
            <v>120083680.87</v>
          </cell>
          <cell r="G2">
            <v>-1297037.22</v>
          </cell>
          <cell r="H2">
            <v>171829689.18000001</v>
          </cell>
          <cell r="I2" t="str">
            <v>D</v>
          </cell>
        </row>
        <row r="3">
          <cell r="A3">
            <v>4</v>
          </cell>
          <cell r="B3" t="str">
            <v>1.1</v>
          </cell>
          <cell r="C3" t="str">
            <v>ATIVO CIRCULANTE</v>
          </cell>
          <cell r="D3">
            <v>77640457.079999998</v>
          </cell>
          <cell r="E3">
            <v>116518752.93000001</v>
          </cell>
          <cell r="F3">
            <v>119273505.19</v>
          </cell>
          <cell r="G3">
            <v>-2754752.26</v>
          </cell>
          <cell r="H3">
            <v>74885704.819999993</v>
          </cell>
          <cell r="I3" t="str">
            <v>D</v>
          </cell>
        </row>
        <row r="4">
          <cell r="A4">
            <v>5</v>
          </cell>
          <cell r="B4" t="str">
            <v>1.1.01</v>
          </cell>
          <cell r="C4" t="str">
            <v>DISPONIVEL</v>
          </cell>
          <cell r="D4">
            <v>34959911.329999998</v>
          </cell>
          <cell r="E4">
            <v>75182792.730000004</v>
          </cell>
          <cell r="F4">
            <v>80504395.030000001</v>
          </cell>
          <cell r="G4">
            <v>-5321602.3</v>
          </cell>
          <cell r="H4">
            <v>29638309.030000001</v>
          </cell>
          <cell r="I4" t="str">
            <v>D</v>
          </cell>
        </row>
        <row r="5">
          <cell r="A5">
            <v>6</v>
          </cell>
          <cell r="B5" t="str">
            <v>1.1.01.010</v>
          </cell>
          <cell r="C5" t="str">
            <v>CAIXA</v>
          </cell>
          <cell r="D5">
            <v>24014.6</v>
          </cell>
          <cell r="E5">
            <v>283804.45</v>
          </cell>
          <cell r="F5">
            <v>294447.48</v>
          </cell>
          <cell r="G5">
            <v>-10643.03</v>
          </cell>
          <cell r="H5">
            <v>13371.57</v>
          </cell>
          <cell r="I5" t="str">
            <v>D</v>
          </cell>
        </row>
        <row r="6">
          <cell r="A6">
            <v>28</v>
          </cell>
          <cell r="B6" t="str">
            <v>1.1.01.010.0003</v>
          </cell>
          <cell r="C6" t="str">
            <v>CAIXA AMBULATORIO</v>
          </cell>
          <cell r="D6">
            <v>20</v>
          </cell>
          <cell r="E6">
            <v>0</v>
          </cell>
          <cell r="F6">
            <v>0</v>
          </cell>
          <cell r="G6">
            <v>0</v>
          </cell>
          <cell r="H6">
            <v>20</v>
          </cell>
          <cell r="I6" t="str">
            <v>D</v>
          </cell>
        </row>
        <row r="7">
          <cell r="A7">
            <v>32381</v>
          </cell>
          <cell r="B7" t="str">
            <v>1.1.01.010.0004</v>
          </cell>
          <cell r="C7" t="str">
            <v>CAIXA AMBULATORIO PI</v>
          </cell>
          <cell r="D7">
            <v>50</v>
          </cell>
          <cell r="E7">
            <v>0</v>
          </cell>
          <cell r="F7">
            <v>0</v>
          </cell>
          <cell r="G7">
            <v>0</v>
          </cell>
          <cell r="H7">
            <v>50</v>
          </cell>
          <cell r="I7" t="str">
            <v>D</v>
          </cell>
        </row>
        <row r="8">
          <cell r="A8">
            <v>37816</v>
          </cell>
          <cell r="B8" t="str">
            <v>1.1.01.010.0005</v>
          </cell>
          <cell r="C8" t="str">
            <v xml:space="preserve">CAIXA AMBULATORIO CLINICA </v>
          </cell>
          <cell r="D8">
            <v>1465.88</v>
          </cell>
          <cell r="E8">
            <v>28409.14</v>
          </cell>
          <cell r="F8">
            <v>28525.02</v>
          </cell>
          <cell r="G8">
            <v>-115.88</v>
          </cell>
          <cell r="H8">
            <v>1350</v>
          </cell>
          <cell r="I8" t="str">
            <v>D</v>
          </cell>
        </row>
        <row r="9">
          <cell r="A9">
            <v>24</v>
          </cell>
          <cell r="B9" t="str">
            <v>1.1.01.010.0006</v>
          </cell>
          <cell r="C9" t="str">
            <v>CAIXA CENTRAL  STA CASA</v>
          </cell>
          <cell r="D9">
            <v>14101.13</v>
          </cell>
          <cell r="E9">
            <v>143131.96</v>
          </cell>
          <cell r="F9">
            <v>147615.51999999999</v>
          </cell>
          <cell r="G9">
            <v>-4483.5600000000004</v>
          </cell>
          <cell r="H9">
            <v>9617.57</v>
          </cell>
          <cell r="I9" t="str">
            <v>D</v>
          </cell>
        </row>
        <row r="10">
          <cell r="A10">
            <v>25</v>
          </cell>
          <cell r="B10" t="str">
            <v>1.1.01.010.0008</v>
          </cell>
          <cell r="C10" t="str">
            <v>CAIXA INTERNACAO STA CASA</v>
          </cell>
          <cell r="D10">
            <v>60</v>
          </cell>
          <cell r="E10">
            <v>12076.15</v>
          </cell>
          <cell r="F10">
            <v>12076.15</v>
          </cell>
          <cell r="G10">
            <v>0</v>
          </cell>
          <cell r="H10">
            <v>60</v>
          </cell>
          <cell r="I10" t="str">
            <v>D</v>
          </cell>
        </row>
        <row r="11">
          <cell r="A11">
            <v>12339</v>
          </cell>
          <cell r="B11" t="str">
            <v>1.1.01.010.0009</v>
          </cell>
          <cell r="C11" t="str">
            <v>CAIXA MATERNIDADE</v>
          </cell>
          <cell r="D11">
            <v>4532.2</v>
          </cell>
          <cell r="E11">
            <v>23090.63</v>
          </cell>
          <cell r="F11">
            <v>27602.83</v>
          </cell>
          <cell r="G11">
            <v>-4512.2</v>
          </cell>
          <cell r="H11">
            <v>20</v>
          </cell>
          <cell r="I11" t="str">
            <v>D</v>
          </cell>
        </row>
        <row r="12">
          <cell r="A12">
            <v>12341</v>
          </cell>
          <cell r="B12" t="str">
            <v>1.1.01.010.0010</v>
          </cell>
          <cell r="C12" t="str">
            <v>CAIXA P A</v>
          </cell>
          <cell r="D12">
            <v>20</v>
          </cell>
          <cell r="E12">
            <v>2865</v>
          </cell>
          <cell r="F12">
            <v>2865</v>
          </cell>
          <cell r="G12">
            <v>0</v>
          </cell>
          <cell r="H12">
            <v>20</v>
          </cell>
          <cell r="I12" t="str">
            <v>D</v>
          </cell>
        </row>
        <row r="13">
          <cell r="A13">
            <v>27</v>
          </cell>
          <cell r="B13" t="str">
            <v>1.1.01.010.0011</v>
          </cell>
          <cell r="C13" t="str">
            <v>CAIXA PRONTO INFANCIA</v>
          </cell>
          <cell r="D13">
            <v>555.39</v>
          </cell>
          <cell r="E13">
            <v>14818.87</v>
          </cell>
          <cell r="F13">
            <v>15324.26</v>
          </cell>
          <cell r="G13">
            <v>-505.39</v>
          </cell>
          <cell r="H13">
            <v>50</v>
          </cell>
          <cell r="I13" t="str">
            <v>D</v>
          </cell>
        </row>
        <row r="14">
          <cell r="A14">
            <v>51163</v>
          </cell>
          <cell r="B14" t="str">
            <v>1.1.01.010.0012</v>
          </cell>
          <cell r="C14" t="str">
            <v>CAIXA RADIOLOGIA</v>
          </cell>
          <cell r="D14">
            <v>500</v>
          </cell>
          <cell r="E14">
            <v>18361.7</v>
          </cell>
          <cell r="F14">
            <v>18545.7</v>
          </cell>
          <cell r="G14">
            <v>-184</v>
          </cell>
          <cell r="H14">
            <v>316</v>
          </cell>
          <cell r="I14" t="str">
            <v>D</v>
          </cell>
        </row>
        <row r="15">
          <cell r="A15">
            <v>51206</v>
          </cell>
          <cell r="B15" t="str">
            <v>1.1.01.010.0013</v>
          </cell>
          <cell r="C15" t="str">
            <v>CAIXA CLINICA CENTRO</v>
          </cell>
          <cell r="D15">
            <v>1100</v>
          </cell>
          <cell r="E15">
            <v>11810</v>
          </cell>
          <cell r="F15">
            <v>12610</v>
          </cell>
          <cell r="G15">
            <v>-800</v>
          </cell>
          <cell r="H15">
            <v>300</v>
          </cell>
          <cell r="I15" t="str">
            <v>D</v>
          </cell>
        </row>
        <row r="16">
          <cell r="A16">
            <v>52715</v>
          </cell>
          <cell r="B16" t="str">
            <v>1.1.01.010.0015</v>
          </cell>
          <cell r="C16" t="str">
            <v>CAIXA JACAREI</v>
          </cell>
          <cell r="D16">
            <v>200</v>
          </cell>
          <cell r="E16">
            <v>3480</v>
          </cell>
          <cell r="F16">
            <v>3480</v>
          </cell>
          <cell r="G16">
            <v>0</v>
          </cell>
          <cell r="H16">
            <v>200</v>
          </cell>
          <cell r="I16" t="str">
            <v>D</v>
          </cell>
        </row>
        <row r="17">
          <cell r="A17">
            <v>52762</v>
          </cell>
          <cell r="B17" t="str">
            <v>1.1.01.010.0016</v>
          </cell>
          <cell r="C17" t="str">
            <v>CAIXA HEMODINAMICA</v>
          </cell>
          <cell r="D17">
            <v>0</v>
          </cell>
          <cell r="E17">
            <v>2250</v>
          </cell>
          <cell r="F17">
            <v>2250</v>
          </cell>
          <cell r="G17">
            <v>0</v>
          </cell>
          <cell r="H17">
            <v>0</v>
          </cell>
          <cell r="I17" t="str">
            <v>D</v>
          </cell>
        </row>
        <row r="18">
          <cell r="A18">
            <v>52916</v>
          </cell>
          <cell r="B18" t="str">
            <v>1.1.01.010.0017</v>
          </cell>
          <cell r="C18" t="str">
            <v>CAIXA CLINICA CARAGUA</v>
          </cell>
          <cell r="D18">
            <v>100</v>
          </cell>
          <cell r="E18">
            <v>3700</v>
          </cell>
          <cell r="F18">
            <v>3700</v>
          </cell>
          <cell r="G18">
            <v>0</v>
          </cell>
          <cell r="H18">
            <v>100</v>
          </cell>
          <cell r="I18" t="str">
            <v>D</v>
          </cell>
        </row>
        <row r="19">
          <cell r="A19">
            <v>52659</v>
          </cell>
          <cell r="B19" t="str">
            <v>1.1.01.010.0018</v>
          </cell>
          <cell r="C19" t="str">
            <v>CAIXA CENTRO EXAMES</v>
          </cell>
          <cell r="D19">
            <v>400</v>
          </cell>
          <cell r="E19">
            <v>3880</v>
          </cell>
          <cell r="F19">
            <v>4230</v>
          </cell>
          <cell r="G19">
            <v>-350</v>
          </cell>
          <cell r="H19">
            <v>50</v>
          </cell>
          <cell r="I19" t="str">
            <v>D</v>
          </cell>
        </row>
        <row r="20">
          <cell r="A20">
            <v>54470</v>
          </cell>
          <cell r="B20" t="str">
            <v>1.1.01.010.0019</v>
          </cell>
          <cell r="C20" t="str">
            <v>CAIXA TAUBATE</v>
          </cell>
          <cell r="D20">
            <v>760</v>
          </cell>
          <cell r="E20">
            <v>5570</v>
          </cell>
          <cell r="F20">
            <v>5480</v>
          </cell>
          <cell r="G20">
            <v>90</v>
          </cell>
          <cell r="H20">
            <v>850</v>
          </cell>
          <cell r="I20" t="str">
            <v>D</v>
          </cell>
        </row>
        <row r="21">
          <cell r="A21">
            <v>54471</v>
          </cell>
          <cell r="B21" t="str">
            <v>1.1.01.010.0020</v>
          </cell>
          <cell r="C21" t="str">
            <v>CAIXA CRUZEIRO</v>
          </cell>
          <cell r="D21">
            <v>0</v>
          </cell>
          <cell r="E21">
            <v>100</v>
          </cell>
          <cell r="F21">
            <v>100</v>
          </cell>
          <cell r="G21">
            <v>0</v>
          </cell>
          <cell r="H21">
            <v>0</v>
          </cell>
          <cell r="I21" t="str">
            <v>D</v>
          </cell>
        </row>
        <row r="22">
          <cell r="A22">
            <v>54586</v>
          </cell>
          <cell r="B22" t="str">
            <v>1.1.01.010.0021</v>
          </cell>
          <cell r="C22" t="str">
            <v>CAIXA ULTRASSONOGRAFIA</v>
          </cell>
          <cell r="D22">
            <v>50</v>
          </cell>
          <cell r="E22">
            <v>5726</v>
          </cell>
          <cell r="F22">
            <v>5508</v>
          </cell>
          <cell r="G22">
            <v>218</v>
          </cell>
          <cell r="H22">
            <v>268</v>
          </cell>
          <cell r="I22" t="str">
            <v>D</v>
          </cell>
        </row>
        <row r="23">
          <cell r="A23">
            <v>55420</v>
          </cell>
          <cell r="B23" t="str">
            <v>1.1.01.010.0022</v>
          </cell>
          <cell r="C23" t="str">
            <v>CAIXA CLINICA FLORIANO</v>
          </cell>
          <cell r="D23">
            <v>100</v>
          </cell>
          <cell r="E23">
            <v>4535</v>
          </cell>
          <cell r="F23">
            <v>4535</v>
          </cell>
          <cell r="G23">
            <v>0</v>
          </cell>
          <cell r="H23">
            <v>100</v>
          </cell>
          <cell r="I23" t="str">
            <v>D</v>
          </cell>
        </row>
        <row r="24">
          <cell r="A24">
            <v>46</v>
          </cell>
          <cell r="B24" t="str">
            <v>1.1.01.020</v>
          </cell>
          <cell r="C24" t="str">
            <v>BANCO CONTA MOVIMENTO</v>
          </cell>
          <cell r="D24">
            <v>1088187.95</v>
          </cell>
          <cell r="E24">
            <v>69041121.159999996</v>
          </cell>
          <cell r="F24">
            <v>68825078.420000002</v>
          </cell>
          <cell r="G24">
            <v>216042.74</v>
          </cell>
          <cell r="H24">
            <v>1304230.69</v>
          </cell>
          <cell r="I24" t="str">
            <v>D</v>
          </cell>
        </row>
        <row r="25">
          <cell r="A25">
            <v>57</v>
          </cell>
          <cell r="B25" t="str">
            <v>1.1.01.020.0010</v>
          </cell>
          <cell r="C25" t="str">
            <v>SAFRA CC 471-2</v>
          </cell>
          <cell r="D25">
            <v>5564.2</v>
          </cell>
          <cell r="E25">
            <v>5484.3</v>
          </cell>
          <cell r="F25">
            <v>11048.5</v>
          </cell>
          <cell r="G25">
            <v>-5564.2</v>
          </cell>
          <cell r="H25">
            <v>0</v>
          </cell>
          <cell r="I25" t="str">
            <v>D</v>
          </cell>
        </row>
        <row r="26">
          <cell r="A26">
            <v>94</v>
          </cell>
          <cell r="B26" t="str">
            <v>1.1.01.020.0012</v>
          </cell>
          <cell r="C26" t="str">
            <v>BRASIL AG 3358-8 CC 2137-7</v>
          </cell>
          <cell r="D26">
            <v>0</v>
          </cell>
          <cell r="E26">
            <v>2037826.41</v>
          </cell>
          <cell r="F26">
            <v>2037826.41</v>
          </cell>
          <cell r="G26">
            <v>0</v>
          </cell>
          <cell r="H26">
            <v>0</v>
          </cell>
          <cell r="I26" t="str">
            <v>D</v>
          </cell>
        </row>
        <row r="27">
          <cell r="A27">
            <v>109</v>
          </cell>
          <cell r="B27" t="str">
            <v>1.1.01.020.0013</v>
          </cell>
          <cell r="C27" t="str">
            <v xml:space="preserve">SANTANDER AG 2021 CC </v>
          </cell>
          <cell r="D27">
            <v>1189.56</v>
          </cell>
          <cell r="E27">
            <v>7562009.0499999998</v>
          </cell>
          <cell r="F27">
            <v>7562284.2300000004</v>
          </cell>
          <cell r="G27">
            <v>-275.18</v>
          </cell>
          <cell r="H27">
            <v>914.38</v>
          </cell>
          <cell r="I27" t="str">
            <v>D</v>
          </cell>
        </row>
        <row r="28">
          <cell r="A28">
            <v>107</v>
          </cell>
          <cell r="B28" t="str">
            <v>1.1.01.020.0014</v>
          </cell>
          <cell r="C28" t="str">
            <v xml:space="preserve">SANTANDER AG 2021 CC </v>
          </cell>
          <cell r="D28">
            <v>95983.85</v>
          </cell>
          <cell r="E28">
            <v>29527069.239999998</v>
          </cell>
          <cell r="F28">
            <v>29485530.579999998</v>
          </cell>
          <cell r="G28">
            <v>41538.660000000003</v>
          </cell>
          <cell r="H28">
            <v>137522.51</v>
          </cell>
          <cell r="I28" t="str">
            <v>D</v>
          </cell>
        </row>
        <row r="29">
          <cell r="A29">
            <v>99</v>
          </cell>
          <cell r="B29" t="str">
            <v>1.1.01.020.0016</v>
          </cell>
          <cell r="C29" t="str">
            <v>BRADESCO AG 3373 CC 6741-5</v>
          </cell>
          <cell r="D29">
            <v>0</v>
          </cell>
          <cell r="E29">
            <v>2142236.31</v>
          </cell>
          <cell r="F29">
            <v>2142236.31</v>
          </cell>
          <cell r="G29">
            <v>0</v>
          </cell>
          <cell r="H29">
            <v>0</v>
          </cell>
          <cell r="I29" t="str">
            <v>D</v>
          </cell>
        </row>
        <row r="30">
          <cell r="A30">
            <v>98</v>
          </cell>
          <cell r="B30" t="str">
            <v>1.1.01.020.0017</v>
          </cell>
          <cell r="C30" t="str">
            <v>BRADESCO AG 3373 CC 7790-9</v>
          </cell>
          <cell r="D30">
            <v>0</v>
          </cell>
          <cell r="E30">
            <v>31723.200000000001</v>
          </cell>
          <cell r="F30">
            <v>31723.200000000001</v>
          </cell>
          <cell r="G30">
            <v>0</v>
          </cell>
          <cell r="H30">
            <v>0</v>
          </cell>
          <cell r="I30" t="str">
            <v>D</v>
          </cell>
        </row>
        <row r="31">
          <cell r="A31">
            <v>73</v>
          </cell>
          <cell r="B31" t="str">
            <v>1.1.01.020.0020</v>
          </cell>
          <cell r="C31" t="str">
            <v>BRASIL AG 3358-8 CC 1280-7</v>
          </cell>
          <cell r="D31">
            <v>0</v>
          </cell>
          <cell r="E31">
            <v>2160963.63</v>
          </cell>
          <cell r="F31">
            <v>2160963.63</v>
          </cell>
          <cell r="G31">
            <v>0</v>
          </cell>
          <cell r="H31">
            <v>0</v>
          </cell>
          <cell r="I31" t="str">
            <v>D</v>
          </cell>
        </row>
        <row r="32">
          <cell r="A32">
            <v>32767</v>
          </cell>
          <cell r="B32" t="str">
            <v>1.1.01.020.0022</v>
          </cell>
          <cell r="C32" t="str">
            <v>ITAU AG 0250 CC 46979-8</v>
          </cell>
          <cell r="D32">
            <v>0</v>
          </cell>
          <cell r="E32">
            <v>671998.96</v>
          </cell>
          <cell r="F32">
            <v>671998.96</v>
          </cell>
          <cell r="G32">
            <v>0</v>
          </cell>
          <cell r="H32">
            <v>0</v>
          </cell>
          <cell r="I32" t="str">
            <v>D</v>
          </cell>
        </row>
        <row r="33">
          <cell r="A33">
            <v>71</v>
          </cell>
          <cell r="B33" t="str">
            <v>1.1.01.020.0025</v>
          </cell>
          <cell r="C33" t="str">
            <v xml:space="preserve">SANTANDER AG 0093  CC </v>
          </cell>
          <cell r="D33">
            <v>7288.58</v>
          </cell>
          <cell r="E33">
            <v>5316057.5</v>
          </cell>
          <cell r="F33">
            <v>5322725.09</v>
          </cell>
          <cell r="G33">
            <v>-6667.59</v>
          </cell>
          <cell r="H33">
            <v>620.99</v>
          </cell>
          <cell r="I33" t="str">
            <v>D</v>
          </cell>
        </row>
        <row r="34">
          <cell r="A34">
            <v>79</v>
          </cell>
          <cell r="B34" t="str">
            <v>1.1.01.020.0031</v>
          </cell>
          <cell r="C34" t="str">
            <v>BRASIL AG 3358-8 CC 987-3</v>
          </cell>
          <cell r="D34">
            <v>0</v>
          </cell>
          <cell r="E34">
            <v>1202339.02</v>
          </cell>
          <cell r="F34">
            <v>1202339.02</v>
          </cell>
          <cell r="G34">
            <v>0</v>
          </cell>
          <cell r="H34">
            <v>0</v>
          </cell>
          <cell r="I34" t="str">
            <v>D</v>
          </cell>
        </row>
        <row r="35">
          <cell r="A35">
            <v>50869</v>
          </cell>
          <cell r="B35" t="str">
            <v>1.1.01.020.0033</v>
          </cell>
          <cell r="C35" t="str">
            <v>BRASIL AG 33588 CC 6200-6</v>
          </cell>
          <cell r="D35">
            <v>0</v>
          </cell>
          <cell r="E35">
            <v>59.95</v>
          </cell>
          <cell r="F35">
            <v>59.95</v>
          </cell>
          <cell r="G35">
            <v>0</v>
          </cell>
          <cell r="H35">
            <v>0</v>
          </cell>
          <cell r="I35" t="str">
            <v>D</v>
          </cell>
        </row>
        <row r="36">
          <cell r="A36">
            <v>52006</v>
          </cell>
          <cell r="B36" t="str">
            <v>1.1.01.020.0037</v>
          </cell>
          <cell r="C36" t="str">
            <v>BRASIL AG 1897 CC 9923-6</v>
          </cell>
          <cell r="D36">
            <v>0</v>
          </cell>
          <cell r="E36">
            <v>486566.59</v>
          </cell>
          <cell r="F36">
            <v>486566.59</v>
          </cell>
          <cell r="G36">
            <v>0</v>
          </cell>
          <cell r="H36">
            <v>0</v>
          </cell>
          <cell r="I36" t="str">
            <v>D</v>
          </cell>
        </row>
        <row r="37">
          <cell r="A37">
            <v>52440</v>
          </cell>
          <cell r="B37" t="str">
            <v>1.1.01.020.0038</v>
          </cell>
          <cell r="C37" t="str">
            <v xml:space="preserve">SANTANDER AG 2021 CC </v>
          </cell>
          <cell r="D37">
            <v>1403.99</v>
          </cell>
          <cell r="E37">
            <v>206404.63</v>
          </cell>
          <cell r="F37">
            <v>207321.66</v>
          </cell>
          <cell r="G37">
            <v>-917.03</v>
          </cell>
          <cell r="H37">
            <v>486.96</v>
          </cell>
          <cell r="I37" t="str">
            <v>D</v>
          </cell>
        </row>
        <row r="38">
          <cell r="A38">
            <v>53794</v>
          </cell>
          <cell r="B38" t="str">
            <v>1.1.01.020.0041</v>
          </cell>
          <cell r="C38" t="str">
            <v xml:space="preserve">SANTANDER AG 2021 CC </v>
          </cell>
          <cell r="D38">
            <v>0</v>
          </cell>
          <cell r="E38">
            <v>12950000</v>
          </cell>
          <cell r="F38">
            <v>12950000</v>
          </cell>
          <cell r="G38">
            <v>0</v>
          </cell>
          <cell r="H38">
            <v>0</v>
          </cell>
          <cell r="I38" t="str">
            <v>D</v>
          </cell>
        </row>
        <row r="39">
          <cell r="A39">
            <v>54093</v>
          </cell>
          <cell r="B39" t="str">
            <v>1.1.01.020.0042</v>
          </cell>
          <cell r="C39" t="str">
            <v>BCO BRASIL AG 3358 CC 6854-</v>
          </cell>
          <cell r="D39">
            <v>0</v>
          </cell>
          <cell r="E39">
            <v>59.95</v>
          </cell>
          <cell r="F39">
            <v>59.95</v>
          </cell>
          <cell r="G39">
            <v>0</v>
          </cell>
          <cell r="H39">
            <v>0</v>
          </cell>
          <cell r="I39" t="str">
            <v>D</v>
          </cell>
        </row>
        <row r="40">
          <cell r="A40">
            <v>54095</v>
          </cell>
          <cell r="B40" t="str">
            <v>1.1.01.020.0043</v>
          </cell>
          <cell r="C40" t="str">
            <v>BCO BRASIL AG 3358 CC 6864-</v>
          </cell>
          <cell r="D40">
            <v>0</v>
          </cell>
          <cell r="E40">
            <v>59.95</v>
          </cell>
          <cell r="F40">
            <v>59.95</v>
          </cell>
          <cell r="G40">
            <v>0</v>
          </cell>
          <cell r="H40">
            <v>0</v>
          </cell>
          <cell r="I40" t="str">
            <v>D</v>
          </cell>
        </row>
        <row r="41">
          <cell r="A41">
            <v>54258</v>
          </cell>
          <cell r="B41" t="str">
            <v>1.1.01.020.0045</v>
          </cell>
          <cell r="C41" t="str">
            <v xml:space="preserve">BANCO BRASIL AG 3358-8 CC </v>
          </cell>
          <cell r="D41">
            <v>0</v>
          </cell>
          <cell r="E41">
            <v>1223373.44</v>
          </cell>
          <cell r="F41">
            <v>1223373.44</v>
          </cell>
          <cell r="G41">
            <v>0</v>
          </cell>
          <cell r="H41">
            <v>0</v>
          </cell>
          <cell r="I41" t="str">
            <v>D</v>
          </cell>
        </row>
        <row r="42">
          <cell r="A42">
            <v>54264</v>
          </cell>
          <cell r="B42" t="str">
            <v>1.1.01.020.0046</v>
          </cell>
          <cell r="C42" t="str">
            <v xml:space="preserve">BCO BRASIL AG 3358-8 CC </v>
          </cell>
          <cell r="D42">
            <v>0</v>
          </cell>
          <cell r="E42">
            <v>59.95</v>
          </cell>
          <cell r="F42">
            <v>59.95</v>
          </cell>
          <cell r="G42">
            <v>0</v>
          </cell>
          <cell r="H42">
            <v>0</v>
          </cell>
          <cell r="I42" t="str">
            <v>D</v>
          </cell>
        </row>
        <row r="43">
          <cell r="A43">
            <v>54510</v>
          </cell>
          <cell r="B43" t="str">
            <v>1.1.01.020.0047</v>
          </cell>
          <cell r="C43" t="str">
            <v xml:space="preserve">BANCO BRASIL AG 3358-8 </v>
          </cell>
          <cell r="D43">
            <v>0</v>
          </cell>
          <cell r="E43">
            <v>59.95</v>
          </cell>
          <cell r="F43">
            <v>59.95</v>
          </cell>
          <cell r="G43">
            <v>0</v>
          </cell>
          <cell r="H43">
            <v>0</v>
          </cell>
          <cell r="I43" t="str">
            <v>D</v>
          </cell>
        </row>
        <row r="44">
          <cell r="A44">
            <v>54512</v>
          </cell>
          <cell r="B44" t="str">
            <v>1.1.01.020.0048</v>
          </cell>
          <cell r="C44" t="str">
            <v xml:space="preserve">BANCO BRASIL AG 3358-8 </v>
          </cell>
          <cell r="D44">
            <v>0</v>
          </cell>
          <cell r="E44">
            <v>59.95</v>
          </cell>
          <cell r="F44">
            <v>59.95</v>
          </cell>
          <cell r="G44">
            <v>0</v>
          </cell>
          <cell r="H44">
            <v>0</v>
          </cell>
          <cell r="I44" t="str">
            <v>D</v>
          </cell>
        </row>
        <row r="45">
          <cell r="A45">
            <v>54514</v>
          </cell>
          <cell r="B45" t="str">
            <v>1.1.01.020.0049</v>
          </cell>
          <cell r="C45" t="str">
            <v xml:space="preserve">BANCO BRASIL AG 3358-8 </v>
          </cell>
          <cell r="D45">
            <v>0</v>
          </cell>
          <cell r="E45">
            <v>172252.97</v>
          </cell>
          <cell r="F45">
            <v>150157.85999999999</v>
          </cell>
          <cell r="G45">
            <v>22095.11</v>
          </cell>
          <cell r="H45">
            <v>22095.11</v>
          </cell>
          <cell r="I45" t="str">
            <v>D</v>
          </cell>
        </row>
        <row r="46">
          <cell r="A46">
            <v>54518</v>
          </cell>
          <cell r="B46" t="str">
            <v>1.1.01.020.0051</v>
          </cell>
          <cell r="C46" t="str">
            <v xml:space="preserve">BANCO BRASIL AG 3358-8 </v>
          </cell>
          <cell r="D46">
            <v>0</v>
          </cell>
          <cell r="E46">
            <v>334958.42</v>
          </cell>
          <cell r="F46">
            <v>334958.42</v>
          </cell>
          <cell r="G46">
            <v>0</v>
          </cell>
          <cell r="H46">
            <v>0</v>
          </cell>
          <cell r="I46" t="str">
            <v>D</v>
          </cell>
        </row>
        <row r="47">
          <cell r="A47">
            <v>54520</v>
          </cell>
          <cell r="B47" t="str">
            <v>1.1.01.020.0052</v>
          </cell>
          <cell r="C47" t="str">
            <v xml:space="preserve">BANCO BRASIL AG 3358-8 </v>
          </cell>
          <cell r="D47">
            <v>0</v>
          </cell>
          <cell r="E47">
            <v>59.95</v>
          </cell>
          <cell r="F47">
            <v>59.95</v>
          </cell>
          <cell r="G47">
            <v>0</v>
          </cell>
          <cell r="H47">
            <v>0</v>
          </cell>
          <cell r="I47" t="str">
            <v>D</v>
          </cell>
        </row>
        <row r="48">
          <cell r="A48">
            <v>54641</v>
          </cell>
          <cell r="B48" t="str">
            <v>1.1.01.020.0059</v>
          </cell>
          <cell r="C48" t="str">
            <v xml:space="preserve">BANCO BRASIL AG 3358-8 CC </v>
          </cell>
          <cell r="D48">
            <v>0</v>
          </cell>
          <cell r="E48">
            <v>59.95</v>
          </cell>
          <cell r="F48">
            <v>59.95</v>
          </cell>
          <cell r="G48">
            <v>0</v>
          </cell>
          <cell r="H48">
            <v>0</v>
          </cell>
          <cell r="I48" t="str">
            <v>D</v>
          </cell>
        </row>
        <row r="49">
          <cell r="A49">
            <v>54661</v>
          </cell>
          <cell r="B49" t="str">
            <v>1.1.01.020.0060</v>
          </cell>
          <cell r="C49" t="str">
            <v xml:space="preserve">BCO BRASIL AG 3358-8 CC </v>
          </cell>
          <cell r="D49">
            <v>0</v>
          </cell>
          <cell r="E49">
            <v>59.95</v>
          </cell>
          <cell r="F49">
            <v>59.95</v>
          </cell>
          <cell r="G49">
            <v>0</v>
          </cell>
          <cell r="H49">
            <v>0</v>
          </cell>
          <cell r="I49" t="str">
            <v>D</v>
          </cell>
        </row>
        <row r="50">
          <cell r="A50">
            <v>54662</v>
          </cell>
          <cell r="B50" t="str">
            <v>1.1.01.020.0061</v>
          </cell>
          <cell r="C50" t="str">
            <v xml:space="preserve">BCO BRASIL AG 3358-8 CC </v>
          </cell>
          <cell r="D50">
            <v>0</v>
          </cell>
          <cell r="E50">
            <v>59.95</v>
          </cell>
          <cell r="F50">
            <v>59.95</v>
          </cell>
          <cell r="G50">
            <v>0</v>
          </cell>
          <cell r="H50">
            <v>0</v>
          </cell>
          <cell r="I50" t="str">
            <v>D</v>
          </cell>
        </row>
        <row r="51">
          <cell r="A51">
            <v>54711</v>
          </cell>
          <cell r="B51" t="str">
            <v>1.1.01.020.0062</v>
          </cell>
          <cell r="C51" t="str">
            <v xml:space="preserve">BCO SANTANDER OBRA </v>
          </cell>
          <cell r="D51">
            <v>9157.77</v>
          </cell>
          <cell r="E51">
            <v>1475924.22</v>
          </cell>
          <cell r="F51">
            <v>1479650.06</v>
          </cell>
          <cell r="G51">
            <v>-3725.84</v>
          </cell>
          <cell r="H51">
            <v>5431.93</v>
          </cell>
          <cell r="I51" t="str">
            <v>D</v>
          </cell>
        </row>
        <row r="52">
          <cell r="A52">
            <v>54874</v>
          </cell>
          <cell r="B52" t="str">
            <v>1.1.01.020.0063</v>
          </cell>
          <cell r="C52" t="str">
            <v xml:space="preserve">BANCO BRADESCO </v>
          </cell>
          <cell r="D52">
            <v>967600</v>
          </cell>
          <cell r="E52">
            <v>96760</v>
          </cell>
          <cell r="F52">
            <v>0</v>
          </cell>
          <cell r="G52">
            <v>96760</v>
          </cell>
          <cell r="H52">
            <v>1064360</v>
          </cell>
          <cell r="I52" t="str">
            <v>D</v>
          </cell>
        </row>
        <row r="53">
          <cell r="A53">
            <v>54875</v>
          </cell>
          <cell r="B53" t="str">
            <v>1.1.01.020.0064</v>
          </cell>
          <cell r="C53" t="str">
            <v xml:space="preserve">BANCO BRADESCO </v>
          </cell>
          <cell r="D53">
            <v>0</v>
          </cell>
          <cell r="E53">
            <v>1436573.77</v>
          </cell>
          <cell r="F53">
            <v>1363774.96</v>
          </cell>
          <cell r="G53">
            <v>72798.81</v>
          </cell>
          <cell r="H53">
            <v>72798.81</v>
          </cell>
          <cell r="I53" t="str">
            <v>D</v>
          </cell>
        </row>
        <row r="54">
          <cell r="A54">
            <v>141</v>
          </cell>
          <cell r="B54" t="str">
            <v>1.1.01.030</v>
          </cell>
          <cell r="C54" t="str">
            <v>BANCOS CONTA APLICACOES</v>
          </cell>
          <cell r="D54">
            <v>32569326.57</v>
          </cell>
          <cell r="E54">
            <v>5717258.1500000004</v>
          </cell>
          <cell r="F54">
            <v>11155315.800000001</v>
          </cell>
          <cell r="G54">
            <v>-5438057.6500000004</v>
          </cell>
          <cell r="H54">
            <v>27131268.920000002</v>
          </cell>
          <cell r="I54" t="str">
            <v>D</v>
          </cell>
        </row>
        <row r="55">
          <cell r="A55">
            <v>33929</v>
          </cell>
          <cell r="B55" t="str">
            <v>1.1.01.030.0001</v>
          </cell>
          <cell r="C55" t="str">
            <v xml:space="preserve">BRADESCO CAPITALIZACAO </v>
          </cell>
          <cell r="D55">
            <v>1952093.44</v>
          </cell>
          <cell r="E55">
            <v>91442.4</v>
          </cell>
          <cell r="F55">
            <v>380042.7</v>
          </cell>
          <cell r="G55">
            <v>-288600.3</v>
          </cell>
          <cell r="H55">
            <v>1663493.14</v>
          </cell>
          <cell r="I55" t="str">
            <v>D</v>
          </cell>
        </row>
        <row r="56">
          <cell r="A56">
            <v>26395</v>
          </cell>
          <cell r="B56" t="str">
            <v>1.1.01.030.0002</v>
          </cell>
          <cell r="C56" t="str">
            <v xml:space="preserve">BRADESCO CAPITALIZACAO </v>
          </cell>
          <cell r="D56">
            <v>2025000</v>
          </cell>
          <cell r="E56">
            <v>0</v>
          </cell>
          <cell r="F56">
            <v>25000</v>
          </cell>
          <cell r="G56">
            <v>-25000</v>
          </cell>
          <cell r="H56">
            <v>2000000</v>
          </cell>
          <cell r="I56" t="str">
            <v>D</v>
          </cell>
        </row>
        <row r="57">
          <cell r="A57">
            <v>138</v>
          </cell>
          <cell r="B57" t="str">
            <v>1.1.01.030.0008</v>
          </cell>
          <cell r="C57" t="str">
            <v xml:space="preserve">SANTANDER PREMIUM AG </v>
          </cell>
          <cell r="D57">
            <v>13209892.720000001</v>
          </cell>
          <cell r="E57">
            <v>3296502.9</v>
          </cell>
          <cell r="F57">
            <v>7448942.5199999996</v>
          </cell>
          <cell r="G57">
            <v>-4152439.62</v>
          </cell>
          <cell r="H57">
            <v>9057453.0999999996</v>
          </cell>
          <cell r="I57" t="str">
            <v>D</v>
          </cell>
        </row>
        <row r="58">
          <cell r="A58">
            <v>51954</v>
          </cell>
          <cell r="B58" t="str">
            <v>1.1.01.030.0021</v>
          </cell>
          <cell r="C58" t="str">
            <v>BRASIL  AG 3358-8 CC 2137-7</v>
          </cell>
          <cell r="D58">
            <v>764545.5</v>
          </cell>
          <cell r="E58">
            <v>22985.43</v>
          </cell>
          <cell r="F58">
            <v>0</v>
          </cell>
          <cell r="G58">
            <v>22985.43</v>
          </cell>
          <cell r="H58">
            <v>787530.93</v>
          </cell>
          <cell r="I58" t="str">
            <v>D</v>
          </cell>
        </row>
        <row r="59">
          <cell r="A59">
            <v>38099</v>
          </cell>
          <cell r="B59" t="str">
            <v>1.1.01.030.0024</v>
          </cell>
          <cell r="C59" t="str">
            <v xml:space="preserve">SANTANDER AG 2021 CC </v>
          </cell>
          <cell r="D59">
            <v>351747.76</v>
          </cell>
          <cell r="E59">
            <v>1262802.07</v>
          </cell>
          <cell r="F59">
            <v>409894.71</v>
          </cell>
          <cell r="G59">
            <v>852907.36</v>
          </cell>
          <cell r="H59">
            <v>1204655.1200000001</v>
          </cell>
          <cell r="I59" t="str">
            <v>D</v>
          </cell>
        </row>
        <row r="60">
          <cell r="A60">
            <v>38061</v>
          </cell>
          <cell r="B60" t="str">
            <v>1.1.01.030.0025</v>
          </cell>
          <cell r="C60" t="str">
            <v>SANTANDER AG 0093 CC13-</v>
          </cell>
          <cell r="D60">
            <v>35843.370000000003</v>
          </cell>
          <cell r="E60">
            <v>36846.71</v>
          </cell>
          <cell r="F60">
            <v>35915.42</v>
          </cell>
          <cell r="G60">
            <v>931.29</v>
          </cell>
          <cell r="H60">
            <v>36774.660000000003</v>
          </cell>
          <cell r="I60" t="str">
            <v>D</v>
          </cell>
        </row>
        <row r="61">
          <cell r="A61">
            <v>52469</v>
          </cell>
          <cell r="B61" t="str">
            <v>1.1.01.030.0026</v>
          </cell>
          <cell r="C61" t="str">
            <v xml:space="preserve">SANTANDER AG 2021 CC </v>
          </cell>
          <cell r="D61">
            <v>432199.03</v>
          </cell>
          <cell r="E61">
            <v>144190.71</v>
          </cell>
          <cell r="F61">
            <v>35741.019999999997</v>
          </cell>
          <cell r="G61">
            <v>108449.69</v>
          </cell>
          <cell r="H61">
            <v>540648.72</v>
          </cell>
          <cell r="I61" t="str">
            <v>D</v>
          </cell>
        </row>
        <row r="62">
          <cell r="A62">
            <v>54214</v>
          </cell>
          <cell r="B62" t="str">
            <v>1.1.01.030.0034</v>
          </cell>
          <cell r="C62" t="str">
            <v xml:space="preserve">SANTANDER APLICAÇÃO AG </v>
          </cell>
          <cell r="D62">
            <v>2093934.58</v>
          </cell>
          <cell r="E62">
            <v>20102.8</v>
          </cell>
          <cell r="F62">
            <v>0</v>
          </cell>
          <cell r="G62">
            <v>20102.8</v>
          </cell>
          <cell r="H62">
            <v>2114037.38</v>
          </cell>
          <cell r="I62" t="str">
            <v>D</v>
          </cell>
        </row>
        <row r="63">
          <cell r="A63">
            <v>54259</v>
          </cell>
          <cell r="B63" t="str">
            <v>1.1.01.030.0037</v>
          </cell>
          <cell r="C63" t="str">
            <v xml:space="preserve">BANCO BRASIL AG 3358-8 CC </v>
          </cell>
          <cell r="D63">
            <v>537997.74</v>
          </cell>
          <cell r="E63">
            <v>653887.53</v>
          </cell>
          <cell r="F63">
            <v>572391.01</v>
          </cell>
          <cell r="G63">
            <v>81496.52</v>
          </cell>
          <cell r="H63">
            <v>619494.26</v>
          </cell>
          <cell r="I63" t="str">
            <v>D</v>
          </cell>
        </row>
        <row r="64">
          <cell r="A64">
            <v>54265</v>
          </cell>
          <cell r="B64" t="str">
            <v>1.1.01.030.0038</v>
          </cell>
          <cell r="C64" t="str">
            <v xml:space="preserve">BCO BRASIL AG 3358-8 CC </v>
          </cell>
          <cell r="D64">
            <v>101507.27</v>
          </cell>
          <cell r="E64">
            <v>852.86</v>
          </cell>
          <cell r="F64">
            <v>0</v>
          </cell>
          <cell r="G64">
            <v>852.86</v>
          </cell>
          <cell r="H64">
            <v>102360.13</v>
          </cell>
          <cell r="I64" t="str">
            <v>D</v>
          </cell>
        </row>
        <row r="65">
          <cell r="A65">
            <v>54515</v>
          </cell>
          <cell r="B65" t="str">
            <v>1.1.01.030.0042</v>
          </cell>
          <cell r="C65" t="str">
            <v xml:space="preserve">BANCO BRASIL AG 3358-8 </v>
          </cell>
          <cell r="D65">
            <v>0</v>
          </cell>
          <cell r="E65">
            <v>86262.77</v>
          </cell>
          <cell r="F65">
            <v>86262.77</v>
          </cell>
          <cell r="G65">
            <v>0</v>
          </cell>
          <cell r="H65">
            <v>0</v>
          </cell>
          <cell r="I65" t="str">
            <v>D</v>
          </cell>
        </row>
        <row r="66">
          <cell r="A66">
            <v>54519</v>
          </cell>
          <cell r="B66" t="str">
            <v>1.1.01.030.0044</v>
          </cell>
          <cell r="C66" t="str">
            <v xml:space="preserve">BANCO BRASIL AG 3358-8 </v>
          </cell>
          <cell r="D66">
            <v>504299.93</v>
          </cell>
          <cell r="E66">
            <v>2613.79</v>
          </cell>
          <cell r="F66">
            <v>334768.92</v>
          </cell>
          <cell r="G66">
            <v>-332155.13</v>
          </cell>
          <cell r="H66">
            <v>172144.8</v>
          </cell>
          <cell r="I66" t="str">
            <v>D</v>
          </cell>
        </row>
        <row r="67">
          <cell r="A67">
            <v>54521</v>
          </cell>
          <cell r="B67" t="str">
            <v>1.1.01.030.0045</v>
          </cell>
          <cell r="C67" t="str">
            <v xml:space="preserve">BANCO BRASIL AG 3358-8 </v>
          </cell>
          <cell r="D67">
            <v>512368.72</v>
          </cell>
          <cell r="E67">
            <v>4304.88</v>
          </cell>
          <cell r="F67">
            <v>0</v>
          </cell>
          <cell r="G67">
            <v>4304.88</v>
          </cell>
          <cell r="H67">
            <v>516673.6</v>
          </cell>
          <cell r="I67" t="str">
            <v>D</v>
          </cell>
        </row>
        <row r="68">
          <cell r="A68">
            <v>54712</v>
          </cell>
          <cell r="B68" t="str">
            <v>1.1.01.030.0054</v>
          </cell>
          <cell r="C68" t="str">
            <v xml:space="preserve">BCO SANTANDER OBRA </v>
          </cell>
          <cell r="D68">
            <v>994675.69</v>
          </cell>
          <cell r="E68">
            <v>1675.05</v>
          </cell>
          <cell r="F68">
            <v>996350.74</v>
          </cell>
          <cell r="G68">
            <v>-994675.69</v>
          </cell>
          <cell r="H68">
            <v>0</v>
          </cell>
          <cell r="I68" t="str">
            <v>D</v>
          </cell>
        </row>
        <row r="69">
          <cell r="A69">
            <v>55452</v>
          </cell>
          <cell r="B69" t="str">
            <v>1.1.01.030.0059</v>
          </cell>
          <cell r="C69" t="str">
            <v xml:space="preserve">BANCO BTG CC 281023-8 </v>
          </cell>
          <cell r="D69">
            <v>9052327.6300000008</v>
          </cell>
          <cell r="E69">
            <v>92788.25</v>
          </cell>
          <cell r="F69">
            <v>830005.99</v>
          </cell>
          <cell r="G69">
            <v>-737217.74</v>
          </cell>
          <cell r="H69">
            <v>8315109.8899999997</v>
          </cell>
          <cell r="I69" t="str">
            <v>D</v>
          </cell>
        </row>
        <row r="70">
          <cell r="A70">
            <v>55952</v>
          </cell>
          <cell r="B70" t="str">
            <v>1.1.01.030.0060</v>
          </cell>
          <cell r="C70" t="str">
            <v xml:space="preserve">XP INVESTIMENTOS AG 0001 </v>
          </cell>
          <cell r="D70">
            <v>893.19</v>
          </cell>
          <cell r="E70">
            <v>0</v>
          </cell>
          <cell r="F70">
            <v>0</v>
          </cell>
          <cell r="G70">
            <v>0</v>
          </cell>
          <cell r="H70">
            <v>893.19</v>
          </cell>
          <cell r="I70" t="str">
            <v>D</v>
          </cell>
        </row>
        <row r="71">
          <cell r="A71">
            <v>53514</v>
          </cell>
          <cell r="B71" t="str">
            <v>1.1.01.040</v>
          </cell>
          <cell r="C71" t="str">
            <v xml:space="preserve">BANCO CONTA MOVIMENTO </v>
          </cell>
          <cell r="D71">
            <v>0</v>
          </cell>
          <cell r="E71">
            <v>128510.34</v>
          </cell>
          <cell r="F71">
            <v>128510.34</v>
          </cell>
          <cell r="G71">
            <v>0</v>
          </cell>
          <cell r="H71">
            <v>0</v>
          </cell>
          <cell r="I71" t="str">
            <v>D</v>
          </cell>
        </row>
        <row r="72">
          <cell r="A72">
            <v>52875</v>
          </cell>
          <cell r="B72" t="str">
            <v>1.1.01.040.0002</v>
          </cell>
          <cell r="C72" t="str">
            <v>BRASIL AG 3358 CC 6568</v>
          </cell>
          <cell r="D72">
            <v>0</v>
          </cell>
          <cell r="E72">
            <v>156</v>
          </cell>
          <cell r="F72">
            <v>156</v>
          </cell>
          <cell r="G72">
            <v>0</v>
          </cell>
          <cell r="H72">
            <v>0</v>
          </cell>
          <cell r="I72" t="str">
            <v>D</v>
          </cell>
        </row>
        <row r="73">
          <cell r="A73">
            <v>53074</v>
          </cell>
          <cell r="B73" t="str">
            <v>1.1.01.040.0008</v>
          </cell>
          <cell r="C73" t="str">
            <v>BRASIL AG 3358-8 CC 6636-2</v>
          </cell>
          <cell r="D73">
            <v>0</v>
          </cell>
          <cell r="E73">
            <v>101295.79</v>
          </cell>
          <cell r="F73">
            <v>101295.79</v>
          </cell>
          <cell r="G73">
            <v>0</v>
          </cell>
          <cell r="H73">
            <v>0</v>
          </cell>
          <cell r="I73" t="str">
            <v>D</v>
          </cell>
        </row>
        <row r="74">
          <cell r="A74">
            <v>52277</v>
          </cell>
          <cell r="B74" t="str">
            <v>1.1.01.040.0009</v>
          </cell>
          <cell r="C74" t="str">
            <v xml:space="preserve">BANCO DO BRASIL - 6472-6 - </v>
          </cell>
          <cell r="D74">
            <v>0</v>
          </cell>
          <cell r="E74">
            <v>59.95</v>
          </cell>
          <cell r="F74">
            <v>59.95</v>
          </cell>
          <cell r="G74">
            <v>0</v>
          </cell>
          <cell r="H74">
            <v>0</v>
          </cell>
          <cell r="I74" t="str">
            <v>D</v>
          </cell>
        </row>
        <row r="75">
          <cell r="A75">
            <v>54066</v>
          </cell>
          <cell r="B75" t="str">
            <v>1.1.01.040.0010</v>
          </cell>
          <cell r="C75" t="str">
            <v>BRASIL AG 3358-8 CC 6839-X</v>
          </cell>
          <cell r="D75">
            <v>0</v>
          </cell>
          <cell r="E75">
            <v>300</v>
          </cell>
          <cell r="F75">
            <v>300</v>
          </cell>
          <cell r="G75">
            <v>0</v>
          </cell>
          <cell r="H75">
            <v>0</v>
          </cell>
          <cell r="I75" t="str">
            <v>D</v>
          </cell>
        </row>
        <row r="76">
          <cell r="A76">
            <v>54556</v>
          </cell>
          <cell r="B76" t="str">
            <v>1.1.01.040.0017</v>
          </cell>
          <cell r="C76" t="str">
            <v>CEF AG 4293 CC 924139-6</v>
          </cell>
          <cell r="D76">
            <v>0</v>
          </cell>
          <cell r="E76">
            <v>49</v>
          </cell>
          <cell r="F76">
            <v>49</v>
          </cell>
          <cell r="G76">
            <v>0</v>
          </cell>
          <cell r="H76">
            <v>0</v>
          </cell>
          <cell r="I76" t="str">
            <v>D</v>
          </cell>
        </row>
        <row r="77">
          <cell r="A77">
            <v>54765</v>
          </cell>
          <cell r="B77" t="str">
            <v>1.1.01.040.0019</v>
          </cell>
          <cell r="C77" t="str">
            <v>CEF AG 4293 CC 5509-5</v>
          </cell>
          <cell r="D77">
            <v>0</v>
          </cell>
          <cell r="E77">
            <v>26649.599999999999</v>
          </cell>
          <cell r="F77">
            <v>26649.599999999999</v>
          </cell>
          <cell r="G77">
            <v>0</v>
          </cell>
          <cell r="H77">
            <v>0</v>
          </cell>
          <cell r="I77" t="str">
            <v>D</v>
          </cell>
        </row>
        <row r="78">
          <cell r="A78">
            <v>53515</v>
          </cell>
          <cell r="B78" t="str">
            <v>1.1.01.041</v>
          </cell>
          <cell r="C78" t="str">
            <v xml:space="preserve">BANCO CONTA APLICAÇÃO C/ </v>
          </cell>
          <cell r="D78">
            <v>1278382.21</v>
          </cell>
          <cell r="E78">
            <v>12098.63</v>
          </cell>
          <cell r="F78">
            <v>101042.99</v>
          </cell>
          <cell r="G78">
            <v>-88944.36</v>
          </cell>
          <cell r="H78">
            <v>1189437.8500000001</v>
          </cell>
          <cell r="I78" t="str">
            <v>D</v>
          </cell>
        </row>
        <row r="79">
          <cell r="A79">
            <v>53499</v>
          </cell>
          <cell r="B79" t="str">
            <v>1.1.01.041.0008</v>
          </cell>
          <cell r="C79" t="str">
            <v>BRASIL AG 3358-8 APLIC 6636-</v>
          </cell>
          <cell r="D79">
            <v>100859.99</v>
          </cell>
          <cell r="E79">
            <v>157.08000000000001</v>
          </cell>
          <cell r="F79">
            <v>100995.79</v>
          </cell>
          <cell r="G79">
            <v>-100838.71</v>
          </cell>
          <cell r="H79">
            <v>21.28</v>
          </cell>
          <cell r="I79" t="str">
            <v>D</v>
          </cell>
        </row>
        <row r="80">
          <cell r="A80">
            <v>54557</v>
          </cell>
          <cell r="B80" t="str">
            <v>1.1.01.041.0016</v>
          </cell>
          <cell r="C80" t="str">
            <v>CEF AG 4293 CC 924139-6</v>
          </cell>
          <cell r="D80">
            <v>1177522.22</v>
          </cell>
          <cell r="E80">
            <v>11941.55</v>
          </cell>
          <cell r="F80">
            <v>47.2</v>
          </cell>
          <cell r="G80">
            <v>11894.35</v>
          </cell>
          <cell r="H80">
            <v>1189416.57</v>
          </cell>
          <cell r="I80" t="str">
            <v>D</v>
          </cell>
        </row>
        <row r="81">
          <cell r="A81">
            <v>36555</v>
          </cell>
          <cell r="B81" t="str">
            <v>1.1.02</v>
          </cell>
          <cell r="C81" t="str">
            <v>CREDITOS A RECEBER</v>
          </cell>
          <cell r="D81">
            <v>36886358.740000002</v>
          </cell>
          <cell r="E81">
            <v>25515778.32</v>
          </cell>
          <cell r="F81">
            <v>23134943</v>
          </cell>
          <cell r="G81">
            <v>2380835.3199999998</v>
          </cell>
          <cell r="H81">
            <v>39267194.060000002</v>
          </cell>
          <cell r="I81" t="str">
            <v>D</v>
          </cell>
        </row>
        <row r="82">
          <cell r="A82">
            <v>36556</v>
          </cell>
          <cell r="B82" t="str">
            <v>1.1.02.010</v>
          </cell>
          <cell r="C82" t="str">
            <v>CONVENIOS</v>
          </cell>
          <cell r="D82">
            <v>17205853.41</v>
          </cell>
          <cell r="E82">
            <v>18848517.280000001</v>
          </cell>
          <cell r="F82">
            <v>17176931.780000001</v>
          </cell>
          <cell r="G82">
            <v>1671585.5</v>
          </cell>
          <cell r="H82">
            <v>18877438.91</v>
          </cell>
          <cell r="I82" t="str">
            <v>D</v>
          </cell>
        </row>
        <row r="83">
          <cell r="A83">
            <v>395</v>
          </cell>
          <cell r="B83" t="str">
            <v>1.1.02.010.0002</v>
          </cell>
          <cell r="C83" t="str">
            <v>ABRANGE</v>
          </cell>
          <cell r="D83">
            <v>2725.13</v>
          </cell>
          <cell r="E83">
            <v>1549.78</v>
          </cell>
          <cell r="F83">
            <v>1684.93</v>
          </cell>
          <cell r="G83">
            <v>-135.15</v>
          </cell>
          <cell r="H83">
            <v>2589.98</v>
          </cell>
          <cell r="I83" t="str">
            <v>D</v>
          </cell>
        </row>
        <row r="84">
          <cell r="A84">
            <v>33136</v>
          </cell>
          <cell r="B84" t="str">
            <v>1.1.02.010.0004</v>
          </cell>
          <cell r="C84" t="str">
            <v>ALIANZ SAUDE</v>
          </cell>
          <cell r="D84">
            <v>6291.6</v>
          </cell>
          <cell r="E84">
            <v>0</v>
          </cell>
          <cell r="F84">
            <v>140.78</v>
          </cell>
          <cell r="G84">
            <v>-140.78</v>
          </cell>
          <cell r="H84">
            <v>6150.82</v>
          </cell>
          <cell r="I84" t="str">
            <v>D</v>
          </cell>
        </row>
        <row r="85">
          <cell r="A85">
            <v>396</v>
          </cell>
          <cell r="B85" t="str">
            <v>1.1.02.010.0005</v>
          </cell>
          <cell r="C85" t="str">
            <v>AMAFRESP</v>
          </cell>
          <cell r="D85">
            <v>1769.06</v>
          </cell>
          <cell r="E85">
            <v>75</v>
          </cell>
          <cell r="F85">
            <v>1694.06</v>
          </cell>
          <cell r="G85">
            <v>-1619.06</v>
          </cell>
          <cell r="H85">
            <v>150</v>
          </cell>
          <cell r="I85" t="str">
            <v>D</v>
          </cell>
        </row>
        <row r="86">
          <cell r="A86">
            <v>388</v>
          </cell>
          <cell r="B86" t="str">
            <v>1.1.02.010.0006</v>
          </cell>
          <cell r="C86" t="str">
            <v>AMBEP</v>
          </cell>
          <cell r="D86">
            <v>4540.3500000000004</v>
          </cell>
          <cell r="E86">
            <v>0</v>
          </cell>
          <cell r="F86">
            <v>0</v>
          </cell>
          <cell r="G86">
            <v>0</v>
          </cell>
          <cell r="H86">
            <v>4540.3500000000004</v>
          </cell>
          <cell r="I86" t="str">
            <v>D</v>
          </cell>
        </row>
        <row r="87">
          <cell r="A87">
            <v>392</v>
          </cell>
          <cell r="B87" t="str">
            <v>1.1.02.010.0007</v>
          </cell>
          <cell r="C87" t="str">
            <v xml:space="preserve">AMIL CLINICA SAO JOSE S/C </v>
          </cell>
          <cell r="D87">
            <v>367476.25</v>
          </cell>
          <cell r="E87">
            <v>334140.46000000002</v>
          </cell>
          <cell r="F87">
            <v>246714.81</v>
          </cell>
          <cell r="G87">
            <v>87425.65</v>
          </cell>
          <cell r="H87">
            <v>454901.9</v>
          </cell>
          <cell r="I87" t="str">
            <v>D</v>
          </cell>
        </row>
        <row r="88">
          <cell r="A88">
            <v>391</v>
          </cell>
          <cell r="B88" t="str">
            <v>1.1.02.010.0008</v>
          </cell>
          <cell r="C88" t="str">
            <v>ASSEFAZ</v>
          </cell>
          <cell r="D88">
            <v>137.4</v>
          </cell>
          <cell r="E88">
            <v>0</v>
          </cell>
          <cell r="F88">
            <v>0</v>
          </cell>
          <cell r="G88">
            <v>0</v>
          </cell>
          <cell r="H88">
            <v>137.4</v>
          </cell>
          <cell r="I88" t="str">
            <v>D</v>
          </cell>
        </row>
        <row r="89">
          <cell r="A89">
            <v>51149</v>
          </cell>
          <cell r="B89" t="str">
            <v>1.1.02.010.0011</v>
          </cell>
          <cell r="C89" t="str">
            <v>ASSOCIACAO SANTA CASA SA</v>
          </cell>
          <cell r="D89">
            <v>2581372.64</v>
          </cell>
          <cell r="E89">
            <v>13828879.210000001</v>
          </cell>
          <cell r="F89">
            <v>12481985.800000001</v>
          </cell>
          <cell r="G89">
            <v>1346893.41</v>
          </cell>
          <cell r="H89">
            <v>3928266.05</v>
          </cell>
          <cell r="I89" t="str">
            <v>D</v>
          </cell>
        </row>
        <row r="90">
          <cell r="A90">
            <v>406</v>
          </cell>
          <cell r="B90" t="str">
            <v>1.1.02.010.0012</v>
          </cell>
          <cell r="C90" t="str">
            <v xml:space="preserve">ATIVIA  COOPERATIVA MEDICA </v>
          </cell>
          <cell r="D90">
            <v>946.66</v>
          </cell>
          <cell r="E90">
            <v>1386.9</v>
          </cell>
          <cell r="F90">
            <v>6911.44</v>
          </cell>
          <cell r="G90">
            <v>-5524.54</v>
          </cell>
          <cell r="H90">
            <v>-4577.88</v>
          </cell>
          <cell r="I90" t="str">
            <v>C</v>
          </cell>
        </row>
        <row r="91">
          <cell r="A91">
            <v>394</v>
          </cell>
          <cell r="B91" t="str">
            <v>1.1.02.010.0014</v>
          </cell>
          <cell r="C91" t="str">
            <v xml:space="preserve">AVAMP ASSOC.V.PARAIBANA </v>
          </cell>
          <cell r="D91">
            <v>257339.9</v>
          </cell>
          <cell r="E91">
            <v>165146.29999999999</v>
          </cell>
          <cell r="F91">
            <v>0</v>
          </cell>
          <cell r="G91">
            <v>165146.29999999999</v>
          </cell>
          <cell r="H91">
            <v>422486.2</v>
          </cell>
          <cell r="I91" t="str">
            <v>D</v>
          </cell>
        </row>
        <row r="92">
          <cell r="A92">
            <v>38252</v>
          </cell>
          <cell r="B92" t="str">
            <v>1.1.02.010.0016</v>
          </cell>
          <cell r="C92" t="str">
            <v>BENEFICENCIA CAMILIANA DO</v>
          </cell>
          <cell r="D92">
            <v>378</v>
          </cell>
          <cell r="E92">
            <v>0</v>
          </cell>
          <cell r="F92">
            <v>0</v>
          </cell>
          <cell r="G92">
            <v>0</v>
          </cell>
          <cell r="H92">
            <v>378</v>
          </cell>
          <cell r="I92" t="str">
            <v>D</v>
          </cell>
        </row>
        <row r="93">
          <cell r="A93">
            <v>398</v>
          </cell>
          <cell r="B93" t="str">
            <v>1.1.02.010.0018</v>
          </cell>
          <cell r="C93" t="str">
            <v>BRADESCO SEGUROS</v>
          </cell>
          <cell r="D93">
            <v>444147.65</v>
          </cell>
          <cell r="E93">
            <v>299803.84000000003</v>
          </cell>
          <cell r="F93">
            <v>213082.86</v>
          </cell>
          <cell r="G93">
            <v>86720.98</v>
          </cell>
          <cell r="H93">
            <v>530868.63</v>
          </cell>
          <cell r="I93" t="str">
            <v>D</v>
          </cell>
        </row>
        <row r="94">
          <cell r="A94">
            <v>401</v>
          </cell>
          <cell r="B94" t="str">
            <v>1.1.02.010.0019</v>
          </cell>
          <cell r="C94" t="str">
            <v xml:space="preserve">CABESP CXA BENEF FUNC </v>
          </cell>
          <cell r="D94">
            <v>375</v>
          </cell>
          <cell r="E94">
            <v>225</v>
          </cell>
          <cell r="F94">
            <v>75</v>
          </cell>
          <cell r="G94">
            <v>150</v>
          </cell>
          <cell r="H94">
            <v>525</v>
          </cell>
          <cell r="I94" t="str">
            <v>D</v>
          </cell>
        </row>
        <row r="95">
          <cell r="A95">
            <v>37840</v>
          </cell>
          <cell r="B95" t="str">
            <v>1.1.02.010.0020</v>
          </cell>
          <cell r="C95" t="str">
            <v xml:space="preserve">CAIXA ECONOMICA FEDERAL </v>
          </cell>
          <cell r="D95">
            <v>53971.06</v>
          </cell>
          <cell r="E95">
            <v>3574.52</v>
          </cell>
          <cell r="F95">
            <v>26570.66</v>
          </cell>
          <cell r="G95">
            <v>-22996.14</v>
          </cell>
          <cell r="H95">
            <v>30974.92</v>
          </cell>
          <cell r="I95" t="str">
            <v>D</v>
          </cell>
        </row>
        <row r="96">
          <cell r="A96">
            <v>400</v>
          </cell>
          <cell r="B96" t="str">
            <v>1.1.02.010.0021</v>
          </cell>
          <cell r="C96" t="str">
            <v xml:space="preserve">CARE PLUS MEDIC. </v>
          </cell>
          <cell r="D96">
            <v>3945.84</v>
          </cell>
          <cell r="E96">
            <v>3319.67</v>
          </cell>
          <cell r="F96">
            <v>3075.77</v>
          </cell>
          <cell r="G96">
            <v>243.9</v>
          </cell>
          <cell r="H96">
            <v>4189.74</v>
          </cell>
          <cell r="I96" t="str">
            <v>D</v>
          </cell>
        </row>
        <row r="97">
          <cell r="A97">
            <v>402</v>
          </cell>
          <cell r="B97" t="str">
            <v>1.1.02.010.0022</v>
          </cell>
          <cell r="C97" t="str">
            <v xml:space="preserve">CASSI CXA ASSIST FUNC BCO </v>
          </cell>
          <cell r="D97">
            <v>288958.18</v>
          </cell>
          <cell r="E97">
            <v>22787.88</v>
          </cell>
          <cell r="F97">
            <v>0</v>
          </cell>
          <cell r="G97">
            <v>22787.88</v>
          </cell>
          <cell r="H97">
            <v>311746.06</v>
          </cell>
          <cell r="I97" t="str">
            <v>D</v>
          </cell>
        </row>
        <row r="98">
          <cell r="A98">
            <v>33307</v>
          </cell>
          <cell r="B98" t="str">
            <v>1.1.02.010.0023</v>
          </cell>
          <cell r="C98" t="str">
            <v>CIME CIRURG MED LTDA</v>
          </cell>
          <cell r="D98">
            <v>264697.48</v>
          </cell>
          <cell r="E98">
            <v>0</v>
          </cell>
          <cell r="F98">
            <v>0</v>
          </cell>
          <cell r="G98">
            <v>0</v>
          </cell>
          <cell r="H98">
            <v>264697.48</v>
          </cell>
          <cell r="I98" t="str">
            <v>D</v>
          </cell>
        </row>
        <row r="99">
          <cell r="A99">
            <v>51840</v>
          </cell>
          <cell r="B99" t="str">
            <v>1.1.02.010.0024</v>
          </cell>
          <cell r="C99" t="str">
            <v>COMANDO DA AERONAUTICA</v>
          </cell>
          <cell r="D99">
            <v>511261.21</v>
          </cell>
          <cell r="E99">
            <v>79474.429999999993</v>
          </cell>
          <cell r="F99">
            <v>8106.19</v>
          </cell>
          <cell r="G99">
            <v>71368.240000000005</v>
          </cell>
          <cell r="H99">
            <v>582629.44999999995</v>
          </cell>
          <cell r="I99" t="str">
            <v>D</v>
          </cell>
        </row>
        <row r="100">
          <cell r="A100">
            <v>38307</v>
          </cell>
          <cell r="B100" t="str">
            <v>1.1.02.010.0025</v>
          </cell>
          <cell r="C100" t="str">
            <v>COMANDO DA MARINHA</v>
          </cell>
          <cell r="D100">
            <v>2065759.08</v>
          </cell>
          <cell r="E100">
            <v>88436.52</v>
          </cell>
          <cell r="F100">
            <v>131919.56</v>
          </cell>
          <cell r="G100">
            <v>-43483.040000000001</v>
          </cell>
          <cell r="H100">
            <v>2022276.04</v>
          </cell>
          <cell r="I100" t="str">
            <v>D</v>
          </cell>
        </row>
        <row r="101">
          <cell r="A101">
            <v>404</v>
          </cell>
          <cell r="B101" t="str">
            <v>1.1.02.010.0028</v>
          </cell>
          <cell r="C101" t="str">
            <v>CORREIO</v>
          </cell>
          <cell r="D101">
            <v>50324.57</v>
          </cell>
          <cell r="E101">
            <v>16296.96</v>
          </cell>
          <cell r="F101">
            <v>33184.19</v>
          </cell>
          <cell r="G101">
            <v>-16887.23</v>
          </cell>
          <cell r="H101">
            <v>33437.339999999997</v>
          </cell>
          <cell r="I101" t="str">
            <v>D</v>
          </cell>
        </row>
        <row r="102">
          <cell r="A102">
            <v>50870</v>
          </cell>
          <cell r="B102" t="str">
            <v>1.1.02.010.0030</v>
          </cell>
          <cell r="C102" t="str">
            <v>ECONLIFE SAUDE LTDA</v>
          </cell>
          <cell r="D102">
            <v>164</v>
          </cell>
          <cell r="E102">
            <v>0</v>
          </cell>
          <cell r="F102">
            <v>0</v>
          </cell>
          <cell r="G102">
            <v>0</v>
          </cell>
          <cell r="H102">
            <v>164</v>
          </cell>
          <cell r="I102" t="str">
            <v>D</v>
          </cell>
        </row>
        <row r="103">
          <cell r="A103">
            <v>52068</v>
          </cell>
          <cell r="B103" t="str">
            <v>1.1.02.010.0032</v>
          </cell>
          <cell r="C103" t="str">
            <v>EEAR ESCOLA ESPECIALISTAS</v>
          </cell>
          <cell r="D103">
            <v>2160.12</v>
          </cell>
          <cell r="E103">
            <v>0</v>
          </cell>
          <cell r="F103">
            <v>0</v>
          </cell>
          <cell r="G103">
            <v>0</v>
          </cell>
          <cell r="H103">
            <v>2160.12</v>
          </cell>
          <cell r="I103" t="str">
            <v>D</v>
          </cell>
        </row>
        <row r="104">
          <cell r="A104">
            <v>416</v>
          </cell>
          <cell r="B104" t="str">
            <v>1.1.02.010.0034</v>
          </cell>
          <cell r="C104" t="str">
            <v>EMBRATEL</v>
          </cell>
          <cell r="D104">
            <v>460.92</v>
          </cell>
          <cell r="E104">
            <v>0</v>
          </cell>
          <cell r="F104">
            <v>0</v>
          </cell>
          <cell r="G104">
            <v>0</v>
          </cell>
          <cell r="H104">
            <v>460.92</v>
          </cell>
          <cell r="I104" t="str">
            <v>D</v>
          </cell>
        </row>
        <row r="105">
          <cell r="A105">
            <v>12342</v>
          </cell>
          <cell r="B105" t="str">
            <v>1.1.02.010.0040</v>
          </cell>
          <cell r="C105" t="str">
            <v>FUNDACAO CESP</v>
          </cell>
          <cell r="D105">
            <v>72892.87</v>
          </cell>
          <cell r="E105">
            <v>12427.78</v>
          </cell>
          <cell r="F105">
            <v>68745.399999999994</v>
          </cell>
          <cell r="G105">
            <v>-56317.62</v>
          </cell>
          <cell r="H105">
            <v>16575.25</v>
          </cell>
          <cell r="I105" t="str">
            <v>D</v>
          </cell>
        </row>
        <row r="106">
          <cell r="A106">
            <v>52519</v>
          </cell>
          <cell r="B106" t="str">
            <v>1.1.02.010.0041</v>
          </cell>
          <cell r="C106" t="str">
            <v>FUNDACAO SABESP DE SEGU</v>
          </cell>
          <cell r="D106">
            <v>35875.919999999998</v>
          </cell>
          <cell r="E106">
            <v>0</v>
          </cell>
          <cell r="F106">
            <v>0</v>
          </cell>
          <cell r="G106">
            <v>0</v>
          </cell>
          <cell r="H106">
            <v>35875.919999999998</v>
          </cell>
          <cell r="I106" t="str">
            <v>D</v>
          </cell>
        </row>
        <row r="107">
          <cell r="A107">
            <v>32891</v>
          </cell>
          <cell r="B107" t="str">
            <v>1.1.02.010.0042</v>
          </cell>
          <cell r="C107" t="str">
            <v>FUSEX</v>
          </cell>
          <cell r="D107">
            <v>1390675.63</v>
          </cell>
          <cell r="E107">
            <v>123525.21</v>
          </cell>
          <cell r="F107">
            <v>32864.910000000003</v>
          </cell>
          <cell r="G107">
            <v>90660.3</v>
          </cell>
          <cell r="H107">
            <v>1481335.93</v>
          </cell>
          <cell r="I107" t="str">
            <v>D</v>
          </cell>
        </row>
        <row r="108">
          <cell r="A108">
            <v>12344</v>
          </cell>
          <cell r="B108" t="str">
            <v>1.1.02.010.0043</v>
          </cell>
          <cell r="C108" t="str">
            <v>GAMA</v>
          </cell>
          <cell r="D108">
            <v>3001.64</v>
          </cell>
          <cell r="E108">
            <v>0</v>
          </cell>
          <cell r="F108">
            <v>0</v>
          </cell>
          <cell r="G108">
            <v>0</v>
          </cell>
          <cell r="H108">
            <v>3001.64</v>
          </cell>
          <cell r="I108" t="str">
            <v>D</v>
          </cell>
        </row>
        <row r="109">
          <cell r="A109">
            <v>51341</v>
          </cell>
          <cell r="B109" t="str">
            <v>1.1.02.010.0044</v>
          </cell>
          <cell r="C109" t="str">
            <v xml:space="preserve">GM GENERAL MOTORS DO </v>
          </cell>
          <cell r="D109">
            <v>1476.13</v>
          </cell>
          <cell r="E109">
            <v>0</v>
          </cell>
          <cell r="F109">
            <v>0</v>
          </cell>
          <cell r="G109">
            <v>0</v>
          </cell>
          <cell r="H109">
            <v>1476.13</v>
          </cell>
          <cell r="I109" t="str">
            <v>D</v>
          </cell>
        </row>
        <row r="110">
          <cell r="A110">
            <v>12348</v>
          </cell>
          <cell r="B110" t="str">
            <v>1.1.02.010.0045</v>
          </cell>
          <cell r="C110" t="str">
            <v>GOLDEN CROSS</v>
          </cell>
          <cell r="D110">
            <v>361.38</v>
          </cell>
          <cell r="E110">
            <v>0</v>
          </cell>
          <cell r="F110">
            <v>0</v>
          </cell>
          <cell r="G110">
            <v>0</v>
          </cell>
          <cell r="H110">
            <v>361.38</v>
          </cell>
          <cell r="I110" t="str">
            <v>D</v>
          </cell>
        </row>
        <row r="111">
          <cell r="A111">
            <v>38173</v>
          </cell>
          <cell r="B111" t="str">
            <v>1.1.02.010.0048</v>
          </cell>
          <cell r="C111" t="str">
            <v xml:space="preserve">IAMSPE INSTIT DE ASSIST </v>
          </cell>
          <cell r="D111">
            <v>3785711.91</v>
          </cell>
          <cell r="E111">
            <v>1154983.8500000001</v>
          </cell>
          <cell r="F111">
            <v>1395240.13</v>
          </cell>
          <cell r="G111">
            <v>-240256.28</v>
          </cell>
          <cell r="H111">
            <v>3545455.63</v>
          </cell>
          <cell r="I111" t="str">
            <v>D</v>
          </cell>
        </row>
        <row r="112">
          <cell r="A112">
            <v>37685</v>
          </cell>
          <cell r="B112" t="str">
            <v>1.1.02.010.0049</v>
          </cell>
          <cell r="C112" t="str">
            <v xml:space="preserve">INTERMEDICA SISTEMAS DE </v>
          </cell>
          <cell r="D112">
            <v>254284.21</v>
          </cell>
          <cell r="E112">
            <v>262934.06</v>
          </cell>
          <cell r="F112">
            <v>165328.48000000001</v>
          </cell>
          <cell r="G112">
            <v>97605.58</v>
          </cell>
          <cell r="H112">
            <v>351889.79</v>
          </cell>
          <cell r="I112" t="str">
            <v>D</v>
          </cell>
        </row>
        <row r="113">
          <cell r="A113">
            <v>52105</v>
          </cell>
          <cell r="B113" t="str">
            <v>1.1.02.010.0051</v>
          </cell>
          <cell r="C113" t="str">
            <v>LEADER ASSISTENCIA MEDICA</v>
          </cell>
          <cell r="D113">
            <v>92175.13</v>
          </cell>
          <cell r="E113">
            <v>0</v>
          </cell>
          <cell r="F113">
            <v>0</v>
          </cell>
          <cell r="G113">
            <v>0</v>
          </cell>
          <cell r="H113">
            <v>92175.13</v>
          </cell>
          <cell r="I113" t="str">
            <v>D</v>
          </cell>
        </row>
        <row r="114">
          <cell r="A114">
            <v>33913</v>
          </cell>
          <cell r="B114" t="str">
            <v>1.1.02.010.0052</v>
          </cell>
          <cell r="C114" t="str">
            <v>LIFE EMPRESARIAL SAUDE</v>
          </cell>
          <cell r="D114">
            <v>5984.04</v>
          </cell>
          <cell r="E114">
            <v>2470.2600000000002</v>
          </cell>
          <cell r="F114">
            <v>4296.3599999999997</v>
          </cell>
          <cell r="G114">
            <v>-1826.1</v>
          </cell>
          <cell r="H114">
            <v>4157.9399999999996</v>
          </cell>
          <cell r="I114" t="str">
            <v>D</v>
          </cell>
        </row>
        <row r="115">
          <cell r="A115">
            <v>12360</v>
          </cell>
          <cell r="B115" t="str">
            <v>1.1.02.010.0053</v>
          </cell>
          <cell r="C115" t="str">
            <v>MARITIMA</v>
          </cell>
          <cell r="D115">
            <v>420.57</v>
          </cell>
          <cell r="E115">
            <v>868.11</v>
          </cell>
          <cell r="F115">
            <v>320.29000000000002</v>
          </cell>
          <cell r="G115">
            <v>547.82000000000005</v>
          </cell>
          <cell r="H115">
            <v>968.39</v>
          </cell>
          <cell r="I115" t="str">
            <v>D</v>
          </cell>
        </row>
        <row r="116">
          <cell r="A116">
            <v>12361</v>
          </cell>
          <cell r="B116" t="str">
            <v>1.1.02.010.0055</v>
          </cell>
          <cell r="C116" t="str">
            <v>MEDISERVICE</v>
          </cell>
          <cell r="D116">
            <v>35245.32</v>
          </cell>
          <cell r="E116">
            <v>19415.82</v>
          </cell>
          <cell r="F116">
            <v>16878.29</v>
          </cell>
          <cell r="G116">
            <v>2537.5300000000002</v>
          </cell>
          <cell r="H116">
            <v>37782.85</v>
          </cell>
          <cell r="I116" t="str">
            <v>D</v>
          </cell>
        </row>
        <row r="117">
          <cell r="A117">
            <v>12367</v>
          </cell>
          <cell r="B117" t="str">
            <v>1.1.02.010.0057</v>
          </cell>
          <cell r="C117" t="str">
            <v>NOTRE DAME</v>
          </cell>
          <cell r="D117">
            <v>272271.03999999998</v>
          </cell>
          <cell r="E117">
            <v>129776.11</v>
          </cell>
          <cell r="F117">
            <v>134741.69</v>
          </cell>
          <cell r="G117">
            <v>-4965.58</v>
          </cell>
          <cell r="H117">
            <v>267305.46000000002</v>
          </cell>
          <cell r="I117" t="str">
            <v>D</v>
          </cell>
        </row>
        <row r="118">
          <cell r="A118">
            <v>12371</v>
          </cell>
          <cell r="B118" t="str">
            <v>1.1.02.010.0059</v>
          </cell>
          <cell r="C118" t="str">
            <v xml:space="preserve">PETROBRAS PETROLEO </v>
          </cell>
          <cell r="D118">
            <v>79092.399999999994</v>
          </cell>
          <cell r="E118">
            <v>5302.68</v>
          </cell>
          <cell r="F118">
            <v>17267.64</v>
          </cell>
          <cell r="G118">
            <v>-11964.96</v>
          </cell>
          <cell r="H118">
            <v>67127.44</v>
          </cell>
          <cell r="I118" t="str">
            <v>D</v>
          </cell>
        </row>
        <row r="119">
          <cell r="A119">
            <v>12372</v>
          </cell>
          <cell r="B119" t="str">
            <v>1.1.02.010.0060</v>
          </cell>
          <cell r="C119" t="str">
            <v xml:space="preserve">PLANTEL PLANOS DE ASSIST </v>
          </cell>
          <cell r="D119">
            <v>127.14</v>
          </cell>
          <cell r="E119">
            <v>0</v>
          </cell>
          <cell r="F119">
            <v>0</v>
          </cell>
          <cell r="G119">
            <v>0</v>
          </cell>
          <cell r="H119">
            <v>127.14</v>
          </cell>
          <cell r="I119" t="str">
            <v>D</v>
          </cell>
        </row>
        <row r="120">
          <cell r="A120">
            <v>12381</v>
          </cell>
          <cell r="B120" t="str">
            <v>1.1.02.010.0061</v>
          </cell>
          <cell r="C120" t="str">
            <v>PORTO SEGURO SAUDE SA</v>
          </cell>
          <cell r="D120">
            <v>132146.74</v>
          </cell>
          <cell r="E120">
            <v>57188.76</v>
          </cell>
          <cell r="F120">
            <v>79723.97</v>
          </cell>
          <cell r="G120">
            <v>-22535.21</v>
          </cell>
          <cell r="H120">
            <v>109611.53</v>
          </cell>
          <cell r="I120" t="str">
            <v>D</v>
          </cell>
        </row>
        <row r="121">
          <cell r="A121">
            <v>38594</v>
          </cell>
          <cell r="B121" t="str">
            <v>1.1.02.010.0062</v>
          </cell>
          <cell r="C121" t="str">
            <v xml:space="preserve">PREFEITURA MUNICIPAL DE </v>
          </cell>
          <cell r="D121">
            <v>336066.8</v>
          </cell>
          <cell r="E121">
            <v>172983.9</v>
          </cell>
          <cell r="F121">
            <v>109833.43</v>
          </cell>
          <cell r="G121">
            <v>63150.47</v>
          </cell>
          <cell r="H121">
            <v>399217.27</v>
          </cell>
          <cell r="I121" t="str">
            <v>D</v>
          </cell>
        </row>
        <row r="122">
          <cell r="A122">
            <v>51326</v>
          </cell>
          <cell r="B122" t="str">
            <v>1.1.02.010.0064</v>
          </cell>
          <cell r="C122" t="str">
            <v xml:space="preserve">RM MEDICINA OCUPACIONAL </v>
          </cell>
          <cell r="D122">
            <v>903</v>
          </cell>
          <cell r="E122">
            <v>0</v>
          </cell>
          <cell r="F122">
            <v>0</v>
          </cell>
          <cell r="G122">
            <v>0</v>
          </cell>
          <cell r="H122">
            <v>903</v>
          </cell>
          <cell r="I122" t="str">
            <v>D</v>
          </cell>
        </row>
        <row r="123">
          <cell r="A123">
            <v>37048</v>
          </cell>
          <cell r="B123" t="str">
            <v>1.1.02.010.0066</v>
          </cell>
          <cell r="C123" t="str">
            <v>SANTA CASA INTERLIGADAS</v>
          </cell>
          <cell r="D123">
            <v>434.44</v>
          </cell>
          <cell r="E123">
            <v>0</v>
          </cell>
          <cell r="F123">
            <v>0</v>
          </cell>
          <cell r="G123">
            <v>0</v>
          </cell>
          <cell r="H123">
            <v>434.44</v>
          </cell>
          <cell r="I123" t="str">
            <v>D</v>
          </cell>
        </row>
        <row r="124">
          <cell r="A124">
            <v>12387</v>
          </cell>
          <cell r="B124" t="str">
            <v>1.1.02.010.0070</v>
          </cell>
          <cell r="C124" t="str">
            <v xml:space="preserve">SUL AMERICA SERV MEDICOS </v>
          </cell>
          <cell r="D124">
            <v>1457232.24</v>
          </cell>
          <cell r="E124">
            <v>806606.31</v>
          </cell>
          <cell r="F124">
            <v>649095.77</v>
          </cell>
          <cell r="G124">
            <v>157510.54</v>
          </cell>
          <cell r="H124">
            <v>1614742.78</v>
          </cell>
          <cell r="I124" t="str">
            <v>D</v>
          </cell>
        </row>
        <row r="125">
          <cell r="A125">
            <v>51224</v>
          </cell>
          <cell r="B125" t="str">
            <v>1.1.02.010.0074</v>
          </cell>
          <cell r="C125" t="str">
            <v xml:space="preserve">UNIAO EXERCITO BRASILEIRO </v>
          </cell>
          <cell r="D125">
            <v>3427.08</v>
          </cell>
          <cell r="E125">
            <v>0</v>
          </cell>
          <cell r="F125">
            <v>0</v>
          </cell>
          <cell r="G125">
            <v>0</v>
          </cell>
          <cell r="H125">
            <v>3427.08</v>
          </cell>
          <cell r="I125" t="str">
            <v>D</v>
          </cell>
        </row>
        <row r="126">
          <cell r="A126">
            <v>12403</v>
          </cell>
          <cell r="B126" t="str">
            <v>1.1.02.010.0075</v>
          </cell>
          <cell r="C126" t="str">
            <v>UNIMED</v>
          </cell>
          <cell r="D126">
            <v>1008908.38</v>
          </cell>
          <cell r="E126">
            <v>692490.74</v>
          </cell>
          <cell r="F126">
            <v>777077.24</v>
          </cell>
          <cell r="G126">
            <v>-84586.5</v>
          </cell>
          <cell r="H126">
            <v>924321.88</v>
          </cell>
          <cell r="I126" t="str">
            <v>D</v>
          </cell>
        </row>
        <row r="127">
          <cell r="A127">
            <v>33975</v>
          </cell>
          <cell r="B127" t="str">
            <v>1.1.02.010.0076</v>
          </cell>
          <cell r="C127" t="str">
            <v>UNIMED INTERCAMBIO</v>
          </cell>
          <cell r="D127">
            <v>435364.95</v>
          </cell>
          <cell r="E127">
            <v>340075.75</v>
          </cell>
          <cell r="F127">
            <v>454508.7</v>
          </cell>
          <cell r="G127">
            <v>-114432.95</v>
          </cell>
          <cell r="H127">
            <v>320932</v>
          </cell>
          <cell r="I127" t="str">
            <v>D</v>
          </cell>
        </row>
        <row r="128">
          <cell r="A128">
            <v>52887</v>
          </cell>
          <cell r="B128" t="str">
            <v>1.1.02.010.0077</v>
          </cell>
          <cell r="C128" t="str">
            <v>UNIMED TAUBATE</v>
          </cell>
          <cell r="D128">
            <v>111156.37</v>
          </cell>
          <cell r="E128">
            <v>0</v>
          </cell>
          <cell r="F128">
            <v>0</v>
          </cell>
          <cell r="G128">
            <v>0</v>
          </cell>
          <cell r="H128">
            <v>111156.37</v>
          </cell>
          <cell r="I128" t="str">
            <v>D</v>
          </cell>
        </row>
        <row r="129">
          <cell r="A129">
            <v>38921</v>
          </cell>
          <cell r="B129" t="str">
            <v>1.1.02.010.0078</v>
          </cell>
          <cell r="C129" t="str">
            <v>UNIMED DIARIA GLOBAL</v>
          </cell>
          <cell r="D129">
            <v>119043.92</v>
          </cell>
          <cell r="E129">
            <v>0</v>
          </cell>
          <cell r="F129">
            <v>0</v>
          </cell>
          <cell r="G129">
            <v>0</v>
          </cell>
          <cell r="H129">
            <v>119043.92</v>
          </cell>
          <cell r="I129" t="str">
            <v>D</v>
          </cell>
        </row>
        <row r="130">
          <cell r="A130">
            <v>33098</v>
          </cell>
          <cell r="B130" t="str">
            <v>1.1.02.010.0079</v>
          </cell>
          <cell r="C130" t="str">
            <v xml:space="preserve">UNIMED VALE PARAIBA </v>
          </cell>
          <cell r="D130">
            <v>43965.32</v>
          </cell>
          <cell r="E130">
            <v>0</v>
          </cell>
          <cell r="F130">
            <v>0</v>
          </cell>
          <cell r="G130">
            <v>0</v>
          </cell>
          <cell r="H130">
            <v>43965.32</v>
          </cell>
          <cell r="I130" t="str">
            <v>D</v>
          </cell>
        </row>
        <row r="131">
          <cell r="A131">
            <v>33511</v>
          </cell>
          <cell r="B131" t="str">
            <v>1.1.02.010.0080</v>
          </cell>
          <cell r="C131" t="str">
            <v>USISAUDE</v>
          </cell>
          <cell r="D131">
            <v>251.63</v>
          </cell>
          <cell r="E131">
            <v>0</v>
          </cell>
          <cell r="F131">
            <v>0</v>
          </cell>
          <cell r="G131">
            <v>0</v>
          </cell>
          <cell r="H131">
            <v>251.63</v>
          </cell>
          <cell r="I131" t="str">
            <v>D</v>
          </cell>
        </row>
        <row r="132">
          <cell r="A132">
            <v>53083</v>
          </cell>
          <cell r="B132" t="str">
            <v>1.1.02.010.0082</v>
          </cell>
          <cell r="C132" t="str">
            <v>PIO XII</v>
          </cell>
          <cell r="D132">
            <v>0</v>
          </cell>
          <cell r="E132">
            <v>4797.26</v>
          </cell>
          <cell r="F132">
            <v>0</v>
          </cell>
          <cell r="G132">
            <v>4797.26</v>
          </cell>
          <cell r="H132">
            <v>4797.26</v>
          </cell>
          <cell r="I132" t="str">
            <v>D</v>
          </cell>
        </row>
        <row r="133">
          <cell r="A133">
            <v>54745</v>
          </cell>
          <cell r="B133" t="str">
            <v>1.1.02.010.0088</v>
          </cell>
          <cell r="C133" t="str">
            <v>BRADESCO SAÚDE</v>
          </cell>
          <cell r="D133">
            <v>492776.89</v>
          </cell>
          <cell r="E133">
            <v>191533.26</v>
          </cell>
          <cell r="F133">
            <v>58466.63</v>
          </cell>
          <cell r="G133">
            <v>133066.63</v>
          </cell>
          <cell r="H133">
            <v>625843.52</v>
          </cell>
          <cell r="I133" t="str">
            <v>D</v>
          </cell>
        </row>
        <row r="134">
          <cell r="A134">
            <v>55013</v>
          </cell>
          <cell r="B134" t="str">
            <v>1.1.02.010.0089</v>
          </cell>
          <cell r="C134" t="str">
            <v xml:space="preserve">GO CARE PLANOS DE SAUDE </v>
          </cell>
          <cell r="D134">
            <v>125378.22</v>
          </cell>
          <cell r="E134">
            <v>26040.95</v>
          </cell>
          <cell r="F134">
            <v>57396.800000000003</v>
          </cell>
          <cell r="G134">
            <v>-31355.85</v>
          </cell>
          <cell r="H134">
            <v>94022.37</v>
          </cell>
          <cell r="I134" t="str">
            <v>D</v>
          </cell>
        </row>
        <row r="135">
          <cell r="A135">
            <v>54823</v>
          </cell>
          <cell r="B135" t="str">
            <v>1.1.02.011</v>
          </cell>
          <cell r="C135" t="str">
            <v>(-) PECLD CONVÊNIOS</v>
          </cell>
          <cell r="D135">
            <v>3000000</v>
          </cell>
          <cell r="E135">
            <v>0</v>
          </cell>
          <cell r="F135">
            <v>250000</v>
          </cell>
          <cell r="G135">
            <v>250000</v>
          </cell>
          <cell r="H135">
            <v>3250000</v>
          </cell>
          <cell r="I135" t="str">
            <v>C</v>
          </cell>
        </row>
        <row r="136">
          <cell r="A136">
            <v>54824</v>
          </cell>
          <cell r="B136" t="str">
            <v>1.1.02.011.0001</v>
          </cell>
          <cell r="C136" t="str">
            <v>(-) PECLD CONVÊNIOS</v>
          </cell>
          <cell r="D136">
            <v>3000000</v>
          </cell>
          <cell r="E136">
            <v>0</v>
          </cell>
          <cell r="F136">
            <v>250000</v>
          </cell>
          <cell r="G136">
            <v>250000</v>
          </cell>
          <cell r="H136">
            <v>3250000</v>
          </cell>
          <cell r="I136" t="str">
            <v>C</v>
          </cell>
        </row>
        <row r="137">
          <cell r="A137">
            <v>53060</v>
          </cell>
          <cell r="B137" t="str">
            <v>1.1.02.020</v>
          </cell>
          <cell r="C137" t="str">
            <v xml:space="preserve">PACIENTE PARTICULAR A </v>
          </cell>
          <cell r="D137">
            <v>51873.53</v>
          </cell>
          <cell r="E137">
            <v>110943.83</v>
          </cell>
          <cell r="F137">
            <v>106809.83</v>
          </cell>
          <cell r="G137">
            <v>4134</v>
          </cell>
          <cell r="H137">
            <v>56007.53</v>
          </cell>
          <cell r="I137" t="str">
            <v>D</v>
          </cell>
        </row>
        <row r="138">
          <cell r="A138">
            <v>12380</v>
          </cell>
          <cell r="B138" t="str">
            <v>1.1.02.020.0001</v>
          </cell>
          <cell r="C138" t="str">
            <v xml:space="preserve">PACIENTE PARTICULAR </v>
          </cell>
          <cell r="D138">
            <v>51873.53</v>
          </cell>
          <cell r="E138">
            <v>110943.83</v>
          </cell>
          <cell r="F138">
            <v>106809.83</v>
          </cell>
          <cell r="G138">
            <v>4134</v>
          </cell>
          <cell r="H138">
            <v>56007.53</v>
          </cell>
          <cell r="I138" t="str">
            <v>D</v>
          </cell>
        </row>
        <row r="139">
          <cell r="A139">
            <v>52376</v>
          </cell>
          <cell r="B139" t="str">
            <v>1.1.02.030</v>
          </cell>
          <cell r="C139" t="str">
            <v>GLOSAS A RECURSAR</v>
          </cell>
          <cell r="D139">
            <v>2370637.59</v>
          </cell>
          <cell r="E139">
            <v>604310.72</v>
          </cell>
          <cell r="F139">
            <v>359886.45</v>
          </cell>
          <cell r="G139">
            <v>244424.27</v>
          </cell>
          <cell r="H139">
            <v>2615061.86</v>
          </cell>
          <cell r="I139" t="str">
            <v>D</v>
          </cell>
        </row>
        <row r="140">
          <cell r="A140">
            <v>52380</v>
          </cell>
          <cell r="B140" t="str">
            <v>1.1.02.030.0001</v>
          </cell>
          <cell r="C140" t="str">
            <v>GLOSAS A RECURSAR - AMIL</v>
          </cell>
          <cell r="D140">
            <v>61303.24</v>
          </cell>
          <cell r="E140">
            <v>85412.15</v>
          </cell>
          <cell r="F140">
            <v>46174.69</v>
          </cell>
          <cell r="G140">
            <v>39237.46</v>
          </cell>
          <cell r="H140">
            <v>100540.7</v>
          </cell>
          <cell r="I140" t="str">
            <v>D</v>
          </cell>
        </row>
        <row r="141">
          <cell r="A141">
            <v>52381</v>
          </cell>
          <cell r="B141" t="str">
            <v>1.1.02.030.0002</v>
          </cell>
          <cell r="C141" t="str">
            <v>GLOSAS A RECURSAR - ATIVIA</v>
          </cell>
          <cell r="D141">
            <v>9450.82</v>
          </cell>
          <cell r="E141">
            <v>1070.1300000000001</v>
          </cell>
          <cell r="F141">
            <v>0</v>
          </cell>
          <cell r="G141">
            <v>1070.1300000000001</v>
          </cell>
          <cell r="H141">
            <v>10520.95</v>
          </cell>
          <cell r="I141" t="str">
            <v>D</v>
          </cell>
        </row>
        <row r="142">
          <cell r="A142">
            <v>52382</v>
          </cell>
          <cell r="B142" t="str">
            <v>1.1.02.030.0003</v>
          </cell>
          <cell r="C142" t="str">
            <v xml:space="preserve">GLOSAS A RECURSAR - </v>
          </cell>
          <cell r="D142">
            <v>218779.64</v>
          </cell>
          <cell r="E142">
            <v>71718.69</v>
          </cell>
          <cell r="F142">
            <v>40104.910000000003</v>
          </cell>
          <cell r="G142">
            <v>31613.78</v>
          </cell>
          <cell r="H142">
            <v>250393.42</v>
          </cell>
          <cell r="I142" t="str">
            <v>D</v>
          </cell>
        </row>
        <row r="143">
          <cell r="A143">
            <v>52383</v>
          </cell>
          <cell r="B143" t="str">
            <v>1.1.02.030.0004</v>
          </cell>
          <cell r="C143" t="str">
            <v>GLOSAS A RECURSAR - CASSI</v>
          </cell>
          <cell r="D143">
            <v>297.22000000000003</v>
          </cell>
          <cell r="E143">
            <v>0</v>
          </cell>
          <cell r="F143">
            <v>0</v>
          </cell>
          <cell r="G143">
            <v>0</v>
          </cell>
          <cell r="H143">
            <v>297.22000000000003</v>
          </cell>
          <cell r="I143" t="str">
            <v>D</v>
          </cell>
        </row>
        <row r="144">
          <cell r="A144">
            <v>52384</v>
          </cell>
          <cell r="B144" t="str">
            <v>1.1.02.030.0005</v>
          </cell>
          <cell r="C144" t="str">
            <v>GLOSAS A RECURSAR - GAMA</v>
          </cell>
          <cell r="D144">
            <v>651.09</v>
          </cell>
          <cell r="E144">
            <v>0</v>
          </cell>
          <cell r="F144">
            <v>0</v>
          </cell>
          <cell r="G144">
            <v>0</v>
          </cell>
          <cell r="H144">
            <v>651.09</v>
          </cell>
          <cell r="I144" t="str">
            <v>D</v>
          </cell>
        </row>
        <row r="145">
          <cell r="A145">
            <v>52385</v>
          </cell>
          <cell r="B145" t="str">
            <v>1.1.02.030.0006</v>
          </cell>
          <cell r="C145" t="str">
            <v xml:space="preserve">GLOSAS A RECURSAR - </v>
          </cell>
          <cell r="D145">
            <v>1462.49</v>
          </cell>
          <cell r="E145">
            <v>0</v>
          </cell>
          <cell r="F145">
            <v>0</v>
          </cell>
          <cell r="G145">
            <v>0</v>
          </cell>
          <cell r="H145">
            <v>1462.49</v>
          </cell>
          <cell r="I145" t="str">
            <v>D</v>
          </cell>
        </row>
        <row r="146">
          <cell r="A146">
            <v>52386</v>
          </cell>
          <cell r="B146" t="str">
            <v>1.1.02.030.0007</v>
          </cell>
          <cell r="C146" t="str">
            <v xml:space="preserve">GLOSAS A RECURSAR - </v>
          </cell>
          <cell r="D146">
            <v>21076.41</v>
          </cell>
          <cell r="E146">
            <v>972.06</v>
          </cell>
          <cell r="F146">
            <v>1788.06</v>
          </cell>
          <cell r="G146">
            <v>-816</v>
          </cell>
          <cell r="H146">
            <v>20260.41</v>
          </cell>
          <cell r="I146" t="str">
            <v>D</v>
          </cell>
        </row>
        <row r="147">
          <cell r="A147">
            <v>52387</v>
          </cell>
          <cell r="B147" t="str">
            <v>1.1.02.030.0008</v>
          </cell>
          <cell r="C147" t="str">
            <v xml:space="preserve">GLOSAS A RECURSAR - SUL </v>
          </cell>
          <cell r="D147">
            <v>274572.92</v>
          </cell>
          <cell r="E147">
            <v>71492.91</v>
          </cell>
          <cell r="F147">
            <v>113412.73</v>
          </cell>
          <cell r="G147">
            <v>-41919.82</v>
          </cell>
          <cell r="H147">
            <v>232653.1</v>
          </cell>
          <cell r="I147" t="str">
            <v>D</v>
          </cell>
        </row>
        <row r="148">
          <cell r="A148">
            <v>52388</v>
          </cell>
          <cell r="B148" t="str">
            <v>1.1.02.030.0009</v>
          </cell>
          <cell r="C148" t="str">
            <v xml:space="preserve">GLOSAS A RECURSAR - </v>
          </cell>
          <cell r="D148">
            <v>189129.47</v>
          </cell>
          <cell r="E148">
            <v>43231.1</v>
          </cell>
          <cell r="F148">
            <v>41101.31</v>
          </cell>
          <cell r="G148">
            <v>2129.79</v>
          </cell>
          <cell r="H148">
            <v>191259.26</v>
          </cell>
          <cell r="I148" t="str">
            <v>D</v>
          </cell>
        </row>
        <row r="149">
          <cell r="A149">
            <v>52389</v>
          </cell>
          <cell r="B149" t="str">
            <v>1.1.02.030.0010</v>
          </cell>
          <cell r="C149" t="str">
            <v xml:space="preserve">GLOSAS A RECURSAR - </v>
          </cell>
          <cell r="D149">
            <v>3878.66</v>
          </cell>
          <cell r="E149">
            <v>1887.12</v>
          </cell>
          <cell r="F149">
            <v>2151.7399999999998</v>
          </cell>
          <cell r="G149">
            <v>-264.62</v>
          </cell>
          <cell r="H149">
            <v>3614.04</v>
          </cell>
          <cell r="I149" t="str">
            <v>D</v>
          </cell>
        </row>
        <row r="150">
          <cell r="A150">
            <v>52390</v>
          </cell>
          <cell r="B150" t="str">
            <v>1.1.02.030.0011</v>
          </cell>
          <cell r="C150" t="str">
            <v xml:space="preserve">GLOSAS A RECURSAR - </v>
          </cell>
          <cell r="D150">
            <v>894810.5</v>
          </cell>
          <cell r="E150">
            <v>192962.21</v>
          </cell>
          <cell r="F150">
            <v>0</v>
          </cell>
          <cell r="G150">
            <v>192962.21</v>
          </cell>
          <cell r="H150">
            <v>1087772.71</v>
          </cell>
          <cell r="I150" t="str">
            <v>D</v>
          </cell>
        </row>
        <row r="151">
          <cell r="A151">
            <v>52391</v>
          </cell>
          <cell r="B151" t="str">
            <v>1.1.02.030.0012</v>
          </cell>
          <cell r="C151" t="str">
            <v xml:space="preserve">GLOSAS A RECURSAR - </v>
          </cell>
          <cell r="D151">
            <v>23597.26</v>
          </cell>
          <cell r="E151">
            <v>61764.93</v>
          </cell>
          <cell r="F151">
            <v>34352.800000000003</v>
          </cell>
          <cell r="G151">
            <v>27412.13</v>
          </cell>
          <cell r="H151">
            <v>51009.39</v>
          </cell>
          <cell r="I151" t="str">
            <v>D</v>
          </cell>
        </row>
        <row r="152">
          <cell r="A152">
            <v>52392</v>
          </cell>
          <cell r="B152" t="str">
            <v>1.1.02.030.0013</v>
          </cell>
          <cell r="C152" t="str">
            <v xml:space="preserve">GLOSAS A RECURSAR - </v>
          </cell>
          <cell r="D152">
            <v>291.33999999999997</v>
          </cell>
          <cell r="E152">
            <v>0</v>
          </cell>
          <cell r="F152">
            <v>291.33999999999997</v>
          </cell>
          <cell r="G152">
            <v>-291.33999999999997</v>
          </cell>
          <cell r="H152">
            <v>0</v>
          </cell>
          <cell r="I152" t="str">
            <v>D</v>
          </cell>
        </row>
        <row r="153">
          <cell r="A153">
            <v>52393</v>
          </cell>
          <cell r="B153" t="str">
            <v>1.1.02.030.0014</v>
          </cell>
          <cell r="C153" t="str">
            <v xml:space="preserve">GLOSAS A RECURSAR - </v>
          </cell>
          <cell r="D153">
            <v>6830.65</v>
          </cell>
          <cell r="E153">
            <v>4541.2700000000004</v>
          </cell>
          <cell r="F153">
            <v>11371.92</v>
          </cell>
          <cell r="G153">
            <v>-6830.65</v>
          </cell>
          <cell r="H153">
            <v>0</v>
          </cell>
          <cell r="I153" t="str">
            <v>D</v>
          </cell>
        </row>
        <row r="154">
          <cell r="A154">
            <v>52415</v>
          </cell>
          <cell r="B154" t="str">
            <v>1.1.02.030.0016</v>
          </cell>
          <cell r="C154" t="str">
            <v xml:space="preserve">GLOSAS A RECURSAR - </v>
          </cell>
          <cell r="D154">
            <v>0</v>
          </cell>
          <cell r="E154">
            <v>3075.53</v>
          </cell>
          <cell r="F154">
            <v>3075.53</v>
          </cell>
          <cell r="G154">
            <v>0</v>
          </cell>
          <cell r="H154">
            <v>0</v>
          </cell>
          <cell r="I154" t="str">
            <v>D</v>
          </cell>
        </row>
        <row r="155">
          <cell r="A155">
            <v>52477</v>
          </cell>
          <cell r="B155" t="str">
            <v>1.1.02.030.0017</v>
          </cell>
          <cell r="C155" t="str">
            <v xml:space="preserve">GLOSAS A RECURSAR - </v>
          </cell>
          <cell r="D155">
            <v>510.72</v>
          </cell>
          <cell r="E155">
            <v>0</v>
          </cell>
          <cell r="F155">
            <v>0</v>
          </cell>
          <cell r="G155">
            <v>0</v>
          </cell>
          <cell r="H155">
            <v>510.72</v>
          </cell>
          <cell r="I155" t="str">
            <v>D</v>
          </cell>
        </row>
        <row r="156">
          <cell r="A156">
            <v>52478</v>
          </cell>
          <cell r="B156" t="str">
            <v>1.1.02.030.0018</v>
          </cell>
          <cell r="C156" t="str">
            <v xml:space="preserve">GLOSAS A RECURSAR - </v>
          </cell>
          <cell r="D156">
            <v>147.21</v>
          </cell>
          <cell r="E156">
            <v>31.44</v>
          </cell>
          <cell r="F156">
            <v>31.44</v>
          </cell>
          <cell r="G156">
            <v>0</v>
          </cell>
          <cell r="H156">
            <v>147.21</v>
          </cell>
          <cell r="I156" t="str">
            <v>D</v>
          </cell>
        </row>
        <row r="157">
          <cell r="A157">
            <v>52479</v>
          </cell>
          <cell r="B157" t="str">
            <v>1.1.02.030.0019</v>
          </cell>
          <cell r="C157" t="str">
            <v xml:space="preserve">GLOSAS A RECURSAR - </v>
          </cell>
          <cell r="D157">
            <v>16088.59</v>
          </cell>
          <cell r="E157">
            <v>8451.76</v>
          </cell>
          <cell r="F157">
            <v>18015.89</v>
          </cell>
          <cell r="G157">
            <v>-9564.1299999999992</v>
          </cell>
          <cell r="H157">
            <v>6524.46</v>
          </cell>
          <cell r="I157" t="str">
            <v>D</v>
          </cell>
        </row>
        <row r="158">
          <cell r="A158">
            <v>52480</v>
          </cell>
          <cell r="B158" t="str">
            <v>1.1.02.030.0020</v>
          </cell>
          <cell r="C158" t="str">
            <v xml:space="preserve">GLOSAS A RECURSAR - </v>
          </cell>
          <cell r="D158">
            <v>29755.64</v>
          </cell>
          <cell r="E158">
            <v>0</v>
          </cell>
          <cell r="F158">
            <v>0</v>
          </cell>
          <cell r="G158">
            <v>0</v>
          </cell>
          <cell r="H158">
            <v>29755.64</v>
          </cell>
          <cell r="I158" t="str">
            <v>D</v>
          </cell>
        </row>
        <row r="159">
          <cell r="A159">
            <v>52481</v>
          </cell>
          <cell r="B159" t="str">
            <v>1.1.02.030.0021</v>
          </cell>
          <cell r="C159" t="str">
            <v xml:space="preserve">GLOSAS A RECURSAR - </v>
          </cell>
          <cell r="D159">
            <v>1368.39</v>
          </cell>
          <cell r="E159">
            <v>0</v>
          </cell>
          <cell r="F159">
            <v>0</v>
          </cell>
          <cell r="G159">
            <v>0</v>
          </cell>
          <cell r="H159">
            <v>1368.39</v>
          </cell>
          <cell r="I159" t="str">
            <v>D</v>
          </cell>
        </row>
        <row r="160">
          <cell r="A160">
            <v>52482</v>
          </cell>
          <cell r="B160" t="str">
            <v>1.1.02.030.0022</v>
          </cell>
          <cell r="C160" t="str">
            <v xml:space="preserve">GLOSAS A RECURSAR - CAIXA </v>
          </cell>
          <cell r="D160">
            <v>0</v>
          </cell>
          <cell r="E160">
            <v>380.06</v>
          </cell>
          <cell r="F160">
            <v>0</v>
          </cell>
          <cell r="G160">
            <v>380.06</v>
          </cell>
          <cell r="H160">
            <v>380.06</v>
          </cell>
          <cell r="I160" t="str">
            <v>D</v>
          </cell>
        </row>
        <row r="161">
          <cell r="A161">
            <v>52483</v>
          </cell>
          <cell r="B161" t="str">
            <v>1.1.02.030.0023</v>
          </cell>
          <cell r="C161" t="str">
            <v xml:space="preserve">GLOSAS A RECURSAR - SAO </v>
          </cell>
          <cell r="D161">
            <v>2.89</v>
          </cell>
          <cell r="E161">
            <v>0</v>
          </cell>
          <cell r="F161">
            <v>0</v>
          </cell>
          <cell r="G161">
            <v>0</v>
          </cell>
          <cell r="H161">
            <v>2.89</v>
          </cell>
          <cell r="I161" t="str">
            <v>D</v>
          </cell>
        </row>
        <row r="162">
          <cell r="A162">
            <v>53609</v>
          </cell>
          <cell r="B162" t="str">
            <v>1.1.02.030.0025</v>
          </cell>
          <cell r="C162" t="str">
            <v xml:space="preserve">GLOSAS A RECURSAR - </v>
          </cell>
          <cell r="D162">
            <v>763.61</v>
          </cell>
          <cell r="E162">
            <v>0</v>
          </cell>
          <cell r="F162">
            <v>0</v>
          </cell>
          <cell r="G162">
            <v>0</v>
          </cell>
          <cell r="H162">
            <v>763.61</v>
          </cell>
          <cell r="I162" t="str">
            <v>D</v>
          </cell>
        </row>
        <row r="163">
          <cell r="A163">
            <v>53611</v>
          </cell>
          <cell r="B163" t="str">
            <v>1.1.02.030.0026</v>
          </cell>
          <cell r="C163" t="str">
            <v xml:space="preserve">GLOSAS A RECURSAR - </v>
          </cell>
          <cell r="D163">
            <v>0</v>
          </cell>
          <cell r="E163">
            <v>404.39</v>
          </cell>
          <cell r="F163">
            <v>0</v>
          </cell>
          <cell r="G163">
            <v>404.39</v>
          </cell>
          <cell r="H163">
            <v>404.39</v>
          </cell>
          <cell r="I163" t="str">
            <v>D</v>
          </cell>
        </row>
        <row r="164">
          <cell r="A164">
            <v>53613</v>
          </cell>
          <cell r="B164" t="str">
            <v>1.1.02.030.0027</v>
          </cell>
          <cell r="C164" t="str">
            <v xml:space="preserve">GLOSAS A RECURSAR - </v>
          </cell>
          <cell r="D164">
            <v>467757.3</v>
          </cell>
          <cell r="E164">
            <v>0</v>
          </cell>
          <cell r="F164">
            <v>0</v>
          </cell>
          <cell r="G164">
            <v>0</v>
          </cell>
          <cell r="H164">
            <v>467757.3</v>
          </cell>
          <cell r="I164" t="str">
            <v>D</v>
          </cell>
        </row>
        <row r="165">
          <cell r="A165">
            <v>53623</v>
          </cell>
          <cell r="B165" t="str">
            <v>1.1.02.030.0032</v>
          </cell>
          <cell r="C165" t="str">
            <v xml:space="preserve">GLOSAS A RECURSAR - </v>
          </cell>
          <cell r="D165">
            <v>83.3</v>
          </cell>
          <cell r="E165">
            <v>0</v>
          </cell>
          <cell r="F165">
            <v>0</v>
          </cell>
          <cell r="G165">
            <v>0</v>
          </cell>
          <cell r="H165">
            <v>83.3</v>
          </cell>
          <cell r="I165" t="str">
            <v>D</v>
          </cell>
        </row>
        <row r="166">
          <cell r="A166">
            <v>53627</v>
          </cell>
          <cell r="B166" t="str">
            <v>1.1.02.030.0034</v>
          </cell>
          <cell r="C166" t="str">
            <v xml:space="preserve">GLOSAS A RECURSAR - CARE </v>
          </cell>
          <cell r="D166">
            <v>1461.13</v>
          </cell>
          <cell r="E166">
            <v>88.18</v>
          </cell>
          <cell r="F166">
            <v>1461.13</v>
          </cell>
          <cell r="G166">
            <v>-1372.95</v>
          </cell>
          <cell r="H166">
            <v>88.18</v>
          </cell>
          <cell r="I166" t="str">
            <v>D</v>
          </cell>
        </row>
        <row r="167">
          <cell r="A167">
            <v>53631</v>
          </cell>
          <cell r="B167" t="str">
            <v>1.1.02.030.0036</v>
          </cell>
          <cell r="C167" t="str">
            <v xml:space="preserve">GLOSAS A RECURSAR - </v>
          </cell>
          <cell r="D167">
            <v>761.82</v>
          </cell>
          <cell r="E167">
            <v>0</v>
          </cell>
          <cell r="F167">
            <v>0</v>
          </cell>
          <cell r="G167">
            <v>0</v>
          </cell>
          <cell r="H167">
            <v>761.82</v>
          </cell>
          <cell r="I167" t="str">
            <v>D</v>
          </cell>
        </row>
        <row r="168">
          <cell r="A168">
            <v>53633</v>
          </cell>
          <cell r="B168" t="str">
            <v>1.1.02.030.0037</v>
          </cell>
          <cell r="C168" t="str">
            <v xml:space="preserve">GLOSAS A RECURSAR - </v>
          </cell>
          <cell r="D168">
            <v>869.1</v>
          </cell>
          <cell r="E168">
            <v>0</v>
          </cell>
          <cell r="F168">
            <v>0</v>
          </cell>
          <cell r="G168">
            <v>0</v>
          </cell>
          <cell r="H168">
            <v>869.1</v>
          </cell>
          <cell r="I168" t="str">
            <v>D</v>
          </cell>
        </row>
        <row r="169">
          <cell r="A169">
            <v>53635</v>
          </cell>
          <cell r="B169" t="str">
            <v>1.1.02.030.0038</v>
          </cell>
          <cell r="C169" t="str">
            <v xml:space="preserve">GLOSAS A RECURSAR - </v>
          </cell>
          <cell r="D169">
            <v>1387.75</v>
          </cell>
          <cell r="E169">
            <v>0</v>
          </cell>
          <cell r="F169">
            <v>0</v>
          </cell>
          <cell r="G169">
            <v>0</v>
          </cell>
          <cell r="H169">
            <v>1387.75</v>
          </cell>
          <cell r="I169" t="str">
            <v>D</v>
          </cell>
        </row>
        <row r="170">
          <cell r="A170">
            <v>53637</v>
          </cell>
          <cell r="B170" t="str">
            <v>1.1.02.030.0039</v>
          </cell>
          <cell r="C170" t="str">
            <v xml:space="preserve">GLOSAS A RECURSAR - EEAR </v>
          </cell>
          <cell r="D170">
            <v>6</v>
          </cell>
          <cell r="E170">
            <v>0</v>
          </cell>
          <cell r="F170">
            <v>0</v>
          </cell>
          <cell r="G170">
            <v>0</v>
          </cell>
          <cell r="H170">
            <v>6</v>
          </cell>
          <cell r="I170" t="str">
            <v>D</v>
          </cell>
        </row>
        <row r="171">
          <cell r="A171">
            <v>53639</v>
          </cell>
          <cell r="B171" t="str">
            <v>1.1.02.030.0040</v>
          </cell>
          <cell r="C171" t="str">
            <v xml:space="preserve">GLOSAS A RECURSAR - </v>
          </cell>
          <cell r="D171">
            <v>2.25</v>
          </cell>
          <cell r="E171">
            <v>0</v>
          </cell>
          <cell r="F171">
            <v>0</v>
          </cell>
          <cell r="G171">
            <v>0</v>
          </cell>
          <cell r="H171">
            <v>2.25</v>
          </cell>
          <cell r="I171" t="str">
            <v>D</v>
          </cell>
        </row>
        <row r="172">
          <cell r="A172">
            <v>53642</v>
          </cell>
          <cell r="B172" t="str">
            <v>1.1.02.030.0041</v>
          </cell>
          <cell r="C172" t="str">
            <v xml:space="preserve">GLOSAS A RECURSAR - </v>
          </cell>
          <cell r="D172">
            <v>27924.49</v>
          </cell>
          <cell r="E172">
            <v>6742.78</v>
          </cell>
          <cell r="F172">
            <v>0</v>
          </cell>
          <cell r="G172">
            <v>6742.78</v>
          </cell>
          <cell r="H172">
            <v>34667.269999999997</v>
          </cell>
          <cell r="I172" t="str">
            <v>D</v>
          </cell>
        </row>
        <row r="173">
          <cell r="A173">
            <v>53644</v>
          </cell>
          <cell r="B173" t="str">
            <v>1.1.02.030.0042</v>
          </cell>
          <cell r="C173" t="str">
            <v xml:space="preserve">GLOSAS A RECURSAR - </v>
          </cell>
          <cell r="D173">
            <v>865.91</v>
          </cell>
          <cell r="E173">
            <v>0</v>
          </cell>
          <cell r="F173">
            <v>0</v>
          </cell>
          <cell r="G173">
            <v>0</v>
          </cell>
          <cell r="H173">
            <v>865.91</v>
          </cell>
          <cell r="I173" t="str">
            <v>D</v>
          </cell>
        </row>
        <row r="174">
          <cell r="A174">
            <v>53647</v>
          </cell>
          <cell r="B174" t="str">
            <v>1.1.02.030.0043</v>
          </cell>
          <cell r="C174" t="str">
            <v xml:space="preserve">GLOSAS A RECURSAR - </v>
          </cell>
          <cell r="D174">
            <v>22658.97</v>
          </cell>
          <cell r="E174">
            <v>0</v>
          </cell>
          <cell r="F174">
            <v>0</v>
          </cell>
          <cell r="G174">
            <v>0</v>
          </cell>
          <cell r="H174">
            <v>22658.97</v>
          </cell>
          <cell r="I174" t="str">
            <v>D</v>
          </cell>
        </row>
        <row r="175">
          <cell r="A175">
            <v>53655</v>
          </cell>
          <cell r="B175" t="str">
            <v>1.1.02.030.0046</v>
          </cell>
          <cell r="C175" t="str">
            <v xml:space="preserve">GLOSAS A RECURSAR - </v>
          </cell>
          <cell r="D175">
            <v>0.14000000000000001</v>
          </cell>
          <cell r="E175">
            <v>0</v>
          </cell>
          <cell r="F175">
            <v>0</v>
          </cell>
          <cell r="G175">
            <v>0</v>
          </cell>
          <cell r="H175">
            <v>0.14000000000000001</v>
          </cell>
          <cell r="I175" t="str">
            <v>D</v>
          </cell>
        </row>
        <row r="176">
          <cell r="A176">
            <v>53658</v>
          </cell>
          <cell r="B176" t="str">
            <v>1.1.02.030.0047</v>
          </cell>
          <cell r="C176" t="str">
            <v xml:space="preserve">GLOSAS A RECURSAR - LIFE </v>
          </cell>
          <cell r="D176">
            <v>769.49</v>
          </cell>
          <cell r="E176">
            <v>434.73</v>
          </cell>
          <cell r="F176">
            <v>769.49</v>
          </cell>
          <cell r="G176">
            <v>-334.76</v>
          </cell>
          <cell r="H176">
            <v>434.73</v>
          </cell>
          <cell r="I176" t="str">
            <v>D</v>
          </cell>
        </row>
        <row r="177">
          <cell r="A177">
            <v>53675</v>
          </cell>
          <cell r="B177" t="str">
            <v>1.1.02.030.0055</v>
          </cell>
          <cell r="C177" t="str">
            <v xml:space="preserve">GLOSAS A RECURSAR - </v>
          </cell>
          <cell r="D177">
            <v>51258.92</v>
          </cell>
          <cell r="E177">
            <v>32181.9</v>
          </cell>
          <cell r="F177">
            <v>18551.34</v>
          </cell>
          <cell r="G177">
            <v>13630.56</v>
          </cell>
          <cell r="H177">
            <v>64889.48</v>
          </cell>
          <cell r="I177" t="str">
            <v>D</v>
          </cell>
        </row>
        <row r="178">
          <cell r="A178">
            <v>53679</v>
          </cell>
          <cell r="B178" t="str">
            <v>1.1.02.030.0057</v>
          </cell>
          <cell r="C178" t="str">
            <v xml:space="preserve">GLOSAS A RECURSAR - </v>
          </cell>
          <cell r="D178">
            <v>3851.03</v>
          </cell>
          <cell r="E178">
            <v>0</v>
          </cell>
          <cell r="F178">
            <v>0</v>
          </cell>
          <cell r="G178">
            <v>0</v>
          </cell>
          <cell r="H178">
            <v>3851.03</v>
          </cell>
          <cell r="I178" t="str">
            <v>D</v>
          </cell>
        </row>
        <row r="179">
          <cell r="A179">
            <v>53681</v>
          </cell>
          <cell r="B179" t="str">
            <v>1.1.02.030.0058</v>
          </cell>
          <cell r="C179" t="str">
            <v xml:space="preserve">GLOSAS A RECURSAR - </v>
          </cell>
          <cell r="D179">
            <v>2316.77</v>
          </cell>
          <cell r="E179">
            <v>0</v>
          </cell>
          <cell r="F179">
            <v>0</v>
          </cell>
          <cell r="G179">
            <v>0</v>
          </cell>
          <cell r="H179">
            <v>2316.77</v>
          </cell>
          <cell r="I179" t="str">
            <v>D</v>
          </cell>
        </row>
        <row r="180">
          <cell r="A180">
            <v>53683</v>
          </cell>
          <cell r="B180" t="str">
            <v>1.1.02.030.0059</v>
          </cell>
          <cell r="C180" t="str">
            <v xml:space="preserve">GLOSAS A RECURSAR - </v>
          </cell>
          <cell r="D180">
            <v>3.73</v>
          </cell>
          <cell r="E180">
            <v>0</v>
          </cell>
          <cell r="F180">
            <v>0</v>
          </cell>
          <cell r="G180">
            <v>0</v>
          </cell>
          <cell r="H180">
            <v>3.73</v>
          </cell>
          <cell r="I180" t="str">
            <v>D</v>
          </cell>
        </row>
        <row r="181">
          <cell r="A181">
            <v>53687</v>
          </cell>
          <cell r="B181" t="str">
            <v>1.1.02.030.0061</v>
          </cell>
          <cell r="C181" t="str">
            <v xml:space="preserve">GLOSAS A RECURSAR - </v>
          </cell>
          <cell r="D181">
            <v>4100</v>
          </cell>
          <cell r="E181">
            <v>0</v>
          </cell>
          <cell r="F181">
            <v>0</v>
          </cell>
          <cell r="G181">
            <v>0</v>
          </cell>
          <cell r="H181">
            <v>4100</v>
          </cell>
          <cell r="I181" t="str">
            <v>D</v>
          </cell>
        </row>
        <row r="182">
          <cell r="A182">
            <v>54753</v>
          </cell>
          <cell r="B182" t="str">
            <v>1.1.02.030.0063</v>
          </cell>
          <cell r="C182" t="str">
            <v xml:space="preserve">GLOSAS A RECURSAR - </v>
          </cell>
          <cell r="D182">
            <v>3486.62</v>
          </cell>
          <cell r="E182">
            <v>7383.9</v>
          </cell>
          <cell r="F182">
            <v>928.02</v>
          </cell>
          <cell r="G182">
            <v>6455.88</v>
          </cell>
          <cell r="H182">
            <v>9942.5</v>
          </cell>
          <cell r="I182" t="str">
            <v>D</v>
          </cell>
        </row>
        <row r="183">
          <cell r="A183">
            <v>55032</v>
          </cell>
          <cell r="B183" t="str">
            <v>1.1.02.030.0064</v>
          </cell>
          <cell r="C183" t="str">
            <v xml:space="preserve">GLOSAS A RECURSAR - GO </v>
          </cell>
          <cell r="D183">
            <v>26304.11</v>
          </cell>
          <cell r="E183">
            <v>10083.48</v>
          </cell>
          <cell r="F183">
            <v>26304.11</v>
          </cell>
          <cell r="G183">
            <v>-16220.63</v>
          </cell>
          <cell r="H183">
            <v>10083.48</v>
          </cell>
          <cell r="I183" t="str">
            <v>D</v>
          </cell>
        </row>
        <row r="184">
          <cell r="A184">
            <v>52395</v>
          </cell>
          <cell r="B184" t="str">
            <v>1.1.02.040</v>
          </cell>
          <cell r="C184" t="str">
            <v>GLOSAS RECURSADAS</v>
          </cell>
          <cell r="D184">
            <v>14823155.359999999</v>
          </cell>
          <cell r="E184">
            <v>340859.55</v>
          </cell>
          <cell r="F184">
            <v>528231.23</v>
          </cell>
          <cell r="G184">
            <v>-187371.68</v>
          </cell>
          <cell r="H184">
            <v>14635783.68</v>
          </cell>
          <cell r="I184" t="str">
            <v>D</v>
          </cell>
        </row>
        <row r="185">
          <cell r="A185">
            <v>52399</v>
          </cell>
          <cell r="B185" t="str">
            <v>1.1.02.040.0001</v>
          </cell>
          <cell r="C185" t="str">
            <v>GLOSAS RECURSADAS - AMIL</v>
          </cell>
          <cell r="D185">
            <v>2164844.17</v>
          </cell>
          <cell r="E185">
            <v>46146.87</v>
          </cell>
          <cell r="F185">
            <v>0</v>
          </cell>
          <cell r="G185">
            <v>46146.87</v>
          </cell>
          <cell r="H185">
            <v>2210991.04</v>
          </cell>
          <cell r="I185" t="str">
            <v>D</v>
          </cell>
        </row>
        <row r="186">
          <cell r="A186">
            <v>52401</v>
          </cell>
          <cell r="B186" t="str">
            <v>1.1.02.040.0002</v>
          </cell>
          <cell r="C186" t="str">
            <v xml:space="preserve">GLOSAS RECURSADAS - </v>
          </cell>
          <cell r="D186">
            <v>582210.66</v>
          </cell>
          <cell r="E186">
            <v>0</v>
          </cell>
          <cell r="F186">
            <v>4523.87</v>
          </cell>
          <cell r="G186">
            <v>-4523.87</v>
          </cell>
          <cell r="H186">
            <v>577686.79</v>
          </cell>
          <cell r="I186" t="str">
            <v>D</v>
          </cell>
        </row>
        <row r="187">
          <cell r="A187">
            <v>52402</v>
          </cell>
          <cell r="B187" t="str">
            <v>1.1.02.040.0003</v>
          </cell>
          <cell r="C187" t="str">
            <v xml:space="preserve">GLOSAS RECURSADAS - </v>
          </cell>
          <cell r="D187">
            <v>454351.49</v>
          </cell>
          <cell r="E187">
            <v>30491.27</v>
          </cell>
          <cell r="F187">
            <v>14310.59</v>
          </cell>
          <cell r="G187">
            <v>16180.68</v>
          </cell>
          <cell r="H187">
            <v>470532.17</v>
          </cell>
          <cell r="I187" t="str">
            <v>D</v>
          </cell>
        </row>
        <row r="188">
          <cell r="A188">
            <v>52403</v>
          </cell>
          <cell r="B188" t="str">
            <v>1.1.02.040.0004</v>
          </cell>
          <cell r="C188" t="str">
            <v xml:space="preserve">GLOSAS RECURSADAS - </v>
          </cell>
          <cell r="D188">
            <v>485316.58</v>
          </cell>
          <cell r="E188">
            <v>0</v>
          </cell>
          <cell r="F188">
            <v>0</v>
          </cell>
          <cell r="G188">
            <v>0</v>
          </cell>
          <cell r="H188">
            <v>485316.58</v>
          </cell>
          <cell r="I188" t="str">
            <v>D</v>
          </cell>
        </row>
        <row r="189">
          <cell r="A189">
            <v>52404</v>
          </cell>
          <cell r="B189" t="str">
            <v>1.1.02.040.0005</v>
          </cell>
          <cell r="C189" t="str">
            <v xml:space="preserve">GLOSAS RECURSADAS - </v>
          </cell>
          <cell r="D189">
            <v>51633.120000000003</v>
          </cell>
          <cell r="E189">
            <v>0</v>
          </cell>
          <cell r="F189">
            <v>0</v>
          </cell>
          <cell r="G189">
            <v>0</v>
          </cell>
          <cell r="H189">
            <v>51633.120000000003</v>
          </cell>
          <cell r="I189" t="str">
            <v>D</v>
          </cell>
        </row>
        <row r="190">
          <cell r="A190">
            <v>52405</v>
          </cell>
          <cell r="B190" t="str">
            <v>1.1.02.040.0006</v>
          </cell>
          <cell r="C190" t="str">
            <v xml:space="preserve">GLOSAS RECURSADAS - </v>
          </cell>
          <cell r="D190">
            <v>7556.16</v>
          </cell>
          <cell r="E190">
            <v>0</v>
          </cell>
          <cell r="F190">
            <v>0</v>
          </cell>
          <cell r="G190">
            <v>0</v>
          </cell>
          <cell r="H190">
            <v>7556.16</v>
          </cell>
          <cell r="I190" t="str">
            <v>D</v>
          </cell>
        </row>
        <row r="191">
          <cell r="A191">
            <v>52406</v>
          </cell>
          <cell r="B191" t="str">
            <v>1.1.02.040.0007</v>
          </cell>
          <cell r="C191" t="str">
            <v xml:space="preserve">GLOSAS RECURSADAS - </v>
          </cell>
          <cell r="D191">
            <v>35220.65</v>
          </cell>
          <cell r="E191">
            <v>1788.05</v>
          </cell>
          <cell r="F191">
            <v>0.01</v>
          </cell>
          <cell r="G191">
            <v>1788.04</v>
          </cell>
          <cell r="H191">
            <v>37008.69</v>
          </cell>
          <cell r="I191" t="str">
            <v>D</v>
          </cell>
        </row>
        <row r="192">
          <cell r="A192">
            <v>52407</v>
          </cell>
          <cell r="B192" t="str">
            <v>1.1.02.040.0008</v>
          </cell>
          <cell r="C192" t="str">
            <v xml:space="preserve">GLOSAS RECURSADAS - SUL </v>
          </cell>
          <cell r="D192">
            <v>2294877.5699999998</v>
          </cell>
          <cell r="E192">
            <v>111149.65</v>
          </cell>
          <cell r="F192">
            <v>3586.42</v>
          </cell>
          <cell r="G192">
            <v>107563.23</v>
          </cell>
          <cell r="H192">
            <v>2402440.7999999998</v>
          </cell>
          <cell r="I192" t="str">
            <v>D</v>
          </cell>
        </row>
        <row r="193">
          <cell r="A193">
            <v>52408</v>
          </cell>
          <cell r="B193" t="str">
            <v>1.1.02.040.0009</v>
          </cell>
          <cell r="C193" t="str">
            <v xml:space="preserve">GLOSAS RECURSADAS - </v>
          </cell>
          <cell r="D193">
            <v>1033572.68</v>
          </cell>
          <cell r="E193">
            <v>39339.85</v>
          </cell>
          <cell r="F193">
            <v>21149.86</v>
          </cell>
          <cell r="G193">
            <v>18189.990000000002</v>
          </cell>
          <cell r="H193">
            <v>1051762.67</v>
          </cell>
          <cell r="I193" t="str">
            <v>D</v>
          </cell>
        </row>
        <row r="194">
          <cell r="A194">
            <v>52409</v>
          </cell>
          <cell r="B194" t="str">
            <v>1.1.02.040.0010</v>
          </cell>
          <cell r="C194" t="str">
            <v xml:space="preserve">GLOSAS RECURSADAS - </v>
          </cell>
          <cell r="D194">
            <v>344591.45</v>
          </cell>
          <cell r="E194">
            <v>2151.6999999999998</v>
          </cell>
          <cell r="F194">
            <v>471.78</v>
          </cell>
          <cell r="G194">
            <v>1679.92</v>
          </cell>
          <cell r="H194">
            <v>346271.37</v>
          </cell>
          <cell r="I194" t="str">
            <v>D</v>
          </cell>
        </row>
        <row r="195">
          <cell r="A195">
            <v>52410</v>
          </cell>
          <cell r="B195" t="str">
            <v>1.1.02.040.0011</v>
          </cell>
          <cell r="C195" t="str">
            <v xml:space="preserve">GLOSAS RECURSADAS - </v>
          </cell>
          <cell r="D195">
            <v>2842233</v>
          </cell>
          <cell r="E195">
            <v>0</v>
          </cell>
          <cell r="F195">
            <v>0</v>
          </cell>
          <cell r="G195">
            <v>0</v>
          </cell>
          <cell r="H195">
            <v>2842233</v>
          </cell>
          <cell r="I195" t="str">
            <v>D</v>
          </cell>
        </row>
        <row r="196">
          <cell r="A196">
            <v>52411</v>
          </cell>
          <cell r="B196" t="str">
            <v>1.1.02.040.0012</v>
          </cell>
          <cell r="C196" t="str">
            <v xml:space="preserve">GLOSAS RECURSADAS - </v>
          </cell>
          <cell r="D196">
            <v>730455.44</v>
          </cell>
          <cell r="E196">
            <v>33669.519999999997</v>
          </cell>
          <cell r="F196">
            <v>0</v>
          </cell>
          <cell r="G196">
            <v>33669.519999999997</v>
          </cell>
          <cell r="H196">
            <v>764124.96</v>
          </cell>
          <cell r="I196" t="str">
            <v>D</v>
          </cell>
        </row>
        <row r="197">
          <cell r="A197">
            <v>52412</v>
          </cell>
          <cell r="B197" t="str">
            <v>1.1.02.040.0013</v>
          </cell>
          <cell r="C197" t="str">
            <v xml:space="preserve">GLOSAS RECURSADAS - </v>
          </cell>
          <cell r="D197">
            <v>33057.39</v>
          </cell>
          <cell r="E197">
            <v>291.33999999999997</v>
          </cell>
          <cell r="F197">
            <v>0</v>
          </cell>
          <cell r="G197">
            <v>291.33999999999997</v>
          </cell>
          <cell r="H197">
            <v>33348.730000000003</v>
          </cell>
          <cell r="I197" t="str">
            <v>D</v>
          </cell>
        </row>
        <row r="198">
          <cell r="A198">
            <v>52413</v>
          </cell>
          <cell r="B198" t="str">
            <v>1.1.02.040.0014</v>
          </cell>
          <cell r="C198" t="str">
            <v xml:space="preserve">GLOSAS RECURSADAS - </v>
          </cell>
          <cell r="D198">
            <v>80478.929999999993</v>
          </cell>
          <cell r="E198">
            <v>10735.01</v>
          </cell>
          <cell r="F198">
            <v>456.17</v>
          </cell>
          <cell r="G198">
            <v>10278.84</v>
          </cell>
          <cell r="H198">
            <v>90757.77</v>
          </cell>
          <cell r="I198" t="str">
            <v>D</v>
          </cell>
        </row>
        <row r="199">
          <cell r="A199">
            <v>52414</v>
          </cell>
          <cell r="B199" t="str">
            <v>1.1.02.040.0015</v>
          </cell>
          <cell r="C199" t="str">
            <v xml:space="preserve">GLOSAS RECURSADAS - </v>
          </cell>
          <cell r="D199">
            <v>55276.97</v>
          </cell>
          <cell r="E199">
            <v>0</v>
          </cell>
          <cell r="F199">
            <v>0</v>
          </cell>
          <cell r="G199">
            <v>0</v>
          </cell>
          <cell r="H199">
            <v>55276.97</v>
          </cell>
          <cell r="I199" t="str">
            <v>D</v>
          </cell>
        </row>
        <row r="200">
          <cell r="A200">
            <v>52416</v>
          </cell>
          <cell r="B200" t="str">
            <v>1.1.02.040.0016</v>
          </cell>
          <cell r="C200" t="str">
            <v xml:space="preserve">GLOSAS RECURSADAS - </v>
          </cell>
          <cell r="D200">
            <v>416042.96</v>
          </cell>
          <cell r="E200">
            <v>3075.52</v>
          </cell>
          <cell r="F200">
            <v>1029.83</v>
          </cell>
          <cell r="G200">
            <v>2045.69</v>
          </cell>
          <cell r="H200">
            <v>418088.65</v>
          </cell>
          <cell r="I200" t="str">
            <v>D</v>
          </cell>
        </row>
        <row r="201">
          <cell r="A201">
            <v>52484</v>
          </cell>
          <cell r="B201" t="str">
            <v>1.1.02.040.0017</v>
          </cell>
          <cell r="C201" t="str">
            <v xml:space="preserve">GLOSAS RECURSADAS - </v>
          </cell>
          <cell r="D201">
            <v>35319.019999999997</v>
          </cell>
          <cell r="E201">
            <v>0</v>
          </cell>
          <cell r="F201">
            <v>0</v>
          </cell>
          <cell r="G201">
            <v>0</v>
          </cell>
          <cell r="H201">
            <v>35319.019999999997</v>
          </cell>
          <cell r="I201" t="str">
            <v>D</v>
          </cell>
        </row>
        <row r="202">
          <cell r="A202">
            <v>52485</v>
          </cell>
          <cell r="B202" t="str">
            <v>1.1.02.040.0018</v>
          </cell>
          <cell r="C202" t="str">
            <v xml:space="preserve">GLOSAS RECURSADAS - </v>
          </cell>
          <cell r="D202">
            <v>3434.74</v>
          </cell>
          <cell r="E202">
            <v>31.44</v>
          </cell>
          <cell r="F202">
            <v>0</v>
          </cell>
          <cell r="G202">
            <v>31.44</v>
          </cell>
          <cell r="H202">
            <v>3466.18</v>
          </cell>
          <cell r="I202" t="str">
            <v>D</v>
          </cell>
        </row>
        <row r="203">
          <cell r="A203">
            <v>52486</v>
          </cell>
          <cell r="B203" t="str">
            <v>1.1.02.040.0019</v>
          </cell>
          <cell r="C203" t="str">
            <v xml:space="preserve">GLOSAS RECURSADAS - </v>
          </cell>
          <cell r="D203">
            <v>656336.51</v>
          </cell>
          <cell r="E203">
            <v>17491.61</v>
          </cell>
          <cell r="F203">
            <v>0</v>
          </cell>
          <cell r="G203">
            <v>17491.61</v>
          </cell>
          <cell r="H203">
            <v>673828.12</v>
          </cell>
          <cell r="I203" t="str">
            <v>D</v>
          </cell>
        </row>
        <row r="204">
          <cell r="A204">
            <v>52487</v>
          </cell>
          <cell r="B204" t="str">
            <v>1.1.02.040.0020</v>
          </cell>
          <cell r="C204" t="str">
            <v xml:space="preserve">GLOSAS RECURSADAS - </v>
          </cell>
          <cell r="D204">
            <v>212308.48000000001</v>
          </cell>
          <cell r="E204">
            <v>0</v>
          </cell>
          <cell r="F204">
            <v>0</v>
          </cell>
          <cell r="G204">
            <v>0</v>
          </cell>
          <cell r="H204">
            <v>212308.48000000001</v>
          </cell>
          <cell r="I204" t="str">
            <v>D</v>
          </cell>
        </row>
        <row r="205">
          <cell r="A205">
            <v>52488</v>
          </cell>
          <cell r="B205" t="str">
            <v>1.1.02.040.0021</v>
          </cell>
          <cell r="C205" t="str">
            <v xml:space="preserve">GLOSAS RECURSADAS - </v>
          </cell>
          <cell r="D205">
            <v>7528.97</v>
          </cell>
          <cell r="E205">
            <v>0</v>
          </cell>
          <cell r="F205">
            <v>0</v>
          </cell>
          <cell r="G205">
            <v>0</v>
          </cell>
          <cell r="H205">
            <v>7528.97</v>
          </cell>
          <cell r="I205" t="str">
            <v>D</v>
          </cell>
        </row>
        <row r="206">
          <cell r="A206">
            <v>52489</v>
          </cell>
          <cell r="B206" t="str">
            <v>1.1.02.040.0022</v>
          </cell>
          <cell r="C206" t="str">
            <v xml:space="preserve">GLOSAS RECURSADAS - SAO </v>
          </cell>
          <cell r="D206">
            <v>2436.6</v>
          </cell>
          <cell r="E206">
            <v>0</v>
          </cell>
          <cell r="F206">
            <v>0</v>
          </cell>
          <cell r="G206">
            <v>0</v>
          </cell>
          <cell r="H206">
            <v>2436.6</v>
          </cell>
          <cell r="I206" t="str">
            <v>D</v>
          </cell>
        </row>
        <row r="207">
          <cell r="A207">
            <v>52490</v>
          </cell>
          <cell r="B207" t="str">
            <v>1.1.02.040.0023</v>
          </cell>
          <cell r="C207" t="str">
            <v xml:space="preserve">GLOSAS RECURSADAS - </v>
          </cell>
          <cell r="D207">
            <v>29486.959999999999</v>
          </cell>
          <cell r="E207">
            <v>0</v>
          </cell>
          <cell r="F207">
            <v>0</v>
          </cell>
          <cell r="G207">
            <v>0</v>
          </cell>
          <cell r="H207">
            <v>29486.959999999999</v>
          </cell>
          <cell r="I207" t="str">
            <v>D</v>
          </cell>
        </row>
        <row r="208">
          <cell r="A208">
            <v>53610</v>
          </cell>
          <cell r="B208" t="str">
            <v>1.1.02.040.0025</v>
          </cell>
          <cell r="C208" t="str">
            <v xml:space="preserve">GLOSAS RECURSADAS - </v>
          </cell>
          <cell r="D208">
            <v>16337.1</v>
          </cell>
          <cell r="E208">
            <v>0</v>
          </cell>
          <cell r="F208">
            <v>0</v>
          </cell>
          <cell r="G208">
            <v>0</v>
          </cell>
          <cell r="H208">
            <v>16337.1</v>
          </cell>
          <cell r="I208" t="str">
            <v>D</v>
          </cell>
        </row>
        <row r="209">
          <cell r="A209">
            <v>53612</v>
          </cell>
          <cell r="B209" t="str">
            <v>1.1.02.040.0026</v>
          </cell>
          <cell r="C209" t="str">
            <v xml:space="preserve">GLOSAS RECURSADAS - </v>
          </cell>
          <cell r="D209">
            <v>2345.84</v>
          </cell>
          <cell r="E209">
            <v>0</v>
          </cell>
          <cell r="F209">
            <v>0</v>
          </cell>
          <cell r="G209">
            <v>0</v>
          </cell>
          <cell r="H209">
            <v>2345.84</v>
          </cell>
          <cell r="I209" t="str">
            <v>D</v>
          </cell>
        </row>
        <row r="210">
          <cell r="A210">
            <v>53614</v>
          </cell>
          <cell r="B210" t="str">
            <v>1.1.02.040.0027</v>
          </cell>
          <cell r="C210" t="str">
            <v xml:space="preserve">GLOSAS RECURSADAS - </v>
          </cell>
          <cell r="D210">
            <v>468014.2</v>
          </cell>
          <cell r="E210">
            <v>0</v>
          </cell>
          <cell r="F210">
            <v>468014.2</v>
          </cell>
          <cell r="G210">
            <v>-468014.2</v>
          </cell>
          <cell r="H210">
            <v>0</v>
          </cell>
          <cell r="I210" t="str">
            <v>D</v>
          </cell>
        </row>
        <row r="211">
          <cell r="A211">
            <v>53620</v>
          </cell>
          <cell r="B211" t="str">
            <v>1.1.02.040.0030</v>
          </cell>
          <cell r="C211" t="str">
            <v xml:space="preserve">GLOSAS RECURSADAS - </v>
          </cell>
          <cell r="D211">
            <v>15985.31</v>
          </cell>
          <cell r="E211">
            <v>0</v>
          </cell>
          <cell r="F211">
            <v>0</v>
          </cell>
          <cell r="G211">
            <v>0</v>
          </cell>
          <cell r="H211">
            <v>15985.31</v>
          </cell>
          <cell r="I211" t="str">
            <v>D</v>
          </cell>
        </row>
        <row r="212">
          <cell r="A212">
            <v>53624</v>
          </cell>
          <cell r="B212" t="str">
            <v>1.1.02.040.0032</v>
          </cell>
          <cell r="C212" t="str">
            <v xml:space="preserve">GLOSAS RECURSADAS - </v>
          </cell>
          <cell r="D212">
            <v>33281.51</v>
          </cell>
          <cell r="E212">
            <v>0</v>
          </cell>
          <cell r="F212">
            <v>0</v>
          </cell>
          <cell r="G212">
            <v>0</v>
          </cell>
          <cell r="H212">
            <v>33281.51</v>
          </cell>
          <cell r="I212" t="str">
            <v>D</v>
          </cell>
        </row>
        <row r="213">
          <cell r="A213">
            <v>53628</v>
          </cell>
          <cell r="B213" t="str">
            <v>1.1.02.040.0034</v>
          </cell>
          <cell r="C213" t="str">
            <v xml:space="preserve">GLOSAS RECURSADAS - CARE </v>
          </cell>
          <cell r="D213">
            <v>19065.650000000001</v>
          </cell>
          <cell r="E213">
            <v>1458.01</v>
          </cell>
          <cell r="F213">
            <v>0</v>
          </cell>
          <cell r="G213">
            <v>1458.01</v>
          </cell>
          <cell r="H213">
            <v>20523.66</v>
          </cell>
          <cell r="I213" t="str">
            <v>D</v>
          </cell>
        </row>
        <row r="214">
          <cell r="A214">
            <v>53630</v>
          </cell>
          <cell r="B214" t="str">
            <v>1.1.02.040.0035</v>
          </cell>
          <cell r="C214" t="str">
            <v xml:space="preserve">GLOSAS RECURSADAS - CIME </v>
          </cell>
          <cell r="D214">
            <v>10157.33</v>
          </cell>
          <cell r="E214">
            <v>0</v>
          </cell>
          <cell r="F214">
            <v>0</v>
          </cell>
          <cell r="G214">
            <v>0</v>
          </cell>
          <cell r="H214">
            <v>10157.33</v>
          </cell>
          <cell r="I214" t="str">
            <v>D</v>
          </cell>
        </row>
        <row r="215">
          <cell r="A215">
            <v>53634</v>
          </cell>
          <cell r="B215" t="str">
            <v>1.1.02.040.0037</v>
          </cell>
          <cell r="C215" t="str">
            <v xml:space="preserve">GLOSAS RECURSADAS - </v>
          </cell>
          <cell r="D215">
            <v>417.75</v>
          </cell>
          <cell r="E215">
            <v>0</v>
          </cell>
          <cell r="F215">
            <v>0</v>
          </cell>
          <cell r="G215">
            <v>0</v>
          </cell>
          <cell r="H215">
            <v>417.75</v>
          </cell>
          <cell r="I215" t="str">
            <v>D</v>
          </cell>
        </row>
        <row r="216">
          <cell r="A216">
            <v>53638</v>
          </cell>
          <cell r="B216" t="str">
            <v>1.1.02.040.0039</v>
          </cell>
          <cell r="C216" t="str">
            <v xml:space="preserve">GLOSAS RECURSADAS - EEAR </v>
          </cell>
          <cell r="D216">
            <v>1.52</v>
          </cell>
          <cell r="E216">
            <v>0</v>
          </cell>
          <cell r="F216">
            <v>0</v>
          </cell>
          <cell r="G216">
            <v>0</v>
          </cell>
          <cell r="H216">
            <v>1.52</v>
          </cell>
          <cell r="I216" t="str">
            <v>D</v>
          </cell>
        </row>
        <row r="217">
          <cell r="A217">
            <v>53640</v>
          </cell>
          <cell r="B217" t="str">
            <v>1.1.02.040.0040</v>
          </cell>
          <cell r="C217" t="str">
            <v xml:space="preserve">GLOSAS RECURSADAS - </v>
          </cell>
          <cell r="D217">
            <v>1907.19</v>
          </cell>
          <cell r="E217">
            <v>0</v>
          </cell>
          <cell r="F217">
            <v>0</v>
          </cell>
          <cell r="G217">
            <v>0</v>
          </cell>
          <cell r="H217">
            <v>1907.19</v>
          </cell>
          <cell r="I217" t="str">
            <v>D</v>
          </cell>
        </row>
        <row r="218">
          <cell r="A218">
            <v>53643</v>
          </cell>
          <cell r="B218" t="str">
            <v>1.1.02.040.0041</v>
          </cell>
          <cell r="C218" t="str">
            <v xml:space="preserve">GLOSAS RECURSADAS - </v>
          </cell>
          <cell r="D218">
            <v>124215.45</v>
          </cell>
          <cell r="E218">
            <v>0</v>
          </cell>
          <cell r="F218">
            <v>0</v>
          </cell>
          <cell r="G218">
            <v>0</v>
          </cell>
          <cell r="H218">
            <v>124215.45</v>
          </cell>
          <cell r="I218" t="str">
            <v>D</v>
          </cell>
        </row>
        <row r="219">
          <cell r="A219">
            <v>53645</v>
          </cell>
          <cell r="B219" t="str">
            <v>1.1.02.040.0042</v>
          </cell>
          <cell r="C219" t="str">
            <v xml:space="preserve">GLOSAS RECURSADAS - </v>
          </cell>
          <cell r="D219">
            <v>23080.17</v>
          </cell>
          <cell r="E219">
            <v>0</v>
          </cell>
          <cell r="F219">
            <v>0</v>
          </cell>
          <cell r="G219">
            <v>0</v>
          </cell>
          <cell r="H219">
            <v>23080.17</v>
          </cell>
          <cell r="I219" t="str">
            <v>D</v>
          </cell>
        </row>
        <row r="220">
          <cell r="A220">
            <v>53648</v>
          </cell>
          <cell r="B220" t="str">
            <v>1.1.02.040.0043</v>
          </cell>
          <cell r="C220" t="str">
            <v xml:space="preserve">GLOSAS RECURSADAS - </v>
          </cell>
          <cell r="D220">
            <v>70132.800000000003</v>
          </cell>
          <cell r="E220">
            <v>0</v>
          </cell>
          <cell r="F220">
            <v>8213.16</v>
          </cell>
          <cell r="G220">
            <v>-8213.16</v>
          </cell>
          <cell r="H220">
            <v>61919.64</v>
          </cell>
          <cell r="I220" t="str">
            <v>D</v>
          </cell>
        </row>
        <row r="221">
          <cell r="A221">
            <v>53659</v>
          </cell>
          <cell r="B221" t="str">
            <v>1.1.02.040.0047</v>
          </cell>
          <cell r="C221" t="str">
            <v xml:space="preserve">GLOSAS RECURSADAS - LIFE </v>
          </cell>
          <cell r="D221">
            <v>5147.25</v>
          </cell>
          <cell r="E221">
            <v>769.49</v>
          </cell>
          <cell r="F221">
            <v>131.72999999999999</v>
          </cell>
          <cell r="G221">
            <v>637.76</v>
          </cell>
          <cell r="H221">
            <v>5785.01</v>
          </cell>
          <cell r="I221" t="str">
            <v>D</v>
          </cell>
        </row>
        <row r="222">
          <cell r="A222">
            <v>53663</v>
          </cell>
          <cell r="B222" t="str">
            <v>1.1.02.040.0049</v>
          </cell>
          <cell r="C222" t="str">
            <v xml:space="preserve">GLOSAS RECURSADAS - </v>
          </cell>
          <cell r="D222">
            <v>2401.2800000000002</v>
          </cell>
          <cell r="E222">
            <v>0</v>
          </cell>
          <cell r="F222">
            <v>0</v>
          </cell>
          <cell r="G222">
            <v>0</v>
          </cell>
          <cell r="H222">
            <v>2401.2800000000002</v>
          </cell>
          <cell r="I222" t="str">
            <v>D</v>
          </cell>
        </row>
        <row r="223">
          <cell r="A223">
            <v>53674</v>
          </cell>
          <cell r="B223" t="str">
            <v>1.1.02.040.0053</v>
          </cell>
          <cell r="C223" t="str">
            <v xml:space="preserve">GLOSAS RECURSADAS - </v>
          </cell>
          <cell r="D223">
            <v>8128.8</v>
          </cell>
          <cell r="E223">
            <v>0</v>
          </cell>
          <cell r="F223">
            <v>0</v>
          </cell>
          <cell r="G223">
            <v>0</v>
          </cell>
          <cell r="H223">
            <v>8128.8</v>
          </cell>
          <cell r="I223" t="str">
            <v>D</v>
          </cell>
        </row>
        <row r="224">
          <cell r="A224">
            <v>53676</v>
          </cell>
          <cell r="B224" t="str">
            <v>1.1.02.040.0054</v>
          </cell>
          <cell r="C224" t="str">
            <v xml:space="preserve">GLOSAS RECURSADAS - </v>
          </cell>
          <cell r="D224">
            <v>1329607.67</v>
          </cell>
          <cell r="E224">
            <v>17812.150000000001</v>
          </cell>
          <cell r="F224">
            <v>5810.89</v>
          </cell>
          <cell r="G224">
            <v>12001.26</v>
          </cell>
          <cell r="H224">
            <v>1341608.93</v>
          </cell>
          <cell r="I224" t="str">
            <v>D</v>
          </cell>
        </row>
        <row r="225">
          <cell r="A225">
            <v>53680</v>
          </cell>
          <cell r="B225" t="str">
            <v>1.1.02.040.0056</v>
          </cell>
          <cell r="C225" t="str">
            <v xml:space="preserve">GLOSAS RECURSADAS - </v>
          </cell>
          <cell r="D225">
            <v>2050.06</v>
          </cell>
          <cell r="E225">
            <v>0</v>
          </cell>
          <cell r="F225">
            <v>0</v>
          </cell>
          <cell r="G225">
            <v>0</v>
          </cell>
          <cell r="H225">
            <v>2050.06</v>
          </cell>
          <cell r="I225" t="str">
            <v>D</v>
          </cell>
        </row>
        <row r="226">
          <cell r="A226">
            <v>53684</v>
          </cell>
          <cell r="B226" t="str">
            <v>1.1.02.040.0058</v>
          </cell>
          <cell r="C226" t="str">
            <v xml:space="preserve">GLOSAS RECURSADAS - </v>
          </cell>
          <cell r="D226">
            <v>14819.64</v>
          </cell>
          <cell r="E226">
            <v>0</v>
          </cell>
          <cell r="F226">
            <v>0</v>
          </cell>
          <cell r="G226">
            <v>0</v>
          </cell>
          <cell r="H226">
            <v>14819.64</v>
          </cell>
          <cell r="I226" t="str">
            <v>D</v>
          </cell>
        </row>
        <row r="227">
          <cell r="A227">
            <v>53688</v>
          </cell>
          <cell r="B227" t="str">
            <v>1.1.02.040.0060</v>
          </cell>
          <cell r="C227" t="str">
            <v xml:space="preserve">GLOSAS RECURSADAS - </v>
          </cell>
          <cell r="D227">
            <v>76389.25</v>
          </cell>
          <cell r="E227">
            <v>0</v>
          </cell>
          <cell r="F227">
            <v>0</v>
          </cell>
          <cell r="G227">
            <v>0</v>
          </cell>
          <cell r="H227">
            <v>76389.25</v>
          </cell>
          <cell r="I227" t="str">
            <v>D</v>
          </cell>
        </row>
        <row r="228">
          <cell r="A228">
            <v>54754</v>
          </cell>
          <cell r="B228" t="str">
            <v>1.1.02.040.0063</v>
          </cell>
          <cell r="C228" t="str">
            <v xml:space="preserve">GLOSAS RECURSADAS - </v>
          </cell>
          <cell r="D228">
            <v>19269.330000000002</v>
          </cell>
          <cell r="E228">
            <v>928</v>
          </cell>
          <cell r="F228">
            <v>532.72</v>
          </cell>
          <cell r="G228">
            <v>395.28</v>
          </cell>
          <cell r="H228">
            <v>19664.61</v>
          </cell>
          <cell r="I228" t="str">
            <v>D</v>
          </cell>
        </row>
        <row r="229">
          <cell r="A229">
            <v>55033</v>
          </cell>
          <cell r="B229" t="str">
            <v>1.1.02.040.0064</v>
          </cell>
          <cell r="C229" t="str">
            <v xml:space="preserve">GLOSAS RECURSADAS - GO </v>
          </cell>
          <cell r="D229">
            <v>21829.759999999998</v>
          </cell>
          <cell r="E229">
            <v>23530.07</v>
          </cell>
          <cell r="F229">
            <v>0</v>
          </cell>
          <cell r="G229">
            <v>23530.07</v>
          </cell>
          <cell r="H229">
            <v>45359.83</v>
          </cell>
          <cell r="I229" t="str">
            <v>D</v>
          </cell>
        </row>
        <row r="230">
          <cell r="A230">
            <v>37125</v>
          </cell>
          <cell r="B230" t="str">
            <v>1.1.02.050</v>
          </cell>
          <cell r="C230" t="str">
            <v xml:space="preserve">SUS - SISTEMA UNICO DE </v>
          </cell>
          <cell r="D230">
            <v>5282632.3499999996</v>
          </cell>
          <cell r="E230">
            <v>5507475.3899999997</v>
          </cell>
          <cell r="F230">
            <v>4600480.46</v>
          </cell>
          <cell r="G230">
            <v>906994.93</v>
          </cell>
          <cell r="H230">
            <v>6189627.2800000003</v>
          </cell>
          <cell r="I230" t="str">
            <v>D</v>
          </cell>
        </row>
        <row r="231">
          <cell r="A231">
            <v>502</v>
          </cell>
          <cell r="B231" t="str">
            <v>1.1.02.050.0001</v>
          </cell>
          <cell r="C231" t="str">
            <v>SUS - HEMODIALISE</v>
          </cell>
          <cell r="D231">
            <v>1900222.84</v>
          </cell>
          <cell r="E231">
            <v>993366.22</v>
          </cell>
          <cell r="F231">
            <v>0</v>
          </cell>
          <cell r="G231">
            <v>993366.22</v>
          </cell>
          <cell r="H231">
            <v>2893589.06</v>
          </cell>
          <cell r="I231" t="str">
            <v>D</v>
          </cell>
        </row>
        <row r="232">
          <cell r="A232">
            <v>492</v>
          </cell>
          <cell r="B232" t="str">
            <v>1.1.02.050.0002</v>
          </cell>
          <cell r="C232" t="str">
            <v>SUS - AIH</v>
          </cell>
          <cell r="D232">
            <v>1577312.94</v>
          </cell>
          <cell r="E232">
            <v>2031961.27</v>
          </cell>
          <cell r="F232">
            <v>2031961.27</v>
          </cell>
          <cell r="G232">
            <v>0</v>
          </cell>
          <cell r="H232">
            <v>1577312.94</v>
          </cell>
          <cell r="I232" t="str">
            <v>D</v>
          </cell>
        </row>
        <row r="233">
          <cell r="A233">
            <v>493</v>
          </cell>
          <cell r="B233" t="str">
            <v>1.1.02.050.0003</v>
          </cell>
          <cell r="C233" t="str">
            <v>SUS - AMBULATORIO</v>
          </cell>
          <cell r="D233">
            <v>445977.02</v>
          </cell>
          <cell r="E233">
            <v>1947157.59</v>
          </cell>
          <cell r="F233">
            <v>1947157.59</v>
          </cell>
          <cell r="G233">
            <v>0</v>
          </cell>
          <cell r="H233">
            <v>445977.02</v>
          </cell>
          <cell r="I233" t="str">
            <v>D</v>
          </cell>
        </row>
        <row r="234">
          <cell r="A234">
            <v>53328</v>
          </cell>
          <cell r="B234" t="str">
            <v>1.1.02.050.0004</v>
          </cell>
          <cell r="C234" t="str">
            <v>SUS - FAEC BARIATRICA</v>
          </cell>
          <cell r="D234">
            <v>223945.04</v>
          </cell>
          <cell r="E234">
            <v>110573.54</v>
          </cell>
          <cell r="F234">
            <v>74200.289999999994</v>
          </cell>
          <cell r="G234">
            <v>36373.25</v>
          </cell>
          <cell r="H234">
            <v>260318.29</v>
          </cell>
          <cell r="I234" t="str">
            <v>D</v>
          </cell>
        </row>
        <row r="235">
          <cell r="A235">
            <v>53329</v>
          </cell>
          <cell r="B235" t="str">
            <v>1.1.02.050.0005</v>
          </cell>
          <cell r="C235" t="str">
            <v>SUS - FAEC TRANSPLANTE</v>
          </cell>
          <cell r="D235">
            <v>1024628.55</v>
          </cell>
          <cell r="E235">
            <v>398293.52</v>
          </cell>
          <cell r="F235">
            <v>526262.71</v>
          </cell>
          <cell r="G235">
            <v>-127969.19</v>
          </cell>
          <cell r="H235">
            <v>896659.36</v>
          </cell>
          <cell r="I235" t="str">
            <v>D</v>
          </cell>
        </row>
        <row r="236">
          <cell r="A236">
            <v>55260</v>
          </cell>
          <cell r="B236" t="str">
            <v>1.1.02.050.0007</v>
          </cell>
          <cell r="C236" t="str">
            <v>SUS - FAEC ELETIVA</v>
          </cell>
          <cell r="D236">
            <v>58299.46</v>
          </cell>
          <cell r="E236">
            <v>0</v>
          </cell>
          <cell r="F236">
            <v>0</v>
          </cell>
          <cell r="G236">
            <v>0</v>
          </cell>
          <cell r="H236">
            <v>58299.46</v>
          </cell>
          <cell r="I236" t="str">
            <v>D</v>
          </cell>
        </row>
        <row r="237">
          <cell r="A237">
            <v>55266</v>
          </cell>
          <cell r="B237" t="str">
            <v>1.1.02.050.0008</v>
          </cell>
          <cell r="C237" t="str">
            <v>SUS -  FAEC ONCOLOGIA</v>
          </cell>
          <cell r="D237">
            <v>52246.5</v>
          </cell>
          <cell r="E237">
            <v>26123.25</v>
          </cell>
          <cell r="F237">
            <v>20898.599999999999</v>
          </cell>
          <cell r="G237">
            <v>5224.6499999999996</v>
          </cell>
          <cell r="H237">
            <v>57471.15</v>
          </cell>
          <cell r="I237" t="str">
            <v>D</v>
          </cell>
        </row>
        <row r="238">
          <cell r="A238">
            <v>37128</v>
          </cell>
          <cell r="B238" t="str">
            <v>1.1.02.060</v>
          </cell>
          <cell r="C238" t="str">
            <v xml:space="preserve">CARTOES DE CREDITOS E </v>
          </cell>
          <cell r="D238">
            <v>152206.5</v>
          </cell>
          <cell r="E238">
            <v>103671.55</v>
          </cell>
          <cell r="F238">
            <v>112603.25</v>
          </cell>
          <cell r="G238">
            <v>-8931.7000000000007</v>
          </cell>
          <cell r="H238">
            <v>143274.79999999999</v>
          </cell>
          <cell r="I238" t="str">
            <v>D</v>
          </cell>
        </row>
        <row r="239">
          <cell r="A239">
            <v>37818</v>
          </cell>
          <cell r="B239" t="str">
            <v>1.1.02.060.0002</v>
          </cell>
          <cell r="C239" t="str">
            <v xml:space="preserve">CARTAO CREDITO PARCELA </v>
          </cell>
          <cell r="D239">
            <v>36930.22</v>
          </cell>
          <cell r="E239">
            <v>35190.449999999997</v>
          </cell>
          <cell r="F239">
            <v>29938.28</v>
          </cell>
          <cell r="G239">
            <v>5252.17</v>
          </cell>
          <cell r="H239">
            <v>42182.39</v>
          </cell>
          <cell r="I239" t="str">
            <v>D</v>
          </cell>
        </row>
        <row r="240">
          <cell r="A240">
            <v>37819</v>
          </cell>
          <cell r="B240" t="str">
            <v>1.1.02.060.0003</v>
          </cell>
          <cell r="C240" t="str">
            <v xml:space="preserve">CARTAO CREDITO </v>
          </cell>
          <cell r="D240">
            <v>106986.97</v>
          </cell>
          <cell r="E240">
            <v>27930.22</v>
          </cell>
          <cell r="F240">
            <v>42254.09</v>
          </cell>
          <cell r="G240">
            <v>-14323.87</v>
          </cell>
          <cell r="H240">
            <v>92663.1</v>
          </cell>
          <cell r="I240" t="str">
            <v>D</v>
          </cell>
        </row>
        <row r="241">
          <cell r="A241">
            <v>37817</v>
          </cell>
          <cell r="B241" t="str">
            <v>1.1.02.060.0004</v>
          </cell>
          <cell r="C241" t="str">
            <v xml:space="preserve">CARTAO DEBITO - </v>
          </cell>
          <cell r="D241">
            <v>8289.31</v>
          </cell>
          <cell r="E241">
            <v>40550.879999999997</v>
          </cell>
          <cell r="F241">
            <v>40410.879999999997</v>
          </cell>
          <cell r="G241">
            <v>140</v>
          </cell>
          <cell r="H241">
            <v>8429.31</v>
          </cell>
          <cell r="I241" t="str">
            <v>D</v>
          </cell>
        </row>
        <row r="242">
          <cell r="A242">
            <v>533</v>
          </cell>
          <cell r="B242" t="str">
            <v>1.1.03</v>
          </cell>
          <cell r="C242" t="str">
            <v>VALORES A RECEBER</v>
          </cell>
          <cell r="D242">
            <v>5778674.8600000003</v>
          </cell>
          <cell r="E242">
            <v>15820181.880000001</v>
          </cell>
          <cell r="F242">
            <v>15629608.539999999</v>
          </cell>
          <cell r="G242">
            <v>190573.34</v>
          </cell>
          <cell r="H242">
            <v>5969248.2000000002</v>
          </cell>
          <cell r="I242" t="str">
            <v>D</v>
          </cell>
        </row>
        <row r="243">
          <cell r="A243">
            <v>591</v>
          </cell>
          <cell r="B243" t="str">
            <v>1.1.03.020</v>
          </cell>
          <cell r="C243" t="str">
            <v xml:space="preserve">ADIANTAMENTOS A </v>
          </cell>
          <cell r="D243">
            <v>135497.13</v>
          </cell>
          <cell r="E243">
            <v>1061173.7</v>
          </cell>
          <cell r="F243">
            <v>983635.1</v>
          </cell>
          <cell r="G243">
            <v>77538.600000000006</v>
          </cell>
          <cell r="H243">
            <v>213035.73</v>
          </cell>
          <cell r="I243" t="str">
            <v>D</v>
          </cell>
        </row>
        <row r="244">
          <cell r="A244">
            <v>349</v>
          </cell>
          <cell r="B244" t="str">
            <v>1.1.03.020.0001</v>
          </cell>
          <cell r="C244" t="str">
            <v>Adiantamento de Salarios</v>
          </cell>
          <cell r="D244">
            <v>1114.57</v>
          </cell>
          <cell r="E244">
            <v>66107.33</v>
          </cell>
          <cell r="F244">
            <v>66444.570000000007</v>
          </cell>
          <cell r="G244">
            <v>-337.24</v>
          </cell>
          <cell r="H244">
            <v>777.33</v>
          </cell>
          <cell r="I244" t="str">
            <v>D</v>
          </cell>
        </row>
        <row r="245">
          <cell r="A245">
            <v>355</v>
          </cell>
          <cell r="B245" t="str">
            <v>1.1.03.020.0002</v>
          </cell>
          <cell r="C245" t="str">
            <v>ADIANTAMENTO DE FERIAS</v>
          </cell>
          <cell r="D245">
            <v>134382.56</v>
          </cell>
          <cell r="E245">
            <v>971313.71</v>
          </cell>
          <cell r="F245">
            <v>893437.87</v>
          </cell>
          <cell r="G245">
            <v>77875.839999999997</v>
          </cell>
          <cell r="H245">
            <v>212258.4</v>
          </cell>
          <cell r="I245" t="str">
            <v>D</v>
          </cell>
        </row>
        <row r="246">
          <cell r="A246">
            <v>361</v>
          </cell>
          <cell r="B246" t="str">
            <v>1.1.03.020.0003</v>
          </cell>
          <cell r="C246" t="str">
            <v xml:space="preserve">ADIANTAMENTO DE 13º </v>
          </cell>
          <cell r="D246">
            <v>0</v>
          </cell>
          <cell r="E246">
            <v>23752.66</v>
          </cell>
          <cell r="F246">
            <v>23752.66</v>
          </cell>
          <cell r="G246">
            <v>0</v>
          </cell>
          <cell r="H246">
            <v>0</v>
          </cell>
          <cell r="I246" t="str">
            <v>D</v>
          </cell>
        </row>
        <row r="247">
          <cell r="A247">
            <v>362</v>
          </cell>
          <cell r="B247" t="str">
            <v>1.1.03.030</v>
          </cell>
          <cell r="C247" t="str">
            <v xml:space="preserve">ADIANTAMENTOS </v>
          </cell>
          <cell r="D247">
            <v>329492.51</v>
          </cell>
          <cell r="E247">
            <v>36957.79</v>
          </cell>
          <cell r="F247">
            <v>3419</v>
          </cell>
          <cell r="G247">
            <v>33538.79</v>
          </cell>
          <cell r="H247">
            <v>363031.3</v>
          </cell>
          <cell r="I247" t="str">
            <v>D</v>
          </cell>
        </row>
        <row r="248">
          <cell r="A248">
            <v>375</v>
          </cell>
          <cell r="B248" t="str">
            <v>1.1.03.030.0002</v>
          </cell>
          <cell r="C248" t="str">
            <v xml:space="preserve">ADIANTAMENTOS A </v>
          </cell>
          <cell r="D248">
            <v>329492.51</v>
          </cell>
          <cell r="E248">
            <v>36957.79</v>
          </cell>
          <cell r="F248">
            <v>3419</v>
          </cell>
          <cell r="G248">
            <v>33538.79</v>
          </cell>
          <cell r="H248">
            <v>363031.3</v>
          </cell>
          <cell r="I248" t="str">
            <v>D</v>
          </cell>
        </row>
        <row r="249">
          <cell r="A249">
            <v>40370</v>
          </cell>
          <cell r="B249" t="str">
            <v>1.1.03.040</v>
          </cell>
          <cell r="C249" t="str">
            <v xml:space="preserve">CONTA TRANSITORIA </v>
          </cell>
          <cell r="D249">
            <v>0</v>
          </cell>
          <cell r="E249">
            <v>17831.5</v>
          </cell>
          <cell r="F249">
            <v>17831.5</v>
          </cell>
          <cell r="G249">
            <v>0</v>
          </cell>
          <cell r="H249">
            <v>0</v>
          </cell>
          <cell r="I249" t="str">
            <v>D</v>
          </cell>
        </row>
        <row r="250">
          <cell r="A250">
            <v>12471</v>
          </cell>
          <cell r="B250" t="str">
            <v>1.1.03.040.0002</v>
          </cell>
          <cell r="C250" t="str">
            <v xml:space="preserve">CONTA TRANSITORIA </v>
          </cell>
          <cell r="D250">
            <v>0</v>
          </cell>
          <cell r="E250">
            <v>17831.5</v>
          </cell>
          <cell r="F250">
            <v>17831.5</v>
          </cell>
          <cell r="G250">
            <v>0</v>
          </cell>
          <cell r="H250">
            <v>0</v>
          </cell>
          <cell r="I250" t="str">
            <v>D</v>
          </cell>
        </row>
        <row r="251">
          <cell r="A251">
            <v>53061</v>
          </cell>
          <cell r="B251" t="str">
            <v>1.1.03.050</v>
          </cell>
          <cell r="C251" t="str">
            <v>SUBVENCOES A RECEBER</v>
          </cell>
          <cell r="D251">
            <v>506520.22</v>
          </cell>
          <cell r="E251">
            <v>830730.53</v>
          </cell>
          <cell r="F251">
            <v>1067845.22</v>
          </cell>
          <cell r="G251">
            <v>-237114.69</v>
          </cell>
          <cell r="H251">
            <v>269405.53000000003</v>
          </cell>
          <cell r="I251" t="str">
            <v>D</v>
          </cell>
        </row>
        <row r="252">
          <cell r="A252">
            <v>522</v>
          </cell>
          <cell r="B252" t="str">
            <v>1.1.03.050.0001</v>
          </cell>
          <cell r="C252" t="str">
            <v>IAC</v>
          </cell>
          <cell r="D252">
            <v>199045.21</v>
          </cell>
          <cell r="E252">
            <v>199045.21</v>
          </cell>
          <cell r="F252">
            <v>199045.21</v>
          </cell>
          <cell r="G252">
            <v>0</v>
          </cell>
          <cell r="H252">
            <v>199045.21</v>
          </cell>
          <cell r="I252" t="str">
            <v>D</v>
          </cell>
        </row>
        <row r="253">
          <cell r="A253">
            <v>53297</v>
          </cell>
          <cell r="B253" t="str">
            <v>1.1.03.050.0002</v>
          </cell>
          <cell r="C253" t="str">
            <v>REDE CEGONHA</v>
          </cell>
          <cell r="D253">
            <v>70360.320000000007</v>
          </cell>
          <cell r="E253">
            <v>70360.320000000007</v>
          </cell>
          <cell r="F253">
            <v>70360.320000000007</v>
          </cell>
          <cell r="G253">
            <v>0</v>
          </cell>
          <cell r="H253">
            <v>70360.320000000007</v>
          </cell>
          <cell r="I253" t="str">
            <v>D</v>
          </cell>
        </row>
        <row r="254">
          <cell r="A254">
            <v>33096</v>
          </cell>
          <cell r="B254" t="str">
            <v>1.1.03.050.0003</v>
          </cell>
          <cell r="C254" t="str">
            <v xml:space="preserve">SUSTENTAVEL(SECRETARIA </v>
          </cell>
          <cell r="D254">
            <v>0</v>
          </cell>
          <cell r="E254">
            <v>561325</v>
          </cell>
          <cell r="F254">
            <v>561325</v>
          </cell>
          <cell r="G254">
            <v>0</v>
          </cell>
          <cell r="H254">
            <v>0</v>
          </cell>
          <cell r="I254" t="str">
            <v>D</v>
          </cell>
        </row>
        <row r="255">
          <cell r="A255">
            <v>54776</v>
          </cell>
          <cell r="B255" t="str">
            <v>1.1.03.050.0004</v>
          </cell>
          <cell r="C255" t="str">
            <v xml:space="preserve">SUBVENÇÕES A RECEBER </v>
          </cell>
          <cell r="D255">
            <v>237114.69</v>
          </cell>
          <cell r="E255">
            <v>0</v>
          </cell>
          <cell r="F255">
            <v>237114.69</v>
          </cell>
          <cell r="G255">
            <v>-237114.69</v>
          </cell>
          <cell r="H255">
            <v>0</v>
          </cell>
          <cell r="I255" t="str">
            <v>D</v>
          </cell>
        </row>
        <row r="256">
          <cell r="A256">
            <v>534</v>
          </cell>
          <cell r="B256" t="str">
            <v>1.1.03.060</v>
          </cell>
          <cell r="C256" t="str">
            <v>ESTOQUE</v>
          </cell>
          <cell r="D256">
            <v>4490746.6500000004</v>
          </cell>
          <cell r="E256">
            <v>11302593.23</v>
          </cell>
          <cell r="F256">
            <v>10981815.119999999</v>
          </cell>
          <cell r="G256">
            <v>320778.11</v>
          </cell>
          <cell r="H256">
            <v>4811524.76</v>
          </cell>
          <cell r="I256" t="str">
            <v>D</v>
          </cell>
        </row>
        <row r="257">
          <cell r="A257">
            <v>12327</v>
          </cell>
          <cell r="B257" t="str">
            <v>1.1.03.060.0001</v>
          </cell>
          <cell r="C257" t="str">
            <v>ATIVO PERMANENTE</v>
          </cell>
          <cell r="D257">
            <v>96082.34</v>
          </cell>
          <cell r="E257">
            <v>128025.19</v>
          </cell>
          <cell r="F257">
            <v>127961.46</v>
          </cell>
          <cell r="G257">
            <v>63.73</v>
          </cell>
          <cell r="H257">
            <v>96146.07</v>
          </cell>
          <cell r="I257" t="str">
            <v>D</v>
          </cell>
        </row>
        <row r="258">
          <cell r="A258">
            <v>29485</v>
          </cell>
          <cell r="B258" t="str">
            <v>1.1.03.060.0004</v>
          </cell>
          <cell r="C258" t="str">
            <v>GASES MEDICINAIS</v>
          </cell>
          <cell r="D258">
            <v>0</v>
          </cell>
          <cell r="E258">
            <v>81577.100000000006</v>
          </cell>
          <cell r="F258">
            <v>81577.100000000006</v>
          </cell>
          <cell r="G258">
            <v>0</v>
          </cell>
          <cell r="H258">
            <v>0</v>
          </cell>
          <cell r="I258" t="str">
            <v>D</v>
          </cell>
        </row>
        <row r="259">
          <cell r="A259">
            <v>550</v>
          </cell>
          <cell r="B259" t="str">
            <v>1.1.03.060.0005</v>
          </cell>
          <cell r="C259" t="str">
            <v xml:space="preserve">MAT DESCARTAVEIS, </v>
          </cell>
          <cell r="D259">
            <v>13251.46</v>
          </cell>
          <cell r="E259">
            <v>74299.91</v>
          </cell>
          <cell r="F259">
            <v>70570.19</v>
          </cell>
          <cell r="G259">
            <v>3729.72</v>
          </cell>
          <cell r="H259">
            <v>16981.18</v>
          </cell>
          <cell r="I259" t="str">
            <v>D</v>
          </cell>
        </row>
        <row r="260">
          <cell r="A260">
            <v>553</v>
          </cell>
          <cell r="B260" t="str">
            <v>1.1.03.060.0006</v>
          </cell>
          <cell r="C260" t="str">
            <v xml:space="preserve">MATERIAL ATIVAVEIS DE </v>
          </cell>
          <cell r="D260">
            <v>11788.18</v>
          </cell>
          <cell r="E260">
            <v>60376.34</v>
          </cell>
          <cell r="F260">
            <v>58659.41</v>
          </cell>
          <cell r="G260">
            <v>1716.93</v>
          </cell>
          <cell r="H260">
            <v>13505.11</v>
          </cell>
          <cell r="I260" t="str">
            <v>D</v>
          </cell>
        </row>
        <row r="261">
          <cell r="A261">
            <v>544</v>
          </cell>
          <cell r="B261" t="str">
            <v>1.1.03.060.0007</v>
          </cell>
          <cell r="C261" t="str">
            <v>MATERIAL DE INFORMATICA</v>
          </cell>
          <cell r="D261">
            <v>18843.310000000001</v>
          </cell>
          <cell r="E261">
            <v>3163.53</v>
          </cell>
          <cell r="F261">
            <v>5046.1000000000004</v>
          </cell>
          <cell r="G261">
            <v>-1882.57</v>
          </cell>
          <cell r="H261">
            <v>16960.740000000002</v>
          </cell>
          <cell r="I261" t="str">
            <v>D</v>
          </cell>
        </row>
        <row r="262">
          <cell r="A262">
            <v>25043</v>
          </cell>
          <cell r="B262" t="str">
            <v>1.1.03.060.0008</v>
          </cell>
          <cell r="C262" t="str">
            <v>MATERIAL DE CONSTRUCAO</v>
          </cell>
          <cell r="D262">
            <v>0</v>
          </cell>
          <cell r="E262">
            <v>6726.66</v>
          </cell>
          <cell r="F262">
            <v>6726.66</v>
          </cell>
          <cell r="G262">
            <v>0</v>
          </cell>
          <cell r="H262">
            <v>0</v>
          </cell>
          <cell r="I262" t="str">
            <v>D</v>
          </cell>
        </row>
        <row r="263">
          <cell r="A263">
            <v>542</v>
          </cell>
          <cell r="B263" t="str">
            <v>1.1.03.060.0009</v>
          </cell>
          <cell r="C263" t="str">
            <v xml:space="preserve">MATERIAL DE EXPEDIENTE, </v>
          </cell>
          <cell r="D263">
            <v>72698.87</v>
          </cell>
          <cell r="E263">
            <v>117277.87</v>
          </cell>
          <cell r="F263">
            <v>127369.88</v>
          </cell>
          <cell r="G263">
            <v>-10092.01</v>
          </cell>
          <cell r="H263">
            <v>62606.86</v>
          </cell>
          <cell r="I263" t="str">
            <v>D</v>
          </cell>
        </row>
        <row r="264">
          <cell r="A264">
            <v>545</v>
          </cell>
          <cell r="B264" t="str">
            <v>1.1.03.060.0010</v>
          </cell>
          <cell r="C264" t="str">
            <v>MATERIAL DE LAVANDERIA</v>
          </cell>
          <cell r="D264">
            <v>2980.72</v>
          </cell>
          <cell r="E264">
            <v>111566.68</v>
          </cell>
          <cell r="F264">
            <v>114547.4</v>
          </cell>
          <cell r="G264">
            <v>-2980.72</v>
          </cell>
          <cell r="H264">
            <v>0</v>
          </cell>
          <cell r="I264" t="str">
            <v>D</v>
          </cell>
        </row>
        <row r="265">
          <cell r="A265">
            <v>546</v>
          </cell>
          <cell r="B265" t="str">
            <v>1.1.03.060.0011</v>
          </cell>
          <cell r="C265" t="str">
            <v xml:space="preserve">MATERIAL DE LIMPEZA E </v>
          </cell>
          <cell r="D265">
            <v>123655.28</v>
          </cell>
          <cell r="E265">
            <v>146548.07999999999</v>
          </cell>
          <cell r="F265">
            <v>175013.99</v>
          </cell>
          <cell r="G265">
            <v>-28465.91</v>
          </cell>
          <cell r="H265">
            <v>95189.37</v>
          </cell>
          <cell r="I265" t="str">
            <v>D</v>
          </cell>
        </row>
        <row r="266">
          <cell r="A266">
            <v>547</v>
          </cell>
          <cell r="B266" t="str">
            <v>1.1.03.060.0012</v>
          </cell>
          <cell r="C266" t="str">
            <v>MATERIAL DE MANUTENCAO</v>
          </cell>
          <cell r="D266">
            <v>79771.98</v>
          </cell>
          <cell r="E266">
            <v>69415.039999999994</v>
          </cell>
          <cell r="F266">
            <v>65421.35</v>
          </cell>
          <cell r="G266">
            <v>3993.69</v>
          </cell>
          <cell r="H266">
            <v>83765.67</v>
          </cell>
          <cell r="I266" t="str">
            <v>D</v>
          </cell>
        </row>
        <row r="267">
          <cell r="A267">
            <v>541</v>
          </cell>
          <cell r="B267" t="str">
            <v>1.1.03.060.0013</v>
          </cell>
          <cell r="C267" t="str">
            <v xml:space="preserve">MATERIAL DE NUTRICAO E </v>
          </cell>
          <cell r="D267">
            <v>87372.86</v>
          </cell>
          <cell r="E267">
            <v>591424.64</v>
          </cell>
          <cell r="F267">
            <v>581246.30000000005</v>
          </cell>
          <cell r="G267">
            <v>10178.34</v>
          </cell>
          <cell r="H267">
            <v>97551.2</v>
          </cell>
          <cell r="I267" t="str">
            <v>D</v>
          </cell>
        </row>
        <row r="268">
          <cell r="A268">
            <v>32960</v>
          </cell>
          <cell r="B268" t="str">
            <v>1.1.03.060.0014</v>
          </cell>
          <cell r="C268" t="str">
            <v xml:space="preserve">MATERIAL DE UTILIDADES </v>
          </cell>
          <cell r="D268">
            <v>1245735.69</v>
          </cell>
          <cell r="E268">
            <v>3195311.49</v>
          </cell>
          <cell r="F268">
            <v>3139865.21</v>
          </cell>
          <cell r="G268">
            <v>55446.28</v>
          </cell>
          <cell r="H268">
            <v>1301181.97</v>
          </cell>
          <cell r="I268" t="str">
            <v>D</v>
          </cell>
        </row>
        <row r="269">
          <cell r="A269">
            <v>552</v>
          </cell>
          <cell r="B269" t="str">
            <v>1.1.03.060.0015</v>
          </cell>
          <cell r="C269" t="str">
            <v xml:space="preserve">MATERIAL HOSPITALAR, </v>
          </cell>
          <cell r="D269">
            <v>123615.48</v>
          </cell>
          <cell r="E269">
            <v>80429.75</v>
          </cell>
          <cell r="F269">
            <v>65258.93</v>
          </cell>
          <cell r="G269">
            <v>15170.82</v>
          </cell>
          <cell r="H269">
            <v>138786.29999999999</v>
          </cell>
          <cell r="I269" t="str">
            <v>D</v>
          </cell>
        </row>
        <row r="270">
          <cell r="A270">
            <v>540</v>
          </cell>
          <cell r="B270" t="str">
            <v>1.1.03.060.0016</v>
          </cell>
          <cell r="C270" t="str">
            <v xml:space="preserve">MEDICAMENTOS CONSUMO </v>
          </cell>
          <cell r="D270">
            <v>2006419.65</v>
          </cell>
          <cell r="E270">
            <v>5948257.9000000004</v>
          </cell>
          <cell r="F270">
            <v>5669144.5300000003</v>
          </cell>
          <cell r="G270">
            <v>279113.37</v>
          </cell>
          <cell r="H270">
            <v>2285533.02</v>
          </cell>
          <cell r="I270" t="str">
            <v>D</v>
          </cell>
        </row>
        <row r="271">
          <cell r="A271">
            <v>549</v>
          </cell>
          <cell r="B271" t="str">
            <v>1.1.03.060.0017</v>
          </cell>
          <cell r="C271" t="str">
            <v xml:space="preserve">TECIDOS  AVIAMENTOS E </v>
          </cell>
          <cell r="D271">
            <v>113447.71</v>
          </cell>
          <cell r="E271">
            <v>33094.28</v>
          </cell>
          <cell r="F271">
            <v>42856.6</v>
          </cell>
          <cell r="G271">
            <v>-9762.32</v>
          </cell>
          <cell r="H271">
            <v>103685.39</v>
          </cell>
          <cell r="I271" t="str">
            <v>D</v>
          </cell>
        </row>
        <row r="272">
          <cell r="A272">
            <v>548</v>
          </cell>
          <cell r="B272" t="str">
            <v>1.1.03.060.0018</v>
          </cell>
          <cell r="C272" t="str">
            <v>UNIFORMES</v>
          </cell>
          <cell r="D272">
            <v>146496.91</v>
          </cell>
          <cell r="E272">
            <v>52491.96</v>
          </cell>
          <cell r="F272">
            <v>55953.52</v>
          </cell>
          <cell r="G272">
            <v>-3461.56</v>
          </cell>
          <cell r="H272">
            <v>143035.35</v>
          </cell>
          <cell r="I272" t="str">
            <v>D</v>
          </cell>
        </row>
        <row r="273">
          <cell r="A273">
            <v>51988</v>
          </cell>
          <cell r="B273" t="str">
            <v>1.1.03.060.0019</v>
          </cell>
          <cell r="C273" t="str">
            <v>ENGENHARIA CLINICA</v>
          </cell>
          <cell r="D273">
            <v>98490.86</v>
          </cell>
          <cell r="E273">
            <v>12317.09</v>
          </cell>
          <cell r="F273">
            <v>25867.9</v>
          </cell>
          <cell r="G273">
            <v>-13550.81</v>
          </cell>
          <cell r="H273">
            <v>84940.05</v>
          </cell>
          <cell r="I273" t="str">
            <v>D</v>
          </cell>
        </row>
        <row r="274">
          <cell r="A274">
            <v>54553</v>
          </cell>
          <cell r="B274" t="str">
            <v>1.1.03.060.0021</v>
          </cell>
          <cell r="C274" t="str">
            <v>MATERIAIS ESPECIAIS</v>
          </cell>
          <cell r="D274">
            <v>250095.35</v>
          </cell>
          <cell r="E274">
            <v>590289.72</v>
          </cell>
          <cell r="F274">
            <v>568728.59</v>
          </cell>
          <cell r="G274">
            <v>21561.13</v>
          </cell>
          <cell r="H274">
            <v>271656.48</v>
          </cell>
          <cell r="I274" t="str">
            <v>D</v>
          </cell>
        </row>
        <row r="275">
          <cell r="A275">
            <v>40380</v>
          </cell>
          <cell r="B275" t="str">
            <v>1.1.03.070</v>
          </cell>
          <cell r="C275" t="str">
            <v xml:space="preserve">MATERIAIS DE TERCEIROS </v>
          </cell>
          <cell r="D275">
            <v>316418.34999999998</v>
          </cell>
          <cell r="E275">
            <v>1973699.36</v>
          </cell>
          <cell r="F275">
            <v>1977866.83</v>
          </cell>
          <cell r="G275">
            <v>-4167.47</v>
          </cell>
          <cell r="H275">
            <v>312250.88</v>
          </cell>
          <cell r="I275" t="str">
            <v>D</v>
          </cell>
        </row>
        <row r="276">
          <cell r="A276">
            <v>12248</v>
          </cell>
          <cell r="B276" t="str">
            <v>1.1.03.070.0001</v>
          </cell>
          <cell r="C276" t="str">
            <v xml:space="preserve">MATERIAIS DE TERCEIROS </v>
          </cell>
          <cell r="D276">
            <v>316418.34999999998</v>
          </cell>
          <cell r="E276">
            <v>1973699.36</v>
          </cell>
          <cell r="F276">
            <v>1977866.83</v>
          </cell>
          <cell r="G276">
            <v>-4167.47</v>
          </cell>
          <cell r="H276">
            <v>312250.88</v>
          </cell>
          <cell r="I276" t="str">
            <v>D</v>
          </cell>
        </row>
        <row r="277">
          <cell r="A277">
            <v>54947</v>
          </cell>
          <cell r="B277" t="str">
            <v>1.1.03.080</v>
          </cell>
          <cell r="C277" t="str">
            <v>ESTOQUE OBRA BNDES</v>
          </cell>
          <cell r="D277">
            <v>0</v>
          </cell>
          <cell r="E277">
            <v>597195.77</v>
          </cell>
          <cell r="F277">
            <v>597195.77</v>
          </cell>
          <cell r="G277">
            <v>0</v>
          </cell>
          <cell r="H277">
            <v>0</v>
          </cell>
          <cell r="I277" t="str">
            <v>D</v>
          </cell>
        </row>
        <row r="278">
          <cell r="A278">
            <v>54948</v>
          </cell>
          <cell r="B278" t="str">
            <v>1.1.03.080.0001</v>
          </cell>
          <cell r="C278" t="str">
            <v>ESTOQUE OBRA BNDES</v>
          </cell>
          <cell r="D278">
            <v>0</v>
          </cell>
          <cell r="E278">
            <v>597195.77</v>
          </cell>
          <cell r="F278">
            <v>597195.77</v>
          </cell>
          <cell r="G278">
            <v>0</v>
          </cell>
          <cell r="H278">
            <v>0</v>
          </cell>
          <cell r="I278" t="str">
            <v>D</v>
          </cell>
        </row>
        <row r="279">
          <cell r="A279">
            <v>607</v>
          </cell>
          <cell r="B279" t="str">
            <v>1.1.04</v>
          </cell>
          <cell r="C279" t="str">
            <v>DESPESAS A APROPRIAR</v>
          </cell>
          <cell r="D279">
            <v>15512.15</v>
          </cell>
          <cell r="E279">
            <v>0</v>
          </cell>
          <cell r="F279">
            <v>4558.62</v>
          </cell>
          <cell r="G279">
            <v>-4558.62</v>
          </cell>
          <cell r="H279">
            <v>10953.53</v>
          </cell>
          <cell r="I279" t="str">
            <v>D</v>
          </cell>
        </row>
        <row r="280">
          <cell r="A280">
            <v>608</v>
          </cell>
          <cell r="B280" t="str">
            <v>1.1.04.010</v>
          </cell>
          <cell r="C280" t="str">
            <v>DESPESAS A APROPRIAR</v>
          </cell>
          <cell r="D280">
            <v>15512.15</v>
          </cell>
          <cell r="E280">
            <v>0</v>
          </cell>
          <cell r="F280">
            <v>4558.62</v>
          </cell>
          <cell r="G280">
            <v>-4558.62</v>
          </cell>
          <cell r="H280">
            <v>10953.53</v>
          </cell>
          <cell r="I280" t="str">
            <v>D</v>
          </cell>
        </row>
        <row r="281">
          <cell r="A281">
            <v>638</v>
          </cell>
          <cell r="B281" t="str">
            <v>1.1.04.010.0002</v>
          </cell>
          <cell r="C281" t="str">
            <v xml:space="preserve">PREMIOS DE SEGUROS </v>
          </cell>
          <cell r="D281">
            <v>15512.15</v>
          </cell>
          <cell r="E281">
            <v>0</v>
          </cell>
          <cell r="F281">
            <v>4558.62</v>
          </cell>
          <cell r="G281">
            <v>-4558.62</v>
          </cell>
          <cell r="H281">
            <v>10953.53</v>
          </cell>
          <cell r="I281" t="str">
            <v>D</v>
          </cell>
        </row>
        <row r="282">
          <cell r="A282">
            <v>661</v>
          </cell>
          <cell r="B282" t="str">
            <v>1.2</v>
          </cell>
          <cell r="C282" t="str">
            <v>ATIVO NAO CIRCULANTE</v>
          </cell>
          <cell r="D282">
            <v>95486269.319999993</v>
          </cell>
          <cell r="E282">
            <v>2267890.7200000002</v>
          </cell>
          <cell r="F282">
            <v>810175.68</v>
          </cell>
          <cell r="G282">
            <v>1457715.04</v>
          </cell>
          <cell r="H282">
            <v>96943984.359999999</v>
          </cell>
          <cell r="I282" t="str">
            <v>D</v>
          </cell>
        </row>
        <row r="283">
          <cell r="A283">
            <v>662</v>
          </cell>
          <cell r="B283" t="str">
            <v>1.2.01</v>
          </cell>
          <cell r="C283" t="str">
            <v>REALIZAVEL A LONGO PRAZO</v>
          </cell>
          <cell r="D283">
            <v>1556513.01</v>
          </cell>
          <cell r="E283">
            <v>34435.5</v>
          </cell>
          <cell r="F283">
            <v>2980.75</v>
          </cell>
          <cell r="G283">
            <v>31454.75</v>
          </cell>
          <cell r="H283">
            <v>1587967.76</v>
          </cell>
          <cell r="I283" t="str">
            <v>D</v>
          </cell>
        </row>
        <row r="284">
          <cell r="A284">
            <v>38383</v>
          </cell>
          <cell r="B284" t="str">
            <v>1.2.01.020</v>
          </cell>
          <cell r="C284" t="str">
            <v>COBRANCAS JUDICIAIS</v>
          </cell>
          <cell r="D284">
            <v>1349685</v>
          </cell>
          <cell r="E284">
            <v>0</v>
          </cell>
          <cell r="F284">
            <v>0</v>
          </cell>
          <cell r="G284">
            <v>0</v>
          </cell>
          <cell r="H284">
            <v>1349685</v>
          </cell>
          <cell r="I284" t="str">
            <v>D</v>
          </cell>
        </row>
        <row r="285">
          <cell r="A285">
            <v>829</v>
          </cell>
          <cell r="B285" t="str">
            <v>1.2.01.020.0001</v>
          </cell>
          <cell r="C285" t="str">
            <v xml:space="preserve">COBRANÇAS JUDICIAIS </v>
          </cell>
          <cell r="D285">
            <v>1349685</v>
          </cell>
          <cell r="E285">
            <v>0</v>
          </cell>
          <cell r="F285">
            <v>0</v>
          </cell>
          <cell r="G285">
            <v>0</v>
          </cell>
          <cell r="H285">
            <v>1349685</v>
          </cell>
          <cell r="I285" t="str">
            <v>D</v>
          </cell>
        </row>
        <row r="286">
          <cell r="A286">
            <v>54687</v>
          </cell>
          <cell r="B286" t="str">
            <v>1.2.01.040</v>
          </cell>
          <cell r="C286" t="str">
            <v xml:space="preserve">PROJETO HOSPITAL </v>
          </cell>
          <cell r="D286">
            <v>185880.99</v>
          </cell>
          <cell r="E286">
            <v>28474</v>
          </cell>
          <cell r="F286">
            <v>0</v>
          </cell>
          <cell r="G286">
            <v>28474</v>
          </cell>
          <cell r="H286">
            <v>214354.99</v>
          </cell>
          <cell r="I286" t="str">
            <v>D</v>
          </cell>
        </row>
        <row r="287">
          <cell r="A287">
            <v>54688</v>
          </cell>
          <cell r="B287" t="str">
            <v>1.2.01.040.0001</v>
          </cell>
          <cell r="C287" t="str">
            <v xml:space="preserve">HOSPITAL TAUBATE </v>
          </cell>
          <cell r="D287">
            <v>185880.99</v>
          </cell>
          <cell r="E287">
            <v>28474</v>
          </cell>
          <cell r="F287">
            <v>0</v>
          </cell>
          <cell r="G287">
            <v>28474</v>
          </cell>
          <cell r="H287">
            <v>214354.99</v>
          </cell>
          <cell r="I287" t="str">
            <v>D</v>
          </cell>
        </row>
        <row r="288">
          <cell r="A288">
            <v>55184</v>
          </cell>
          <cell r="B288" t="str">
            <v>1.2.01.050</v>
          </cell>
          <cell r="C288" t="str">
            <v>CONSORCIOS</v>
          </cell>
          <cell r="D288">
            <v>20947.02</v>
          </cell>
          <cell r="E288">
            <v>5961.5</v>
          </cell>
          <cell r="F288">
            <v>2980.75</v>
          </cell>
          <cell r="G288">
            <v>2980.75</v>
          </cell>
          <cell r="H288">
            <v>23927.77</v>
          </cell>
          <cell r="I288" t="str">
            <v>D</v>
          </cell>
        </row>
        <row r="289">
          <cell r="A289">
            <v>55185</v>
          </cell>
          <cell r="B289" t="str">
            <v>1.2.01.050.0001</v>
          </cell>
          <cell r="C289" t="str">
            <v>CONSORCIOS</v>
          </cell>
          <cell r="D289">
            <v>20947.02</v>
          </cell>
          <cell r="E289">
            <v>5961.5</v>
          </cell>
          <cell r="F289">
            <v>2980.75</v>
          </cell>
          <cell r="G289">
            <v>2980.75</v>
          </cell>
          <cell r="H289">
            <v>23927.77</v>
          </cell>
          <cell r="I289" t="str">
            <v>D</v>
          </cell>
        </row>
        <row r="290">
          <cell r="A290">
            <v>845</v>
          </cell>
          <cell r="B290" t="str">
            <v>1.2.02</v>
          </cell>
          <cell r="C290" t="str">
            <v xml:space="preserve">DEPOSITOS JUDICIAIS </v>
          </cell>
          <cell r="D290">
            <v>2291029.15</v>
          </cell>
          <cell r="E290">
            <v>8707.09</v>
          </cell>
          <cell r="F290">
            <v>0</v>
          </cell>
          <cell r="G290">
            <v>8707.09</v>
          </cell>
          <cell r="H290">
            <v>2299736.2400000002</v>
          </cell>
          <cell r="I290" t="str">
            <v>D</v>
          </cell>
        </row>
        <row r="291">
          <cell r="A291">
            <v>40391</v>
          </cell>
          <cell r="B291" t="str">
            <v>1.2.02.010</v>
          </cell>
          <cell r="C291" t="str">
            <v xml:space="preserve">DEPOSITOS JUDICIAIS </v>
          </cell>
          <cell r="D291">
            <v>2184529.15</v>
          </cell>
          <cell r="E291">
            <v>8707.09</v>
          </cell>
          <cell r="F291">
            <v>0</v>
          </cell>
          <cell r="G291">
            <v>8707.09</v>
          </cell>
          <cell r="H291">
            <v>2193236.2400000002</v>
          </cell>
          <cell r="I291" t="str">
            <v>D</v>
          </cell>
        </row>
        <row r="292">
          <cell r="A292">
            <v>860</v>
          </cell>
          <cell r="B292" t="str">
            <v>1.2.02.010.0002</v>
          </cell>
          <cell r="C292" t="str">
            <v xml:space="preserve">DEPOSITOS JUDICIAIS E </v>
          </cell>
          <cell r="D292">
            <v>9036.42</v>
          </cell>
          <cell r="E292">
            <v>36.15</v>
          </cell>
          <cell r="F292">
            <v>0</v>
          </cell>
          <cell r="G292">
            <v>36.15</v>
          </cell>
          <cell r="H292">
            <v>9072.57</v>
          </cell>
          <cell r="I292" t="str">
            <v>D</v>
          </cell>
        </row>
        <row r="293">
          <cell r="A293">
            <v>51311</v>
          </cell>
          <cell r="B293" t="str">
            <v>1.2.02.010.0004</v>
          </cell>
          <cell r="C293" t="str">
            <v>DEPOSITOS JUDICIAIS - CIVEIS</v>
          </cell>
          <cell r="D293">
            <v>440.84</v>
          </cell>
          <cell r="E293">
            <v>0</v>
          </cell>
          <cell r="F293">
            <v>0</v>
          </cell>
          <cell r="G293">
            <v>0</v>
          </cell>
          <cell r="H293">
            <v>440.84</v>
          </cell>
          <cell r="I293" t="str">
            <v>D</v>
          </cell>
        </row>
        <row r="294">
          <cell r="A294">
            <v>872</v>
          </cell>
          <cell r="B294" t="str">
            <v>1.2.02.010.0005</v>
          </cell>
          <cell r="C294" t="str">
            <v xml:space="preserve">DEPOSITOS JUDICIAIS - </v>
          </cell>
          <cell r="D294">
            <v>2175051.89</v>
          </cell>
          <cell r="E294">
            <v>8670.94</v>
          </cell>
          <cell r="F294">
            <v>0</v>
          </cell>
          <cell r="G294">
            <v>8670.94</v>
          </cell>
          <cell r="H294">
            <v>2183722.83</v>
          </cell>
          <cell r="I294" t="str">
            <v>D</v>
          </cell>
        </row>
        <row r="295">
          <cell r="A295">
            <v>899</v>
          </cell>
          <cell r="B295" t="str">
            <v>1.2.02.020</v>
          </cell>
          <cell r="C295" t="str">
            <v xml:space="preserve">OUTROS CREDITOS A </v>
          </cell>
          <cell r="D295">
            <v>106500</v>
          </cell>
          <cell r="E295">
            <v>0</v>
          </cell>
          <cell r="F295">
            <v>0</v>
          </cell>
          <cell r="G295">
            <v>0</v>
          </cell>
          <cell r="H295">
            <v>106500</v>
          </cell>
          <cell r="I295" t="str">
            <v>D</v>
          </cell>
        </row>
        <row r="296">
          <cell r="A296">
            <v>52534</v>
          </cell>
          <cell r="B296" t="str">
            <v>1.2.02.020.0003</v>
          </cell>
          <cell r="C296" t="str">
            <v xml:space="preserve">DEPOSITO CAUCAO - </v>
          </cell>
          <cell r="D296">
            <v>106500</v>
          </cell>
          <cell r="E296">
            <v>0</v>
          </cell>
          <cell r="F296">
            <v>0</v>
          </cell>
          <cell r="G296">
            <v>0</v>
          </cell>
          <cell r="H296">
            <v>106500</v>
          </cell>
          <cell r="I296" t="str">
            <v>D</v>
          </cell>
        </row>
        <row r="297">
          <cell r="A297">
            <v>907</v>
          </cell>
          <cell r="B297" t="str">
            <v>1.2.03</v>
          </cell>
          <cell r="C297" t="str">
            <v>IMOBILIZADO</v>
          </cell>
          <cell r="D297">
            <v>89755321.090000004</v>
          </cell>
          <cell r="E297">
            <v>2224748.13</v>
          </cell>
          <cell r="F297">
            <v>807161.64</v>
          </cell>
          <cell r="G297">
            <v>1417586.49</v>
          </cell>
          <cell r="H297">
            <v>91172907.579999998</v>
          </cell>
          <cell r="I297" t="str">
            <v>D</v>
          </cell>
        </row>
        <row r="298">
          <cell r="A298">
            <v>924</v>
          </cell>
          <cell r="B298" t="str">
            <v>1.2.03.010</v>
          </cell>
          <cell r="C298" t="str">
            <v>IMOBILIZADO HOSPITALAR</v>
          </cell>
          <cell r="D298">
            <v>73111389.980000004</v>
          </cell>
          <cell r="E298">
            <v>54317.98</v>
          </cell>
          <cell r="F298">
            <v>18302.16</v>
          </cell>
          <cell r="G298">
            <v>36015.82</v>
          </cell>
          <cell r="H298">
            <v>73147405.799999997</v>
          </cell>
          <cell r="I298" t="str">
            <v>D</v>
          </cell>
        </row>
        <row r="299">
          <cell r="A299">
            <v>933</v>
          </cell>
          <cell r="B299" t="str">
            <v>1.2.03.010.0001</v>
          </cell>
          <cell r="C299" t="str">
            <v>TERRENOS SEDE</v>
          </cell>
          <cell r="D299">
            <v>20133097</v>
          </cell>
          <cell r="E299">
            <v>0</v>
          </cell>
          <cell r="F299">
            <v>0</v>
          </cell>
          <cell r="G299">
            <v>0</v>
          </cell>
          <cell r="H299">
            <v>20133097</v>
          </cell>
          <cell r="I299" t="str">
            <v>D</v>
          </cell>
        </row>
        <row r="300">
          <cell r="A300">
            <v>938</v>
          </cell>
          <cell r="B300" t="str">
            <v>1.2.03.010.0002</v>
          </cell>
          <cell r="C300" t="str">
            <v>EDIFICACOES</v>
          </cell>
          <cell r="D300">
            <v>26544769.690000001</v>
          </cell>
          <cell r="E300">
            <v>0</v>
          </cell>
          <cell r="F300">
            <v>0</v>
          </cell>
          <cell r="G300">
            <v>0</v>
          </cell>
          <cell r="H300">
            <v>26544769.690000001</v>
          </cell>
          <cell r="I300" t="str">
            <v>D</v>
          </cell>
        </row>
        <row r="301">
          <cell r="A301">
            <v>1030</v>
          </cell>
          <cell r="B301" t="str">
            <v>1.2.03.010.0003</v>
          </cell>
          <cell r="C301" t="str">
            <v>INSTALACOES</v>
          </cell>
          <cell r="D301">
            <v>1578764.14</v>
          </cell>
          <cell r="E301">
            <v>0</v>
          </cell>
          <cell r="F301">
            <v>0</v>
          </cell>
          <cell r="G301">
            <v>0</v>
          </cell>
          <cell r="H301">
            <v>1578764.14</v>
          </cell>
          <cell r="I301" t="str">
            <v>D</v>
          </cell>
        </row>
        <row r="302">
          <cell r="A302">
            <v>1085</v>
          </cell>
          <cell r="B302" t="str">
            <v>1.2.03.010.0004</v>
          </cell>
          <cell r="C302" t="str">
            <v>MAQUINAS E EQUIPAMENTOS</v>
          </cell>
          <cell r="D302">
            <v>19278046.18</v>
          </cell>
          <cell r="E302">
            <v>30813.71</v>
          </cell>
          <cell r="F302">
            <v>4907.42</v>
          </cell>
          <cell r="G302">
            <v>25906.29</v>
          </cell>
          <cell r="H302">
            <v>19303952.469999999</v>
          </cell>
          <cell r="I302" t="str">
            <v>D</v>
          </cell>
        </row>
        <row r="303">
          <cell r="A303">
            <v>32515</v>
          </cell>
          <cell r="B303" t="str">
            <v>1.2.03.010.0005</v>
          </cell>
          <cell r="C303" t="str">
            <v xml:space="preserve">MAQ E EQUIP - INSTRUM. </v>
          </cell>
          <cell r="D303">
            <v>1079500.77</v>
          </cell>
          <cell r="E303">
            <v>0</v>
          </cell>
          <cell r="F303">
            <v>0</v>
          </cell>
          <cell r="G303">
            <v>0</v>
          </cell>
          <cell r="H303">
            <v>1079500.77</v>
          </cell>
          <cell r="I303" t="str">
            <v>D</v>
          </cell>
        </row>
        <row r="304">
          <cell r="A304">
            <v>1172</v>
          </cell>
          <cell r="B304" t="str">
            <v>1.2.03.010.0007</v>
          </cell>
          <cell r="C304" t="str">
            <v xml:space="preserve">EQUIPAMENTOS DE PROC DE </v>
          </cell>
          <cell r="D304">
            <v>673520.01</v>
          </cell>
          <cell r="E304">
            <v>16736.400000000001</v>
          </cell>
          <cell r="F304">
            <v>785.8</v>
          </cell>
          <cell r="G304">
            <v>15950.6</v>
          </cell>
          <cell r="H304">
            <v>689470.61</v>
          </cell>
          <cell r="I304" t="str">
            <v>D</v>
          </cell>
        </row>
        <row r="305">
          <cell r="A305">
            <v>1248</v>
          </cell>
          <cell r="B305" t="str">
            <v>1.2.03.010.0008</v>
          </cell>
          <cell r="C305" t="str">
            <v>MOVEIS E UTENSILIOS</v>
          </cell>
          <cell r="D305">
            <v>3626223.47</v>
          </cell>
          <cell r="E305">
            <v>6767.87</v>
          </cell>
          <cell r="F305">
            <v>12608.94</v>
          </cell>
          <cell r="G305">
            <v>-5841.07</v>
          </cell>
          <cell r="H305">
            <v>3620382.4</v>
          </cell>
          <cell r="I305" t="str">
            <v>D</v>
          </cell>
        </row>
        <row r="306">
          <cell r="A306">
            <v>1303</v>
          </cell>
          <cell r="B306" t="str">
            <v>1.2.03.010.0009</v>
          </cell>
          <cell r="C306" t="str">
            <v>VEICULOS</v>
          </cell>
          <cell r="D306">
            <v>173874.58</v>
          </cell>
          <cell r="E306">
            <v>0</v>
          </cell>
          <cell r="F306">
            <v>0</v>
          </cell>
          <cell r="G306">
            <v>0</v>
          </cell>
          <cell r="H306">
            <v>173874.58</v>
          </cell>
          <cell r="I306" t="str">
            <v>D</v>
          </cell>
        </row>
        <row r="307">
          <cell r="A307">
            <v>1086</v>
          </cell>
          <cell r="B307" t="str">
            <v>1.2.03.010.0011</v>
          </cell>
          <cell r="C307" t="str">
            <v>EQUIPTOS (VIDEO)</v>
          </cell>
          <cell r="D307">
            <v>23594.14</v>
          </cell>
          <cell r="E307">
            <v>0</v>
          </cell>
          <cell r="F307">
            <v>0</v>
          </cell>
          <cell r="G307">
            <v>0</v>
          </cell>
          <cell r="H307">
            <v>23594.14</v>
          </cell>
          <cell r="I307" t="str">
            <v>D</v>
          </cell>
        </row>
        <row r="308">
          <cell r="A308">
            <v>964</v>
          </cell>
          <cell r="B308" t="str">
            <v>1.2.03.020</v>
          </cell>
          <cell r="C308" t="str">
            <v xml:space="preserve">( - ) DEPRECIACAO </v>
          </cell>
          <cell r="D308">
            <v>-27098301.859999999</v>
          </cell>
          <cell r="E308">
            <v>9465.0400000000009</v>
          </cell>
          <cell r="F308">
            <v>192119.65</v>
          </cell>
          <cell r="G308">
            <v>-182654.61</v>
          </cell>
          <cell r="H308">
            <v>-27280956.469999999</v>
          </cell>
          <cell r="I308" t="str">
            <v>C</v>
          </cell>
        </row>
        <row r="309">
          <cell r="A309">
            <v>969</v>
          </cell>
          <cell r="B309" t="str">
            <v>1.2.03.020.0001</v>
          </cell>
          <cell r="C309" t="str">
            <v>(-) DEP ACUM EDIFICACOES</v>
          </cell>
          <cell r="D309">
            <v>-11116965.25</v>
          </cell>
          <cell r="E309">
            <v>0</v>
          </cell>
          <cell r="F309">
            <v>32710.93</v>
          </cell>
          <cell r="G309">
            <v>-32710.93</v>
          </cell>
          <cell r="H309">
            <v>-11149676.18</v>
          </cell>
          <cell r="I309" t="str">
            <v>C</v>
          </cell>
        </row>
        <row r="310">
          <cell r="A310">
            <v>1043</v>
          </cell>
          <cell r="B310" t="str">
            <v>1.2.03.020.0002</v>
          </cell>
          <cell r="C310" t="str">
            <v>(-) DEP ACUM INSTALACOES</v>
          </cell>
          <cell r="D310">
            <v>-84843.76</v>
          </cell>
          <cell r="E310">
            <v>0</v>
          </cell>
          <cell r="F310">
            <v>1397.84</v>
          </cell>
          <cell r="G310">
            <v>-1397.84</v>
          </cell>
          <cell r="H310">
            <v>-86241.600000000006</v>
          </cell>
          <cell r="I310" t="str">
            <v>C</v>
          </cell>
        </row>
        <row r="311">
          <cell r="A311">
            <v>1115</v>
          </cell>
          <cell r="B311" t="str">
            <v>1.2.03.020.0003</v>
          </cell>
          <cell r="C311" t="str">
            <v xml:space="preserve">(-) DEP ACUM MAQUINAS E </v>
          </cell>
          <cell r="D311">
            <v>-9739625.6999999993</v>
          </cell>
          <cell r="E311">
            <v>2453.71</v>
          </cell>
          <cell r="F311">
            <v>84509.15</v>
          </cell>
          <cell r="G311">
            <v>-82055.44</v>
          </cell>
          <cell r="H311">
            <v>-9821681.1400000006</v>
          </cell>
          <cell r="I311" t="str">
            <v>C</v>
          </cell>
        </row>
        <row r="312">
          <cell r="A312">
            <v>51259</v>
          </cell>
          <cell r="B312" t="str">
            <v>1.2.03.020.0004</v>
          </cell>
          <cell r="C312" t="str">
            <v xml:space="preserve">(-) DEP ACUM EQPTOS COM </v>
          </cell>
          <cell r="D312">
            <v>-2827214.76</v>
          </cell>
          <cell r="E312">
            <v>0</v>
          </cell>
          <cell r="F312">
            <v>41000.129999999997</v>
          </cell>
          <cell r="G312">
            <v>-41000.129999999997</v>
          </cell>
          <cell r="H312">
            <v>-2868214.89</v>
          </cell>
          <cell r="I312" t="str">
            <v>C</v>
          </cell>
        </row>
        <row r="313">
          <cell r="A313">
            <v>1192</v>
          </cell>
          <cell r="B313" t="str">
            <v>1.2.03.020.0005</v>
          </cell>
          <cell r="C313" t="str">
            <v xml:space="preserve">(-) DEP ACUM EQPTOS PROC </v>
          </cell>
          <cell r="D313">
            <v>-295766.78000000003</v>
          </cell>
          <cell r="E313">
            <v>392.9</v>
          </cell>
          <cell r="F313">
            <v>5520.59</v>
          </cell>
          <cell r="G313">
            <v>-5127.6899999999996</v>
          </cell>
          <cell r="H313">
            <v>-300894.46999999997</v>
          </cell>
          <cell r="I313" t="str">
            <v>C</v>
          </cell>
        </row>
        <row r="314">
          <cell r="A314">
            <v>1261</v>
          </cell>
          <cell r="B314" t="str">
            <v>1.2.03.020.0006</v>
          </cell>
          <cell r="C314" t="str">
            <v xml:space="preserve">(-) DEP ACUM MOVEIS E </v>
          </cell>
          <cell r="D314">
            <v>-2115125.52</v>
          </cell>
          <cell r="E314">
            <v>6618.43</v>
          </cell>
          <cell r="F314">
            <v>13337.23</v>
          </cell>
          <cell r="G314">
            <v>-6718.8</v>
          </cell>
          <cell r="H314">
            <v>-2121844.3199999998</v>
          </cell>
          <cell r="I314" t="str">
            <v>C</v>
          </cell>
        </row>
        <row r="315">
          <cell r="A315">
            <v>1316</v>
          </cell>
          <cell r="B315" t="str">
            <v>1.2.03.020.0007</v>
          </cell>
          <cell r="C315" t="str">
            <v>(-) DEP ACUM VEICULOS</v>
          </cell>
          <cell r="D315">
            <v>-83682.59</v>
          </cell>
          <cell r="E315">
            <v>0</v>
          </cell>
          <cell r="F315">
            <v>0</v>
          </cell>
          <cell r="G315">
            <v>0</v>
          </cell>
          <cell r="H315">
            <v>-83682.59</v>
          </cell>
          <cell r="I315" t="str">
            <v>C</v>
          </cell>
        </row>
        <row r="316">
          <cell r="A316">
            <v>36995</v>
          </cell>
          <cell r="B316" t="str">
            <v>1.2.03.020.0009</v>
          </cell>
          <cell r="C316" t="str">
            <v xml:space="preserve">(-) DEP ACUM MAQUINAS E </v>
          </cell>
          <cell r="D316">
            <v>-835077.5</v>
          </cell>
          <cell r="E316">
            <v>0</v>
          </cell>
          <cell r="F316">
            <v>13643.78</v>
          </cell>
          <cell r="G316">
            <v>-13643.78</v>
          </cell>
          <cell r="H316">
            <v>-848721.28</v>
          </cell>
          <cell r="I316" t="str">
            <v>C</v>
          </cell>
        </row>
        <row r="317">
          <cell r="A317">
            <v>34339</v>
          </cell>
          <cell r="B317" t="str">
            <v>1.2.03.030</v>
          </cell>
          <cell r="C317" t="str">
            <v xml:space="preserve">IMOBILIZADO NAO </v>
          </cell>
          <cell r="D317">
            <v>12211216.4</v>
          </cell>
          <cell r="E317">
            <v>86174.1</v>
          </cell>
          <cell r="F317">
            <v>4200.47</v>
          </cell>
          <cell r="G317">
            <v>81973.63</v>
          </cell>
          <cell r="H317">
            <v>12293190.029999999</v>
          </cell>
          <cell r="I317" t="str">
            <v>D</v>
          </cell>
        </row>
        <row r="318">
          <cell r="A318">
            <v>984</v>
          </cell>
          <cell r="B318" t="str">
            <v>1.2.03.030.0001</v>
          </cell>
          <cell r="C318" t="str">
            <v xml:space="preserve">TERRENO ESTACIONAMENTO </v>
          </cell>
          <cell r="D318">
            <v>1949862.9</v>
          </cell>
          <cell r="E318">
            <v>0</v>
          </cell>
          <cell r="F318">
            <v>0</v>
          </cell>
          <cell r="G318">
            <v>0</v>
          </cell>
          <cell r="H318">
            <v>1949862.9</v>
          </cell>
          <cell r="I318" t="str">
            <v>D</v>
          </cell>
        </row>
        <row r="319">
          <cell r="A319">
            <v>986</v>
          </cell>
          <cell r="B319" t="str">
            <v>1.2.03.030.0002</v>
          </cell>
          <cell r="C319" t="str">
            <v xml:space="preserve">TERRENO CLAUDIO PINTO 175 </v>
          </cell>
          <cell r="D319">
            <v>254870.1</v>
          </cell>
          <cell r="E319">
            <v>0</v>
          </cell>
          <cell r="F319">
            <v>0</v>
          </cell>
          <cell r="G319">
            <v>0</v>
          </cell>
          <cell r="H319">
            <v>254870.1</v>
          </cell>
          <cell r="I319" t="str">
            <v>D</v>
          </cell>
        </row>
        <row r="320">
          <cell r="A320">
            <v>1057</v>
          </cell>
          <cell r="B320" t="str">
            <v>1.2.03.030.0004</v>
          </cell>
          <cell r="C320" t="str">
            <v>INSTALACOES NH</v>
          </cell>
          <cell r="D320">
            <v>781646.79</v>
          </cell>
          <cell r="E320">
            <v>0</v>
          </cell>
          <cell r="F320">
            <v>0</v>
          </cell>
          <cell r="G320">
            <v>0</v>
          </cell>
          <cell r="H320">
            <v>781646.79</v>
          </cell>
          <cell r="I320" t="str">
            <v>D</v>
          </cell>
        </row>
        <row r="321">
          <cell r="A321">
            <v>1136</v>
          </cell>
          <cell r="B321" t="str">
            <v>1.2.03.030.0005</v>
          </cell>
          <cell r="C321" t="str">
            <v xml:space="preserve">MAQUINAS E EQUIPAMENTOS </v>
          </cell>
          <cell r="D321">
            <v>1300515.8</v>
          </cell>
          <cell r="E321">
            <v>1399</v>
          </cell>
          <cell r="F321">
            <v>0</v>
          </cell>
          <cell r="G321">
            <v>1399</v>
          </cell>
          <cell r="H321">
            <v>1301914.8</v>
          </cell>
          <cell r="I321" t="str">
            <v>D</v>
          </cell>
        </row>
        <row r="322">
          <cell r="A322">
            <v>1214</v>
          </cell>
          <cell r="B322" t="str">
            <v>1.2.03.030.0006</v>
          </cell>
          <cell r="C322" t="str">
            <v xml:space="preserve">EQUIPAMENTOS PROC DADOS </v>
          </cell>
          <cell r="D322">
            <v>1924771.01</v>
          </cell>
          <cell r="E322">
            <v>67013.600000000006</v>
          </cell>
          <cell r="F322">
            <v>319</v>
          </cell>
          <cell r="G322">
            <v>66694.600000000006</v>
          </cell>
          <cell r="H322">
            <v>1991465.61</v>
          </cell>
          <cell r="I322" t="str">
            <v>D</v>
          </cell>
        </row>
        <row r="323">
          <cell r="A323">
            <v>1275</v>
          </cell>
          <cell r="B323" t="str">
            <v>1.2.03.030.0007</v>
          </cell>
          <cell r="C323" t="str">
            <v>MOVEIS E UTENSILIOS NH</v>
          </cell>
          <cell r="D323">
            <v>2062482.34</v>
          </cell>
          <cell r="E323">
            <v>15402.37</v>
          </cell>
          <cell r="F323">
            <v>1341.47</v>
          </cell>
          <cell r="G323">
            <v>14060.9</v>
          </cell>
          <cell r="H323">
            <v>2076543.24</v>
          </cell>
          <cell r="I323" t="str">
            <v>D</v>
          </cell>
        </row>
        <row r="324">
          <cell r="A324">
            <v>1329</v>
          </cell>
          <cell r="B324" t="str">
            <v>1.2.03.030.0008</v>
          </cell>
          <cell r="C324" t="str">
            <v>VEICULOS NH</v>
          </cell>
          <cell r="D324">
            <v>167834.9</v>
          </cell>
          <cell r="E324">
            <v>0</v>
          </cell>
          <cell r="F324">
            <v>0</v>
          </cell>
          <cell r="G324">
            <v>0</v>
          </cell>
          <cell r="H324">
            <v>167834.9</v>
          </cell>
          <cell r="I324" t="str">
            <v>D</v>
          </cell>
        </row>
        <row r="325">
          <cell r="A325">
            <v>25071</v>
          </cell>
          <cell r="B325" t="str">
            <v>1.2.03.030.0009</v>
          </cell>
          <cell r="C325" t="str">
            <v xml:space="preserve">EQUIPAMENTO ACESS </v>
          </cell>
          <cell r="D325">
            <v>81390.52</v>
          </cell>
          <cell r="E325">
            <v>0</v>
          </cell>
          <cell r="F325">
            <v>0</v>
          </cell>
          <cell r="G325">
            <v>0</v>
          </cell>
          <cell r="H325">
            <v>81390.52</v>
          </cell>
          <cell r="I325" t="str">
            <v>D</v>
          </cell>
        </row>
        <row r="326">
          <cell r="A326">
            <v>25073</v>
          </cell>
          <cell r="B326" t="str">
            <v>1.2.03.030.0010</v>
          </cell>
          <cell r="C326" t="str">
            <v xml:space="preserve">EQUIPAMENTOS ACESS SOM </v>
          </cell>
          <cell r="D326">
            <v>3783.41</v>
          </cell>
          <cell r="E326">
            <v>0</v>
          </cell>
          <cell r="F326">
            <v>0</v>
          </cell>
          <cell r="G326">
            <v>0</v>
          </cell>
          <cell r="H326">
            <v>3783.41</v>
          </cell>
          <cell r="I326" t="str">
            <v>D</v>
          </cell>
        </row>
        <row r="327">
          <cell r="A327">
            <v>53019</v>
          </cell>
          <cell r="B327" t="str">
            <v>1.2.03.030.0012</v>
          </cell>
          <cell r="C327" t="str">
            <v xml:space="preserve">TERRENO RUA CLAUDINO </v>
          </cell>
          <cell r="D327">
            <v>1260000</v>
          </cell>
          <cell r="E327">
            <v>0</v>
          </cell>
          <cell r="F327">
            <v>0</v>
          </cell>
          <cell r="G327">
            <v>0</v>
          </cell>
          <cell r="H327">
            <v>1260000</v>
          </cell>
          <cell r="I327" t="str">
            <v>D</v>
          </cell>
        </row>
        <row r="328">
          <cell r="A328">
            <v>1095</v>
          </cell>
          <cell r="B328" t="str">
            <v>1.2.03.030.0013</v>
          </cell>
          <cell r="C328" t="str">
            <v xml:space="preserve">REAVALIACAO MAQUINAS E </v>
          </cell>
          <cell r="D328">
            <v>1597894.15</v>
          </cell>
          <cell r="E328">
            <v>0</v>
          </cell>
          <cell r="F328">
            <v>0</v>
          </cell>
          <cell r="G328">
            <v>0</v>
          </cell>
          <cell r="H328">
            <v>1597894.15</v>
          </cell>
          <cell r="I328" t="str">
            <v>D</v>
          </cell>
        </row>
        <row r="329">
          <cell r="A329">
            <v>36947</v>
          </cell>
          <cell r="B329" t="str">
            <v>1.2.03.030.0014</v>
          </cell>
          <cell r="C329" t="str">
            <v xml:space="preserve">CUSTO DE AQUISICAO </v>
          </cell>
          <cell r="D329">
            <v>1969.05</v>
          </cell>
          <cell r="E329">
            <v>0</v>
          </cell>
          <cell r="F329">
            <v>0</v>
          </cell>
          <cell r="G329">
            <v>0</v>
          </cell>
          <cell r="H329">
            <v>1969.05</v>
          </cell>
          <cell r="I329" t="str">
            <v>D</v>
          </cell>
        </row>
        <row r="330">
          <cell r="A330">
            <v>38157</v>
          </cell>
          <cell r="B330" t="str">
            <v>1.2.03.030.0015</v>
          </cell>
          <cell r="C330" t="str">
            <v xml:space="preserve">REAVALIACAO VEICULOS NAO </v>
          </cell>
          <cell r="D330">
            <v>13707.04</v>
          </cell>
          <cell r="E330">
            <v>0</v>
          </cell>
          <cell r="F330">
            <v>0</v>
          </cell>
          <cell r="G330">
            <v>0</v>
          </cell>
          <cell r="H330">
            <v>13707.04</v>
          </cell>
          <cell r="I330" t="str">
            <v>D</v>
          </cell>
        </row>
        <row r="331">
          <cell r="A331">
            <v>40438</v>
          </cell>
          <cell r="B331" t="str">
            <v>1.2.03.030.0016</v>
          </cell>
          <cell r="C331" t="str">
            <v xml:space="preserve">CUSTO DE AQUISICAO - </v>
          </cell>
          <cell r="D331">
            <v>808808.39</v>
          </cell>
          <cell r="E331">
            <v>2359.13</v>
          </cell>
          <cell r="F331">
            <v>2540</v>
          </cell>
          <cell r="G331">
            <v>-180.87</v>
          </cell>
          <cell r="H331">
            <v>808627.52</v>
          </cell>
          <cell r="I331" t="str">
            <v>D</v>
          </cell>
        </row>
        <row r="332">
          <cell r="A332">
            <v>25069</v>
          </cell>
          <cell r="B332" t="str">
            <v>1.2.03.030.0017</v>
          </cell>
          <cell r="C332" t="str">
            <v xml:space="preserve">DIREITO DE USO DE LINHAS </v>
          </cell>
          <cell r="D332">
            <v>1680</v>
          </cell>
          <cell r="E332">
            <v>0</v>
          </cell>
          <cell r="F332">
            <v>0</v>
          </cell>
          <cell r="G332">
            <v>0</v>
          </cell>
          <cell r="H332">
            <v>1680</v>
          </cell>
          <cell r="I332" t="str">
            <v>D</v>
          </cell>
        </row>
        <row r="333">
          <cell r="A333">
            <v>1061</v>
          </cell>
          <cell r="B333" t="str">
            <v>1.2.03.040</v>
          </cell>
          <cell r="C333" t="str">
            <v xml:space="preserve">( - ) DEPRECIACAO </v>
          </cell>
          <cell r="D333">
            <v>-3599540.42</v>
          </cell>
          <cell r="E333">
            <v>1596.1</v>
          </cell>
          <cell r="F333">
            <v>36574.53</v>
          </cell>
          <cell r="G333">
            <v>-34978.43</v>
          </cell>
          <cell r="H333">
            <v>-3634518.85</v>
          </cell>
          <cell r="I333" t="str">
            <v>C</v>
          </cell>
        </row>
        <row r="334">
          <cell r="A334">
            <v>1070</v>
          </cell>
          <cell r="B334" t="str">
            <v>1.2.03.040.0001</v>
          </cell>
          <cell r="C334" t="str">
            <v xml:space="preserve">(-) DEP ACUM INSTALACOES </v>
          </cell>
          <cell r="D334">
            <v>-174004.48000000001</v>
          </cell>
          <cell r="E334">
            <v>0</v>
          </cell>
          <cell r="F334">
            <v>1970.07</v>
          </cell>
          <cell r="G334">
            <v>-1970.07</v>
          </cell>
          <cell r="H334">
            <v>-175974.55</v>
          </cell>
          <cell r="I334" t="str">
            <v>C</v>
          </cell>
        </row>
        <row r="335">
          <cell r="A335">
            <v>1157</v>
          </cell>
          <cell r="B335" t="str">
            <v>1.2.03.040.0002</v>
          </cell>
          <cell r="C335" t="str">
            <v xml:space="preserve">(-) DEP ACUM  MAQUINAS E  </v>
          </cell>
          <cell r="D335">
            <v>-1022839.45</v>
          </cell>
          <cell r="E335">
            <v>1270</v>
          </cell>
          <cell r="F335">
            <v>11236.06</v>
          </cell>
          <cell r="G335">
            <v>-9966.06</v>
          </cell>
          <cell r="H335">
            <v>-1032805.51</v>
          </cell>
          <cell r="I335" t="str">
            <v>C</v>
          </cell>
        </row>
        <row r="336">
          <cell r="A336">
            <v>1234</v>
          </cell>
          <cell r="B336" t="str">
            <v>1.2.03.040.0003</v>
          </cell>
          <cell r="C336" t="str">
            <v xml:space="preserve">(-) DEP ACUM EQPTOS PROC </v>
          </cell>
          <cell r="D336">
            <v>-1199639.76</v>
          </cell>
          <cell r="E336">
            <v>0</v>
          </cell>
          <cell r="F336">
            <v>14010.23</v>
          </cell>
          <cell r="G336">
            <v>-14010.23</v>
          </cell>
          <cell r="H336">
            <v>-1213649.99</v>
          </cell>
          <cell r="I336" t="str">
            <v>C</v>
          </cell>
        </row>
        <row r="337">
          <cell r="A337">
            <v>1288</v>
          </cell>
          <cell r="B337" t="str">
            <v>1.2.03.040.0004</v>
          </cell>
          <cell r="C337" t="str">
            <v xml:space="preserve">(-) DEP ACUM MOVEIS E </v>
          </cell>
          <cell r="D337">
            <v>-975196.25</v>
          </cell>
          <cell r="E337">
            <v>326.10000000000002</v>
          </cell>
          <cell r="F337">
            <v>7904.65</v>
          </cell>
          <cell r="G337">
            <v>-7578.55</v>
          </cell>
          <cell r="H337">
            <v>-982774.8</v>
          </cell>
          <cell r="I337" t="str">
            <v>C</v>
          </cell>
        </row>
        <row r="338">
          <cell r="A338">
            <v>1312</v>
          </cell>
          <cell r="B338" t="str">
            <v>1.2.03.040.0005</v>
          </cell>
          <cell r="C338" t="str">
            <v>(-) DEP ACUM VEICULOS NH</v>
          </cell>
          <cell r="D338">
            <v>-153997.01999999999</v>
          </cell>
          <cell r="E338">
            <v>0</v>
          </cell>
          <cell r="F338">
            <v>1232.5</v>
          </cell>
          <cell r="G338">
            <v>-1232.5</v>
          </cell>
          <cell r="H338">
            <v>-155229.51999999999</v>
          </cell>
          <cell r="I338" t="str">
            <v>C</v>
          </cell>
        </row>
        <row r="339">
          <cell r="A339">
            <v>28074</v>
          </cell>
          <cell r="B339" t="str">
            <v>1.2.03.040.0006</v>
          </cell>
          <cell r="C339" t="str">
            <v xml:space="preserve">(-) DEP ACUM EQUIPAMENTOS </v>
          </cell>
          <cell r="D339">
            <v>-9275.7000000000007</v>
          </cell>
          <cell r="E339">
            <v>0</v>
          </cell>
          <cell r="F339">
            <v>0</v>
          </cell>
          <cell r="G339">
            <v>0</v>
          </cell>
          <cell r="H339">
            <v>-9275.7000000000007</v>
          </cell>
          <cell r="I339" t="str">
            <v>C</v>
          </cell>
        </row>
        <row r="340">
          <cell r="A340">
            <v>28071</v>
          </cell>
          <cell r="B340" t="str">
            <v>1.2.03.040.0007</v>
          </cell>
          <cell r="C340" t="str">
            <v xml:space="preserve">(-) DEP ACUM EQUIPAMENTOS </v>
          </cell>
          <cell r="D340">
            <v>-64587.76</v>
          </cell>
          <cell r="E340">
            <v>0</v>
          </cell>
          <cell r="F340">
            <v>221.02</v>
          </cell>
          <cell r="G340">
            <v>-221.02</v>
          </cell>
          <cell r="H340">
            <v>-64808.78</v>
          </cell>
          <cell r="I340" t="str">
            <v>C</v>
          </cell>
        </row>
        <row r="341">
          <cell r="A341">
            <v>34346</v>
          </cell>
          <cell r="B341" t="str">
            <v>1.2.03.050</v>
          </cell>
          <cell r="C341" t="str">
            <v xml:space="preserve">IMOBILIZACOES EM </v>
          </cell>
          <cell r="D341">
            <v>28555106.050000001</v>
          </cell>
          <cell r="E341">
            <v>2073194.91</v>
          </cell>
          <cell r="F341">
            <v>547485.23</v>
          </cell>
          <cell r="G341">
            <v>1525709.68</v>
          </cell>
          <cell r="H341">
            <v>30080815.73</v>
          </cell>
          <cell r="I341" t="str">
            <v>D</v>
          </cell>
        </row>
        <row r="342">
          <cell r="A342">
            <v>12874</v>
          </cell>
          <cell r="B342" t="str">
            <v>1.2.03.050.0001</v>
          </cell>
          <cell r="C342" t="str">
            <v>AMPLIACOES E REFORMA</v>
          </cell>
          <cell r="D342">
            <v>11672217.050000001</v>
          </cell>
          <cell r="E342">
            <v>43500</v>
          </cell>
          <cell r="F342">
            <v>0</v>
          </cell>
          <cell r="G342">
            <v>43500</v>
          </cell>
          <cell r="H342">
            <v>11715717.050000001</v>
          </cell>
          <cell r="I342" t="str">
            <v>D</v>
          </cell>
        </row>
        <row r="343">
          <cell r="A343">
            <v>33283</v>
          </cell>
          <cell r="B343" t="str">
            <v>1.2.03.050.0002</v>
          </cell>
          <cell r="C343" t="str">
            <v>OBRAS MATERNIDADE</v>
          </cell>
          <cell r="D343">
            <v>2330023.71</v>
          </cell>
          <cell r="E343">
            <v>0</v>
          </cell>
          <cell r="F343">
            <v>0</v>
          </cell>
          <cell r="G343">
            <v>0</v>
          </cell>
          <cell r="H343">
            <v>2330023.71</v>
          </cell>
          <cell r="I343" t="str">
            <v>D</v>
          </cell>
        </row>
        <row r="344">
          <cell r="A344">
            <v>37733</v>
          </cell>
          <cell r="B344" t="str">
            <v>1.2.03.050.0003</v>
          </cell>
          <cell r="C344" t="str">
            <v>OBRAS UTI CORONARIANA</v>
          </cell>
          <cell r="D344">
            <v>2302261.5699999998</v>
          </cell>
          <cell r="E344">
            <v>0</v>
          </cell>
          <cell r="F344">
            <v>0</v>
          </cell>
          <cell r="G344">
            <v>0</v>
          </cell>
          <cell r="H344">
            <v>2302261.5699999998</v>
          </cell>
          <cell r="I344" t="str">
            <v>D</v>
          </cell>
        </row>
        <row r="345">
          <cell r="A345">
            <v>33678</v>
          </cell>
          <cell r="B345" t="str">
            <v>1.2.03.050.0004</v>
          </cell>
          <cell r="C345" t="str">
            <v>OBRAS UTI ADULTO</v>
          </cell>
          <cell r="D345">
            <v>347851.02</v>
          </cell>
          <cell r="E345">
            <v>0</v>
          </cell>
          <cell r="F345">
            <v>0</v>
          </cell>
          <cell r="G345">
            <v>0</v>
          </cell>
          <cell r="H345">
            <v>347851.02</v>
          </cell>
          <cell r="I345" t="str">
            <v>D</v>
          </cell>
        </row>
        <row r="346">
          <cell r="A346">
            <v>51903</v>
          </cell>
          <cell r="B346" t="str">
            <v>1.2.03.050.0005</v>
          </cell>
          <cell r="C346" t="str">
            <v xml:space="preserve">CUSTO DE AQUISICAO OBRAS </v>
          </cell>
          <cell r="D346">
            <v>97157.5</v>
          </cell>
          <cell r="E346">
            <v>0</v>
          </cell>
          <cell r="F346">
            <v>0</v>
          </cell>
          <cell r="G346">
            <v>0</v>
          </cell>
          <cell r="H346">
            <v>97157.5</v>
          </cell>
          <cell r="I346" t="str">
            <v>D</v>
          </cell>
        </row>
        <row r="347">
          <cell r="A347">
            <v>54758</v>
          </cell>
          <cell r="B347" t="str">
            <v>1.2.03.050.0006</v>
          </cell>
          <cell r="C347" t="str">
            <v>OBRAS ONCOLOGIA</v>
          </cell>
          <cell r="D347">
            <v>240313.31</v>
          </cell>
          <cell r="E347">
            <v>0</v>
          </cell>
          <cell r="F347">
            <v>0</v>
          </cell>
          <cell r="G347">
            <v>0</v>
          </cell>
          <cell r="H347">
            <v>240313.31</v>
          </cell>
          <cell r="I347" t="str">
            <v>D</v>
          </cell>
        </row>
        <row r="348">
          <cell r="A348">
            <v>54894</v>
          </cell>
          <cell r="B348" t="str">
            <v>1.2.03.050.0007</v>
          </cell>
          <cell r="C348" t="str">
            <v>OBRAS BNDES</v>
          </cell>
          <cell r="D348">
            <v>11565281.890000001</v>
          </cell>
          <cell r="E348">
            <v>2029694.91</v>
          </cell>
          <cell r="F348">
            <v>547485.23</v>
          </cell>
          <cell r="G348">
            <v>1482209.68</v>
          </cell>
          <cell r="H348">
            <v>13047491.57</v>
          </cell>
          <cell r="I348" t="str">
            <v>D</v>
          </cell>
        </row>
        <row r="349">
          <cell r="A349">
            <v>34338</v>
          </cell>
          <cell r="B349" t="str">
            <v>1.2.03.060</v>
          </cell>
          <cell r="C349" t="str">
            <v xml:space="preserve">IMOBILIZACOES EM </v>
          </cell>
          <cell r="D349">
            <v>2471718.65</v>
          </cell>
          <cell r="E349">
            <v>0</v>
          </cell>
          <cell r="F349">
            <v>0</v>
          </cell>
          <cell r="G349">
            <v>0</v>
          </cell>
          <cell r="H349">
            <v>2471718.65</v>
          </cell>
          <cell r="I349" t="str">
            <v>D</v>
          </cell>
        </row>
        <row r="350">
          <cell r="A350">
            <v>1426</v>
          </cell>
          <cell r="B350" t="str">
            <v>1.2.03.060.0001</v>
          </cell>
          <cell r="C350" t="str">
            <v xml:space="preserve">BENFEITORIAS EM IMOVEIS </v>
          </cell>
          <cell r="D350">
            <v>2471718.65</v>
          </cell>
          <cell r="E350">
            <v>0</v>
          </cell>
          <cell r="F350">
            <v>0</v>
          </cell>
          <cell r="G350">
            <v>0</v>
          </cell>
          <cell r="H350">
            <v>2471718.65</v>
          </cell>
          <cell r="I350" t="str">
            <v>D</v>
          </cell>
        </row>
        <row r="351">
          <cell r="A351">
            <v>38404</v>
          </cell>
          <cell r="B351" t="str">
            <v>1.2.03.070</v>
          </cell>
          <cell r="C351" t="str">
            <v xml:space="preserve">(-) DEPRECIACAO AMORT </v>
          </cell>
          <cell r="D351">
            <v>-685346.29</v>
          </cell>
          <cell r="E351">
            <v>0</v>
          </cell>
          <cell r="F351">
            <v>6751.84</v>
          </cell>
          <cell r="G351">
            <v>-6751.84</v>
          </cell>
          <cell r="H351">
            <v>-692098.13</v>
          </cell>
          <cell r="I351" t="str">
            <v>C</v>
          </cell>
        </row>
        <row r="352">
          <cell r="A352">
            <v>1454</v>
          </cell>
          <cell r="B352" t="str">
            <v>1.2.03.070.0001</v>
          </cell>
          <cell r="C352" t="str">
            <v xml:space="preserve">(-) AMORTIZACAO </v>
          </cell>
          <cell r="D352">
            <v>-685346.29</v>
          </cell>
          <cell r="E352">
            <v>0</v>
          </cell>
          <cell r="F352">
            <v>6751.84</v>
          </cell>
          <cell r="G352">
            <v>-6751.84</v>
          </cell>
          <cell r="H352">
            <v>-692098.13</v>
          </cell>
          <cell r="I352" t="str">
            <v>C</v>
          </cell>
        </row>
        <row r="353">
          <cell r="A353">
            <v>53694</v>
          </cell>
          <cell r="B353" t="str">
            <v>1.2.03.080</v>
          </cell>
          <cell r="C353" t="str">
            <v xml:space="preserve">IMOBILIZADO COM </v>
          </cell>
          <cell r="D353">
            <v>4892891.47</v>
          </cell>
          <cell r="E353">
            <v>0</v>
          </cell>
          <cell r="F353">
            <v>0</v>
          </cell>
          <cell r="G353">
            <v>0</v>
          </cell>
          <cell r="H353">
            <v>4892891.47</v>
          </cell>
          <cell r="I353" t="str">
            <v>D</v>
          </cell>
        </row>
        <row r="354">
          <cell r="A354">
            <v>51466</v>
          </cell>
          <cell r="B354" t="str">
            <v>1.2.03.080.0001</v>
          </cell>
          <cell r="C354" t="str">
            <v xml:space="preserve">MOVEIS E UTENSILIOS COM </v>
          </cell>
          <cell r="D354">
            <v>207331.20000000001</v>
          </cell>
          <cell r="E354">
            <v>0</v>
          </cell>
          <cell r="F354">
            <v>0</v>
          </cell>
          <cell r="G354">
            <v>0</v>
          </cell>
          <cell r="H354">
            <v>207331.20000000001</v>
          </cell>
          <cell r="I354" t="str">
            <v>D</v>
          </cell>
        </row>
        <row r="355">
          <cell r="A355">
            <v>51258</v>
          </cell>
          <cell r="B355" t="str">
            <v>1.2.03.080.0002</v>
          </cell>
          <cell r="C355" t="str">
            <v xml:space="preserve">CUSTO DE AQUISICAO COM </v>
          </cell>
          <cell r="D355">
            <v>4685560.2699999996</v>
          </cell>
          <cell r="E355">
            <v>0</v>
          </cell>
          <cell r="F355">
            <v>0</v>
          </cell>
          <cell r="G355">
            <v>0</v>
          </cell>
          <cell r="H355">
            <v>4685560.2699999996</v>
          </cell>
          <cell r="I355" t="str">
            <v>D</v>
          </cell>
        </row>
        <row r="356">
          <cell r="A356">
            <v>53695</v>
          </cell>
          <cell r="B356" t="str">
            <v>1.2.03.090</v>
          </cell>
          <cell r="C356" t="str">
            <v xml:space="preserve">(-) DEPRECIACAO </v>
          </cell>
          <cell r="D356">
            <v>-103812.89</v>
          </cell>
          <cell r="E356">
            <v>0</v>
          </cell>
          <cell r="F356">
            <v>1727.76</v>
          </cell>
          <cell r="G356">
            <v>-1727.76</v>
          </cell>
          <cell r="H356">
            <v>-105540.65</v>
          </cell>
          <cell r="I356" t="str">
            <v>C</v>
          </cell>
        </row>
        <row r="357">
          <cell r="A357">
            <v>51467</v>
          </cell>
          <cell r="B357" t="str">
            <v>1.2.03.090.0001</v>
          </cell>
          <cell r="C357" t="str">
            <v xml:space="preserve">(-) DEP ACUM MOVEIS E </v>
          </cell>
          <cell r="D357">
            <v>-103719.89</v>
          </cell>
          <cell r="E357">
            <v>0</v>
          </cell>
          <cell r="F357">
            <v>1727.76</v>
          </cell>
          <cell r="G357">
            <v>-1727.76</v>
          </cell>
          <cell r="H357">
            <v>-105447.65</v>
          </cell>
          <cell r="I357" t="str">
            <v>C</v>
          </cell>
        </row>
        <row r="358">
          <cell r="A358">
            <v>1188</v>
          </cell>
          <cell r="B358" t="str">
            <v>1.2.03.090.0002</v>
          </cell>
          <cell r="C358" t="str">
            <v xml:space="preserve">DEPREC.ACUM.DO CUSTO </v>
          </cell>
          <cell r="D358">
            <v>-93</v>
          </cell>
          <cell r="E358">
            <v>0</v>
          </cell>
          <cell r="F358">
            <v>0</v>
          </cell>
          <cell r="G358">
            <v>0</v>
          </cell>
          <cell r="H358">
            <v>-93</v>
          </cell>
          <cell r="I358" t="str">
            <v>C</v>
          </cell>
        </row>
        <row r="359">
          <cell r="A359">
            <v>34498</v>
          </cell>
          <cell r="B359" t="str">
            <v>1.2.04</v>
          </cell>
          <cell r="C359" t="str">
            <v>ATIVO INTAGIVEL</v>
          </cell>
          <cell r="D359">
            <v>1883406.07</v>
          </cell>
          <cell r="E359">
            <v>0</v>
          </cell>
          <cell r="F359">
            <v>33.29</v>
          </cell>
          <cell r="G359">
            <v>-33.29</v>
          </cell>
          <cell r="H359">
            <v>1883372.78</v>
          </cell>
          <cell r="I359" t="str">
            <v>D</v>
          </cell>
        </row>
        <row r="360">
          <cell r="A360">
            <v>44846</v>
          </cell>
          <cell r="B360" t="str">
            <v>1.2.04.010</v>
          </cell>
          <cell r="C360" t="str">
            <v xml:space="preserve">ATIVO INTAGIVEL </v>
          </cell>
          <cell r="D360">
            <v>2844376.35</v>
          </cell>
          <cell r="E360">
            <v>0</v>
          </cell>
          <cell r="F360">
            <v>0</v>
          </cell>
          <cell r="G360">
            <v>0</v>
          </cell>
          <cell r="H360">
            <v>2844376.35</v>
          </cell>
          <cell r="I360" t="str">
            <v>D</v>
          </cell>
        </row>
        <row r="361">
          <cell r="A361">
            <v>1181</v>
          </cell>
          <cell r="B361" t="str">
            <v>1.2.04.010.0001</v>
          </cell>
          <cell r="C361" t="str">
            <v xml:space="preserve">SISTEMA DE COMPUTACAO </v>
          </cell>
          <cell r="D361">
            <v>2841047.12</v>
          </cell>
          <cell r="E361">
            <v>0</v>
          </cell>
          <cell r="F361">
            <v>0</v>
          </cell>
          <cell r="G361">
            <v>0</v>
          </cell>
          <cell r="H361">
            <v>2841047.12</v>
          </cell>
          <cell r="I361" t="str">
            <v>D</v>
          </cell>
        </row>
        <row r="362">
          <cell r="A362">
            <v>1435</v>
          </cell>
          <cell r="B362" t="str">
            <v>1.2.04.010.0002</v>
          </cell>
          <cell r="C362" t="str">
            <v>MARCAS COMERCIAIS</v>
          </cell>
          <cell r="D362">
            <v>3329.23</v>
          </cell>
          <cell r="E362">
            <v>0</v>
          </cell>
          <cell r="F362">
            <v>0</v>
          </cell>
          <cell r="G362">
            <v>0</v>
          </cell>
          <cell r="H362">
            <v>3329.23</v>
          </cell>
          <cell r="I362" t="str">
            <v>D</v>
          </cell>
        </row>
        <row r="363">
          <cell r="A363">
            <v>40483</v>
          </cell>
          <cell r="B363" t="str">
            <v>1.2.04.020</v>
          </cell>
          <cell r="C363" t="str">
            <v xml:space="preserve">( - ) AMORTIZACAO DO </v>
          </cell>
          <cell r="D363">
            <v>-927849.04</v>
          </cell>
          <cell r="E363">
            <v>0</v>
          </cell>
          <cell r="F363">
            <v>33.29</v>
          </cell>
          <cell r="G363">
            <v>-33.29</v>
          </cell>
          <cell r="H363">
            <v>-927882.33</v>
          </cell>
          <cell r="I363" t="str">
            <v>C</v>
          </cell>
        </row>
        <row r="364">
          <cell r="A364">
            <v>42749</v>
          </cell>
          <cell r="B364" t="str">
            <v>1.2.04.020.0001</v>
          </cell>
          <cell r="C364" t="str">
            <v xml:space="preserve">( - ) AMORTIZACAO DO </v>
          </cell>
          <cell r="D364">
            <v>-927849.04</v>
          </cell>
          <cell r="E364">
            <v>0</v>
          </cell>
          <cell r="F364">
            <v>33.29</v>
          </cell>
          <cell r="G364">
            <v>-33.29</v>
          </cell>
          <cell r="H364">
            <v>-927882.33</v>
          </cell>
          <cell r="I364" t="str">
            <v>C</v>
          </cell>
        </row>
        <row r="365">
          <cell r="A365">
            <v>34523</v>
          </cell>
          <cell r="B365" t="str">
            <v>1.2.04.030</v>
          </cell>
          <cell r="C365" t="str">
            <v xml:space="preserve">ATIVO INTANGIVEL NAO </v>
          </cell>
          <cell r="D365">
            <v>158445</v>
          </cell>
          <cell r="E365">
            <v>0</v>
          </cell>
          <cell r="F365">
            <v>0</v>
          </cell>
          <cell r="G365">
            <v>0</v>
          </cell>
          <cell r="H365">
            <v>158445</v>
          </cell>
          <cell r="I365" t="str">
            <v>D</v>
          </cell>
        </row>
        <row r="366">
          <cell r="A366">
            <v>1223</v>
          </cell>
          <cell r="B366" t="str">
            <v>1.2.04.030.0001</v>
          </cell>
          <cell r="C366" t="str">
            <v xml:space="preserve">SISTEMA DE COMPUTACAO </v>
          </cell>
          <cell r="D366">
            <v>158445</v>
          </cell>
          <cell r="E366">
            <v>0</v>
          </cell>
          <cell r="F366">
            <v>0</v>
          </cell>
          <cell r="G366">
            <v>0</v>
          </cell>
          <cell r="H366">
            <v>158445</v>
          </cell>
          <cell r="I366" t="str">
            <v>D</v>
          </cell>
        </row>
        <row r="367">
          <cell r="A367">
            <v>40497</v>
          </cell>
          <cell r="B367" t="str">
            <v>1.2.04.040</v>
          </cell>
          <cell r="C367" t="str">
            <v xml:space="preserve">( - ) AMORTIZACAO SISTEMA </v>
          </cell>
          <cell r="D367">
            <v>-191566.24</v>
          </cell>
          <cell r="E367">
            <v>0</v>
          </cell>
          <cell r="F367">
            <v>0</v>
          </cell>
          <cell r="G367">
            <v>0</v>
          </cell>
          <cell r="H367">
            <v>-191566.24</v>
          </cell>
          <cell r="I367" t="str">
            <v>C</v>
          </cell>
        </row>
        <row r="368">
          <cell r="A368">
            <v>42745</v>
          </cell>
          <cell r="B368" t="str">
            <v>1.2.04.040.0001</v>
          </cell>
          <cell r="C368" t="str">
            <v xml:space="preserve">( - ) AMORTIZACAO SISTEMA </v>
          </cell>
          <cell r="D368">
            <v>-191566.24</v>
          </cell>
          <cell r="E368">
            <v>0</v>
          </cell>
          <cell r="F368">
            <v>0</v>
          </cell>
          <cell r="G368">
            <v>0</v>
          </cell>
          <cell r="H368">
            <v>-191566.24</v>
          </cell>
          <cell r="I368" t="str">
            <v>C</v>
          </cell>
        </row>
        <row r="369">
          <cell r="A369">
            <v>1578</v>
          </cell>
          <cell r="B369">
            <v>2</v>
          </cell>
          <cell r="C369" t="str">
            <v>PASSIVO</v>
          </cell>
          <cell r="D369">
            <v>171731489.41</v>
          </cell>
          <cell r="E369">
            <v>60278799.840000004</v>
          </cell>
          <cell r="F369">
            <v>57191555.990000002</v>
          </cell>
          <cell r="G369">
            <v>-3087243.85</v>
          </cell>
          <cell r="H369">
            <v>168644245.56</v>
          </cell>
          <cell r="I369" t="str">
            <v>C</v>
          </cell>
        </row>
        <row r="370">
          <cell r="A370">
            <v>1579</v>
          </cell>
          <cell r="B370" t="str">
            <v>2.1</v>
          </cell>
          <cell r="C370" t="str">
            <v>PASSIVO CIRCULANTE</v>
          </cell>
          <cell r="D370">
            <v>47710267.590000004</v>
          </cell>
          <cell r="E370">
            <v>60201593.670000002</v>
          </cell>
          <cell r="F370">
            <v>57182077.710000001</v>
          </cell>
          <cell r="G370">
            <v>-3019515.96</v>
          </cell>
          <cell r="H370">
            <v>44690751.630000003</v>
          </cell>
          <cell r="I370" t="str">
            <v>C</v>
          </cell>
        </row>
        <row r="371">
          <cell r="A371">
            <v>1899</v>
          </cell>
          <cell r="B371" t="str">
            <v>2.1.01</v>
          </cell>
          <cell r="C371" t="str">
            <v>PRESTADORES</v>
          </cell>
          <cell r="D371">
            <v>9833093.1300000008</v>
          </cell>
          <cell r="E371">
            <v>8337348.0099999998</v>
          </cell>
          <cell r="F371">
            <v>8198356.5800000001</v>
          </cell>
          <cell r="G371">
            <v>-138991.43</v>
          </cell>
          <cell r="H371">
            <v>9694101.6999999993</v>
          </cell>
          <cell r="I371" t="str">
            <v>C</v>
          </cell>
        </row>
        <row r="372">
          <cell r="A372">
            <v>1900</v>
          </cell>
          <cell r="B372" t="str">
            <v>2.1.01.010</v>
          </cell>
          <cell r="C372" t="str">
            <v>PRESTADORES MEDICOS PJ</v>
          </cell>
          <cell r="D372">
            <v>6276664.7300000004</v>
          </cell>
          <cell r="E372">
            <v>6246482.2800000003</v>
          </cell>
          <cell r="F372">
            <v>6353600.0099999998</v>
          </cell>
          <cell r="G372">
            <v>107117.73</v>
          </cell>
          <cell r="H372">
            <v>6383782.46</v>
          </cell>
          <cell r="I372" t="str">
            <v>C</v>
          </cell>
        </row>
        <row r="373">
          <cell r="A373">
            <v>52920</v>
          </cell>
          <cell r="B373" t="str">
            <v>2.1.01.010.0001</v>
          </cell>
          <cell r="C373" t="str">
            <v xml:space="preserve">AEK PREST DE SERV EM </v>
          </cell>
          <cell r="D373">
            <v>1008.77</v>
          </cell>
          <cell r="E373">
            <v>1008.77</v>
          </cell>
          <cell r="F373">
            <v>917.84</v>
          </cell>
          <cell r="G373">
            <v>-90.93</v>
          </cell>
          <cell r="H373">
            <v>917.84</v>
          </cell>
          <cell r="I373" t="str">
            <v>C</v>
          </cell>
        </row>
        <row r="374">
          <cell r="A374">
            <v>37314</v>
          </cell>
          <cell r="B374" t="str">
            <v>2.1.01.010.0002</v>
          </cell>
          <cell r="C374" t="str">
            <v xml:space="preserve">AR ONCOLOGIA SERVICOS </v>
          </cell>
          <cell r="D374">
            <v>16770</v>
          </cell>
          <cell r="E374">
            <v>23079.46</v>
          </cell>
          <cell r="F374">
            <v>23399.46</v>
          </cell>
          <cell r="G374">
            <v>320</v>
          </cell>
          <cell r="H374">
            <v>17090</v>
          </cell>
          <cell r="I374" t="str">
            <v>C</v>
          </cell>
        </row>
        <row r="375">
          <cell r="A375">
            <v>1910</v>
          </cell>
          <cell r="B375" t="str">
            <v>2.1.01.010.0004</v>
          </cell>
          <cell r="C375" t="str">
            <v xml:space="preserve">ACLIMED SERV MEDICOS </v>
          </cell>
          <cell r="D375">
            <v>17000.939999999999</v>
          </cell>
          <cell r="E375">
            <v>17000.939999999999</v>
          </cell>
          <cell r="F375">
            <v>11769.88</v>
          </cell>
          <cell r="G375">
            <v>-5231.0600000000004</v>
          </cell>
          <cell r="H375">
            <v>11769.88</v>
          </cell>
          <cell r="I375" t="str">
            <v>C</v>
          </cell>
        </row>
        <row r="376">
          <cell r="A376">
            <v>37739</v>
          </cell>
          <cell r="B376" t="str">
            <v>2.1.01.010.0005</v>
          </cell>
          <cell r="C376" t="str">
            <v xml:space="preserve">ACLP SERVICOS MEDICOS </v>
          </cell>
          <cell r="D376">
            <v>0</v>
          </cell>
          <cell r="E376">
            <v>0</v>
          </cell>
          <cell r="F376">
            <v>552</v>
          </cell>
          <cell r="G376">
            <v>552</v>
          </cell>
          <cell r="H376">
            <v>552</v>
          </cell>
          <cell r="I376" t="str">
            <v>C</v>
          </cell>
        </row>
        <row r="377">
          <cell r="A377">
            <v>51848</v>
          </cell>
          <cell r="B377" t="str">
            <v>2.1.01.010.0007</v>
          </cell>
          <cell r="C377" t="str">
            <v xml:space="preserve">AFFIDARE MEDICINA E SAUDE </v>
          </cell>
          <cell r="D377">
            <v>8195.89</v>
          </cell>
          <cell r="E377">
            <v>7631.51</v>
          </cell>
          <cell r="F377">
            <v>7309.27</v>
          </cell>
          <cell r="G377">
            <v>-322.24</v>
          </cell>
          <cell r="H377">
            <v>7873.65</v>
          </cell>
          <cell r="I377" t="str">
            <v>C</v>
          </cell>
        </row>
        <row r="378">
          <cell r="A378">
            <v>1913</v>
          </cell>
          <cell r="B378" t="str">
            <v>2.1.01.010.0010</v>
          </cell>
          <cell r="C378" t="str">
            <v xml:space="preserve">ALVARENGA E CARVALHO </v>
          </cell>
          <cell r="D378">
            <v>5843.03</v>
          </cell>
          <cell r="E378">
            <v>4777.75</v>
          </cell>
          <cell r="F378">
            <v>6147.15</v>
          </cell>
          <cell r="G378">
            <v>1369.4</v>
          </cell>
          <cell r="H378">
            <v>7212.43</v>
          </cell>
          <cell r="I378" t="str">
            <v>C</v>
          </cell>
        </row>
        <row r="379">
          <cell r="A379">
            <v>51787</v>
          </cell>
          <cell r="B379" t="str">
            <v>2.1.01.010.0011</v>
          </cell>
          <cell r="C379" t="str">
            <v xml:space="preserve">ALVES E ALVES SERV </v>
          </cell>
          <cell r="D379">
            <v>0</v>
          </cell>
          <cell r="E379">
            <v>2924.82</v>
          </cell>
          <cell r="F379">
            <v>2924.82</v>
          </cell>
          <cell r="G379">
            <v>0</v>
          </cell>
          <cell r="H379">
            <v>0</v>
          </cell>
          <cell r="I379" t="str">
            <v>C</v>
          </cell>
        </row>
        <row r="380">
          <cell r="A380">
            <v>51937</v>
          </cell>
          <cell r="B380" t="str">
            <v>2.1.01.010.0013</v>
          </cell>
          <cell r="C380" t="str">
            <v xml:space="preserve">ANCORA SERVICOS MEDICOS </v>
          </cell>
          <cell r="D380">
            <v>12000.9</v>
          </cell>
          <cell r="E380">
            <v>9268.85</v>
          </cell>
          <cell r="F380">
            <v>7789.25</v>
          </cell>
          <cell r="G380">
            <v>-1479.6</v>
          </cell>
          <cell r="H380">
            <v>10521.3</v>
          </cell>
          <cell r="I380" t="str">
            <v>C</v>
          </cell>
        </row>
        <row r="381">
          <cell r="A381">
            <v>51473</v>
          </cell>
          <cell r="B381" t="str">
            <v>2.1.01.010.0014</v>
          </cell>
          <cell r="C381" t="str">
            <v>ANDREZA CRISTINA PINTO ME</v>
          </cell>
          <cell r="D381">
            <v>0</v>
          </cell>
          <cell r="E381">
            <v>2659.14</v>
          </cell>
          <cell r="F381">
            <v>2659.14</v>
          </cell>
          <cell r="G381">
            <v>0</v>
          </cell>
          <cell r="H381">
            <v>0</v>
          </cell>
          <cell r="I381" t="str">
            <v>C</v>
          </cell>
        </row>
        <row r="382">
          <cell r="A382">
            <v>1916</v>
          </cell>
          <cell r="B382" t="str">
            <v>2.1.01.010.0015</v>
          </cell>
          <cell r="C382" t="str">
            <v>ANESTEC LTDA</v>
          </cell>
          <cell r="D382">
            <v>23807</v>
          </cell>
          <cell r="E382">
            <v>136494.14000000001</v>
          </cell>
          <cell r="F382">
            <v>139068.14000000001</v>
          </cell>
          <cell r="G382">
            <v>2574</v>
          </cell>
          <cell r="H382">
            <v>26381</v>
          </cell>
          <cell r="I382" t="str">
            <v>C</v>
          </cell>
        </row>
        <row r="383">
          <cell r="A383">
            <v>33007</v>
          </cell>
          <cell r="B383" t="str">
            <v>2.1.01.010.0017</v>
          </cell>
          <cell r="C383" t="str">
            <v>ANGIOCLIN SC LTDA</v>
          </cell>
          <cell r="D383">
            <v>1091.21</v>
          </cell>
          <cell r="E383">
            <v>0</v>
          </cell>
          <cell r="F383">
            <v>2599.96</v>
          </cell>
          <cell r="G383">
            <v>2599.96</v>
          </cell>
          <cell r="H383">
            <v>3691.17</v>
          </cell>
          <cell r="I383" t="str">
            <v>C</v>
          </cell>
        </row>
        <row r="384">
          <cell r="A384">
            <v>1919</v>
          </cell>
          <cell r="B384" t="str">
            <v>2.1.01.010.0018</v>
          </cell>
          <cell r="C384" t="str">
            <v xml:space="preserve">ANUTE E COSTA SERVICOS </v>
          </cell>
          <cell r="D384">
            <v>341.73</v>
          </cell>
          <cell r="E384">
            <v>0</v>
          </cell>
          <cell r="F384">
            <v>0</v>
          </cell>
          <cell r="G384">
            <v>0</v>
          </cell>
          <cell r="H384">
            <v>341.73</v>
          </cell>
          <cell r="I384" t="str">
            <v>C</v>
          </cell>
        </row>
        <row r="385">
          <cell r="A385">
            <v>51488</v>
          </cell>
          <cell r="B385" t="str">
            <v>2.1.01.010.0020</v>
          </cell>
          <cell r="C385" t="str">
            <v>AQUARIUS CLINICA MEDICA</v>
          </cell>
          <cell r="D385">
            <v>11550.11</v>
          </cell>
          <cell r="E385">
            <v>11550.11</v>
          </cell>
          <cell r="F385">
            <v>12395.24</v>
          </cell>
          <cell r="G385">
            <v>845.13</v>
          </cell>
          <cell r="H385">
            <v>12395.24</v>
          </cell>
          <cell r="I385" t="str">
            <v>C</v>
          </cell>
        </row>
        <row r="386">
          <cell r="A386">
            <v>37295</v>
          </cell>
          <cell r="B386" t="str">
            <v>2.1.01.010.0021</v>
          </cell>
          <cell r="C386" t="str">
            <v xml:space="preserve">ARTMEDICA SERVICOS </v>
          </cell>
          <cell r="D386">
            <v>31600</v>
          </cell>
          <cell r="E386">
            <v>31600</v>
          </cell>
          <cell r="F386">
            <v>38101.18</v>
          </cell>
          <cell r="G386">
            <v>6501.18</v>
          </cell>
          <cell r="H386">
            <v>38101.18</v>
          </cell>
          <cell r="I386" t="str">
            <v>C</v>
          </cell>
        </row>
        <row r="387">
          <cell r="A387">
            <v>1920</v>
          </cell>
          <cell r="B387" t="str">
            <v>2.1.01.010.0023</v>
          </cell>
          <cell r="C387" t="str">
            <v xml:space="preserve">ASSISTENCIA PEDIATRICA DE </v>
          </cell>
          <cell r="D387">
            <v>946.37</v>
          </cell>
          <cell r="E387">
            <v>946.37</v>
          </cell>
          <cell r="F387">
            <v>948.36</v>
          </cell>
          <cell r="G387">
            <v>1.99</v>
          </cell>
          <cell r="H387">
            <v>948.36</v>
          </cell>
          <cell r="I387" t="str">
            <v>C</v>
          </cell>
        </row>
        <row r="388">
          <cell r="A388">
            <v>52767</v>
          </cell>
          <cell r="B388" t="str">
            <v>2.1.01.010.0028</v>
          </cell>
          <cell r="C388" t="str">
            <v xml:space="preserve">BET SERVICOS MEDICOS SS </v>
          </cell>
          <cell r="D388">
            <v>1413.3</v>
          </cell>
          <cell r="E388">
            <v>0</v>
          </cell>
          <cell r="F388">
            <v>0</v>
          </cell>
          <cell r="G388">
            <v>0</v>
          </cell>
          <cell r="H388">
            <v>1413.3</v>
          </cell>
          <cell r="I388" t="str">
            <v>C</v>
          </cell>
        </row>
        <row r="389">
          <cell r="A389">
            <v>52930</v>
          </cell>
          <cell r="B389" t="str">
            <v>2.1.01.010.0029</v>
          </cell>
          <cell r="C389" t="str">
            <v xml:space="preserve">BLM CARE CLINICA SERVICOS </v>
          </cell>
          <cell r="D389">
            <v>8157.19</v>
          </cell>
          <cell r="E389">
            <v>8157.19</v>
          </cell>
          <cell r="F389">
            <v>6340.28</v>
          </cell>
          <cell r="G389">
            <v>-1816.91</v>
          </cell>
          <cell r="H389">
            <v>6340.28</v>
          </cell>
          <cell r="I389" t="str">
            <v>C</v>
          </cell>
        </row>
        <row r="390">
          <cell r="A390">
            <v>33517</v>
          </cell>
          <cell r="B390" t="str">
            <v>2.1.01.010.0030</v>
          </cell>
          <cell r="C390" t="str">
            <v xml:space="preserve">BABY CENTER CLINICA DA </v>
          </cell>
          <cell r="D390">
            <v>20987.39</v>
          </cell>
          <cell r="E390">
            <v>20987.39</v>
          </cell>
          <cell r="F390">
            <v>15071.48</v>
          </cell>
          <cell r="G390">
            <v>-5915.91</v>
          </cell>
          <cell r="H390">
            <v>15071.48</v>
          </cell>
          <cell r="I390" t="str">
            <v>C</v>
          </cell>
        </row>
        <row r="391">
          <cell r="A391">
            <v>1924</v>
          </cell>
          <cell r="B391" t="str">
            <v>2.1.01.010.0031</v>
          </cell>
          <cell r="C391" t="str">
            <v>BAROMED SC LTDA</v>
          </cell>
          <cell r="D391">
            <v>2455.6</v>
          </cell>
          <cell r="E391">
            <v>0</v>
          </cell>
          <cell r="F391">
            <v>0</v>
          </cell>
          <cell r="G391">
            <v>0</v>
          </cell>
          <cell r="H391">
            <v>2455.6</v>
          </cell>
          <cell r="I391" t="str">
            <v>C</v>
          </cell>
        </row>
        <row r="392">
          <cell r="A392">
            <v>37767</v>
          </cell>
          <cell r="B392" t="str">
            <v>2.1.01.010.0037</v>
          </cell>
          <cell r="C392" t="str">
            <v xml:space="preserve">BERTTI E BERTTI </v>
          </cell>
          <cell r="D392">
            <v>7978.17</v>
          </cell>
          <cell r="E392">
            <v>1447.95</v>
          </cell>
          <cell r="F392">
            <v>6226.06</v>
          </cell>
          <cell r="G392">
            <v>4778.1099999999997</v>
          </cell>
          <cell r="H392">
            <v>12756.28</v>
          </cell>
          <cell r="I392" t="str">
            <v>C</v>
          </cell>
        </row>
        <row r="393">
          <cell r="A393">
            <v>52072</v>
          </cell>
          <cell r="B393" t="str">
            <v>2.1.01.010.0038</v>
          </cell>
          <cell r="C393" t="str">
            <v xml:space="preserve">BETACLIN ASSISTENCIA A </v>
          </cell>
          <cell r="D393">
            <v>0</v>
          </cell>
          <cell r="E393">
            <v>951.26</v>
          </cell>
          <cell r="F393">
            <v>3322.69</v>
          </cell>
          <cell r="G393">
            <v>2371.4299999999998</v>
          </cell>
          <cell r="H393">
            <v>2371.4299999999998</v>
          </cell>
          <cell r="I393" t="str">
            <v>C</v>
          </cell>
        </row>
        <row r="394">
          <cell r="A394">
            <v>1925</v>
          </cell>
          <cell r="B394" t="str">
            <v>2.1.01.010.0039</v>
          </cell>
          <cell r="C394" t="str">
            <v xml:space="preserve">BIOSSOM ASSISTENCIA </v>
          </cell>
          <cell r="D394">
            <v>115.5</v>
          </cell>
          <cell r="E394">
            <v>0</v>
          </cell>
          <cell r="F394">
            <v>0</v>
          </cell>
          <cell r="G394">
            <v>0</v>
          </cell>
          <cell r="H394">
            <v>115.5</v>
          </cell>
          <cell r="I394" t="str">
            <v>C</v>
          </cell>
        </row>
        <row r="395">
          <cell r="A395">
            <v>52513</v>
          </cell>
          <cell r="B395" t="str">
            <v>2.1.01.010.0040</v>
          </cell>
          <cell r="C395" t="str">
            <v xml:space="preserve">BLR ASSISTENCIA MEDICA </v>
          </cell>
          <cell r="D395">
            <v>3385</v>
          </cell>
          <cell r="E395">
            <v>101.32</v>
          </cell>
          <cell r="F395">
            <v>4588.2</v>
          </cell>
          <cell r="G395">
            <v>4486.88</v>
          </cell>
          <cell r="H395">
            <v>7871.88</v>
          </cell>
          <cell r="I395" t="str">
            <v>C</v>
          </cell>
        </row>
        <row r="396">
          <cell r="A396">
            <v>36728</v>
          </cell>
          <cell r="B396" t="str">
            <v>2.1.01.010.0041</v>
          </cell>
          <cell r="C396" t="str">
            <v xml:space="preserve">BOLZAN TEIXEIRA SERVICOS </v>
          </cell>
          <cell r="D396">
            <v>3380.52</v>
          </cell>
          <cell r="E396">
            <v>3380.52</v>
          </cell>
          <cell r="F396">
            <v>3380.52</v>
          </cell>
          <cell r="G396">
            <v>0</v>
          </cell>
          <cell r="H396">
            <v>3380.52</v>
          </cell>
          <cell r="I396" t="str">
            <v>C</v>
          </cell>
        </row>
        <row r="397">
          <cell r="A397">
            <v>33075</v>
          </cell>
          <cell r="B397" t="str">
            <v>2.1.01.010.0043</v>
          </cell>
          <cell r="C397" t="str">
            <v xml:space="preserve">BOTELHO FONSECA SERV </v>
          </cell>
          <cell r="D397">
            <v>66728.05</v>
          </cell>
          <cell r="E397">
            <v>66463</v>
          </cell>
          <cell r="F397">
            <v>70530.460000000006</v>
          </cell>
          <cell r="G397">
            <v>4067.46</v>
          </cell>
          <cell r="H397">
            <v>70795.509999999995</v>
          </cell>
          <cell r="I397" t="str">
            <v>C</v>
          </cell>
        </row>
        <row r="398">
          <cell r="A398">
            <v>53036</v>
          </cell>
          <cell r="B398" t="str">
            <v>2.1.01.010.0044</v>
          </cell>
          <cell r="C398" t="str">
            <v xml:space="preserve">BRANDAO E CARVALHO </v>
          </cell>
          <cell r="D398">
            <v>451.85</v>
          </cell>
          <cell r="E398">
            <v>0</v>
          </cell>
          <cell r="F398">
            <v>0</v>
          </cell>
          <cell r="G398">
            <v>0</v>
          </cell>
          <cell r="H398">
            <v>451.85</v>
          </cell>
          <cell r="I398" t="str">
            <v>C</v>
          </cell>
        </row>
        <row r="399">
          <cell r="A399">
            <v>1926</v>
          </cell>
          <cell r="B399" t="str">
            <v>2.1.01.010.0045</v>
          </cell>
          <cell r="C399" t="str">
            <v xml:space="preserve">BRANDAO E SILVA SERV MED </v>
          </cell>
          <cell r="D399">
            <v>5743.3</v>
          </cell>
          <cell r="E399">
            <v>2220.19</v>
          </cell>
          <cell r="F399">
            <v>3812.18</v>
          </cell>
          <cell r="G399">
            <v>1591.99</v>
          </cell>
          <cell r="H399">
            <v>7335.29</v>
          </cell>
          <cell r="I399" t="str">
            <v>C</v>
          </cell>
        </row>
        <row r="400">
          <cell r="A400">
            <v>51362</v>
          </cell>
          <cell r="B400" t="str">
            <v>2.1.01.010.0047</v>
          </cell>
          <cell r="C400" t="str">
            <v xml:space="preserve">BRUGNARA SERVICOS </v>
          </cell>
          <cell r="D400">
            <v>0</v>
          </cell>
          <cell r="E400">
            <v>12560</v>
          </cell>
          <cell r="F400">
            <v>12560</v>
          </cell>
          <cell r="G400">
            <v>0</v>
          </cell>
          <cell r="H400">
            <v>0</v>
          </cell>
          <cell r="I400" t="str">
            <v>C</v>
          </cell>
        </row>
        <row r="401">
          <cell r="A401">
            <v>1929</v>
          </cell>
          <cell r="B401" t="str">
            <v>2.1.01.010.0048</v>
          </cell>
          <cell r="C401" t="str">
            <v xml:space="preserve">CIRURGIA CARDIOVASCULAR </v>
          </cell>
          <cell r="D401">
            <v>0</v>
          </cell>
          <cell r="E401">
            <v>4027.56</v>
          </cell>
          <cell r="F401">
            <v>4027.56</v>
          </cell>
          <cell r="G401">
            <v>0</v>
          </cell>
          <cell r="H401">
            <v>0</v>
          </cell>
          <cell r="I401" t="str">
            <v>C</v>
          </cell>
        </row>
        <row r="402">
          <cell r="A402">
            <v>33730</v>
          </cell>
          <cell r="B402" t="str">
            <v>2.1.01.010.0049</v>
          </cell>
          <cell r="C402" t="str">
            <v xml:space="preserve">CEC MEDICOS ASSOCIADOS </v>
          </cell>
          <cell r="D402">
            <v>7365.24</v>
          </cell>
          <cell r="E402">
            <v>6195.54</v>
          </cell>
          <cell r="F402">
            <v>12609</v>
          </cell>
          <cell r="G402">
            <v>6413.46</v>
          </cell>
          <cell r="H402">
            <v>13778.7</v>
          </cell>
          <cell r="I402" t="str">
            <v>C</v>
          </cell>
        </row>
        <row r="403">
          <cell r="A403">
            <v>38112</v>
          </cell>
          <cell r="B403" t="str">
            <v>2.1.01.010.0050</v>
          </cell>
          <cell r="C403" t="str">
            <v xml:space="preserve">CED SERVICOS MEDICOS S/S </v>
          </cell>
          <cell r="D403">
            <v>288</v>
          </cell>
          <cell r="E403">
            <v>0</v>
          </cell>
          <cell r="F403">
            <v>0</v>
          </cell>
          <cell r="G403">
            <v>0</v>
          </cell>
          <cell r="H403">
            <v>288</v>
          </cell>
          <cell r="I403" t="str">
            <v>C</v>
          </cell>
        </row>
        <row r="404">
          <cell r="A404">
            <v>51677</v>
          </cell>
          <cell r="B404" t="str">
            <v>2.1.01.010.0051</v>
          </cell>
          <cell r="C404" t="str">
            <v>CER DIAGNOSTICO IMAGEM</v>
          </cell>
          <cell r="D404">
            <v>9218.9599999999991</v>
          </cell>
          <cell r="E404">
            <v>4254.8999999999996</v>
          </cell>
          <cell r="F404">
            <v>6382.36</v>
          </cell>
          <cell r="G404">
            <v>2127.46</v>
          </cell>
          <cell r="H404">
            <v>11346.42</v>
          </cell>
          <cell r="I404" t="str">
            <v>C</v>
          </cell>
        </row>
        <row r="405">
          <cell r="A405">
            <v>34057</v>
          </cell>
          <cell r="B405" t="str">
            <v>2.1.01.010.0052</v>
          </cell>
          <cell r="C405" t="str">
            <v xml:space="preserve">CM YUKITA SERVICOS </v>
          </cell>
          <cell r="D405">
            <v>12000</v>
          </cell>
          <cell r="E405">
            <v>12000</v>
          </cell>
          <cell r="F405">
            <v>13907.74</v>
          </cell>
          <cell r="G405">
            <v>1907.74</v>
          </cell>
          <cell r="H405">
            <v>13907.74</v>
          </cell>
          <cell r="I405" t="str">
            <v>C</v>
          </cell>
        </row>
        <row r="406">
          <cell r="A406">
            <v>37707</v>
          </cell>
          <cell r="B406" t="str">
            <v>2.1.01.010.0055</v>
          </cell>
          <cell r="C406" t="str">
            <v xml:space="preserve">CAMPOLUNGO E FERNANDES </v>
          </cell>
          <cell r="D406">
            <v>635.01</v>
          </cell>
          <cell r="E406">
            <v>0</v>
          </cell>
          <cell r="F406">
            <v>0</v>
          </cell>
          <cell r="G406">
            <v>0</v>
          </cell>
          <cell r="H406">
            <v>635.01</v>
          </cell>
          <cell r="I406" t="str">
            <v>C</v>
          </cell>
        </row>
        <row r="407">
          <cell r="A407">
            <v>51980</v>
          </cell>
          <cell r="B407" t="str">
            <v>2.1.01.010.0056</v>
          </cell>
          <cell r="C407" t="str">
            <v xml:space="preserve">CAMPOSMED SERVICOS </v>
          </cell>
          <cell r="D407">
            <v>6761.04</v>
          </cell>
          <cell r="E407">
            <v>6761.04</v>
          </cell>
          <cell r="F407">
            <v>8451.2999999999993</v>
          </cell>
          <cell r="G407">
            <v>1690.26</v>
          </cell>
          <cell r="H407">
            <v>8451.2999999999993</v>
          </cell>
          <cell r="I407" t="str">
            <v>C</v>
          </cell>
        </row>
        <row r="408">
          <cell r="A408">
            <v>33910</v>
          </cell>
          <cell r="B408" t="str">
            <v>2.1.01.010.0061</v>
          </cell>
          <cell r="C408" t="str">
            <v xml:space="preserve">CARDIORITMO CONS </v>
          </cell>
          <cell r="D408">
            <v>3250.88</v>
          </cell>
          <cell r="E408">
            <v>1442.32</v>
          </cell>
          <cell r="F408">
            <v>0</v>
          </cell>
          <cell r="G408">
            <v>-1442.32</v>
          </cell>
          <cell r="H408">
            <v>1808.56</v>
          </cell>
          <cell r="I408" t="str">
            <v>C</v>
          </cell>
        </row>
        <row r="409">
          <cell r="A409">
            <v>52933</v>
          </cell>
          <cell r="B409" t="str">
            <v>2.1.01.010.0062</v>
          </cell>
          <cell r="C409" t="str">
            <v xml:space="preserve">CARLA CALDERON IRUSTA </v>
          </cell>
          <cell r="D409">
            <v>13522.08</v>
          </cell>
          <cell r="E409">
            <v>13522.08</v>
          </cell>
          <cell r="F409">
            <v>16902.599999999999</v>
          </cell>
          <cell r="G409">
            <v>3380.52</v>
          </cell>
          <cell r="H409">
            <v>16902.599999999999</v>
          </cell>
          <cell r="I409" t="str">
            <v>C</v>
          </cell>
        </row>
        <row r="410">
          <cell r="A410">
            <v>52877</v>
          </cell>
          <cell r="B410" t="str">
            <v>2.1.01.010.0067</v>
          </cell>
          <cell r="C410" t="str">
            <v xml:space="preserve">CASTRO E CARVALHO SERV </v>
          </cell>
          <cell r="D410">
            <v>9035.91</v>
          </cell>
          <cell r="E410">
            <v>8274</v>
          </cell>
          <cell r="F410">
            <v>16233.06</v>
          </cell>
          <cell r="G410">
            <v>7959.06</v>
          </cell>
          <cell r="H410">
            <v>16994.97</v>
          </cell>
          <cell r="I410" t="str">
            <v>C</v>
          </cell>
        </row>
        <row r="411">
          <cell r="A411">
            <v>51152</v>
          </cell>
          <cell r="B411" t="str">
            <v>2.1.01.010.0068</v>
          </cell>
          <cell r="C411" t="str">
            <v xml:space="preserve">CAVALCANTE E CLAUS </v>
          </cell>
          <cell r="D411">
            <v>31195.48</v>
          </cell>
          <cell r="E411">
            <v>27356.89</v>
          </cell>
          <cell r="F411">
            <v>31612.77</v>
          </cell>
          <cell r="G411">
            <v>4255.88</v>
          </cell>
          <cell r="H411">
            <v>35451.360000000001</v>
          </cell>
          <cell r="I411" t="str">
            <v>C</v>
          </cell>
        </row>
        <row r="412">
          <cell r="A412">
            <v>52324</v>
          </cell>
          <cell r="B412" t="str">
            <v>2.1.01.010.0072</v>
          </cell>
          <cell r="C412" t="str">
            <v xml:space="preserve">CEAME CENTRO DE </v>
          </cell>
          <cell r="D412">
            <v>1210.77</v>
          </cell>
          <cell r="E412">
            <v>0</v>
          </cell>
          <cell r="F412">
            <v>0</v>
          </cell>
          <cell r="G412">
            <v>0</v>
          </cell>
          <cell r="H412">
            <v>1210.77</v>
          </cell>
          <cell r="I412" t="str">
            <v>C</v>
          </cell>
        </row>
        <row r="413">
          <cell r="A413">
            <v>37811</v>
          </cell>
          <cell r="B413" t="str">
            <v>2.1.01.010.0075</v>
          </cell>
          <cell r="C413" t="str">
            <v xml:space="preserve">CEMEV CLIN ESP MED VALE </v>
          </cell>
          <cell r="D413">
            <v>3608.88</v>
          </cell>
          <cell r="E413">
            <v>0</v>
          </cell>
          <cell r="F413">
            <v>0</v>
          </cell>
          <cell r="G413">
            <v>0</v>
          </cell>
          <cell r="H413">
            <v>3608.88</v>
          </cell>
          <cell r="I413" t="str">
            <v>C</v>
          </cell>
        </row>
        <row r="414">
          <cell r="A414">
            <v>52299</v>
          </cell>
          <cell r="B414" t="str">
            <v>2.1.01.010.0079</v>
          </cell>
          <cell r="C414" t="str">
            <v xml:space="preserve">CENTRO DE HEMATOLOGIA </v>
          </cell>
          <cell r="D414">
            <v>23908.5</v>
          </cell>
          <cell r="E414">
            <v>32619.360000000001</v>
          </cell>
          <cell r="F414">
            <v>43804.36</v>
          </cell>
          <cell r="G414">
            <v>11185</v>
          </cell>
          <cell r="H414">
            <v>35093.5</v>
          </cell>
          <cell r="I414" t="str">
            <v>C</v>
          </cell>
        </row>
        <row r="415">
          <cell r="A415">
            <v>33141</v>
          </cell>
          <cell r="B415" t="str">
            <v>2.1.01.010.0081</v>
          </cell>
          <cell r="C415" t="str">
            <v xml:space="preserve">CENTRO NEUROLOGICO </v>
          </cell>
          <cell r="D415">
            <v>7292.39</v>
          </cell>
          <cell r="E415">
            <v>3983.28</v>
          </cell>
          <cell r="F415">
            <v>970.43</v>
          </cell>
          <cell r="G415">
            <v>-3012.85</v>
          </cell>
          <cell r="H415">
            <v>4279.54</v>
          </cell>
          <cell r="I415" t="str">
            <v>C</v>
          </cell>
        </row>
        <row r="416">
          <cell r="A416">
            <v>52813</v>
          </cell>
          <cell r="B416" t="str">
            <v>2.1.01.010.0083</v>
          </cell>
          <cell r="C416" t="str">
            <v xml:space="preserve">CENTRO TRAUMA DO VALE </v>
          </cell>
          <cell r="D416">
            <v>524.96</v>
          </cell>
          <cell r="E416">
            <v>420</v>
          </cell>
          <cell r="F416">
            <v>0</v>
          </cell>
          <cell r="G416">
            <v>-420</v>
          </cell>
          <cell r="H416">
            <v>104.96</v>
          </cell>
          <cell r="I416" t="str">
            <v>C</v>
          </cell>
        </row>
        <row r="417">
          <cell r="A417">
            <v>33133</v>
          </cell>
          <cell r="B417" t="str">
            <v>2.1.01.010.0085</v>
          </cell>
          <cell r="C417" t="str">
            <v xml:space="preserve">CHAGAS E MACEDO </v>
          </cell>
          <cell r="D417">
            <v>38128.160000000003</v>
          </cell>
          <cell r="E417">
            <v>9037.11</v>
          </cell>
          <cell r="F417">
            <v>15337.84</v>
          </cell>
          <cell r="G417">
            <v>6300.73</v>
          </cell>
          <cell r="H417">
            <v>44428.89</v>
          </cell>
          <cell r="I417" t="str">
            <v>C</v>
          </cell>
        </row>
        <row r="418">
          <cell r="A418">
            <v>50987</v>
          </cell>
          <cell r="B418" t="str">
            <v>2.1.01.010.0086</v>
          </cell>
          <cell r="C418" t="str">
            <v xml:space="preserve">CHAGAS SERVICOS MEDICOS </v>
          </cell>
          <cell r="D418">
            <v>16321.59</v>
          </cell>
          <cell r="E418">
            <v>21423.56</v>
          </cell>
          <cell r="F418">
            <v>19890.8</v>
          </cell>
          <cell r="G418">
            <v>-1532.76</v>
          </cell>
          <cell r="H418">
            <v>14788.83</v>
          </cell>
          <cell r="I418" t="str">
            <v>C</v>
          </cell>
        </row>
        <row r="419">
          <cell r="A419">
            <v>12439</v>
          </cell>
          <cell r="B419" t="str">
            <v>2.1.01.010.0087</v>
          </cell>
          <cell r="C419" t="str">
            <v xml:space="preserve">CHANG SERVICOS MEDICOS </v>
          </cell>
          <cell r="D419">
            <v>8226.14</v>
          </cell>
          <cell r="E419">
            <v>0</v>
          </cell>
          <cell r="F419">
            <v>572.79999999999995</v>
          </cell>
          <cell r="G419">
            <v>572.79999999999995</v>
          </cell>
          <cell r="H419">
            <v>8798.94</v>
          </cell>
          <cell r="I419" t="str">
            <v>C</v>
          </cell>
        </row>
        <row r="420">
          <cell r="A420">
            <v>33586</v>
          </cell>
          <cell r="B420" t="str">
            <v>2.1.01.010.0089</v>
          </cell>
          <cell r="C420" t="str">
            <v xml:space="preserve">CIPAX MEDICINA </v>
          </cell>
          <cell r="D420">
            <v>0</v>
          </cell>
          <cell r="E420">
            <v>30254.83</v>
          </cell>
          <cell r="F420">
            <v>30254.83</v>
          </cell>
          <cell r="G420">
            <v>0</v>
          </cell>
          <cell r="H420">
            <v>0</v>
          </cell>
          <cell r="I420" t="str">
            <v>C</v>
          </cell>
        </row>
        <row r="421">
          <cell r="A421">
            <v>52808</v>
          </cell>
          <cell r="B421" t="str">
            <v>2.1.01.010.0090</v>
          </cell>
          <cell r="C421" t="str">
            <v>CIRO JONES CARDOSO ME</v>
          </cell>
          <cell r="D421">
            <v>6895</v>
          </cell>
          <cell r="E421">
            <v>48031.95</v>
          </cell>
          <cell r="F421">
            <v>48031.95</v>
          </cell>
          <cell r="G421">
            <v>0</v>
          </cell>
          <cell r="H421">
            <v>6895</v>
          </cell>
          <cell r="I421" t="str">
            <v>C</v>
          </cell>
        </row>
        <row r="422">
          <cell r="A422">
            <v>38719</v>
          </cell>
          <cell r="B422" t="str">
            <v>2.1.01.010.0091</v>
          </cell>
          <cell r="C422" t="str">
            <v xml:space="preserve">CIRURGICA TORACICA DO </v>
          </cell>
          <cell r="D422">
            <v>39423.11</v>
          </cell>
          <cell r="E422">
            <v>17922.07</v>
          </cell>
          <cell r="F422">
            <v>26246.97</v>
          </cell>
          <cell r="G422">
            <v>8324.9</v>
          </cell>
          <cell r="H422">
            <v>47748.01</v>
          </cell>
          <cell r="I422" t="str">
            <v>C</v>
          </cell>
        </row>
        <row r="423">
          <cell r="A423">
            <v>52542</v>
          </cell>
          <cell r="B423" t="str">
            <v>2.1.01.010.0092</v>
          </cell>
          <cell r="C423" t="str">
            <v xml:space="preserve">CLIADI CLIN E CIR DO </v>
          </cell>
          <cell r="D423">
            <v>3573.59</v>
          </cell>
          <cell r="E423">
            <v>840.03</v>
          </cell>
          <cell r="F423">
            <v>1128.6600000000001</v>
          </cell>
          <cell r="G423">
            <v>288.63</v>
          </cell>
          <cell r="H423">
            <v>3862.22</v>
          </cell>
          <cell r="I423" t="str">
            <v>C</v>
          </cell>
        </row>
        <row r="424">
          <cell r="A424">
            <v>32498</v>
          </cell>
          <cell r="B424" t="str">
            <v>2.1.01.010.0093</v>
          </cell>
          <cell r="C424" t="str">
            <v xml:space="preserve">CLIMED SJCAMPOS LTDA </v>
          </cell>
          <cell r="D424">
            <v>856.16</v>
          </cell>
          <cell r="E424">
            <v>0</v>
          </cell>
          <cell r="F424">
            <v>710.78</v>
          </cell>
          <cell r="G424">
            <v>710.78</v>
          </cell>
          <cell r="H424">
            <v>1566.94</v>
          </cell>
          <cell r="I424" t="str">
            <v>C</v>
          </cell>
        </row>
        <row r="425">
          <cell r="A425">
            <v>51101</v>
          </cell>
          <cell r="B425" t="str">
            <v>2.1.01.010.0094</v>
          </cell>
          <cell r="C425" t="str">
            <v xml:space="preserve">CLIN DERMA DR CARLOS </v>
          </cell>
          <cell r="D425">
            <v>1200.0899999999999</v>
          </cell>
          <cell r="E425">
            <v>1111.49</v>
          </cell>
          <cell r="F425">
            <v>2413.25</v>
          </cell>
          <cell r="G425">
            <v>1301.76</v>
          </cell>
          <cell r="H425">
            <v>2501.85</v>
          </cell>
          <cell r="I425" t="str">
            <v>C</v>
          </cell>
        </row>
        <row r="426">
          <cell r="A426">
            <v>12241</v>
          </cell>
          <cell r="B426" t="str">
            <v>2.1.01.010.0096</v>
          </cell>
          <cell r="C426" t="str">
            <v xml:space="preserve">ANGIOVALLE CIRURGIA </v>
          </cell>
          <cell r="D426">
            <v>5768.9</v>
          </cell>
          <cell r="E426">
            <v>633.52</v>
          </cell>
          <cell r="F426">
            <v>4375.99</v>
          </cell>
          <cell r="G426">
            <v>3742.47</v>
          </cell>
          <cell r="H426">
            <v>9511.3700000000008</v>
          </cell>
          <cell r="I426" t="str">
            <v>C</v>
          </cell>
        </row>
        <row r="427">
          <cell r="A427">
            <v>32720</v>
          </cell>
          <cell r="B427" t="str">
            <v>2.1.01.010.0098</v>
          </cell>
          <cell r="C427" t="str">
            <v xml:space="preserve">CLINDEP ASSIST MED </v>
          </cell>
          <cell r="D427">
            <v>221.22</v>
          </cell>
          <cell r="E427">
            <v>0</v>
          </cell>
          <cell r="F427">
            <v>0</v>
          </cell>
          <cell r="G427">
            <v>0</v>
          </cell>
          <cell r="H427">
            <v>221.22</v>
          </cell>
          <cell r="I427" t="str">
            <v>C</v>
          </cell>
        </row>
        <row r="428">
          <cell r="A428">
            <v>50986</v>
          </cell>
          <cell r="B428" t="str">
            <v>2.1.01.010.0100</v>
          </cell>
          <cell r="C428" t="str">
            <v>CLINICA BORAO LTDA</v>
          </cell>
          <cell r="D428">
            <v>234.53</v>
          </cell>
          <cell r="E428">
            <v>234.53</v>
          </cell>
          <cell r="F428">
            <v>201.72</v>
          </cell>
          <cell r="G428">
            <v>-32.81</v>
          </cell>
          <cell r="H428">
            <v>201.72</v>
          </cell>
          <cell r="I428" t="str">
            <v>C</v>
          </cell>
        </row>
        <row r="429">
          <cell r="A429">
            <v>33621</v>
          </cell>
          <cell r="B429" t="str">
            <v>2.1.01.010.0102</v>
          </cell>
          <cell r="C429" t="str">
            <v xml:space="preserve">CLINICA CIR TRAUM BUCO </v>
          </cell>
          <cell r="D429">
            <v>5324.38</v>
          </cell>
          <cell r="E429">
            <v>0</v>
          </cell>
          <cell r="F429">
            <v>513.79999999999995</v>
          </cell>
          <cell r="G429">
            <v>513.79999999999995</v>
          </cell>
          <cell r="H429">
            <v>5838.18</v>
          </cell>
          <cell r="I429" t="str">
            <v>C</v>
          </cell>
        </row>
        <row r="430">
          <cell r="A430">
            <v>38860</v>
          </cell>
          <cell r="B430" t="str">
            <v>2.1.01.010.0103</v>
          </cell>
          <cell r="C430" t="str">
            <v xml:space="preserve">CLINICA DE CARDIOLOGIA </v>
          </cell>
          <cell r="D430">
            <v>18161.04</v>
          </cell>
          <cell r="E430">
            <v>19017.990000000002</v>
          </cell>
          <cell r="F430">
            <v>22729.8</v>
          </cell>
          <cell r="G430">
            <v>3711.81</v>
          </cell>
          <cell r="H430">
            <v>21872.85</v>
          </cell>
          <cell r="I430" t="str">
            <v>C</v>
          </cell>
        </row>
        <row r="431">
          <cell r="A431">
            <v>33315</v>
          </cell>
          <cell r="B431" t="str">
            <v>2.1.01.010.0104</v>
          </cell>
          <cell r="C431" t="str">
            <v xml:space="preserve">CLINICA DE FRATURA </v>
          </cell>
          <cell r="D431">
            <v>62.48</v>
          </cell>
          <cell r="E431">
            <v>0</v>
          </cell>
          <cell r="F431">
            <v>0</v>
          </cell>
          <cell r="G431">
            <v>0</v>
          </cell>
          <cell r="H431">
            <v>62.48</v>
          </cell>
          <cell r="I431" t="str">
            <v>C</v>
          </cell>
        </row>
        <row r="432">
          <cell r="A432">
            <v>37091</v>
          </cell>
          <cell r="B432" t="str">
            <v>2.1.01.010.0107</v>
          </cell>
          <cell r="C432" t="str">
            <v xml:space="preserve">CLINICA DR HENRIQUE </v>
          </cell>
          <cell r="D432">
            <v>0</v>
          </cell>
          <cell r="E432">
            <v>2042.56</v>
          </cell>
          <cell r="F432">
            <v>2042.56</v>
          </cell>
          <cell r="G432">
            <v>0</v>
          </cell>
          <cell r="H432">
            <v>0</v>
          </cell>
          <cell r="I432" t="str">
            <v>C</v>
          </cell>
        </row>
        <row r="433">
          <cell r="A433">
            <v>51443</v>
          </cell>
          <cell r="B433" t="str">
            <v>2.1.01.010.0108</v>
          </cell>
          <cell r="C433" t="str">
            <v xml:space="preserve">CLINICA DR ROBERTO </v>
          </cell>
          <cell r="D433">
            <v>6087.57</v>
          </cell>
          <cell r="E433">
            <v>6017.57</v>
          </cell>
          <cell r="F433">
            <v>5117.22</v>
          </cell>
          <cell r="G433">
            <v>-900.35</v>
          </cell>
          <cell r="H433">
            <v>5187.22</v>
          </cell>
          <cell r="I433" t="str">
            <v>C</v>
          </cell>
        </row>
        <row r="434">
          <cell r="A434">
            <v>52902</v>
          </cell>
          <cell r="B434" t="str">
            <v>2.1.01.010.0109</v>
          </cell>
          <cell r="C434" t="str">
            <v xml:space="preserve">CLINICA DR RODRIGO IEIRI </v>
          </cell>
          <cell r="D434">
            <v>16192.37</v>
          </cell>
          <cell r="E434">
            <v>7513.86</v>
          </cell>
          <cell r="F434">
            <v>9720.49</v>
          </cell>
          <cell r="G434">
            <v>2206.63</v>
          </cell>
          <cell r="H434">
            <v>18399</v>
          </cell>
          <cell r="I434" t="str">
            <v>C</v>
          </cell>
        </row>
        <row r="435">
          <cell r="A435">
            <v>51678</v>
          </cell>
          <cell r="B435" t="str">
            <v>2.1.01.010.0112</v>
          </cell>
          <cell r="C435" t="str">
            <v xml:space="preserve">CLINICA GBR SERVICOS </v>
          </cell>
          <cell r="D435">
            <v>22416.63</v>
          </cell>
          <cell r="E435">
            <v>26937.78</v>
          </cell>
          <cell r="F435">
            <v>30081.9</v>
          </cell>
          <cell r="G435">
            <v>3144.12</v>
          </cell>
          <cell r="H435">
            <v>25560.75</v>
          </cell>
          <cell r="I435" t="str">
            <v>C</v>
          </cell>
        </row>
        <row r="436">
          <cell r="A436">
            <v>51733</v>
          </cell>
          <cell r="B436" t="str">
            <v>2.1.01.010.0114</v>
          </cell>
          <cell r="C436" t="str">
            <v xml:space="preserve">CLINICA MATTOS E GARCEZ </v>
          </cell>
          <cell r="D436">
            <v>20921.509999999998</v>
          </cell>
          <cell r="E436">
            <v>20921.509999999998</v>
          </cell>
          <cell r="F436">
            <v>20924.240000000002</v>
          </cell>
          <cell r="G436">
            <v>2.73</v>
          </cell>
          <cell r="H436">
            <v>20924.240000000002</v>
          </cell>
          <cell r="I436" t="str">
            <v>C</v>
          </cell>
        </row>
        <row r="437">
          <cell r="A437">
            <v>52795</v>
          </cell>
          <cell r="B437" t="str">
            <v>2.1.01.010.0117</v>
          </cell>
          <cell r="C437" t="str">
            <v xml:space="preserve">CLINICA MEDICA E FONO </v>
          </cell>
          <cell r="D437">
            <v>508.4</v>
          </cell>
          <cell r="E437">
            <v>0</v>
          </cell>
          <cell r="F437">
            <v>0</v>
          </cell>
          <cell r="G437">
            <v>0</v>
          </cell>
          <cell r="H437">
            <v>508.4</v>
          </cell>
          <cell r="I437" t="str">
            <v>C</v>
          </cell>
        </row>
        <row r="438">
          <cell r="A438">
            <v>52466</v>
          </cell>
          <cell r="B438" t="str">
            <v>2.1.01.010.0118</v>
          </cell>
          <cell r="C438" t="str">
            <v xml:space="preserve">CLINICA MEDICA GOLDFREIND </v>
          </cell>
          <cell r="D438">
            <v>11581.44</v>
          </cell>
          <cell r="E438">
            <v>11581.44</v>
          </cell>
          <cell r="F438">
            <v>13029.12</v>
          </cell>
          <cell r="G438">
            <v>1447.68</v>
          </cell>
          <cell r="H438">
            <v>13029.12</v>
          </cell>
          <cell r="I438" t="str">
            <v>C</v>
          </cell>
        </row>
        <row r="439">
          <cell r="A439">
            <v>52791</v>
          </cell>
          <cell r="B439" t="str">
            <v>2.1.01.010.0119</v>
          </cell>
          <cell r="C439" t="str">
            <v xml:space="preserve">CLINICA MEDICA OLIVEIRA </v>
          </cell>
          <cell r="D439">
            <v>328</v>
          </cell>
          <cell r="E439">
            <v>0</v>
          </cell>
          <cell r="F439">
            <v>0</v>
          </cell>
          <cell r="G439">
            <v>0</v>
          </cell>
          <cell r="H439">
            <v>328</v>
          </cell>
          <cell r="I439" t="str">
            <v>C</v>
          </cell>
        </row>
        <row r="440">
          <cell r="A440">
            <v>38354</v>
          </cell>
          <cell r="B440" t="str">
            <v>2.1.01.010.0120</v>
          </cell>
          <cell r="C440" t="str">
            <v xml:space="preserve">CLINICA MEDICA ORTO E RAD </v>
          </cell>
          <cell r="D440">
            <v>10142.540000000001</v>
          </cell>
          <cell r="E440">
            <v>8896.4500000000007</v>
          </cell>
          <cell r="F440">
            <v>10843.12</v>
          </cell>
          <cell r="G440">
            <v>1946.67</v>
          </cell>
          <cell r="H440">
            <v>12089.21</v>
          </cell>
          <cell r="I440" t="str">
            <v>C</v>
          </cell>
        </row>
        <row r="441">
          <cell r="A441">
            <v>52162</v>
          </cell>
          <cell r="B441" t="str">
            <v>2.1.01.010.0124</v>
          </cell>
          <cell r="C441" t="str">
            <v xml:space="preserve">CLINICA NEUROCIRURGICA </v>
          </cell>
          <cell r="D441">
            <v>3511.66</v>
          </cell>
          <cell r="E441">
            <v>0</v>
          </cell>
          <cell r="F441">
            <v>0</v>
          </cell>
          <cell r="G441">
            <v>0</v>
          </cell>
          <cell r="H441">
            <v>3511.66</v>
          </cell>
          <cell r="I441" t="str">
            <v>C</v>
          </cell>
        </row>
        <row r="442">
          <cell r="A442">
            <v>52470</v>
          </cell>
          <cell r="B442" t="str">
            <v>2.1.01.010.0128</v>
          </cell>
          <cell r="C442" t="str">
            <v>CLINICA SKIN LIFE SS LTDA</v>
          </cell>
          <cell r="D442">
            <v>5429.88</v>
          </cell>
          <cell r="E442">
            <v>5610.48</v>
          </cell>
          <cell r="F442">
            <v>8434.67</v>
          </cell>
          <cell r="G442">
            <v>2824.19</v>
          </cell>
          <cell r="H442">
            <v>8254.07</v>
          </cell>
          <cell r="I442" t="str">
            <v>C</v>
          </cell>
        </row>
        <row r="443">
          <cell r="A443">
            <v>33777</v>
          </cell>
          <cell r="B443" t="str">
            <v>2.1.01.010.0129</v>
          </cell>
          <cell r="C443" t="str">
            <v xml:space="preserve">CLINICAR CLIN </v>
          </cell>
          <cell r="D443">
            <v>63463.37</v>
          </cell>
          <cell r="E443">
            <v>56379.81</v>
          </cell>
          <cell r="F443">
            <v>68584.899999999994</v>
          </cell>
          <cell r="G443">
            <v>12205.09</v>
          </cell>
          <cell r="H443">
            <v>75668.460000000006</v>
          </cell>
          <cell r="I443" t="str">
            <v>C</v>
          </cell>
        </row>
        <row r="444">
          <cell r="A444">
            <v>1952</v>
          </cell>
          <cell r="B444" t="str">
            <v>2.1.01.010.0130</v>
          </cell>
          <cell r="C444" t="str">
            <v xml:space="preserve">CLINWORK SERV MEDICOS SC </v>
          </cell>
          <cell r="D444">
            <v>53993.13</v>
          </cell>
          <cell r="E444">
            <v>53993.13</v>
          </cell>
          <cell r="F444">
            <v>63168.27</v>
          </cell>
          <cell r="G444">
            <v>9175.14</v>
          </cell>
          <cell r="H444">
            <v>63168.27</v>
          </cell>
          <cell r="I444" t="str">
            <v>C</v>
          </cell>
        </row>
        <row r="445">
          <cell r="A445">
            <v>52929</v>
          </cell>
          <cell r="B445" t="str">
            <v>2.1.01.010.0131</v>
          </cell>
          <cell r="C445" t="str">
            <v xml:space="preserve">CLR SERVICOS MEDICOS </v>
          </cell>
          <cell r="D445">
            <v>345405.61</v>
          </cell>
          <cell r="E445">
            <v>344712.17</v>
          </cell>
          <cell r="F445">
            <v>155983.01999999999</v>
          </cell>
          <cell r="G445">
            <v>-188729.15</v>
          </cell>
          <cell r="H445">
            <v>156676.46</v>
          </cell>
          <cell r="I445" t="str">
            <v>C</v>
          </cell>
        </row>
        <row r="446">
          <cell r="A446">
            <v>51651</v>
          </cell>
          <cell r="B446" t="str">
            <v>2.1.01.010.0132</v>
          </cell>
          <cell r="C446" t="str">
            <v xml:space="preserve">CMF SERVICOS MEDICOS </v>
          </cell>
          <cell r="D446">
            <v>22536.799999999999</v>
          </cell>
          <cell r="E446">
            <v>22536.799999999999</v>
          </cell>
          <cell r="F446">
            <v>25917.32</v>
          </cell>
          <cell r="G446">
            <v>3380.52</v>
          </cell>
          <cell r="H446">
            <v>25917.32</v>
          </cell>
          <cell r="I446" t="str">
            <v>C</v>
          </cell>
        </row>
        <row r="447">
          <cell r="A447">
            <v>37517</v>
          </cell>
          <cell r="B447" t="str">
            <v>2.1.01.010.0133</v>
          </cell>
          <cell r="C447" t="str">
            <v>COKIN MED LTDA</v>
          </cell>
          <cell r="D447">
            <v>13369.92</v>
          </cell>
          <cell r="E447">
            <v>5107.22</v>
          </cell>
          <cell r="F447">
            <v>9139.11</v>
          </cell>
          <cell r="G447">
            <v>4031.89</v>
          </cell>
          <cell r="H447">
            <v>17401.810000000001</v>
          </cell>
          <cell r="I447" t="str">
            <v>C</v>
          </cell>
        </row>
        <row r="448">
          <cell r="A448">
            <v>51796</v>
          </cell>
          <cell r="B448" t="str">
            <v>2.1.01.010.0134</v>
          </cell>
          <cell r="C448" t="str">
            <v xml:space="preserve">COMUNIAN FREITAS </v>
          </cell>
          <cell r="D448">
            <v>10462.120000000001</v>
          </cell>
          <cell r="E448">
            <v>10462.120000000001</v>
          </cell>
          <cell r="F448">
            <v>11660.9</v>
          </cell>
          <cell r="G448">
            <v>1198.78</v>
          </cell>
          <cell r="H448">
            <v>11660.9</v>
          </cell>
          <cell r="I448" t="str">
            <v>C</v>
          </cell>
        </row>
        <row r="449">
          <cell r="A449">
            <v>51832</v>
          </cell>
          <cell r="B449" t="str">
            <v>2.1.01.010.0138</v>
          </cell>
          <cell r="C449" t="str">
            <v xml:space="preserve">CORREA E SOUZA SERVICOS </v>
          </cell>
          <cell r="D449">
            <v>18133.71</v>
          </cell>
          <cell r="E449">
            <v>26628.25</v>
          </cell>
          <cell r="F449">
            <v>29230.63</v>
          </cell>
          <cell r="G449">
            <v>2602.38</v>
          </cell>
          <cell r="H449">
            <v>20736.09</v>
          </cell>
          <cell r="I449" t="str">
            <v>C</v>
          </cell>
        </row>
        <row r="450">
          <cell r="A450">
            <v>52806</v>
          </cell>
          <cell r="B450" t="str">
            <v>2.1.01.010.0143</v>
          </cell>
          <cell r="C450" t="str">
            <v xml:space="preserve">DDEBS CONSULTORIA E SERV </v>
          </cell>
          <cell r="D450">
            <v>5805.05</v>
          </cell>
          <cell r="E450">
            <v>5673.6</v>
          </cell>
          <cell r="F450">
            <v>5319</v>
          </cell>
          <cell r="G450">
            <v>-354.6</v>
          </cell>
          <cell r="H450">
            <v>5450.45</v>
          </cell>
          <cell r="I450" t="str">
            <v>C</v>
          </cell>
        </row>
        <row r="451">
          <cell r="A451">
            <v>37737</v>
          </cell>
          <cell r="B451" t="str">
            <v>2.1.01.010.0147</v>
          </cell>
          <cell r="C451" t="str">
            <v xml:space="preserve">DEL MONACO SERVICOS </v>
          </cell>
          <cell r="D451">
            <v>5961.33</v>
          </cell>
          <cell r="E451">
            <v>26066.63</v>
          </cell>
          <cell r="F451">
            <v>26120.29</v>
          </cell>
          <cell r="G451">
            <v>53.66</v>
          </cell>
          <cell r="H451">
            <v>6014.99</v>
          </cell>
          <cell r="I451" t="str">
            <v>C</v>
          </cell>
        </row>
        <row r="452">
          <cell r="A452">
            <v>52196</v>
          </cell>
          <cell r="B452" t="str">
            <v>2.1.01.010.0149</v>
          </cell>
          <cell r="C452" t="str">
            <v xml:space="preserve">DH SERVICOS MEDICOS DE </v>
          </cell>
          <cell r="D452">
            <v>1928.57</v>
          </cell>
          <cell r="E452">
            <v>2777.57</v>
          </cell>
          <cell r="F452">
            <v>9278.0400000000009</v>
          </cell>
          <cell r="G452">
            <v>6500.47</v>
          </cell>
          <cell r="H452">
            <v>8429.0400000000009</v>
          </cell>
          <cell r="I452" t="str">
            <v>C</v>
          </cell>
        </row>
        <row r="453">
          <cell r="A453">
            <v>38859</v>
          </cell>
          <cell r="B453" t="str">
            <v>2.1.01.010.0150</v>
          </cell>
          <cell r="C453" t="str">
            <v xml:space="preserve">DIP ASSISTENCIA MEDICA </v>
          </cell>
          <cell r="D453">
            <v>12490.35</v>
          </cell>
          <cell r="E453">
            <v>13700.95</v>
          </cell>
          <cell r="F453">
            <v>17529.63</v>
          </cell>
          <cell r="G453">
            <v>3828.68</v>
          </cell>
          <cell r="H453">
            <v>16319.03</v>
          </cell>
          <cell r="I453" t="str">
            <v>C</v>
          </cell>
        </row>
        <row r="454">
          <cell r="A454">
            <v>52982</v>
          </cell>
          <cell r="B454" t="str">
            <v>2.1.01.010.0153</v>
          </cell>
          <cell r="C454" t="str">
            <v xml:space="preserve">DUCORDIS SAUDE </v>
          </cell>
          <cell r="D454">
            <v>4225.6499999999996</v>
          </cell>
          <cell r="E454">
            <v>4225.6499999999996</v>
          </cell>
          <cell r="F454">
            <v>3380.52</v>
          </cell>
          <cell r="G454">
            <v>-845.13</v>
          </cell>
          <cell r="H454">
            <v>3380.52</v>
          </cell>
          <cell r="I454" t="str">
            <v>C</v>
          </cell>
        </row>
        <row r="455">
          <cell r="A455">
            <v>52550</v>
          </cell>
          <cell r="B455" t="str">
            <v>2.1.01.010.0154</v>
          </cell>
          <cell r="C455" t="str">
            <v xml:space="preserve">E F DE CARVALHO CLIN DE </v>
          </cell>
          <cell r="D455">
            <v>1580.32</v>
          </cell>
          <cell r="E455">
            <v>0</v>
          </cell>
          <cell r="F455">
            <v>0</v>
          </cell>
          <cell r="G455">
            <v>0</v>
          </cell>
          <cell r="H455">
            <v>1580.32</v>
          </cell>
          <cell r="I455" t="str">
            <v>C</v>
          </cell>
        </row>
        <row r="456">
          <cell r="A456">
            <v>52567</v>
          </cell>
          <cell r="B456" t="str">
            <v>2.1.01.010.0155</v>
          </cell>
          <cell r="C456" t="str">
            <v xml:space="preserve">ECS SERVICOS DE SAUDE </v>
          </cell>
          <cell r="D456">
            <v>1470</v>
          </cell>
          <cell r="E456">
            <v>1470</v>
          </cell>
          <cell r="F456">
            <v>1911.23</v>
          </cell>
          <cell r="G456">
            <v>441.23</v>
          </cell>
          <cell r="H456">
            <v>1911.23</v>
          </cell>
          <cell r="I456" t="str">
            <v>C</v>
          </cell>
        </row>
        <row r="457">
          <cell r="A457">
            <v>32926</v>
          </cell>
          <cell r="B457" t="str">
            <v>2.1.01.010.0161</v>
          </cell>
          <cell r="C457" t="str">
            <v xml:space="preserve">EPL EMPREENDIMENTOS </v>
          </cell>
          <cell r="D457">
            <v>12462.5</v>
          </cell>
          <cell r="E457">
            <v>24625</v>
          </cell>
          <cell r="F457">
            <v>24625</v>
          </cell>
          <cell r="G457">
            <v>0</v>
          </cell>
          <cell r="H457">
            <v>12462.5</v>
          </cell>
          <cell r="I457" t="str">
            <v>C</v>
          </cell>
        </row>
        <row r="458">
          <cell r="A458">
            <v>51692</v>
          </cell>
          <cell r="B458" t="str">
            <v>2.1.01.010.0165</v>
          </cell>
          <cell r="C458" t="str">
            <v>FELICITA SERVICOS MEDICOS</v>
          </cell>
          <cell r="D458">
            <v>22751.9</v>
          </cell>
          <cell r="E458">
            <v>8961.6299999999992</v>
          </cell>
          <cell r="F458">
            <v>19428.47</v>
          </cell>
          <cell r="G458">
            <v>10466.84</v>
          </cell>
          <cell r="H458">
            <v>33218.74</v>
          </cell>
          <cell r="I458" t="str">
            <v>C</v>
          </cell>
        </row>
        <row r="459">
          <cell r="A459">
            <v>1964</v>
          </cell>
          <cell r="B459" t="str">
            <v>2.1.01.010.0167</v>
          </cell>
          <cell r="C459" t="str">
            <v xml:space="preserve">FEMICLIN SERVICOS MEDICOS </v>
          </cell>
          <cell r="D459">
            <v>2659.96</v>
          </cell>
          <cell r="E459">
            <v>2806.96</v>
          </cell>
          <cell r="F459">
            <v>4774.28</v>
          </cell>
          <cell r="G459">
            <v>1967.32</v>
          </cell>
          <cell r="H459">
            <v>4627.28</v>
          </cell>
          <cell r="I459" t="str">
            <v>C</v>
          </cell>
        </row>
        <row r="460">
          <cell r="A460">
            <v>52928</v>
          </cell>
          <cell r="B460" t="str">
            <v>2.1.01.010.0171</v>
          </cell>
          <cell r="C460" t="str">
            <v xml:space="preserve">FGD SERVICOS MEDICOS </v>
          </cell>
          <cell r="D460">
            <v>3144.12</v>
          </cell>
          <cell r="E460">
            <v>3144.12</v>
          </cell>
          <cell r="F460">
            <v>3930.15</v>
          </cell>
          <cell r="G460">
            <v>786.03</v>
          </cell>
          <cell r="H460">
            <v>3930.15</v>
          </cell>
          <cell r="I460" t="str">
            <v>C</v>
          </cell>
        </row>
        <row r="461">
          <cell r="A461">
            <v>53035</v>
          </cell>
          <cell r="B461" t="str">
            <v>2.1.01.010.0172</v>
          </cell>
          <cell r="C461" t="str">
            <v>FLECK SERVICOS MEDICOS</v>
          </cell>
          <cell r="D461">
            <v>25270.49</v>
          </cell>
          <cell r="E461">
            <v>24882</v>
          </cell>
          <cell r="F461">
            <v>23166</v>
          </cell>
          <cell r="G461">
            <v>-1716</v>
          </cell>
          <cell r="H461">
            <v>23554.49</v>
          </cell>
          <cell r="I461" t="str">
            <v>C</v>
          </cell>
        </row>
        <row r="462">
          <cell r="A462">
            <v>33531</v>
          </cell>
          <cell r="B462" t="str">
            <v>2.1.01.010.0173</v>
          </cell>
          <cell r="C462" t="str">
            <v xml:space="preserve">FLT MEDICOS ASSOCIADOS </v>
          </cell>
          <cell r="D462">
            <v>380.58</v>
          </cell>
          <cell r="E462">
            <v>0</v>
          </cell>
          <cell r="F462">
            <v>459.68</v>
          </cell>
          <cell r="G462">
            <v>459.68</v>
          </cell>
          <cell r="H462">
            <v>840.26</v>
          </cell>
          <cell r="I462" t="str">
            <v>C</v>
          </cell>
        </row>
        <row r="463">
          <cell r="A463">
            <v>12243</v>
          </cell>
          <cell r="B463" t="str">
            <v>2.1.01.010.0176</v>
          </cell>
          <cell r="C463" t="str">
            <v xml:space="preserve">FPS SERVICOS MEDICOS </v>
          </cell>
          <cell r="D463">
            <v>441</v>
          </cell>
          <cell r="E463">
            <v>0</v>
          </cell>
          <cell r="F463">
            <v>0</v>
          </cell>
          <cell r="G463">
            <v>0</v>
          </cell>
          <cell r="H463">
            <v>441</v>
          </cell>
          <cell r="I463" t="str">
            <v>C</v>
          </cell>
        </row>
        <row r="464">
          <cell r="A464">
            <v>51207</v>
          </cell>
          <cell r="B464" t="str">
            <v>2.1.01.010.0177</v>
          </cell>
          <cell r="C464" t="str">
            <v xml:space="preserve">FRATE SERVICOS MEDICOS </v>
          </cell>
          <cell r="D464">
            <v>55758.239999999998</v>
          </cell>
          <cell r="E464">
            <v>55401.84</v>
          </cell>
          <cell r="F464">
            <v>56133.23</v>
          </cell>
          <cell r="G464">
            <v>731.39</v>
          </cell>
          <cell r="H464">
            <v>56489.63</v>
          </cell>
          <cell r="I464" t="str">
            <v>C</v>
          </cell>
        </row>
        <row r="465">
          <cell r="A465">
            <v>36703</v>
          </cell>
          <cell r="B465" t="str">
            <v>2.1.01.010.0178</v>
          </cell>
          <cell r="C465" t="str">
            <v>FUNDACAO OSWALDO RAMOS</v>
          </cell>
          <cell r="D465">
            <v>550</v>
          </cell>
          <cell r="E465">
            <v>550</v>
          </cell>
          <cell r="F465">
            <v>0</v>
          </cell>
          <cell r="G465">
            <v>-550</v>
          </cell>
          <cell r="H465">
            <v>0</v>
          </cell>
          <cell r="I465" t="str">
            <v>C</v>
          </cell>
        </row>
        <row r="466">
          <cell r="A466">
            <v>51073</v>
          </cell>
          <cell r="B466" t="str">
            <v>2.1.01.010.0179</v>
          </cell>
          <cell r="C466" t="str">
            <v xml:space="preserve">G OTO SERVICOS MEDICOS </v>
          </cell>
          <cell r="D466">
            <v>3421.88</v>
          </cell>
          <cell r="E466">
            <v>3024.62</v>
          </cell>
          <cell r="F466">
            <v>4884.38</v>
          </cell>
          <cell r="G466">
            <v>1859.76</v>
          </cell>
          <cell r="H466">
            <v>5281.64</v>
          </cell>
          <cell r="I466" t="str">
            <v>C</v>
          </cell>
        </row>
        <row r="467">
          <cell r="A467">
            <v>52724</v>
          </cell>
          <cell r="B467" t="str">
            <v>2.1.01.010.0182</v>
          </cell>
          <cell r="C467" t="str">
            <v xml:space="preserve">GAP ASSISTENCIA </v>
          </cell>
          <cell r="D467">
            <v>5070.78</v>
          </cell>
          <cell r="E467">
            <v>5070.78</v>
          </cell>
          <cell r="F467">
            <v>6761.04</v>
          </cell>
          <cell r="G467">
            <v>1690.26</v>
          </cell>
          <cell r="H467">
            <v>6761.04</v>
          </cell>
          <cell r="I467" t="str">
            <v>C</v>
          </cell>
        </row>
        <row r="468">
          <cell r="A468">
            <v>38054</v>
          </cell>
          <cell r="B468" t="str">
            <v>2.1.01.010.0183</v>
          </cell>
          <cell r="C468" t="str">
            <v xml:space="preserve">GARCIA E SIMOES MEDICOS </v>
          </cell>
          <cell r="D468">
            <v>5263.11</v>
          </cell>
          <cell r="E468">
            <v>1560.88</v>
          </cell>
          <cell r="F468">
            <v>1043</v>
          </cell>
          <cell r="G468">
            <v>-517.88</v>
          </cell>
          <cell r="H468">
            <v>4745.2299999999996</v>
          </cell>
          <cell r="I468" t="str">
            <v>C</v>
          </cell>
        </row>
        <row r="469">
          <cell r="A469">
            <v>52901</v>
          </cell>
          <cell r="B469" t="str">
            <v>2.1.01.010.0184</v>
          </cell>
          <cell r="C469" t="str">
            <v xml:space="preserve">GASPARINI E MIYAMOTO </v>
          </cell>
          <cell r="D469">
            <v>13286.48</v>
          </cell>
          <cell r="E469">
            <v>11994.75</v>
          </cell>
          <cell r="F469">
            <v>15286.79</v>
          </cell>
          <cell r="G469">
            <v>3292.04</v>
          </cell>
          <cell r="H469">
            <v>16578.52</v>
          </cell>
          <cell r="I469" t="str">
            <v>C</v>
          </cell>
        </row>
        <row r="470">
          <cell r="A470">
            <v>51072</v>
          </cell>
          <cell r="B470" t="str">
            <v>2.1.01.010.0185</v>
          </cell>
          <cell r="C470" t="str">
            <v xml:space="preserve">GENEOCLIN GINECO E OBST </v>
          </cell>
          <cell r="D470">
            <v>1108.69</v>
          </cell>
          <cell r="E470">
            <v>1108.69</v>
          </cell>
          <cell r="F470">
            <v>1867.4</v>
          </cell>
          <cell r="G470">
            <v>758.71</v>
          </cell>
          <cell r="H470">
            <v>1867.4</v>
          </cell>
          <cell r="I470" t="str">
            <v>C</v>
          </cell>
        </row>
        <row r="471">
          <cell r="A471">
            <v>52561</v>
          </cell>
          <cell r="B471" t="str">
            <v>2.1.01.010.0186</v>
          </cell>
          <cell r="C471" t="str">
            <v xml:space="preserve">GINEVALE SERVICOS </v>
          </cell>
          <cell r="D471">
            <v>8690.08</v>
          </cell>
          <cell r="E471">
            <v>2860.39</v>
          </cell>
          <cell r="F471">
            <v>5912.63</v>
          </cell>
          <cell r="G471">
            <v>3052.24</v>
          </cell>
          <cell r="H471">
            <v>11742.32</v>
          </cell>
          <cell r="I471" t="str">
            <v>C</v>
          </cell>
        </row>
        <row r="472">
          <cell r="A472">
            <v>52282</v>
          </cell>
          <cell r="B472" t="str">
            <v>2.1.01.010.0187</v>
          </cell>
          <cell r="C472" t="str">
            <v xml:space="preserve">GOC SERVICOS MEDICOS </v>
          </cell>
          <cell r="D472">
            <v>632.96</v>
          </cell>
          <cell r="E472">
            <v>66.56</v>
          </cell>
          <cell r="F472">
            <v>374.4</v>
          </cell>
          <cell r="G472">
            <v>307.83999999999997</v>
          </cell>
          <cell r="H472">
            <v>940.8</v>
          </cell>
          <cell r="I472" t="str">
            <v>C</v>
          </cell>
        </row>
        <row r="473">
          <cell r="A473">
            <v>33784</v>
          </cell>
          <cell r="B473" t="str">
            <v>2.1.01.010.0191</v>
          </cell>
          <cell r="C473" t="str">
            <v xml:space="preserve">HAMILTON ALVES BONNO E </v>
          </cell>
          <cell r="D473">
            <v>40745.980000000003</v>
          </cell>
          <cell r="E473">
            <v>40745.980000000003</v>
          </cell>
          <cell r="F473">
            <v>42882.65</v>
          </cell>
          <cell r="G473">
            <v>2136.67</v>
          </cell>
          <cell r="H473">
            <v>42882.65</v>
          </cell>
          <cell r="I473" t="str">
            <v>C</v>
          </cell>
        </row>
        <row r="474">
          <cell r="A474">
            <v>52807</v>
          </cell>
          <cell r="B474" t="str">
            <v>2.1.01.010.0193</v>
          </cell>
          <cell r="C474" t="str">
            <v xml:space="preserve">HEIDENBEL E SILVA SERV </v>
          </cell>
          <cell r="D474">
            <v>8510.4</v>
          </cell>
          <cell r="E474">
            <v>8510.4</v>
          </cell>
          <cell r="F474">
            <v>11465.4</v>
          </cell>
          <cell r="G474">
            <v>2955</v>
          </cell>
          <cell r="H474">
            <v>11465.4</v>
          </cell>
          <cell r="I474" t="str">
            <v>C</v>
          </cell>
        </row>
        <row r="475">
          <cell r="A475">
            <v>51794</v>
          </cell>
          <cell r="B475" t="str">
            <v>2.1.01.010.0195</v>
          </cell>
          <cell r="C475" t="str">
            <v xml:space="preserve">HERNANDES E CESARIO </v>
          </cell>
          <cell r="D475">
            <v>132803.18</v>
          </cell>
          <cell r="E475">
            <v>133043.78</v>
          </cell>
          <cell r="F475">
            <v>55472.480000000003</v>
          </cell>
          <cell r="G475">
            <v>-77571.3</v>
          </cell>
          <cell r="H475">
            <v>55231.88</v>
          </cell>
          <cell r="I475" t="str">
            <v>C</v>
          </cell>
        </row>
        <row r="476">
          <cell r="A476">
            <v>1970</v>
          </cell>
          <cell r="B476" t="str">
            <v>2.1.01.010.0196</v>
          </cell>
          <cell r="C476" t="str">
            <v xml:space="preserve">IGED INST </v>
          </cell>
          <cell r="D476">
            <v>35451.86</v>
          </cell>
          <cell r="E476">
            <v>31819.65</v>
          </cell>
          <cell r="F476">
            <v>64310.25</v>
          </cell>
          <cell r="G476">
            <v>32490.6</v>
          </cell>
          <cell r="H476">
            <v>67942.460000000006</v>
          </cell>
          <cell r="I476" t="str">
            <v>C</v>
          </cell>
        </row>
        <row r="477">
          <cell r="A477">
            <v>1972</v>
          </cell>
          <cell r="B477" t="str">
            <v>2.1.01.010.0197</v>
          </cell>
          <cell r="C477" t="str">
            <v xml:space="preserve">IMES INSTITUTO MEDICO </v>
          </cell>
          <cell r="D477">
            <v>22217.45</v>
          </cell>
          <cell r="E477">
            <v>85026.13</v>
          </cell>
          <cell r="F477">
            <v>86286.96</v>
          </cell>
          <cell r="G477">
            <v>1260.83</v>
          </cell>
          <cell r="H477">
            <v>23478.28</v>
          </cell>
          <cell r="I477" t="str">
            <v>C</v>
          </cell>
        </row>
        <row r="478">
          <cell r="A478">
            <v>1973</v>
          </cell>
          <cell r="B478" t="str">
            <v>2.1.01.010.0198</v>
          </cell>
          <cell r="C478" t="str">
            <v xml:space="preserve">IMPROVE SERVICOS MEDICOS </v>
          </cell>
          <cell r="D478">
            <v>301.35000000000002</v>
          </cell>
          <cell r="E478">
            <v>0</v>
          </cell>
          <cell r="F478">
            <v>0</v>
          </cell>
          <cell r="G478">
            <v>0</v>
          </cell>
          <cell r="H478">
            <v>301.35000000000002</v>
          </cell>
          <cell r="I478" t="str">
            <v>C</v>
          </cell>
        </row>
        <row r="479">
          <cell r="A479">
            <v>52864</v>
          </cell>
          <cell r="B479" t="str">
            <v>2.1.01.010.0199</v>
          </cell>
          <cell r="C479" t="str">
            <v xml:space="preserve">INEP INSTITUTO DE MEDICINA </v>
          </cell>
          <cell r="D479">
            <v>9473</v>
          </cell>
          <cell r="E479">
            <v>9354</v>
          </cell>
          <cell r="F479">
            <v>15078.04</v>
          </cell>
          <cell r="G479">
            <v>5724.04</v>
          </cell>
          <cell r="H479">
            <v>15197.04</v>
          </cell>
          <cell r="I479" t="str">
            <v>C</v>
          </cell>
        </row>
        <row r="480">
          <cell r="A480">
            <v>51814</v>
          </cell>
          <cell r="B480" t="str">
            <v>2.1.01.010.0200</v>
          </cell>
          <cell r="C480" t="str">
            <v xml:space="preserve">INFANT CLINICA MEDICA </v>
          </cell>
          <cell r="D480">
            <v>6673.31</v>
          </cell>
          <cell r="E480">
            <v>1248.24</v>
          </cell>
          <cell r="F480">
            <v>3664.61</v>
          </cell>
          <cell r="G480">
            <v>2416.37</v>
          </cell>
          <cell r="H480">
            <v>9089.68</v>
          </cell>
          <cell r="I480" t="str">
            <v>C</v>
          </cell>
        </row>
        <row r="481">
          <cell r="A481">
            <v>51854</v>
          </cell>
          <cell r="B481" t="str">
            <v>2.1.01.010.0201</v>
          </cell>
          <cell r="C481" t="str">
            <v xml:space="preserve">INFANT SERVICOS </v>
          </cell>
          <cell r="D481">
            <v>8625.23</v>
          </cell>
          <cell r="E481">
            <v>1187.27</v>
          </cell>
          <cell r="F481">
            <v>3819.9</v>
          </cell>
          <cell r="G481">
            <v>2632.63</v>
          </cell>
          <cell r="H481">
            <v>11257.86</v>
          </cell>
          <cell r="I481" t="str">
            <v>C</v>
          </cell>
        </row>
        <row r="482">
          <cell r="A482">
            <v>1976</v>
          </cell>
          <cell r="B482" t="str">
            <v>2.1.01.010.0203</v>
          </cell>
          <cell r="C482" t="str">
            <v xml:space="preserve">INST OLHOS DR ROBERTO </v>
          </cell>
          <cell r="D482">
            <v>841.88</v>
          </cell>
          <cell r="E482">
            <v>0</v>
          </cell>
          <cell r="F482">
            <v>0</v>
          </cell>
          <cell r="G482">
            <v>0</v>
          </cell>
          <cell r="H482">
            <v>841.88</v>
          </cell>
          <cell r="I482" t="str">
            <v>C</v>
          </cell>
        </row>
        <row r="483">
          <cell r="A483">
            <v>50972</v>
          </cell>
          <cell r="B483" t="str">
            <v>2.1.01.010.0204</v>
          </cell>
          <cell r="C483" t="str">
            <v xml:space="preserve">INSTITUTO DE OFTALMOLOGIA </v>
          </cell>
          <cell r="D483">
            <v>16480.03</v>
          </cell>
          <cell r="E483">
            <v>18477.61</v>
          </cell>
          <cell r="F483">
            <v>5493.34</v>
          </cell>
          <cell r="G483">
            <v>-12984.27</v>
          </cell>
          <cell r="H483">
            <v>3495.76</v>
          </cell>
          <cell r="I483" t="str">
            <v>C</v>
          </cell>
        </row>
        <row r="484">
          <cell r="A484">
            <v>51674</v>
          </cell>
          <cell r="B484" t="str">
            <v>2.1.01.010.0206</v>
          </cell>
          <cell r="C484" t="str">
            <v xml:space="preserve">INSTITUTO DE UROLOGIA DE </v>
          </cell>
          <cell r="D484">
            <v>360</v>
          </cell>
          <cell r="E484">
            <v>22366.25</v>
          </cell>
          <cell r="F484">
            <v>22366.25</v>
          </cell>
          <cell r="G484">
            <v>0</v>
          </cell>
          <cell r="H484">
            <v>360</v>
          </cell>
          <cell r="I484" t="str">
            <v>C</v>
          </cell>
        </row>
        <row r="485">
          <cell r="A485">
            <v>51367</v>
          </cell>
          <cell r="B485" t="str">
            <v>2.1.01.010.0207</v>
          </cell>
          <cell r="C485" t="str">
            <v xml:space="preserve">JL CARVALHO SERV MED SS </v>
          </cell>
          <cell r="D485">
            <v>599.9</v>
          </cell>
          <cell r="E485">
            <v>0</v>
          </cell>
          <cell r="F485">
            <v>0</v>
          </cell>
          <cell r="G485">
            <v>0</v>
          </cell>
          <cell r="H485">
            <v>599.9</v>
          </cell>
          <cell r="I485" t="str">
            <v>C</v>
          </cell>
        </row>
        <row r="486">
          <cell r="A486">
            <v>36876</v>
          </cell>
          <cell r="B486" t="str">
            <v>2.1.01.010.0209</v>
          </cell>
          <cell r="C486" t="str">
            <v xml:space="preserve">JMR SERVICOS MEDICOS </v>
          </cell>
          <cell r="D486">
            <v>212.94</v>
          </cell>
          <cell r="E486">
            <v>0</v>
          </cell>
          <cell r="F486">
            <v>0</v>
          </cell>
          <cell r="G486">
            <v>0</v>
          </cell>
          <cell r="H486">
            <v>212.94</v>
          </cell>
          <cell r="I486" t="str">
            <v>C</v>
          </cell>
        </row>
        <row r="487">
          <cell r="A487">
            <v>52090</v>
          </cell>
          <cell r="B487" t="str">
            <v>2.1.01.010.0213</v>
          </cell>
          <cell r="C487" t="str">
            <v xml:space="preserve">JPP MEDICOS ASSOCIADOS </v>
          </cell>
          <cell r="D487">
            <v>3837.41</v>
          </cell>
          <cell r="E487">
            <v>2153.7800000000002</v>
          </cell>
          <cell r="F487">
            <v>2881.5</v>
          </cell>
          <cell r="G487">
            <v>727.72</v>
          </cell>
          <cell r="H487">
            <v>4565.13</v>
          </cell>
          <cell r="I487" t="str">
            <v>C</v>
          </cell>
        </row>
        <row r="488">
          <cell r="A488">
            <v>52093</v>
          </cell>
          <cell r="B488" t="str">
            <v>2.1.01.010.0214</v>
          </cell>
          <cell r="C488" t="str">
            <v>JRP SERVICOS MEDICOS LTDA</v>
          </cell>
          <cell r="D488">
            <v>13579.39</v>
          </cell>
          <cell r="E488">
            <v>12036.58</v>
          </cell>
          <cell r="F488">
            <v>11113.33</v>
          </cell>
          <cell r="G488">
            <v>-923.25</v>
          </cell>
          <cell r="H488">
            <v>12656.14</v>
          </cell>
          <cell r="I488" t="str">
            <v>C</v>
          </cell>
        </row>
        <row r="489">
          <cell r="A489">
            <v>51691</v>
          </cell>
          <cell r="B489" t="str">
            <v>2.1.01.010.0216</v>
          </cell>
          <cell r="C489" t="str">
            <v xml:space="preserve">JULIANA NETO CLINICA DA </v>
          </cell>
          <cell r="D489">
            <v>1761.41</v>
          </cell>
          <cell r="E489">
            <v>0</v>
          </cell>
          <cell r="F489">
            <v>0</v>
          </cell>
          <cell r="G489">
            <v>0</v>
          </cell>
          <cell r="H489">
            <v>1761.41</v>
          </cell>
          <cell r="I489" t="str">
            <v>C</v>
          </cell>
        </row>
        <row r="490">
          <cell r="A490">
            <v>51737</v>
          </cell>
          <cell r="B490" t="str">
            <v>2.1.01.010.0218</v>
          </cell>
          <cell r="C490" t="str">
            <v xml:space="preserve">JVLC  SERVICOS DE SAUDE </v>
          </cell>
          <cell r="D490">
            <v>4885.4399999999996</v>
          </cell>
          <cell r="E490">
            <v>4728</v>
          </cell>
          <cell r="F490">
            <v>6028.2</v>
          </cell>
          <cell r="G490">
            <v>1300.2</v>
          </cell>
          <cell r="H490">
            <v>6185.64</v>
          </cell>
          <cell r="I490" t="str">
            <v>C</v>
          </cell>
        </row>
        <row r="491">
          <cell r="A491">
            <v>51267</v>
          </cell>
          <cell r="B491" t="str">
            <v>2.1.01.010.0224</v>
          </cell>
          <cell r="C491" t="str">
            <v>TLS SERVICOS MEDICOS LTDA</v>
          </cell>
          <cell r="D491">
            <v>639.6</v>
          </cell>
          <cell r="E491">
            <v>0</v>
          </cell>
          <cell r="F491">
            <v>0</v>
          </cell>
          <cell r="G491">
            <v>0</v>
          </cell>
          <cell r="H491">
            <v>639.6</v>
          </cell>
          <cell r="I491" t="str">
            <v>C</v>
          </cell>
        </row>
        <row r="492">
          <cell r="A492">
            <v>1951</v>
          </cell>
          <cell r="B492" t="str">
            <v>2.1.01.010.0225</v>
          </cell>
          <cell r="C492" t="str">
            <v xml:space="preserve">LARISA S SANTOS E GLAUCIA </v>
          </cell>
          <cell r="D492">
            <v>1170.4000000000001</v>
          </cell>
          <cell r="E492">
            <v>0</v>
          </cell>
          <cell r="F492">
            <v>0</v>
          </cell>
          <cell r="G492">
            <v>0</v>
          </cell>
          <cell r="H492">
            <v>1170.4000000000001</v>
          </cell>
          <cell r="I492" t="str">
            <v>C</v>
          </cell>
        </row>
        <row r="493">
          <cell r="A493">
            <v>52344</v>
          </cell>
          <cell r="B493" t="str">
            <v>2.1.01.010.0226</v>
          </cell>
          <cell r="C493" t="str">
            <v>LAVRADO E CIA LTDA ME</v>
          </cell>
          <cell r="D493">
            <v>2232.64</v>
          </cell>
          <cell r="E493">
            <v>1845.8</v>
          </cell>
          <cell r="F493">
            <v>1909.23</v>
          </cell>
          <cell r="G493">
            <v>63.43</v>
          </cell>
          <cell r="H493">
            <v>2296.0700000000002</v>
          </cell>
          <cell r="I493" t="str">
            <v>C</v>
          </cell>
        </row>
        <row r="494">
          <cell r="A494">
            <v>52630</v>
          </cell>
          <cell r="B494" t="str">
            <v>2.1.01.010.0227</v>
          </cell>
          <cell r="C494" t="str">
            <v xml:space="preserve">LEANDRO AVELAR VAZ </v>
          </cell>
          <cell r="D494">
            <v>15703.28</v>
          </cell>
          <cell r="E494">
            <v>12623.82</v>
          </cell>
          <cell r="F494">
            <v>25823.15</v>
          </cell>
          <cell r="G494">
            <v>13199.33</v>
          </cell>
          <cell r="H494">
            <v>28902.61</v>
          </cell>
          <cell r="I494" t="str">
            <v>C</v>
          </cell>
        </row>
        <row r="495">
          <cell r="A495">
            <v>1986</v>
          </cell>
          <cell r="B495" t="str">
            <v>2.1.01.010.0228</v>
          </cell>
          <cell r="C495" t="str">
            <v xml:space="preserve">LEITE E SOUZA CLINICA </v>
          </cell>
          <cell r="D495">
            <v>0</v>
          </cell>
          <cell r="E495">
            <v>3611.08</v>
          </cell>
          <cell r="F495">
            <v>8836.08</v>
          </cell>
          <cell r="G495">
            <v>5225</v>
          </cell>
          <cell r="H495">
            <v>5225</v>
          </cell>
          <cell r="I495" t="str">
            <v>C</v>
          </cell>
        </row>
        <row r="496">
          <cell r="A496">
            <v>52980</v>
          </cell>
          <cell r="B496" t="str">
            <v>2.1.01.010.0229</v>
          </cell>
          <cell r="C496" t="str">
            <v xml:space="preserve">LEME E BARRETTO SERVICOS </v>
          </cell>
          <cell r="D496">
            <v>75.239999999999995</v>
          </cell>
          <cell r="E496">
            <v>0</v>
          </cell>
          <cell r="F496">
            <v>0</v>
          </cell>
          <cell r="G496">
            <v>0</v>
          </cell>
          <cell r="H496">
            <v>75.239999999999995</v>
          </cell>
          <cell r="I496" t="str">
            <v>C</v>
          </cell>
        </row>
        <row r="497">
          <cell r="A497">
            <v>51519</v>
          </cell>
          <cell r="B497" t="str">
            <v>2.1.01.010.0232</v>
          </cell>
          <cell r="C497" t="str">
            <v xml:space="preserve">LUCALI SERVICOS MEDICOS </v>
          </cell>
          <cell r="D497">
            <v>63016.36</v>
          </cell>
          <cell r="E497">
            <v>63016.36</v>
          </cell>
          <cell r="F497">
            <v>82454.350000000006</v>
          </cell>
          <cell r="G497">
            <v>19437.990000000002</v>
          </cell>
          <cell r="H497">
            <v>82454.350000000006</v>
          </cell>
          <cell r="I497" t="str">
            <v>C</v>
          </cell>
        </row>
        <row r="498">
          <cell r="A498">
            <v>52958</v>
          </cell>
          <cell r="B498" t="str">
            <v>2.1.01.010.0233</v>
          </cell>
          <cell r="C498" t="str">
            <v xml:space="preserve">LUIS OSCAR VALVERDE SERV </v>
          </cell>
          <cell r="D498">
            <v>19795.59</v>
          </cell>
          <cell r="E498">
            <v>11304.84</v>
          </cell>
          <cell r="F498">
            <v>10526.62</v>
          </cell>
          <cell r="G498">
            <v>-778.22</v>
          </cell>
          <cell r="H498">
            <v>19017.37</v>
          </cell>
          <cell r="I498" t="str">
            <v>C</v>
          </cell>
        </row>
        <row r="499">
          <cell r="A499">
            <v>52866</v>
          </cell>
          <cell r="B499" t="str">
            <v>2.1.01.010.0234</v>
          </cell>
          <cell r="C499" t="str">
            <v>MAA DE OLIVEIRA CLINICA ME</v>
          </cell>
          <cell r="D499">
            <v>726.04</v>
          </cell>
          <cell r="E499">
            <v>936.04</v>
          </cell>
          <cell r="F499">
            <v>1349.74</v>
          </cell>
          <cell r="G499">
            <v>413.7</v>
          </cell>
          <cell r="H499">
            <v>1139.74</v>
          </cell>
          <cell r="I499" t="str">
            <v>C</v>
          </cell>
        </row>
        <row r="500">
          <cell r="A500">
            <v>50937</v>
          </cell>
          <cell r="B500" t="str">
            <v>2.1.01.010.0237</v>
          </cell>
          <cell r="C500" t="str">
            <v xml:space="preserve">MS SERVICOS MEDICOS </v>
          </cell>
          <cell r="D500">
            <v>22047.21</v>
          </cell>
          <cell r="E500">
            <v>21846.959999999999</v>
          </cell>
          <cell r="F500">
            <v>21846.959999999999</v>
          </cell>
          <cell r="G500">
            <v>0</v>
          </cell>
          <cell r="H500">
            <v>22047.21</v>
          </cell>
          <cell r="I500" t="str">
            <v>C</v>
          </cell>
        </row>
        <row r="501">
          <cell r="A501">
            <v>52789</v>
          </cell>
          <cell r="B501" t="str">
            <v>2.1.01.010.0238</v>
          </cell>
          <cell r="C501" t="str">
            <v xml:space="preserve">MD PIRES SERV DE ASSIST </v>
          </cell>
          <cell r="D501">
            <v>28.8</v>
          </cell>
          <cell r="E501">
            <v>0</v>
          </cell>
          <cell r="F501">
            <v>0</v>
          </cell>
          <cell r="G501">
            <v>0</v>
          </cell>
          <cell r="H501">
            <v>28.8</v>
          </cell>
          <cell r="I501" t="str">
            <v>C</v>
          </cell>
        </row>
        <row r="502">
          <cell r="A502">
            <v>51656</v>
          </cell>
          <cell r="B502" t="str">
            <v>2.1.01.010.0242</v>
          </cell>
          <cell r="C502" t="str">
            <v xml:space="preserve">MARCELLE SA MACHADO </v>
          </cell>
          <cell r="D502">
            <v>88.4</v>
          </cell>
          <cell r="E502">
            <v>0</v>
          </cell>
          <cell r="F502">
            <v>0</v>
          </cell>
          <cell r="G502">
            <v>0</v>
          </cell>
          <cell r="H502">
            <v>88.4</v>
          </cell>
          <cell r="I502" t="str">
            <v>C</v>
          </cell>
        </row>
        <row r="503">
          <cell r="A503">
            <v>1990</v>
          </cell>
          <cell r="B503" t="str">
            <v>2.1.01.010.0244</v>
          </cell>
          <cell r="C503" t="str">
            <v xml:space="preserve">MASTER PRO SAUDE SERV </v>
          </cell>
          <cell r="D503">
            <v>18849.86</v>
          </cell>
          <cell r="E503">
            <v>19393.310000000001</v>
          </cell>
          <cell r="F503">
            <v>15824.15</v>
          </cell>
          <cell r="G503">
            <v>-3569.16</v>
          </cell>
          <cell r="H503">
            <v>15280.7</v>
          </cell>
          <cell r="I503" t="str">
            <v>C</v>
          </cell>
        </row>
        <row r="504">
          <cell r="A504">
            <v>51730</v>
          </cell>
          <cell r="B504" t="str">
            <v>2.1.01.010.0245</v>
          </cell>
          <cell r="C504" t="str">
            <v>MATER E VIDA</v>
          </cell>
          <cell r="D504">
            <v>341.12</v>
          </cell>
          <cell r="E504">
            <v>0</v>
          </cell>
          <cell r="F504">
            <v>0</v>
          </cell>
          <cell r="G504">
            <v>0</v>
          </cell>
          <cell r="H504">
            <v>341.12</v>
          </cell>
          <cell r="I504" t="str">
            <v>C</v>
          </cell>
        </row>
        <row r="505">
          <cell r="A505">
            <v>1914</v>
          </cell>
          <cell r="B505" t="str">
            <v>2.1.01.010.0249</v>
          </cell>
          <cell r="C505" t="str">
            <v xml:space="preserve">MDR ASSES MED TRABALHO </v>
          </cell>
          <cell r="D505">
            <v>2910.06</v>
          </cell>
          <cell r="E505">
            <v>5776.57</v>
          </cell>
          <cell r="F505">
            <v>2866.51</v>
          </cell>
          <cell r="G505">
            <v>-2910.06</v>
          </cell>
          <cell r="H505">
            <v>0</v>
          </cell>
          <cell r="I505" t="str">
            <v>C</v>
          </cell>
        </row>
        <row r="506">
          <cell r="A506">
            <v>51040</v>
          </cell>
          <cell r="B506" t="str">
            <v>2.1.01.010.0251</v>
          </cell>
          <cell r="C506" t="str">
            <v xml:space="preserve">MED PAULISTA SERVICOS </v>
          </cell>
          <cell r="D506">
            <v>6254.04</v>
          </cell>
          <cell r="E506">
            <v>5934.08</v>
          </cell>
          <cell r="F506">
            <v>5934.08</v>
          </cell>
          <cell r="G506">
            <v>0</v>
          </cell>
          <cell r="H506">
            <v>6254.04</v>
          </cell>
          <cell r="I506" t="str">
            <v>C</v>
          </cell>
        </row>
        <row r="507">
          <cell r="A507">
            <v>51208</v>
          </cell>
          <cell r="B507" t="str">
            <v>2.1.01.010.0252</v>
          </cell>
          <cell r="C507" t="str">
            <v xml:space="preserve">MEDCOSTA ASSISTENCIA </v>
          </cell>
          <cell r="D507">
            <v>10235.41</v>
          </cell>
          <cell r="E507">
            <v>5246.25</v>
          </cell>
          <cell r="F507">
            <v>6182.91</v>
          </cell>
          <cell r="G507">
            <v>936.66</v>
          </cell>
          <cell r="H507">
            <v>11172.07</v>
          </cell>
          <cell r="I507" t="str">
            <v>C</v>
          </cell>
        </row>
        <row r="508">
          <cell r="A508">
            <v>52788</v>
          </cell>
          <cell r="B508" t="str">
            <v>2.1.01.010.0255</v>
          </cell>
          <cell r="C508" t="str">
            <v xml:space="preserve">MEDICO FACIL SERVICOS </v>
          </cell>
          <cell r="D508">
            <v>542.4</v>
          </cell>
          <cell r="E508">
            <v>0</v>
          </cell>
          <cell r="F508">
            <v>0</v>
          </cell>
          <cell r="G508">
            <v>0</v>
          </cell>
          <cell r="H508">
            <v>542.4</v>
          </cell>
          <cell r="I508" t="str">
            <v>C</v>
          </cell>
        </row>
        <row r="509">
          <cell r="A509">
            <v>51282</v>
          </cell>
          <cell r="B509" t="str">
            <v>2.1.01.010.0256</v>
          </cell>
          <cell r="C509" t="str">
            <v xml:space="preserve">MEDSANTE SERVICOS </v>
          </cell>
          <cell r="D509">
            <v>6716.32</v>
          </cell>
          <cell r="E509">
            <v>5107.22</v>
          </cell>
          <cell r="F509">
            <v>5430.91</v>
          </cell>
          <cell r="G509">
            <v>323.69</v>
          </cell>
          <cell r="H509">
            <v>7040.01</v>
          </cell>
          <cell r="I509" t="str">
            <v>C</v>
          </cell>
        </row>
        <row r="510">
          <cell r="A510">
            <v>51459</v>
          </cell>
          <cell r="B510" t="str">
            <v>2.1.01.010.0258</v>
          </cell>
          <cell r="C510" t="str">
            <v xml:space="preserve">MESQUITA E MESQUITA </v>
          </cell>
          <cell r="D510">
            <v>0</v>
          </cell>
          <cell r="E510">
            <v>0</v>
          </cell>
          <cell r="F510">
            <v>2796.5</v>
          </cell>
          <cell r="G510">
            <v>2796.5</v>
          </cell>
          <cell r="H510">
            <v>2796.5</v>
          </cell>
          <cell r="I510" t="str">
            <v>C</v>
          </cell>
        </row>
        <row r="511">
          <cell r="A511">
            <v>52053</v>
          </cell>
          <cell r="B511" t="str">
            <v>2.1.01.010.0259</v>
          </cell>
          <cell r="C511" t="str">
            <v xml:space="preserve">MEZZAVILLA FERREIRA SERV </v>
          </cell>
          <cell r="D511">
            <v>10183.52</v>
          </cell>
          <cell r="E511">
            <v>45215.43</v>
          </cell>
          <cell r="F511">
            <v>47808.38</v>
          </cell>
          <cell r="G511">
            <v>2592.9499999999998</v>
          </cell>
          <cell r="H511">
            <v>12776.47</v>
          </cell>
          <cell r="I511" t="str">
            <v>C</v>
          </cell>
        </row>
        <row r="512">
          <cell r="A512">
            <v>52760</v>
          </cell>
          <cell r="B512" t="str">
            <v>2.1.01.010.0261</v>
          </cell>
          <cell r="C512" t="str">
            <v xml:space="preserve">MIOLA E MENEZES SERVICOS </v>
          </cell>
          <cell r="D512">
            <v>3305.33</v>
          </cell>
          <cell r="E512">
            <v>0</v>
          </cell>
          <cell r="F512">
            <v>0</v>
          </cell>
          <cell r="G512">
            <v>0</v>
          </cell>
          <cell r="H512">
            <v>3305.33</v>
          </cell>
          <cell r="I512" t="str">
            <v>C</v>
          </cell>
        </row>
        <row r="513">
          <cell r="A513">
            <v>51226</v>
          </cell>
          <cell r="B513" t="str">
            <v>2.1.01.010.0263</v>
          </cell>
          <cell r="C513" t="str">
            <v xml:space="preserve">MORAES E SANCHES </v>
          </cell>
          <cell r="D513">
            <v>1760.26</v>
          </cell>
          <cell r="E513">
            <v>15329.13</v>
          </cell>
          <cell r="F513">
            <v>14749.52</v>
          </cell>
          <cell r="G513">
            <v>-579.61</v>
          </cell>
          <cell r="H513">
            <v>1180.6500000000001</v>
          </cell>
          <cell r="I513" t="str">
            <v>C</v>
          </cell>
        </row>
        <row r="514">
          <cell r="A514">
            <v>50951</v>
          </cell>
          <cell r="B514" t="str">
            <v>2.1.01.010.0264</v>
          </cell>
          <cell r="C514" t="str">
            <v xml:space="preserve">MOURA E BERNARDO SERV </v>
          </cell>
          <cell r="D514">
            <v>106.95</v>
          </cell>
          <cell r="E514">
            <v>106.95</v>
          </cell>
          <cell r="F514">
            <v>0</v>
          </cell>
          <cell r="G514">
            <v>-106.95</v>
          </cell>
          <cell r="H514">
            <v>0</v>
          </cell>
          <cell r="I514" t="str">
            <v>C</v>
          </cell>
        </row>
        <row r="515">
          <cell r="A515">
            <v>34223</v>
          </cell>
          <cell r="B515" t="str">
            <v>2.1.01.010.0265</v>
          </cell>
          <cell r="C515" t="str">
            <v xml:space="preserve">MOURA E VOLU SERVICOS </v>
          </cell>
          <cell r="D515">
            <v>20323.46</v>
          </cell>
          <cell r="E515">
            <v>26525.919999999998</v>
          </cell>
          <cell r="F515">
            <v>33466.720000000001</v>
          </cell>
          <cell r="G515">
            <v>6940.8</v>
          </cell>
          <cell r="H515">
            <v>27264.26</v>
          </cell>
          <cell r="I515" t="str">
            <v>C</v>
          </cell>
        </row>
        <row r="516">
          <cell r="A516">
            <v>51660</v>
          </cell>
          <cell r="B516" t="str">
            <v>2.1.01.010.0267</v>
          </cell>
          <cell r="C516" t="str">
            <v>NAME RADIOLOGIA LTDA</v>
          </cell>
          <cell r="D516">
            <v>3535.16</v>
          </cell>
          <cell r="E516">
            <v>3535.16</v>
          </cell>
          <cell r="F516">
            <v>7613.56</v>
          </cell>
          <cell r="G516">
            <v>4078.4</v>
          </cell>
          <cell r="H516">
            <v>7613.56</v>
          </cell>
          <cell r="I516" t="str">
            <v>C</v>
          </cell>
        </row>
        <row r="517">
          <cell r="A517">
            <v>12185</v>
          </cell>
          <cell r="B517" t="str">
            <v>2.1.01.010.0268</v>
          </cell>
          <cell r="C517" t="str">
            <v xml:space="preserve">NAO UTILIZAR - HON MED </v>
          </cell>
          <cell r="D517">
            <v>1481.4</v>
          </cell>
          <cell r="E517">
            <v>0</v>
          </cell>
          <cell r="F517">
            <v>0</v>
          </cell>
          <cell r="G517">
            <v>0</v>
          </cell>
          <cell r="H517">
            <v>1481.4</v>
          </cell>
          <cell r="I517" t="str">
            <v>C</v>
          </cell>
        </row>
        <row r="518">
          <cell r="A518">
            <v>1995</v>
          </cell>
          <cell r="B518" t="str">
            <v>2.1.01.010.0269</v>
          </cell>
          <cell r="C518" t="str">
            <v>NEFROCOR SC LTDA</v>
          </cell>
          <cell r="D518">
            <v>82.8</v>
          </cell>
          <cell r="E518">
            <v>0</v>
          </cell>
          <cell r="F518">
            <v>0</v>
          </cell>
          <cell r="G518">
            <v>0</v>
          </cell>
          <cell r="H518">
            <v>82.8</v>
          </cell>
          <cell r="I518" t="str">
            <v>C</v>
          </cell>
        </row>
        <row r="519">
          <cell r="A519">
            <v>1996</v>
          </cell>
          <cell r="B519" t="str">
            <v>2.1.01.010.0270</v>
          </cell>
          <cell r="C519" t="str">
            <v>NEFROMED SC LTDA ( * )</v>
          </cell>
          <cell r="D519">
            <v>1633607.41</v>
          </cell>
          <cell r="E519">
            <v>958909.74</v>
          </cell>
          <cell r="F519">
            <v>954910.51</v>
          </cell>
          <cell r="G519">
            <v>-3999.23</v>
          </cell>
          <cell r="H519">
            <v>1629608.18</v>
          </cell>
          <cell r="I519" t="str">
            <v>C</v>
          </cell>
        </row>
        <row r="520">
          <cell r="A520">
            <v>51797</v>
          </cell>
          <cell r="B520" t="str">
            <v>2.1.01.010.0273</v>
          </cell>
          <cell r="C520" t="str">
            <v xml:space="preserve">NEOCARE SERVICOS </v>
          </cell>
          <cell r="D520">
            <v>31410.66</v>
          </cell>
          <cell r="E520">
            <v>31410.66</v>
          </cell>
          <cell r="F520">
            <v>36904</v>
          </cell>
          <cell r="G520">
            <v>5493.34</v>
          </cell>
          <cell r="H520">
            <v>36904</v>
          </cell>
          <cell r="I520" t="str">
            <v>C</v>
          </cell>
        </row>
        <row r="521">
          <cell r="A521">
            <v>53024</v>
          </cell>
          <cell r="B521" t="str">
            <v>2.1.01.010.0276</v>
          </cell>
          <cell r="C521" t="str">
            <v xml:space="preserve">NISHICOR SERVICOS </v>
          </cell>
          <cell r="D521">
            <v>8713.61</v>
          </cell>
          <cell r="E521">
            <v>31975.02</v>
          </cell>
          <cell r="F521">
            <v>32972.959999999999</v>
          </cell>
          <cell r="G521">
            <v>997.94</v>
          </cell>
          <cell r="H521">
            <v>9711.5499999999993</v>
          </cell>
          <cell r="I521" t="str">
            <v>C</v>
          </cell>
        </row>
        <row r="522">
          <cell r="A522">
            <v>51771</v>
          </cell>
          <cell r="B522" t="str">
            <v>2.1.01.010.0279</v>
          </cell>
          <cell r="C522" t="str">
            <v>NUCLEAR SERVICE LTDA</v>
          </cell>
          <cell r="D522">
            <v>631.26</v>
          </cell>
          <cell r="E522">
            <v>631.26</v>
          </cell>
          <cell r="F522">
            <v>20025.189999999999</v>
          </cell>
          <cell r="G522">
            <v>19393.93</v>
          </cell>
          <cell r="H522">
            <v>20025.189999999999</v>
          </cell>
          <cell r="I522" t="str">
            <v>C</v>
          </cell>
        </row>
        <row r="523">
          <cell r="A523">
            <v>38856</v>
          </cell>
          <cell r="B523" t="str">
            <v>2.1.01.010.0280</v>
          </cell>
          <cell r="C523" t="str">
            <v xml:space="preserve">NUCLEO DE CIRURGIA DA </v>
          </cell>
          <cell r="D523">
            <v>319.8</v>
          </cell>
          <cell r="E523">
            <v>0</v>
          </cell>
          <cell r="F523">
            <v>77</v>
          </cell>
          <cell r="G523">
            <v>77</v>
          </cell>
          <cell r="H523">
            <v>396.8</v>
          </cell>
          <cell r="I523" t="str">
            <v>C</v>
          </cell>
        </row>
        <row r="524">
          <cell r="A524">
            <v>52867</v>
          </cell>
          <cell r="B524" t="str">
            <v>2.1.01.010.0281</v>
          </cell>
          <cell r="C524" t="str">
            <v xml:space="preserve">NUNES E MARTINS CLINICA </v>
          </cell>
          <cell r="D524">
            <v>65.599999999999994</v>
          </cell>
          <cell r="E524">
            <v>0</v>
          </cell>
          <cell r="F524">
            <v>0</v>
          </cell>
          <cell r="G524">
            <v>0</v>
          </cell>
          <cell r="H524">
            <v>65.599999999999994</v>
          </cell>
          <cell r="I524" t="str">
            <v>C</v>
          </cell>
        </row>
        <row r="525">
          <cell r="A525">
            <v>2000</v>
          </cell>
          <cell r="B525" t="str">
            <v>2.1.01.010.0284</v>
          </cell>
          <cell r="C525" t="str">
            <v xml:space="preserve">OFTALMOCLINICA R E L SC </v>
          </cell>
          <cell r="D525">
            <v>50.01</v>
          </cell>
          <cell r="E525">
            <v>0</v>
          </cell>
          <cell r="F525">
            <v>0</v>
          </cell>
          <cell r="G525">
            <v>0</v>
          </cell>
          <cell r="H525">
            <v>50.01</v>
          </cell>
          <cell r="I525" t="str">
            <v>C</v>
          </cell>
        </row>
        <row r="526">
          <cell r="A526">
            <v>37909</v>
          </cell>
          <cell r="B526" t="str">
            <v>2.1.01.010.0287</v>
          </cell>
          <cell r="C526" t="str">
            <v>ORLANDI CLINICA MEDICA EPP</v>
          </cell>
          <cell r="D526">
            <v>11739.33</v>
          </cell>
          <cell r="E526">
            <v>2127.6</v>
          </cell>
          <cell r="F526">
            <v>6193.75</v>
          </cell>
          <cell r="G526">
            <v>4066.15</v>
          </cell>
          <cell r="H526">
            <v>15805.48</v>
          </cell>
          <cell r="I526" t="str">
            <v>C</v>
          </cell>
        </row>
        <row r="527">
          <cell r="A527">
            <v>2002</v>
          </cell>
          <cell r="B527" t="str">
            <v>2.1.01.010.0288</v>
          </cell>
          <cell r="C527" t="str">
            <v xml:space="preserve">ORTHOEM SERVICOS </v>
          </cell>
          <cell r="D527">
            <v>2300.6799999999998</v>
          </cell>
          <cell r="E527">
            <v>0</v>
          </cell>
          <cell r="F527">
            <v>730.55</v>
          </cell>
          <cell r="G527">
            <v>730.55</v>
          </cell>
          <cell r="H527">
            <v>3031.23</v>
          </cell>
          <cell r="I527" t="str">
            <v>C</v>
          </cell>
        </row>
        <row r="528">
          <cell r="A528">
            <v>51683</v>
          </cell>
          <cell r="B528" t="str">
            <v>2.1.01.010.0292</v>
          </cell>
          <cell r="C528" t="str">
            <v>PR ROSSI E CIA LTDA ME</v>
          </cell>
          <cell r="D528">
            <v>3000</v>
          </cell>
          <cell r="E528">
            <v>3000</v>
          </cell>
          <cell r="F528">
            <v>3000</v>
          </cell>
          <cell r="G528">
            <v>0</v>
          </cell>
          <cell r="H528">
            <v>3000</v>
          </cell>
          <cell r="I528" t="str">
            <v>C</v>
          </cell>
        </row>
        <row r="529">
          <cell r="A529">
            <v>51731</v>
          </cell>
          <cell r="B529" t="str">
            <v>2.1.01.010.0301</v>
          </cell>
          <cell r="C529" t="str">
            <v xml:space="preserve">PICINATO CAETANO E </v>
          </cell>
          <cell r="D529">
            <v>326.2</v>
          </cell>
          <cell r="E529">
            <v>0</v>
          </cell>
          <cell r="F529">
            <v>0</v>
          </cell>
          <cell r="G529">
            <v>0</v>
          </cell>
          <cell r="H529">
            <v>326.2</v>
          </cell>
          <cell r="I529" t="str">
            <v>C</v>
          </cell>
        </row>
        <row r="530">
          <cell r="A530">
            <v>2009</v>
          </cell>
          <cell r="B530" t="str">
            <v>2.1.01.010.0302</v>
          </cell>
          <cell r="C530" t="str">
            <v xml:space="preserve">PLANI DIAGNOSTICOS </v>
          </cell>
          <cell r="D530">
            <v>3214.75</v>
          </cell>
          <cell r="E530">
            <v>3214.75</v>
          </cell>
          <cell r="F530">
            <v>0</v>
          </cell>
          <cell r="G530">
            <v>-3214.75</v>
          </cell>
          <cell r="H530">
            <v>0</v>
          </cell>
          <cell r="I530" t="str">
            <v>C</v>
          </cell>
        </row>
        <row r="531">
          <cell r="A531">
            <v>37431</v>
          </cell>
          <cell r="B531" t="str">
            <v>2.1.01.010.0303</v>
          </cell>
          <cell r="C531" t="str">
            <v xml:space="preserve">PLASTICA PEREIRA TAKAKI </v>
          </cell>
          <cell r="D531">
            <v>0</v>
          </cell>
          <cell r="E531">
            <v>0</v>
          </cell>
          <cell r="F531">
            <v>2995.18</v>
          </cell>
          <cell r="G531">
            <v>2995.18</v>
          </cell>
          <cell r="H531">
            <v>2995.18</v>
          </cell>
          <cell r="I531" t="str">
            <v>C</v>
          </cell>
        </row>
        <row r="532">
          <cell r="A532">
            <v>2012</v>
          </cell>
          <cell r="B532" t="str">
            <v>2.1.01.010.0309</v>
          </cell>
          <cell r="C532" t="str">
            <v xml:space="preserve">PRONTO VIDA EMERGENCIAS </v>
          </cell>
          <cell r="D532">
            <v>1509.92</v>
          </cell>
          <cell r="E532">
            <v>1509.92</v>
          </cell>
          <cell r="F532">
            <v>0</v>
          </cell>
          <cell r="G532">
            <v>-1509.92</v>
          </cell>
          <cell r="H532">
            <v>0</v>
          </cell>
          <cell r="I532" t="str">
            <v>C</v>
          </cell>
        </row>
        <row r="533">
          <cell r="A533">
            <v>2013</v>
          </cell>
          <cell r="B533" t="str">
            <v>2.1.01.010.0312</v>
          </cell>
          <cell r="C533" t="str">
            <v xml:space="preserve">QUIRON CLINICA MEDICA SC </v>
          </cell>
          <cell r="D533">
            <v>379.22</v>
          </cell>
          <cell r="E533">
            <v>0</v>
          </cell>
          <cell r="F533">
            <v>0</v>
          </cell>
          <cell r="G533">
            <v>0</v>
          </cell>
          <cell r="H533">
            <v>379.22</v>
          </cell>
          <cell r="I533" t="str">
            <v>C</v>
          </cell>
        </row>
        <row r="534">
          <cell r="A534">
            <v>52556</v>
          </cell>
          <cell r="B534" t="str">
            <v>2.1.01.010.0313</v>
          </cell>
          <cell r="C534" t="str">
            <v xml:space="preserve">RET SERVICOS MEDICOS SS </v>
          </cell>
          <cell r="D534">
            <v>36524.379999999997</v>
          </cell>
          <cell r="E534">
            <v>35982.53</v>
          </cell>
          <cell r="F534">
            <v>20151.07</v>
          </cell>
          <cell r="G534">
            <v>-15831.46</v>
          </cell>
          <cell r="H534">
            <v>20692.919999999998</v>
          </cell>
          <cell r="I534" t="str">
            <v>C</v>
          </cell>
        </row>
        <row r="535">
          <cell r="A535">
            <v>37038</v>
          </cell>
          <cell r="B535" t="str">
            <v>2.1.01.010.0314</v>
          </cell>
          <cell r="C535" t="str">
            <v xml:space="preserve">RAAJ8 SERVICOS EM </v>
          </cell>
          <cell r="D535">
            <v>25699.54</v>
          </cell>
          <cell r="E535">
            <v>4695.93</v>
          </cell>
          <cell r="F535">
            <v>26133.27</v>
          </cell>
          <cell r="G535">
            <v>21437.34</v>
          </cell>
          <cell r="H535">
            <v>47136.88</v>
          </cell>
          <cell r="I535" t="str">
            <v>C</v>
          </cell>
        </row>
        <row r="536">
          <cell r="A536">
            <v>51676</v>
          </cell>
          <cell r="B536" t="str">
            <v>2.1.01.010.0315</v>
          </cell>
          <cell r="C536" t="str">
            <v>RADIOLL DO VALE</v>
          </cell>
          <cell r="D536">
            <v>83.51</v>
          </cell>
          <cell r="E536">
            <v>0</v>
          </cell>
          <cell r="F536">
            <v>0</v>
          </cell>
          <cell r="G536">
            <v>0</v>
          </cell>
          <cell r="H536">
            <v>83.51</v>
          </cell>
          <cell r="I536" t="str">
            <v>C</v>
          </cell>
        </row>
        <row r="537">
          <cell r="A537">
            <v>36619</v>
          </cell>
          <cell r="B537" t="str">
            <v>2.1.01.010.0316</v>
          </cell>
          <cell r="C537" t="str">
            <v xml:space="preserve">RADIOVASC SERVICOS </v>
          </cell>
          <cell r="D537">
            <v>0</v>
          </cell>
          <cell r="E537">
            <v>235.86</v>
          </cell>
          <cell r="F537">
            <v>235.86</v>
          </cell>
          <cell r="G537">
            <v>0</v>
          </cell>
          <cell r="H537">
            <v>0</v>
          </cell>
          <cell r="I537" t="str">
            <v>C</v>
          </cell>
        </row>
        <row r="538">
          <cell r="A538">
            <v>51808</v>
          </cell>
          <cell r="B538" t="str">
            <v>2.1.01.010.0319</v>
          </cell>
          <cell r="C538" t="str">
            <v xml:space="preserve">REFER SAUDE SERVICOS </v>
          </cell>
          <cell r="D538">
            <v>661.92</v>
          </cell>
          <cell r="E538">
            <v>0</v>
          </cell>
          <cell r="F538">
            <v>0</v>
          </cell>
          <cell r="G538">
            <v>0</v>
          </cell>
          <cell r="H538">
            <v>661.92</v>
          </cell>
          <cell r="I538" t="str">
            <v>C</v>
          </cell>
        </row>
        <row r="539">
          <cell r="A539">
            <v>52307</v>
          </cell>
          <cell r="B539" t="str">
            <v>2.1.01.010.0320</v>
          </cell>
          <cell r="C539" t="str">
            <v xml:space="preserve">RG FRIGGI CONSULTORIO </v>
          </cell>
          <cell r="D539">
            <v>3380.52</v>
          </cell>
          <cell r="E539">
            <v>3380.52</v>
          </cell>
          <cell r="F539">
            <v>5070.78</v>
          </cell>
          <cell r="G539">
            <v>1690.26</v>
          </cell>
          <cell r="H539">
            <v>5070.78</v>
          </cell>
          <cell r="I539" t="str">
            <v>C</v>
          </cell>
        </row>
        <row r="540">
          <cell r="A540">
            <v>51214</v>
          </cell>
          <cell r="B540" t="str">
            <v>2.1.01.010.0321</v>
          </cell>
          <cell r="C540" t="str">
            <v xml:space="preserve">RM MEDICINA OCUPACIONAL </v>
          </cell>
          <cell r="D540">
            <v>17728.77</v>
          </cell>
          <cell r="E540">
            <v>17728.77</v>
          </cell>
          <cell r="F540">
            <v>17728.77</v>
          </cell>
          <cell r="G540">
            <v>0</v>
          </cell>
          <cell r="H540">
            <v>17728.77</v>
          </cell>
          <cell r="I540" t="str">
            <v>C</v>
          </cell>
        </row>
        <row r="541">
          <cell r="A541">
            <v>2017</v>
          </cell>
          <cell r="B541" t="str">
            <v>2.1.01.010.0325</v>
          </cell>
          <cell r="C541" t="str">
            <v xml:space="preserve">ROUBAUD E ROUBAUD </v>
          </cell>
          <cell r="D541">
            <v>76416.41</v>
          </cell>
          <cell r="E541">
            <v>119730.11</v>
          </cell>
          <cell r="F541">
            <v>100690.85</v>
          </cell>
          <cell r="G541">
            <v>-19039.259999999998</v>
          </cell>
          <cell r="H541">
            <v>57377.15</v>
          </cell>
          <cell r="I541" t="str">
            <v>C</v>
          </cell>
        </row>
        <row r="542">
          <cell r="A542">
            <v>52790</v>
          </cell>
          <cell r="B542" t="str">
            <v>2.1.01.010.0326</v>
          </cell>
          <cell r="C542" t="str">
            <v xml:space="preserve">RTM SERVICOS MEDICOS </v>
          </cell>
          <cell r="D542">
            <v>1468</v>
          </cell>
          <cell r="E542">
            <v>24044.720000000001</v>
          </cell>
          <cell r="F542">
            <v>23754.5</v>
          </cell>
          <cell r="G542">
            <v>-290.22000000000003</v>
          </cell>
          <cell r="H542">
            <v>1177.78</v>
          </cell>
          <cell r="I542" t="str">
            <v>C</v>
          </cell>
        </row>
        <row r="543">
          <cell r="A543">
            <v>51332</v>
          </cell>
          <cell r="B543" t="str">
            <v>2.1.01.010.0329</v>
          </cell>
          <cell r="C543" t="str">
            <v xml:space="preserve">SAKIHARA E PIVA CLINICA </v>
          </cell>
          <cell r="D543">
            <v>24758.62</v>
          </cell>
          <cell r="E543">
            <v>56314.42</v>
          </cell>
          <cell r="F543">
            <v>35138.89</v>
          </cell>
          <cell r="G543">
            <v>-21175.53</v>
          </cell>
          <cell r="H543">
            <v>3583.09</v>
          </cell>
          <cell r="I543" t="str">
            <v>C</v>
          </cell>
        </row>
        <row r="544">
          <cell r="A544">
            <v>33031</v>
          </cell>
          <cell r="B544" t="str">
            <v>2.1.01.010.0332</v>
          </cell>
          <cell r="C544" t="str">
            <v xml:space="preserve">SANO E VEIGA SERVICOS </v>
          </cell>
          <cell r="D544">
            <v>26881.37</v>
          </cell>
          <cell r="E544">
            <v>26166</v>
          </cell>
          <cell r="F544">
            <v>22162</v>
          </cell>
          <cell r="G544">
            <v>-4004</v>
          </cell>
          <cell r="H544">
            <v>22877.37</v>
          </cell>
          <cell r="I544" t="str">
            <v>C</v>
          </cell>
        </row>
        <row r="545">
          <cell r="A545">
            <v>52631</v>
          </cell>
          <cell r="B545" t="str">
            <v>2.1.01.010.0333</v>
          </cell>
          <cell r="C545" t="str">
            <v xml:space="preserve">SANTOS SAUDE SERV </v>
          </cell>
          <cell r="D545">
            <v>526.82000000000005</v>
          </cell>
          <cell r="E545">
            <v>0</v>
          </cell>
          <cell r="F545">
            <v>0</v>
          </cell>
          <cell r="G545">
            <v>0</v>
          </cell>
          <cell r="H545">
            <v>526.82000000000005</v>
          </cell>
          <cell r="I545" t="str">
            <v>C</v>
          </cell>
        </row>
        <row r="546">
          <cell r="A546">
            <v>52865</v>
          </cell>
          <cell r="B546" t="str">
            <v>2.1.01.010.0334</v>
          </cell>
          <cell r="C546" t="str">
            <v xml:space="preserve">SAUDE VIDA SERV MED E </v>
          </cell>
          <cell r="D546">
            <v>4012.4</v>
          </cell>
          <cell r="E546">
            <v>0</v>
          </cell>
          <cell r="F546">
            <v>78.72</v>
          </cell>
          <cell r="G546">
            <v>78.72</v>
          </cell>
          <cell r="H546">
            <v>4091.12</v>
          </cell>
          <cell r="I546" t="str">
            <v>C</v>
          </cell>
        </row>
        <row r="547">
          <cell r="A547">
            <v>52326</v>
          </cell>
          <cell r="B547" t="str">
            <v>2.1.01.010.0336</v>
          </cell>
          <cell r="C547" t="str">
            <v xml:space="preserve">SD SERVICOS MEDICOS LTDA </v>
          </cell>
          <cell r="D547">
            <v>1671.86</v>
          </cell>
          <cell r="E547">
            <v>0</v>
          </cell>
          <cell r="F547">
            <v>0</v>
          </cell>
          <cell r="G547">
            <v>0</v>
          </cell>
          <cell r="H547">
            <v>1671.86</v>
          </cell>
          <cell r="I547" t="str">
            <v>C</v>
          </cell>
        </row>
        <row r="548">
          <cell r="A548">
            <v>52592</v>
          </cell>
          <cell r="B548" t="str">
            <v>2.1.01.010.0338</v>
          </cell>
          <cell r="C548" t="str">
            <v xml:space="preserve">SERMED SERVICOS MEDICOS </v>
          </cell>
          <cell r="D548">
            <v>4958.7700000000004</v>
          </cell>
          <cell r="E548">
            <v>5725.11</v>
          </cell>
          <cell r="F548">
            <v>5805.63</v>
          </cell>
          <cell r="G548">
            <v>80.52</v>
          </cell>
          <cell r="H548">
            <v>5039.29</v>
          </cell>
          <cell r="I548" t="str">
            <v>C</v>
          </cell>
        </row>
        <row r="549">
          <cell r="A549">
            <v>51192</v>
          </cell>
          <cell r="B549" t="str">
            <v>2.1.01.010.0339</v>
          </cell>
          <cell r="C549" t="str">
            <v>SERMEP S S LTDA ME</v>
          </cell>
          <cell r="D549">
            <v>5789.58</v>
          </cell>
          <cell r="E549">
            <v>31930.85</v>
          </cell>
          <cell r="F549">
            <v>37576.35</v>
          </cell>
          <cell r="G549">
            <v>5645.5</v>
          </cell>
          <cell r="H549">
            <v>11435.08</v>
          </cell>
          <cell r="I549" t="str">
            <v>C</v>
          </cell>
        </row>
        <row r="550">
          <cell r="A550">
            <v>2022</v>
          </cell>
          <cell r="B550" t="str">
            <v>2.1.01.010.0340</v>
          </cell>
          <cell r="C550" t="str">
            <v xml:space="preserve">SERVICO DE HEMOTERAPIA </v>
          </cell>
          <cell r="D550">
            <v>0</v>
          </cell>
          <cell r="E550">
            <v>113323.21</v>
          </cell>
          <cell r="F550">
            <v>113323.21</v>
          </cell>
          <cell r="G550">
            <v>0</v>
          </cell>
          <cell r="H550">
            <v>0</v>
          </cell>
          <cell r="I550" t="str">
            <v>C</v>
          </cell>
        </row>
        <row r="551">
          <cell r="A551">
            <v>2024</v>
          </cell>
          <cell r="B551" t="str">
            <v>2.1.01.010.0342</v>
          </cell>
          <cell r="C551" t="str">
            <v xml:space="preserve">SERVICOS MEDICOS </v>
          </cell>
          <cell r="D551">
            <v>8437.59</v>
          </cell>
          <cell r="E551">
            <v>6719.38</v>
          </cell>
          <cell r="F551">
            <v>8118.58</v>
          </cell>
          <cell r="G551">
            <v>1399.2</v>
          </cell>
          <cell r="H551">
            <v>9836.7900000000009</v>
          </cell>
          <cell r="I551" t="str">
            <v>C</v>
          </cell>
        </row>
        <row r="552">
          <cell r="A552">
            <v>2025</v>
          </cell>
          <cell r="B552" t="str">
            <v>2.1.01.010.0343</v>
          </cell>
          <cell r="C552" t="str">
            <v xml:space="preserve">SERVPED SERVICOS </v>
          </cell>
          <cell r="D552">
            <v>6236.03</v>
          </cell>
          <cell r="E552">
            <v>5070.78</v>
          </cell>
          <cell r="F552">
            <v>5070.78</v>
          </cell>
          <cell r="G552">
            <v>0</v>
          </cell>
          <cell r="H552">
            <v>6236.03</v>
          </cell>
          <cell r="I552" t="str">
            <v>C</v>
          </cell>
        </row>
        <row r="553">
          <cell r="A553">
            <v>51485</v>
          </cell>
          <cell r="B553" t="str">
            <v>2.1.01.010.0344</v>
          </cell>
          <cell r="C553" t="str">
            <v xml:space="preserve">SGARBI MARTINS SERVICOS </v>
          </cell>
          <cell r="D553">
            <v>12259.65</v>
          </cell>
          <cell r="E553">
            <v>6112</v>
          </cell>
          <cell r="F553">
            <v>8239.2000000000007</v>
          </cell>
          <cell r="G553">
            <v>2127.1999999999998</v>
          </cell>
          <cell r="H553">
            <v>14386.85</v>
          </cell>
          <cell r="I553" t="str">
            <v>C</v>
          </cell>
        </row>
        <row r="554">
          <cell r="A554">
            <v>51114</v>
          </cell>
          <cell r="B554" t="str">
            <v>2.1.01.010.0345</v>
          </cell>
          <cell r="C554" t="str">
            <v xml:space="preserve">SILVEIRAS SERVICOS </v>
          </cell>
          <cell r="D554">
            <v>3335.21</v>
          </cell>
          <cell r="E554">
            <v>2692.08</v>
          </cell>
          <cell r="F554">
            <v>3391.75</v>
          </cell>
          <cell r="G554">
            <v>699.67</v>
          </cell>
          <cell r="H554">
            <v>4034.88</v>
          </cell>
          <cell r="I554" t="str">
            <v>C</v>
          </cell>
        </row>
        <row r="555">
          <cell r="A555">
            <v>51741</v>
          </cell>
          <cell r="B555" t="str">
            <v>2.1.01.010.0350</v>
          </cell>
          <cell r="C555" t="str">
            <v xml:space="preserve">SOUZA E MARQUES MEDICINA  </v>
          </cell>
          <cell r="D555">
            <v>16209.56</v>
          </cell>
          <cell r="E555">
            <v>13458.46</v>
          </cell>
          <cell r="F555">
            <v>18997.88</v>
          </cell>
          <cell r="G555">
            <v>5539.42</v>
          </cell>
          <cell r="H555">
            <v>21748.98</v>
          </cell>
          <cell r="I555" t="str">
            <v>C</v>
          </cell>
        </row>
        <row r="556">
          <cell r="A556">
            <v>38198</v>
          </cell>
          <cell r="B556" t="str">
            <v>2.1.01.010.0351</v>
          </cell>
          <cell r="C556" t="str">
            <v xml:space="preserve">SPINE VALE SERV MED PATOL </v>
          </cell>
          <cell r="D556">
            <v>2591.02</v>
          </cell>
          <cell r="E556">
            <v>0</v>
          </cell>
          <cell r="F556">
            <v>838.31</v>
          </cell>
          <cell r="G556">
            <v>838.31</v>
          </cell>
          <cell r="H556">
            <v>3429.33</v>
          </cell>
          <cell r="I556" t="str">
            <v>C</v>
          </cell>
        </row>
        <row r="557">
          <cell r="A557">
            <v>37812</v>
          </cell>
          <cell r="B557" t="str">
            <v>2.1.01.010.0352</v>
          </cell>
          <cell r="C557" t="str">
            <v xml:space="preserve">SQUASSONI E UOZOMI </v>
          </cell>
          <cell r="D557">
            <v>9449.64</v>
          </cell>
          <cell r="E557">
            <v>7939.09</v>
          </cell>
          <cell r="F557">
            <v>6769.18</v>
          </cell>
          <cell r="G557">
            <v>-1169.9100000000001</v>
          </cell>
          <cell r="H557">
            <v>8279.73</v>
          </cell>
          <cell r="I557" t="str">
            <v>C</v>
          </cell>
        </row>
        <row r="558">
          <cell r="A558">
            <v>52070</v>
          </cell>
          <cell r="B558" t="str">
            <v>2.1.01.010.0353</v>
          </cell>
          <cell r="C558" t="str">
            <v xml:space="preserve">SR DIAGNOSTICOS MEDICOS </v>
          </cell>
          <cell r="D558">
            <v>1946.97</v>
          </cell>
          <cell r="E558">
            <v>4766.01</v>
          </cell>
          <cell r="F558">
            <v>4989.74</v>
          </cell>
          <cell r="G558">
            <v>223.73</v>
          </cell>
          <cell r="H558">
            <v>2170.6999999999998</v>
          </cell>
          <cell r="I558" t="str">
            <v>C</v>
          </cell>
        </row>
        <row r="559">
          <cell r="A559">
            <v>51682</v>
          </cell>
          <cell r="B559" t="str">
            <v>2.1.01.010.0355</v>
          </cell>
          <cell r="C559" t="str">
            <v xml:space="preserve">SUPPORTE SERVICOS </v>
          </cell>
          <cell r="D559">
            <v>10243.27</v>
          </cell>
          <cell r="E559">
            <v>10243.27</v>
          </cell>
          <cell r="F559">
            <v>6502.03</v>
          </cell>
          <cell r="G559">
            <v>-3741.24</v>
          </cell>
          <cell r="H559">
            <v>6502.03</v>
          </cell>
          <cell r="I559" t="str">
            <v>C</v>
          </cell>
        </row>
        <row r="560">
          <cell r="A560">
            <v>52599</v>
          </cell>
          <cell r="B560" t="str">
            <v>2.1.01.010.0357</v>
          </cell>
          <cell r="C560" t="str">
            <v xml:space="preserve">TALITA BOTTAN BORTOLUZZI </v>
          </cell>
          <cell r="D560">
            <v>7779.25</v>
          </cell>
          <cell r="E560">
            <v>210</v>
          </cell>
          <cell r="F560">
            <v>1800.63</v>
          </cell>
          <cell r="G560">
            <v>1590.63</v>
          </cell>
          <cell r="H560">
            <v>9369.8799999999992</v>
          </cell>
          <cell r="I560" t="str">
            <v>C</v>
          </cell>
        </row>
        <row r="561">
          <cell r="A561">
            <v>53012</v>
          </cell>
          <cell r="B561" t="str">
            <v>2.1.01.010.0358</v>
          </cell>
          <cell r="C561" t="str">
            <v xml:space="preserve">TEBEX MED SERVICOS </v>
          </cell>
          <cell r="D561">
            <v>4860.1499999999996</v>
          </cell>
          <cell r="E561">
            <v>4860.1499999999996</v>
          </cell>
          <cell r="F561">
            <v>4993.12</v>
          </cell>
          <cell r="G561">
            <v>132.97</v>
          </cell>
          <cell r="H561">
            <v>4993.12</v>
          </cell>
          <cell r="I561" t="str">
            <v>C</v>
          </cell>
        </row>
        <row r="562">
          <cell r="A562">
            <v>2031</v>
          </cell>
          <cell r="B562" t="str">
            <v>2.1.01.010.0359</v>
          </cell>
          <cell r="C562" t="str">
            <v>TOLEDO E KATAHIRA SC LTDA</v>
          </cell>
          <cell r="D562">
            <v>13358.44</v>
          </cell>
          <cell r="E562">
            <v>52525.41</v>
          </cell>
          <cell r="F562">
            <v>57798.71</v>
          </cell>
          <cell r="G562">
            <v>5273.3</v>
          </cell>
          <cell r="H562">
            <v>18631.740000000002</v>
          </cell>
          <cell r="I562" t="str">
            <v>C</v>
          </cell>
        </row>
        <row r="563">
          <cell r="A563">
            <v>36875</v>
          </cell>
          <cell r="B563" t="str">
            <v>2.1.01.010.0361</v>
          </cell>
          <cell r="C563" t="str">
            <v xml:space="preserve">UDE RIBEIRO E CANEVER </v>
          </cell>
          <cell r="D563">
            <v>3431.58</v>
          </cell>
          <cell r="E563">
            <v>0</v>
          </cell>
          <cell r="F563">
            <v>0</v>
          </cell>
          <cell r="G563">
            <v>0</v>
          </cell>
          <cell r="H563">
            <v>3431.58</v>
          </cell>
          <cell r="I563" t="str">
            <v>C</v>
          </cell>
        </row>
        <row r="564">
          <cell r="A564">
            <v>2035</v>
          </cell>
          <cell r="B564" t="str">
            <v>2.1.01.010.0363</v>
          </cell>
          <cell r="C564" t="str">
            <v xml:space="preserve">UNEP SERVICOS MEDICOS </v>
          </cell>
          <cell r="D564">
            <v>41</v>
          </cell>
          <cell r="E564">
            <v>0</v>
          </cell>
          <cell r="F564">
            <v>0</v>
          </cell>
          <cell r="G564">
            <v>0</v>
          </cell>
          <cell r="H564">
            <v>41</v>
          </cell>
          <cell r="I564" t="str">
            <v>C</v>
          </cell>
        </row>
        <row r="565">
          <cell r="A565">
            <v>36661</v>
          </cell>
          <cell r="B565" t="str">
            <v>2.1.01.010.0367</v>
          </cell>
          <cell r="C565" t="str">
            <v xml:space="preserve">UROGASTRO SERV MED </v>
          </cell>
          <cell r="D565">
            <v>46039.360000000001</v>
          </cell>
          <cell r="E565">
            <v>51227.63</v>
          </cell>
          <cell r="F565">
            <v>29203.73</v>
          </cell>
          <cell r="G565">
            <v>-22023.9</v>
          </cell>
          <cell r="H565">
            <v>24015.46</v>
          </cell>
          <cell r="I565" t="str">
            <v>C</v>
          </cell>
        </row>
        <row r="566">
          <cell r="A566">
            <v>36613</v>
          </cell>
          <cell r="B566" t="str">
            <v>2.1.01.010.0368</v>
          </cell>
          <cell r="C566" t="str">
            <v xml:space="preserve">UROGIN SERVICOS MEDICOS </v>
          </cell>
          <cell r="D566">
            <v>2538.21</v>
          </cell>
          <cell r="E566">
            <v>1751.75</v>
          </cell>
          <cell r="F566">
            <v>1206.48</v>
          </cell>
          <cell r="G566">
            <v>-545.27</v>
          </cell>
          <cell r="H566">
            <v>1992.94</v>
          </cell>
          <cell r="I566" t="str">
            <v>C</v>
          </cell>
        </row>
        <row r="567">
          <cell r="A567">
            <v>2041</v>
          </cell>
          <cell r="B567" t="str">
            <v>2.1.01.010.0369</v>
          </cell>
          <cell r="C567" t="str">
            <v xml:space="preserve">UROGYN SERVICOS MEDICOS </v>
          </cell>
          <cell r="D567">
            <v>7247.14</v>
          </cell>
          <cell r="E567">
            <v>9920.01</v>
          </cell>
          <cell r="F567">
            <v>8733.7099999999991</v>
          </cell>
          <cell r="G567">
            <v>-1186.3</v>
          </cell>
          <cell r="H567">
            <v>6060.84</v>
          </cell>
          <cell r="I567" t="str">
            <v>C</v>
          </cell>
        </row>
        <row r="568">
          <cell r="A568">
            <v>52741</v>
          </cell>
          <cell r="B568" t="str">
            <v>2.1.01.010.0370</v>
          </cell>
          <cell r="C568" t="str">
            <v xml:space="preserve">UROMED SERV MEDICOS </v>
          </cell>
          <cell r="D568">
            <v>5347.77</v>
          </cell>
          <cell r="E568">
            <v>309.93</v>
          </cell>
          <cell r="F568">
            <v>1530.58</v>
          </cell>
          <cell r="G568">
            <v>1220.6500000000001</v>
          </cell>
          <cell r="H568">
            <v>6568.42</v>
          </cell>
          <cell r="I568" t="str">
            <v>C</v>
          </cell>
        </row>
        <row r="569">
          <cell r="A569">
            <v>2042</v>
          </cell>
          <cell r="B569" t="str">
            <v>2.1.01.010.0371</v>
          </cell>
          <cell r="C569" t="str">
            <v>UROVALE SC LTDA</v>
          </cell>
          <cell r="D569">
            <v>108</v>
          </cell>
          <cell r="E569">
            <v>0</v>
          </cell>
          <cell r="F569">
            <v>0</v>
          </cell>
          <cell r="G569">
            <v>0</v>
          </cell>
          <cell r="H569">
            <v>108</v>
          </cell>
          <cell r="I569" t="str">
            <v>C</v>
          </cell>
        </row>
        <row r="570">
          <cell r="A570">
            <v>37830</v>
          </cell>
          <cell r="B570" t="str">
            <v>2.1.01.010.0372</v>
          </cell>
          <cell r="C570" t="str">
            <v xml:space="preserve">VALE MED SERVICOS </v>
          </cell>
          <cell r="D570">
            <v>17690.66</v>
          </cell>
          <cell r="E570">
            <v>12847.68</v>
          </cell>
          <cell r="F570">
            <v>15780.6</v>
          </cell>
          <cell r="G570">
            <v>2932.92</v>
          </cell>
          <cell r="H570">
            <v>20623.580000000002</v>
          </cell>
          <cell r="I570" t="str">
            <v>C</v>
          </cell>
        </row>
        <row r="571">
          <cell r="A571">
            <v>2043</v>
          </cell>
          <cell r="B571" t="str">
            <v>2.1.01.010.0373</v>
          </cell>
          <cell r="C571" t="str">
            <v xml:space="preserve">VALECLIN LAB ANALISES </v>
          </cell>
          <cell r="D571">
            <v>77901.78</v>
          </cell>
          <cell r="E571">
            <v>508805.42</v>
          </cell>
          <cell r="F571">
            <v>457584.74</v>
          </cell>
          <cell r="G571">
            <v>-51220.68</v>
          </cell>
          <cell r="H571">
            <v>26681.1</v>
          </cell>
          <cell r="I571" t="str">
            <v>C</v>
          </cell>
        </row>
        <row r="572">
          <cell r="A572">
            <v>32890</v>
          </cell>
          <cell r="B572" t="str">
            <v>2.1.01.010.0375</v>
          </cell>
          <cell r="C572" t="str">
            <v xml:space="preserve">VALLIS CARDIOVASCULAR </v>
          </cell>
          <cell r="D572">
            <v>15.45</v>
          </cell>
          <cell r="E572">
            <v>0</v>
          </cell>
          <cell r="F572">
            <v>0</v>
          </cell>
          <cell r="G572">
            <v>0</v>
          </cell>
          <cell r="H572">
            <v>15.45</v>
          </cell>
          <cell r="I572" t="str">
            <v>C</v>
          </cell>
        </row>
        <row r="573">
          <cell r="A573">
            <v>52975</v>
          </cell>
          <cell r="B573" t="str">
            <v>2.1.01.010.0378</v>
          </cell>
          <cell r="C573" t="str">
            <v xml:space="preserve">VIDA SERVICOS MEDICOS SS </v>
          </cell>
          <cell r="D573">
            <v>24821.05</v>
          </cell>
          <cell r="E573">
            <v>24821.05</v>
          </cell>
          <cell r="F573">
            <v>18308.71</v>
          </cell>
          <cell r="G573">
            <v>-6512.34</v>
          </cell>
          <cell r="H573">
            <v>18308.71</v>
          </cell>
          <cell r="I573" t="str">
            <v>C</v>
          </cell>
        </row>
        <row r="574">
          <cell r="A574">
            <v>38589</v>
          </cell>
          <cell r="B574" t="str">
            <v>2.1.01.010.0379</v>
          </cell>
          <cell r="C574" t="str">
            <v xml:space="preserve">VILELA DOS REIS SERVICOS </v>
          </cell>
          <cell r="D574">
            <v>17918.12</v>
          </cell>
          <cell r="E574">
            <v>22490.62</v>
          </cell>
          <cell r="F574">
            <v>17534.11</v>
          </cell>
          <cell r="G574">
            <v>-4956.51</v>
          </cell>
          <cell r="H574">
            <v>12961.61</v>
          </cell>
          <cell r="I574" t="str">
            <v>C</v>
          </cell>
        </row>
        <row r="575">
          <cell r="A575">
            <v>38285</v>
          </cell>
          <cell r="B575" t="str">
            <v>2.1.01.010.0380</v>
          </cell>
          <cell r="C575" t="str">
            <v xml:space="preserve">VITAL CARE CLINICA MEDICA </v>
          </cell>
          <cell r="D575">
            <v>21407.09</v>
          </cell>
          <cell r="E575">
            <v>22555.18</v>
          </cell>
          <cell r="F575">
            <v>24782.44</v>
          </cell>
          <cell r="G575">
            <v>2227.2600000000002</v>
          </cell>
          <cell r="H575">
            <v>23634.35</v>
          </cell>
          <cell r="I575" t="str">
            <v>C</v>
          </cell>
        </row>
        <row r="576">
          <cell r="A576">
            <v>51671</v>
          </cell>
          <cell r="B576" t="str">
            <v>2.1.01.010.0381</v>
          </cell>
          <cell r="C576" t="str">
            <v xml:space="preserve">VOXEL IMAGENS MEDICAS </v>
          </cell>
          <cell r="D576">
            <v>5469.37</v>
          </cell>
          <cell r="E576">
            <v>23848.57</v>
          </cell>
          <cell r="F576">
            <v>23467.87</v>
          </cell>
          <cell r="G576">
            <v>-380.7</v>
          </cell>
          <cell r="H576">
            <v>5088.67</v>
          </cell>
          <cell r="I576" t="str">
            <v>C</v>
          </cell>
        </row>
        <row r="577">
          <cell r="A577">
            <v>52050</v>
          </cell>
          <cell r="B577" t="str">
            <v>2.1.01.010.0384</v>
          </cell>
          <cell r="C577" t="str">
            <v xml:space="preserve">YASAMIN SERVICOS MEDICOS </v>
          </cell>
          <cell r="D577">
            <v>3931.76</v>
          </cell>
          <cell r="E577">
            <v>3108</v>
          </cell>
          <cell r="F577">
            <v>4076.7</v>
          </cell>
          <cell r="G577">
            <v>968.7</v>
          </cell>
          <cell r="H577">
            <v>4900.46</v>
          </cell>
          <cell r="I577" t="str">
            <v>C</v>
          </cell>
        </row>
        <row r="578">
          <cell r="A578">
            <v>53186</v>
          </cell>
          <cell r="B578" t="str">
            <v>2.1.01.010.0385</v>
          </cell>
          <cell r="C578" t="str">
            <v xml:space="preserve">BARICARE SERVICOS </v>
          </cell>
          <cell r="D578">
            <v>2982.58</v>
          </cell>
          <cell r="E578">
            <v>37267.86</v>
          </cell>
          <cell r="F578">
            <v>36857.03</v>
          </cell>
          <cell r="G578">
            <v>-410.83</v>
          </cell>
          <cell r="H578">
            <v>2571.75</v>
          </cell>
          <cell r="I578" t="str">
            <v>C</v>
          </cell>
        </row>
        <row r="579">
          <cell r="A579">
            <v>53187</v>
          </cell>
          <cell r="B579" t="str">
            <v>2.1.01.010.0386</v>
          </cell>
          <cell r="C579" t="str">
            <v xml:space="preserve">ALL CARE SERVICOS </v>
          </cell>
          <cell r="D579">
            <v>11719.97</v>
          </cell>
          <cell r="E579">
            <v>5400.01</v>
          </cell>
          <cell r="F579">
            <v>6339.87</v>
          </cell>
          <cell r="G579">
            <v>939.86</v>
          </cell>
          <cell r="H579">
            <v>12659.83</v>
          </cell>
          <cell r="I579" t="str">
            <v>C</v>
          </cell>
        </row>
        <row r="580">
          <cell r="A580">
            <v>53007</v>
          </cell>
          <cell r="B580" t="str">
            <v>2.1.01.010.0387</v>
          </cell>
          <cell r="C580" t="str">
            <v xml:space="preserve">PRONI SERVICOS MEDICOS </v>
          </cell>
          <cell r="D580">
            <v>146.94999999999999</v>
          </cell>
          <cell r="E580">
            <v>0</v>
          </cell>
          <cell r="F580">
            <v>1369.76</v>
          </cell>
          <cell r="G580">
            <v>1369.76</v>
          </cell>
          <cell r="H580">
            <v>1516.71</v>
          </cell>
          <cell r="I580" t="str">
            <v>C</v>
          </cell>
        </row>
        <row r="581">
          <cell r="A581">
            <v>53008</v>
          </cell>
          <cell r="B581" t="str">
            <v>2.1.01.010.0388</v>
          </cell>
          <cell r="C581" t="str">
            <v xml:space="preserve">GENEROSO E SILVA </v>
          </cell>
          <cell r="D581">
            <v>640.82000000000005</v>
          </cell>
          <cell r="E581">
            <v>0</v>
          </cell>
          <cell r="F581">
            <v>0</v>
          </cell>
          <cell r="G581">
            <v>0</v>
          </cell>
          <cell r="H581">
            <v>640.82000000000005</v>
          </cell>
          <cell r="I581" t="str">
            <v>C</v>
          </cell>
        </row>
        <row r="582">
          <cell r="A582">
            <v>53022</v>
          </cell>
          <cell r="B582" t="str">
            <v>2.1.01.010.0389</v>
          </cell>
          <cell r="C582" t="str">
            <v xml:space="preserve">INCON INSTITUTO DE CIR. E </v>
          </cell>
          <cell r="D582">
            <v>378.72</v>
          </cell>
          <cell r="E582">
            <v>0</v>
          </cell>
          <cell r="F582">
            <v>26.24</v>
          </cell>
          <cell r="G582">
            <v>26.24</v>
          </cell>
          <cell r="H582">
            <v>404.96</v>
          </cell>
          <cell r="I582" t="str">
            <v>C</v>
          </cell>
        </row>
        <row r="583">
          <cell r="A583">
            <v>53051</v>
          </cell>
          <cell r="B583" t="str">
            <v>2.1.01.010.0391</v>
          </cell>
          <cell r="C583" t="str">
            <v xml:space="preserve">G T D DE SA &amp; FILHOS SER </v>
          </cell>
          <cell r="D583">
            <v>2555.56</v>
          </cell>
          <cell r="E583">
            <v>0</v>
          </cell>
          <cell r="F583">
            <v>0</v>
          </cell>
          <cell r="G583">
            <v>0</v>
          </cell>
          <cell r="H583">
            <v>2555.56</v>
          </cell>
          <cell r="I583" t="str">
            <v>C</v>
          </cell>
        </row>
        <row r="584">
          <cell r="A584">
            <v>53081</v>
          </cell>
          <cell r="B584" t="str">
            <v>2.1.01.010.0393</v>
          </cell>
          <cell r="C584" t="str">
            <v xml:space="preserve">CLINICA MEDICA E </v>
          </cell>
          <cell r="D584">
            <v>45256.14</v>
          </cell>
          <cell r="E584">
            <v>28781.02</v>
          </cell>
          <cell r="F584">
            <v>2203.94</v>
          </cell>
          <cell r="G584">
            <v>-26577.08</v>
          </cell>
          <cell r="H584">
            <v>18679.060000000001</v>
          </cell>
          <cell r="I584" t="str">
            <v>C</v>
          </cell>
        </row>
        <row r="585">
          <cell r="A585">
            <v>53091</v>
          </cell>
          <cell r="B585" t="str">
            <v>2.1.01.010.0395</v>
          </cell>
          <cell r="C585" t="str">
            <v>CLINICA NAPOLI LTDA - ME</v>
          </cell>
          <cell r="D585">
            <v>14307.23</v>
          </cell>
          <cell r="E585">
            <v>14368.73</v>
          </cell>
          <cell r="F585">
            <v>18818.11</v>
          </cell>
          <cell r="G585">
            <v>4449.38</v>
          </cell>
          <cell r="H585">
            <v>18756.61</v>
          </cell>
          <cell r="I585" t="str">
            <v>C</v>
          </cell>
        </row>
        <row r="586">
          <cell r="A586">
            <v>53115</v>
          </cell>
          <cell r="B586" t="str">
            <v>2.1.01.010.0398</v>
          </cell>
          <cell r="C586" t="str">
            <v xml:space="preserve">MELISSA DE ALMEIDA </v>
          </cell>
          <cell r="D586">
            <v>9687.4699999999993</v>
          </cell>
          <cell r="E586">
            <v>11376.77</v>
          </cell>
          <cell r="F586">
            <v>11678.8</v>
          </cell>
          <cell r="G586">
            <v>302.02999999999997</v>
          </cell>
          <cell r="H586">
            <v>9989.5</v>
          </cell>
          <cell r="I586" t="str">
            <v>C</v>
          </cell>
        </row>
        <row r="587">
          <cell r="A587">
            <v>53116</v>
          </cell>
          <cell r="B587" t="str">
            <v>2.1.01.010.0399</v>
          </cell>
          <cell r="C587" t="str">
            <v xml:space="preserve">MEDBEN SERVICOS MEDICOS </v>
          </cell>
          <cell r="D587">
            <v>670.88</v>
          </cell>
          <cell r="E587">
            <v>0</v>
          </cell>
          <cell r="F587">
            <v>0</v>
          </cell>
          <cell r="G587">
            <v>0</v>
          </cell>
          <cell r="H587">
            <v>670.88</v>
          </cell>
          <cell r="I587" t="str">
            <v>C</v>
          </cell>
        </row>
        <row r="588">
          <cell r="A588">
            <v>53125</v>
          </cell>
          <cell r="B588" t="str">
            <v>2.1.01.010.0401</v>
          </cell>
          <cell r="C588" t="str">
            <v xml:space="preserve">CLINICA MEDICA </v>
          </cell>
          <cell r="D588">
            <v>3144.12</v>
          </cell>
          <cell r="E588">
            <v>3144.12</v>
          </cell>
          <cell r="F588">
            <v>3930.15</v>
          </cell>
          <cell r="G588">
            <v>786.03</v>
          </cell>
          <cell r="H588">
            <v>3930.15</v>
          </cell>
          <cell r="I588" t="str">
            <v>C</v>
          </cell>
        </row>
        <row r="589">
          <cell r="A589">
            <v>53127</v>
          </cell>
          <cell r="B589" t="str">
            <v>2.1.01.010.0402</v>
          </cell>
          <cell r="C589" t="str">
            <v xml:space="preserve">DUQUE CLINICA MEDICA </v>
          </cell>
          <cell r="D589">
            <v>678.78</v>
          </cell>
          <cell r="E589">
            <v>0</v>
          </cell>
          <cell r="F589">
            <v>0</v>
          </cell>
          <cell r="G589">
            <v>0</v>
          </cell>
          <cell r="H589">
            <v>678.78</v>
          </cell>
          <cell r="I589" t="str">
            <v>C</v>
          </cell>
        </row>
        <row r="590">
          <cell r="A590">
            <v>53088</v>
          </cell>
          <cell r="B590" t="str">
            <v>2.1.01.010.0404</v>
          </cell>
          <cell r="C590" t="str">
            <v xml:space="preserve">INTEGRA ACAO CLIN </v>
          </cell>
          <cell r="D590">
            <v>0</v>
          </cell>
          <cell r="E590">
            <v>5357.56</v>
          </cell>
          <cell r="F590">
            <v>5357.56</v>
          </cell>
          <cell r="G590">
            <v>0</v>
          </cell>
          <cell r="H590">
            <v>0</v>
          </cell>
          <cell r="I590" t="str">
            <v>C</v>
          </cell>
        </row>
        <row r="591">
          <cell r="A591">
            <v>52197</v>
          </cell>
          <cell r="B591" t="str">
            <v>2.1.01.010.0405</v>
          </cell>
          <cell r="C591" t="str">
            <v xml:space="preserve">CLINICA DE GINECO E </v>
          </cell>
          <cell r="D591">
            <v>2.5</v>
          </cell>
          <cell r="E591">
            <v>0</v>
          </cell>
          <cell r="F591">
            <v>0</v>
          </cell>
          <cell r="G591">
            <v>0</v>
          </cell>
          <cell r="H591">
            <v>2.5</v>
          </cell>
          <cell r="I591" t="str">
            <v>C</v>
          </cell>
        </row>
        <row r="592">
          <cell r="A592">
            <v>53198</v>
          </cell>
          <cell r="B592" t="str">
            <v>2.1.01.010.0407</v>
          </cell>
          <cell r="C592" t="str">
            <v xml:space="preserve">CERVONE E FURLAN CLINICA </v>
          </cell>
          <cell r="D592">
            <v>2717.21</v>
          </cell>
          <cell r="E592">
            <v>1543.36</v>
          </cell>
          <cell r="F592">
            <v>1916.45</v>
          </cell>
          <cell r="G592">
            <v>373.09</v>
          </cell>
          <cell r="H592">
            <v>3090.3</v>
          </cell>
          <cell r="I592" t="str">
            <v>C</v>
          </cell>
        </row>
        <row r="593">
          <cell r="A593">
            <v>53230</v>
          </cell>
          <cell r="B593" t="str">
            <v>2.1.01.010.0413</v>
          </cell>
          <cell r="C593" t="str">
            <v xml:space="preserve">JZ VIEIRA SERVICOS MEDICOS </v>
          </cell>
          <cell r="D593">
            <v>91</v>
          </cell>
          <cell r="E593">
            <v>391</v>
          </cell>
          <cell r="F593">
            <v>7873.06</v>
          </cell>
          <cell r="G593">
            <v>7482.06</v>
          </cell>
          <cell r="H593">
            <v>7573.06</v>
          </cell>
          <cell r="I593" t="str">
            <v>C</v>
          </cell>
        </row>
        <row r="594">
          <cell r="A594">
            <v>53240</v>
          </cell>
          <cell r="B594" t="str">
            <v>2.1.01.010.0414</v>
          </cell>
          <cell r="C594" t="str">
            <v xml:space="preserve">LIV CENTRO DE </v>
          </cell>
          <cell r="D594">
            <v>2250.8200000000002</v>
          </cell>
          <cell r="E594">
            <v>0</v>
          </cell>
          <cell r="F594">
            <v>163.04</v>
          </cell>
          <cell r="G594">
            <v>163.04</v>
          </cell>
          <cell r="H594">
            <v>2413.86</v>
          </cell>
          <cell r="I594" t="str">
            <v>C</v>
          </cell>
        </row>
        <row r="595">
          <cell r="A595">
            <v>53243</v>
          </cell>
          <cell r="B595" t="str">
            <v>2.1.01.010.0415</v>
          </cell>
          <cell r="C595" t="str">
            <v xml:space="preserve">RODEGHERI SERVIÇOS </v>
          </cell>
          <cell r="D595">
            <v>3253.7</v>
          </cell>
          <cell r="E595">
            <v>3253.7</v>
          </cell>
          <cell r="F595">
            <v>3947.26</v>
          </cell>
          <cell r="G595">
            <v>693.56</v>
          </cell>
          <cell r="H595">
            <v>3947.26</v>
          </cell>
          <cell r="I595" t="str">
            <v>C</v>
          </cell>
        </row>
        <row r="596">
          <cell r="A596">
            <v>53282</v>
          </cell>
          <cell r="B596" t="str">
            <v>2.1.01.010.0419</v>
          </cell>
          <cell r="C596" t="str">
            <v xml:space="preserve">SESAM SERVICOS DE SAUDE </v>
          </cell>
          <cell r="D596">
            <v>1398.57</v>
          </cell>
          <cell r="E596">
            <v>0</v>
          </cell>
          <cell r="F596">
            <v>0</v>
          </cell>
          <cell r="G596">
            <v>0</v>
          </cell>
          <cell r="H596">
            <v>1398.57</v>
          </cell>
          <cell r="I596" t="str">
            <v>C</v>
          </cell>
        </row>
        <row r="597">
          <cell r="A597">
            <v>53285</v>
          </cell>
          <cell r="B597" t="str">
            <v>2.1.01.010.0420</v>
          </cell>
          <cell r="C597" t="str">
            <v xml:space="preserve">F V DE SIQUEIRA NUTRIÇÃO </v>
          </cell>
          <cell r="D597">
            <v>750</v>
          </cell>
          <cell r="E597">
            <v>750</v>
          </cell>
          <cell r="F597">
            <v>50</v>
          </cell>
          <cell r="G597">
            <v>-700</v>
          </cell>
          <cell r="H597">
            <v>50</v>
          </cell>
          <cell r="I597" t="str">
            <v>C</v>
          </cell>
        </row>
        <row r="598">
          <cell r="A598">
            <v>53286</v>
          </cell>
          <cell r="B598" t="str">
            <v>2.1.01.010.0421</v>
          </cell>
          <cell r="C598" t="str">
            <v>CLINICA GABRIEL LONA FESTA</v>
          </cell>
          <cell r="D598">
            <v>6257.19</v>
          </cell>
          <cell r="E598">
            <v>5766.87</v>
          </cell>
          <cell r="F598">
            <v>7467.83</v>
          </cell>
          <cell r="G598">
            <v>1700.96</v>
          </cell>
          <cell r="H598">
            <v>7958.15</v>
          </cell>
          <cell r="I598" t="str">
            <v>C</v>
          </cell>
        </row>
        <row r="599">
          <cell r="A599">
            <v>53287</v>
          </cell>
          <cell r="B599" t="str">
            <v>2.1.01.010.0422</v>
          </cell>
          <cell r="C599" t="str">
            <v xml:space="preserve">RMBL SERVICOS MEDICOS </v>
          </cell>
          <cell r="D599">
            <v>1817.58</v>
          </cell>
          <cell r="E599">
            <v>1872.78</v>
          </cell>
          <cell r="F599">
            <v>2816.31</v>
          </cell>
          <cell r="G599">
            <v>943.53</v>
          </cell>
          <cell r="H599">
            <v>2761.11</v>
          </cell>
          <cell r="I599" t="str">
            <v>C</v>
          </cell>
        </row>
        <row r="600">
          <cell r="A600">
            <v>53288</v>
          </cell>
          <cell r="B600" t="str">
            <v>2.1.01.010.0423</v>
          </cell>
          <cell r="C600" t="str">
            <v xml:space="preserve">CARVALHO CAMPOS </v>
          </cell>
          <cell r="D600">
            <v>5231.0600000000004</v>
          </cell>
          <cell r="E600">
            <v>5231.0600000000004</v>
          </cell>
          <cell r="F600">
            <v>6538.82</v>
          </cell>
          <cell r="G600">
            <v>1307.76</v>
          </cell>
          <cell r="H600">
            <v>6538.82</v>
          </cell>
          <cell r="I600" t="str">
            <v>C</v>
          </cell>
        </row>
        <row r="601">
          <cell r="A601">
            <v>53318</v>
          </cell>
          <cell r="B601" t="str">
            <v>2.1.01.010.0430</v>
          </cell>
          <cell r="C601" t="str">
            <v xml:space="preserve">PLENTZ E PLENTZ DA SILVA </v>
          </cell>
          <cell r="D601">
            <v>2117.41</v>
          </cell>
          <cell r="E601">
            <v>1566.21</v>
          </cell>
          <cell r="F601">
            <v>2606.31</v>
          </cell>
          <cell r="G601">
            <v>1040.0999999999999</v>
          </cell>
          <cell r="H601">
            <v>3157.51</v>
          </cell>
          <cell r="I601" t="str">
            <v>C</v>
          </cell>
        </row>
        <row r="602">
          <cell r="A602">
            <v>53324</v>
          </cell>
          <cell r="B602" t="str">
            <v>2.1.01.010.0432</v>
          </cell>
          <cell r="C602" t="str">
            <v xml:space="preserve">PROCTOGIN SERVIÇOS </v>
          </cell>
          <cell r="D602">
            <v>1060.95</v>
          </cell>
          <cell r="E602">
            <v>0</v>
          </cell>
          <cell r="F602">
            <v>0</v>
          </cell>
          <cell r="G602">
            <v>0</v>
          </cell>
          <cell r="H602">
            <v>1060.95</v>
          </cell>
          <cell r="I602" t="str">
            <v>C</v>
          </cell>
        </row>
        <row r="603">
          <cell r="A603">
            <v>53360</v>
          </cell>
          <cell r="B603" t="str">
            <v>2.1.01.010.0437</v>
          </cell>
          <cell r="C603" t="str">
            <v xml:space="preserve">RR PRESTACAO DE SERVICOS </v>
          </cell>
          <cell r="D603">
            <v>3654.81</v>
          </cell>
          <cell r="E603">
            <v>2984.67</v>
          </cell>
          <cell r="F603">
            <v>1384.94</v>
          </cell>
          <cell r="G603">
            <v>-1599.73</v>
          </cell>
          <cell r="H603">
            <v>2055.08</v>
          </cell>
          <cell r="I603" t="str">
            <v>C</v>
          </cell>
        </row>
        <row r="604">
          <cell r="A604">
            <v>53362</v>
          </cell>
          <cell r="B604" t="str">
            <v>2.1.01.010.0438</v>
          </cell>
          <cell r="C604" t="str">
            <v xml:space="preserve">DRL SERVICOS MEDICOS SS </v>
          </cell>
          <cell r="D604">
            <v>376364.56</v>
          </cell>
          <cell r="E604">
            <v>376364.56</v>
          </cell>
          <cell r="F604">
            <v>416150.68</v>
          </cell>
          <cell r="G604">
            <v>39786.120000000003</v>
          </cell>
          <cell r="H604">
            <v>416150.68</v>
          </cell>
          <cell r="I604" t="str">
            <v>C</v>
          </cell>
        </row>
        <row r="605">
          <cell r="A605">
            <v>53366</v>
          </cell>
          <cell r="B605" t="str">
            <v>2.1.01.010.0439</v>
          </cell>
          <cell r="C605" t="str">
            <v xml:space="preserve">MUNHOZ SERVICOS MEDICOS </v>
          </cell>
          <cell r="D605">
            <v>1899.64</v>
          </cell>
          <cell r="E605">
            <v>14427.89</v>
          </cell>
          <cell r="F605">
            <v>15987.93</v>
          </cell>
          <cell r="G605">
            <v>1560.04</v>
          </cell>
          <cell r="H605">
            <v>3459.68</v>
          </cell>
          <cell r="I605" t="str">
            <v>C</v>
          </cell>
        </row>
        <row r="606">
          <cell r="A606">
            <v>53382</v>
          </cell>
          <cell r="B606" t="str">
            <v>2.1.01.010.0440</v>
          </cell>
          <cell r="C606" t="str">
            <v xml:space="preserve">GUSTAVO S. DE LIMA </v>
          </cell>
          <cell r="D606">
            <v>372.4</v>
          </cell>
          <cell r="E606">
            <v>0</v>
          </cell>
          <cell r="F606">
            <v>0</v>
          </cell>
          <cell r="G606">
            <v>0</v>
          </cell>
          <cell r="H606">
            <v>372.4</v>
          </cell>
          <cell r="I606" t="str">
            <v>C</v>
          </cell>
        </row>
        <row r="607">
          <cell r="A607">
            <v>53385</v>
          </cell>
          <cell r="B607" t="str">
            <v>2.1.01.010.0441</v>
          </cell>
          <cell r="C607" t="str">
            <v xml:space="preserve">COURA &amp; COURA SERVICOS </v>
          </cell>
          <cell r="D607">
            <v>3058.23</v>
          </cell>
          <cell r="E607">
            <v>0</v>
          </cell>
          <cell r="F607">
            <v>0</v>
          </cell>
          <cell r="G607">
            <v>0</v>
          </cell>
          <cell r="H607">
            <v>3058.23</v>
          </cell>
          <cell r="I607" t="str">
            <v>C</v>
          </cell>
        </row>
        <row r="608">
          <cell r="A608">
            <v>53386</v>
          </cell>
          <cell r="B608" t="str">
            <v>2.1.01.010.0442</v>
          </cell>
          <cell r="C608" t="str">
            <v xml:space="preserve">BCD SERVICOS MEDICOS </v>
          </cell>
          <cell r="D608">
            <v>106.96</v>
          </cell>
          <cell r="E608">
            <v>0</v>
          </cell>
          <cell r="F608">
            <v>0</v>
          </cell>
          <cell r="G608">
            <v>0</v>
          </cell>
          <cell r="H608">
            <v>106.96</v>
          </cell>
          <cell r="I608" t="str">
            <v>C</v>
          </cell>
        </row>
        <row r="609">
          <cell r="A609">
            <v>53390</v>
          </cell>
          <cell r="B609" t="str">
            <v>2.1.01.010.0444</v>
          </cell>
          <cell r="C609" t="str">
            <v xml:space="preserve">SALUD SENA CLINICA MEDICA </v>
          </cell>
          <cell r="D609">
            <v>1326.99</v>
          </cell>
          <cell r="E609">
            <v>0</v>
          </cell>
          <cell r="F609">
            <v>0</v>
          </cell>
          <cell r="G609">
            <v>0</v>
          </cell>
          <cell r="H609">
            <v>1326.99</v>
          </cell>
          <cell r="I609" t="str">
            <v>C</v>
          </cell>
        </row>
        <row r="610">
          <cell r="A610">
            <v>53392</v>
          </cell>
          <cell r="B610" t="str">
            <v>2.1.01.010.0446</v>
          </cell>
          <cell r="C610" t="str">
            <v>M.R.F. LACERDA &amp; CIA LTDA</v>
          </cell>
          <cell r="D610">
            <v>1872.95</v>
          </cell>
          <cell r="E610">
            <v>1732.95</v>
          </cell>
          <cell r="F610">
            <v>10607.97</v>
          </cell>
          <cell r="G610">
            <v>8875.02</v>
          </cell>
          <cell r="H610">
            <v>10747.97</v>
          </cell>
          <cell r="I610" t="str">
            <v>C</v>
          </cell>
        </row>
        <row r="611">
          <cell r="A611">
            <v>53393</v>
          </cell>
          <cell r="B611" t="str">
            <v>2.1.01.010.0447</v>
          </cell>
          <cell r="C611" t="str">
            <v xml:space="preserve">MARIANO BITTAR SERVICOS </v>
          </cell>
          <cell r="D611">
            <v>3710</v>
          </cell>
          <cell r="E611">
            <v>6300</v>
          </cell>
          <cell r="F611">
            <v>2700</v>
          </cell>
          <cell r="G611">
            <v>-3600</v>
          </cell>
          <cell r="H611">
            <v>110</v>
          </cell>
          <cell r="I611" t="str">
            <v>C</v>
          </cell>
        </row>
        <row r="612">
          <cell r="A612">
            <v>53420</v>
          </cell>
          <cell r="B612" t="str">
            <v>2.1.01.010.0452</v>
          </cell>
          <cell r="C612" t="str">
            <v xml:space="preserve">DENTISTA &amp; PACIENTE </v>
          </cell>
          <cell r="D612">
            <v>1470</v>
          </cell>
          <cell r="E612">
            <v>952</v>
          </cell>
          <cell r="F612">
            <v>1018.22</v>
          </cell>
          <cell r="G612">
            <v>66.22</v>
          </cell>
          <cell r="H612">
            <v>1536.22</v>
          </cell>
          <cell r="I612" t="str">
            <v>C</v>
          </cell>
        </row>
        <row r="613">
          <cell r="A613">
            <v>53441</v>
          </cell>
          <cell r="B613" t="str">
            <v>2.1.01.010.0454</v>
          </cell>
          <cell r="C613" t="str">
            <v xml:space="preserve">NAHIME E NACIF SERVICOS </v>
          </cell>
          <cell r="D613">
            <v>103.6</v>
          </cell>
          <cell r="E613">
            <v>0</v>
          </cell>
          <cell r="F613">
            <v>0</v>
          </cell>
          <cell r="G613">
            <v>0</v>
          </cell>
          <cell r="H613">
            <v>103.6</v>
          </cell>
          <cell r="I613" t="str">
            <v>C</v>
          </cell>
        </row>
        <row r="614">
          <cell r="A614">
            <v>53464</v>
          </cell>
          <cell r="B614" t="str">
            <v>2.1.01.010.0455</v>
          </cell>
          <cell r="C614" t="str">
            <v xml:space="preserve">NAKAGAWA &amp; BENEDETTO </v>
          </cell>
          <cell r="D614">
            <v>6864.28</v>
          </cell>
          <cell r="E614">
            <v>5155.4799999999996</v>
          </cell>
          <cell r="F614">
            <v>6294.37</v>
          </cell>
          <cell r="G614">
            <v>1138.8900000000001</v>
          </cell>
          <cell r="H614">
            <v>8003.17</v>
          </cell>
          <cell r="I614" t="str">
            <v>C</v>
          </cell>
        </row>
        <row r="615">
          <cell r="A615">
            <v>53489</v>
          </cell>
          <cell r="B615" t="str">
            <v>2.1.01.010.0458</v>
          </cell>
          <cell r="C615" t="str">
            <v xml:space="preserve">SAO LUCAS CLINICA DE </v>
          </cell>
          <cell r="D615">
            <v>1610.12</v>
          </cell>
          <cell r="E615">
            <v>0</v>
          </cell>
          <cell r="F615">
            <v>0</v>
          </cell>
          <cell r="G615">
            <v>0</v>
          </cell>
          <cell r="H615">
            <v>1610.12</v>
          </cell>
          <cell r="I615" t="str">
            <v>C</v>
          </cell>
        </row>
        <row r="616">
          <cell r="A616">
            <v>53500</v>
          </cell>
          <cell r="B616" t="str">
            <v>2.1.01.010.0460</v>
          </cell>
          <cell r="C616" t="str">
            <v xml:space="preserve">MARCONDES PEREIRA SERV </v>
          </cell>
          <cell r="D616">
            <v>297.5</v>
          </cell>
          <cell r="E616">
            <v>0</v>
          </cell>
          <cell r="F616">
            <v>1061.51</v>
          </cell>
          <cell r="G616">
            <v>1061.51</v>
          </cell>
          <cell r="H616">
            <v>1359.01</v>
          </cell>
          <cell r="I616" t="str">
            <v>C</v>
          </cell>
        </row>
        <row r="617">
          <cell r="A617">
            <v>53511</v>
          </cell>
          <cell r="B617" t="str">
            <v>2.1.01.010.0463</v>
          </cell>
          <cell r="C617" t="str">
            <v xml:space="preserve">REMONDINI FROES SERVICOS </v>
          </cell>
          <cell r="D617">
            <v>6195</v>
          </cell>
          <cell r="E617">
            <v>6195</v>
          </cell>
          <cell r="F617">
            <v>7916.5</v>
          </cell>
          <cell r="G617">
            <v>1721.5</v>
          </cell>
          <cell r="H617">
            <v>7916.5</v>
          </cell>
          <cell r="I617" t="str">
            <v>C</v>
          </cell>
        </row>
        <row r="618">
          <cell r="A618">
            <v>1800</v>
          </cell>
          <cell r="B618" t="str">
            <v>2.1.01.010.0464</v>
          </cell>
          <cell r="C618" t="str">
            <v xml:space="preserve">OTOVALE </v>
          </cell>
          <cell r="D618">
            <v>227.55</v>
          </cell>
          <cell r="E618">
            <v>0</v>
          </cell>
          <cell r="F618">
            <v>213.2</v>
          </cell>
          <cell r="G618">
            <v>213.2</v>
          </cell>
          <cell r="H618">
            <v>440.75</v>
          </cell>
          <cell r="I618" t="str">
            <v>C</v>
          </cell>
        </row>
        <row r="619">
          <cell r="A619">
            <v>53523</v>
          </cell>
          <cell r="B619" t="str">
            <v>2.1.01.010.0465</v>
          </cell>
          <cell r="C619" t="str">
            <v xml:space="preserve">DORO &amp; FIORE SERVICOS </v>
          </cell>
          <cell r="D619">
            <v>42699.89</v>
          </cell>
          <cell r="E619">
            <v>40.49</v>
          </cell>
          <cell r="F619">
            <v>1970</v>
          </cell>
          <cell r="G619">
            <v>1929.51</v>
          </cell>
          <cell r="H619">
            <v>44629.4</v>
          </cell>
          <cell r="I619" t="str">
            <v>C</v>
          </cell>
        </row>
        <row r="620">
          <cell r="A620">
            <v>53542</v>
          </cell>
          <cell r="B620" t="str">
            <v>2.1.01.010.0470</v>
          </cell>
          <cell r="C620" t="str">
            <v xml:space="preserve">INSTITUTO DE CIRURGIA DE </v>
          </cell>
          <cell r="D620">
            <v>2766.9</v>
          </cell>
          <cell r="E620">
            <v>0</v>
          </cell>
          <cell r="F620">
            <v>255.84</v>
          </cell>
          <cell r="G620">
            <v>255.84</v>
          </cell>
          <cell r="H620">
            <v>3022.74</v>
          </cell>
          <cell r="I620" t="str">
            <v>C</v>
          </cell>
        </row>
        <row r="621">
          <cell r="A621">
            <v>53556</v>
          </cell>
          <cell r="B621" t="str">
            <v>2.1.01.010.0471</v>
          </cell>
          <cell r="C621" t="str">
            <v xml:space="preserve">RIBAS SERVICOS MEDICOS </v>
          </cell>
          <cell r="D621">
            <v>3310</v>
          </cell>
          <cell r="E621">
            <v>2750</v>
          </cell>
          <cell r="F621">
            <v>3350</v>
          </cell>
          <cell r="G621">
            <v>600</v>
          </cell>
          <cell r="H621">
            <v>3910</v>
          </cell>
          <cell r="I621" t="str">
            <v>C</v>
          </cell>
        </row>
        <row r="622">
          <cell r="A622">
            <v>53557</v>
          </cell>
          <cell r="B622" t="str">
            <v>2.1.01.010.0472</v>
          </cell>
          <cell r="C622" t="str">
            <v xml:space="preserve">LOPES MACHADO SERVICOS </v>
          </cell>
          <cell r="D622">
            <v>13584</v>
          </cell>
          <cell r="E622">
            <v>13584</v>
          </cell>
          <cell r="F622">
            <v>6792</v>
          </cell>
          <cell r="G622">
            <v>-6792</v>
          </cell>
          <cell r="H622">
            <v>6792</v>
          </cell>
          <cell r="I622" t="str">
            <v>C</v>
          </cell>
        </row>
        <row r="623">
          <cell r="A623">
            <v>53558</v>
          </cell>
          <cell r="B623" t="str">
            <v>2.1.01.010.0473</v>
          </cell>
          <cell r="C623" t="str">
            <v>JM E JM SAUDE LTDA</v>
          </cell>
          <cell r="D623">
            <v>11769.88</v>
          </cell>
          <cell r="E623">
            <v>11769.88</v>
          </cell>
          <cell r="F623">
            <v>11769.88</v>
          </cell>
          <cell r="G623">
            <v>0</v>
          </cell>
          <cell r="H623">
            <v>11769.88</v>
          </cell>
          <cell r="I623" t="str">
            <v>C</v>
          </cell>
        </row>
        <row r="624">
          <cell r="A624">
            <v>53577</v>
          </cell>
          <cell r="B624" t="str">
            <v>2.1.01.010.0476</v>
          </cell>
          <cell r="C624" t="str">
            <v xml:space="preserve">KARLA DEGANI BABO DI </v>
          </cell>
          <cell r="D624">
            <v>22821.8</v>
          </cell>
          <cell r="E624">
            <v>22891.8</v>
          </cell>
          <cell r="F624">
            <v>25114.01</v>
          </cell>
          <cell r="G624">
            <v>2222.21</v>
          </cell>
          <cell r="H624">
            <v>25044.01</v>
          </cell>
          <cell r="I624" t="str">
            <v>C</v>
          </cell>
        </row>
        <row r="625">
          <cell r="A625">
            <v>53603</v>
          </cell>
          <cell r="B625" t="str">
            <v>2.1.01.010.0480</v>
          </cell>
          <cell r="C625" t="str">
            <v xml:space="preserve">CTO CENTRO DE </v>
          </cell>
          <cell r="D625">
            <v>1746.25</v>
          </cell>
          <cell r="E625">
            <v>0</v>
          </cell>
          <cell r="F625">
            <v>0</v>
          </cell>
          <cell r="G625">
            <v>0</v>
          </cell>
          <cell r="H625">
            <v>1746.25</v>
          </cell>
          <cell r="I625" t="str">
            <v>C</v>
          </cell>
        </row>
        <row r="626">
          <cell r="A626">
            <v>53605</v>
          </cell>
          <cell r="B626" t="str">
            <v>2.1.01.010.0481</v>
          </cell>
          <cell r="C626" t="str">
            <v xml:space="preserve">DUCORDIS ASSISTENCIA </v>
          </cell>
          <cell r="D626">
            <v>1430.05</v>
          </cell>
          <cell r="E626">
            <v>0</v>
          </cell>
          <cell r="F626">
            <v>0</v>
          </cell>
          <cell r="G626">
            <v>0</v>
          </cell>
          <cell r="H626">
            <v>1430.05</v>
          </cell>
          <cell r="I626" t="str">
            <v>C</v>
          </cell>
        </row>
        <row r="627">
          <cell r="A627">
            <v>53703</v>
          </cell>
          <cell r="B627" t="str">
            <v>2.1.01.010.0482</v>
          </cell>
          <cell r="C627" t="str">
            <v xml:space="preserve">RUIZ DE OLIVEIRA SERVICOS </v>
          </cell>
          <cell r="D627">
            <v>2819.81</v>
          </cell>
          <cell r="E627">
            <v>2819.81</v>
          </cell>
          <cell r="F627">
            <v>3248.04</v>
          </cell>
          <cell r="G627">
            <v>428.23</v>
          </cell>
          <cell r="H627">
            <v>3248.04</v>
          </cell>
          <cell r="I627" t="str">
            <v>C</v>
          </cell>
        </row>
        <row r="628">
          <cell r="A628">
            <v>53704</v>
          </cell>
          <cell r="B628" t="str">
            <v>2.1.01.010.0483</v>
          </cell>
          <cell r="C628" t="str">
            <v xml:space="preserve">MAIA &amp; FERNANDES </v>
          </cell>
          <cell r="D628">
            <v>675.71</v>
          </cell>
          <cell r="E628">
            <v>70</v>
          </cell>
          <cell r="F628">
            <v>1090.3599999999999</v>
          </cell>
          <cell r="G628">
            <v>1020.36</v>
          </cell>
          <cell r="H628">
            <v>1696.07</v>
          </cell>
          <cell r="I628" t="str">
            <v>C</v>
          </cell>
        </row>
        <row r="629">
          <cell r="A629">
            <v>53706</v>
          </cell>
          <cell r="B629" t="str">
            <v>2.1.01.010.0485</v>
          </cell>
          <cell r="C629" t="str">
            <v xml:space="preserve">CARVALHO &amp; COSTA </v>
          </cell>
          <cell r="D629">
            <v>7299</v>
          </cell>
          <cell r="E629">
            <v>8141</v>
          </cell>
          <cell r="F629">
            <v>15186.15</v>
          </cell>
          <cell r="G629">
            <v>7045.15</v>
          </cell>
          <cell r="H629">
            <v>14344.15</v>
          </cell>
          <cell r="I629" t="str">
            <v>C</v>
          </cell>
        </row>
        <row r="630">
          <cell r="A630">
            <v>53798</v>
          </cell>
          <cell r="B630" t="str">
            <v>2.1.01.010.0488</v>
          </cell>
          <cell r="C630" t="str">
            <v xml:space="preserve">MAAP SERVICOS MEDICOS </v>
          </cell>
          <cell r="D630">
            <v>30547.25</v>
          </cell>
          <cell r="E630">
            <v>30477.25</v>
          </cell>
          <cell r="F630">
            <v>23205.65</v>
          </cell>
          <cell r="G630">
            <v>-7271.6</v>
          </cell>
          <cell r="H630">
            <v>23275.65</v>
          </cell>
          <cell r="I630" t="str">
            <v>C</v>
          </cell>
        </row>
        <row r="631">
          <cell r="A631">
            <v>53800</v>
          </cell>
          <cell r="B631" t="str">
            <v>2.1.01.010.0489</v>
          </cell>
          <cell r="C631" t="str">
            <v>RONCONI MIRANDA LTDA</v>
          </cell>
          <cell r="D631">
            <v>1068.8399999999999</v>
          </cell>
          <cell r="E631">
            <v>0</v>
          </cell>
          <cell r="F631">
            <v>0</v>
          </cell>
          <cell r="G631">
            <v>0</v>
          </cell>
          <cell r="H631">
            <v>1068.8399999999999</v>
          </cell>
          <cell r="I631" t="str">
            <v>C</v>
          </cell>
        </row>
        <row r="632">
          <cell r="A632">
            <v>53003</v>
          </cell>
          <cell r="B632" t="str">
            <v>2.1.01.010.0490</v>
          </cell>
          <cell r="C632" t="str">
            <v xml:space="preserve"> ANDRADE &amp; LACERDA </v>
          </cell>
          <cell r="D632">
            <v>86.4</v>
          </cell>
          <cell r="E632">
            <v>0</v>
          </cell>
          <cell r="F632">
            <v>0</v>
          </cell>
          <cell r="G632">
            <v>0</v>
          </cell>
          <cell r="H632">
            <v>86.4</v>
          </cell>
          <cell r="I632" t="str">
            <v>C</v>
          </cell>
        </row>
        <row r="633">
          <cell r="A633">
            <v>53827</v>
          </cell>
          <cell r="B633" t="str">
            <v>2.1.01.010.0493</v>
          </cell>
          <cell r="C633" t="str">
            <v xml:space="preserve">FREIXEDAS MEDICINA E </v>
          </cell>
          <cell r="D633">
            <v>6947.28</v>
          </cell>
          <cell r="E633">
            <v>12168.91</v>
          </cell>
          <cell r="F633">
            <v>13022.63</v>
          </cell>
          <cell r="G633">
            <v>853.72</v>
          </cell>
          <cell r="H633">
            <v>7801</v>
          </cell>
          <cell r="I633" t="str">
            <v>C</v>
          </cell>
        </row>
        <row r="634">
          <cell r="A634">
            <v>53834</v>
          </cell>
          <cell r="B634" t="str">
            <v>2.1.01.010.0494</v>
          </cell>
          <cell r="C634" t="str">
            <v xml:space="preserve">MORGADO E MAGALHAES </v>
          </cell>
          <cell r="D634">
            <v>16333.41</v>
          </cell>
          <cell r="E634">
            <v>18479.36</v>
          </cell>
          <cell r="F634">
            <v>21004.35</v>
          </cell>
          <cell r="G634">
            <v>2524.9899999999998</v>
          </cell>
          <cell r="H634">
            <v>18858.400000000001</v>
          </cell>
          <cell r="I634" t="str">
            <v>C</v>
          </cell>
        </row>
        <row r="635">
          <cell r="A635">
            <v>53845</v>
          </cell>
          <cell r="B635" t="str">
            <v>2.1.01.010.0496</v>
          </cell>
          <cell r="C635" t="str">
            <v xml:space="preserve">STOLZEMBURG &amp; APOLINARIO </v>
          </cell>
          <cell r="D635">
            <v>120</v>
          </cell>
          <cell r="E635">
            <v>0</v>
          </cell>
          <cell r="F635">
            <v>0</v>
          </cell>
          <cell r="G635">
            <v>0</v>
          </cell>
          <cell r="H635">
            <v>120</v>
          </cell>
          <cell r="I635" t="str">
            <v>C</v>
          </cell>
        </row>
        <row r="636">
          <cell r="A636">
            <v>53852</v>
          </cell>
          <cell r="B636" t="str">
            <v>2.1.01.010.0497</v>
          </cell>
          <cell r="C636" t="str">
            <v xml:space="preserve">LOPES &amp; ALVARENGA </v>
          </cell>
          <cell r="D636">
            <v>3173.42</v>
          </cell>
          <cell r="E636">
            <v>2175.21</v>
          </cell>
          <cell r="F636">
            <v>2975.33</v>
          </cell>
          <cell r="G636">
            <v>800.12</v>
          </cell>
          <cell r="H636">
            <v>3973.54</v>
          </cell>
          <cell r="I636" t="str">
            <v>C</v>
          </cell>
        </row>
        <row r="637">
          <cell r="A637">
            <v>53853</v>
          </cell>
          <cell r="B637" t="str">
            <v>2.1.01.010.0498</v>
          </cell>
          <cell r="C637" t="str">
            <v xml:space="preserve">VERSIANI ALVAREZ SERVICOS </v>
          </cell>
          <cell r="D637">
            <v>13493.51</v>
          </cell>
          <cell r="E637">
            <v>14834.59</v>
          </cell>
          <cell r="F637">
            <v>13976.08</v>
          </cell>
          <cell r="G637">
            <v>-858.51</v>
          </cell>
          <cell r="H637">
            <v>12635</v>
          </cell>
          <cell r="I637" t="str">
            <v>C</v>
          </cell>
        </row>
        <row r="638">
          <cell r="A638">
            <v>53856</v>
          </cell>
          <cell r="B638" t="str">
            <v>2.1.01.010.0499</v>
          </cell>
          <cell r="C638" t="str">
            <v xml:space="preserve">M&amp;F ASSISTENCIA A SAUDE </v>
          </cell>
          <cell r="D638">
            <v>0</v>
          </cell>
          <cell r="E638">
            <v>0</v>
          </cell>
          <cell r="F638">
            <v>7722</v>
          </cell>
          <cell r="G638">
            <v>7722</v>
          </cell>
          <cell r="H638">
            <v>7722</v>
          </cell>
          <cell r="I638" t="str">
            <v>C</v>
          </cell>
        </row>
        <row r="639">
          <cell r="A639">
            <v>53860</v>
          </cell>
          <cell r="B639" t="str">
            <v>2.1.01.010.0503</v>
          </cell>
          <cell r="C639" t="str">
            <v xml:space="preserve">MARCHTEIN GUEDES </v>
          </cell>
          <cell r="D639">
            <v>105.84</v>
          </cell>
          <cell r="E639">
            <v>0</v>
          </cell>
          <cell r="F639">
            <v>0</v>
          </cell>
          <cell r="G639">
            <v>0</v>
          </cell>
          <cell r="H639">
            <v>105.84</v>
          </cell>
          <cell r="I639" t="str">
            <v>C</v>
          </cell>
        </row>
        <row r="640">
          <cell r="A640">
            <v>53861</v>
          </cell>
          <cell r="B640" t="str">
            <v>2.1.01.010.0504</v>
          </cell>
          <cell r="C640" t="str">
            <v xml:space="preserve">SANCHES REZENDE </v>
          </cell>
          <cell r="D640">
            <v>5749.03</v>
          </cell>
          <cell r="E640">
            <v>918.1</v>
          </cell>
          <cell r="F640">
            <v>4248.2700000000004</v>
          </cell>
          <cell r="G640">
            <v>3330.17</v>
          </cell>
          <cell r="H640">
            <v>9079.2000000000007</v>
          </cell>
          <cell r="I640" t="str">
            <v>C</v>
          </cell>
        </row>
        <row r="641">
          <cell r="A641">
            <v>53865</v>
          </cell>
          <cell r="B641" t="str">
            <v>2.1.01.010.0506</v>
          </cell>
          <cell r="C641" t="str">
            <v>J. D. L. CLINICA MEDICA LTDA</v>
          </cell>
          <cell r="D641">
            <v>42.4</v>
          </cell>
          <cell r="E641">
            <v>0</v>
          </cell>
          <cell r="F641">
            <v>0</v>
          </cell>
          <cell r="G641">
            <v>0</v>
          </cell>
          <cell r="H641">
            <v>42.4</v>
          </cell>
          <cell r="I641" t="str">
            <v>C</v>
          </cell>
        </row>
        <row r="642">
          <cell r="A642">
            <v>53866</v>
          </cell>
          <cell r="B642" t="str">
            <v>2.1.01.010.0507</v>
          </cell>
          <cell r="C642" t="str">
            <v xml:space="preserve">FORTUNATO DE BARROS </v>
          </cell>
          <cell r="D642">
            <v>1200</v>
          </cell>
          <cell r="E642">
            <v>0</v>
          </cell>
          <cell r="F642">
            <v>0</v>
          </cell>
          <cell r="G642">
            <v>0</v>
          </cell>
          <cell r="H642">
            <v>1200</v>
          </cell>
          <cell r="I642" t="str">
            <v>C</v>
          </cell>
        </row>
        <row r="643">
          <cell r="A643">
            <v>53871</v>
          </cell>
          <cell r="B643" t="str">
            <v>2.1.01.010.0508</v>
          </cell>
          <cell r="C643" t="str">
            <v xml:space="preserve">CLINICA MEDICA POPULAR </v>
          </cell>
          <cell r="D643">
            <v>1081.5</v>
          </cell>
          <cell r="E643">
            <v>1081.5</v>
          </cell>
          <cell r="F643">
            <v>2380</v>
          </cell>
          <cell r="G643">
            <v>1298.5</v>
          </cell>
          <cell r="H643">
            <v>2380</v>
          </cell>
          <cell r="I643" t="str">
            <v>C</v>
          </cell>
        </row>
        <row r="644">
          <cell r="A644">
            <v>53872</v>
          </cell>
          <cell r="B644" t="str">
            <v>2.1.01.010.0509</v>
          </cell>
          <cell r="C644" t="str">
            <v xml:space="preserve">ELISE PITTA SERVICOS </v>
          </cell>
          <cell r="D644">
            <v>10965.78</v>
          </cell>
          <cell r="E644">
            <v>11133.78</v>
          </cell>
          <cell r="F644">
            <v>11683.94</v>
          </cell>
          <cell r="G644">
            <v>550.16</v>
          </cell>
          <cell r="H644">
            <v>11515.94</v>
          </cell>
          <cell r="I644" t="str">
            <v>C</v>
          </cell>
        </row>
        <row r="645">
          <cell r="A645">
            <v>53908</v>
          </cell>
          <cell r="B645" t="str">
            <v>2.1.01.010.0512</v>
          </cell>
          <cell r="C645" t="str">
            <v>GNJ CLINICA MEDICA LTDA</v>
          </cell>
          <cell r="D645">
            <v>899.15</v>
          </cell>
          <cell r="E645">
            <v>0</v>
          </cell>
          <cell r="F645">
            <v>0</v>
          </cell>
          <cell r="G645">
            <v>0</v>
          </cell>
          <cell r="H645">
            <v>899.15</v>
          </cell>
          <cell r="I645" t="str">
            <v>C</v>
          </cell>
        </row>
        <row r="646">
          <cell r="A646">
            <v>53910</v>
          </cell>
          <cell r="B646" t="str">
            <v>2.1.01.010.0513</v>
          </cell>
          <cell r="C646" t="str">
            <v>GINECOCARE LTDA</v>
          </cell>
          <cell r="D646">
            <v>2856.99</v>
          </cell>
          <cell r="E646">
            <v>2856.99</v>
          </cell>
          <cell r="F646">
            <v>3500.98</v>
          </cell>
          <cell r="G646">
            <v>643.99</v>
          </cell>
          <cell r="H646">
            <v>3500.98</v>
          </cell>
          <cell r="I646" t="str">
            <v>C</v>
          </cell>
        </row>
        <row r="647">
          <cell r="A647">
            <v>53913</v>
          </cell>
          <cell r="B647" t="str">
            <v>2.1.01.010.0516</v>
          </cell>
          <cell r="C647" t="str">
            <v>RJE CLINICA MEDICA LTDA ME</v>
          </cell>
          <cell r="D647">
            <v>4130.6400000000003</v>
          </cell>
          <cell r="E647">
            <v>0</v>
          </cell>
          <cell r="F647">
            <v>1054.93</v>
          </cell>
          <cell r="G647">
            <v>1054.93</v>
          </cell>
          <cell r="H647">
            <v>5185.57</v>
          </cell>
          <cell r="I647" t="str">
            <v>C</v>
          </cell>
        </row>
        <row r="648">
          <cell r="A648">
            <v>53914</v>
          </cell>
          <cell r="B648" t="str">
            <v>2.1.01.010.0517</v>
          </cell>
          <cell r="C648" t="str">
            <v xml:space="preserve">UROCAMP SERV MED E HOSP </v>
          </cell>
          <cell r="D648">
            <v>662.4</v>
          </cell>
          <cell r="E648">
            <v>0</v>
          </cell>
          <cell r="F648">
            <v>0</v>
          </cell>
          <cell r="G648">
            <v>0</v>
          </cell>
          <cell r="H648">
            <v>662.4</v>
          </cell>
          <cell r="I648" t="str">
            <v>C</v>
          </cell>
        </row>
        <row r="649">
          <cell r="A649">
            <v>53918</v>
          </cell>
          <cell r="B649" t="str">
            <v>2.1.01.010.0519</v>
          </cell>
          <cell r="C649" t="str">
            <v xml:space="preserve">RAMOS RODRIGUES </v>
          </cell>
          <cell r="D649">
            <v>5554.67</v>
          </cell>
          <cell r="E649">
            <v>5554.67</v>
          </cell>
          <cell r="F649">
            <v>5712.69</v>
          </cell>
          <cell r="G649">
            <v>158.02000000000001</v>
          </cell>
          <cell r="H649">
            <v>5712.69</v>
          </cell>
          <cell r="I649" t="str">
            <v>C</v>
          </cell>
        </row>
        <row r="650">
          <cell r="A650">
            <v>53937</v>
          </cell>
          <cell r="B650" t="str">
            <v>2.1.01.010.0522</v>
          </cell>
          <cell r="C650" t="str">
            <v xml:space="preserve">DANILO AUGUSTO BLANCO </v>
          </cell>
          <cell r="D650">
            <v>60</v>
          </cell>
          <cell r="E650">
            <v>0</v>
          </cell>
          <cell r="F650">
            <v>0</v>
          </cell>
          <cell r="G650">
            <v>0</v>
          </cell>
          <cell r="H650">
            <v>60</v>
          </cell>
          <cell r="I650" t="str">
            <v>C</v>
          </cell>
        </row>
        <row r="651">
          <cell r="A651">
            <v>53950</v>
          </cell>
          <cell r="B651" t="str">
            <v>2.1.01.010.0524</v>
          </cell>
          <cell r="C651" t="str">
            <v xml:space="preserve">SYMED SERVICOS MEDICOS </v>
          </cell>
          <cell r="D651">
            <v>9633.43</v>
          </cell>
          <cell r="E651">
            <v>11103.43</v>
          </cell>
          <cell r="F651">
            <v>19448.580000000002</v>
          </cell>
          <cell r="G651">
            <v>8345.15</v>
          </cell>
          <cell r="H651">
            <v>17978.580000000002</v>
          </cell>
          <cell r="I651" t="str">
            <v>C</v>
          </cell>
        </row>
        <row r="652">
          <cell r="A652">
            <v>53955</v>
          </cell>
          <cell r="B652" t="str">
            <v>2.1.01.010.0527</v>
          </cell>
          <cell r="C652" t="str">
            <v xml:space="preserve">ORTO - PED SERVICOS </v>
          </cell>
          <cell r="D652">
            <v>460.18</v>
          </cell>
          <cell r="E652">
            <v>0</v>
          </cell>
          <cell r="F652">
            <v>0</v>
          </cell>
          <cell r="G652">
            <v>0</v>
          </cell>
          <cell r="H652">
            <v>460.18</v>
          </cell>
          <cell r="I652" t="str">
            <v>C</v>
          </cell>
        </row>
        <row r="653">
          <cell r="A653">
            <v>53956</v>
          </cell>
          <cell r="B653" t="str">
            <v>2.1.01.010.0528</v>
          </cell>
          <cell r="C653" t="str">
            <v xml:space="preserve">SOLUCAO SAUDE CLINICA DE </v>
          </cell>
          <cell r="D653">
            <v>369.11</v>
          </cell>
          <cell r="E653">
            <v>0</v>
          </cell>
          <cell r="F653">
            <v>0</v>
          </cell>
          <cell r="G653">
            <v>0</v>
          </cell>
          <cell r="H653">
            <v>369.11</v>
          </cell>
          <cell r="I653" t="str">
            <v>C</v>
          </cell>
        </row>
        <row r="654">
          <cell r="A654">
            <v>53958</v>
          </cell>
          <cell r="B654" t="str">
            <v>2.1.01.010.0529</v>
          </cell>
          <cell r="C654" t="str">
            <v xml:space="preserve">CLINICA MEDICA E CIRURGICA </v>
          </cell>
          <cell r="D654">
            <v>20781.169999999998</v>
          </cell>
          <cell r="E654">
            <v>20800.580000000002</v>
          </cell>
          <cell r="F654">
            <v>15432.26</v>
          </cell>
          <cell r="G654">
            <v>-5368.32</v>
          </cell>
          <cell r="H654">
            <v>15412.85</v>
          </cell>
          <cell r="I654" t="str">
            <v>C</v>
          </cell>
        </row>
        <row r="655">
          <cell r="A655">
            <v>53959</v>
          </cell>
          <cell r="B655" t="str">
            <v>2.1.01.010.0530</v>
          </cell>
          <cell r="C655" t="str">
            <v xml:space="preserve">DINIZ BALBUENO SERVICOS </v>
          </cell>
          <cell r="D655">
            <v>2659.72</v>
          </cell>
          <cell r="E655">
            <v>3006.43</v>
          </cell>
          <cell r="F655">
            <v>4887.46</v>
          </cell>
          <cell r="G655">
            <v>1881.03</v>
          </cell>
          <cell r="H655">
            <v>4540.75</v>
          </cell>
          <cell r="I655" t="str">
            <v>C</v>
          </cell>
        </row>
        <row r="656">
          <cell r="A656">
            <v>53960</v>
          </cell>
          <cell r="B656" t="str">
            <v>2.1.01.010.0531</v>
          </cell>
          <cell r="C656" t="str">
            <v xml:space="preserve">MALDONADO SERVICOS </v>
          </cell>
          <cell r="D656">
            <v>53.48</v>
          </cell>
          <cell r="E656">
            <v>0</v>
          </cell>
          <cell r="F656">
            <v>0</v>
          </cell>
          <cell r="G656">
            <v>0</v>
          </cell>
          <cell r="H656">
            <v>53.48</v>
          </cell>
          <cell r="I656" t="str">
            <v>C</v>
          </cell>
        </row>
        <row r="657">
          <cell r="A657">
            <v>53961</v>
          </cell>
          <cell r="B657" t="str">
            <v>2.1.01.010.0532</v>
          </cell>
          <cell r="C657" t="str">
            <v xml:space="preserve">VARGAS E PEGORARO </v>
          </cell>
          <cell r="D657">
            <v>22655</v>
          </cell>
          <cell r="E657">
            <v>22655</v>
          </cell>
          <cell r="F657">
            <v>22655</v>
          </cell>
          <cell r="G657">
            <v>0</v>
          </cell>
          <cell r="H657">
            <v>22655</v>
          </cell>
          <cell r="I657" t="str">
            <v>C</v>
          </cell>
        </row>
        <row r="658">
          <cell r="A658">
            <v>53965</v>
          </cell>
          <cell r="B658" t="str">
            <v>2.1.01.010.0534</v>
          </cell>
          <cell r="C658" t="str">
            <v xml:space="preserve">MELO FERRARI SERVICOS </v>
          </cell>
          <cell r="D658">
            <v>9920.85</v>
          </cell>
          <cell r="E658">
            <v>7632.62</v>
          </cell>
          <cell r="F658">
            <v>6897.05</v>
          </cell>
          <cell r="G658">
            <v>-735.57</v>
          </cell>
          <cell r="H658">
            <v>9185.2800000000007</v>
          </cell>
          <cell r="I658" t="str">
            <v>C</v>
          </cell>
        </row>
        <row r="659">
          <cell r="A659">
            <v>53970</v>
          </cell>
          <cell r="B659" t="str">
            <v>2.1.01.010.0536</v>
          </cell>
          <cell r="C659" t="str">
            <v xml:space="preserve">FARIA &amp; TORRESAN CLINICA </v>
          </cell>
          <cell r="D659">
            <v>2805.98</v>
          </cell>
          <cell r="E659">
            <v>1424.17</v>
          </cell>
          <cell r="F659">
            <v>417.16</v>
          </cell>
          <cell r="G659">
            <v>-1007.01</v>
          </cell>
          <cell r="H659">
            <v>1798.97</v>
          </cell>
          <cell r="I659" t="str">
            <v>C</v>
          </cell>
        </row>
        <row r="660">
          <cell r="A660">
            <v>53992</v>
          </cell>
          <cell r="B660" t="str">
            <v>2.1.01.010.0538</v>
          </cell>
          <cell r="C660" t="str">
            <v xml:space="preserve">SADABB SERVIÇOS MEDICOS </v>
          </cell>
          <cell r="D660">
            <v>1266.42</v>
          </cell>
          <cell r="E660">
            <v>13832.72</v>
          </cell>
          <cell r="F660">
            <v>13996.14</v>
          </cell>
          <cell r="G660">
            <v>163.41999999999999</v>
          </cell>
          <cell r="H660">
            <v>1429.84</v>
          </cell>
          <cell r="I660" t="str">
            <v>C</v>
          </cell>
        </row>
        <row r="661">
          <cell r="A661">
            <v>53994</v>
          </cell>
          <cell r="B661" t="str">
            <v>2.1.01.010.0539</v>
          </cell>
          <cell r="C661" t="str">
            <v>JC&amp;FP CLINICA MEDICA LTDA</v>
          </cell>
          <cell r="D661">
            <v>609.12</v>
          </cell>
          <cell r="E661">
            <v>0</v>
          </cell>
          <cell r="F661">
            <v>0</v>
          </cell>
          <cell r="G661">
            <v>0</v>
          </cell>
          <cell r="H661">
            <v>609.12</v>
          </cell>
          <cell r="I661" t="str">
            <v>C</v>
          </cell>
        </row>
        <row r="662">
          <cell r="A662">
            <v>54017</v>
          </cell>
          <cell r="B662" t="str">
            <v>2.1.01.010.0540</v>
          </cell>
          <cell r="C662" t="str">
            <v xml:space="preserve">PSICOCEL PSICOLOGIA SS </v>
          </cell>
          <cell r="D662">
            <v>0</v>
          </cell>
          <cell r="E662">
            <v>245</v>
          </cell>
          <cell r="F662">
            <v>441</v>
          </cell>
          <cell r="G662">
            <v>196</v>
          </cell>
          <cell r="H662">
            <v>196</v>
          </cell>
          <cell r="I662" t="str">
            <v>C</v>
          </cell>
        </row>
        <row r="663">
          <cell r="A663">
            <v>54028</v>
          </cell>
          <cell r="B663" t="str">
            <v>2.1.01.010.0543</v>
          </cell>
          <cell r="C663" t="str">
            <v xml:space="preserve">K R P SERVICOS MEDICOS </v>
          </cell>
          <cell r="D663">
            <v>8582.27</v>
          </cell>
          <cell r="E663">
            <v>8653.67</v>
          </cell>
          <cell r="F663">
            <v>9067.75</v>
          </cell>
          <cell r="G663">
            <v>414.08</v>
          </cell>
          <cell r="H663">
            <v>8996.35</v>
          </cell>
          <cell r="I663" t="str">
            <v>C</v>
          </cell>
        </row>
        <row r="664">
          <cell r="A664">
            <v>54031</v>
          </cell>
          <cell r="B664" t="str">
            <v>2.1.01.010.0545</v>
          </cell>
          <cell r="C664" t="str">
            <v xml:space="preserve">CLINICA MEDICA RODRIGUES </v>
          </cell>
          <cell r="D664">
            <v>714.3</v>
          </cell>
          <cell r="E664">
            <v>0</v>
          </cell>
          <cell r="F664">
            <v>1290.5</v>
          </cell>
          <cell r="G664">
            <v>1290.5</v>
          </cell>
          <cell r="H664">
            <v>2004.8</v>
          </cell>
          <cell r="I664" t="str">
            <v>C</v>
          </cell>
        </row>
        <row r="665">
          <cell r="A665">
            <v>54033</v>
          </cell>
          <cell r="B665" t="str">
            <v>2.1.01.010.0547</v>
          </cell>
          <cell r="C665" t="str">
            <v xml:space="preserve">ALECIOCOSTA SERVICOS </v>
          </cell>
          <cell r="D665">
            <v>438.83</v>
          </cell>
          <cell r="E665">
            <v>0</v>
          </cell>
          <cell r="F665">
            <v>0</v>
          </cell>
          <cell r="G665">
            <v>0</v>
          </cell>
          <cell r="H665">
            <v>438.83</v>
          </cell>
          <cell r="I665" t="str">
            <v>C</v>
          </cell>
        </row>
        <row r="666">
          <cell r="A666">
            <v>54034</v>
          </cell>
          <cell r="B666" t="str">
            <v>2.1.01.010.0548</v>
          </cell>
          <cell r="C666" t="str">
            <v xml:space="preserve">M M C DA SILVA CLINICA </v>
          </cell>
          <cell r="D666">
            <v>3678.47</v>
          </cell>
          <cell r="E666">
            <v>2435.27</v>
          </cell>
          <cell r="F666">
            <v>1190</v>
          </cell>
          <cell r="G666">
            <v>-1245.27</v>
          </cell>
          <cell r="H666">
            <v>2433.1999999999998</v>
          </cell>
          <cell r="I666" t="str">
            <v>C</v>
          </cell>
        </row>
        <row r="667">
          <cell r="A667">
            <v>54035</v>
          </cell>
          <cell r="B667" t="str">
            <v>2.1.01.010.0549</v>
          </cell>
          <cell r="C667" t="str">
            <v>OTO E RINHO S CARE LTDA</v>
          </cell>
          <cell r="D667">
            <v>1354.43</v>
          </cell>
          <cell r="E667">
            <v>773.29</v>
          </cell>
          <cell r="F667">
            <v>0</v>
          </cell>
          <cell r="G667">
            <v>-773.29</v>
          </cell>
          <cell r="H667">
            <v>581.14</v>
          </cell>
          <cell r="I667" t="str">
            <v>C</v>
          </cell>
        </row>
        <row r="668">
          <cell r="A668">
            <v>54036</v>
          </cell>
          <cell r="B668" t="str">
            <v>2.1.01.010.0550</v>
          </cell>
          <cell r="C668" t="str">
            <v xml:space="preserve">OZORIO CARDOSO SERVICOS </v>
          </cell>
          <cell r="D668">
            <v>4295.58</v>
          </cell>
          <cell r="E668">
            <v>4295.58</v>
          </cell>
          <cell r="F668">
            <v>5873.83</v>
          </cell>
          <cell r="G668">
            <v>1578.25</v>
          </cell>
          <cell r="H668">
            <v>5873.83</v>
          </cell>
          <cell r="I668" t="str">
            <v>C</v>
          </cell>
        </row>
        <row r="669">
          <cell r="A669">
            <v>54037</v>
          </cell>
          <cell r="B669" t="str">
            <v>2.1.01.010.0551</v>
          </cell>
          <cell r="C669" t="str">
            <v xml:space="preserve">TH VIEIRA SERVICOS </v>
          </cell>
          <cell r="D669">
            <v>2492</v>
          </cell>
          <cell r="E669">
            <v>280</v>
          </cell>
          <cell r="F669">
            <v>8324.5400000000009</v>
          </cell>
          <cell r="G669">
            <v>8044.54</v>
          </cell>
          <cell r="H669">
            <v>10536.54</v>
          </cell>
          <cell r="I669" t="str">
            <v>C</v>
          </cell>
        </row>
        <row r="670">
          <cell r="A670">
            <v>54038</v>
          </cell>
          <cell r="B670" t="str">
            <v>2.1.01.010.0552</v>
          </cell>
          <cell r="C670" t="str">
            <v>UNICA MED SOC MEDICA LTDA</v>
          </cell>
          <cell r="D670">
            <v>1839.89</v>
          </cell>
          <cell r="E670">
            <v>1447.95</v>
          </cell>
          <cell r="F670">
            <v>1985.66</v>
          </cell>
          <cell r="G670">
            <v>537.71</v>
          </cell>
          <cell r="H670">
            <v>2377.6</v>
          </cell>
          <cell r="I670" t="str">
            <v>C</v>
          </cell>
        </row>
        <row r="671">
          <cell r="A671">
            <v>54040</v>
          </cell>
          <cell r="B671" t="str">
            <v>2.1.01.010.0554</v>
          </cell>
          <cell r="C671" t="str">
            <v xml:space="preserve">OB GYN CARE GINECOLOGIA </v>
          </cell>
          <cell r="D671">
            <v>512.5</v>
          </cell>
          <cell r="E671">
            <v>512.5</v>
          </cell>
          <cell r="F671">
            <v>636.05999999999995</v>
          </cell>
          <cell r="G671">
            <v>123.56</v>
          </cell>
          <cell r="H671">
            <v>636.05999999999995</v>
          </cell>
          <cell r="I671" t="str">
            <v>C</v>
          </cell>
        </row>
        <row r="672">
          <cell r="A672">
            <v>54046</v>
          </cell>
          <cell r="B672" t="str">
            <v>2.1.01.010.0556</v>
          </cell>
          <cell r="C672" t="str">
            <v>PUPPIO SERVIÇOS MÉDICOS</v>
          </cell>
          <cell r="D672">
            <v>530.95000000000005</v>
          </cell>
          <cell r="E672">
            <v>0</v>
          </cell>
          <cell r="F672">
            <v>1172.1500000000001</v>
          </cell>
          <cell r="G672">
            <v>1172.1500000000001</v>
          </cell>
          <cell r="H672">
            <v>1703.1</v>
          </cell>
          <cell r="I672" t="str">
            <v>C</v>
          </cell>
        </row>
        <row r="673">
          <cell r="A673">
            <v>54047</v>
          </cell>
          <cell r="B673" t="str">
            <v>2.1.01.010.0557</v>
          </cell>
          <cell r="C673" t="str">
            <v xml:space="preserve">NAKASHIMA &amp; OLIVEIRA </v>
          </cell>
          <cell r="D673">
            <v>796.46</v>
          </cell>
          <cell r="E673">
            <v>0</v>
          </cell>
          <cell r="F673">
            <v>738.2</v>
          </cell>
          <cell r="G673">
            <v>738.2</v>
          </cell>
          <cell r="H673">
            <v>1534.66</v>
          </cell>
          <cell r="I673" t="str">
            <v>C</v>
          </cell>
        </row>
        <row r="674">
          <cell r="A674">
            <v>54052</v>
          </cell>
          <cell r="B674" t="str">
            <v>2.1.01.010.0560</v>
          </cell>
          <cell r="C674" t="str">
            <v xml:space="preserve">GASTALDO SERVICOS </v>
          </cell>
          <cell r="D674">
            <v>13757.22</v>
          </cell>
          <cell r="E674">
            <v>13027</v>
          </cell>
          <cell r="F674">
            <v>16827.66</v>
          </cell>
          <cell r="G674">
            <v>3800.66</v>
          </cell>
          <cell r="H674">
            <v>17557.88</v>
          </cell>
          <cell r="I674" t="str">
            <v>C</v>
          </cell>
        </row>
        <row r="675">
          <cell r="A675">
            <v>54068</v>
          </cell>
          <cell r="B675" t="str">
            <v>2.1.01.010.0562</v>
          </cell>
          <cell r="C675" t="str">
            <v xml:space="preserve">FREIRE E OTSUKI SERVICOS </v>
          </cell>
          <cell r="D675">
            <v>5310.72</v>
          </cell>
          <cell r="E675">
            <v>5310.72</v>
          </cell>
          <cell r="F675">
            <v>5310.72</v>
          </cell>
          <cell r="G675">
            <v>0</v>
          </cell>
          <cell r="H675">
            <v>5310.72</v>
          </cell>
          <cell r="I675" t="str">
            <v>C</v>
          </cell>
        </row>
        <row r="676">
          <cell r="A676">
            <v>54070</v>
          </cell>
          <cell r="B676" t="str">
            <v>2.1.01.010.0563</v>
          </cell>
          <cell r="C676" t="str">
            <v>C H SERVIÇOS MÉDICOS LTDA</v>
          </cell>
          <cell r="D676">
            <v>12364.36</v>
          </cell>
          <cell r="E676">
            <v>12253.96</v>
          </cell>
          <cell r="F676">
            <v>6640.8</v>
          </cell>
          <cell r="G676">
            <v>-5613.16</v>
          </cell>
          <cell r="H676">
            <v>6751.2</v>
          </cell>
          <cell r="I676" t="str">
            <v>C</v>
          </cell>
        </row>
        <row r="677">
          <cell r="A677">
            <v>54081</v>
          </cell>
          <cell r="B677" t="str">
            <v>2.1.01.010.0566</v>
          </cell>
          <cell r="C677" t="str">
            <v xml:space="preserve">CLINICA DE AUDIOLOGIA </v>
          </cell>
          <cell r="D677">
            <v>6916.61</v>
          </cell>
          <cell r="E677">
            <v>1652.39</v>
          </cell>
          <cell r="F677">
            <v>1652.39</v>
          </cell>
          <cell r="G677">
            <v>0</v>
          </cell>
          <cell r="H677">
            <v>6916.61</v>
          </cell>
          <cell r="I677" t="str">
            <v>C</v>
          </cell>
        </row>
        <row r="678">
          <cell r="A678">
            <v>54083</v>
          </cell>
          <cell r="B678" t="str">
            <v>2.1.01.010.0567</v>
          </cell>
          <cell r="C678" t="str">
            <v xml:space="preserve">CLINICA L E S SERVICOS </v>
          </cell>
          <cell r="D678">
            <v>848.57</v>
          </cell>
          <cell r="E678">
            <v>0</v>
          </cell>
          <cell r="F678">
            <v>0</v>
          </cell>
          <cell r="G678">
            <v>0</v>
          </cell>
          <cell r="H678">
            <v>848.57</v>
          </cell>
          <cell r="I678" t="str">
            <v>C</v>
          </cell>
        </row>
        <row r="679">
          <cell r="A679">
            <v>54086</v>
          </cell>
          <cell r="B679" t="str">
            <v>2.1.01.010.0568</v>
          </cell>
          <cell r="C679" t="str">
            <v xml:space="preserve">VILPC SAN SERVICOS </v>
          </cell>
          <cell r="D679">
            <v>2129.96</v>
          </cell>
          <cell r="E679">
            <v>0</v>
          </cell>
          <cell r="F679">
            <v>0</v>
          </cell>
          <cell r="G679">
            <v>0</v>
          </cell>
          <cell r="H679">
            <v>2129.96</v>
          </cell>
          <cell r="I679" t="str">
            <v>C</v>
          </cell>
        </row>
        <row r="680">
          <cell r="A680">
            <v>54111</v>
          </cell>
          <cell r="B680" t="str">
            <v>2.1.01.010.0569</v>
          </cell>
          <cell r="C680" t="str">
            <v xml:space="preserve">PEDIATRICS SERVICOS </v>
          </cell>
          <cell r="D680">
            <v>845.13</v>
          </cell>
          <cell r="E680">
            <v>0</v>
          </cell>
          <cell r="F680">
            <v>0</v>
          </cell>
          <cell r="G680">
            <v>0</v>
          </cell>
          <cell r="H680">
            <v>845.13</v>
          </cell>
          <cell r="I680" t="str">
            <v>C</v>
          </cell>
        </row>
        <row r="681">
          <cell r="A681">
            <v>54113</v>
          </cell>
          <cell r="B681" t="str">
            <v>2.1.01.010.0570</v>
          </cell>
          <cell r="C681" t="str">
            <v xml:space="preserve">SANTOS &amp; YOUSSEF </v>
          </cell>
          <cell r="D681">
            <v>2646.85</v>
          </cell>
          <cell r="E681">
            <v>703.29</v>
          </cell>
          <cell r="F681">
            <v>827.02</v>
          </cell>
          <cell r="G681">
            <v>123.73</v>
          </cell>
          <cell r="H681">
            <v>2770.58</v>
          </cell>
          <cell r="I681" t="str">
            <v>C</v>
          </cell>
        </row>
        <row r="682">
          <cell r="A682">
            <v>54116</v>
          </cell>
          <cell r="B682" t="str">
            <v>2.1.01.010.0571</v>
          </cell>
          <cell r="C682" t="str">
            <v xml:space="preserve">JAGS SERVICOS MEDICOS </v>
          </cell>
          <cell r="D682">
            <v>70</v>
          </cell>
          <cell r="E682">
            <v>0</v>
          </cell>
          <cell r="F682">
            <v>0</v>
          </cell>
          <cell r="G682">
            <v>0</v>
          </cell>
          <cell r="H682">
            <v>70</v>
          </cell>
          <cell r="I682" t="str">
            <v>C</v>
          </cell>
        </row>
        <row r="683">
          <cell r="A683">
            <v>54119</v>
          </cell>
          <cell r="B683" t="str">
            <v>2.1.01.010.0572</v>
          </cell>
          <cell r="C683" t="str">
            <v xml:space="preserve">FERNANDA HERRERA COSTA </v>
          </cell>
          <cell r="D683">
            <v>878.72</v>
          </cell>
          <cell r="E683">
            <v>0</v>
          </cell>
          <cell r="F683">
            <v>0</v>
          </cell>
          <cell r="G683">
            <v>0</v>
          </cell>
          <cell r="H683">
            <v>878.72</v>
          </cell>
          <cell r="I683" t="str">
            <v>C</v>
          </cell>
        </row>
        <row r="684">
          <cell r="A684">
            <v>54213</v>
          </cell>
          <cell r="B684" t="str">
            <v>2.1.01.010.0573</v>
          </cell>
          <cell r="C684" t="str">
            <v xml:space="preserve">NEWMED PRODUTOS PARA </v>
          </cell>
          <cell r="D684">
            <v>0</v>
          </cell>
          <cell r="E684">
            <v>0</v>
          </cell>
          <cell r="F684">
            <v>687.7</v>
          </cell>
          <cell r="G684">
            <v>687.7</v>
          </cell>
          <cell r="H684">
            <v>687.7</v>
          </cell>
          <cell r="I684" t="str">
            <v>C</v>
          </cell>
        </row>
        <row r="685">
          <cell r="A685">
            <v>54220</v>
          </cell>
          <cell r="B685" t="str">
            <v>2.1.01.010.0574</v>
          </cell>
          <cell r="C685" t="str">
            <v xml:space="preserve">FARAT E FABRICIO SERVICOS </v>
          </cell>
          <cell r="D685">
            <v>5939.84</v>
          </cell>
          <cell r="E685">
            <v>5913.6</v>
          </cell>
          <cell r="F685">
            <v>5298.48</v>
          </cell>
          <cell r="G685">
            <v>-615.12</v>
          </cell>
          <cell r="H685">
            <v>5324.72</v>
          </cell>
          <cell r="I685" t="str">
            <v>C</v>
          </cell>
        </row>
        <row r="686">
          <cell r="A686">
            <v>54267</v>
          </cell>
          <cell r="B686" t="str">
            <v>2.1.01.010.0575</v>
          </cell>
          <cell r="C686" t="str">
            <v>A R SERVICOS MEDICOS SS</v>
          </cell>
          <cell r="D686">
            <v>63257.29</v>
          </cell>
          <cell r="E686">
            <v>211214.16</v>
          </cell>
          <cell r="F686">
            <v>228782.14</v>
          </cell>
          <cell r="G686">
            <v>17567.98</v>
          </cell>
          <cell r="H686">
            <v>80825.27</v>
          </cell>
          <cell r="I686" t="str">
            <v>C</v>
          </cell>
        </row>
        <row r="687">
          <cell r="A687">
            <v>54224</v>
          </cell>
          <cell r="B687" t="str">
            <v>2.1.01.010.0576</v>
          </cell>
          <cell r="C687" t="str">
            <v>ST SERVICOS MEDICOS S/S</v>
          </cell>
          <cell r="D687">
            <v>18237.96</v>
          </cell>
          <cell r="E687">
            <v>23076.6</v>
          </cell>
          <cell r="F687">
            <v>21545.39</v>
          </cell>
          <cell r="G687">
            <v>-1531.21</v>
          </cell>
          <cell r="H687">
            <v>16706.75</v>
          </cell>
          <cell r="I687" t="str">
            <v>C</v>
          </cell>
        </row>
        <row r="688">
          <cell r="A688">
            <v>54226</v>
          </cell>
          <cell r="B688" t="str">
            <v>2.1.01.010.0577</v>
          </cell>
          <cell r="C688" t="str">
            <v xml:space="preserve">ORUAM CONSULTORIO </v>
          </cell>
          <cell r="D688">
            <v>45830.97</v>
          </cell>
          <cell r="E688">
            <v>8784.23</v>
          </cell>
          <cell r="F688">
            <v>9667.35</v>
          </cell>
          <cell r="G688">
            <v>883.12</v>
          </cell>
          <cell r="H688">
            <v>46714.09</v>
          </cell>
          <cell r="I688" t="str">
            <v>C</v>
          </cell>
        </row>
        <row r="689">
          <cell r="A689">
            <v>54228</v>
          </cell>
          <cell r="B689" t="str">
            <v>2.1.01.010.0578</v>
          </cell>
          <cell r="C689" t="str">
            <v xml:space="preserve">BRESSANI CHIESSE SAUDE E </v>
          </cell>
          <cell r="D689">
            <v>112</v>
          </cell>
          <cell r="E689">
            <v>0</v>
          </cell>
          <cell r="F689">
            <v>0</v>
          </cell>
          <cell r="G689">
            <v>0</v>
          </cell>
          <cell r="H689">
            <v>112</v>
          </cell>
          <cell r="I689" t="str">
            <v>C</v>
          </cell>
        </row>
        <row r="690">
          <cell r="A690">
            <v>54229</v>
          </cell>
          <cell r="B690" t="str">
            <v>2.1.01.010.0579</v>
          </cell>
          <cell r="C690" t="str">
            <v xml:space="preserve">CAROLINA S FERREIRA </v>
          </cell>
          <cell r="D690">
            <v>1057.3499999999999</v>
          </cell>
          <cell r="E690">
            <v>0</v>
          </cell>
          <cell r="F690">
            <v>218.4</v>
          </cell>
          <cell r="G690">
            <v>218.4</v>
          </cell>
          <cell r="H690">
            <v>1275.75</v>
          </cell>
          <cell r="I690" t="str">
            <v>C</v>
          </cell>
        </row>
        <row r="691">
          <cell r="A691">
            <v>54232</v>
          </cell>
          <cell r="B691" t="str">
            <v>2.1.01.010.0580</v>
          </cell>
          <cell r="C691" t="str">
            <v xml:space="preserve">TAMAROZZI SERVICOS </v>
          </cell>
          <cell r="D691">
            <v>3447.5</v>
          </cell>
          <cell r="E691">
            <v>3447.5</v>
          </cell>
          <cell r="F691">
            <v>3447.5</v>
          </cell>
          <cell r="G691">
            <v>0</v>
          </cell>
          <cell r="H691">
            <v>3447.5</v>
          </cell>
          <cell r="I691" t="str">
            <v>C</v>
          </cell>
        </row>
        <row r="692">
          <cell r="A692">
            <v>54247</v>
          </cell>
          <cell r="B692" t="str">
            <v>2.1.01.010.0583</v>
          </cell>
          <cell r="C692" t="str">
            <v xml:space="preserve">MAGALHAES FERRAZ E </v>
          </cell>
          <cell r="D692">
            <v>1566.21</v>
          </cell>
          <cell r="E692">
            <v>1636.21</v>
          </cell>
          <cell r="F692">
            <v>8416.4599999999991</v>
          </cell>
          <cell r="G692">
            <v>6780.25</v>
          </cell>
          <cell r="H692">
            <v>8346.4599999999991</v>
          </cell>
          <cell r="I692" t="str">
            <v>C</v>
          </cell>
        </row>
        <row r="693">
          <cell r="A693">
            <v>54268</v>
          </cell>
          <cell r="B693" t="str">
            <v>2.1.01.010.0584</v>
          </cell>
          <cell r="C693" t="str">
            <v xml:space="preserve">MEDEIROS ASSISTENCIA </v>
          </cell>
          <cell r="D693">
            <v>10763.19</v>
          </cell>
          <cell r="E693">
            <v>0</v>
          </cell>
          <cell r="F693">
            <v>1497.38</v>
          </cell>
          <cell r="G693">
            <v>1497.38</v>
          </cell>
          <cell r="H693">
            <v>12260.57</v>
          </cell>
          <cell r="I693" t="str">
            <v>C</v>
          </cell>
        </row>
        <row r="694">
          <cell r="A694">
            <v>54273</v>
          </cell>
          <cell r="B694" t="str">
            <v>2.1.01.010.0585</v>
          </cell>
          <cell r="C694" t="str">
            <v>CLINICA FOGACA LTDA ME</v>
          </cell>
          <cell r="D694">
            <v>438.6</v>
          </cell>
          <cell r="E694">
            <v>0</v>
          </cell>
          <cell r="F694">
            <v>0</v>
          </cell>
          <cell r="G694">
            <v>0</v>
          </cell>
          <cell r="H694">
            <v>438.6</v>
          </cell>
          <cell r="I694" t="str">
            <v>C</v>
          </cell>
        </row>
        <row r="695">
          <cell r="A695">
            <v>54275</v>
          </cell>
          <cell r="B695" t="str">
            <v>2.1.01.010.0587</v>
          </cell>
          <cell r="C695" t="str">
            <v xml:space="preserve">COSTA CARVALHO </v>
          </cell>
          <cell r="D695">
            <v>549</v>
          </cell>
          <cell r="E695">
            <v>0</v>
          </cell>
          <cell r="F695">
            <v>0</v>
          </cell>
          <cell r="G695">
            <v>0</v>
          </cell>
          <cell r="H695">
            <v>549</v>
          </cell>
          <cell r="I695" t="str">
            <v>C</v>
          </cell>
        </row>
        <row r="696">
          <cell r="A696">
            <v>54277</v>
          </cell>
          <cell r="B696" t="str">
            <v>2.1.01.010.0588</v>
          </cell>
          <cell r="C696" t="str">
            <v xml:space="preserve">CENTRO OCUPACIONAL E DE </v>
          </cell>
          <cell r="D696">
            <v>0</v>
          </cell>
          <cell r="E696">
            <v>11845.26</v>
          </cell>
          <cell r="F696">
            <v>11845.26</v>
          </cell>
          <cell r="G696">
            <v>0</v>
          </cell>
          <cell r="H696">
            <v>0</v>
          </cell>
          <cell r="I696" t="str">
            <v>C</v>
          </cell>
        </row>
        <row r="697">
          <cell r="A697">
            <v>54281</v>
          </cell>
          <cell r="B697" t="str">
            <v>2.1.01.010.0589</v>
          </cell>
          <cell r="C697" t="str">
            <v xml:space="preserve">DANIEL RENATO GONCALVES </v>
          </cell>
          <cell r="D697">
            <v>41.16</v>
          </cell>
          <cell r="E697">
            <v>0</v>
          </cell>
          <cell r="F697">
            <v>0</v>
          </cell>
          <cell r="G697">
            <v>0</v>
          </cell>
          <cell r="H697">
            <v>41.16</v>
          </cell>
          <cell r="I697" t="str">
            <v>C</v>
          </cell>
        </row>
        <row r="698">
          <cell r="A698">
            <v>54291</v>
          </cell>
          <cell r="B698" t="str">
            <v>2.1.01.010.0592</v>
          </cell>
          <cell r="C698" t="str">
            <v xml:space="preserve">QUEIROZ E ALVES SERVICOS </v>
          </cell>
          <cell r="D698">
            <v>2400.6799999999998</v>
          </cell>
          <cell r="E698">
            <v>0</v>
          </cell>
          <cell r="F698">
            <v>0</v>
          </cell>
          <cell r="G698">
            <v>0</v>
          </cell>
          <cell r="H698">
            <v>2400.6799999999998</v>
          </cell>
          <cell r="I698" t="str">
            <v>C</v>
          </cell>
        </row>
        <row r="699">
          <cell r="A699">
            <v>54292</v>
          </cell>
          <cell r="B699" t="str">
            <v>2.1.01.010.0593</v>
          </cell>
          <cell r="C699" t="str">
            <v xml:space="preserve">ROSANGELA E RONISIO </v>
          </cell>
          <cell r="D699">
            <v>0</v>
          </cell>
          <cell r="E699">
            <v>2639.8</v>
          </cell>
          <cell r="F699">
            <v>2639.8</v>
          </cell>
          <cell r="G699">
            <v>0</v>
          </cell>
          <cell r="H699">
            <v>0</v>
          </cell>
          <cell r="I699" t="str">
            <v>C</v>
          </cell>
        </row>
        <row r="700">
          <cell r="A700">
            <v>54296</v>
          </cell>
          <cell r="B700" t="str">
            <v>2.1.01.010.0595</v>
          </cell>
          <cell r="C700" t="str">
            <v xml:space="preserve">SAVINO &amp; RABELO </v>
          </cell>
          <cell r="D700">
            <v>5414.52</v>
          </cell>
          <cell r="E700">
            <v>12603.92</v>
          </cell>
          <cell r="F700">
            <v>17118.599999999999</v>
          </cell>
          <cell r="G700">
            <v>4514.68</v>
          </cell>
          <cell r="H700">
            <v>9929.2000000000007</v>
          </cell>
          <cell r="I700" t="str">
            <v>C</v>
          </cell>
        </row>
        <row r="701">
          <cell r="A701">
            <v>54305</v>
          </cell>
          <cell r="B701" t="str">
            <v>2.1.01.010.0596</v>
          </cell>
          <cell r="C701" t="str">
            <v>CLINICA LEIDERMAN LTDA</v>
          </cell>
          <cell r="D701">
            <v>8970.19</v>
          </cell>
          <cell r="E701">
            <v>8437</v>
          </cell>
          <cell r="F701">
            <v>0</v>
          </cell>
          <cell r="G701">
            <v>-8437</v>
          </cell>
          <cell r="H701">
            <v>533.19000000000005</v>
          </cell>
          <cell r="I701" t="str">
            <v>C</v>
          </cell>
        </row>
        <row r="702">
          <cell r="A702">
            <v>54308</v>
          </cell>
          <cell r="B702" t="str">
            <v>2.1.01.010.0597</v>
          </cell>
          <cell r="C702" t="str">
            <v xml:space="preserve">MILLER SERVICOS MEDICOS </v>
          </cell>
          <cell r="D702">
            <v>326.85000000000002</v>
          </cell>
          <cell r="E702">
            <v>0</v>
          </cell>
          <cell r="F702">
            <v>0</v>
          </cell>
          <cell r="G702">
            <v>0</v>
          </cell>
          <cell r="H702">
            <v>326.85000000000002</v>
          </cell>
          <cell r="I702" t="str">
            <v>C</v>
          </cell>
        </row>
        <row r="703">
          <cell r="A703">
            <v>54309</v>
          </cell>
          <cell r="B703" t="str">
            <v>2.1.01.010.0598</v>
          </cell>
          <cell r="C703" t="str">
            <v xml:space="preserve">SERGIO FERREIRA BARBOSA </v>
          </cell>
          <cell r="D703">
            <v>5175.04</v>
          </cell>
          <cell r="E703">
            <v>0</v>
          </cell>
          <cell r="F703">
            <v>0</v>
          </cell>
          <cell r="G703">
            <v>0</v>
          </cell>
          <cell r="H703">
            <v>5175.04</v>
          </cell>
          <cell r="I703" t="str">
            <v>C</v>
          </cell>
        </row>
        <row r="704">
          <cell r="A704">
            <v>54323</v>
          </cell>
          <cell r="B704" t="str">
            <v>2.1.01.010.0599</v>
          </cell>
          <cell r="C704" t="str">
            <v>RAZE E RAZE SS LTDA</v>
          </cell>
          <cell r="D704">
            <v>693.5</v>
          </cell>
          <cell r="E704">
            <v>0</v>
          </cell>
          <cell r="F704">
            <v>0</v>
          </cell>
          <cell r="G704">
            <v>0</v>
          </cell>
          <cell r="H704">
            <v>693.5</v>
          </cell>
          <cell r="I704" t="str">
            <v>C</v>
          </cell>
        </row>
        <row r="705">
          <cell r="A705">
            <v>54325</v>
          </cell>
          <cell r="B705" t="str">
            <v>2.1.01.010.0600</v>
          </cell>
          <cell r="C705" t="str">
            <v xml:space="preserve">BARBOSA E PAZZOTTI C DE D </v>
          </cell>
          <cell r="D705">
            <v>7281.65</v>
          </cell>
          <cell r="E705">
            <v>0</v>
          </cell>
          <cell r="F705">
            <v>1839.62</v>
          </cell>
          <cell r="G705">
            <v>1839.62</v>
          </cell>
          <cell r="H705">
            <v>9121.27</v>
          </cell>
          <cell r="I705" t="str">
            <v>C</v>
          </cell>
        </row>
        <row r="706">
          <cell r="A706">
            <v>54326</v>
          </cell>
          <cell r="B706" t="str">
            <v>2.1.01.010.0601</v>
          </cell>
          <cell r="C706" t="str">
            <v>ABRANCHES E CIA LTDA</v>
          </cell>
          <cell r="D706">
            <v>3546</v>
          </cell>
          <cell r="E706">
            <v>0</v>
          </cell>
          <cell r="F706">
            <v>0</v>
          </cell>
          <cell r="G706">
            <v>0</v>
          </cell>
          <cell r="H706">
            <v>3546</v>
          </cell>
          <cell r="I706" t="str">
            <v>C</v>
          </cell>
        </row>
        <row r="707">
          <cell r="A707">
            <v>54327</v>
          </cell>
          <cell r="B707" t="str">
            <v>2.1.01.010.0602</v>
          </cell>
          <cell r="C707" t="str">
            <v xml:space="preserve">CTORAX UTI SERVICOS </v>
          </cell>
          <cell r="D707">
            <v>1327.68</v>
          </cell>
          <cell r="E707">
            <v>0</v>
          </cell>
          <cell r="F707">
            <v>0</v>
          </cell>
          <cell r="G707">
            <v>0</v>
          </cell>
          <cell r="H707">
            <v>1327.68</v>
          </cell>
          <cell r="I707" t="str">
            <v>C</v>
          </cell>
        </row>
        <row r="708">
          <cell r="A708">
            <v>54328</v>
          </cell>
          <cell r="B708" t="str">
            <v>2.1.01.010.0603</v>
          </cell>
          <cell r="C708" t="str">
            <v xml:space="preserve">VALADARES SERVICOS </v>
          </cell>
          <cell r="D708">
            <v>50494.239999999998</v>
          </cell>
          <cell r="E708">
            <v>50494.239999999998</v>
          </cell>
          <cell r="F708">
            <v>33699.040000000001</v>
          </cell>
          <cell r="G708">
            <v>-16795.2</v>
          </cell>
          <cell r="H708">
            <v>33699.040000000001</v>
          </cell>
          <cell r="I708" t="str">
            <v>C</v>
          </cell>
        </row>
        <row r="709">
          <cell r="A709">
            <v>54333</v>
          </cell>
          <cell r="B709" t="str">
            <v>2.1.01.010.0606</v>
          </cell>
          <cell r="C709" t="str">
            <v xml:space="preserve">M F SERVICOS MEDICOS </v>
          </cell>
          <cell r="D709">
            <v>5148</v>
          </cell>
          <cell r="E709">
            <v>5148</v>
          </cell>
          <cell r="F709">
            <v>0</v>
          </cell>
          <cell r="G709">
            <v>-5148</v>
          </cell>
          <cell r="H709">
            <v>0</v>
          </cell>
          <cell r="I709" t="str">
            <v>C</v>
          </cell>
        </row>
        <row r="710">
          <cell r="A710">
            <v>54339</v>
          </cell>
          <cell r="B710" t="str">
            <v>2.1.01.010.0608</v>
          </cell>
          <cell r="C710" t="str">
            <v xml:space="preserve">L C PASSOS SERVICOS </v>
          </cell>
          <cell r="D710">
            <v>12014.35</v>
          </cell>
          <cell r="E710">
            <v>12294.35</v>
          </cell>
          <cell r="F710">
            <v>16236.5</v>
          </cell>
          <cell r="G710">
            <v>3942.15</v>
          </cell>
          <cell r="H710">
            <v>15956.5</v>
          </cell>
          <cell r="I710" t="str">
            <v>C</v>
          </cell>
        </row>
        <row r="711">
          <cell r="A711">
            <v>54340</v>
          </cell>
          <cell r="B711" t="str">
            <v>2.1.01.010.0609</v>
          </cell>
          <cell r="C711" t="str">
            <v xml:space="preserve">CLINICA MEDICA SANTA </v>
          </cell>
          <cell r="D711">
            <v>2471.75</v>
          </cell>
          <cell r="E711">
            <v>0</v>
          </cell>
          <cell r="F711">
            <v>0</v>
          </cell>
          <cell r="G711">
            <v>0</v>
          </cell>
          <cell r="H711">
            <v>2471.75</v>
          </cell>
          <cell r="I711" t="str">
            <v>C</v>
          </cell>
        </row>
        <row r="712">
          <cell r="A712">
            <v>54353</v>
          </cell>
          <cell r="B712" t="str">
            <v>2.1.01.010.0612</v>
          </cell>
          <cell r="C712" t="str">
            <v xml:space="preserve">POL VALE HISTORICO LTDA </v>
          </cell>
          <cell r="D712">
            <v>416.5</v>
          </cell>
          <cell r="E712">
            <v>0</v>
          </cell>
          <cell r="F712">
            <v>0</v>
          </cell>
          <cell r="G712">
            <v>0</v>
          </cell>
          <cell r="H712">
            <v>416.5</v>
          </cell>
          <cell r="I712" t="str">
            <v>C</v>
          </cell>
        </row>
        <row r="713">
          <cell r="A713">
            <v>54355</v>
          </cell>
          <cell r="B713" t="str">
            <v>2.1.01.010.0613</v>
          </cell>
          <cell r="C713" t="str">
            <v xml:space="preserve">COSA FEMME SERVICOS </v>
          </cell>
          <cell r="D713">
            <v>11627.74</v>
          </cell>
          <cell r="E713">
            <v>11188.94</v>
          </cell>
          <cell r="F713">
            <v>10592.35</v>
          </cell>
          <cell r="G713">
            <v>-596.59</v>
          </cell>
          <cell r="H713">
            <v>11031.15</v>
          </cell>
          <cell r="I713" t="str">
            <v>C</v>
          </cell>
        </row>
        <row r="714">
          <cell r="A714">
            <v>54357</v>
          </cell>
          <cell r="B714" t="str">
            <v>2.1.01.010.0614</v>
          </cell>
          <cell r="C714" t="str">
            <v xml:space="preserve">MULTIMEDICAL </v>
          </cell>
          <cell r="D714">
            <v>219.44</v>
          </cell>
          <cell r="E714">
            <v>0</v>
          </cell>
          <cell r="F714">
            <v>0</v>
          </cell>
          <cell r="G714">
            <v>0</v>
          </cell>
          <cell r="H714">
            <v>219.44</v>
          </cell>
          <cell r="I714" t="str">
            <v>C</v>
          </cell>
        </row>
        <row r="715">
          <cell r="A715">
            <v>54358</v>
          </cell>
          <cell r="B715" t="str">
            <v>2.1.01.010.0615</v>
          </cell>
          <cell r="C715" t="str">
            <v xml:space="preserve">J E M SAUDE E SERVICOS </v>
          </cell>
          <cell r="D715">
            <v>8451.2999999999993</v>
          </cell>
          <cell r="E715">
            <v>8451.2999999999993</v>
          </cell>
          <cell r="F715">
            <v>7606.17</v>
          </cell>
          <cell r="G715">
            <v>-845.13</v>
          </cell>
          <cell r="H715">
            <v>7606.17</v>
          </cell>
          <cell r="I715" t="str">
            <v>C</v>
          </cell>
        </row>
        <row r="716">
          <cell r="A716">
            <v>54363</v>
          </cell>
          <cell r="B716" t="str">
            <v>2.1.01.010.0617</v>
          </cell>
          <cell r="C716" t="str">
            <v xml:space="preserve">PONTE A. S. CLINICA MEDICA </v>
          </cell>
          <cell r="D716">
            <v>16953.330000000002</v>
          </cell>
          <cell r="E716">
            <v>16953.330000000002</v>
          </cell>
          <cell r="F716">
            <v>15888.05</v>
          </cell>
          <cell r="G716">
            <v>-1065.28</v>
          </cell>
          <cell r="H716">
            <v>15888.05</v>
          </cell>
          <cell r="I716" t="str">
            <v>C</v>
          </cell>
        </row>
        <row r="717">
          <cell r="A717">
            <v>54370</v>
          </cell>
          <cell r="B717" t="str">
            <v>2.1.01.010.0618</v>
          </cell>
          <cell r="C717" t="str">
            <v xml:space="preserve">ANGIOLOGIA E CIR. </v>
          </cell>
          <cell r="D717">
            <v>499.37</v>
          </cell>
          <cell r="E717">
            <v>0</v>
          </cell>
          <cell r="F717">
            <v>0</v>
          </cell>
          <cell r="G717">
            <v>0</v>
          </cell>
          <cell r="H717">
            <v>499.37</v>
          </cell>
          <cell r="I717" t="str">
            <v>C</v>
          </cell>
        </row>
        <row r="718">
          <cell r="A718">
            <v>54383</v>
          </cell>
          <cell r="B718" t="str">
            <v>2.1.01.010.0619</v>
          </cell>
          <cell r="C718" t="str">
            <v xml:space="preserve">ST SPINE SERVICOS MEDICOS </v>
          </cell>
          <cell r="D718">
            <v>6013</v>
          </cell>
          <cell r="E718">
            <v>17916.310000000001</v>
          </cell>
          <cell r="F718">
            <v>17916.310000000001</v>
          </cell>
          <cell r="G718">
            <v>0</v>
          </cell>
          <cell r="H718">
            <v>6013</v>
          </cell>
          <cell r="I718" t="str">
            <v>C</v>
          </cell>
        </row>
        <row r="719">
          <cell r="A719">
            <v>54392</v>
          </cell>
          <cell r="B719" t="str">
            <v>2.1.01.010.0621</v>
          </cell>
          <cell r="C719" t="str">
            <v xml:space="preserve">BALBI E RODRIGUES </v>
          </cell>
          <cell r="D719">
            <v>5391.04</v>
          </cell>
          <cell r="E719">
            <v>0</v>
          </cell>
          <cell r="F719">
            <v>2360.08</v>
          </cell>
          <cell r="G719">
            <v>2360.08</v>
          </cell>
          <cell r="H719">
            <v>7751.12</v>
          </cell>
          <cell r="I719" t="str">
            <v>C</v>
          </cell>
        </row>
        <row r="720">
          <cell r="A720">
            <v>54393</v>
          </cell>
          <cell r="B720" t="str">
            <v>2.1.01.010.0622</v>
          </cell>
          <cell r="C720" t="str">
            <v xml:space="preserve">REAICHE E AZEVEDO </v>
          </cell>
          <cell r="D720">
            <v>0</v>
          </cell>
          <cell r="E720">
            <v>0</v>
          </cell>
          <cell r="F720">
            <v>231.7</v>
          </cell>
          <cell r="G720">
            <v>231.7</v>
          </cell>
          <cell r="H720">
            <v>231.7</v>
          </cell>
          <cell r="I720" t="str">
            <v>C</v>
          </cell>
        </row>
        <row r="721">
          <cell r="A721">
            <v>54394</v>
          </cell>
          <cell r="B721" t="str">
            <v>2.1.01.010.0623</v>
          </cell>
          <cell r="C721" t="str">
            <v xml:space="preserve">EQUALITY CONSULTORIA E </v>
          </cell>
          <cell r="D721">
            <v>16623.599999999999</v>
          </cell>
          <cell r="E721">
            <v>7828.29</v>
          </cell>
          <cell r="F721">
            <v>8657.16</v>
          </cell>
          <cell r="G721">
            <v>828.87</v>
          </cell>
          <cell r="H721">
            <v>17452.47</v>
          </cell>
          <cell r="I721" t="str">
            <v>C</v>
          </cell>
        </row>
        <row r="722">
          <cell r="A722">
            <v>54396</v>
          </cell>
          <cell r="B722" t="str">
            <v>2.1.01.010.0625</v>
          </cell>
          <cell r="C722" t="str">
            <v xml:space="preserve">DOMICIANO E MATA SERV </v>
          </cell>
          <cell r="D722">
            <v>7846.59</v>
          </cell>
          <cell r="E722">
            <v>7846.59</v>
          </cell>
          <cell r="F722">
            <v>3923.29</v>
          </cell>
          <cell r="G722">
            <v>-3923.3</v>
          </cell>
          <cell r="H722">
            <v>3923.29</v>
          </cell>
          <cell r="I722" t="str">
            <v>C</v>
          </cell>
        </row>
        <row r="723">
          <cell r="A723">
            <v>54397</v>
          </cell>
          <cell r="B723" t="str">
            <v>2.1.01.010.0626</v>
          </cell>
          <cell r="C723" t="str">
            <v xml:space="preserve">MICHELE BRITO SERVICOS </v>
          </cell>
          <cell r="D723">
            <v>1307.76</v>
          </cell>
          <cell r="E723">
            <v>1307.76</v>
          </cell>
          <cell r="F723">
            <v>2615.5300000000002</v>
          </cell>
          <cell r="G723">
            <v>1307.77</v>
          </cell>
          <cell r="H723">
            <v>2615.5300000000002</v>
          </cell>
          <cell r="I723" t="str">
            <v>C</v>
          </cell>
        </row>
        <row r="724">
          <cell r="A724">
            <v>54415</v>
          </cell>
          <cell r="B724" t="str">
            <v>2.1.01.010.0631</v>
          </cell>
          <cell r="C724" t="str">
            <v xml:space="preserve">LIDIA ROMAO VIEIRA E </v>
          </cell>
          <cell r="D724">
            <v>870.28</v>
          </cell>
          <cell r="E724">
            <v>0</v>
          </cell>
          <cell r="F724">
            <v>0</v>
          </cell>
          <cell r="G724">
            <v>0</v>
          </cell>
          <cell r="H724">
            <v>870.28</v>
          </cell>
          <cell r="I724" t="str">
            <v>C</v>
          </cell>
        </row>
        <row r="725">
          <cell r="A725">
            <v>54472</v>
          </cell>
          <cell r="B725" t="str">
            <v>2.1.01.010.0632</v>
          </cell>
          <cell r="C725" t="str">
            <v xml:space="preserve">MAVIM SERVICOS MEDICOS </v>
          </cell>
          <cell r="D725">
            <v>12164.35</v>
          </cell>
          <cell r="E725">
            <v>10391</v>
          </cell>
          <cell r="F725">
            <v>13289</v>
          </cell>
          <cell r="G725">
            <v>2898</v>
          </cell>
          <cell r="H725">
            <v>15062.35</v>
          </cell>
          <cell r="I725" t="str">
            <v>C</v>
          </cell>
        </row>
        <row r="726">
          <cell r="A726">
            <v>54473</v>
          </cell>
          <cell r="B726" t="str">
            <v>2.1.01.010.0633</v>
          </cell>
          <cell r="C726" t="str">
            <v xml:space="preserve">CURTI E CANEVER </v>
          </cell>
          <cell r="D726">
            <v>8051.33</v>
          </cell>
          <cell r="E726">
            <v>8293.2000000000007</v>
          </cell>
          <cell r="F726">
            <v>9888.25</v>
          </cell>
          <cell r="G726">
            <v>1595.05</v>
          </cell>
          <cell r="H726">
            <v>9646.3799999999992</v>
          </cell>
          <cell r="I726" t="str">
            <v>C</v>
          </cell>
        </row>
        <row r="727">
          <cell r="A727">
            <v>54481</v>
          </cell>
          <cell r="B727" t="str">
            <v>2.1.01.010.0634</v>
          </cell>
          <cell r="C727" t="str">
            <v xml:space="preserve">ENAMI E CAPELASSO </v>
          </cell>
          <cell r="D727">
            <v>516.79999999999995</v>
          </cell>
          <cell r="E727">
            <v>0</v>
          </cell>
          <cell r="F727">
            <v>0</v>
          </cell>
          <cell r="G727">
            <v>0</v>
          </cell>
          <cell r="H727">
            <v>516.79999999999995</v>
          </cell>
          <cell r="I727" t="str">
            <v>C</v>
          </cell>
        </row>
        <row r="728">
          <cell r="A728">
            <v>54455</v>
          </cell>
          <cell r="B728" t="str">
            <v>2.1.01.010.0636</v>
          </cell>
          <cell r="C728" t="str">
            <v xml:space="preserve">DOLLY BURGOMEISTER </v>
          </cell>
          <cell r="D728">
            <v>2433.88</v>
          </cell>
          <cell r="E728">
            <v>2643.88</v>
          </cell>
          <cell r="F728">
            <v>4726.2700000000004</v>
          </cell>
          <cell r="G728">
            <v>2082.39</v>
          </cell>
          <cell r="H728">
            <v>4516.2700000000004</v>
          </cell>
          <cell r="I728" t="str">
            <v>C</v>
          </cell>
        </row>
        <row r="729">
          <cell r="A729">
            <v>54456</v>
          </cell>
          <cell r="B729" t="str">
            <v>2.1.01.010.0637</v>
          </cell>
          <cell r="C729" t="str">
            <v xml:space="preserve">ESPACO OFTALMOLOGIA </v>
          </cell>
          <cell r="D729">
            <v>615</v>
          </cell>
          <cell r="E729">
            <v>0</v>
          </cell>
          <cell r="F729">
            <v>0</v>
          </cell>
          <cell r="G729">
            <v>0</v>
          </cell>
          <cell r="H729">
            <v>615</v>
          </cell>
          <cell r="I729" t="str">
            <v>C</v>
          </cell>
        </row>
        <row r="730">
          <cell r="A730">
            <v>54495</v>
          </cell>
          <cell r="B730" t="str">
            <v>2.1.01.010.0639</v>
          </cell>
          <cell r="C730" t="str">
            <v xml:space="preserve">SIMONE LOPES GUEDES </v>
          </cell>
          <cell r="D730">
            <v>330</v>
          </cell>
          <cell r="E730">
            <v>0</v>
          </cell>
          <cell r="F730">
            <v>0</v>
          </cell>
          <cell r="G730">
            <v>0</v>
          </cell>
          <cell r="H730">
            <v>330</v>
          </cell>
          <cell r="I730" t="str">
            <v>C</v>
          </cell>
        </row>
        <row r="731">
          <cell r="A731">
            <v>54496</v>
          </cell>
          <cell r="B731" t="str">
            <v>2.1.01.010.0640</v>
          </cell>
          <cell r="C731" t="str">
            <v xml:space="preserve">BLASIO SERV MED </v>
          </cell>
          <cell r="D731">
            <v>416.88</v>
          </cell>
          <cell r="E731">
            <v>0</v>
          </cell>
          <cell r="F731">
            <v>0</v>
          </cell>
          <cell r="G731">
            <v>0</v>
          </cell>
          <cell r="H731">
            <v>416.88</v>
          </cell>
          <cell r="I731" t="str">
            <v>C</v>
          </cell>
        </row>
        <row r="732">
          <cell r="A732">
            <v>54497</v>
          </cell>
          <cell r="B732" t="str">
            <v>2.1.01.010.0641</v>
          </cell>
          <cell r="C732" t="str">
            <v xml:space="preserve">ILUMINASCER SERVICOS </v>
          </cell>
          <cell r="D732">
            <v>32.799999999999997</v>
          </cell>
          <cell r="E732">
            <v>0</v>
          </cell>
          <cell r="F732">
            <v>0</v>
          </cell>
          <cell r="G732">
            <v>0</v>
          </cell>
          <cell r="H732">
            <v>32.799999999999997</v>
          </cell>
          <cell r="I732" t="str">
            <v>C</v>
          </cell>
        </row>
        <row r="733">
          <cell r="A733">
            <v>54498</v>
          </cell>
          <cell r="B733" t="str">
            <v>2.1.01.010.0642</v>
          </cell>
          <cell r="C733" t="str">
            <v xml:space="preserve">C. P. PALECKIS SERVICOS </v>
          </cell>
          <cell r="D733">
            <v>732</v>
          </cell>
          <cell r="E733">
            <v>0</v>
          </cell>
          <cell r="F733">
            <v>0</v>
          </cell>
          <cell r="G733">
            <v>0</v>
          </cell>
          <cell r="H733">
            <v>732</v>
          </cell>
          <cell r="I733" t="str">
            <v>C</v>
          </cell>
        </row>
        <row r="734">
          <cell r="A734">
            <v>54549</v>
          </cell>
          <cell r="B734" t="str">
            <v>2.1.01.010.0645</v>
          </cell>
          <cell r="C734" t="str">
            <v xml:space="preserve">GSC SERVICOS MEDICOS </v>
          </cell>
          <cell r="D734">
            <v>20319.87</v>
          </cell>
          <cell r="E734">
            <v>20283.12</v>
          </cell>
          <cell r="F734">
            <v>20283.12</v>
          </cell>
          <cell r="G734">
            <v>0</v>
          </cell>
          <cell r="H734">
            <v>20319.87</v>
          </cell>
          <cell r="I734" t="str">
            <v>C</v>
          </cell>
        </row>
        <row r="735">
          <cell r="A735">
            <v>54558</v>
          </cell>
          <cell r="B735" t="str">
            <v>2.1.01.010.0647</v>
          </cell>
          <cell r="C735" t="str">
            <v xml:space="preserve">BEUST E REIS CLINICA </v>
          </cell>
          <cell r="D735">
            <v>195.92</v>
          </cell>
          <cell r="E735">
            <v>1.06</v>
          </cell>
          <cell r="F735">
            <v>0</v>
          </cell>
          <cell r="G735">
            <v>-1.06</v>
          </cell>
          <cell r="H735">
            <v>194.86</v>
          </cell>
          <cell r="I735" t="str">
            <v>C</v>
          </cell>
        </row>
        <row r="736">
          <cell r="A736">
            <v>54566</v>
          </cell>
          <cell r="B736" t="str">
            <v>2.1.01.010.0648</v>
          </cell>
          <cell r="C736" t="str">
            <v xml:space="preserve">UROPED SERVICOS MEDICOS </v>
          </cell>
          <cell r="D736">
            <v>951.5</v>
          </cell>
          <cell r="E736">
            <v>0</v>
          </cell>
          <cell r="F736">
            <v>0</v>
          </cell>
          <cell r="G736">
            <v>0</v>
          </cell>
          <cell r="H736">
            <v>951.5</v>
          </cell>
          <cell r="I736" t="str">
            <v>C</v>
          </cell>
        </row>
        <row r="737">
          <cell r="A737">
            <v>54567</v>
          </cell>
          <cell r="B737" t="str">
            <v>2.1.01.010.0649</v>
          </cell>
          <cell r="C737" t="str">
            <v xml:space="preserve">CORDEIRO E CRUZ SERVICOS </v>
          </cell>
          <cell r="D737">
            <v>1554.64</v>
          </cell>
          <cell r="E737">
            <v>0</v>
          </cell>
          <cell r="F737">
            <v>0</v>
          </cell>
          <cell r="G737">
            <v>0</v>
          </cell>
          <cell r="H737">
            <v>1554.64</v>
          </cell>
          <cell r="I737" t="str">
            <v>C</v>
          </cell>
        </row>
        <row r="738">
          <cell r="A738">
            <v>54568</v>
          </cell>
          <cell r="B738" t="str">
            <v>2.1.01.010.0650</v>
          </cell>
          <cell r="C738" t="str">
            <v xml:space="preserve">PRONESPE PROCED. NEUROL. </v>
          </cell>
          <cell r="D738">
            <v>9356.75</v>
          </cell>
          <cell r="E738">
            <v>0</v>
          </cell>
          <cell r="F738">
            <v>0</v>
          </cell>
          <cell r="G738">
            <v>0</v>
          </cell>
          <cell r="H738">
            <v>9356.75</v>
          </cell>
          <cell r="I738" t="str">
            <v>C</v>
          </cell>
        </row>
        <row r="739">
          <cell r="A739">
            <v>54571</v>
          </cell>
          <cell r="B739" t="str">
            <v>2.1.01.010.0652</v>
          </cell>
          <cell r="C739" t="str">
            <v xml:space="preserve">ALVIM SIMAO CLINICA MEDICA </v>
          </cell>
          <cell r="D739">
            <v>11534.69</v>
          </cell>
          <cell r="E739">
            <v>0</v>
          </cell>
          <cell r="F739">
            <v>0</v>
          </cell>
          <cell r="G739">
            <v>0</v>
          </cell>
          <cell r="H739">
            <v>11534.69</v>
          </cell>
          <cell r="I739" t="str">
            <v>C</v>
          </cell>
        </row>
        <row r="740">
          <cell r="A740">
            <v>54589</v>
          </cell>
          <cell r="B740" t="str">
            <v>2.1.01.010.0653</v>
          </cell>
          <cell r="C740" t="str">
            <v xml:space="preserve">LCLZ GUARINO SERVICOS </v>
          </cell>
          <cell r="D740">
            <v>1597.92</v>
          </cell>
          <cell r="E740">
            <v>1597.92</v>
          </cell>
          <cell r="F740">
            <v>2104.4499999999998</v>
          </cell>
          <cell r="G740">
            <v>506.53</v>
          </cell>
          <cell r="H740">
            <v>2104.4499999999998</v>
          </cell>
          <cell r="I740" t="str">
            <v>C</v>
          </cell>
        </row>
        <row r="741">
          <cell r="A741">
            <v>54590</v>
          </cell>
          <cell r="B741" t="str">
            <v>2.1.01.010.0654</v>
          </cell>
          <cell r="C741" t="str">
            <v xml:space="preserve">DENISE MATTIS GOMES DA </v>
          </cell>
          <cell r="D741">
            <v>7469.99</v>
          </cell>
          <cell r="E741">
            <v>6695.5</v>
          </cell>
          <cell r="F741">
            <v>7360.5</v>
          </cell>
          <cell r="G741">
            <v>665</v>
          </cell>
          <cell r="H741">
            <v>8134.99</v>
          </cell>
          <cell r="I741" t="str">
            <v>C</v>
          </cell>
        </row>
        <row r="742">
          <cell r="A742">
            <v>54591</v>
          </cell>
          <cell r="B742" t="str">
            <v>2.1.01.010.0655</v>
          </cell>
          <cell r="C742" t="str">
            <v xml:space="preserve">JORGE E LAUER CLINICA </v>
          </cell>
          <cell r="D742">
            <v>11663.83</v>
          </cell>
          <cell r="E742">
            <v>0</v>
          </cell>
          <cell r="F742">
            <v>5515.49</v>
          </cell>
          <cell r="G742">
            <v>5515.49</v>
          </cell>
          <cell r="H742">
            <v>17179.32</v>
          </cell>
          <cell r="I742" t="str">
            <v>C</v>
          </cell>
        </row>
        <row r="743">
          <cell r="A743">
            <v>54592</v>
          </cell>
          <cell r="B743" t="str">
            <v>2.1.01.010.0656</v>
          </cell>
          <cell r="C743" t="str">
            <v>LFA SERVICOS MEDICOS LTDA</v>
          </cell>
          <cell r="D743">
            <v>8525.39</v>
          </cell>
          <cell r="E743">
            <v>8595.39</v>
          </cell>
          <cell r="F743">
            <v>6385.77</v>
          </cell>
          <cell r="G743">
            <v>-2209.62</v>
          </cell>
          <cell r="H743">
            <v>6315.77</v>
          </cell>
          <cell r="I743" t="str">
            <v>C</v>
          </cell>
        </row>
        <row r="744">
          <cell r="A744">
            <v>54622</v>
          </cell>
          <cell r="B744" t="str">
            <v>2.1.01.010.0657</v>
          </cell>
          <cell r="C744" t="str">
            <v xml:space="preserve">BUENO VIEIRA CLINICA </v>
          </cell>
          <cell r="D744">
            <v>2272.04</v>
          </cell>
          <cell r="E744">
            <v>949.11</v>
          </cell>
          <cell r="F744">
            <v>1889.79</v>
          </cell>
          <cell r="G744">
            <v>940.68</v>
          </cell>
          <cell r="H744">
            <v>3212.72</v>
          </cell>
          <cell r="I744" t="str">
            <v>C</v>
          </cell>
        </row>
        <row r="745">
          <cell r="A745">
            <v>54623</v>
          </cell>
          <cell r="B745" t="str">
            <v>2.1.01.010.0658</v>
          </cell>
          <cell r="C745" t="str">
            <v xml:space="preserve">MARIANA REIS </v>
          </cell>
          <cell r="D745">
            <v>792.26</v>
          </cell>
          <cell r="E745">
            <v>0</v>
          </cell>
          <cell r="F745">
            <v>62.18</v>
          </cell>
          <cell r="G745">
            <v>62.18</v>
          </cell>
          <cell r="H745">
            <v>854.44</v>
          </cell>
          <cell r="I745" t="str">
            <v>C</v>
          </cell>
        </row>
        <row r="746">
          <cell r="A746">
            <v>54624</v>
          </cell>
          <cell r="B746" t="str">
            <v>2.1.01.010.0659</v>
          </cell>
          <cell r="C746" t="str">
            <v xml:space="preserve">PEDRUCCI SERVICOS </v>
          </cell>
          <cell r="D746">
            <v>2078.85</v>
          </cell>
          <cell r="E746">
            <v>11.63</v>
          </cell>
          <cell r="F746">
            <v>0</v>
          </cell>
          <cell r="G746">
            <v>-11.63</v>
          </cell>
          <cell r="H746">
            <v>2067.2199999999998</v>
          </cell>
          <cell r="I746" t="str">
            <v>C</v>
          </cell>
        </row>
        <row r="747">
          <cell r="A747">
            <v>54630</v>
          </cell>
          <cell r="B747" t="str">
            <v>2.1.01.010.0660</v>
          </cell>
          <cell r="C747" t="str">
            <v>RECKON SERVICOS MEDICOS</v>
          </cell>
          <cell r="D747">
            <v>503.15</v>
          </cell>
          <cell r="E747">
            <v>0</v>
          </cell>
          <cell r="F747">
            <v>0</v>
          </cell>
          <cell r="G747">
            <v>0</v>
          </cell>
          <cell r="H747">
            <v>503.15</v>
          </cell>
          <cell r="I747" t="str">
            <v>C</v>
          </cell>
        </row>
        <row r="748">
          <cell r="A748">
            <v>53122</v>
          </cell>
          <cell r="B748" t="str">
            <v>2.1.01.010.0661</v>
          </cell>
          <cell r="C748" t="str">
            <v xml:space="preserve">CASTRO E LUCIANO SERV </v>
          </cell>
          <cell r="D748">
            <v>5439</v>
          </cell>
          <cell r="E748">
            <v>2515.96</v>
          </cell>
          <cell r="F748">
            <v>8491.5499999999993</v>
          </cell>
          <cell r="G748">
            <v>5975.59</v>
          </cell>
          <cell r="H748">
            <v>11414.59</v>
          </cell>
          <cell r="I748" t="str">
            <v>C</v>
          </cell>
        </row>
        <row r="749">
          <cell r="A749">
            <v>53118</v>
          </cell>
          <cell r="B749" t="str">
            <v>2.1.01.010.0663</v>
          </cell>
          <cell r="C749" t="str">
            <v xml:space="preserve">MELO E FREITAS SERV MED </v>
          </cell>
          <cell r="D749">
            <v>16602.05</v>
          </cell>
          <cell r="E749">
            <v>15821</v>
          </cell>
          <cell r="F749">
            <v>22322</v>
          </cell>
          <cell r="G749">
            <v>6501</v>
          </cell>
          <cell r="H749">
            <v>23103.05</v>
          </cell>
          <cell r="I749" t="str">
            <v>C</v>
          </cell>
        </row>
        <row r="750">
          <cell r="A750">
            <v>53117</v>
          </cell>
          <cell r="B750" t="str">
            <v>2.1.01.010.0665</v>
          </cell>
          <cell r="C750" t="str">
            <v>REBECHI, MOTA &amp; FROIO LTDA</v>
          </cell>
          <cell r="D750">
            <v>2099.63</v>
          </cell>
          <cell r="E750">
            <v>1952.43</v>
          </cell>
          <cell r="F750">
            <v>2714.33</v>
          </cell>
          <cell r="G750">
            <v>761.9</v>
          </cell>
          <cell r="H750">
            <v>2861.53</v>
          </cell>
          <cell r="I750" t="str">
            <v>C</v>
          </cell>
        </row>
        <row r="751">
          <cell r="A751">
            <v>53133</v>
          </cell>
          <cell r="B751" t="str">
            <v>2.1.01.010.0666</v>
          </cell>
          <cell r="C751" t="str">
            <v xml:space="preserve">RIBEIRO E KANAMARU CON </v>
          </cell>
          <cell r="D751">
            <v>51089.95</v>
          </cell>
          <cell r="E751">
            <v>6325.1</v>
          </cell>
          <cell r="F751">
            <v>21054.21</v>
          </cell>
          <cell r="G751">
            <v>14729.11</v>
          </cell>
          <cell r="H751">
            <v>65819.06</v>
          </cell>
          <cell r="I751" t="str">
            <v>C</v>
          </cell>
        </row>
        <row r="752">
          <cell r="A752">
            <v>54431</v>
          </cell>
          <cell r="B752" t="str">
            <v>2.1.01.010.0667</v>
          </cell>
          <cell r="C752" t="str">
            <v xml:space="preserve">THALES TABCHOURY DE </v>
          </cell>
          <cell r="D752">
            <v>6694.91</v>
          </cell>
          <cell r="E752">
            <v>6565.21</v>
          </cell>
          <cell r="F752">
            <v>16103.2</v>
          </cell>
          <cell r="G752">
            <v>9537.99</v>
          </cell>
          <cell r="H752">
            <v>16232.9</v>
          </cell>
          <cell r="I752" t="str">
            <v>C</v>
          </cell>
        </row>
        <row r="753">
          <cell r="A753">
            <v>54432</v>
          </cell>
          <cell r="B753" t="str">
            <v>2.1.01.010.0668</v>
          </cell>
          <cell r="C753" t="str">
            <v xml:space="preserve">VIVADERMA CLINICA MEDICA </v>
          </cell>
          <cell r="D753">
            <v>7910.34</v>
          </cell>
          <cell r="E753">
            <v>6557.15</v>
          </cell>
          <cell r="F753">
            <v>9110.2099999999991</v>
          </cell>
          <cell r="G753">
            <v>2553.06</v>
          </cell>
          <cell r="H753">
            <v>10463.4</v>
          </cell>
          <cell r="I753" t="str">
            <v>C</v>
          </cell>
        </row>
        <row r="754">
          <cell r="A754">
            <v>54437</v>
          </cell>
          <cell r="B754" t="str">
            <v>2.1.01.010.0670</v>
          </cell>
          <cell r="C754" t="str">
            <v>SANTOS MEDICINA SS LTDA</v>
          </cell>
          <cell r="D754">
            <v>1370.8</v>
          </cell>
          <cell r="E754">
            <v>1313.2</v>
          </cell>
          <cell r="F754">
            <v>1313.2</v>
          </cell>
          <cell r="G754">
            <v>0</v>
          </cell>
          <cell r="H754">
            <v>1370.8</v>
          </cell>
          <cell r="I754" t="str">
            <v>C</v>
          </cell>
        </row>
        <row r="755">
          <cell r="A755">
            <v>54598</v>
          </cell>
          <cell r="B755" t="str">
            <v>2.1.01.010.0671</v>
          </cell>
          <cell r="C755" t="str">
            <v xml:space="preserve">CANFUR - ASSISTENCIA </v>
          </cell>
          <cell r="D755">
            <v>10941.37</v>
          </cell>
          <cell r="E755">
            <v>8925.93</v>
          </cell>
          <cell r="F755">
            <v>5564.3</v>
          </cell>
          <cell r="G755">
            <v>-3361.63</v>
          </cell>
          <cell r="H755">
            <v>7579.74</v>
          </cell>
          <cell r="I755" t="str">
            <v>C</v>
          </cell>
        </row>
        <row r="756">
          <cell r="A756">
            <v>53944</v>
          </cell>
          <cell r="B756" t="str">
            <v>2.1.01.010.0672</v>
          </cell>
          <cell r="C756" t="str">
            <v xml:space="preserve">NAKAMURA SP MEDICINA </v>
          </cell>
          <cell r="D756">
            <v>596.54</v>
          </cell>
          <cell r="E756">
            <v>0</v>
          </cell>
          <cell r="F756">
            <v>0</v>
          </cell>
          <cell r="G756">
            <v>0</v>
          </cell>
          <cell r="H756">
            <v>596.54</v>
          </cell>
          <cell r="I756" t="str">
            <v>C</v>
          </cell>
        </row>
        <row r="757">
          <cell r="A757">
            <v>53907</v>
          </cell>
          <cell r="B757" t="str">
            <v>2.1.01.010.0674</v>
          </cell>
          <cell r="C757" t="str">
            <v>FLAVIA P S MAGALHAES</v>
          </cell>
          <cell r="D757">
            <v>61.5</v>
          </cell>
          <cell r="E757">
            <v>0</v>
          </cell>
          <cell r="F757">
            <v>0</v>
          </cell>
          <cell r="G757">
            <v>0</v>
          </cell>
          <cell r="H757">
            <v>61.5</v>
          </cell>
          <cell r="I757" t="str">
            <v>C</v>
          </cell>
        </row>
        <row r="758">
          <cell r="A758">
            <v>54543</v>
          </cell>
          <cell r="B758" t="str">
            <v>2.1.01.010.0675</v>
          </cell>
          <cell r="C758" t="str">
            <v xml:space="preserve">RACHID MEDICOS </v>
          </cell>
          <cell r="D758">
            <v>27631.37</v>
          </cell>
          <cell r="E758">
            <v>6538.82</v>
          </cell>
          <cell r="F758">
            <v>0</v>
          </cell>
          <cell r="G758">
            <v>-6538.82</v>
          </cell>
          <cell r="H758">
            <v>21092.55</v>
          </cell>
          <cell r="I758" t="str">
            <v>C</v>
          </cell>
        </row>
        <row r="759">
          <cell r="A759">
            <v>54546</v>
          </cell>
          <cell r="B759" t="str">
            <v>2.1.01.010.0676</v>
          </cell>
          <cell r="C759" t="str">
            <v xml:space="preserve">MEDLIFE CLINICA MEDICA </v>
          </cell>
          <cell r="D759">
            <v>15403.82</v>
          </cell>
          <cell r="E759">
            <v>15403.82</v>
          </cell>
          <cell r="F759">
            <v>18019.349999999999</v>
          </cell>
          <cell r="G759">
            <v>2615.5300000000002</v>
          </cell>
          <cell r="H759">
            <v>18019.349999999999</v>
          </cell>
          <cell r="I759" t="str">
            <v>C</v>
          </cell>
        </row>
        <row r="760">
          <cell r="A760">
            <v>54650</v>
          </cell>
          <cell r="B760" t="str">
            <v>2.1.01.010.0677</v>
          </cell>
          <cell r="C760" t="str">
            <v>SOCORRO SEGURO MEDICOS</v>
          </cell>
          <cell r="D760">
            <v>7980</v>
          </cell>
          <cell r="E760">
            <v>7980</v>
          </cell>
          <cell r="F760">
            <v>0</v>
          </cell>
          <cell r="G760">
            <v>-7980</v>
          </cell>
          <cell r="H760">
            <v>0</v>
          </cell>
          <cell r="I760" t="str">
            <v>C</v>
          </cell>
        </row>
        <row r="761">
          <cell r="A761">
            <v>54653</v>
          </cell>
          <cell r="B761" t="str">
            <v>2.1.01.010.0678</v>
          </cell>
          <cell r="C761" t="str">
            <v xml:space="preserve">TOLEDO OLIVEIRA E LAJA </v>
          </cell>
          <cell r="D761">
            <v>297.5</v>
          </cell>
          <cell r="E761">
            <v>0</v>
          </cell>
          <cell r="F761">
            <v>0</v>
          </cell>
          <cell r="G761">
            <v>0</v>
          </cell>
          <cell r="H761">
            <v>297.5</v>
          </cell>
          <cell r="I761" t="str">
            <v>C</v>
          </cell>
        </row>
        <row r="762">
          <cell r="A762">
            <v>54654</v>
          </cell>
          <cell r="B762" t="str">
            <v>2.1.01.010.0679</v>
          </cell>
          <cell r="C762" t="str">
            <v xml:space="preserve">DACIO RODRIGUES FREIRE </v>
          </cell>
          <cell r="D762">
            <v>2240.81</v>
          </cell>
          <cell r="E762">
            <v>97.06</v>
          </cell>
          <cell r="F762">
            <v>119.46</v>
          </cell>
          <cell r="G762">
            <v>22.4</v>
          </cell>
          <cell r="H762">
            <v>2263.21</v>
          </cell>
          <cell r="I762" t="str">
            <v>C</v>
          </cell>
        </row>
        <row r="763">
          <cell r="A763">
            <v>54655</v>
          </cell>
          <cell r="B763" t="str">
            <v>2.1.01.010.0680</v>
          </cell>
          <cell r="C763" t="str">
            <v xml:space="preserve">M.S.M. CLINICA MEDICA DE </v>
          </cell>
          <cell r="D763">
            <v>1649.93</v>
          </cell>
          <cell r="E763">
            <v>0</v>
          </cell>
          <cell r="F763">
            <v>0</v>
          </cell>
          <cell r="G763">
            <v>0</v>
          </cell>
          <cell r="H763">
            <v>1649.93</v>
          </cell>
          <cell r="I763" t="str">
            <v>C</v>
          </cell>
        </row>
        <row r="764">
          <cell r="A764">
            <v>54656</v>
          </cell>
          <cell r="B764" t="str">
            <v>2.1.01.010.0681</v>
          </cell>
          <cell r="C764" t="str">
            <v xml:space="preserve">LM STEFFEN COMUNICACOES </v>
          </cell>
          <cell r="D764">
            <v>5614.65</v>
          </cell>
          <cell r="E764">
            <v>5935.37</v>
          </cell>
          <cell r="F764">
            <v>2472.77</v>
          </cell>
          <cell r="G764">
            <v>-3462.6</v>
          </cell>
          <cell r="H764">
            <v>2152.0500000000002</v>
          </cell>
          <cell r="I764" t="str">
            <v>C</v>
          </cell>
        </row>
        <row r="765">
          <cell r="A765">
            <v>54658</v>
          </cell>
          <cell r="B765" t="str">
            <v>2.1.01.010.0682</v>
          </cell>
          <cell r="C765" t="str">
            <v xml:space="preserve">FACMED SERVICOS MEDICOS </v>
          </cell>
          <cell r="D765">
            <v>1327.68</v>
          </cell>
          <cell r="E765">
            <v>0</v>
          </cell>
          <cell r="F765">
            <v>1327.68</v>
          </cell>
          <cell r="G765">
            <v>1327.68</v>
          </cell>
          <cell r="H765">
            <v>2655.36</v>
          </cell>
          <cell r="I765" t="str">
            <v>C</v>
          </cell>
        </row>
        <row r="766">
          <cell r="A766">
            <v>54667</v>
          </cell>
          <cell r="B766" t="str">
            <v>2.1.01.010.0683</v>
          </cell>
          <cell r="C766" t="str">
            <v xml:space="preserve">EMAD ESPEC EM MOLES DO </v>
          </cell>
          <cell r="D766">
            <v>214.5</v>
          </cell>
          <cell r="E766">
            <v>0</v>
          </cell>
          <cell r="F766">
            <v>0</v>
          </cell>
          <cell r="G766">
            <v>0</v>
          </cell>
          <cell r="H766">
            <v>214.5</v>
          </cell>
          <cell r="I766" t="str">
            <v>C</v>
          </cell>
        </row>
        <row r="767">
          <cell r="A767">
            <v>54668</v>
          </cell>
          <cell r="B767" t="str">
            <v>2.1.01.010.0684</v>
          </cell>
          <cell r="C767" t="str">
            <v>ALM CLINICA MEDICA LTDA</v>
          </cell>
          <cell r="D767">
            <v>777.36</v>
          </cell>
          <cell r="E767">
            <v>0</v>
          </cell>
          <cell r="F767">
            <v>0</v>
          </cell>
          <cell r="G767">
            <v>0</v>
          </cell>
          <cell r="H767">
            <v>777.36</v>
          </cell>
          <cell r="I767" t="str">
            <v>C</v>
          </cell>
        </row>
        <row r="768">
          <cell r="A768">
            <v>54669</v>
          </cell>
          <cell r="B768" t="str">
            <v>2.1.01.010.0685</v>
          </cell>
          <cell r="C768" t="str">
            <v xml:space="preserve">RB MED SERVICOS MEDICOS </v>
          </cell>
          <cell r="D768">
            <v>10685.75</v>
          </cell>
          <cell r="E768">
            <v>863.9</v>
          </cell>
          <cell r="F768">
            <v>4493.3</v>
          </cell>
          <cell r="G768">
            <v>3629.4</v>
          </cell>
          <cell r="H768">
            <v>14315.15</v>
          </cell>
          <cell r="I768" t="str">
            <v>C</v>
          </cell>
        </row>
        <row r="769">
          <cell r="A769">
            <v>54670</v>
          </cell>
          <cell r="B769" t="str">
            <v>2.1.01.010.0686</v>
          </cell>
          <cell r="C769" t="str">
            <v>CLINICA OSTEOCENTER LTDA</v>
          </cell>
          <cell r="D769">
            <v>2593.33</v>
          </cell>
          <cell r="E769">
            <v>0</v>
          </cell>
          <cell r="F769">
            <v>0</v>
          </cell>
          <cell r="G769">
            <v>0</v>
          </cell>
          <cell r="H769">
            <v>2593.33</v>
          </cell>
          <cell r="I769" t="str">
            <v>C</v>
          </cell>
        </row>
        <row r="770">
          <cell r="A770">
            <v>54671</v>
          </cell>
          <cell r="B770" t="str">
            <v>2.1.01.010.0687</v>
          </cell>
          <cell r="C770" t="str">
            <v>SANTOS RIBEIRO MEDICINA</v>
          </cell>
          <cell r="D770">
            <v>0</v>
          </cell>
          <cell r="E770">
            <v>1849.12</v>
          </cell>
          <cell r="F770">
            <v>1849.12</v>
          </cell>
          <cell r="G770">
            <v>0</v>
          </cell>
          <cell r="H770">
            <v>0</v>
          </cell>
          <cell r="I770" t="str">
            <v>C</v>
          </cell>
        </row>
        <row r="771">
          <cell r="A771">
            <v>54691</v>
          </cell>
          <cell r="B771" t="str">
            <v>2.1.01.010.0690</v>
          </cell>
          <cell r="C771" t="str">
            <v xml:space="preserve">CAPRONI SERVICOS MEDICOS </v>
          </cell>
          <cell r="D771">
            <v>11189.81</v>
          </cell>
          <cell r="E771">
            <v>4627.3999999999996</v>
          </cell>
          <cell r="F771">
            <v>5174.3999999999996</v>
          </cell>
          <cell r="G771">
            <v>547</v>
          </cell>
          <cell r="H771">
            <v>11736.81</v>
          </cell>
          <cell r="I771" t="str">
            <v>C</v>
          </cell>
        </row>
        <row r="772">
          <cell r="A772">
            <v>54692</v>
          </cell>
          <cell r="B772" t="str">
            <v>2.1.01.010.0691</v>
          </cell>
          <cell r="C772" t="str">
            <v xml:space="preserve">IZABELLA CHAVES SILVA </v>
          </cell>
          <cell r="D772">
            <v>8331.86</v>
          </cell>
          <cell r="E772">
            <v>7397.86</v>
          </cell>
          <cell r="F772">
            <v>13364.23</v>
          </cell>
          <cell r="G772">
            <v>5966.37</v>
          </cell>
          <cell r="H772">
            <v>14298.23</v>
          </cell>
          <cell r="I772" t="str">
            <v>C</v>
          </cell>
        </row>
        <row r="773">
          <cell r="A773">
            <v>54693</v>
          </cell>
          <cell r="B773" t="str">
            <v>2.1.01.010.0692</v>
          </cell>
          <cell r="C773" t="str">
            <v xml:space="preserve">CRISTIANE M A FAGUNDES </v>
          </cell>
          <cell r="D773">
            <v>2344.3000000000002</v>
          </cell>
          <cell r="E773">
            <v>1641.01</v>
          </cell>
          <cell r="F773">
            <v>2606.2399999999998</v>
          </cell>
          <cell r="G773">
            <v>965.23</v>
          </cell>
          <cell r="H773">
            <v>3309.53</v>
          </cell>
          <cell r="I773" t="str">
            <v>C</v>
          </cell>
        </row>
        <row r="774">
          <cell r="A774">
            <v>54694</v>
          </cell>
          <cell r="B774" t="str">
            <v>2.1.01.010.0693</v>
          </cell>
          <cell r="C774" t="str">
            <v xml:space="preserve">DANIEL MARTIN PHANG </v>
          </cell>
          <cell r="D774">
            <v>178.5</v>
          </cell>
          <cell r="E774">
            <v>0</v>
          </cell>
          <cell r="F774">
            <v>0</v>
          </cell>
          <cell r="G774">
            <v>0</v>
          </cell>
          <cell r="H774">
            <v>178.5</v>
          </cell>
          <cell r="I774" t="str">
            <v>C</v>
          </cell>
        </row>
        <row r="775">
          <cell r="A775">
            <v>54695</v>
          </cell>
          <cell r="B775" t="str">
            <v>2.1.01.010.0694</v>
          </cell>
          <cell r="C775" t="str">
            <v xml:space="preserve">PRISCILA RIBEIRO DA SILVA </v>
          </cell>
          <cell r="D775">
            <v>72.8</v>
          </cell>
          <cell r="E775">
            <v>0</v>
          </cell>
          <cell r="F775">
            <v>0</v>
          </cell>
          <cell r="G775">
            <v>0</v>
          </cell>
          <cell r="H775">
            <v>72.8</v>
          </cell>
          <cell r="I775" t="str">
            <v>C</v>
          </cell>
        </row>
        <row r="776">
          <cell r="A776">
            <v>54703</v>
          </cell>
          <cell r="B776" t="str">
            <v>2.1.01.010.0697</v>
          </cell>
          <cell r="C776" t="str">
            <v xml:space="preserve">DMBR 2020 ASSISTENCIA </v>
          </cell>
          <cell r="D776">
            <v>70</v>
          </cell>
          <cell r="E776">
            <v>0</v>
          </cell>
          <cell r="F776">
            <v>0</v>
          </cell>
          <cell r="G776">
            <v>0</v>
          </cell>
          <cell r="H776">
            <v>70</v>
          </cell>
          <cell r="I776" t="str">
            <v>C</v>
          </cell>
        </row>
        <row r="777">
          <cell r="A777">
            <v>54721</v>
          </cell>
          <cell r="B777" t="str">
            <v>2.1.01.010.0700</v>
          </cell>
          <cell r="C777" t="str">
            <v xml:space="preserve">PAVANITTO CLINICA MEDICA </v>
          </cell>
          <cell r="D777">
            <v>3000</v>
          </cell>
          <cell r="E777">
            <v>3000</v>
          </cell>
          <cell r="F777">
            <v>3000</v>
          </cell>
          <cell r="G777">
            <v>0</v>
          </cell>
          <cell r="H777">
            <v>3000</v>
          </cell>
          <cell r="I777" t="str">
            <v>C</v>
          </cell>
        </row>
        <row r="778">
          <cell r="A778">
            <v>54723</v>
          </cell>
          <cell r="B778" t="str">
            <v>2.1.01.010.0701</v>
          </cell>
          <cell r="C778" t="str">
            <v xml:space="preserve">PEDCLIN SAUDE INFANTIL </v>
          </cell>
          <cell r="D778">
            <v>202.7</v>
          </cell>
          <cell r="E778">
            <v>0</v>
          </cell>
          <cell r="F778">
            <v>0</v>
          </cell>
          <cell r="G778">
            <v>0</v>
          </cell>
          <cell r="H778">
            <v>202.7</v>
          </cell>
          <cell r="I778" t="str">
            <v>C</v>
          </cell>
        </row>
        <row r="779">
          <cell r="A779">
            <v>54729</v>
          </cell>
          <cell r="B779" t="str">
            <v>2.1.01.010.0702</v>
          </cell>
          <cell r="C779" t="str">
            <v xml:space="preserve">LITORAL SAUDE, SERVICOS </v>
          </cell>
          <cell r="D779">
            <v>6695.59</v>
          </cell>
          <cell r="E779">
            <v>2728.25</v>
          </cell>
          <cell r="F779">
            <v>675.5</v>
          </cell>
          <cell r="G779">
            <v>-2052.75</v>
          </cell>
          <cell r="H779">
            <v>4642.84</v>
          </cell>
          <cell r="I779" t="str">
            <v>C</v>
          </cell>
        </row>
        <row r="780">
          <cell r="A780">
            <v>54760</v>
          </cell>
          <cell r="B780" t="str">
            <v>2.1.01.010.0705</v>
          </cell>
          <cell r="C780" t="str">
            <v xml:space="preserve">CRISH TATIANA COCA </v>
          </cell>
          <cell r="D780">
            <v>7395</v>
          </cell>
          <cell r="E780">
            <v>5085</v>
          </cell>
          <cell r="F780">
            <v>8158.84</v>
          </cell>
          <cell r="G780">
            <v>3073.84</v>
          </cell>
          <cell r="H780">
            <v>10468.84</v>
          </cell>
          <cell r="I780" t="str">
            <v>C</v>
          </cell>
        </row>
        <row r="781">
          <cell r="A781">
            <v>54762</v>
          </cell>
          <cell r="B781" t="str">
            <v>2.1.01.010.0707</v>
          </cell>
          <cell r="C781" t="str">
            <v xml:space="preserve">CAETANO MEDICINA E </v>
          </cell>
          <cell r="D781">
            <v>16018.32</v>
          </cell>
          <cell r="E781">
            <v>16018.32</v>
          </cell>
          <cell r="F781">
            <v>10621.44</v>
          </cell>
          <cell r="G781">
            <v>-5396.88</v>
          </cell>
          <cell r="H781">
            <v>10621.44</v>
          </cell>
          <cell r="I781" t="str">
            <v>C</v>
          </cell>
        </row>
        <row r="782">
          <cell r="A782">
            <v>54767</v>
          </cell>
          <cell r="B782" t="str">
            <v>2.1.01.010.0709</v>
          </cell>
          <cell r="C782" t="str">
            <v xml:space="preserve">PIXEL SERVICOS DE </v>
          </cell>
          <cell r="D782">
            <v>2694.61</v>
          </cell>
          <cell r="E782">
            <v>2554.56</v>
          </cell>
          <cell r="F782">
            <v>4939.8100000000004</v>
          </cell>
          <cell r="G782">
            <v>2385.25</v>
          </cell>
          <cell r="H782">
            <v>5079.8599999999997</v>
          </cell>
          <cell r="I782" t="str">
            <v>C</v>
          </cell>
        </row>
        <row r="783">
          <cell r="A783">
            <v>54768</v>
          </cell>
          <cell r="B783" t="str">
            <v>2.1.01.010.0710</v>
          </cell>
          <cell r="C783" t="str">
            <v xml:space="preserve">VALE SERVICOS MEDICOS </v>
          </cell>
          <cell r="D783">
            <v>2864.01</v>
          </cell>
          <cell r="E783">
            <v>2852.76</v>
          </cell>
          <cell r="F783">
            <v>3681.32</v>
          </cell>
          <cell r="G783">
            <v>828.56</v>
          </cell>
          <cell r="H783">
            <v>3692.57</v>
          </cell>
          <cell r="I783" t="str">
            <v>C</v>
          </cell>
        </row>
        <row r="784">
          <cell r="A784">
            <v>54770</v>
          </cell>
          <cell r="B784" t="str">
            <v>2.1.01.010.0711</v>
          </cell>
          <cell r="C784" t="str">
            <v xml:space="preserve">CLINICA ORTOPEDICA OPUS </v>
          </cell>
          <cell r="D784">
            <v>354.24</v>
          </cell>
          <cell r="E784">
            <v>0</v>
          </cell>
          <cell r="F784">
            <v>0</v>
          </cell>
          <cell r="G784">
            <v>0</v>
          </cell>
          <cell r="H784">
            <v>354.24</v>
          </cell>
          <cell r="I784" t="str">
            <v>C</v>
          </cell>
        </row>
        <row r="785">
          <cell r="A785">
            <v>54771</v>
          </cell>
          <cell r="B785" t="str">
            <v>2.1.01.010.0712</v>
          </cell>
          <cell r="C785" t="str">
            <v>TRAUMATHOS DO VALE LTDA</v>
          </cell>
          <cell r="D785">
            <v>3685.36</v>
          </cell>
          <cell r="E785">
            <v>3176.56</v>
          </cell>
          <cell r="F785">
            <v>2893.97</v>
          </cell>
          <cell r="G785">
            <v>-282.58999999999997</v>
          </cell>
          <cell r="H785">
            <v>3402.77</v>
          </cell>
          <cell r="I785" t="str">
            <v>C</v>
          </cell>
        </row>
        <row r="786">
          <cell r="A786">
            <v>54772</v>
          </cell>
          <cell r="B786" t="str">
            <v>2.1.01.010.0713</v>
          </cell>
          <cell r="C786" t="str">
            <v>INSTITUTO MASTO VIDA SS</v>
          </cell>
          <cell r="D786">
            <v>159.19</v>
          </cell>
          <cell r="E786">
            <v>82</v>
          </cell>
          <cell r="F786">
            <v>0</v>
          </cell>
          <cell r="G786">
            <v>-82</v>
          </cell>
          <cell r="H786">
            <v>77.19</v>
          </cell>
          <cell r="I786" t="str">
            <v>C</v>
          </cell>
        </row>
        <row r="787">
          <cell r="A787">
            <v>54773</v>
          </cell>
          <cell r="B787" t="str">
            <v>2.1.01.010.0714</v>
          </cell>
          <cell r="C787" t="str">
            <v>M E F SERVICOS MEDICOS S/S</v>
          </cell>
          <cell r="D787">
            <v>2546.5700000000002</v>
          </cell>
          <cell r="E787">
            <v>0</v>
          </cell>
          <cell r="F787">
            <v>0</v>
          </cell>
          <cell r="G787">
            <v>0</v>
          </cell>
          <cell r="H787">
            <v>2546.5700000000002</v>
          </cell>
          <cell r="I787" t="str">
            <v>C</v>
          </cell>
        </row>
        <row r="788">
          <cell r="A788">
            <v>54646</v>
          </cell>
          <cell r="B788" t="str">
            <v>2.1.01.010.0715</v>
          </cell>
          <cell r="C788" t="str">
            <v xml:space="preserve">PRECISION SERVICOS </v>
          </cell>
          <cell r="D788">
            <v>14153.12</v>
          </cell>
          <cell r="E788">
            <v>3087</v>
          </cell>
          <cell r="F788">
            <v>4134.9399999999996</v>
          </cell>
          <cell r="G788">
            <v>1047.94</v>
          </cell>
          <cell r="H788">
            <v>15201.06</v>
          </cell>
          <cell r="I788" t="str">
            <v>C</v>
          </cell>
        </row>
        <row r="789">
          <cell r="A789">
            <v>54787</v>
          </cell>
          <cell r="B789" t="str">
            <v>2.1.01.010.0716</v>
          </cell>
          <cell r="C789" t="str">
            <v xml:space="preserve">SUASSUNA SERVICOS </v>
          </cell>
          <cell r="D789">
            <v>3200.05</v>
          </cell>
          <cell r="E789">
            <v>1200.02</v>
          </cell>
          <cell r="F789">
            <v>2000</v>
          </cell>
          <cell r="G789">
            <v>799.98</v>
          </cell>
          <cell r="H789">
            <v>4000.03</v>
          </cell>
          <cell r="I789" t="str">
            <v>C</v>
          </cell>
        </row>
        <row r="790">
          <cell r="A790">
            <v>54788</v>
          </cell>
          <cell r="B790" t="str">
            <v>2.1.01.010.0717</v>
          </cell>
          <cell r="C790" t="str">
            <v xml:space="preserve">BASTOS E PIMENTEL </v>
          </cell>
          <cell r="D790">
            <v>3296.21</v>
          </cell>
          <cell r="E790">
            <v>3296.21</v>
          </cell>
          <cell r="F790">
            <v>3750.88</v>
          </cell>
          <cell r="G790">
            <v>454.67</v>
          </cell>
          <cell r="H790">
            <v>3750.88</v>
          </cell>
          <cell r="I790" t="str">
            <v>C</v>
          </cell>
        </row>
        <row r="791">
          <cell r="A791">
            <v>54789</v>
          </cell>
          <cell r="B791" t="str">
            <v>2.1.01.010.0718</v>
          </cell>
          <cell r="C791" t="str">
            <v xml:space="preserve">F&amp;F SERVICOS MEDICOS </v>
          </cell>
          <cell r="D791">
            <v>2978.68</v>
          </cell>
          <cell r="E791">
            <v>2312.75</v>
          </cell>
          <cell r="F791">
            <v>2660.12</v>
          </cell>
          <cell r="G791">
            <v>347.37</v>
          </cell>
          <cell r="H791">
            <v>3326.05</v>
          </cell>
          <cell r="I791" t="str">
            <v>C</v>
          </cell>
        </row>
        <row r="792">
          <cell r="A792">
            <v>54790</v>
          </cell>
          <cell r="B792" t="str">
            <v>2.1.01.010.0719</v>
          </cell>
          <cell r="C792" t="str">
            <v xml:space="preserve">MONTEIRO ZUNG SERVICOS </v>
          </cell>
          <cell r="D792">
            <v>1172.08</v>
          </cell>
          <cell r="E792">
            <v>0</v>
          </cell>
          <cell r="F792">
            <v>52.92</v>
          </cell>
          <cell r="G792">
            <v>52.92</v>
          </cell>
          <cell r="H792">
            <v>1225</v>
          </cell>
          <cell r="I792" t="str">
            <v>C</v>
          </cell>
        </row>
        <row r="793">
          <cell r="A793">
            <v>54791</v>
          </cell>
          <cell r="B793" t="str">
            <v>2.1.01.010.0720</v>
          </cell>
          <cell r="C793" t="str">
            <v xml:space="preserve">AMANDA DE GOUVEA </v>
          </cell>
          <cell r="D793">
            <v>236.67</v>
          </cell>
          <cell r="E793">
            <v>0</v>
          </cell>
          <cell r="F793">
            <v>0</v>
          </cell>
          <cell r="G793">
            <v>0</v>
          </cell>
          <cell r="H793">
            <v>236.67</v>
          </cell>
          <cell r="I793" t="str">
            <v>C</v>
          </cell>
        </row>
        <row r="794">
          <cell r="A794">
            <v>54793</v>
          </cell>
          <cell r="B794" t="str">
            <v>2.1.01.010.0721</v>
          </cell>
          <cell r="C794" t="str">
            <v xml:space="preserve">MESQUITA BARROS </v>
          </cell>
          <cell r="D794">
            <v>34160.14</v>
          </cell>
          <cell r="E794">
            <v>31958.639999999999</v>
          </cell>
          <cell r="F794">
            <v>28963.68</v>
          </cell>
          <cell r="G794">
            <v>-2994.96</v>
          </cell>
          <cell r="H794">
            <v>31165.18</v>
          </cell>
          <cell r="I794" t="str">
            <v>C</v>
          </cell>
        </row>
        <row r="795">
          <cell r="A795">
            <v>54803</v>
          </cell>
          <cell r="B795" t="str">
            <v>2.1.01.010.0722</v>
          </cell>
          <cell r="C795" t="str">
            <v xml:space="preserve">SARPE E MARQUES CLINICA </v>
          </cell>
          <cell r="D795">
            <v>12594.42</v>
          </cell>
          <cell r="E795">
            <v>12619.42</v>
          </cell>
          <cell r="F795">
            <v>12977.17</v>
          </cell>
          <cell r="G795">
            <v>357.75</v>
          </cell>
          <cell r="H795">
            <v>12952.17</v>
          </cell>
          <cell r="I795" t="str">
            <v>C</v>
          </cell>
        </row>
        <row r="796">
          <cell r="A796">
            <v>54804</v>
          </cell>
          <cell r="B796" t="str">
            <v>2.1.01.010.0723</v>
          </cell>
          <cell r="C796" t="str">
            <v>J L SERVICOS MEDICOS SS</v>
          </cell>
          <cell r="D796">
            <v>12322.35</v>
          </cell>
          <cell r="E796">
            <v>12322.35</v>
          </cell>
          <cell r="F796">
            <v>12233.7</v>
          </cell>
          <cell r="G796">
            <v>-88.65</v>
          </cell>
          <cell r="H796">
            <v>12233.7</v>
          </cell>
          <cell r="I796" t="str">
            <v>C</v>
          </cell>
        </row>
        <row r="797">
          <cell r="A797">
            <v>54811</v>
          </cell>
          <cell r="B797" t="str">
            <v>2.1.01.010.0724</v>
          </cell>
          <cell r="C797" t="str">
            <v xml:space="preserve">ALMAGRO CLINICA MEDICA </v>
          </cell>
          <cell r="D797">
            <v>22.39</v>
          </cell>
          <cell r="E797">
            <v>0</v>
          </cell>
          <cell r="F797">
            <v>0</v>
          </cell>
          <cell r="G797">
            <v>0</v>
          </cell>
          <cell r="H797">
            <v>22.39</v>
          </cell>
          <cell r="I797" t="str">
            <v>C</v>
          </cell>
        </row>
        <row r="798">
          <cell r="A798">
            <v>54813</v>
          </cell>
          <cell r="B798" t="str">
            <v>2.1.01.010.0725</v>
          </cell>
          <cell r="C798" t="str">
            <v xml:space="preserve">CLINICA E CIRURGIA </v>
          </cell>
          <cell r="D798">
            <v>6210.94</v>
          </cell>
          <cell r="E798">
            <v>1094.8499999999999</v>
          </cell>
          <cell r="F798">
            <v>3523.34</v>
          </cell>
          <cell r="G798">
            <v>2428.4899999999998</v>
          </cell>
          <cell r="H798">
            <v>8639.43</v>
          </cell>
          <cell r="I798" t="str">
            <v>C</v>
          </cell>
        </row>
        <row r="799">
          <cell r="A799">
            <v>54830</v>
          </cell>
          <cell r="B799" t="str">
            <v>2.1.01.010.0727</v>
          </cell>
          <cell r="C799" t="str">
            <v xml:space="preserve">AMANDA DE BONA SILVEIRA </v>
          </cell>
          <cell r="D799">
            <v>1519.91</v>
          </cell>
          <cell r="E799">
            <v>0</v>
          </cell>
          <cell r="F799">
            <v>0</v>
          </cell>
          <cell r="G799">
            <v>0</v>
          </cell>
          <cell r="H799">
            <v>1519.91</v>
          </cell>
          <cell r="I799" t="str">
            <v>C</v>
          </cell>
        </row>
        <row r="800">
          <cell r="A800">
            <v>54831</v>
          </cell>
          <cell r="B800" t="str">
            <v>2.1.01.010.0728</v>
          </cell>
          <cell r="C800" t="str">
            <v xml:space="preserve">BRUTUS SERVICOS MEDICOS </v>
          </cell>
          <cell r="D800">
            <v>9841.24</v>
          </cell>
          <cell r="E800">
            <v>9521.2000000000007</v>
          </cell>
          <cell r="F800">
            <v>9223.51</v>
          </cell>
          <cell r="G800">
            <v>-297.69</v>
          </cell>
          <cell r="H800">
            <v>9543.5499999999993</v>
          </cell>
          <cell r="I800" t="str">
            <v>C</v>
          </cell>
        </row>
        <row r="801">
          <cell r="A801">
            <v>54832</v>
          </cell>
          <cell r="B801" t="str">
            <v>2.1.01.010.0729</v>
          </cell>
          <cell r="C801" t="str">
            <v xml:space="preserve">THAIS MOREIRA COSTA </v>
          </cell>
          <cell r="D801">
            <v>3097.61</v>
          </cell>
          <cell r="E801">
            <v>140</v>
          </cell>
          <cell r="F801">
            <v>123.2</v>
          </cell>
          <cell r="G801">
            <v>-16.8</v>
          </cell>
          <cell r="H801">
            <v>3080.81</v>
          </cell>
          <cell r="I801" t="str">
            <v>C</v>
          </cell>
        </row>
        <row r="802">
          <cell r="A802">
            <v>33410</v>
          </cell>
          <cell r="B802" t="str">
            <v>2.1.01.010.0730</v>
          </cell>
          <cell r="C802" t="str">
            <v xml:space="preserve">CLINICAS DE FRATURAS </v>
          </cell>
          <cell r="D802">
            <v>2689.63</v>
          </cell>
          <cell r="E802">
            <v>0</v>
          </cell>
          <cell r="F802">
            <v>1711.01</v>
          </cell>
          <cell r="G802">
            <v>1711.01</v>
          </cell>
          <cell r="H802">
            <v>4400.6400000000003</v>
          </cell>
          <cell r="I802" t="str">
            <v>C</v>
          </cell>
        </row>
        <row r="803">
          <cell r="A803">
            <v>54833</v>
          </cell>
          <cell r="B803" t="str">
            <v>2.1.01.010.0731</v>
          </cell>
          <cell r="C803" t="str">
            <v>SANTIAGO GUIMARAES LTDA</v>
          </cell>
          <cell r="D803">
            <v>3715</v>
          </cell>
          <cell r="E803">
            <v>3725</v>
          </cell>
          <cell r="F803">
            <v>5354</v>
          </cell>
          <cell r="G803">
            <v>1629</v>
          </cell>
          <cell r="H803">
            <v>5344</v>
          </cell>
          <cell r="I803" t="str">
            <v>C</v>
          </cell>
        </row>
        <row r="804">
          <cell r="A804">
            <v>54834</v>
          </cell>
          <cell r="B804" t="str">
            <v>2.1.01.010.0732</v>
          </cell>
          <cell r="C804" t="str">
            <v xml:space="preserve">SAUDE LATINA SERVICOS </v>
          </cell>
          <cell r="D804">
            <v>1488.97</v>
          </cell>
          <cell r="E804">
            <v>1698.97</v>
          </cell>
          <cell r="F804">
            <v>1083.78</v>
          </cell>
          <cell r="G804">
            <v>-615.19000000000005</v>
          </cell>
          <cell r="H804">
            <v>873.78</v>
          </cell>
          <cell r="I804" t="str">
            <v>C</v>
          </cell>
        </row>
        <row r="805">
          <cell r="A805">
            <v>54883</v>
          </cell>
          <cell r="B805" t="str">
            <v>2.1.01.010.0733</v>
          </cell>
          <cell r="C805" t="str">
            <v>RUEDA &amp; BACHIEGA SS LTDA</v>
          </cell>
          <cell r="D805">
            <v>10531.67</v>
          </cell>
          <cell r="E805">
            <v>16378.62</v>
          </cell>
          <cell r="F805">
            <v>17164.25</v>
          </cell>
          <cell r="G805">
            <v>785.63</v>
          </cell>
          <cell r="H805">
            <v>11317.3</v>
          </cell>
          <cell r="I805" t="str">
            <v>C</v>
          </cell>
        </row>
        <row r="806">
          <cell r="A806">
            <v>54890</v>
          </cell>
          <cell r="B806" t="str">
            <v>2.1.01.010.0735</v>
          </cell>
          <cell r="C806" t="str">
            <v xml:space="preserve">BRUNETTI E FARIA ORL MED </v>
          </cell>
          <cell r="D806">
            <v>2771.49</v>
          </cell>
          <cell r="E806">
            <v>2757.71</v>
          </cell>
          <cell r="F806">
            <v>2685.65</v>
          </cell>
          <cell r="G806">
            <v>-72.06</v>
          </cell>
          <cell r="H806">
            <v>2699.43</v>
          </cell>
          <cell r="I806" t="str">
            <v>C</v>
          </cell>
        </row>
        <row r="807">
          <cell r="A807">
            <v>54891</v>
          </cell>
          <cell r="B807" t="str">
            <v>2.1.01.010.0736</v>
          </cell>
          <cell r="C807" t="str">
            <v xml:space="preserve">PROENMED SERVICOS </v>
          </cell>
          <cell r="D807">
            <v>455.84</v>
          </cell>
          <cell r="E807">
            <v>0</v>
          </cell>
          <cell r="F807">
            <v>0</v>
          </cell>
          <cell r="G807">
            <v>0</v>
          </cell>
          <cell r="H807">
            <v>455.84</v>
          </cell>
          <cell r="I807" t="str">
            <v>C</v>
          </cell>
        </row>
        <row r="808">
          <cell r="A808">
            <v>37514</v>
          </cell>
          <cell r="B808" t="str">
            <v>2.1.01.010.0737</v>
          </cell>
          <cell r="C808" t="str">
            <v xml:space="preserve">OFTALMOLOGIA DR IVANIR M </v>
          </cell>
          <cell r="D808">
            <v>19135.09</v>
          </cell>
          <cell r="E808">
            <v>19485.09</v>
          </cell>
          <cell r="F808">
            <v>8307.0499999999993</v>
          </cell>
          <cell r="G808">
            <v>-11178.04</v>
          </cell>
          <cell r="H808">
            <v>7957.05</v>
          </cell>
          <cell r="I808" t="str">
            <v>C</v>
          </cell>
        </row>
        <row r="809">
          <cell r="A809">
            <v>54892</v>
          </cell>
          <cell r="B809" t="str">
            <v>2.1.01.010.0738</v>
          </cell>
          <cell r="C809" t="str">
            <v xml:space="preserve">URO-RENOS CLINICA MEDICA </v>
          </cell>
          <cell r="D809">
            <v>1428</v>
          </cell>
          <cell r="E809">
            <v>1568</v>
          </cell>
          <cell r="F809">
            <v>1094.18</v>
          </cell>
          <cell r="G809">
            <v>-473.82</v>
          </cell>
          <cell r="H809">
            <v>954.18</v>
          </cell>
          <cell r="I809" t="str">
            <v>C</v>
          </cell>
        </row>
        <row r="810">
          <cell r="A810">
            <v>54893</v>
          </cell>
          <cell r="B810" t="str">
            <v>2.1.01.010.0739</v>
          </cell>
          <cell r="C810" t="str">
            <v xml:space="preserve">CARTAXO SERVICOS </v>
          </cell>
          <cell r="D810">
            <v>727.3</v>
          </cell>
          <cell r="E810">
            <v>665</v>
          </cell>
          <cell r="F810">
            <v>114.86</v>
          </cell>
          <cell r="G810">
            <v>-550.14</v>
          </cell>
          <cell r="H810">
            <v>177.16</v>
          </cell>
          <cell r="I810" t="str">
            <v>C</v>
          </cell>
        </row>
        <row r="811">
          <cell r="A811">
            <v>54898</v>
          </cell>
          <cell r="B811" t="str">
            <v>2.1.01.010.0740</v>
          </cell>
          <cell r="C811" t="str">
            <v>NB SERVICOS MEDICOS LTDA</v>
          </cell>
          <cell r="D811">
            <v>1358.76</v>
          </cell>
          <cell r="E811">
            <v>1438.76</v>
          </cell>
          <cell r="F811">
            <v>2345.48</v>
          </cell>
          <cell r="G811">
            <v>906.72</v>
          </cell>
          <cell r="H811">
            <v>2265.48</v>
          </cell>
          <cell r="I811" t="str">
            <v>C</v>
          </cell>
        </row>
        <row r="812">
          <cell r="A812">
            <v>54914</v>
          </cell>
          <cell r="B812" t="str">
            <v>2.1.01.010.0743</v>
          </cell>
          <cell r="C812" t="str">
            <v xml:space="preserve">PEREIRA &amp; SILVA SERVICOS </v>
          </cell>
          <cell r="D812">
            <v>5220.5</v>
          </cell>
          <cell r="E812">
            <v>0</v>
          </cell>
          <cell r="F812">
            <v>985</v>
          </cell>
          <cell r="G812">
            <v>985</v>
          </cell>
          <cell r="H812">
            <v>6205.5</v>
          </cell>
          <cell r="I812" t="str">
            <v>C</v>
          </cell>
        </row>
        <row r="813">
          <cell r="A813">
            <v>54915</v>
          </cell>
          <cell r="B813" t="str">
            <v>2.1.01.010.0744</v>
          </cell>
          <cell r="C813" t="str">
            <v xml:space="preserve">NEFROCENTER ASSISTENCIA </v>
          </cell>
          <cell r="D813">
            <v>5713</v>
          </cell>
          <cell r="E813">
            <v>5713</v>
          </cell>
          <cell r="F813">
            <v>500</v>
          </cell>
          <cell r="G813">
            <v>-5213</v>
          </cell>
          <cell r="H813">
            <v>500</v>
          </cell>
          <cell r="I813" t="str">
            <v>C</v>
          </cell>
        </row>
        <row r="814">
          <cell r="A814">
            <v>54916</v>
          </cell>
          <cell r="B814" t="str">
            <v>2.1.01.010.0745</v>
          </cell>
          <cell r="C814" t="str">
            <v xml:space="preserve">CLINICA OBSTARE SERVICOS </v>
          </cell>
          <cell r="D814">
            <v>2695.84</v>
          </cell>
          <cell r="E814">
            <v>0</v>
          </cell>
          <cell r="F814">
            <v>0</v>
          </cell>
          <cell r="G814">
            <v>0</v>
          </cell>
          <cell r="H814">
            <v>2695.84</v>
          </cell>
          <cell r="I814" t="str">
            <v>C</v>
          </cell>
        </row>
        <row r="815">
          <cell r="A815">
            <v>54917</v>
          </cell>
          <cell r="B815" t="str">
            <v>2.1.01.010.0746</v>
          </cell>
          <cell r="C815" t="str">
            <v xml:space="preserve">MD CARDIOLOGIA CLINICA E </v>
          </cell>
          <cell r="D815">
            <v>6519.47</v>
          </cell>
          <cell r="E815">
            <v>6680.47</v>
          </cell>
          <cell r="F815">
            <v>4655.66</v>
          </cell>
          <cell r="G815">
            <v>-2024.81</v>
          </cell>
          <cell r="H815">
            <v>4494.66</v>
          </cell>
          <cell r="I815" t="str">
            <v>C</v>
          </cell>
        </row>
        <row r="816">
          <cell r="A816">
            <v>54918</v>
          </cell>
          <cell r="B816" t="str">
            <v>2.1.01.010.0747</v>
          </cell>
          <cell r="C816" t="str">
            <v xml:space="preserve">P &amp; P SERVICOS MEDICOS </v>
          </cell>
          <cell r="D816">
            <v>264.32</v>
          </cell>
          <cell r="E816">
            <v>264.32</v>
          </cell>
          <cell r="F816">
            <v>0</v>
          </cell>
          <cell r="G816">
            <v>-264.32</v>
          </cell>
          <cell r="H816">
            <v>0</v>
          </cell>
          <cell r="I816" t="str">
            <v>C</v>
          </cell>
        </row>
        <row r="817">
          <cell r="A817">
            <v>54942</v>
          </cell>
          <cell r="B817" t="str">
            <v>2.1.01.010.0750</v>
          </cell>
          <cell r="C817" t="str">
            <v xml:space="preserve">VIRGILIO EDILBERTO </v>
          </cell>
          <cell r="D817">
            <v>32711.89</v>
          </cell>
          <cell r="E817">
            <v>4132.0200000000004</v>
          </cell>
          <cell r="F817">
            <v>16681.82</v>
          </cell>
          <cell r="G817">
            <v>12549.8</v>
          </cell>
          <cell r="H817">
            <v>45261.69</v>
          </cell>
          <cell r="I817" t="str">
            <v>C</v>
          </cell>
        </row>
        <row r="818">
          <cell r="A818">
            <v>54943</v>
          </cell>
          <cell r="B818" t="str">
            <v>2.1.01.010.0751</v>
          </cell>
          <cell r="C818" t="str">
            <v>C A SAUDE LTDA</v>
          </cell>
          <cell r="D818">
            <v>1839.32</v>
          </cell>
          <cell r="E818">
            <v>55.06</v>
          </cell>
          <cell r="F818">
            <v>1126.06</v>
          </cell>
          <cell r="G818">
            <v>1071</v>
          </cell>
          <cell r="H818">
            <v>2910.32</v>
          </cell>
          <cell r="I818" t="str">
            <v>C</v>
          </cell>
        </row>
        <row r="819">
          <cell r="A819">
            <v>54951</v>
          </cell>
          <cell r="B819" t="str">
            <v>2.1.01.010.0752</v>
          </cell>
          <cell r="C819" t="str">
            <v xml:space="preserve">DUARTE CONTI E ARANTES </v>
          </cell>
          <cell r="D819">
            <v>10121.23</v>
          </cell>
          <cell r="E819">
            <v>10121.23</v>
          </cell>
          <cell r="F819">
            <v>1595.7</v>
          </cell>
          <cell r="G819">
            <v>-8525.5300000000007</v>
          </cell>
          <cell r="H819">
            <v>1595.7</v>
          </cell>
          <cell r="I819" t="str">
            <v>C</v>
          </cell>
        </row>
        <row r="820">
          <cell r="A820">
            <v>54954</v>
          </cell>
          <cell r="B820" t="str">
            <v>2.1.01.010.0753</v>
          </cell>
          <cell r="C820" t="str">
            <v>ASPICE VITAE MEDICOS LTDA</v>
          </cell>
          <cell r="D820">
            <v>11495.48</v>
          </cell>
          <cell r="E820">
            <v>3923.29</v>
          </cell>
          <cell r="F820">
            <v>0</v>
          </cell>
          <cell r="G820">
            <v>-3923.29</v>
          </cell>
          <cell r="H820">
            <v>7572.19</v>
          </cell>
          <cell r="I820" t="str">
            <v>C</v>
          </cell>
        </row>
        <row r="821">
          <cell r="A821">
            <v>54955</v>
          </cell>
          <cell r="B821" t="str">
            <v>2.1.01.010.0754</v>
          </cell>
          <cell r="C821" t="str">
            <v xml:space="preserve">OLIVEIRA SANTOS SERVICOS </v>
          </cell>
          <cell r="D821">
            <v>16336</v>
          </cell>
          <cell r="E821">
            <v>16336</v>
          </cell>
          <cell r="F821">
            <v>24753.25</v>
          </cell>
          <cell r="G821">
            <v>8417.25</v>
          </cell>
          <cell r="H821">
            <v>24753.25</v>
          </cell>
          <cell r="I821" t="str">
            <v>C</v>
          </cell>
        </row>
        <row r="822">
          <cell r="A822">
            <v>54982</v>
          </cell>
          <cell r="B822" t="str">
            <v>2.1.01.010.0755</v>
          </cell>
          <cell r="C822" t="str">
            <v>N. R. FRAGA</v>
          </cell>
          <cell r="D822">
            <v>10835</v>
          </cell>
          <cell r="E822">
            <v>10835</v>
          </cell>
          <cell r="F822">
            <v>10835</v>
          </cell>
          <cell r="G822">
            <v>0</v>
          </cell>
          <cell r="H822">
            <v>10835</v>
          </cell>
          <cell r="I822" t="str">
            <v>C</v>
          </cell>
        </row>
        <row r="823">
          <cell r="A823">
            <v>54994</v>
          </cell>
          <cell r="B823" t="str">
            <v>2.1.01.010.0756</v>
          </cell>
          <cell r="C823" t="str">
            <v xml:space="preserve">LMIT PEDIATRIA E </v>
          </cell>
          <cell r="D823">
            <v>1536.6</v>
          </cell>
          <cell r="E823">
            <v>0</v>
          </cell>
          <cell r="F823">
            <v>0</v>
          </cell>
          <cell r="G823">
            <v>0</v>
          </cell>
          <cell r="H823">
            <v>1536.6</v>
          </cell>
          <cell r="I823" t="str">
            <v>C</v>
          </cell>
        </row>
        <row r="824">
          <cell r="A824">
            <v>54995</v>
          </cell>
          <cell r="B824" t="str">
            <v>2.1.01.010.0757</v>
          </cell>
          <cell r="C824" t="str">
            <v>CARDIVIDA LTDA</v>
          </cell>
          <cell r="D824">
            <v>5310.72</v>
          </cell>
          <cell r="E824">
            <v>5310.72</v>
          </cell>
          <cell r="F824">
            <v>5310.72</v>
          </cell>
          <cell r="G824">
            <v>0</v>
          </cell>
          <cell r="H824">
            <v>5310.72</v>
          </cell>
          <cell r="I824" t="str">
            <v>C</v>
          </cell>
        </row>
        <row r="825">
          <cell r="A825">
            <v>54996</v>
          </cell>
          <cell r="B825" t="str">
            <v>2.1.01.010.0758</v>
          </cell>
          <cell r="C825" t="str">
            <v>MEDICINA ACSP LTDA</v>
          </cell>
          <cell r="D825">
            <v>2611</v>
          </cell>
          <cell r="E825">
            <v>2541</v>
          </cell>
          <cell r="F825">
            <v>3787</v>
          </cell>
          <cell r="G825">
            <v>1246</v>
          </cell>
          <cell r="H825">
            <v>3857</v>
          </cell>
          <cell r="I825" t="str">
            <v>C</v>
          </cell>
        </row>
        <row r="826">
          <cell r="A826">
            <v>54998</v>
          </cell>
          <cell r="B826" t="str">
            <v>2.1.01.010.0759</v>
          </cell>
          <cell r="C826" t="str">
            <v xml:space="preserve">REZENDE &amp; TANAKA </v>
          </cell>
          <cell r="D826">
            <v>1423.56</v>
          </cell>
          <cell r="E826">
            <v>1423.56</v>
          </cell>
          <cell r="F826">
            <v>833</v>
          </cell>
          <cell r="G826">
            <v>-590.55999999999995</v>
          </cell>
          <cell r="H826">
            <v>833</v>
          </cell>
          <cell r="I826" t="str">
            <v>C</v>
          </cell>
        </row>
        <row r="827">
          <cell r="A827">
            <v>54999</v>
          </cell>
          <cell r="B827" t="str">
            <v>2.1.01.010.0760</v>
          </cell>
          <cell r="C827" t="str">
            <v>N. L. DUARTE CLINICA MEDICA</v>
          </cell>
          <cell r="D827">
            <v>1274</v>
          </cell>
          <cell r="E827">
            <v>0</v>
          </cell>
          <cell r="F827">
            <v>1197</v>
          </cell>
          <cell r="G827">
            <v>1197</v>
          </cell>
          <cell r="H827">
            <v>2471</v>
          </cell>
          <cell r="I827" t="str">
            <v>C</v>
          </cell>
        </row>
        <row r="828">
          <cell r="A828">
            <v>55002</v>
          </cell>
          <cell r="B828" t="str">
            <v>2.1.01.010.0762</v>
          </cell>
          <cell r="C828" t="str">
            <v xml:space="preserve">B &amp; S ARAUJO SERVICOS </v>
          </cell>
          <cell r="D828">
            <v>2760.76</v>
          </cell>
          <cell r="E828">
            <v>2109.87</v>
          </cell>
          <cell r="F828">
            <v>1113.54</v>
          </cell>
          <cell r="G828">
            <v>-996.33</v>
          </cell>
          <cell r="H828">
            <v>1764.43</v>
          </cell>
          <cell r="I828" t="str">
            <v>C</v>
          </cell>
        </row>
        <row r="829">
          <cell r="A829">
            <v>55003</v>
          </cell>
          <cell r="B829" t="str">
            <v>2.1.01.010.0763</v>
          </cell>
          <cell r="C829" t="str">
            <v xml:space="preserve">ATIVIDADES MEDICAS </v>
          </cell>
          <cell r="D829">
            <v>5760</v>
          </cell>
          <cell r="E829">
            <v>13440</v>
          </cell>
          <cell r="F829">
            <v>14880</v>
          </cell>
          <cell r="G829">
            <v>1440</v>
          </cell>
          <cell r="H829">
            <v>7200</v>
          </cell>
          <cell r="I829" t="str">
            <v>C</v>
          </cell>
        </row>
        <row r="830">
          <cell r="A830">
            <v>55005</v>
          </cell>
          <cell r="B830" t="str">
            <v>2.1.01.010.0764</v>
          </cell>
          <cell r="C830" t="str">
            <v xml:space="preserve">SAO MIGUEL CLINICA MEDICA </v>
          </cell>
          <cell r="D830">
            <v>0</v>
          </cell>
          <cell r="E830">
            <v>0</v>
          </cell>
          <cell r="F830">
            <v>2061.7399999999998</v>
          </cell>
          <cell r="G830">
            <v>2061.7399999999998</v>
          </cell>
          <cell r="H830">
            <v>2061.7399999999998</v>
          </cell>
          <cell r="I830" t="str">
            <v>C</v>
          </cell>
        </row>
        <row r="831">
          <cell r="A831">
            <v>55077</v>
          </cell>
          <cell r="B831" t="str">
            <v>2.1.01.010.0765</v>
          </cell>
          <cell r="C831" t="str">
            <v xml:space="preserve">RENAN TOSHIO MELO HONDA </v>
          </cell>
          <cell r="D831">
            <v>5034.24</v>
          </cell>
          <cell r="E831">
            <v>140</v>
          </cell>
          <cell r="F831">
            <v>508.8</v>
          </cell>
          <cell r="G831">
            <v>368.8</v>
          </cell>
          <cell r="H831">
            <v>5403.04</v>
          </cell>
          <cell r="I831" t="str">
            <v>C</v>
          </cell>
        </row>
        <row r="832">
          <cell r="A832">
            <v>55078</v>
          </cell>
          <cell r="B832" t="str">
            <v>2.1.01.010.0766</v>
          </cell>
          <cell r="C832" t="str">
            <v xml:space="preserve">GALVES SERVICOS MEDICOS - </v>
          </cell>
          <cell r="D832">
            <v>704.62</v>
          </cell>
          <cell r="E832">
            <v>605.5</v>
          </cell>
          <cell r="F832">
            <v>526.6</v>
          </cell>
          <cell r="G832">
            <v>-78.900000000000006</v>
          </cell>
          <cell r="H832">
            <v>625.72</v>
          </cell>
          <cell r="I832" t="str">
            <v>C</v>
          </cell>
        </row>
        <row r="833">
          <cell r="A833">
            <v>55079</v>
          </cell>
          <cell r="B833" t="str">
            <v>2.1.01.010.0767</v>
          </cell>
          <cell r="C833" t="str">
            <v xml:space="preserve">LIMA RUIZ SERVICOS </v>
          </cell>
          <cell r="D833">
            <v>2400.02</v>
          </cell>
          <cell r="E833">
            <v>2400.02</v>
          </cell>
          <cell r="F833">
            <v>3441.14</v>
          </cell>
          <cell r="G833">
            <v>1041.1199999999999</v>
          </cell>
          <cell r="H833">
            <v>3441.14</v>
          </cell>
          <cell r="I833" t="str">
            <v>C</v>
          </cell>
        </row>
        <row r="834">
          <cell r="A834">
            <v>55080</v>
          </cell>
          <cell r="B834" t="str">
            <v>2.1.01.010.0768</v>
          </cell>
          <cell r="C834" t="str">
            <v xml:space="preserve">AGA SERVICOS MEDICOS </v>
          </cell>
          <cell r="D834">
            <v>2737</v>
          </cell>
          <cell r="E834">
            <v>2737</v>
          </cell>
          <cell r="F834">
            <v>3704.59</v>
          </cell>
          <cell r="G834">
            <v>967.59</v>
          </cell>
          <cell r="H834">
            <v>3704.59</v>
          </cell>
          <cell r="I834" t="str">
            <v>C</v>
          </cell>
        </row>
        <row r="835">
          <cell r="A835">
            <v>55081</v>
          </cell>
          <cell r="B835" t="str">
            <v>2.1.01.010.0769</v>
          </cell>
          <cell r="C835" t="str">
            <v>CLIPPE S/S LTDA</v>
          </cell>
          <cell r="D835">
            <v>3034.5</v>
          </cell>
          <cell r="E835">
            <v>3034.5</v>
          </cell>
          <cell r="F835">
            <v>1190</v>
          </cell>
          <cell r="G835">
            <v>-1844.5</v>
          </cell>
          <cell r="H835">
            <v>1190</v>
          </cell>
          <cell r="I835" t="str">
            <v>C</v>
          </cell>
        </row>
        <row r="836">
          <cell r="A836">
            <v>55082</v>
          </cell>
          <cell r="B836" t="str">
            <v>2.1.01.010.0770</v>
          </cell>
          <cell r="C836" t="str">
            <v>CLINICA NUTRILESS S/S LTDA</v>
          </cell>
          <cell r="D836">
            <v>275</v>
          </cell>
          <cell r="E836">
            <v>0</v>
          </cell>
          <cell r="F836">
            <v>0</v>
          </cell>
          <cell r="G836">
            <v>0</v>
          </cell>
          <cell r="H836">
            <v>275</v>
          </cell>
          <cell r="I836" t="str">
            <v>C</v>
          </cell>
        </row>
        <row r="837">
          <cell r="A837">
            <v>55083</v>
          </cell>
          <cell r="B837" t="str">
            <v>2.1.01.010.0771</v>
          </cell>
          <cell r="C837" t="str">
            <v xml:space="preserve">VIVIAN WERNECK OCTAVIANO </v>
          </cell>
          <cell r="D837">
            <v>159.88</v>
          </cell>
          <cell r="E837">
            <v>0</v>
          </cell>
          <cell r="F837">
            <v>0</v>
          </cell>
          <cell r="G837">
            <v>0</v>
          </cell>
          <cell r="H837">
            <v>159.88</v>
          </cell>
          <cell r="I837" t="str">
            <v>C</v>
          </cell>
        </row>
        <row r="838">
          <cell r="A838">
            <v>55084</v>
          </cell>
          <cell r="B838" t="str">
            <v>2.1.01.010.0772</v>
          </cell>
          <cell r="C838" t="str">
            <v>MKS SAUDE LTDA</v>
          </cell>
          <cell r="D838">
            <v>4759.6000000000004</v>
          </cell>
          <cell r="E838">
            <v>4759.6000000000004</v>
          </cell>
          <cell r="F838">
            <v>5219.62</v>
          </cell>
          <cell r="G838">
            <v>460.02</v>
          </cell>
          <cell r="H838">
            <v>5219.62</v>
          </cell>
          <cell r="I838" t="str">
            <v>C</v>
          </cell>
        </row>
        <row r="839">
          <cell r="A839">
            <v>55089</v>
          </cell>
          <cell r="B839" t="str">
            <v>2.1.01.010.0773</v>
          </cell>
          <cell r="C839" t="str">
            <v xml:space="preserve">LOURA &amp; ALTOE SERVICOS </v>
          </cell>
          <cell r="D839">
            <v>4509.26</v>
          </cell>
          <cell r="E839">
            <v>4085.26</v>
          </cell>
          <cell r="F839">
            <v>9833.8799999999992</v>
          </cell>
          <cell r="G839">
            <v>5748.62</v>
          </cell>
          <cell r="H839">
            <v>10257.879999999999</v>
          </cell>
          <cell r="I839" t="str">
            <v>C</v>
          </cell>
        </row>
        <row r="840">
          <cell r="A840">
            <v>55120</v>
          </cell>
          <cell r="B840" t="str">
            <v>2.1.01.010.0774</v>
          </cell>
          <cell r="C840" t="str">
            <v xml:space="preserve">INSTITUTO ONCOLOGICO </v>
          </cell>
          <cell r="D840">
            <v>0</v>
          </cell>
          <cell r="E840">
            <v>5605.53</v>
          </cell>
          <cell r="F840">
            <v>5605.53</v>
          </cell>
          <cell r="G840">
            <v>0</v>
          </cell>
          <cell r="H840">
            <v>0</v>
          </cell>
          <cell r="I840" t="str">
            <v>C</v>
          </cell>
        </row>
        <row r="841">
          <cell r="A841">
            <v>55142</v>
          </cell>
          <cell r="B841" t="str">
            <v>2.1.01.010.0775</v>
          </cell>
          <cell r="C841" t="str">
            <v xml:space="preserve">CASSIA PALOMA DA CUNHA </v>
          </cell>
          <cell r="D841">
            <v>7615.55</v>
          </cell>
          <cell r="E841">
            <v>6032.99</v>
          </cell>
          <cell r="F841">
            <v>7424.01</v>
          </cell>
          <cell r="G841">
            <v>1391.02</v>
          </cell>
          <cell r="H841">
            <v>9006.57</v>
          </cell>
          <cell r="I841" t="str">
            <v>C</v>
          </cell>
        </row>
        <row r="842">
          <cell r="A842">
            <v>55143</v>
          </cell>
          <cell r="B842" t="str">
            <v>2.1.01.010.0776</v>
          </cell>
          <cell r="C842" t="str">
            <v xml:space="preserve">GUSTAVO ALEXANDRE ORRIZ </v>
          </cell>
          <cell r="D842">
            <v>16407.36</v>
          </cell>
          <cell r="E842">
            <v>44.18</v>
          </cell>
          <cell r="F842">
            <v>14761.14</v>
          </cell>
          <cell r="G842">
            <v>14716.96</v>
          </cell>
          <cell r="H842">
            <v>31124.32</v>
          </cell>
          <cell r="I842" t="str">
            <v>C</v>
          </cell>
        </row>
        <row r="843">
          <cell r="A843">
            <v>55159</v>
          </cell>
          <cell r="B843" t="str">
            <v>2.1.01.010.0777</v>
          </cell>
          <cell r="C843" t="str">
            <v xml:space="preserve">J.C.R.I.S. SERVICOS MEDICOS </v>
          </cell>
          <cell r="D843">
            <v>3223.41</v>
          </cell>
          <cell r="E843">
            <v>3293.41</v>
          </cell>
          <cell r="F843">
            <v>3612.79</v>
          </cell>
          <cell r="G843">
            <v>319.38</v>
          </cell>
          <cell r="H843">
            <v>3542.79</v>
          </cell>
          <cell r="I843" t="str">
            <v>C</v>
          </cell>
        </row>
        <row r="844">
          <cell r="A844">
            <v>55160</v>
          </cell>
          <cell r="B844" t="str">
            <v>2.1.01.010.0778</v>
          </cell>
          <cell r="C844" t="str">
            <v xml:space="preserve">CAOBIANCO CLINICA MEDICA </v>
          </cell>
          <cell r="D844">
            <v>5565.72</v>
          </cell>
          <cell r="E844">
            <v>1996.35</v>
          </cell>
          <cell r="F844">
            <v>2285.69</v>
          </cell>
          <cell r="G844">
            <v>289.33999999999997</v>
          </cell>
          <cell r="H844">
            <v>5855.06</v>
          </cell>
          <cell r="I844" t="str">
            <v>C</v>
          </cell>
        </row>
        <row r="845">
          <cell r="A845">
            <v>55161</v>
          </cell>
          <cell r="B845" t="str">
            <v>2.1.01.010.0779</v>
          </cell>
          <cell r="C845" t="str">
            <v xml:space="preserve">M A D L CLINICA SERVICOS </v>
          </cell>
          <cell r="D845">
            <v>2703.8</v>
          </cell>
          <cell r="E845">
            <v>2773.8</v>
          </cell>
          <cell r="F845">
            <v>3205.88</v>
          </cell>
          <cell r="G845">
            <v>432.08</v>
          </cell>
          <cell r="H845">
            <v>3135.88</v>
          </cell>
          <cell r="I845" t="str">
            <v>C</v>
          </cell>
        </row>
        <row r="846">
          <cell r="A846">
            <v>55162</v>
          </cell>
          <cell r="B846" t="str">
            <v>2.1.01.010.0780</v>
          </cell>
          <cell r="C846" t="str">
            <v xml:space="preserve">ALVES ZERAIK SERVICOS </v>
          </cell>
          <cell r="D846">
            <v>311.43</v>
          </cell>
          <cell r="E846">
            <v>119</v>
          </cell>
          <cell r="F846">
            <v>424</v>
          </cell>
          <cell r="G846">
            <v>305</v>
          </cell>
          <cell r="H846">
            <v>616.42999999999995</v>
          </cell>
          <cell r="I846" t="str">
            <v>C</v>
          </cell>
        </row>
        <row r="847">
          <cell r="A847">
            <v>55224</v>
          </cell>
          <cell r="B847" t="str">
            <v>2.1.01.010.0781</v>
          </cell>
          <cell r="C847" t="str">
            <v>AJT SERVICOS MEDICOS LTDA</v>
          </cell>
          <cell r="D847">
            <v>11246.22</v>
          </cell>
          <cell r="E847">
            <v>11246.22</v>
          </cell>
          <cell r="F847">
            <v>6805.36</v>
          </cell>
          <cell r="G847">
            <v>-4440.8599999999997</v>
          </cell>
          <cell r="H847">
            <v>6805.36</v>
          </cell>
          <cell r="I847" t="str">
            <v>C</v>
          </cell>
        </row>
        <row r="848">
          <cell r="A848">
            <v>55225</v>
          </cell>
          <cell r="B848" t="str">
            <v>2.1.01.010.0782</v>
          </cell>
          <cell r="C848" t="str">
            <v xml:space="preserve">SACRAE CURAE SERVICOS </v>
          </cell>
          <cell r="D848">
            <v>18684.36</v>
          </cell>
          <cell r="E848">
            <v>18076</v>
          </cell>
          <cell r="F848">
            <v>16308.22</v>
          </cell>
          <cell r="G848">
            <v>-1767.78</v>
          </cell>
          <cell r="H848">
            <v>16916.580000000002</v>
          </cell>
          <cell r="I848" t="str">
            <v>C</v>
          </cell>
        </row>
        <row r="849">
          <cell r="A849">
            <v>55226</v>
          </cell>
          <cell r="B849" t="str">
            <v>2.1.01.010.0783</v>
          </cell>
          <cell r="C849" t="str">
            <v>M KIMATI DIAS</v>
          </cell>
          <cell r="D849">
            <v>6288.24</v>
          </cell>
          <cell r="E849">
            <v>6288.24</v>
          </cell>
          <cell r="F849">
            <v>8912.41</v>
          </cell>
          <cell r="G849">
            <v>2624.17</v>
          </cell>
          <cell r="H849">
            <v>8912.41</v>
          </cell>
          <cell r="I849" t="str">
            <v>C</v>
          </cell>
        </row>
        <row r="850">
          <cell r="A850">
            <v>55227</v>
          </cell>
          <cell r="B850" t="str">
            <v>2.1.01.010.0784</v>
          </cell>
          <cell r="C850" t="str">
            <v>LSP SERVICOS MEDICOS LTDA</v>
          </cell>
          <cell r="D850">
            <v>297.60000000000002</v>
          </cell>
          <cell r="E850">
            <v>0</v>
          </cell>
          <cell r="F850">
            <v>0</v>
          </cell>
          <cell r="G850">
            <v>0</v>
          </cell>
          <cell r="H850">
            <v>297.60000000000002</v>
          </cell>
          <cell r="I850" t="str">
            <v>C</v>
          </cell>
        </row>
        <row r="851">
          <cell r="A851">
            <v>55233</v>
          </cell>
          <cell r="B851" t="str">
            <v>2.1.01.010.0785</v>
          </cell>
          <cell r="C851" t="str">
            <v xml:space="preserve">PREVOT BARROS SERVICOS </v>
          </cell>
          <cell r="D851">
            <v>12319.04</v>
          </cell>
          <cell r="E851">
            <v>5673.6</v>
          </cell>
          <cell r="F851">
            <v>7092</v>
          </cell>
          <cell r="G851">
            <v>1418.4</v>
          </cell>
          <cell r="H851">
            <v>13737.44</v>
          </cell>
          <cell r="I851" t="str">
            <v>C</v>
          </cell>
        </row>
        <row r="852">
          <cell r="A852">
            <v>55239</v>
          </cell>
          <cell r="B852" t="str">
            <v>2.1.01.010.0786</v>
          </cell>
          <cell r="C852" t="str">
            <v xml:space="preserve">SILVEIRA DINIZ &amp; RUNHA S/S </v>
          </cell>
          <cell r="D852">
            <v>0</v>
          </cell>
          <cell r="E852">
            <v>0</v>
          </cell>
          <cell r="F852">
            <v>945.6</v>
          </cell>
          <cell r="G852">
            <v>945.6</v>
          </cell>
          <cell r="H852">
            <v>945.6</v>
          </cell>
          <cell r="I852" t="str">
            <v>C</v>
          </cell>
        </row>
        <row r="853">
          <cell r="A853">
            <v>55240</v>
          </cell>
          <cell r="B853" t="str">
            <v>2.1.01.010.0787</v>
          </cell>
          <cell r="C853" t="str">
            <v xml:space="preserve">MR GO SERVICOS MEDICOS </v>
          </cell>
          <cell r="D853">
            <v>9488.98</v>
          </cell>
          <cell r="E853">
            <v>3572.5</v>
          </cell>
          <cell r="F853">
            <v>4623.46</v>
          </cell>
          <cell r="G853">
            <v>1050.96</v>
          </cell>
          <cell r="H853">
            <v>10539.94</v>
          </cell>
          <cell r="I853" t="str">
            <v>C</v>
          </cell>
        </row>
        <row r="854">
          <cell r="A854">
            <v>55367</v>
          </cell>
          <cell r="B854" t="str">
            <v>2.1.01.010.0788</v>
          </cell>
          <cell r="C854" t="str">
            <v xml:space="preserve">VITA BERALDI SERVICOS </v>
          </cell>
          <cell r="D854">
            <v>636.79</v>
          </cell>
          <cell r="E854">
            <v>0</v>
          </cell>
          <cell r="F854">
            <v>0</v>
          </cell>
          <cell r="G854">
            <v>0</v>
          </cell>
          <cell r="H854">
            <v>636.79</v>
          </cell>
          <cell r="I854" t="str">
            <v>C</v>
          </cell>
        </row>
        <row r="855">
          <cell r="A855">
            <v>55368</v>
          </cell>
          <cell r="B855" t="str">
            <v>2.1.01.010.0789</v>
          </cell>
          <cell r="C855" t="str">
            <v xml:space="preserve">CLINICA PARTO EM </v>
          </cell>
          <cell r="D855">
            <v>1566.18</v>
          </cell>
          <cell r="E855">
            <v>0</v>
          </cell>
          <cell r="F855">
            <v>0</v>
          </cell>
          <cell r="G855">
            <v>0</v>
          </cell>
          <cell r="H855">
            <v>1566.18</v>
          </cell>
          <cell r="I855" t="str">
            <v>C</v>
          </cell>
        </row>
        <row r="856">
          <cell r="A856">
            <v>55375</v>
          </cell>
          <cell r="B856" t="str">
            <v>2.1.01.010.0790</v>
          </cell>
          <cell r="C856" t="str">
            <v xml:space="preserve">AUDISA CONSULTORES </v>
          </cell>
          <cell r="D856">
            <v>381.4</v>
          </cell>
          <cell r="E856">
            <v>381.4</v>
          </cell>
          <cell r="F856">
            <v>381.4</v>
          </cell>
          <cell r="G856">
            <v>0</v>
          </cell>
          <cell r="H856">
            <v>381.4</v>
          </cell>
          <cell r="I856" t="str">
            <v>C</v>
          </cell>
        </row>
        <row r="857">
          <cell r="A857">
            <v>55395</v>
          </cell>
          <cell r="B857" t="str">
            <v>2.1.01.010.0791</v>
          </cell>
          <cell r="C857" t="str">
            <v xml:space="preserve">CONS PSIC BRUNA FIUZA E </v>
          </cell>
          <cell r="D857">
            <v>1619.6</v>
          </cell>
          <cell r="E857">
            <v>1150</v>
          </cell>
          <cell r="F857">
            <v>2175</v>
          </cell>
          <cell r="G857">
            <v>1025</v>
          </cell>
          <cell r="H857">
            <v>2644.6</v>
          </cell>
          <cell r="I857" t="str">
            <v>C</v>
          </cell>
        </row>
        <row r="858">
          <cell r="A858">
            <v>55396</v>
          </cell>
          <cell r="B858" t="str">
            <v>2.1.01.010.0792</v>
          </cell>
          <cell r="C858" t="str">
            <v xml:space="preserve">CAHINO SERVICOS MEDICOS </v>
          </cell>
          <cell r="D858">
            <v>3906</v>
          </cell>
          <cell r="E858">
            <v>3976</v>
          </cell>
          <cell r="F858">
            <v>5870.48</v>
          </cell>
          <cell r="G858">
            <v>1894.48</v>
          </cell>
          <cell r="H858">
            <v>5800.48</v>
          </cell>
          <cell r="I858" t="str">
            <v>C</v>
          </cell>
        </row>
        <row r="859">
          <cell r="A859">
            <v>55397</v>
          </cell>
          <cell r="B859" t="str">
            <v>2.1.01.010.0793</v>
          </cell>
          <cell r="C859" t="str">
            <v xml:space="preserve">SEMEP - SERVICOS MEDICOS </v>
          </cell>
          <cell r="D859">
            <v>4285.62</v>
          </cell>
          <cell r="E859">
            <v>4285.62</v>
          </cell>
          <cell r="F859">
            <v>4732.3</v>
          </cell>
          <cell r="G859">
            <v>446.68</v>
          </cell>
          <cell r="H859">
            <v>4732.3</v>
          </cell>
          <cell r="I859" t="str">
            <v>C</v>
          </cell>
        </row>
        <row r="860">
          <cell r="A860">
            <v>55398</v>
          </cell>
          <cell r="B860" t="str">
            <v>2.1.01.010.0794</v>
          </cell>
          <cell r="C860" t="str">
            <v xml:space="preserve">S. M. SAUDE SERVICOS </v>
          </cell>
          <cell r="D860">
            <v>1876.13</v>
          </cell>
          <cell r="E860">
            <v>1769.62</v>
          </cell>
          <cell r="F860">
            <v>1310.43</v>
          </cell>
          <cell r="G860">
            <v>-459.19</v>
          </cell>
          <cell r="H860">
            <v>1416.94</v>
          </cell>
          <cell r="I860" t="str">
            <v>C</v>
          </cell>
        </row>
        <row r="861">
          <cell r="A861">
            <v>55406</v>
          </cell>
          <cell r="B861" t="str">
            <v>2.1.01.010.0796</v>
          </cell>
          <cell r="C861" t="str">
            <v xml:space="preserve">SARAH OLIVEIRA SERVICOS </v>
          </cell>
          <cell r="D861">
            <v>2655.36</v>
          </cell>
          <cell r="E861">
            <v>2655.36</v>
          </cell>
          <cell r="F861">
            <v>0</v>
          </cell>
          <cell r="G861">
            <v>-2655.36</v>
          </cell>
          <cell r="H861">
            <v>0</v>
          </cell>
          <cell r="I861" t="str">
            <v>C</v>
          </cell>
        </row>
        <row r="862">
          <cell r="A862">
            <v>55438</v>
          </cell>
          <cell r="B862" t="str">
            <v>2.1.01.010.0799</v>
          </cell>
          <cell r="C862" t="str">
            <v xml:space="preserve">MORAIS GESTAO EM SAUDE </v>
          </cell>
          <cell r="D862">
            <v>4577.18</v>
          </cell>
          <cell r="E862">
            <v>4577.18</v>
          </cell>
          <cell r="F862">
            <v>3923.29</v>
          </cell>
          <cell r="G862">
            <v>-653.89</v>
          </cell>
          <cell r="H862">
            <v>3923.29</v>
          </cell>
          <cell r="I862" t="str">
            <v>C</v>
          </cell>
        </row>
        <row r="863">
          <cell r="A863">
            <v>55445</v>
          </cell>
          <cell r="B863" t="str">
            <v>2.1.01.010.0800</v>
          </cell>
          <cell r="C863" t="str">
            <v xml:space="preserve">AYUSSO E AYUSSO CLINICA </v>
          </cell>
          <cell r="D863">
            <v>1093.6500000000001</v>
          </cell>
          <cell r="E863">
            <v>70</v>
          </cell>
          <cell r="F863">
            <v>654.5</v>
          </cell>
          <cell r="G863">
            <v>584.5</v>
          </cell>
          <cell r="H863">
            <v>1678.15</v>
          </cell>
          <cell r="I863" t="str">
            <v>C</v>
          </cell>
        </row>
        <row r="864">
          <cell r="A864">
            <v>55453</v>
          </cell>
          <cell r="B864" t="str">
            <v>2.1.01.010.0801</v>
          </cell>
          <cell r="C864" t="str">
            <v xml:space="preserve">VITORINO PEREIRA SERVICOS </v>
          </cell>
          <cell r="D864">
            <v>1589</v>
          </cell>
          <cell r="E864">
            <v>70</v>
          </cell>
          <cell r="F864">
            <v>4348.75</v>
          </cell>
          <cell r="G864">
            <v>4278.75</v>
          </cell>
          <cell r="H864">
            <v>5867.75</v>
          </cell>
          <cell r="I864" t="str">
            <v>C</v>
          </cell>
        </row>
        <row r="865">
          <cell r="A865">
            <v>55454</v>
          </cell>
          <cell r="B865" t="str">
            <v>2.1.01.010.0802</v>
          </cell>
          <cell r="C865" t="str">
            <v xml:space="preserve">M A OLIVEIRA SILVA ASSIS &amp; </v>
          </cell>
          <cell r="D865">
            <v>26.24</v>
          </cell>
          <cell r="E865">
            <v>0</v>
          </cell>
          <cell r="F865">
            <v>140</v>
          </cell>
          <cell r="G865">
            <v>140</v>
          </cell>
          <cell r="H865">
            <v>166.24</v>
          </cell>
          <cell r="I865" t="str">
            <v>C</v>
          </cell>
        </row>
        <row r="866">
          <cell r="A866">
            <v>55455</v>
          </cell>
          <cell r="B866" t="str">
            <v>2.1.01.010.0803</v>
          </cell>
          <cell r="C866" t="str">
            <v xml:space="preserve">SOTTILE SERVICOS MEDICOS </v>
          </cell>
          <cell r="D866">
            <v>13609.37</v>
          </cell>
          <cell r="E866">
            <v>17428.669999999998</v>
          </cell>
          <cell r="F866">
            <v>4747.21</v>
          </cell>
          <cell r="G866">
            <v>-12681.46</v>
          </cell>
          <cell r="H866">
            <v>927.91</v>
          </cell>
          <cell r="I866" t="str">
            <v>C</v>
          </cell>
        </row>
        <row r="867">
          <cell r="A867">
            <v>55458</v>
          </cell>
          <cell r="B867" t="str">
            <v>2.1.01.010.0804</v>
          </cell>
          <cell r="C867" t="str">
            <v xml:space="preserve">PATRICIA MORAES DIAS </v>
          </cell>
          <cell r="D867">
            <v>6722</v>
          </cell>
          <cell r="E867">
            <v>6842</v>
          </cell>
          <cell r="F867">
            <v>9041</v>
          </cell>
          <cell r="G867">
            <v>2199</v>
          </cell>
          <cell r="H867">
            <v>8921</v>
          </cell>
          <cell r="I867" t="str">
            <v>C</v>
          </cell>
        </row>
        <row r="868">
          <cell r="A868">
            <v>55459</v>
          </cell>
          <cell r="B868" t="str">
            <v>2.1.01.010.0805</v>
          </cell>
          <cell r="C868" t="str">
            <v xml:space="preserve">ANA BEATRIZ DE OLIVEIRA </v>
          </cell>
          <cell r="D868">
            <v>1920</v>
          </cell>
          <cell r="E868">
            <v>1920</v>
          </cell>
          <cell r="F868">
            <v>0</v>
          </cell>
          <cell r="G868">
            <v>-1920</v>
          </cell>
          <cell r="H868">
            <v>0</v>
          </cell>
          <cell r="I868" t="str">
            <v>C</v>
          </cell>
        </row>
        <row r="869">
          <cell r="A869">
            <v>55843</v>
          </cell>
          <cell r="B869" t="str">
            <v>2.1.01.010.0806</v>
          </cell>
          <cell r="C869" t="str">
            <v xml:space="preserve">CHOKR CLINICA DE </v>
          </cell>
          <cell r="D869">
            <v>1722.66</v>
          </cell>
          <cell r="E869">
            <v>0</v>
          </cell>
          <cell r="F869">
            <v>0</v>
          </cell>
          <cell r="G869">
            <v>0</v>
          </cell>
          <cell r="H869">
            <v>1722.66</v>
          </cell>
          <cell r="I869" t="str">
            <v>C</v>
          </cell>
        </row>
        <row r="870">
          <cell r="A870">
            <v>55844</v>
          </cell>
          <cell r="B870" t="str">
            <v>2.1.01.010.0807</v>
          </cell>
          <cell r="C870" t="str">
            <v xml:space="preserve">COE CENTRO DE ONCOLOGIA </v>
          </cell>
          <cell r="D870">
            <v>1818.4</v>
          </cell>
          <cell r="E870">
            <v>0</v>
          </cell>
          <cell r="F870">
            <v>52.48</v>
          </cell>
          <cell r="G870">
            <v>52.48</v>
          </cell>
          <cell r="H870">
            <v>1870.88</v>
          </cell>
          <cell r="I870" t="str">
            <v>C</v>
          </cell>
        </row>
        <row r="871">
          <cell r="A871">
            <v>55845</v>
          </cell>
          <cell r="B871" t="str">
            <v>2.1.01.010.0808</v>
          </cell>
          <cell r="C871" t="str">
            <v xml:space="preserve">NOVA ERA SERV MED ATEND </v>
          </cell>
          <cell r="D871">
            <v>0</v>
          </cell>
          <cell r="E871">
            <v>0</v>
          </cell>
          <cell r="F871">
            <v>1713</v>
          </cell>
          <cell r="G871">
            <v>1713</v>
          </cell>
          <cell r="H871">
            <v>1713</v>
          </cell>
          <cell r="I871" t="str">
            <v>C</v>
          </cell>
        </row>
        <row r="872">
          <cell r="A872">
            <v>55859</v>
          </cell>
          <cell r="B872" t="str">
            <v>2.1.01.010.0811</v>
          </cell>
          <cell r="C872" t="str">
            <v>JRB CLINICA MEDICA LTDA</v>
          </cell>
          <cell r="D872">
            <v>1995.47</v>
          </cell>
          <cell r="E872">
            <v>1995.47</v>
          </cell>
          <cell r="F872">
            <v>0</v>
          </cell>
          <cell r="G872">
            <v>-1995.47</v>
          </cell>
          <cell r="H872">
            <v>0</v>
          </cell>
          <cell r="I872" t="str">
            <v>C</v>
          </cell>
        </row>
        <row r="873">
          <cell r="A873">
            <v>55860</v>
          </cell>
          <cell r="B873" t="str">
            <v>2.1.01.010.0812</v>
          </cell>
          <cell r="C873" t="str">
            <v xml:space="preserve">RAMOS &amp; VILLAS BOAS SERV </v>
          </cell>
          <cell r="D873">
            <v>0</v>
          </cell>
          <cell r="E873">
            <v>0</v>
          </cell>
          <cell r="F873">
            <v>1716</v>
          </cell>
          <cell r="G873">
            <v>1716</v>
          </cell>
          <cell r="H873">
            <v>1716</v>
          </cell>
          <cell r="I873" t="str">
            <v>C</v>
          </cell>
        </row>
        <row r="874">
          <cell r="A874">
            <v>55869</v>
          </cell>
          <cell r="B874" t="str">
            <v>2.1.01.010.0813</v>
          </cell>
          <cell r="C874" t="str">
            <v>ANDRADE DIAS SAUDE LTDA</v>
          </cell>
          <cell r="D874">
            <v>12466.08</v>
          </cell>
          <cell r="E874">
            <v>12466.08</v>
          </cell>
          <cell r="F874">
            <v>16772.88</v>
          </cell>
          <cell r="G874">
            <v>4306.8</v>
          </cell>
          <cell r="H874">
            <v>16772.88</v>
          </cell>
          <cell r="I874" t="str">
            <v>C</v>
          </cell>
        </row>
        <row r="875">
          <cell r="A875">
            <v>55873</v>
          </cell>
          <cell r="B875" t="str">
            <v>2.1.01.010.0815</v>
          </cell>
          <cell r="C875" t="str">
            <v>E A DOS SANTOS MEDICA</v>
          </cell>
          <cell r="D875">
            <v>3387.83</v>
          </cell>
          <cell r="E875">
            <v>3491.54</v>
          </cell>
          <cell r="F875">
            <v>2070.54</v>
          </cell>
          <cell r="G875">
            <v>-1421</v>
          </cell>
          <cell r="H875">
            <v>1966.83</v>
          </cell>
          <cell r="I875" t="str">
            <v>C</v>
          </cell>
        </row>
        <row r="876">
          <cell r="A876">
            <v>55875</v>
          </cell>
          <cell r="B876" t="str">
            <v>2.1.01.010.0816</v>
          </cell>
          <cell r="C876" t="str">
            <v>ANDRADE &amp; NAOUM LTDA</v>
          </cell>
          <cell r="D876">
            <v>19992.3</v>
          </cell>
          <cell r="E876">
            <v>9038.4</v>
          </cell>
          <cell r="F876">
            <v>3983.04</v>
          </cell>
          <cell r="G876">
            <v>-5055.3599999999997</v>
          </cell>
          <cell r="H876">
            <v>14936.94</v>
          </cell>
          <cell r="I876" t="str">
            <v>C</v>
          </cell>
        </row>
        <row r="877">
          <cell r="A877">
            <v>55893</v>
          </cell>
          <cell r="B877" t="str">
            <v>2.1.01.010.0819</v>
          </cell>
          <cell r="C877" t="str">
            <v xml:space="preserve">ESPACO LIBERTA PSICOLOGIA </v>
          </cell>
          <cell r="D877">
            <v>1100</v>
          </cell>
          <cell r="E877">
            <v>1247</v>
          </cell>
          <cell r="F877">
            <v>1567</v>
          </cell>
          <cell r="G877">
            <v>320</v>
          </cell>
          <cell r="H877">
            <v>1420</v>
          </cell>
          <cell r="I877" t="str">
            <v>C</v>
          </cell>
        </row>
        <row r="878">
          <cell r="A878">
            <v>55895</v>
          </cell>
          <cell r="B878" t="str">
            <v>2.1.01.010.0821</v>
          </cell>
          <cell r="C878" t="str">
            <v xml:space="preserve">GP UROLOGIA SOCIEDADE </v>
          </cell>
          <cell r="D878">
            <v>618.28</v>
          </cell>
          <cell r="E878">
            <v>0</v>
          </cell>
          <cell r="F878">
            <v>0</v>
          </cell>
          <cell r="G878">
            <v>0</v>
          </cell>
          <cell r="H878">
            <v>618.28</v>
          </cell>
          <cell r="I878" t="str">
            <v>C</v>
          </cell>
        </row>
        <row r="879">
          <cell r="A879">
            <v>55909</v>
          </cell>
          <cell r="B879" t="str">
            <v>2.1.01.010.0822</v>
          </cell>
          <cell r="C879" t="str">
            <v xml:space="preserve">A. A. S. OLIVEIRA CLINICA </v>
          </cell>
          <cell r="D879">
            <v>1117.3</v>
          </cell>
          <cell r="E879">
            <v>296.8</v>
          </cell>
          <cell r="F879">
            <v>968.16</v>
          </cell>
          <cell r="G879">
            <v>671.36</v>
          </cell>
          <cell r="H879">
            <v>1788.66</v>
          </cell>
          <cell r="I879" t="str">
            <v>C</v>
          </cell>
        </row>
        <row r="880">
          <cell r="A880">
            <v>55910</v>
          </cell>
          <cell r="B880" t="str">
            <v>2.1.01.010.0823</v>
          </cell>
          <cell r="C880" t="str">
            <v xml:space="preserve">FLN PRESTACAO DE </v>
          </cell>
          <cell r="D880">
            <v>949.83</v>
          </cell>
          <cell r="E880">
            <v>11890.39</v>
          </cell>
          <cell r="F880">
            <v>12898.47</v>
          </cell>
          <cell r="G880">
            <v>1008.08</v>
          </cell>
          <cell r="H880">
            <v>1957.91</v>
          </cell>
          <cell r="I880" t="str">
            <v>C</v>
          </cell>
        </row>
        <row r="881">
          <cell r="A881">
            <v>55915</v>
          </cell>
          <cell r="B881" t="str">
            <v>2.1.01.010.0824</v>
          </cell>
          <cell r="C881" t="str">
            <v xml:space="preserve">DC E AL SERVICOS MEDICOS </v>
          </cell>
          <cell r="D881">
            <v>7880</v>
          </cell>
          <cell r="E881">
            <v>7880</v>
          </cell>
          <cell r="F881">
            <v>7880</v>
          </cell>
          <cell r="G881">
            <v>0</v>
          </cell>
          <cell r="H881">
            <v>7880</v>
          </cell>
          <cell r="I881" t="str">
            <v>C</v>
          </cell>
        </row>
        <row r="882">
          <cell r="A882">
            <v>55918</v>
          </cell>
          <cell r="B882" t="str">
            <v>2.1.01.010.0825</v>
          </cell>
          <cell r="C882" t="str">
            <v xml:space="preserve">FP BARBOSA SERVICOS </v>
          </cell>
          <cell r="D882">
            <v>1620</v>
          </cell>
          <cell r="E882">
            <v>1620</v>
          </cell>
          <cell r="F882">
            <v>1500</v>
          </cell>
          <cell r="G882">
            <v>-120</v>
          </cell>
          <cell r="H882">
            <v>1500</v>
          </cell>
          <cell r="I882" t="str">
            <v>C</v>
          </cell>
        </row>
        <row r="883">
          <cell r="A883">
            <v>55940</v>
          </cell>
          <cell r="B883" t="str">
            <v>2.1.01.010.0826</v>
          </cell>
          <cell r="C883" t="str">
            <v xml:space="preserve">AUDIO CLINICA </v>
          </cell>
          <cell r="D883">
            <v>9046.44</v>
          </cell>
          <cell r="E883">
            <v>0</v>
          </cell>
          <cell r="F883">
            <v>16534.77</v>
          </cell>
          <cell r="G883">
            <v>16534.77</v>
          </cell>
          <cell r="H883">
            <v>25581.21</v>
          </cell>
          <cell r="I883" t="str">
            <v>C</v>
          </cell>
        </row>
        <row r="884">
          <cell r="A884">
            <v>55941</v>
          </cell>
          <cell r="B884" t="str">
            <v>2.1.01.010.0827</v>
          </cell>
          <cell r="C884" t="str">
            <v xml:space="preserve">LAGES CESAR &amp; OLIVEIRA </v>
          </cell>
          <cell r="D884">
            <v>3558.13</v>
          </cell>
          <cell r="E884">
            <v>3558.13</v>
          </cell>
          <cell r="F884">
            <v>4161.13</v>
          </cell>
          <cell r="G884">
            <v>603</v>
          </cell>
          <cell r="H884">
            <v>4161.13</v>
          </cell>
          <cell r="I884" t="str">
            <v>C</v>
          </cell>
        </row>
        <row r="885">
          <cell r="A885">
            <v>55942</v>
          </cell>
          <cell r="B885" t="str">
            <v>2.1.01.010.0828</v>
          </cell>
          <cell r="C885" t="str">
            <v>J L M CLINICA MEDICA LTDA</v>
          </cell>
          <cell r="D885">
            <v>614.16999999999996</v>
          </cell>
          <cell r="E885">
            <v>0</v>
          </cell>
          <cell r="F885">
            <v>0</v>
          </cell>
          <cell r="G885">
            <v>0</v>
          </cell>
          <cell r="H885">
            <v>614.16999999999996</v>
          </cell>
          <cell r="I885" t="str">
            <v>C</v>
          </cell>
        </row>
        <row r="886">
          <cell r="A886">
            <v>55961</v>
          </cell>
          <cell r="B886" t="str">
            <v>2.1.01.010.0830</v>
          </cell>
          <cell r="C886" t="str">
            <v xml:space="preserve">DALMED GESTAO SERVICOS </v>
          </cell>
          <cell r="D886">
            <v>7000</v>
          </cell>
          <cell r="E886">
            <v>7000</v>
          </cell>
          <cell r="F886">
            <v>7000</v>
          </cell>
          <cell r="G886">
            <v>0</v>
          </cell>
          <cell r="H886">
            <v>7000</v>
          </cell>
          <cell r="I886" t="str">
            <v>C</v>
          </cell>
        </row>
        <row r="887">
          <cell r="A887">
            <v>55962</v>
          </cell>
          <cell r="B887" t="str">
            <v>2.1.01.010.0831</v>
          </cell>
          <cell r="C887" t="str">
            <v xml:space="preserve">LOPES LOUZADA SERVICOS </v>
          </cell>
          <cell r="D887">
            <v>4336.95</v>
          </cell>
          <cell r="E887">
            <v>4336.95</v>
          </cell>
          <cell r="F887">
            <v>3996.7</v>
          </cell>
          <cell r="G887">
            <v>-340.25</v>
          </cell>
          <cell r="H887">
            <v>3996.7</v>
          </cell>
          <cell r="I887" t="str">
            <v>C</v>
          </cell>
        </row>
        <row r="888">
          <cell r="A888">
            <v>55963</v>
          </cell>
          <cell r="B888" t="str">
            <v>2.1.01.010.0832</v>
          </cell>
          <cell r="C888" t="str">
            <v xml:space="preserve">ROCHA E MOURAO MEDICOS </v>
          </cell>
          <cell r="D888">
            <v>119</v>
          </cell>
          <cell r="E888">
            <v>0</v>
          </cell>
          <cell r="F888">
            <v>1054.93</v>
          </cell>
          <cell r="G888">
            <v>1054.93</v>
          </cell>
          <cell r="H888">
            <v>1173.93</v>
          </cell>
          <cell r="I888" t="str">
            <v>C</v>
          </cell>
        </row>
        <row r="889">
          <cell r="A889">
            <v>55966</v>
          </cell>
          <cell r="B889" t="str">
            <v>2.1.01.010.0834</v>
          </cell>
          <cell r="C889" t="str">
            <v xml:space="preserve">J C SERVICOS MEDICOS SS </v>
          </cell>
          <cell r="D889">
            <v>1168.2</v>
          </cell>
          <cell r="E889">
            <v>0</v>
          </cell>
          <cell r="F889">
            <v>0</v>
          </cell>
          <cell r="G889">
            <v>0</v>
          </cell>
          <cell r="H889">
            <v>1168.2</v>
          </cell>
          <cell r="I889" t="str">
            <v>C</v>
          </cell>
        </row>
        <row r="890">
          <cell r="A890">
            <v>55972</v>
          </cell>
          <cell r="B890" t="str">
            <v>2.1.01.010.0835</v>
          </cell>
          <cell r="C890" t="str">
            <v>J RAI CLINICA MEDICA LTDA</v>
          </cell>
          <cell r="D890">
            <v>3650</v>
          </cell>
          <cell r="E890">
            <v>1850</v>
          </cell>
          <cell r="F890">
            <v>2842</v>
          </cell>
          <cell r="G890">
            <v>992</v>
          </cell>
          <cell r="H890">
            <v>4642</v>
          </cell>
          <cell r="I890" t="str">
            <v>C</v>
          </cell>
        </row>
        <row r="891">
          <cell r="A891">
            <v>55988</v>
          </cell>
          <cell r="B891" t="str">
            <v>2.1.01.010.0838</v>
          </cell>
          <cell r="C891" t="str">
            <v xml:space="preserve">FERRARI MARINHO MEDICOS </v>
          </cell>
          <cell r="D891">
            <v>2559.25</v>
          </cell>
          <cell r="E891">
            <v>0</v>
          </cell>
          <cell r="F891">
            <v>0</v>
          </cell>
          <cell r="G891">
            <v>0</v>
          </cell>
          <cell r="H891">
            <v>2559.25</v>
          </cell>
          <cell r="I891" t="str">
            <v>C</v>
          </cell>
        </row>
        <row r="892">
          <cell r="A892">
            <v>55989</v>
          </cell>
          <cell r="B892" t="str">
            <v>2.1.01.010.0839</v>
          </cell>
          <cell r="C892" t="str">
            <v xml:space="preserve">DMG SERVICOS MEDICOS </v>
          </cell>
          <cell r="D892">
            <v>8180.73</v>
          </cell>
          <cell r="E892">
            <v>0</v>
          </cell>
          <cell r="F892">
            <v>2132.81</v>
          </cell>
          <cell r="G892">
            <v>2132.81</v>
          </cell>
          <cell r="H892">
            <v>10313.540000000001</v>
          </cell>
          <cell r="I892" t="str">
            <v>C</v>
          </cell>
        </row>
        <row r="893">
          <cell r="A893">
            <v>55990</v>
          </cell>
          <cell r="B893" t="str">
            <v>2.1.01.010.0840</v>
          </cell>
          <cell r="C893" t="str">
            <v xml:space="preserve">CLINICA PAULISTA </v>
          </cell>
          <cell r="D893">
            <v>1038.6099999999999</v>
          </cell>
          <cell r="E893">
            <v>0</v>
          </cell>
          <cell r="F893">
            <v>0</v>
          </cell>
          <cell r="G893">
            <v>0</v>
          </cell>
          <cell r="H893">
            <v>1038.6099999999999</v>
          </cell>
          <cell r="I893" t="str">
            <v>C</v>
          </cell>
        </row>
        <row r="894">
          <cell r="A894">
            <v>55991</v>
          </cell>
          <cell r="B894" t="str">
            <v>2.1.01.010.0841</v>
          </cell>
          <cell r="C894" t="str">
            <v xml:space="preserve">CLENDI CLINICA DE </v>
          </cell>
          <cell r="D894">
            <v>0</v>
          </cell>
          <cell r="E894">
            <v>2850</v>
          </cell>
          <cell r="F894">
            <v>8890</v>
          </cell>
          <cell r="G894">
            <v>6040</v>
          </cell>
          <cell r="H894">
            <v>6040</v>
          </cell>
          <cell r="I894" t="str">
            <v>C</v>
          </cell>
        </row>
        <row r="895">
          <cell r="A895">
            <v>56004</v>
          </cell>
          <cell r="B895" t="str">
            <v>2.1.01.010.0843</v>
          </cell>
          <cell r="C895" t="str">
            <v xml:space="preserve">ECHOQUALIS CONSULTORIA </v>
          </cell>
          <cell r="D895">
            <v>41842.800000000003</v>
          </cell>
          <cell r="E895">
            <v>41842.800000000003</v>
          </cell>
          <cell r="F895">
            <v>41842.800000000003</v>
          </cell>
          <cell r="G895">
            <v>0</v>
          </cell>
          <cell r="H895">
            <v>41842.800000000003</v>
          </cell>
          <cell r="I895" t="str">
            <v>C</v>
          </cell>
        </row>
        <row r="896">
          <cell r="A896">
            <v>56008</v>
          </cell>
          <cell r="B896" t="str">
            <v>2.1.01.010.0844</v>
          </cell>
          <cell r="C896" t="str">
            <v xml:space="preserve">ULTRACARE MEDICOS </v>
          </cell>
          <cell r="D896">
            <v>0</v>
          </cell>
          <cell r="E896">
            <v>0</v>
          </cell>
          <cell r="F896">
            <v>222.52</v>
          </cell>
          <cell r="G896">
            <v>222.52</v>
          </cell>
          <cell r="H896">
            <v>222.52</v>
          </cell>
          <cell r="I896" t="str">
            <v>C</v>
          </cell>
        </row>
        <row r="897">
          <cell r="A897">
            <v>56012</v>
          </cell>
          <cell r="B897" t="str">
            <v>2.1.01.010.0846</v>
          </cell>
          <cell r="C897" t="str">
            <v>LFSA MEDICINA LTDA</v>
          </cell>
          <cell r="D897">
            <v>1620</v>
          </cell>
          <cell r="E897">
            <v>1620</v>
          </cell>
          <cell r="F897">
            <v>0</v>
          </cell>
          <cell r="G897">
            <v>-1620</v>
          </cell>
          <cell r="H897">
            <v>0</v>
          </cell>
          <cell r="I897" t="str">
            <v>C</v>
          </cell>
        </row>
        <row r="898">
          <cell r="A898">
            <v>56011</v>
          </cell>
          <cell r="B898" t="str">
            <v>2.1.01.010.0848</v>
          </cell>
          <cell r="C898" t="str">
            <v xml:space="preserve">M MAIKA SERVICOS MEDICOS </v>
          </cell>
          <cell r="D898">
            <v>4320</v>
          </cell>
          <cell r="E898">
            <v>4320</v>
          </cell>
          <cell r="F898">
            <v>5760</v>
          </cell>
          <cell r="G898">
            <v>1440</v>
          </cell>
          <cell r="H898">
            <v>5760</v>
          </cell>
          <cell r="I898" t="str">
            <v>C</v>
          </cell>
        </row>
        <row r="899">
          <cell r="A899">
            <v>56010</v>
          </cell>
          <cell r="B899" t="str">
            <v>2.1.01.010.0849</v>
          </cell>
          <cell r="C899" t="str">
            <v xml:space="preserve">VIERA SOTO SERVICOS </v>
          </cell>
          <cell r="D899">
            <v>2880</v>
          </cell>
          <cell r="E899">
            <v>2880</v>
          </cell>
          <cell r="F899">
            <v>3600</v>
          </cell>
          <cell r="G899">
            <v>720</v>
          </cell>
          <cell r="H899">
            <v>3600</v>
          </cell>
          <cell r="I899" t="str">
            <v>C</v>
          </cell>
        </row>
        <row r="900">
          <cell r="A900">
            <v>55286</v>
          </cell>
          <cell r="B900" t="str">
            <v>2.1.01.010.0850</v>
          </cell>
          <cell r="C900" t="str">
            <v xml:space="preserve">CLINICA DE UROGINECOLOGIA </v>
          </cell>
          <cell r="D900">
            <v>0</v>
          </cell>
          <cell r="E900">
            <v>0</v>
          </cell>
          <cell r="F900">
            <v>358.4</v>
          </cell>
          <cell r="G900">
            <v>358.4</v>
          </cell>
          <cell r="H900">
            <v>358.4</v>
          </cell>
          <cell r="I900" t="str">
            <v>C</v>
          </cell>
        </row>
        <row r="901">
          <cell r="A901">
            <v>55294</v>
          </cell>
          <cell r="B901" t="str">
            <v>2.1.01.010.0851</v>
          </cell>
          <cell r="C901" t="str">
            <v xml:space="preserve">GOLDWASSER DESENV E </v>
          </cell>
          <cell r="D901">
            <v>0</v>
          </cell>
          <cell r="E901">
            <v>0</v>
          </cell>
          <cell r="F901">
            <v>459.2</v>
          </cell>
          <cell r="G901">
            <v>459.2</v>
          </cell>
          <cell r="H901">
            <v>459.2</v>
          </cell>
          <cell r="I901" t="str">
            <v>C</v>
          </cell>
        </row>
        <row r="902">
          <cell r="A902">
            <v>55295</v>
          </cell>
          <cell r="B902" t="str">
            <v>2.1.01.010.0852</v>
          </cell>
          <cell r="C902" t="str">
            <v>MAIOLINI MEDICINA LTDA</v>
          </cell>
          <cell r="D902">
            <v>0</v>
          </cell>
          <cell r="E902">
            <v>0</v>
          </cell>
          <cell r="F902">
            <v>110.4</v>
          </cell>
          <cell r="G902">
            <v>110.4</v>
          </cell>
          <cell r="H902">
            <v>110.4</v>
          </cell>
          <cell r="I902" t="str">
            <v>C</v>
          </cell>
        </row>
        <row r="903">
          <cell r="A903">
            <v>55296</v>
          </cell>
          <cell r="B903" t="str">
            <v>2.1.01.010.0853</v>
          </cell>
          <cell r="C903" t="str">
            <v>NEUROIMAGEM S/S</v>
          </cell>
          <cell r="D903">
            <v>0</v>
          </cell>
          <cell r="E903">
            <v>0</v>
          </cell>
          <cell r="F903">
            <v>1518</v>
          </cell>
          <cell r="G903">
            <v>1518</v>
          </cell>
          <cell r="H903">
            <v>1518</v>
          </cell>
          <cell r="I903" t="str">
            <v>C</v>
          </cell>
        </row>
        <row r="904">
          <cell r="A904">
            <v>55318</v>
          </cell>
          <cell r="B904" t="str">
            <v>2.1.01.010.0854</v>
          </cell>
          <cell r="C904" t="str">
            <v xml:space="preserve">FBERETTA ATENDIMENTOS </v>
          </cell>
          <cell r="D904">
            <v>0</v>
          </cell>
          <cell r="E904">
            <v>0</v>
          </cell>
          <cell r="F904">
            <v>11147</v>
          </cell>
          <cell r="G904">
            <v>11147</v>
          </cell>
          <cell r="H904">
            <v>11147</v>
          </cell>
          <cell r="I904" t="str">
            <v>C</v>
          </cell>
        </row>
        <row r="905">
          <cell r="A905">
            <v>55319</v>
          </cell>
          <cell r="B905" t="str">
            <v>2.1.01.010.8555</v>
          </cell>
          <cell r="C905" t="str">
            <v xml:space="preserve">NEVES &amp; GUERRA CLINICA DE </v>
          </cell>
          <cell r="D905">
            <v>0</v>
          </cell>
          <cell r="E905">
            <v>0</v>
          </cell>
          <cell r="F905">
            <v>119</v>
          </cell>
          <cell r="G905">
            <v>119</v>
          </cell>
          <cell r="H905">
            <v>119</v>
          </cell>
          <cell r="I905" t="str">
            <v>C</v>
          </cell>
        </row>
        <row r="906">
          <cell r="A906">
            <v>55320</v>
          </cell>
          <cell r="B906" t="str">
            <v>2.1.01.010.8556</v>
          </cell>
          <cell r="C906" t="str">
            <v>NOGUEIRA MED LTDA</v>
          </cell>
          <cell r="D906">
            <v>0</v>
          </cell>
          <cell r="E906">
            <v>0</v>
          </cell>
          <cell r="F906">
            <v>773.5</v>
          </cell>
          <cell r="G906">
            <v>773.5</v>
          </cell>
          <cell r="H906">
            <v>773.5</v>
          </cell>
          <cell r="I906" t="str">
            <v>C</v>
          </cell>
        </row>
        <row r="907">
          <cell r="A907">
            <v>55321</v>
          </cell>
          <cell r="B907" t="str">
            <v>2.1.01.010.8557</v>
          </cell>
          <cell r="C907" t="str">
            <v xml:space="preserve">CLINICA MEDICA MACEDO &amp; </v>
          </cell>
          <cell r="D907">
            <v>0</v>
          </cell>
          <cell r="E907">
            <v>0</v>
          </cell>
          <cell r="F907">
            <v>3864</v>
          </cell>
          <cell r="G907">
            <v>3864</v>
          </cell>
          <cell r="H907">
            <v>3864</v>
          </cell>
          <cell r="I907" t="str">
            <v>C</v>
          </cell>
        </row>
        <row r="908">
          <cell r="A908">
            <v>55322</v>
          </cell>
          <cell r="B908" t="str">
            <v>2.1.01.010.8558</v>
          </cell>
          <cell r="C908" t="str">
            <v xml:space="preserve">FABRIS, LONGO E </v>
          </cell>
          <cell r="D908">
            <v>0</v>
          </cell>
          <cell r="E908">
            <v>0</v>
          </cell>
          <cell r="F908">
            <v>416.5</v>
          </cell>
          <cell r="G908">
            <v>416.5</v>
          </cell>
          <cell r="H908">
            <v>416.5</v>
          </cell>
          <cell r="I908" t="str">
            <v>C</v>
          </cell>
        </row>
        <row r="909">
          <cell r="A909">
            <v>55323</v>
          </cell>
          <cell r="B909" t="str">
            <v>2.1.01.010.8559</v>
          </cell>
          <cell r="C909" t="str">
            <v xml:space="preserve">BRAGA E SANTOS ATIVIDADE </v>
          </cell>
          <cell r="D909">
            <v>0</v>
          </cell>
          <cell r="E909">
            <v>0</v>
          </cell>
          <cell r="F909">
            <v>2730</v>
          </cell>
          <cell r="G909">
            <v>2730</v>
          </cell>
          <cell r="H909">
            <v>2730</v>
          </cell>
          <cell r="I909" t="str">
            <v>C</v>
          </cell>
        </row>
        <row r="910">
          <cell r="A910">
            <v>55324</v>
          </cell>
          <cell r="B910" t="str">
            <v>2.1.01.010.8560</v>
          </cell>
          <cell r="C910" t="str">
            <v xml:space="preserve">MARIA BEATRIZ PORTO </v>
          </cell>
          <cell r="D910">
            <v>0</v>
          </cell>
          <cell r="E910">
            <v>0</v>
          </cell>
          <cell r="F910">
            <v>1421</v>
          </cell>
          <cell r="G910">
            <v>1421</v>
          </cell>
          <cell r="H910">
            <v>1421</v>
          </cell>
          <cell r="I910" t="str">
            <v>C</v>
          </cell>
        </row>
        <row r="911">
          <cell r="A911">
            <v>55325</v>
          </cell>
          <cell r="B911" t="str">
            <v>2.1.01.010.8561</v>
          </cell>
          <cell r="C911" t="str">
            <v xml:space="preserve">ARMOND BITTENCOURT </v>
          </cell>
          <cell r="D911">
            <v>0</v>
          </cell>
          <cell r="E911">
            <v>0</v>
          </cell>
          <cell r="F911">
            <v>1568</v>
          </cell>
          <cell r="G911">
            <v>1568</v>
          </cell>
          <cell r="H911">
            <v>1568</v>
          </cell>
          <cell r="I911" t="str">
            <v>C</v>
          </cell>
        </row>
        <row r="912">
          <cell r="A912">
            <v>55326</v>
          </cell>
          <cell r="B912" t="str">
            <v>2.1.01.010.8562</v>
          </cell>
          <cell r="C912" t="str">
            <v>TTBC SAUDE LTDA</v>
          </cell>
          <cell r="D912">
            <v>0</v>
          </cell>
          <cell r="E912">
            <v>0</v>
          </cell>
          <cell r="F912">
            <v>3983.04</v>
          </cell>
          <cell r="G912">
            <v>3983.04</v>
          </cell>
          <cell r="H912">
            <v>3983.04</v>
          </cell>
          <cell r="I912" t="str">
            <v>C</v>
          </cell>
        </row>
        <row r="913">
          <cell r="A913">
            <v>55329</v>
          </cell>
          <cell r="B913" t="str">
            <v>2.1.01.010.8563</v>
          </cell>
          <cell r="C913" t="str">
            <v xml:space="preserve">ARIKAWA CLINICA DE </v>
          </cell>
          <cell r="D913">
            <v>0</v>
          </cell>
          <cell r="E913">
            <v>0</v>
          </cell>
          <cell r="F913">
            <v>1168.2</v>
          </cell>
          <cell r="G913">
            <v>1168.2</v>
          </cell>
          <cell r="H913">
            <v>1168.2</v>
          </cell>
          <cell r="I913" t="str">
            <v>C</v>
          </cell>
        </row>
        <row r="914">
          <cell r="A914">
            <v>55330</v>
          </cell>
          <cell r="B914" t="str">
            <v>2.1.01.010.8564</v>
          </cell>
          <cell r="C914" t="str">
            <v xml:space="preserve">MULTSAUDE SERVICOS </v>
          </cell>
          <cell r="D914">
            <v>0</v>
          </cell>
          <cell r="E914">
            <v>0</v>
          </cell>
          <cell r="F914">
            <v>2655.36</v>
          </cell>
          <cell r="G914">
            <v>2655.36</v>
          </cell>
          <cell r="H914">
            <v>2655.36</v>
          </cell>
          <cell r="I914" t="str">
            <v>C</v>
          </cell>
        </row>
        <row r="915">
          <cell r="A915">
            <v>55331</v>
          </cell>
          <cell r="B915" t="str">
            <v>2.1.01.010.8565</v>
          </cell>
          <cell r="C915" t="str">
            <v xml:space="preserve">FELSKE SERVICOS MEDICOS </v>
          </cell>
          <cell r="D915">
            <v>0</v>
          </cell>
          <cell r="E915">
            <v>0</v>
          </cell>
          <cell r="F915">
            <v>4500</v>
          </cell>
          <cell r="G915">
            <v>4500</v>
          </cell>
          <cell r="H915">
            <v>4500</v>
          </cell>
          <cell r="I915" t="str">
            <v>C</v>
          </cell>
        </row>
        <row r="916">
          <cell r="A916">
            <v>55332</v>
          </cell>
          <cell r="B916" t="str">
            <v>2.1.01.010.8566</v>
          </cell>
          <cell r="C916" t="str">
            <v xml:space="preserve">MAYARA ANDRINE DO </v>
          </cell>
          <cell r="D916">
            <v>0</v>
          </cell>
          <cell r="E916">
            <v>0</v>
          </cell>
          <cell r="F916">
            <v>1620</v>
          </cell>
          <cell r="G916">
            <v>1620</v>
          </cell>
          <cell r="H916">
            <v>1620</v>
          </cell>
          <cell r="I916" t="str">
            <v>C</v>
          </cell>
        </row>
        <row r="917">
          <cell r="A917">
            <v>55335</v>
          </cell>
          <cell r="B917" t="str">
            <v>2.1.01.010.8567</v>
          </cell>
          <cell r="C917" t="str">
            <v xml:space="preserve">MARA ROSA RIBEIRO DO </v>
          </cell>
          <cell r="D917">
            <v>0</v>
          </cell>
          <cell r="E917">
            <v>0</v>
          </cell>
          <cell r="F917">
            <v>2431</v>
          </cell>
          <cell r="G917">
            <v>2431</v>
          </cell>
          <cell r="H917">
            <v>2431</v>
          </cell>
          <cell r="I917" t="str">
            <v>C</v>
          </cell>
        </row>
        <row r="918">
          <cell r="A918">
            <v>37182</v>
          </cell>
          <cell r="B918" t="str">
            <v>2.1.01.020</v>
          </cell>
          <cell r="C918" t="str">
            <v xml:space="preserve">REPASSE HONORARIOS </v>
          </cell>
          <cell r="D918">
            <v>155812.29999999999</v>
          </cell>
          <cell r="E918">
            <v>108736.88</v>
          </cell>
          <cell r="F918">
            <v>93113.99</v>
          </cell>
          <cell r="G918">
            <v>-15622.89</v>
          </cell>
          <cell r="H918">
            <v>140189.41</v>
          </cell>
          <cell r="I918" t="str">
            <v>C</v>
          </cell>
        </row>
        <row r="919">
          <cell r="A919">
            <v>52447</v>
          </cell>
          <cell r="B919" t="str">
            <v>2.1.01.020.0026</v>
          </cell>
          <cell r="C919" t="str">
            <v>ANDREY VAN ASS MALHEIROS</v>
          </cell>
          <cell r="D919">
            <v>56.22</v>
          </cell>
          <cell r="E919">
            <v>0</v>
          </cell>
          <cell r="F919">
            <v>0</v>
          </cell>
          <cell r="G919">
            <v>0</v>
          </cell>
          <cell r="H919">
            <v>56.22</v>
          </cell>
          <cell r="I919" t="str">
            <v>C</v>
          </cell>
        </row>
        <row r="920">
          <cell r="A920">
            <v>34128</v>
          </cell>
          <cell r="B920" t="str">
            <v>2.1.01.020.0036</v>
          </cell>
          <cell r="C920" t="str">
            <v>AVENIR ISAAC NETO</v>
          </cell>
          <cell r="D920">
            <v>618.79999999999995</v>
          </cell>
          <cell r="E920">
            <v>1452.8</v>
          </cell>
          <cell r="F920">
            <v>2259.36</v>
          </cell>
          <cell r="G920">
            <v>806.56</v>
          </cell>
          <cell r="H920">
            <v>1425.36</v>
          </cell>
          <cell r="I920" t="str">
            <v>C</v>
          </cell>
        </row>
        <row r="921">
          <cell r="A921">
            <v>51369</v>
          </cell>
          <cell r="B921" t="str">
            <v>2.1.01.020.0038</v>
          </cell>
          <cell r="C921" t="str">
            <v xml:space="preserve">BARBARA HELOISA </v>
          </cell>
          <cell r="D921">
            <v>467.74</v>
          </cell>
          <cell r="E921">
            <v>0</v>
          </cell>
          <cell r="F921">
            <v>0</v>
          </cell>
          <cell r="G921">
            <v>0</v>
          </cell>
          <cell r="H921">
            <v>467.74</v>
          </cell>
          <cell r="I921" t="str">
            <v>C</v>
          </cell>
        </row>
        <row r="922">
          <cell r="A922">
            <v>51115</v>
          </cell>
          <cell r="B922" t="str">
            <v>2.1.01.020.0056</v>
          </cell>
          <cell r="C922" t="str">
            <v>CESAR AUGUSTO MEDEIROS</v>
          </cell>
          <cell r="D922">
            <v>4396.79</v>
          </cell>
          <cell r="E922">
            <v>4537.13</v>
          </cell>
          <cell r="F922">
            <v>5822.9</v>
          </cell>
          <cell r="G922">
            <v>1285.77</v>
          </cell>
          <cell r="H922">
            <v>5682.56</v>
          </cell>
          <cell r="I922" t="str">
            <v>C</v>
          </cell>
        </row>
        <row r="923">
          <cell r="A923">
            <v>52960</v>
          </cell>
          <cell r="B923" t="str">
            <v>2.1.01.020.0059</v>
          </cell>
          <cell r="C923" t="str">
            <v>CICERO CARDOSO DE SOUZA</v>
          </cell>
          <cell r="D923">
            <v>0</v>
          </cell>
          <cell r="E923">
            <v>258.57</v>
          </cell>
          <cell r="F923">
            <v>2795.95</v>
          </cell>
          <cell r="G923">
            <v>2537.38</v>
          </cell>
          <cell r="H923">
            <v>2537.38</v>
          </cell>
          <cell r="I923" t="str">
            <v>C</v>
          </cell>
        </row>
        <row r="924">
          <cell r="A924">
            <v>52062</v>
          </cell>
          <cell r="B924" t="str">
            <v>2.1.01.020.0098</v>
          </cell>
          <cell r="C924" t="str">
            <v>FABIO PEROZINI</v>
          </cell>
          <cell r="D924">
            <v>208.61</v>
          </cell>
          <cell r="E924">
            <v>0</v>
          </cell>
          <cell r="F924">
            <v>0</v>
          </cell>
          <cell r="G924">
            <v>0</v>
          </cell>
          <cell r="H924">
            <v>208.61</v>
          </cell>
          <cell r="I924" t="str">
            <v>C</v>
          </cell>
        </row>
        <row r="925">
          <cell r="A925">
            <v>38272</v>
          </cell>
          <cell r="B925" t="str">
            <v>2.1.01.020.0100</v>
          </cell>
          <cell r="C925" t="str">
            <v xml:space="preserve">FABIOLA SAWAGUCHI FAIG </v>
          </cell>
          <cell r="D925">
            <v>25</v>
          </cell>
          <cell r="E925">
            <v>1306.5</v>
          </cell>
          <cell r="F925">
            <v>1306.5</v>
          </cell>
          <cell r="G925">
            <v>0</v>
          </cell>
          <cell r="H925">
            <v>25</v>
          </cell>
          <cell r="I925" t="str">
            <v>C</v>
          </cell>
        </row>
        <row r="926">
          <cell r="A926">
            <v>51704</v>
          </cell>
          <cell r="B926" t="str">
            <v>2.1.01.020.0106</v>
          </cell>
          <cell r="C926" t="str">
            <v>FERNANDO COSTA FONSECA</v>
          </cell>
          <cell r="D926">
            <v>0</v>
          </cell>
          <cell r="E926">
            <v>20.99</v>
          </cell>
          <cell r="F926">
            <v>20.99</v>
          </cell>
          <cell r="G926">
            <v>0</v>
          </cell>
          <cell r="H926">
            <v>0</v>
          </cell>
          <cell r="I926" t="str">
            <v>C</v>
          </cell>
        </row>
        <row r="927">
          <cell r="A927">
            <v>37242</v>
          </cell>
          <cell r="B927" t="str">
            <v>2.1.01.020.0107</v>
          </cell>
          <cell r="C927" t="str">
            <v>FERNANDO DE OLIVEIRA</v>
          </cell>
          <cell r="D927">
            <v>234</v>
          </cell>
          <cell r="E927">
            <v>0</v>
          </cell>
          <cell r="F927">
            <v>0</v>
          </cell>
          <cell r="G927">
            <v>0</v>
          </cell>
          <cell r="H927">
            <v>234</v>
          </cell>
          <cell r="I927" t="str">
            <v>C</v>
          </cell>
        </row>
        <row r="928">
          <cell r="A928">
            <v>51361</v>
          </cell>
          <cell r="B928" t="str">
            <v>2.1.01.020.0116</v>
          </cell>
          <cell r="C928" t="str">
            <v>GABRIEL SIQUEIRA SANTOS</v>
          </cell>
          <cell r="D928">
            <v>4534.24</v>
          </cell>
          <cell r="E928">
            <v>0</v>
          </cell>
          <cell r="F928">
            <v>0</v>
          </cell>
          <cell r="G928">
            <v>0</v>
          </cell>
          <cell r="H928">
            <v>4534.24</v>
          </cell>
          <cell r="I928" t="str">
            <v>C</v>
          </cell>
        </row>
        <row r="929">
          <cell r="A929">
            <v>34216</v>
          </cell>
          <cell r="B929" t="str">
            <v>2.1.01.020.0118</v>
          </cell>
          <cell r="C929" t="str">
            <v>GILBERTO BENEVIDES</v>
          </cell>
          <cell r="D929">
            <v>2316.86</v>
          </cell>
          <cell r="E929">
            <v>2316.86</v>
          </cell>
          <cell r="F929">
            <v>621.71</v>
          </cell>
          <cell r="G929">
            <v>-1695.15</v>
          </cell>
          <cell r="H929">
            <v>621.71</v>
          </cell>
          <cell r="I929" t="str">
            <v>C</v>
          </cell>
        </row>
        <row r="930">
          <cell r="A930">
            <v>52150</v>
          </cell>
          <cell r="B930" t="str">
            <v>2.1.01.020.0121</v>
          </cell>
          <cell r="C930" t="str">
            <v xml:space="preserve">GLAUCIA HELENA DE </v>
          </cell>
          <cell r="D930">
            <v>23.04</v>
          </cell>
          <cell r="E930">
            <v>0</v>
          </cell>
          <cell r="F930">
            <v>0</v>
          </cell>
          <cell r="G930">
            <v>0</v>
          </cell>
          <cell r="H930">
            <v>23.04</v>
          </cell>
          <cell r="I930" t="str">
            <v>C</v>
          </cell>
        </row>
        <row r="931">
          <cell r="A931">
            <v>38002</v>
          </cell>
          <cell r="B931" t="str">
            <v>2.1.01.020.0132</v>
          </cell>
          <cell r="C931" t="str">
            <v>IRIO CAVALIERI</v>
          </cell>
          <cell r="D931">
            <v>68.88</v>
          </cell>
          <cell r="E931">
            <v>0</v>
          </cell>
          <cell r="F931">
            <v>0</v>
          </cell>
          <cell r="G931">
            <v>0</v>
          </cell>
          <cell r="H931">
            <v>68.88</v>
          </cell>
          <cell r="I931" t="str">
            <v>C</v>
          </cell>
        </row>
        <row r="932">
          <cell r="A932">
            <v>34026</v>
          </cell>
          <cell r="B932" t="str">
            <v>2.1.01.020.0140</v>
          </cell>
          <cell r="C932" t="str">
            <v>JANINE RUTH BARNETT</v>
          </cell>
          <cell r="D932">
            <v>85.84</v>
          </cell>
          <cell r="E932">
            <v>3.74</v>
          </cell>
          <cell r="F932">
            <v>3.74</v>
          </cell>
          <cell r="G932">
            <v>0</v>
          </cell>
          <cell r="H932">
            <v>85.84</v>
          </cell>
          <cell r="I932" t="str">
            <v>C</v>
          </cell>
        </row>
        <row r="933">
          <cell r="A933">
            <v>33849</v>
          </cell>
          <cell r="B933" t="str">
            <v>2.1.01.020.0141</v>
          </cell>
          <cell r="C933" t="str">
            <v xml:space="preserve">JANUARIO GONCALVES </v>
          </cell>
          <cell r="D933">
            <v>20</v>
          </cell>
          <cell r="E933">
            <v>0</v>
          </cell>
          <cell r="F933">
            <v>0</v>
          </cell>
          <cell r="G933">
            <v>0</v>
          </cell>
          <cell r="H933">
            <v>20</v>
          </cell>
          <cell r="I933" t="str">
            <v>C</v>
          </cell>
        </row>
        <row r="934">
          <cell r="A934">
            <v>51233</v>
          </cell>
          <cell r="B934" t="str">
            <v>2.1.01.020.0154</v>
          </cell>
          <cell r="C934" t="str">
            <v>JOSE EDUARDO PULGA</v>
          </cell>
          <cell r="D934">
            <v>2100.84</v>
          </cell>
          <cell r="E934">
            <v>2100.84</v>
          </cell>
          <cell r="F934">
            <v>2572.2199999999998</v>
          </cell>
          <cell r="G934">
            <v>471.38</v>
          </cell>
          <cell r="H934">
            <v>2572.2199999999998</v>
          </cell>
          <cell r="I934" t="str">
            <v>C</v>
          </cell>
        </row>
        <row r="935">
          <cell r="A935">
            <v>34103</v>
          </cell>
          <cell r="B935" t="str">
            <v>2.1.01.020.0156</v>
          </cell>
          <cell r="C935" t="str">
            <v xml:space="preserve">JOSE FRANCISCO VILELA DOS </v>
          </cell>
          <cell r="D935">
            <v>53.2</v>
          </cell>
          <cell r="E935">
            <v>0</v>
          </cell>
          <cell r="F935">
            <v>0</v>
          </cell>
          <cell r="G935">
            <v>0</v>
          </cell>
          <cell r="H935">
            <v>53.2</v>
          </cell>
          <cell r="I935" t="str">
            <v>C</v>
          </cell>
        </row>
        <row r="936">
          <cell r="A936">
            <v>38294</v>
          </cell>
          <cell r="B936" t="str">
            <v>2.1.01.020.0173</v>
          </cell>
          <cell r="C936" t="str">
            <v>LEO IKEDA</v>
          </cell>
          <cell r="D936">
            <v>7351.17</v>
          </cell>
          <cell r="E936">
            <v>7351.17</v>
          </cell>
          <cell r="F936">
            <v>7402.24</v>
          </cell>
          <cell r="G936">
            <v>51.07</v>
          </cell>
          <cell r="H936">
            <v>7402.24</v>
          </cell>
          <cell r="I936" t="str">
            <v>C</v>
          </cell>
        </row>
        <row r="937">
          <cell r="A937">
            <v>51144</v>
          </cell>
          <cell r="B937" t="str">
            <v>2.1.01.020.0189</v>
          </cell>
          <cell r="C937" t="str">
            <v>LUCIENE LAURIA DE SOUZA</v>
          </cell>
          <cell r="D937">
            <v>823.2</v>
          </cell>
          <cell r="E937">
            <v>823.2</v>
          </cell>
          <cell r="F937">
            <v>3765.27</v>
          </cell>
          <cell r="G937">
            <v>2942.07</v>
          </cell>
          <cell r="H937">
            <v>3765.27</v>
          </cell>
          <cell r="I937" t="str">
            <v>C</v>
          </cell>
        </row>
        <row r="938">
          <cell r="A938">
            <v>33869</v>
          </cell>
          <cell r="B938" t="str">
            <v>2.1.01.020.0204</v>
          </cell>
          <cell r="C938" t="str">
            <v>MARCELO HERING BISSOLI</v>
          </cell>
          <cell r="D938">
            <v>375</v>
          </cell>
          <cell r="E938">
            <v>1161.44</v>
          </cell>
          <cell r="F938">
            <v>786.44</v>
          </cell>
          <cell r="G938">
            <v>-375</v>
          </cell>
          <cell r="H938">
            <v>0</v>
          </cell>
          <cell r="I938" t="str">
            <v>C</v>
          </cell>
        </row>
        <row r="939">
          <cell r="A939">
            <v>52293</v>
          </cell>
          <cell r="B939" t="str">
            <v>2.1.01.020.0206</v>
          </cell>
          <cell r="C939" t="str">
            <v xml:space="preserve">MARCELO ROMANELLI CUNHA </v>
          </cell>
          <cell r="D939">
            <v>51.11</v>
          </cell>
          <cell r="E939">
            <v>0</v>
          </cell>
          <cell r="F939">
            <v>0</v>
          </cell>
          <cell r="G939">
            <v>0</v>
          </cell>
          <cell r="H939">
            <v>51.11</v>
          </cell>
          <cell r="I939" t="str">
            <v>C</v>
          </cell>
        </row>
        <row r="940">
          <cell r="A940">
            <v>33872</v>
          </cell>
          <cell r="B940" t="str">
            <v>2.1.01.020.0211</v>
          </cell>
          <cell r="C940" t="str">
            <v xml:space="preserve">MARCUS VINICIUS DE </v>
          </cell>
          <cell r="D940">
            <v>26.91</v>
          </cell>
          <cell r="E940">
            <v>0</v>
          </cell>
          <cell r="F940">
            <v>0</v>
          </cell>
          <cell r="G940">
            <v>0</v>
          </cell>
          <cell r="H940">
            <v>26.91</v>
          </cell>
          <cell r="I940" t="str">
            <v>C</v>
          </cell>
        </row>
        <row r="941">
          <cell r="A941">
            <v>33879</v>
          </cell>
          <cell r="B941" t="str">
            <v>2.1.01.020.0241</v>
          </cell>
          <cell r="C941" t="str">
            <v xml:space="preserve">OTHON FERRERIA SILVA </v>
          </cell>
          <cell r="D941">
            <v>1596.52</v>
          </cell>
          <cell r="E941">
            <v>1936.02</v>
          </cell>
          <cell r="F941">
            <v>5000.99</v>
          </cell>
          <cell r="G941">
            <v>3064.97</v>
          </cell>
          <cell r="H941">
            <v>4661.49</v>
          </cell>
          <cell r="I941" t="str">
            <v>C</v>
          </cell>
        </row>
        <row r="942">
          <cell r="A942">
            <v>37675</v>
          </cell>
          <cell r="B942" t="str">
            <v>2.1.01.020.0250</v>
          </cell>
          <cell r="C942" t="str">
            <v>PAULO ALEXANDRE DA SILVA</v>
          </cell>
          <cell r="D942">
            <v>0</v>
          </cell>
          <cell r="E942">
            <v>0</v>
          </cell>
          <cell r="F942">
            <v>78.72</v>
          </cell>
          <cell r="G942">
            <v>78.72</v>
          </cell>
          <cell r="H942">
            <v>78.72</v>
          </cell>
          <cell r="I942" t="str">
            <v>C</v>
          </cell>
        </row>
        <row r="943">
          <cell r="A943">
            <v>52323</v>
          </cell>
          <cell r="B943" t="str">
            <v>2.1.01.020.0286</v>
          </cell>
          <cell r="C943" t="str">
            <v xml:space="preserve">SAMUEL HENRIQUE </v>
          </cell>
          <cell r="D943">
            <v>57202.99</v>
          </cell>
          <cell r="E943">
            <v>51774.400000000001</v>
          </cell>
          <cell r="F943">
            <v>17747.48</v>
          </cell>
          <cell r="G943">
            <v>-34026.92</v>
          </cell>
          <cell r="H943">
            <v>23176.07</v>
          </cell>
          <cell r="I943" t="str">
            <v>C</v>
          </cell>
        </row>
        <row r="944">
          <cell r="A944">
            <v>51993</v>
          </cell>
          <cell r="B944" t="str">
            <v>2.1.01.020.0295</v>
          </cell>
          <cell r="C944" t="str">
            <v xml:space="preserve">SILVIA MARTINS GUEDES DE </v>
          </cell>
          <cell r="D944">
            <v>104.96</v>
          </cell>
          <cell r="E944">
            <v>0</v>
          </cell>
          <cell r="F944">
            <v>0</v>
          </cell>
          <cell r="G944">
            <v>0</v>
          </cell>
          <cell r="H944">
            <v>104.96</v>
          </cell>
          <cell r="I944" t="str">
            <v>C</v>
          </cell>
        </row>
        <row r="945">
          <cell r="A945">
            <v>38203</v>
          </cell>
          <cell r="B945" t="str">
            <v>2.1.01.020.0303</v>
          </cell>
          <cell r="C945" t="str">
            <v>TELMA PEDROSA PINA</v>
          </cell>
          <cell r="D945">
            <v>113.52</v>
          </cell>
          <cell r="E945">
            <v>0</v>
          </cell>
          <cell r="F945">
            <v>0</v>
          </cell>
          <cell r="G945">
            <v>0</v>
          </cell>
          <cell r="H945">
            <v>113.52</v>
          </cell>
          <cell r="I945" t="str">
            <v>C</v>
          </cell>
        </row>
        <row r="946">
          <cell r="A946">
            <v>52363</v>
          </cell>
          <cell r="B946" t="str">
            <v>2.1.01.020.0316</v>
          </cell>
          <cell r="C946" t="str">
            <v>WALDECYR DE CASTRO LIMA</v>
          </cell>
          <cell r="D946">
            <v>6105.72</v>
          </cell>
          <cell r="E946">
            <v>6216.12</v>
          </cell>
          <cell r="F946">
            <v>5172.12</v>
          </cell>
          <cell r="G946">
            <v>-1044</v>
          </cell>
          <cell r="H946">
            <v>5061.72</v>
          </cell>
          <cell r="I946" t="str">
            <v>C</v>
          </cell>
        </row>
        <row r="947">
          <cell r="A947">
            <v>51624</v>
          </cell>
          <cell r="B947" t="str">
            <v>2.1.01.020.0317</v>
          </cell>
          <cell r="C947" t="str">
            <v>WELLINGTON LOPES BRITTO</v>
          </cell>
          <cell r="D947">
            <v>10.32</v>
          </cell>
          <cell r="E947">
            <v>0</v>
          </cell>
          <cell r="F947">
            <v>0</v>
          </cell>
          <cell r="G947">
            <v>0</v>
          </cell>
          <cell r="H947">
            <v>10.32</v>
          </cell>
          <cell r="I947" t="str">
            <v>C</v>
          </cell>
        </row>
        <row r="948">
          <cell r="A948">
            <v>53119</v>
          </cell>
          <cell r="B948" t="str">
            <v>2.1.01.020.0361</v>
          </cell>
          <cell r="C948" t="str">
            <v xml:space="preserve">VIVA LIGHT CLINICA MÉDICA </v>
          </cell>
          <cell r="D948">
            <v>984</v>
          </cell>
          <cell r="E948">
            <v>0</v>
          </cell>
          <cell r="F948">
            <v>0</v>
          </cell>
          <cell r="G948">
            <v>0</v>
          </cell>
          <cell r="H948">
            <v>984</v>
          </cell>
          <cell r="I948" t="str">
            <v>C</v>
          </cell>
        </row>
        <row r="949">
          <cell r="A949">
            <v>52184</v>
          </cell>
          <cell r="B949" t="str">
            <v>2.1.01.020.0389</v>
          </cell>
          <cell r="C949" t="str">
            <v xml:space="preserve">TELAMI ESPINDOLA DE SOUZA </v>
          </cell>
          <cell r="D949">
            <v>1872</v>
          </cell>
          <cell r="E949">
            <v>1872</v>
          </cell>
          <cell r="F949">
            <v>0</v>
          </cell>
          <cell r="G949">
            <v>-1872</v>
          </cell>
          <cell r="H949">
            <v>0</v>
          </cell>
          <cell r="I949" t="str">
            <v>C</v>
          </cell>
        </row>
        <row r="950">
          <cell r="A950">
            <v>53404</v>
          </cell>
          <cell r="B950" t="str">
            <v>2.1.01.020.0420</v>
          </cell>
          <cell r="C950" t="str">
            <v>EUGENIO GERALDO ANDRADE</v>
          </cell>
          <cell r="D950">
            <v>904.4</v>
          </cell>
          <cell r="E950">
            <v>904.4</v>
          </cell>
          <cell r="F950">
            <v>1094.8</v>
          </cell>
          <cell r="G950">
            <v>190.4</v>
          </cell>
          <cell r="H950">
            <v>1094.8</v>
          </cell>
          <cell r="I950" t="str">
            <v>C</v>
          </cell>
        </row>
        <row r="951">
          <cell r="A951">
            <v>53485</v>
          </cell>
          <cell r="B951" t="str">
            <v>2.1.01.020.0430</v>
          </cell>
          <cell r="C951" t="str">
            <v xml:space="preserve">LARISSA DE OLIVEIRA SOUZA </v>
          </cell>
          <cell r="D951">
            <v>9620.15</v>
          </cell>
          <cell r="E951">
            <v>3600.06</v>
          </cell>
          <cell r="F951">
            <v>6000</v>
          </cell>
          <cell r="G951">
            <v>2399.94</v>
          </cell>
          <cell r="H951">
            <v>12020.09</v>
          </cell>
          <cell r="I951" t="str">
            <v>C</v>
          </cell>
        </row>
        <row r="952">
          <cell r="A952">
            <v>52471</v>
          </cell>
          <cell r="B952" t="str">
            <v>2.1.01.020.0449</v>
          </cell>
          <cell r="C952" t="str">
            <v>FLAVIA REGINA FERREIRA</v>
          </cell>
          <cell r="D952">
            <v>1260</v>
          </cell>
          <cell r="E952">
            <v>1260</v>
          </cell>
          <cell r="F952">
            <v>1927.8</v>
          </cell>
          <cell r="G952">
            <v>667.8</v>
          </cell>
          <cell r="H952">
            <v>1927.8</v>
          </cell>
          <cell r="I952" t="str">
            <v>C</v>
          </cell>
        </row>
        <row r="953">
          <cell r="A953">
            <v>53844</v>
          </cell>
          <cell r="B953" t="str">
            <v>2.1.01.020.0465</v>
          </cell>
          <cell r="C953" t="str">
            <v>PATRICIA LANGENEGGER</v>
          </cell>
          <cell r="D953">
            <v>288.63</v>
          </cell>
          <cell r="E953">
            <v>0</v>
          </cell>
          <cell r="F953">
            <v>0</v>
          </cell>
          <cell r="G953">
            <v>0</v>
          </cell>
          <cell r="H953">
            <v>288.63</v>
          </cell>
          <cell r="I953" t="str">
            <v>C</v>
          </cell>
        </row>
        <row r="954">
          <cell r="A954">
            <v>53877</v>
          </cell>
          <cell r="B954" t="str">
            <v>2.1.01.020.0471</v>
          </cell>
          <cell r="C954" t="str">
            <v xml:space="preserve">SILVIA HELENA MARQUES </v>
          </cell>
          <cell r="D954">
            <v>817.88</v>
          </cell>
          <cell r="E954">
            <v>64.260000000000005</v>
          </cell>
          <cell r="F954">
            <v>64.260000000000005</v>
          </cell>
          <cell r="G954">
            <v>0</v>
          </cell>
          <cell r="H954">
            <v>817.88</v>
          </cell>
          <cell r="I954" t="str">
            <v>C</v>
          </cell>
        </row>
        <row r="955">
          <cell r="A955">
            <v>54059</v>
          </cell>
          <cell r="B955" t="str">
            <v>2.1.01.020.0487</v>
          </cell>
          <cell r="C955" t="str">
            <v xml:space="preserve">BEATRIZ DE VASCONCELOS </v>
          </cell>
          <cell r="D955">
            <v>3588.76</v>
          </cell>
          <cell r="E955">
            <v>3346.57</v>
          </cell>
          <cell r="F955">
            <v>4677.8999999999996</v>
          </cell>
          <cell r="G955">
            <v>1331.33</v>
          </cell>
          <cell r="H955">
            <v>4920.09</v>
          </cell>
          <cell r="I955" t="str">
            <v>C</v>
          </cell>
        </row>
        <row r="956">
          <cell r="A956">
            <v>54075</v>
          </cell>
          <cell r="B956" t="str">
            <v>2.1.01.020.0491</v>
          </cell>
          <cell r="C956" t="str">
            <v>MAIRAN SANTOS STEFFEN</v>
          </cell>
          <cell r="D956">
            <v>2960.05</v>
          </cell>
          <cell r="E956">
            <v>960.02</v>
          </cell>
          <cell r="F956">
            <v>1600</v>
          </cell>
          <cell r="G956">
            <v>639.98</v>
          </cell>
          <cell r="H956">
            <v>3600.03</v>
          </cell>
          <cell r="I956" t="str">
            <v>C</v>
          </cell>
        </row>
        <row r="957">
          <cell r="A957">
            <v>54089</v>
          </cell>
          <cell r="B957" t="str">
            <v>2.1.01.020.0495</v>
          </cell>
          <cell r="C957" t="str">
            <v>EDUARDO NUNES TONIASSO</v>
          </cell>
          <cell r="D957">
            <v>7317.21</v>
          </cell>
          <cell r="E957">
            <v>0</v>
          </cell>
          <cell r="F957">
            <v>0</v>
          </cell>
          <cell r="G957">
            <v>0</v>
          </cell>
          <cell r="H957">
            <v>7317.21</v>
          </cell>
          <cell r="I957" t="str">
            <v>C</v>
          </cell>
        </row>
        <row r="958">
          <cell r="A958">
            <v>54114</v>
          </cell>
          <cell r="B958" t="str">
            <v>2.1.01.020.0500</v>
          </cell>
          <cell r="C958" t="str">
            <v>SANDRO RODRIGUES PINTO</v>
          </cell>
          <cell r="D958">
            <v>0</v>
          </cell>
          <cell r="E958">
            <v>120</v>
          </cell>
          <cell r="F958">
            <v>120</v>
          </cell>
          <cell r="G958">
            <v>0</v>
          </cell>
          <cell r="H958">
            <v>0</v>
          </cell>
          <cell r="I958" t="str">
            <v>C</v>
          </cell>
        </row>
        <row r="959">
          <cell r="A959">
            <v>54230</v>
          </cell>
          <cell r="B959" t="str">
            <v>2.1.01.020.0502</v>
          </cell>
          <cell r="C959" t="str">
            <v xml:space="preserve">ANDERSON FONSECA DE </v>
          </cell>
          <cell r="D959">
            <v>884.2</v>
          </cell>
          <cell r="E959">
            <v>0</v>
          </cell>
          <cell r="F959">
            <v>0</v>
          </cell>
          <cell r="G959">
            <v>0</v>
          </cell>
          <cell r="H959">
            <v>884.2</v>
          </cell>
          <cell r="I959" t="str">
            <v>C</v>
          </cell>
        </row>
        <row r="960">
          <cell r="A960">
            <v>54249</v>
          </cell>
          <cell r="B960" t="str">
            <v>2.1.01.020.0504</v>
          </cell>
          <cell r="C960" t="str">
            <v xml:space="preserve">LUIZ GUSTAVO PINTO </v>
          </cell>
          <cell r="D960">
            <v>81.87</v>
          </cell>
          <cell r="E960">
            <v>0</v>
          </cell>
          <cell r="F960">
            <v>104.96</v>
          </cell>
          <cell r="G960">
            <v>104.96</v>
          </cell>
          <cell r="H960">
            <v>186.83</v>
          </cell>
          <cell r="I960" t="str">
            <v>C</v>
          </cell>
        </row>
        <row r="961">
          <cell r="A961">
            <v>54287</v>
          </cell>
          <cell r="B961" t="str">
            <v>2.1.01.020.0507</v>
          </cell>
          <cell r="C961" t="str">
            <v>DARIO VIANNA BIROLINI</v>
          </cell>
          <cell r="D961">
            <v>983.22</v>
          </cell>
          <cell r="E961">
            <v>0</v>
          </cell>
          <cell r="F961">
            <v>0</v>
          </cell>
          <cell r="G961">
            <v>0</v>
          </cell>
          <cell r="H961">
            <v>983.22</v>
          </cell>
          <cell r="I961" t="str">
            <v>C</v>
          </cell>
        </row>
        <row r="962">
          <cell r="A962">
            <v>54298</v>
          </cell>
          <cell r="B962" t="str">
            <v>2.1.01.020.0509</v>
          </cell>
          <cell r="C962" t="str">
            <v>KATIUCIA BREGALDA</v>
          </cell>
          <cell r="D962">
            <v>415</v>
          </cell>
          <cell r="E962">
            <v>240</v>
          </cell>
          <cell r="F962">
            <v>25</v>
          </cell>
          <cell r="G962">
            <v>-215</v>
          </cell>
          <cell r="H962">
            <v>200</v>
          </cell>
          <cell r="I962" t="str">
            <v>C</v>
          </cell>
        </row>
        <row r="963">
          <cell r="A963">
            <v>54368</v>
          </cell>
          <cell r="B963" t="str">
            <v>2.1.01.020.0512</v>
          </cell>
          <cell r="C963" t="str">
            <v>LUIZ MARCELO AMANTEA</v>
          </cell>
          <cell r="D963">
            <v>0</v>
          </cell>
          <cell r="E963">
            <v>262.39999999999998</v>
          </cell>
          <cell r="F963">
            <v>262.39999999999998</v>
          </cell>
          <cell r="G963">
            <v>0</v>
          </cell>
          <cell r="H963">
            <v>0</v>
          </cell>
          <cell r="I963" t="str">
            <v>C</v>
          </cell>
        </row>
        <row r="964">
          <cell r="A964">
            <v>54414</v>
          </cell>
          <cell r="B964" t="str">
            <v>2.1.01.020.0514</v>
          </cell>
          <cell r="C964" t="str">
            <v>ARIADNA MOURA GOMES</v>
          </cell>
          <cell r="D964">
            <v>358.4</v>
          </cell>
          <cell r="E964">
            <v>0</v>
          </cell>
          <cell r="F964">
            <v>0</v>
          </cell>
          <cell r="G964">
            <v>0</v>
          </cell>
          <cell r="H964">
            <v>358.4</v>
          </cell>
          <cell r="I964" t="str">
            <v>C</v>
          </cell>
        </row>
        <row r="965">
          <cell r="A965">
            <v>54433</v>
          </cell>
          <cell r="B965" t="str">
            <v>2.1.01.020.0518</v>
          </cell>
          <cell r="C965" t="str">
            <v xml:space="preserve">ALEXANDRE DIAS DE ABREU </v>
          </cell>
          <cell r="D965">
            <v>14579.3</v>
          </cell>
          <cell r="E965">
            <v>0</v>
          </cell>
          <cell r="F965">
            <v>784</v>
          </cell>
          <cell r="G965">
            <v>784</v>
          </cell>
          <cell r="H965">
            <v>15363.3</v>
          </cell>
          <cell r="I965" t="str">
            <v>C</v>
          </cell>
        </row>
        <row r="966">
          <cell r="A966">
            <v>54434</v>
          </cell>
          <cell r="B966" t="str">
            <v>2.1.01.020.0519</v>
          </cell>
          <cell r="C966" t="str">
            <v xml:space="preserve">BRANCHINI SERVICOS </v>
          </cell>
          <cell r="D966">
            <v>9683.59</v>
          </cell>
          <cell r="E966">
            <v>9613.59</v>
          </cell>
          <cell r="F966">
            <v>8816.73</v>
          </cell>
          <cell r="G966">
            <v>-796.86</v>
          </cell>
          <cell r="H966">
            <v>8886.73</v>
          </cell>
          <cell r="I966" t="str">
            <v>C</v>
          </cell>
        </row>
        <row r="967">
          <cell r="A967">
            <v>54565</v>
          </cell>
          <cell r="B967" t="str">
            <v>2.1.01.020.0525</v>
          </cell>
          <cell r="C967" t="str">
            <v xml:space="preserve">GRAZIELA TAVARES MIOLA </v>
          </cell>
          <cell r="D967">
            <v>20</v>
          </cell>
          <cell r="E967">
            <v>0</v>
          </cell>
          <cell r="F967">
            <v>0</v>
          </cell>
          <cell r="G967">
            <v>0</v>
          </cell>
          <cell r="H967">
            <v>20</v>
          </cell>
          <cell r="I967" t="str">
            <v>C</v>
          </cell>
        </row>
        <row r="968">
          <cell r="A968">
            <v>54593</v>
          </cell>
          <cell r="B968" t="str">
            <v>2.1.01.020.0526</v>
          </cell>
          <cell r="C968" t="str">
            <v>WALDOMIRO GRANDI JUNIOR</v>
          </cell>
          <cell r="D968">
            <v>1614.76</v>
          </cell>
          <cell r="E968">
            <v>1544.76</v>
          </cell>
          <cell r="F968">
            <v>1368.5</v>
          </cell>
          <cell r="G968">
            <v>-176.26</v>
          </cell>
          <cell r="H968">
            <v>1438.5</v>
          </cell>
          <cell r="I968" t="str">
            <v>C</v>
          </cell>
        </row>
        <row r="969">
          <cell r="A969">
            <v>54629</v>
          </cell>
          <cell r="B969" t="str">
            <v>2.1.01.020.0530</v>
          </cell>
          <cell r="C969" t="str">
            <v>JOSE SPARTACO VIAL</v>
          </cell>
          <cell r="D969">
            <v>405.83</v>
          </cell>
          <cell r="E969">
            <v>0</v>
          </cell>
          <cell r="F969">
            <v>0</v>
          </cell>
          <cell r="G969">
            <v>0</v>
          </cell>
          <cell r="H969">
            <v>405.83</v>
          </cell>
          <cell r="I969" t="str">
            <v>C</v>
          </cell>
        </row>
        <row r="970">
          <cell r="A970">
            <v>54569</v>
          </cell>
          <cell r="B970" t="str">
            <v>2.1.01.020.0531</v>
          </cell>
          <cell r="C970" t="str">
            <v xml:space="preserve">ANA LUIZA SANTOS </v>
          </cell>
          <cell r="D970">
            <v>206.74</v>
          </cell>
          <cell r="E970">
            <v>0</v>
          </cell>
          <cell r="F970">
            <v>0</v>
          </cell>
          <cell r="G970">
            <v>0</v>
          </cell>
          <cell r="H970">
            <v>206.74</v>
          </cell>
          <cell r="I970" t="str">
            <v>C</v>
          </cell>
        </row>
        <row r="971">
          <cell r="A971">
            <v>54738</v>
          </cell>
          <cell r="B971" t="str">
            <v>2.1.01.020.0535</v>
          </cell>
          <cell r="C971" t="str">
            <v>CLAUDIO CLARO MARTINS</v>
          </cell>
          <cell r="D971">
            <v>0</v>
          </cell>
          <cell r="E971">
            <v>0</v>
          </cell>
          <cell r="F971">
            <v>1096.83</v>
          </cell>
          <cell r="G971">
            <v>1096.83</v>
          </cell>
          <cell r="H971">
            <v>1096.83</v>
          </cell>
          <cell r="I971" t="str">
            <v>C</v>
          </cell>
        </row>
        <row r="972">
          <cell r="A972">
            <v>55000</v>
          </cell>
          <cell r="B972" t="str">
            <v>2.1.01.020.0536</v>
          </cell>
          <cell r="C972" t="str">
            <v>FERNANDA COCCOLIN</v>
          </cell>
          <cell r="D972">
            <v>1215.2</v>
          </cell>
          <cell r="E972">
            <v>1215.2</v>
          </cell>
          <cell r="F972">
            <v>1450.4</v>
          </cell>
          <cell r="G972">
            <v>235.2</v>
          </cell>
          <cell r="H972">
            <v>1450.4</v>
          </cell>
          <cell r="I972" t="str">
            <v>C</v>
          </cell>
        </row>
        <row r="973">
          <cell r="A973">
            <v>55038</v>
          </cell>
          <cell r="B973" t="str">
            <v>2.1.01.020.0537</v>
          </cell>
          <cell r="C973" t="str">
            <v xml:space="preserve">PAULO CANDIDO DE </v>
          </cell>
          <cell r="D973">
            <v>1995.04</v>
          </cell>
          <cell r="E973">
            <v>1729.04</v>
          </cell>
          <cell r="F973">
            <v>1560.72</v>
          </cell>
          <cell r="G973">
            <v>-168.32</v>
          </cell>
          <cell r="H973">
            <v>1826.72</v>
          </cell>
          <cell r="I973" t="str">
            <v>C</v>
          </cell>
        </row>
        <row r="974">
          <cell r="A974">
            <v>55099</v>
          </cell>
          <cell r="B974" t="str">
            <v>2.1.01.020.0538</v>
          </cell>
          <cell r="C974" t="str">
            <v>LAURO MASCARENHAS PINTO</v>
          </cell>
          <cell r="D974">
            <v>1153.56</v>
          </cell>
          <cell r="E974">
            <v>0</v>
          </cell>
          <cell r="F974">
            <v>0</v>
          </cell>
          <cell r="G974">
            <v>0</v>
          </cell>
          <cell r="H974">
            <v>1153.56</v>
          </cell>
          <cell r="I974" t="str">
            <v>C</v>
          </cell>
        </row>
        <row r="975">
          <cell r="A975">
            <v>55405</v>
          </cell>
          <cell r="B975" t="str">
            <v>2.1.01.020.0542</v>
          </cell>
          <cell r="C975" t="str">
            <v xml:space="preserve">MARIA CLARA BITTENCOURT </v>
          </cell>
          <cell r="D975">
            <v>26.24</v>
          </cell>
          <cell r="E975">
            <v>0</v>
          </cell>
          <cell r="F975">
            <v>4095</v>
          </cell>
          <cell r="G975">
            <v>4095</v>
          </cell>
          <cell r="H975">
            <v>4121.24</v>
          </cell>
          <cell r="I975" t="str">
            <v>C</v>
          </cell>
        </row>
        <row r="976">
          <cell r="A976">
            <v>55450</v>
          </cell>
          <cell r="B976" t="str">
            <v>2.1.01.020.0546</v>
          </cell>
          <cell r="C976" t="str">
            <v>LAIS ALCANTARA VIANNA</v>
          </cell>
          <cell r="D976">
            <v>0</v>
          </cell>
          <cell r="E976">
            <v>0</v>
          </cell>
          <cell r="F976">
            <v>1440</v>
          </cell>
          <cell r="G976">
            <v>1440</v>
          </cell>
          <cell r="H976">
            <v>1440</v>
          </cell>
          <cell r="I976" t="str">
            <v>C</v>
          </cell>
        </row>
        <row r="977">
          <cell r="A977">
            <v>55874</v>
          </cell>
          <cell r="B977" t="str">
            <v>2.1.01.020.0552</v>
          </cell>
          <cell r="C977" t="str">
            <v>ESTEFANE MACHADO</v>
          </cell>
          <cell r="D977">
            <v>814.8</v>
          </cell>
          <cell r="E977">
            <v>744.8</v>
          </cell>
          <cell r="F977">
            <v>601.72</v>
          </cell>
          <cell r="G977">
            <v>-143.08000000000001</v>
          </cell>
          <cell r="H977">
            <v>671.72</v>
          </cell>
          <cell r="I977" t="str">
            <v>C</v>
          </cell>
        </row>
        <row r="978">
          <cell r="A978">
            <v>55264</v>
          </cell>
          <cell r="B978" t="str">
            <v>2.1.01.020.0553</v>
          </cell>
          <cell r="C978" t="str">
            <v>MARCELO MAROTTA ARAUJO</v>
          </cell>
          <cell r="D978">
            <v>183.68</v>
          </cell>
          <cell r="E978">
            <v>0</v>
          </cell>
          <cell r="F978">
            <v>0</v>
          </cell>
          <cell r="G978">
            <v>0</v>
          </cell>
          <cell r="H978">
            <v>183.68</v>
          </cell>
          <cell r="I978" t="str">
            <v>C</v>
          </cell>
        </row>
        <row r="979">
          <cell r="A979">
            <v>55900</v>
          </cell>
          <cell r="B979" t="str">
            <v>2.1.01.020.0554</v>
          </cell>
          <cell r="C979" t="str">
            <v>CINTIA NAVARRO LAMAS</v>
          </cell>
          <cell r="D979">
            <v>338.54</v>
          </cell>
          <cell r="E979">
            <v>0</v>
          </cell>
          <cell r="F979">
            <v>0</v>
          </cell>
          <cell r="G979">
            <v>0</v>
          </cell>
          <cell r="H979">
            <v>338.54</v>
          </cell>
          <cell r="I979" t="str">
            <v>C</v>
          </cell>
        </row>
        <row r="980">
          <cell r="A980">
            <v>55957</v>
          </cell>
          <cell r="B980" t="str">
            <v>2.1.01.020.0555</v>
          </cell>
          <cell r="C980" t="str">
            <v>MARIANA COSTA</v>
          </cell>
          <cell r="D980">
            <v>2107.77</v>
          </cell>
          <cell r="E980">
            <v>0</v>
          </cell>
          <cell r="F980">
            <v>0</v>
          </cell>
          <cell r="G980">
            <v>0</v>
          </cell>
          <cell r="H980">
            <v>2107.77</v>
          </cell>
          <cell r="I980" t="str">
            <v>C</v>
          </cell>
        </row>
        <row r="981">
          <cell r="A981">
            <v>55280</v>
          </cell>
          <cell r="B981" t="str">
            <v>2.1.01.020.0556</v>
          </cell>
          <cell r="C981" t="str">
            <v xml:space="preserve">MARCELO DA MOTTA </v>
          </cell>
          <cell r="D981">
            <v>160</v>
          </cell>
          <cell r="E981">
            <v>0</v>
          </cell>
          <cell r="F981">
            <v>340</v>
          </cell>
          <cell r="G981">
            <v>340</v>
          </cell>
          <cell r="H981">
            <v>500</v>
          </cell>
          <cell r="I981" t="str">
            <v>C</v>
          </cell>
        </row>
        <row r="982">
          <cell r="A982">
            <v>55292</v>
          </cell>
          <cell r="B982" t="str">
            <v>2.1.01.020.0557</v>
          </cell>
          <cell r="C982" t="str">
            <v>ROQUE PEREIRA SCHUMANN</v>
          </cell>
          <cell r="D982">
            <v>0</v>
          </cell>
          <cell r="E982">
            <v>0</v>
          </cell>
          <cell r="F982">
            <v>326.33999999999997</v>
          </cell>
          <cell r="G982">
            <v>326.33999999999997</v>
          </cell>
          <cell r="H982">
            <v>326.33999999999997</v>
          </cell>
          <cell r="I982" t="str">
            <v>C</v>
          </cell>
        </row>
        <row r="983">
          <cell r="A983">
            <v>37181</v>
          </cell>
          <cell r="B983" t="str">
            <v>2.1.01.021</v>
          </cell>
          <cell r="C983" t="str">
            <v xml:space="preserve">HONORARIOS DIVERSOS A </v>
          </cell>
          <cell r="D983">
            <v>3400616.1</v>
          </cell>
          <cell r="E983">
            <v>1982128.85</v>
          </cell>
          <cell r="F983">
            <v>1751642.58</v>
          </cell>
          <cell r="G983">
            <v>-230486.27</v>
          </cell>
          <cell r="H983">
            <v>3170129.83</v>
          </cell>
          <cell r="I983" t="str">
            <v>C</v>
          </cell>
        </row>
        <row r="984">
          <cell r="A984">
            <v>33981</v>
          </cell>
          <cell r="B984" t="str">
            <v>2.1.01.021.0001</v>
          </cell>
          <cell r="C984" t="str">
            <v>HONORARIOS MEDICOS PJ/PF</v>
          </cell>
          <cell r="D984">
            <v>3400616.1</v>
          </cell>
          <cell r="E984">
            <v>1982128.85</v>
          </cell>
          <cell r="F984">
            <v>1751642.58</v>
          </cell>
          <cell r="G984">
            <v>-230486.27</v>
          </cell>
          <cell r="H984">
            <v>3170129.83</v>
          </cell>
          <cell r="I984" t="str">
            <v>C</v>
          </cell>
        </row>
        <row r="985">
          <cell r="A985">
            <v>2274</v>
          </cell>
          <cell r="B985" t="str">
            <v>2.1.02</v>
          </cell>
          <cell r="C985" t="str">
            <v>OBRIGACOES</v>
          </cell>
          <cell r="D985">
            <v>11226678.550000001</v>
          </cell>
          <cell r="E985">
            <v>15883835.82</v>
          </cell>
          <cell r="F985">
            <v>15922199.98</v>
          </cell>
          <cell r="G985">
            <v>38364.160000000003</v>
          </cell>
          <cell r="H985">
            <v>11265042.710000001</v>
          </cell>
          <cell r="I985" t="str">
            <v>C</v>
          </cell>
        </row>
        <row r="986">
          <cell r="A986">
            <v>2275</v>
          </cell>
          <cell r="B986" t="str">
            <v>2.1.02.010</v>
          </cell>
          <cell r="C986" t="str">
            <v>OBRIGACOES TRABALHISTAS</v>
          </cell>
          <cell r="D986">
            <v>3278543.11</v>
          </cell>
          <cell r="E986">
            <v>11929525.66</v>
          </cell>
          <cell r="F986">
            <v>11818095.77</v>
          </cell>
          <cell r="G986">
            <v>-111429.89</v>
          </cell>
          <cell r="H986">
            <v>3167113.22</v>
          </cell>
          <cell r="I986" t="str">
            <v>C</v>
          </cell>
        </row>
        <row r="987">
          <cell r="A987">
            <v>2285</v>
          </cell>
          <cell r="B987" t="str">
            <v>2.1.02.010.0001</v>
          </cell>
          <cell r="C987" t="str">
            <v xml:space="preserve">SALARIOS A PAGAR </v>
          </cell>
          <cell r="D987">
            <v>3259462.21</v>
          </cell>
          <cell r="E987">
            <v>11728086.92</v>
          </cell>
          <cell r="F987">
            <v>11633184.25</v>
          </cell>
          <cell r="G987">
            <v>-94902.67</v>
          </cell>
          <cell r="H987">
            <v>3164559.54</v>
          </cell>
          <cell r="I987" t="str">
            <v>C</v>
          </cell>
        </row>
        <row r="988">
          <cell r="A988">
            <v>2298</v>
          </cell>
          <cell r="B988" t="str">
            <v>2.1.02.010.0002</v>
          </cell>
          <cell r="C988" t="str">
            <v xml:space="preserve">RESCISOES CONTRATUAIS A </v>
          </cell>
          <cell r="D988">
            <v>19080.900000000001</v>
          </cell>
          <cell r="E988">
            <v>201438.74</v>
          </cell>
          <cell r="F988">
            <v>184911.52</v>
          </cell>
          <cell r="G988">
            <v>-16527.22</v>
          </cell>
          <cell r="H988">
            <v>2553.6799999999998</v>
          </cell>
          <cell r="I988" t="str">
            <v>C</v>
          </cell>
        </row>
        <row r="989">
          <cell r="A989">
            <v>37280</v>
          </cell>
          <cell r="B989" t="str">
            <v>2.1.02.020</v>
          </cell>
          <cell r="C989" t="str">
            <v>PROVISOES TRABALHISTAS</v>
          </cell>
          <cell r="D989">
            <v>4516109.4800000004</v>
          </cell>
          <cell r="E989">
            <v>577905.22</v>
          </cell>
          <cell r="F989">
            <v>896287.88</v>
          </cell>
          <cell r="G989">
            <v>318382.65999999997</v>
          </cell>
          <cell r="H989">
            <v>4834492.1399999997</v>
          </cell>
          <cell r="I989" t="str">
            <v>C</v>
          </cell>
        </row>
        <row r="990">
          <cell r="A990">
            <v>2064</v>
          </cell>
          <cell r="B990" t="str">
            <v>2.1.02.020.0002</v>
          </cell>
          <cell r="C990" t="str">
            <v>PROVISAO DE FERIAS</v>
          </cell>
          <cell r="D990">
            <v>3866803.19</v>
          </cell>
          <cell r="E990">
            <v>501382.01</v>
          </cell>
          <cell r="F990">
            <v>486820.31</v>
          </cell>
          <cell r="G990">
            <v>-14561.7</v>
          </cell>
          <cell r="H990">
            <v>3852241.49</v>
          </cell>
          <cell r="I990" t="str">
            <v>C</v>
          </cell>
        </row>
        <row r="991">
          <cell r="A991">
            <v>2058</v>
          </cell>
          <cell r="B991" t="str">
            <v>2.1.02.020.0003</v>
          </cell>
          <cell r="C991" t="str">
            <v>PROVISAO PARA 13º SALARIO</v>
          </cell>
          <cell r="D991">
            <v>649306.29</v>
          </cell>
          <cell r="E991">
            <v>76523.210000000006</v>
          </cell>
          <cell r="F991">
            <v>409467.57</v>
          </cell>
          <cell r="G991">
            <v>332944.36</v>
          </cell>
          <cell r="H991">
            <v>982250.65</v>
          </cell>
          <cell r="I991" t="str">
            <v>C</v>
          </cell>
        </row>
        <row r="992">
          <cell r="A992">
            <v>4260</v>
          </cell>
          <cell r="B992" t="str">
            <v>2.1.02.030</v>
          </cell>
          <cell r="C992" t="str">
            <v xml:space="preserve">OUTROS OBRIGACOES </v>
          </cell>
          <cell r="D992">
            <v>1384943.41</v>
          </cell>
          <cell r="E992">
            <v>597471.72</v>
          </cell>
          <cell r="F992">
            <v>480691.67</v>
          </cell>
          <cell r="G992">
            <v>-116780.05</v>
          </cell>
          <cell r="H992">
            <v>1268163.3600000001</v>
          </cell>
          <cell r="I992" t="str">
            <v>C</v>
          </cell>
        </row>
        <row r="993">
          <cell r="A993">
            <v>4279</v>
          </cell>
          <cell r="B993" t="str">
            <v>2.1.02.030.0001</v>
          </cell>
          <cell r="C993" t="str">
            <v xml:space="preserve">ACORDO TRABALHISTA </v>
          </cell>
          <cell r="D993">
            <v>1069550.26</v>
          </cell>
          <cell r="E993">
            <v>145383.59</v>
          </cell>
          <cell r="F993">
            <v>16413.560000000001</v>
          </cell>
          <cell r="G993">
            <v>-128970.03</v>
          </cell>
          <cell r="H993">
            <v>940580.23</v>
          </cell>
          <cell r="I993" t="str">
            <v>C</v>
          </cell>
        </row>
        <row r="994">
          <cell r="A994">
            <v>37823</v>
          </cell>
          <cell r="B994" t="str">
            <v>2.1.02.030.0003</v>
          </cell>
          <cell r="C994" t="str">
            <v xml:space="preserve">CONVENIO FARMACIA </v>
          </cell>
          <cell r="D994">
            <v>17414.990000000002</v>
          </cell>
          <cell r="E994">
            <v>17507.310000000001</v>
          </cell>
          <cell r="F994">
            <v>18659.79</v>
          </cell>
          <cell r="G994">
            <v>1152.48</v>
          </cell>
          <cell r="H994">
            <v>18567.47</v>
          </cell>
          <cell r="I994" t="str">
            <v>C</v>
          </cell>
        </row>
        <row r="995">
          <cell r="A995">
            <v>37824</v>
          </cell>
          <cell r="B995" t="str">
            <v>2.1.02.030.0004</v>
          </cell>
          <cell r="C995" t="str">
            <v>CONVENIO ODONTOLOGICO</v>
          </cell>
          <cell r="D995">
            <v>0</v>
          </cell>
          <cell r="E995">
            <v>35182.800000000003</v>
          </cell>
          <cell r="F995">
            <v>35182.800000000003</v>
          </cell>
          <cell r="G995">
            <v>0</v>
          </cell>
          <cell r="H995">
            <v>0</v>
          </cell>
          <cell r="I995" t="str">
            <v>C</v>
          </cell>
        </row>
        <row r="996">
          <cell r="A996">
            <v>4282</v>
          </cell>
          <cell r="B996" t="str">
            <v>2.1.02.030.0005</v>
          </cell>
          <cell r="C996" t="str">
            <v xml:space="preserve">EMPRESTIMO CONSIGNADO </v>
          </cell>
          <cell r="D996">
            <v>224341.9</v>
          </cell>
          <cell r="E996">
            <v>224341.9</v>
          </cell>
          <cell r="F996">
            <v>226789.71</v>
          </cell>
          <cell r="G996">
            <v>2447.81</v>
          </cell>
          <cell r="H996">
            <v>226789.71</v>
          </cell>
          <cell r="I996" t="str">
            <v>C</v>
          </cell>
        </row>
        <row r="997">
          <cell r="A997">
            <v>4274</v>
          </cell>
          <cell r="B997" t="str">
            <v>2.1.02.030.0007</v>
          </cell>
          <cell r="C997" t="str">
            <v xml:space="preserve">PENSAO ALIMENTICA </v>
          </cell>
          <cell r="D997">
            <v>17790.21</v>
          </cell>
          <cell r="E997">
            <v>31148.15</v>
          </cell>
          <cell r="F997">
            <v>29165.51</v>
          </cell>
          <cell r="G997">
            <v>-1982.64</v>
          </cell>
          <cell r="H997">
            <v>15807.57</v>
          </cell>
          <cell r="I997" t="str">
            <v>C</v>
          </cell>
        </row>
        <row r="998">
          <cell r="A998">
            <v>38316</v>
          </cell>
          <cell r="B998" t="str">
            <v>2.1.02.030.0008</v>
          </cell>
          <cell r="C998" t="str">
            <v xml:space="preserve">LANCHONETE </v>
          </cell>
          <cell r="D998">
            <v>35400.050000000003</v>
          </cell>
          <cell r="E998">
            <v>35400.050000000003</v>
          </cell>
          <cell r="F998">
            <v>33528.35</v>
          </cell>
          <cell r="G998">
            <v>-1871.7</v>
          </cell>
          <cell r="H998">
            <v>33528.35</v>
          </cell>
          <cell r="I998" t="str">
            <v>C</v>
          </cell>
        </row>
        <row r="999">
          <cell r="A999">
            <v>51359</v>
          </cell>
          <cell r="B999" t="str">
            <v>2.1.02.030.0010</v>
          </cell>
          <cell r="C999" t="str">
            <v>CONVENIO THERMAS DO VALE</v>
          </cell>
          <cell r="D999">
            <v>6972</v>
          </cell>
          <cell r="E999">
            <v>13861</v>
          </cell>
          <cell r="F999">
            <v>14442</v>
          </cell>
          <cell r="G999">
            <v>581</v>
          </cell>
          <cell r="H999">
            <v>7553</v>
          </cell>
          <cell r="I999" t="str">
            <v>C</v>
          </cell>
        </row>
        <row r="1000">
          <cell r="A1000">
            <v>50983</v>
          </cell>
          <cell r="B1000" t="str">
            <v>2.1.02.030.0012</v>
          </cell>
          <cell r="C1000" t="str">
            <v xml:space="preserve">ESTAGIARIOS E </v>
          </cell>
          <cell r="D1000">
            <v>0</v>
          </cell>
          <cell r="E1000">
            <v>1560</v>
          </cell>
          <cell r="F1000">
            <v>1560</v>
          </cell>
          <cell r="G1000">
            <v>0</v>
          </cell>
          <cell r="H1000">
            <v>0</v>
          </cell>
          <cell r="I1000" t="str">
            <v>C</v>
          </cell>
        </row>
        <row r="1001">
          <cell r="A1001">
            <v>54127</v>
          </cell>
          <cell r="B1001" t="str">
            <v>2.1.02.030.0013</v>
          </cell>
          <cell r="C1001" t="str">
            <v>CONVENIO MEDICO</v>
          </cell>
          <cell r="D1001">
            <v>11713.51</v>
          </cell>
          <cell r="E1001">
            <v>93086.92</v>
          </cell>
          <cell r="F1001">
            <v>104554.67</v>
          </cell>
          <cell r="G1001">
            <v>11467.75</v>
          </cell>
          <cell r="H1001">
            <v>23181.26</v>
          </cell>
          <cell r="I1001" t="str">
            <v>C</v>
          </cell>
        </row>
        <row r="1002">
          <cell r="A1002">
            <v>55206</v>
          </cell>
          <cell r="B1002" t="str">
            <v>2.1.02.030.0014</v>
          </cell>
          <cell r="C1002" t="str">
            <v>DEPOSITO PENHORA JUDICIAL</v>
          </cell>
          <cell r="D1002">
            <v>1760.49</v>
          </cell>
          <cell r="E1002">
            <v>0</v>
          </cell>
          <cell r="F1002">
            <v>395.28</v>
          </cell>
          <cell r="G1002">
            <v>395.28</v>
          </cell>
          <cell r="H1002">
            <v>2155.77</v>
          </cell>
          <cell r="I1002" t="str">
            <v>C</v>
          </cell>
        </row>
        <row r="1003">
          <cell r="A1003">
            <v>2112</v>
          </cell>
          <cell r="B1003" t="str">
            <v>2.1.02.040</v>
          </cell>
          <cell r="C1003" t="str">
            <v xml:space="preserve">OBRIGACOES </v>
          </cell>
          <cell r="D1003">
            <v>1673801.66</v>
          </cell>
          <cell r="E1003">
            <v>1928666.28</v>
          </cell>
          <cell r="F1003">
            <v>1907245.99</v>
          </cell>
          <cell r="G1003">
            <v>-21420.29</v>
          </cell>
          <cell r="H1003">
            <v>1652381.37</v>
          </cell>
          <cell r="I1003" t="str">
            <v>C</v>
          </cell>
        </row>
        <row r="1004">
          <cell r="A1004">
            <v>12428</v>
          </cell>
          <cell r="B1004" t="str">
            <v>2.1.02.040.0001</v>
          </cell>
          <cell r="C1004" t="str">
            <v xml:space="preserve">CONTRIBUICOES </v>
          </cell>
          <cell r="D1004">
            <v>388694.03</v>
          </cell>
          <cell r="E1004">
            <v>483295.65</v>
          </cell>
          <cell r="F1004">
            <v>473670.28</v>
          </cell>
          <cell r="G1004">
            <v>-9625.3700000000008</v>
          </cell>
          <cell r="H1004">
            <v>379068.66</v>
          </cell>
          <cell r="I1004" t="str">
            <v>C</v>
          </cell>
        </row>
        <row r="1005">
          <cell r="A1005">
            <v>2129</v>
          </cell>
          <cell r="B1005" t="str">
            <v>2.1.02.040.0002</v>
          </cell>
          <cell r="C1005" t="str">
            <v xml:space="preserve">FGTS A RECOLHER </v>
          </cell>
          <cell r="D1005">
            <v>365947.86</v>
          </cell>
          <cell r="E1005">
            <v>387598.83</v>
          </cell>
          <cell r="F1005">
            <v>406511.33</v>
          </cell>
          <cell r="G1005">
            <v>18912.5</v>
          </cell>
          <cell r="H1005">
            <v>384860.36</v>
          </cell>
          <cell r="I1005" t="str">
            <v>C</v>
          </cell>
        </row>
        <row r="1006">
          <cell r="A1006">
            <v>38241</v>
          </cell>
          <cell r="B1006" t="str">
            <v>2.1.02.040.0003</v>
          </cell>
          <cell r="C1006" t="str">
            <v>FGTS A RECOLHER - MULTA</v>
          </cell>
          <cell r="D1006">
            <v>2869.58</v>
          </cell>
          <cell r="E1006">
            <v>402284.96</v>
          </cell>
          <cell r="F1006">
            <v>399415.38</v>
          </cell>
          <cell r="G1006">
            <v>-2869.58</v>
          </cell>
          <cell r="H1006">
            <v>0</v>
          </cell>
          <cell r="I1006" t="str">
            <v>C</v>
          </cell>
        </row>
        <row r="1007">
          <cell r="A1007">
            <v>2141</v>
          </cell>
          <cell r="B1007" t="str">
            <v>2.1.02.040.0004</v>
          </cell>
          <cell r="C1007" t="str">
            <v>0561 IRRF COLABORADOR</v>
          </cell>
          <cell r="D1007">
            <v>412893.18</v>
          </cell>
          <cell r="E1007">
            <v>192571.58</v>
          </cell>
          <cell r="F1007">
            <v>182525.52</v>
          </cell>
          <cell r="G1007">
            <v>-10046.06</v>
          </cell>
          <cell r="H1007">
            <v>402847.12</v>
          </cell>
          <cell r="I1007" t="str">
            <v>C</v>
          </cell>
        </row>
        <row r="1008">
          <cell r="A1008">
            <v>2149</v>
          </cell>
          <cell r="B1008" t="str">
            <v>2.1.02.040.0006</v>
          </cell>
          <cell r="C1008" t="str">
            <v>0588 IRRF TERCEIROS PF</v>
          </cell>
          <cell r="D1008">
            <v>51442.239999999998</v>
          </cell>
          <cell r="E1008">
            <v>26370.01</v>
          </cell>
          <cell r="F1008">
            <v>9291.18</v>
          </cell>
          <cell r="G1008">
            <v>-17078.830000000002</v>
          </cell>
          <cell r="H1008">
            <v>34363.410000000003</v>
          </cell>
          <cell r="I1008" t="str">
            <v>C</v>
          </cell>
        </row>
        <row r="1009">
          <cell r="A1009">
            <v>2147</v>
          </cell>
          <cell r="B1009" t="str">
            <v>2.1.02.040.0007</v>
          </cell>
          <cell r="C1009" t="str">
            <v xml:space="preserve">1708 IRRF TERCEIROS PJ </v>
          </cell>
          <cell r="D1009">
            <v>90421.21</v>
          </cell>
          <cell r="E1009">
            <v>90803.65</v>
          </cell>
          <cell r="F1009">
            <v>81034.75</v>
          </cell>
          <cell r="G1009">
            <v>-9768.9</v>
          </cell>
          <cell r="H1009">
            <v>80652.31</v>
          </cell>
          <cell r="I1009" t="str">
            <v>C</v>
          </cell>
        </row>
        <row r="1010">
          <cell r="A1010">
            <v>2152</v>
          </cell>
          <cell r="B1010" t="str">
            <v>2.1.02.040.0008</v>
          </cell>
          <cell r="C1010" t="str">
            <v xml:space="preserve">3208 IRRF TERCEIROS </v>
          </cell>
          <cell r="D1010">
            <v>13923.21</v>
          </cell>
          <cell r="E1010">
            <v>21097.599999999999</v>
          </cell>
          <cell r="F1010">
            <v>21299.91</v>
          </cell>
          <cell r="G1010">
            <v>202.31</v>
          </cell>
          <cell r="H1010">
            <v>14125.52</v>
          </cell>
          <cell r="I1010" t="str">
            <v>C</v>
          </cell>
        </row>
        <row r="1011">
          <cell r="A1011">
            <v>2182</v>
          </cell>
          <cell r="B1011" t="str">
            <v>2.1.02.040.0010</v>
          </cell>
          <cell r="C1011" t="str">
            <v xml:space="preserve">CONTRIBUICOES </v>
          </cell>
          <cell r="D1011">
            <v>56344.160000000003</v>
          </cell>
          <cell r="E1011">
            <v>45733.52</v>
          </cell>
          <cell r="F1011">
            <v>74602.83</v>
          </cell>
          <cell r="G1011">
            <v>28869.31</v>
          </cell>
          <cell r="H1011">
            <v>85213.47</v>
          </cell>
          <cell r="I1011" t="str">
            <v>C</v>
          </cell>
        </row>
        <row r="1012">
          <cell r="A1012">
            <v>2194</v>
          </cell>
          <cell r="B1012" t="str">
            <v>2.1.02.040.0011</v>
          </cell>
          <cell r="C1012" t="str">
            <v xml:space="preserve">5952 RETENCOES CSSL </v>
          </cell>
          <cell r="D1012">
            <v>291266.19</v>
          </cell>
          <cell r="E1012">
            <v>278910.48</v>
          </cell>
          <cell r="F1012">
            <v>258894.81</v>
          </cell>
          <cell r="G1012">
            <v>-20015.669999999998</v>
          </cell>
          <cell r="H1012">
            <v>271250.52</v>
          </cell>
          <cell r="I1012" t="str">
            <v>C</v>
          </cell>
        </row>
        <row r="1013">
          <cell r="A1013">
            <v>2195</v>
          </cell>
          <cell r="B1013" t="str">
            <v>2.1.02.050</v>
          </cell>
          <cell r="C1013" t="str">
            <v xml:space="preserve">PARCELAMENTO DE </v>
          </cell>
          <cell r="D1013">
            <v>284337.82</v>
          </cell>
          <cell r="E1013">
            <v>772646.57</v>
          </cell>
          <cell r="F1013">
            <v>724836.5</v>
          </cell>
          <cell r="G1013">
            <v>-47810.07</v>
          </cell>
          <cell r="H1013">
            <v>236527.75</v>
          </cell>
          <cell r="I1013" t="str">
            <v>C</v>
          </cell>
        </row>
        <row r="1014">
          <cell r="A1014">
            <v>34046</v>
          </cell>
          <cell r="B1014" t="str">
            <v>2.1.02.050.0008</v>
          </cell>
          <cell r="C1014" t="str">
            <v xml:space="preserve">1345 MULTA PARCELAMENTO </v>
          </cell>
          <cell r="D1014">
            <v>44587.040000000001</v>
          </cell>
          <cell r="E1014">
            <v>640755.23</v>
          </cell>
          <cell r="F1014">
            <v>622510.62</v>
          </cell>
          <cell r="G1014">
            <v>-18244.61</v>
          </cell>
          <cell r="H1014">
            <v>26342.43</v>
          </cell>
          <cell r="I1014" t="str">
            <v>C</v>
          </cell>
        </row>
        <row r="1015">
          <cell r="A1015">
            <v>33116</v>
          </cell>
          <cell r="B1015" t="str">
            <v>2.1.02.050.0015</v>
          </cell>
          <cell r="C1015" t="str">
            <v xml:space="preserve">FGTS PARCELAMENTO </v>
          </cell>
          <cell r="D1015">
            <v>239750.78</v>
          </cell>
          <cell r="E1015">
            <v>131891.34</v>
          </cell>
          <cell r="F1015">
            <v>102325.88</v>
          </cell>
          <cell r="G1015">
            <v>-29565.46</v>
          </cell>
          <cell r="H1015">
            <v>210185.32</v>
          </cell>
          <cell r="I1015" t="str">
            <v>C</v>
          </cell>
        </row>
        <row r="1016">
          <cell r="A1016">
            <v>53063</v>
          </cell>
          <cell r="B1016" t="str">
            <v>2.1.02.060</v>
          </cell>
          <cell r="C1016" t="str">
            <v>CONTRIBUICOES</v>
          </cell>
          <cell r="D1016">
            <v>3923.73</v>
          </cell>
          <cell r="E1016">
            <v>4430.24</v>
          </cell>
          <cell r="F1016">
            <v>4381.45</v>
          </cell>
          <cell r="G1016">
            <v>-48.79</v>
          </cell>
          <cell r="H1016">
            <v>3874.94</v>
          </cell>
          <cell r="I1016" t="str">
            <v>C</v>
          </cell>
        </row>
        <row r="1017">
          <cell r="A1017">
            <v>2188</v>
          </cell>
          <cell r="B1017" t="str">
            <v>2.1.02.060.0001</v>
          </cell>
          <cell r="C1017" t="str">
            <v xml:space="preserve">CONTRIBUICAO </v>
          </cell>
          <cell r="D1017">
            <v>1845.25</v>
          </cell>
          <cell r="E1017">
            <v>1845.25</v>
          </cell>
          <cell r="F1017">
            <v>1816.22</v>
          </cell>
          <cell r="G1017">
            <v>-29.03</v>
          </cell>
          <cell r="H1017">
            <v>1816.22</v>
          </cell>
          <cell r="I1017" t="str">
            <v>C</v>
          </cell>
        </row>
        <row r="1018">
          <cell r="A1018">
            <v>2190</v>
          </cell>
          <cell r="B1018" t="str">
            <v>2.1.02.060.0002</v>
          </cell>
          <cell r="C1018" t="str">
            <v xml:space="preserve">CONTRIBUICOES SINDICAL </v>
          </cell>
          <cell r="D1018">
            <v>0</v>
          </cell>
          <cell r="E1018">
            <v>481.51</v>
          </cell>
          <cell r="F1018">
            <v>481.51</v>
          </cell>
          <cell r="G1018">
            <v>0</v>
          </cell>
          <cell r="H1018">
            <v>0</v>
          </cell>
          <cell r="I1018" t="str">
            <v>C</v>
          </cell>
        </row>
        <row r="1019">
          <cell r="A1019">
            <v>2192</v>
          </cell>
          <cell r="B1019" t="str">
            <v>2.1.02.060.0003</v>
          </cell>
          <cell r="C1019" t="str">
            <v>MENSALIDADE SINDICATO</v>
          </cell>
          <cell r="D1019">
            <v>2078.48</v>
          </cell>
          <cell r="E1019">
            <v>2103.48</v>
          </cell>
          <cell r="F1019">
            <v>2083.7199999999998</v>
          </cell>
          <cell r="G1019">
            <v>-19.760000000000002</v>
          </cell>
          <cell r="H1019">
            <v>2058.7199999999998</v>
          </cell>
          <cell r="I1019" t="str">
            <v>C</v>
          </cell>
        </row>
        <row r="1020">
          <cell r="A1020">
            <v>2160</v>
          </cell>
          <cell r="B1020" t="str">
            <v>2.1.02.070</v>
          </cell>
          <cell r="C1020" t="str">
            <v>IMPOSTOS MUNICIPAIS</v>
          </cell>
          <cell r="D1020">
            <v>85019.34</v>
          </cell>
          <cell r="E1020">
            <v>73190.13</v>
          </cell>
          <cell r="F1020">
            <v>90660.72</v>
          </cell>
          <cell r="G1020">
            <v>17470.59</v>
          </cell>
          <cell r="H1020">
            <v>102489.93</v>
          </cell>
          <cell r="I1020" t="str">
            <v>C</v>
          </cell>
        </row>
        <row r="1021">
          <cell r="A1021">
            <v>27139</v>
          </cell>
          <cell r="B1021" t="str">
            <v>2.1.02.070.0001</v>
          </cell>
          <cell r="C1021" t="str">
            <v>IPTU TERCEIROS</v>
          </cell>
          <cell r="D1021">
            <v>56454.95</v>
          </cell>
          <cell r="E1021">
            <v>6829.04</v>
          </cell>
          <cell r="F1021">
            <v>1040</v>
          </cell>
          <cell r="G1021">
            <v>-5789.04</v>
          </cell>
          <cell r="H1021">
            <v>50665.91</v>
          </cell>
          <cell r="I1021" t="str">
            <v>C</v>
          </cell>
        </row>
        <row r="1022">
          <cell r="A1022">
            <v>2158</v>
          </cell>
          <cell r="B1022" t="str">
            <v>2.1.02.070.0002</v>
          </cell>
          <cell r="C1022" t="str">
            <v xml:space="preserve">ISS IMPOSTO SOBRE </v>
          </cell>
          <cell r="D1022">
            <v>23292.59</v>
          </cell>
          <cell r="E1022">
            <v>65577.14</v>
          </cell>
          <cell r="F1022">
            <v>89620.72</v>
          </cell>
          <cell r="G1022">
            <v>24043.58</v>
          </cell>
          <cell r="H1022">
            <v>47336.17</v>
          </cell>
          <cell r="I1022" t="str">
            <v>C</v>
          </cell>
        </row>
        <row r="1023">
          <cell r="A1023">
            <v>52626</v>
          </cell>
          <cell r="B1023" t="str">
            <v>2.1.02.070.0004</v>
          </cell>
          <cell r="C1023" t="str">
            <v xml:space="preserve">TAXAS E LICENCAS </v>
          </cell>
          <cell r="D1023">
            <v>5271.8</v>
          </cell>
          <cell r="E1023">
            <v>783.95</v>
          </cell>
          <cell r="F1023">
            <v>0</v>
          </cell>
          <cell r="G1023">
            <v>-783.95</v>
          </cell>
          <cell r="H1023">
            <v>4487.8500000000004</v>
          </cell>
          <cell r="I1023" t="str">
            <v>C</v>
          </cell>
        </row>
        <row r="1024">
          <cell r="A1024">
            <v>2217</v>
          </cell>
          <cell r="B1024" t="str">
            <v>2.1.03</v>
          </cell>
          <cell r="C1024" t="str">
            <v xml:space="preserve">EMPRESTIMOS E </v>
          </cell>
          <cell r="D1024">
            <v>7233303.0599999996</v>
          </cell>
          <cell r="E1024">
            <v>972038.3</v>
          </cell>
          <cell r="F1024">
            <v>237969.99</v>
          </cell>
          <cell r="G1024">
            <v>-734068.31</v>
          </cell>
          <cell r="H1024">
            <v>6499234.75</v>
          </cell>
          <cell r="I1024" t="str">
            <v>C</v>
          </cell>
        </row>
        <row r="1025">
          <cell r="A1025">
            <v>2218</v>
          </cell>
          <cell r="B1025" t="str">
            <v>2.1.03.010</v>
          </cell>
          <cell r="C1025" t="str">
            <v xml:space="preserve">EMPRESTIMOS </v>
          </cell>
          <cell r="D1025">
            <v>9112802</v>
          </cell>
          <cell r="E1025">
            <v>946416.12</v>
          </cell>
          <cell r="F1025">
            <v>33103.42</v>
          </cell>
          <cell r="G1025">
            <v>-913312.7</v>
          </cell>
          <cell r="H1025">
            <v>8199489.2999999998</v>
          </cell>
          <cell r="I1025" t="str">
            <v>C</v>
          </cell>
        </row>
        <row r="1026">
          <cell r="A1026">
            <v>2255</v>
          </cell>
          <cell r="B1026" t="str">
            <v>2.1.03.010.0012</v>
          </cell>
          <cell r="C1026" t="str">
            <v xml:space="preserve">BANCO SANTANDER BANESPA </v>
          </cell>
          <cell r="D1026">
            <v>6721509.4900000002</v>
          </cell>
          <cell r="E1026">
            <v>671575.32</v>
          </cell>
          <cell r="F1026">
            <v>0</v>
          </cell>
          <cell r="G1026">
            <v>-671575.32</v>
          </cell>
          <cell r="H1026">
            <v>6049934.1699999999</v>
          </cell>
          <cell r="I1026" t="str">
            <v>C</v>
          </cell>
        </row>
        <row r="1027">
          <cell r="A1027">
            <v>51496</v>
          </cell>
          <cell r="B1027" t="str">
            <v>2.1.03.010.0013</v>
          </cell>
          <cell r="C1027" t="str">
            <v xml:space="preserve">DESENVOLVE SP AG </v>
          </cell>
          <cell r="D1027">
            <v>1437605.41</v>
          </cell>
          <cell r="E1027">
            <v>145338.23999999999</v>
          </cell>
          <cell r="F1027">
            <v>0</v>
          </cell>
          <cell r="G1027">
            <v>-145338.23999999999</v>
          </cell>
          <cell r="H1027">
            <v>1292267.17</v>
          </cell>
          <cell r="I1027" t="str">
            <v>C</v>
          </cell>
        </row>
        <row r="1028">
          <cell r="A1028">
            <v>52133</v>
          </cell>
          <cell r="B1028" t="str">
            <v>2.1.03.010.0014</v>
          </cell>
          <cell r="C1028" t="str">
            <v xml:space="preserve">CARTAO CREDITO OUROCARD </v>
          </cell>
          <cell r="D1028">
            <v>197427.44</v>
          </cell>
          <cell r="E1028">
            <v>46664.1</v>
          </cell>
          <cell r="F1028">
            <v>32244.22</v>
          </cell>
          <cell r="G1028">
            <v>-14419.88</v>
          </cell>
          <cell r="H1028">
            <v>183007.56</v>
          </cell>
          <cell r="I1028" t="str">
            <v>C</v>
          </cell>
        </row>
        <row r="1029">
          <cell r="A1029">
            <v>52832</v>
          </cell>
          <cell r="B1029" t="str">
            <v>2.1.03.010.0015</v>
          </cell>
          <cell r="C1029" t="str">
            <v xml:space="preserve">CARTAO CREDITO BANCO </v>
          </cell>
          <cell r="D1029">
            <v>5616.52</v>
          </cell>
          <cell r="E1029">
            <v>3091.7</v>
          </cell>
          <cell r="F1029">
            <v>859.2</v>
          </cell>
          <cell r="G1029">
            <v>-2232.5</v>
          </cell>
          <cell r="H1029">
            <v>3384.02</v>
          </cell>
          <cell r="I1029" t="str">
            <v>C</v>
          </cell>
        </row>
        <row r="1030">
          <cell r="A1030">
            <v>54428</v>
          </cell>
          <cell r="B1030" t="str">
            <v>2.1.03.010.0021</v>
          </cell>
          <cell r="C1030" t="str">
            <v xml:space="preserve">CARTAO CREDITO BANCO </v>
          </cell>
          <cell r="D1030">
            <v>26022.240000000002</v>
          </cell>
          <cell r="E1030">
            <v>10056.92</v>
          </cell>
          <cell r="F1030">
            <v>0</v>
          </cell>
          <cell r="G1030">
            <v>-10056.92</v>
          </cell>
          <cell r="H1030">
            <v>15965.32</v>
          </cell>
          <cell r="I1030" t="str">
            <v>C</v>
          </cell>
        </row>
        <row r="1031">
          <cell r="A1031">
            <v>54962</v>
          </cell>
          <cell r="B1031" t="str">
            <v>2.1.03.010.0023</v>
          </cell>
          <cell r="C1031" t="str">
            <v xml:space="preserve">BCO NACIONAL DE DESENV </v>
          </cell>
          <cell r="D1031">
            <v>724620.9</v>
          </cell>
          <cell r="E1031">
            <v>69689.84</v>
          </cell>
          <cell r="F1031">
            <v>0</v>
          </cell>
          <cell r="G1031">
            <v>-69689.84</v>
          </cell>
          <cell r="H1031">
            <v>654931.06000000006</v>
          </cell>
          <cell r="I1031" t="str">
            <v>C</v>
          </cell>
        </row>
        <row r="1032">
          <cell r="A1032">
            <v>38931</v>
          </cell>
          <cell r="B1032" t="str">
            <v>2.1.03.020</v>
          </cell>
          <cell r="C1032" t="str">
            <v xml:space="preserve">(-) JUROS A APROPRIAR </v>
          </cell>
          <cell r="D1032">
            <v>-2012001.3</v>
          </cell>
          <cell r="E1032">
            <v>0</v>
          </cell>
          <cell r="F1032">
            <v>199429.95</v>
          </cell>
          <cell r="G1032">
            <v>199429.95</v>
          </cell>
          <cell r="H1032">
            <v>-1812571.35</v>
          </cell>
          <cell r="I1032" t="str">
            <v>D</v>
          </cell>
        </row>
        <row r="1033">
          <cell r="A1033">
            <v>37451</v>
          </cell>
          <cell r="B1033" t="str">
            <v>2.1.03.020.0004</v>
          </cell>
          <cell r="C1033" t="str">
            <v xml:space="preserve">(-)JUROS A APROPRIAR - </v>
          </cell>
          <cell r="D1033">
            <v>-1026245.59</v>
          </cell>
          <cell r="E1033">
            <v>0</v>
          </cell>
          <cell r="F1033">
            <v>102048.93</v>
          </cell>
          <cell r="G1033">
            <v>102048.93</v>
          </cell>
          <cell r="H1033">
            <v>-924196.66</v>
          </cell>
          <cell r="I1033" t="str">
            <v>D</v>
          </cell>
        </row>
        <row r="1034">
          <cell r="A1034">
            <v>51498</v>
          </cell>
          <cell r="B1034" t="str">
            <v>2.1.03.020.0009</v>
          </cell>
          <cell r="C1034" t="str">
            <v xml:space="preserve">(-)JUROS A APROPRIAR - </v>
          </cell>
          <cell r="D1034">
            <v>-261134.81</v>
          </cell>
          <cell r="E1034">
            <v>0</v>
          </cell>
          <cell r="F1034">
            <v>27691.18</v>
          </cell>
          <cell r="G1034">
            <v>27691.18</v>
          </cell>
          <cell r="H1034">
            <v>-233443.63</v>
          </cell>
          <cell r="I1034" t="str">
            <v>D</v>
          </cell>
        </row>
        <row r="1035">
          <cell r="A1035">
            <v>54963</v>
          </cell>
          <cell r="B1035" t="str">
            <v>2.1.03.020.0016</v>
          </cell>
          <cell r="C1035" t="str">
            <v xml:space="preserve">(-)JUROS A APROPR - BANCO </v>
          </cell>
          <cell r="D1035">
            <v>-724620.9</v>
          </cell>
          <cell r="E1035">
            <v>0</v>
          </cell>
          <cell r="F1035">
            <v>69689.84</v>
          </cell>
          <cell r="G1035">
            <v>69689.84</v>
          </cell>
          <cell r="H1035">
            <v>-654931.06000000006</v>
          </cell>
          <cell r="I1035" t="str">
            <v>D</v>
          </cell>
        </row>
        <row r="1036">
          <cell r="A1036">
            <v>2257</v>
          </cell>
          <cell r="B1036" t="str">
            <v>2.1.03.030</v>
          </cell>
          <cell r="C1036" t="str">
            <v>FINANCIAMENTOS</v>
          </cell>
          <cell r="D1036">
            <v>169160.23</v>
          </cell>
          <cell r="E1036">
            <v>25622.18</v>
          </cell>
          <cell r="F1036">
            <v>0</v>
          </cell>
          <cell r="G1036">
            <v>-25622.18</v>
          </cell>
          <cell r="H1036">
            <v>143538.04999999999</v>
          </cell>
          <cell r="I1036" t="str">
            <v>C</v>
          </cell>
        </row>
        <row r="1037">
          <cell r="A1037">
            <v>51721</v>
          </cell>
          <cell r="B1037" t="str">
            <v>2.1.03.030.0005</v>
          </cell>
          <cell r="C1037" t="str">
            <v>SANTANDER LEASING SA</v>
          </cell>
          <cell r="D1037">
            <v>125430.83</v>
          </cell>
          <cell r="E1037">
            <v>17671.38</v>
          </cell>
          <cell r="F1037">
            <v>0</v>
          </cell>
          <cell r="G1037">
            <v>-17671.38</v>
          </cell>
          <cell r="H1037">
            <v>107759.45</v>
          </cell>
          <cell r="I1037" t="str">
            <v>C</v>
          </cell>
        </row>
        <row r="1038">
          <cell r="A1038">
            <v>54056</v>
          </cell>
          <cell r="B1038" t="str">
            <v>2.1.03.030.0007</v>
          </cell>
          <cell r="C1038" t="str">
            <v>SAFRA LEASING S A</v>
          </cell>
          <cell r="D1038">
            <v>43729.4</v>
          </cell>
          <cell r="E1038">
            <v>7950.8</v>
          </cell>
          <cell r="F1038">
            <v>0</v>
          </cell>
          <cell r="G1038">
            <v>-7950.8</v>
          </cell>
          <cell r="H1038">
            <v>35778.6</v>
          </cell>
          <cell r="I1038" t="str">
            <v>C</v>
          </cell>
        </row>
        <row r="1039">
          <cell r="A1039">
            <v>38932</v>
          </cell>
          <cell r="B1039" t="str">
            <v>2.1.03.040</v>
          </cell>
          <cell r="C1039" t="str">
            <v xml:space="preserve">(-) JUROS APROPRIAR S/ </v>
          </cell>
          <cell r="D1039">
            <v>-36657.870000000003</v>
          </cell>
          <cell r="E1039">
            <v>0</v>
          </cell>
          <cell r="F1039">
            <v>5436.62</v>
          </cell>
          <cell r="G1039">
            <v>5436.62</v>
          </cell>
          <cell r="H1039">
            <v>-31221.25</v>
          </cell>
          <cell r="I1039" t="str">
            <v>D</v>
          </cell>
        </row>
        <row r="1040">
          <cell r="A1040">
            <v>51755</v>
          </cell>
          <cell r="B1040" t="str">
            <v>2.1.03.040.0002</v>
          </cell>
          <cell r="C1040" t="str">
            <v xml:space="preserve">(-) JUROS A APROPRIAR S/ </v>
          </cell>
          <cell r="D1040">
            <v>-27645.02</v>
          </cell>
          <cell r="E1040">
            <v>0</v>
          </cell>
          <cell r="F1040">
            <v>3797.92</v>
          </cell>
          <cell r="G1040">
            <v>3797.92</v>
          </cell>
          <cell r="H1040">
            <v>-23847.1</v>
          </cell>
          <cell r="I1040" t="str">
            <v>D</v>
          </cell>
        </row>
        <row r="1041">
          <cell r="A1041">
            <v>54373</v>
          </cell>
          <cell r="B1041" t="str">
            <v>2.1.03.040.0004</v>
          </cell>
          <cell r="C1041" t="str">
            <v xml:space="preserve">(-) JUROS A APROPRIAR </v>
          </cell>
          <cell r="D1041">
            <v>-9012.85</v>
          </cell>
          <cell r="E1041">
            <v>0</v>
          </cell>
          <cell r="F1041">
            <v>1638.7</v>
          </cell>
          <cell r="G1041">
            <v>1638.7</v>
          </cell>
          <cell r="H1041">
            <v>-7374.15</v>
          </cell>
          <cell r="I1041" t="str">
            <v>D</v>
          </cell>
        </row>
        <row r="1042">
          <cell r="A1042">
            <v>2305</v>
          </cell>
          <cell r="B1042" t="str">
            <v>2.1.04</v>
          </cell>
          <cell r="C1042" t="str">
            <v>FORNECEDORES</v>
          </cell>
          <cell r="D1042">
            <v>15514235.560000001</v>
          </cell>
          <cell r="E1042">
            <v>13398946.380000001</v>
          </cell>
          <cell r="F1042">
            <v>11450529.02</v>
          </cell>
          <cell r="G1042">
            <v>-1948417.36</v>
          </cell>
          <cell r="H1042">
            <v>13565818.199999999</v>
          </cell>
          <cell r="I1042" t="str">
            <v>C</v>
          </cell>
        </row>
        <row r="1043">
          <cell r="A1043">
            <v>2313</v>
          </cell>
          <cell r="B1043" t="str">
            <v>2.1.04.010</v>
          </cell>
          <cell r="C1043" t="str">
            <v>FORNECEDORES DE BENS</v>
          </cell>
          <cell r="D1043">
            <v>13672664.75</v>
          </cell>
          <cell r="E1043">
            <v>10528862.689999999</v>
          </cell>
          <cell r="F1043">
            <v>8653978.5099999998</v>
          </cell>
          <cell r="G1043">
            <v>-1874884.18</v>
          </cell>
          <cell r="H1043">
            <v>11797780.57</v>
          </cell>
          <cell r="I1043" t="str">
            <v>C</v>
          </cell>
        </row>
        <row r="1044">
          <cell r="A1044">
            <v>52702</v>
          </cell>
          <cell r="B1044" t="str">
            <v>2.1.04.010.0003</v>
          </cell>
          <cell r="C1044" t="str">
            <v xml:space="preserve"> AIR LIQUIDE BRASIL LTDA</v>
          </cell>
          <cell r="D1044">
            <v>4350</v>
          </cell>
          <cell r="E1044">
            <v>4350</v>
          </cell>
          <cell r="F1044">
            <v>1410</v>
          </cell>
          <cell r="G1044">
            <v>-2940</v>
          </cell>
          <cell r="H1044">
            <v>1410</v>
          </cell>
          <cell r="I1044" t="str">
            <v>C</v>
          </cell>
        </row>
        <row r="1045">
          <cell r="A1045">
            <v>2361</v>
          </cell>
          <cell r="B1045" t="str">
            <v>2.1.04.010.0010</v>
          </cell>
          <cell r="C1045" t="str">
            <v>AR DE CARVALHO DOCES ME</v>
          </cell>
          <cell r="D1045">
            <v>1558.4</v>
          </cell>
          <cell r="E1045">
            <v>1706.2</v>
          </cell>
          <cell r="F1045">
            <v>295.60000000000002</v>
          </cell>
          <cell r="G1045">
            <v>-1410.6</v>
          </cell>
          <cell r="H1045">
            <v>147.80000000000001</v>
          </cell>
          <cell r="I1045" t="str">
            <v>C</v>
          </cell>
        </row>
        <row r="1046">
          <cell r="A1046">
            <v>2366</v>
          </cell>
          <cell r="B1046" t="str">
            <v>2.1.04.010.0012</v>
          </cell>
          <cell r="C1046" t="str">
            <v xml:space="preserve">A7 SISTEMAS PARA HIGIENE </v>
          </cell>
          <cell r="D1046">
            <v>91810.41</v>
          </cell>
          <cell r="E1046">
            <v>62702.73</v>
          </cell>
          <cell r="F1046">
            <v>59207.26</v>
          </cell>
          <cell r="G1046">
            <v>-3495.47</v>
          </cell>
          <cell r="H1046">
            <v>88314.94</v>
          </cell>
          <cell r="I1046" t="str">
            <v>C</v>
          </cell>
        </row>
        <row r="1047">
          <cell r="A1047">
            <v>12449</v>
          </cell>
          <cell r="B1047" t="str">
            <v>2.1.04.010.0014</v>
          </cell>
          <cell r="C1047" t="str">
            <v xml:space="preserve">ACTION MEDICAL COMERCIO </v>
          </cell>
          <cell r="D1047">
            <v>180</v>
          </cell>
          <cell r="E1047">
            <v>0</v>
          </cell>
          <cell r="F1047">
            <v>0</v>
          </cell>
          <cell r="G1047">
            <v>0</v>
          </cell>
          <cell r="H1047">
            <v>180</v>
          </cell>
          <cell r="I1047" t="str">
            <v>C</v>
          </cell>
        </row>
        <row r="1048">
          <cell r="A1048">
            <v>38600</v>
          </cell>
          <cell r="B1048" t="str">
            <v>2.1.04.010.0019</v>
          </cell>
          <cell r="C1048" t="str">
            <v xml:space="preserve">AGROPECUARIA BOMY LTDA </v>
          </cell>
          <cell r="D1048">
            <v>17500.330000000002</v>
          </cell>
          <cell r="E1048">
            <v>21532.74</v>
          </cell>
          <cell r="F1048">
            <v>22325.01</v>
          </cell>
          <cell r="G1048">
            <v>792.27</v>
          </cell>
          <cell r="H1048">
            <v>18292.599999999999</v>
          </cell>
          <cell r="I1048" t="str">
            <v>C</v>
          </cell>
        </row>
        <row r="1049">
          <cell r="A1049">
            <v>2399</v>
          </cell>
          <cell r="B1049" t="str">
            <v>2.1.04.010.0022</v>
          </cell>
          <cell r="C1049" t="str">
            <v xml:space="preserve">ALEXANDRE EDUARDO DIAS </v>
          </cell>
          <cell r="D1049">
            <v>49459.86</v>
          </cell>
          <cell r="E1049">
            <v>41509.1</v>
          </cell>
          <cell r="F1049">
            <v>29435.65</v>
          </cell>
          <cell r="G1049">
            <v>-12073.45</v>
          </cell>
          <cell r="H1049">
            <v>37386.410000000003</v>
          </cell>
          <cell r="I1049" t="str">
            <v>C</v>
          </cell>
        </row>
        <row r="1050">
          <cell r="A1050">
            <v>52827</v>
          </cell>
          <cell r="B1050" t="str">
            <v>2.1.04.010.0026</v>
          </cell>
          <cell r="C1050" t="str">
            <v xml:space="preserve">ALLENT COM IMP E DISTRIB </v>
          </cell>
          <cell r="D1050">
            <v>18700</v>
          </cell>
          <cell r="E1050">
            <v>0</v>
          </cell>
          <cell r="F1050">
            <v>4730</v>
          </cell>
          <cell r="G1050">
            <v>4730</v>
          </cell>
          <cell r="H1050">
            <v>23430</v>
          </cell>
          <cell r="I1050" t="str">
            <v>C</v>
          </cell>
        </row>
        <row r="1051">
          <cell r="A1051">
            <v>51364</v>
          </cell>
          <cell r="B1051" t="str">
            <v>2.1.04.010.0028</v>
          </cell>
          <cell r="C1051" t="str">
            <v xml:space="preserve">ALQUILABOR COMERCIAL </v>
          </cell>
          <cell r="D1051">
            <v>136</v>
          </cell>
          <cell r="E1051">
            <v>136</v>
          </cell>
          <cell r="F1051">
            <v>0</v>
          </cell>
          <cell r="G1051">
            <v>-136</v>
          </cell>
          <cell r="H1051">
            <v>0</v>
          </cell>
          <cell r="I1051" t="str">
            <v>C</v>
          </cell>
        </row>
        <row r="1052">
          <cell r="A1052">
            <v>2417</v>
          </cell>
          <cell r="B1052" t="str">
            <v>2.1.04.010.0030</v>
          </cell>
          <cell r="C1052" t="str">
            <v xml:space="preserve">ALVINOS CONFEITARIA E </v>
          </cell>
          <cell r="D1052">
            <v>0</v>
          </cell>
          <cell r="E1052">
            <v>335.5</v>
          </cell>
          <cell r="F1052">
            <v>1804.7</v>
          </cell>
          <cell r="G1052">
            <v>1469.2</v>
          </cell>
          <cell r="H1052">
            <v>1469.2</v>
          </cell>
          <cell r="I1052" t="str">
            <v>C</v>
          </cell>
        </row>
        <row r="1053">
          <cell r="A1053">
            <v>51511</v>
          </cell>
          <cell r="B1053" t="str">
            <v>2.1.04.010.0032</v>
          </cell>
          <cell r="C1053" t="str">
            <v xml:space="preserve">AMANDA DOS SANTOS GIANINI </v>
          </cell>
          <cell r="D1053">
            <v>19423.150000000001</v>
          </cell>
          <cell r="E1053">
            <v>9020.49</v>
          </cell>
          <cell r="F1053">
            <v>5629.3</v>
          </cell>
          <cell r="G1053">
            <v>-3391.19</v>
          </cell>
          <cell r="H1053">
            <v>16031.96</v>
          </cell>
          <cell r="I1053" t="str">
            <v>C</v>
          </cell>
        </row>
        <row r="1054">
          <cell r="A1054">
            <v>38666</v>
          </cell>
          <cell r="B1054" t="str">
            <v>2.1.04.010.0035</v>
          </cell>
          <cell r="C1054" t="str">
            <v xml:space="preserve">AMBIOTON IMPORTADORA </v>
          </cell>
          <cell r="D1054">
            <v>9260.75</v>
          </cell>
          <cell r="E1054">
            <v>9260.75</v>
          </cell>
          <cell r="F1054">
            <v>7794</v>
          </cell>
          <cell r="G1054">
            <v>-1466.75</v>
          </cell>
          <cell r="H1054">
            <v>7794</v>
          </cell>
          <cell r="I1054" t="str">
            <v>C</v>
          </cell>
        </row>
        <row r="1055">
          <cell r="A1055">
            <v>51177</v>
          </cell>
          <cell r="B1055" t="str">
            <v>2.1.04.010.0039</v>
          </cell>
          <cell r="C1055" t="str">
            <v xml:space="preserve">ANDRE CHAVES CHAVEIRO </v>
          </cell>
          <cell r="D1055">
            <v>300.7</v>
          </cell>
          <cell r="E1055">
            <v>300.7</v>
          </cell>
          <cell r="F1055">
            <v>0</v>
          </cell>
          <cell r="G1055">
            <v>-300.7</v>
          </cell>
          <cell r="H1055">
            <v>0</v>
          </cell>
          <cell r="I1055" t="str">
            <v>C</v>
          </cell>
        </row>
        <row r="1056">
          <cell r="A1056">
            <v>51970</v>
          </cell>
          <cell r="B1056" t="str">
            <v>2.1.04.010.0044</v>
          </cell>
          <cell r="C1056" t="str">
            <v xml:space="preserve">ANGIOMEDICAL COM DE </v>
          </cell>
          <cell r="D1056">
            <v>18707.16</v>
          </cell>
          <cell r="E1056">
            <v>18707.16</v>
          </cell>
          <cell r="F1056">
            <v>58421.279999999999</v>
          </cell>
          <cell r="G1056">
            <v>39714.120000000003</v>
          </cell>
          <cell r="H1056">
            <v>58421.279999999999</v>
          </cell>
          <cell r="I1056" t="str">
            <v>C</v>
          </cell>
        </row>
        <row r="1057">
          <cell r="A1057">
            <v>37690</v>
          </cell>
          <cell r="B1057" t="str">
            <v>2.1.04.010.0048</v>
          </cell>
          <cell r="C1057" t="str">
            <v xml:space="preserve">ARENA SUPRIM MED COML </v>
          </cell>
          <cell r="D1057">
            <v>1920.05</v>
          </cell>
          <cell r="E1057">
            <v>3428.85</v>
          </cell>
          <cell r="F1057">
            <v>11661.35</v>
          </cell>
          <cell r="G1057">
            <v>8232.5</v>
          </cell>
          <cell r="H1057">
            <v>10152.549999999999</v>
          </cell>
          <cell r="I1057" t="str">
            <v>C</v>
          </cell>
        </row>
        <row r="1058">
          <cell r="A1058">
            <v>33795</v>
          </cell>
          <cell r="B1058" t="str">
            <v>2.1.04.010.0049</v>
          </cell>
          <cell r="C1058" t="str">
            <v xml:space="preserve">ARJONA E CARVALHO </v>
          </cell>
          <cell r="D1058">
            <v>0</v>
          </cell>
          <cell r="E1058">
            <v>0</v>
          </cell>
          <cell r="F1058">
            <v>2597.73</v>
          </cell>
          <cell r="G1058">
            <v>2597.73</v>
          </cell>
          <cell r="H1058">
            <v>2597.73</v>
          </cell>
          <cell r="I1058" t="str">
            <v>C</v>
          </cell>
        </row>
        <row r="1059">
          <cell r="A1059">
            <v>32471</v>
          </cell>
          <cell r="B1059" t="str">
            <v>2.1.04.010.0053</v>
          </cell>
          <cell r="C1059" t="str">
            <v xml:space="preserve">ATIVA COMERCIAL </v>
          </cell>
          <cell r="D1059">
            <v>14622.38</v>
          </cell>
          <cell r="E1059">
            <v>11291.04</v>
          </cell>
          <cell r="F1059">
            <v>7459.64</v>
          </cell>
          <cell r="G1059">
            <v>-3831.4</v>
          </cell>
          <cell r="H1059">
            <v>10790.98</v>
          </cell>
          <cell r="I1059" t="str">
            <v>C</v>
          </cell>
        </row>
        <row r="1060">
          <cell r="A1060">
            <v>2459</v>
          </cell>
          <cell r="B1060" t="str">
            <v>2.1.04.010.0057</v>
          </cell>
          <cell r="C1060" t="str">
            <v xml:space="preserve">AUTO SUTURE DO BRASIL </v>
          </cell>
          <cell r="D1060">
            <v>160</v>
          </cell>
          <cell r="E1060">
            <v>40</v>
          </cell>
          <cell r="F1060">
            <v>0</v>
          </cell>
          <cell r="G1060">
            <v>-40</v>
          </cell>
          <cell r="H1060">
            <v>120</v>
          </cell>
          <cell r="I1060" t="str">
            <v>C</v>
          </cell>
        </row>
        <row r="1061">
          <cell r="A1061">
            <v>38018</v>
          </cell>
          <cell r="B1061" t="str">
            <v>2.1.04.010.0068</v>
          </cell>
          <cell r="C1061" t="str">
            <v xml:space="preserve">BELIVE COMERCIO DE </v>
          </cell>
          <cell r="D1061">
            <v>8694</v>
          </cell>
          <cell r="E1061">
            <v>5868</v>
          </cell>
          <cell r="F1061">
            <v>16861</v>
          </cell>
          <cell r="G1061">
            <v>10993</v>
          </cell>
          <cell r="H1061">
            <v>19687</v>
          </cell>
          <cell r="I1061" t="str">
            <v>C</v>
          </cell>
        </row>
        <row r="1062">
          <cell r="A1062">
            <v>37844</v>
          </cell>
          <cell r="B1062" t="str">
            <v>2.1.04.010.0073</v>
          </cell>
          <cell r="C1062" t="str">
            <v xml:space="preserve">BIOCATH COM DE PRODS </v>
          </cell>
          <cell r="D1062">
            <v>53354.8</v>
          </cell>
          <cell r="E1062">
            <v>63094.49</v>
          </cell>
          <cell r="F1062">
            <v>54488.9</v>
          </cell>
          <cell r="G1062">
            <v>-8605.59</v>
          </cell>
          <cell r="H1062">
            <v>44749.21</v>
          </cell>
          <cell r="I1062" t="str">
            <v>C</v>
          </cell>
        </row>
        <row r="1063">
          <cell r="A1063">
            <v>2857</v>
          </cell>
          <cell r="B1063" t="str">
            <v>2.1.04.010.0075</v>
          </cell>
          <cell r="C1063" t="str">
            <v xml:space="preserve">BIOMEDICAL MEDICAM E </v>
          </cell>
          <cell r="D1063">
            <v>0</v>
          </cell>
          <cell r="E1063">
            <v>0</v>
          </cell>
          <cell r="F1063">
            <v>500</v>
          </cell>
          <cell r="G1063">
            <v>500</v>
          </cell>
          <cell r="H1063">
            <v>500</v>
          </cell>
          <cell r="I1063" t="str">
            <v>C</v>
          </cell>
        </row>
        <row r="1064">
          <cell r="A1064">
            <v>2490</v>
          </cell>
          <cell r="B1064" t="str">
            <v>2.1.04.010.0081</v>
          </cell>
          <cell r="C1064" t="str">
            <v xml:space="preserve">BIOTRONIK INDUSTRIA E COM </v>
          </cell>
          <cell r="D1064">
            <v>1808.34</v>
          </cell>
          <cell r="E1064">
            <v>0</v>
          </cell>
          <cell r="F1064">
            <v>0</v>
          </cell>
          <cell r="G1064">
            <v>0</v>
          </cell>
          <cell r="H1064">
            <v>1808.34</v>
          </cell>
          <cell r="I1064" t="str">
            <v>C</v>
          </cell>
        </row>
        <row r="1065">
          <cell r="A1065">
            <v>2498</v>
          </cell>
          <cell r="B1065" t="str">
            <v>2.1.04.010.0086</v>
          </cell>
          <cell r="C1065" t="str">
            <v xml:space="preserve">BOSTON SCIENTIFIC DO </v>
          </cell>
          <cell r="D1065">
            <v>0</v>
          </cell>
          <cell r="E1065">
            <v>124386.2</v>
          </cell>
          <cell r="F1065">
            <v>159492.39000000001</v>
          </cell>
          <cell r="G1065">
            <v>35106.19</v>
          </cell>
          <cell r="H1065">
            <v>35106.19</v>
          </cell>
          <cell r="I1065" t="str">
            <v>C</v>
          </cell>
        </row>
        <row r="1066">
          <cell r="A1066">
            <v>52452</v>
          </cell>
          <cell r="B1066" t="str">
            <v>2.1.04.010.0099</v>
          </cell>
          <cell r="C1066" t="str">
            <v xml:space="preserve">CARDIO E ENDO LUMINAL </v>
          </cell>
          <cell r="D1066">
            <v>50446.68</v>
          </cell>
          <cell r="E1066">
            <v>57317.24</v>
          </cell>
          <cell r="F1066">
            <v>34425.9</v>
          </cell>
          <cell r="G1066">
            <v>-22891.34</v>
          </cell>
          <cell r="H1066">
            <v>27555.34</v>
          </cell>
          <cell r="I1066" t="str">
            <v>C</v>
          </cell>
        </row>
        <row r="1067">
          <cell r="A1067">
            <v>3026</v>
          </cell>
          <cell r="B1067" t="str">
            <v>2.1.04.010.0103</v>
          </cell>
          <cell r="C1067" t="str">
            <v xml:space="preserve">CASA DE FERRAGENS </v>
          </cell>
          <cell r="D1067">
            <v>8573.2800000000007</v>
          </cell>
          <cell r="E1067">
            <v>7680.87</v>
          </cell>
          <cell r="F1067">
            <v>1441.3</v>
          </cell>
          <cell r="G1067">
            <v>-6239.57</v>
          </cell>
          <cell r="H1067">
            <v>2333.71</v>
          </cell>
          <cell r="I1067" t="str">
            <v>C</v>
          </cell>
        </row>
        <row r="1068">
          <cell r="A1068">
            <v>37900</v>
          </cell>
          <cell r="B1068" t="str">
            <v>2.1.04.010.0105</v>
          </cell>
          <cell r="C1068" t="str">
            <v xml:space="preserve">CASA DOS BEBEDOUROS </v>
          </cell>
          <cell r="D1068">
            <v>719.76</v>
          </cell>
          <cell r="E1068">
            <v>719.76</v>
          </cell>
          <cell r="F1068">
            <v>0</v>
          </cell>
          <cell r="G1068">
            <v>-719.76</v>
          </cell>
          <cell r="H1068">
            <v>0</v>
          </cell>
          <cell r="I1068" t="str">
            <v>C</v>
          </cell>
        </row>
        <row r="1069">
          <cell r="A1069">
            <v>34064</v>
          </cell>
          <cell r="B1069" t="str">
            <v>2.1.04.010.0115</v>
          </cell>
          <cell r="C1069" t="str">
            <v xml:space="preserve">CHOLMED COMERICAL </v>
          </cell>
          <cell r="D1069">
            <v>19433.259999999998</v>
          </cell>
          <cell r="E1069">
            <v>18788.32</v>
          </cell>
          <cell r="F1069">
            <v>25591.18</v>
          </cell>
          <cell r="G1069">
            <v>6802.86</v>
          </cell>
          <cell r="H1069">
            <v>26236.12</v>
          </cell>
          <cell r="I1069" t="str">
            <v>C</v>
          </cell>
        </row>
        <row r="1070">
          <cell r="A1070">
            <v>37883</v>
          </cell>
          <cell r="B1070" t="str">
            <v>2.1.04.010.0119</v>
          </cell>
          <cell r="C1070" t="str">
            <v xml:space="preserve">CINCO CONFIANCA INDUSTRIA </v>
          </cell>
          <cell r="D1070">
            <v>12526.6</v>
          </cell>
          <cell r="E1070">
            <v>12159.98</v>
          </cell>
          <cell r="F1070">
            <v>13227.92</v>
          </cell>
          <cell r="G1070">
            <v>1067.94</v>
          </cell>
          <cell r="H1070">
            <v>13594.54</v>
          </cell>
          <cell r="I1070" t="str">
            <v>C</v>
          </cell>
        </row>
        <row r="1071">
          <cell r="A1071">
            <v>2572</v>
          </cell>
          <cell r="B1071" t="str">
            <v>2.1.04.010.0121</v>
          </cell>
          <cell r="C1071" t="str">
            <v>CIRURGICA FERNANDES LTDA</v>
          </cell>
          <cell r="D1071">
            <v>603.37</v>
          </cell>
          <cell r="E1071">
            <v>603.37</v>
          </cell>
          <cell r="F1071">
            <v>2370.9</v>
          </cell>
          <cell r="G1071">
            <v>1767.53</v>
          </cell>
          <cell r="H1071">
            <v>2370.9</v>
          </cell>
          <cell r="I1071" t="str">
            <v>C</v>
          </cell>
        </row>
        <row r="1072">
          <cell r="A1072">
            <v>37307</v>
          </cell>
          <cell r="B1072" t="str">
            <v>2.1.04.010.0122</v>
          </cell>
          <cell r="C1072" t="str">
            <v>CIRURGICA OLIMPIO LTDA</v>
          </cell>
          <cell r="D1072">
            <v>0</v>
          </cell>
          <cell r="E1072">
            <v>0</v>
          </cell>
          <cell r="F1072">
            <v>1126.45</v>
          </cell>
          <cell r="G1072">
            <v>1126.45</v>
          </cell>
          <cell r="H1072">
            <v>1126.45</v>
          </cell>
          <cell r="I1072" t="str">
            <v>C</v>
          </cell>
        </row>
        <row r="1073">
          <cell r="A1073">
            <v>2575</v>
          </cell>
          <cell r="B1073" t="str">
            <v>2.1.04.010.0123</v>
          </cell>
          <cell r="C1073" t="str">
            <v>CIRURGICA SAO JOSE LTDA</v>
          </cell>
          <cell r="D1073">
            <v>118310.54</v>
          </cell>
          <cell r="E1073">
            <v>117460.5</v>
          </cell>
          <cell r="F1073">
            <v>172604.13</v>
          </cell>
          <cell r="G1073">
            <v>55143.63</v>
          </cell>
          <cell r="H1073">
            <v>173454.17</v>
          </cell>
          <cell r="I1073" t="str">
            <v>C</v>
          </cell>
        </row>
        <row r="1074">
          <cell r="A1074">
            <v>2577</v>
          </cell>
          <cell r="B1074" t="str">
            <v>2.1.04.010.0125</v>
          </cell>
          <cell r="C1074" t="str">
            <v xml:space="preserve">CIRUVALE COM DE MATERIAL </v>
          </cell>
          <cell r="D1074">
            <v>2044</v>
          </cell>
          <cell r="E1074">
            <v>2044</v>
          </cell>
          <cell r="F1074">
            <v>877.76</v>
          </cell>
          <cell r="G1074">
            <v>-1166.24</v>
          </cell>
          <cell r="H1074">
            <v>877.76</v>
          </cell>
          <cell r="I1074" t="str">
            <v>C</v>
          </cell>
        </row>
        <row r="1075">
          <cell r="A1075">
            <v>3741</v>
          </cell>
          <cell r="B1075" t="str">
            <v>2.1.04.010.0129</v>
          </cell>
          <cell r="C1075" t="str">
            <v xml:space="preserve">CLICHEIRA VERA CRUZ LTDA </v>
          </cell>
          <cell r="D1075">
            <v>762</v>
          </cell>
          <cell r="E1075">
            <v>762</v>
          </cell>
          <cell r="F1075">
            <v>341</v>
          </cell>
          <cell r="G1075">
            <v>-421</v>
          </cell>
          <cell r="H1075">
            <v>341</v>
          </cell>
          <cell r="I1075" t="str">
            <v>C</v>
          </cell>
        </row>
        <row r="1076">
          <cell r="A1076">
            <v>37443</v>
          </cell>
          <cell r="B1076" t="str">
            <v>2.1.04.010.0132</v>
          </cell>
          <cell r="C1076" t="str">
            <v>CM HOSPITALAR LTDA</v>
          </cell>
          <cell r="D1076">
            <v>249334.12</v>
          </cell>
          <cell r="E1076">
            <v>232010.05</v>
          </cell>
          <cell r="F1076">
            <v>329021.28000000003</v>
          </cell>
          <cell r="G1076">
            <v>97011.23</v>
          </cell>
          <cell r="H1076">
            <v>346345.35</v>
          </cell>
          <cell r="I1076" t="str">
            <v>C</v>
          </cell>
        </row>
        <row r="1077">
          <cell r="A1077">
            <v>2594</v>
          </cell>
          <cell r="B1077" t="str">
            <v>2.1.04.010.0135</v>
          </cell>
          <cell r="C1077" t="str">
            <v xml:space="preserve">COMERCIAL AGRICOLA </v>
          </cell>
          <cell r="D1077">
            <v>3980</v>
          </cell>
          <cell r="E1077">
            <v>5120</v>
          </cell>
          <cell r="F1077">
            <v>6240</v>
          </cell>
          <cell r="G1077">
            <v>1120</v>
          </cell>
          <cell r="H1077">
            <v>5100</v>
          </cell>
          <cell r="I1077" t="str">
            <v>C</v>
          </cell>
        </row>
        <row r="1078">
          <cell r="A1078">
            <v>34195</v>
          </cell>
          <cell r="B1078" t="str">
            <v>2.1.04.010.0136</v>
          </cell>
          <cell r="C1078" t="str">
            <v xml:space="preserve">COMERCIAL CAPIZZANI </v>
          </cell>
          <cell r="D1078">
            <v>1458.74</v>
          </cell>
          <cell r="E1078">
            <v>729.37</v>
          </cell>
          <cell r="F1078">
            <v>0</v>
          </cell>
          <cell r="G1078">
            <v>-729.37</v>
          </cell>
          <cell r="H1078">
            <v>729.37</v>
          </cell>
          <cell r="I1078" t="str">
            <v>C</v>
          </cell>
        </row>
        <row r="1079">
          <cell r="A1079">
            <v>2602</v>
          </cell>
          <cell r="B1079" t="str">
            <v>2.1.04.010.0138</v>
          </cell>
          <cell r="C1079" t="str">
            <v xml:space="preserve">COMERCIAL CIRURGICA </v>
          </cell>
          <cell r="D1079">
            <v>46658.09</v>
          </cell>
          <cell r="E1079">
            <v>68870.84</v>
          </cell>
          <cell r="F1079">
            <v>87741.97</v>
          </cell>
          <cell r="G1079">
            <v>18871.13</v>
          </cell>
          <cell r="H1079">
            <v>65529.22</v>
          </cell>
          <cell r="I1079" t="str">
            <v>C</v>
          </cell>
        </row>
        <row r="1080">
          <cell r="A1080">
            <v>33580</v>
          </cell>
          <cell r="B1080" t="str">
            <v>2.1.04.010.0146</v>
          </cell>
          <cell r="C1080" t="str">
            <v xml:space="preserve">COMERCIAL ZARAGOZA IMP E </v>
          </cell>
          <cell r="D1080">
            <v>30916.25</v>
          </cell>
          <cell r="E1080">
            <v>55105.69</v>
          </cell>
          <cell r="F1080">
            <v>49548.63</v>
          </cell>
          <cell r="G1080">
            <v>-5557.06</v>
          </cell>
          <cell r="H1080">
            <v>25359.19</v>
          </cell>
          <cell r="I1080" t="str">
            <v>C</v>
          </cell>
        </row>
        <row r="1081">
          <cell r="A1081">
            <v>2632</v>
          </cell>
          <cell r="B1081" t="str">
            <v>2.1.04.010.0150</v>
          </cell>
          <cell r="C1081" t="str">
            <v xml:space="preserve">COMISSAO NACIONAL DE </v>
          </cell>
          <cell r="D1081">
            <v>11861.78</v>
          </cell>
          <cell r="E1081">
            <v>14722.13</v>
          </cell>
          <cell r="F1081">
            <v>13504.25</v>
          </cell>
          <cell r="G1081">
            <v>-1217.8800000000001</v>
          </cell>
          <cell r="H1081">
            <v>10643.9</v>
          </cell>
          <cell r="I1081" t="str">
            <v>C</v>
          </cell>
        </row>
        <row r="1082">
          <cell r="A1082">
            <v>37436</v>
          </cell>
          <cell r="B1082" t="str">
            <v>2.1.04.010.0158</v>
          </cell>
          <cell r="C1082" t="str">
            <v xml:space="preserve">COPOLFOOD COM PROD ALIM </v>
          </cell>
          <cell r="D1082">
            <v>5350.18</v>
          </cell>
          <cell r="E1082">
            <v>9772.75</v>
          </cell>
          <cell r="F1082">
            <v>5923.61</v>
          </cell>
          <cell r="G1082">
            <v>-3849.14</v>
          </cell>
          <cell r="H1082">
            <v>1501.04</v>
          </cell>
          <cell r="I1082" t="str">
            <v>C</v>
          </cell>
        </row>
        <row r="1083">
          <cell r="A1083">
            <v>51805</v>
          </cell>
          <cell r="B1083" t="str">
            <v>2.1.04.010.0159</v>
          </cell>
          <cell r="C1083" t="str">
            <v xml:space="preserve">CORTICAL VALE COM SERV </v>
          </cell>
          <cell r="D1083">
            <v>367816.93</v>
          </cell>
          <cell r="E1083">
            <v>205007.79</v>
          </cell>
          <cell r="F1083">
            <v>105052.55</v>
          </cell>
          <cell r="G1083">
            <v>-99955.24</v>
          </cell>
          <cell r="H1083">
            <v>267861.69</v>
          </cell>
          <cell r="I1083" t="str">
            <v>C</v>
          </cell>
        </row>
        <row r="1084">
          <cell r="A1084">
            <v>2652</v>
          </cell>
          <cell r="B1084" t="str">
            <v>2.1.04.010.0162</v>
          </cell>
          <cell r="C1084" t="str">
            <v xml:space="preserve">CRISMED COMERCIAL </v>
          </cell>
          <cell r="D1084">
            <v>8484.4599999999991</v>
          </cell>
          <cell r="E1084">
            <v>11885.26</v>
          </cell>
          <cell r="F1084">
            <v>7282.19</v>
          </cell>
          <cell r="G1084">
            <v>-4603.07</v>
          </cell>
          <cell r="H1084">
            <v>3881.39</v>
          </cell>
          <cell r="I1084" t="str">
            <v>C</v>
          </cell>
        </row>
        <row r="1085">
          <cell r="A1085">
            <v>2654</v>
          </cell>
          <cell r="B1085" t="str">
            <v>2.1.04.010.0164</v>
          </cell>
          <cell r="C1085" t="str">
            <v xml:space="preserve">CRISTALIA PROD QUIMICOS </v>
          </cell>
          <cell r="D1085">
            <v>47461.75</v>
          </cell>
          <cell r="E1085">
            <v>43730.86</v>
          </cell>
          <cell r="F1085">
            <v>107925.96</v>
          </cell>
          <cell r="G1085">
            <v>64195.1</v>
          </cell>
          <cell r="H1085">
            <v>111656.85</v>
          </cell>
          <cell r="I1085" t="str">
            <v>C</v>
          </cell>
        </row>
        <row r="1086">
          <cell r="A1086">
            <v>32504</v>
          </cell>
          <cell r="B1086" t="str">
            <v>2.1.04.010.0165</v>
          </cell>
          <cell r="C1086" t="str">
            <v xml:space="preserve">DALPRAT COM DE </v>
          </cell>
          <cell r="D1086">
            <v>2512</v>
          </cell>
          <cell r="E1086">
            <v>2512</v>
          </cell>
          <cell r="F1086">
            <v>0</v>
          </cell>
          <cell r="G1086">
            <v>-2512</v>
          </cell>
          <cell r="H1086">
            <v>0</v>
          </cell>
          <cell r="I1086" t="str">
            <v>C</v>
          </cell>
        </row>
        <row r="1087">
          <cell r="A1087">
            <v>32791</v>
          </cell>
          <cell r="B1087" t="str">
            <v>2.1.04.010.0172</v>
          </cell>
          <cell r="C1087" t="str">
            <v xml:space="preserve">DELL COMPUTADORES DO </v>
          </cell>
          <cell r="D1087">
            <v>2382.17</v>
          </cell>
          <cell r="E1087">
            <v>2382.17</v>
          </cell>
          <cell r="F1087">
            <v>0</v>
          </cell>
          <cell r="G1087">
            <v>-2382.17</v>
          </cell>
          <cell r="H1087">
            <v>0</v>
          </cell>
          <cell r="I1087" t="str">
            <v>C</v>
          </cell>
        </row>
        <row r="1088">
          <cell r="A1088">
            <v>34132</v>
          </cell>
          <cell r="B1088" t="str">
            <v>2.1.04.010.0180</v>
          </cell>
          <cell r="C1088" t="str">
            <v xml:space="preserve">DIGIPLAS COMERCIAL LTDA </v>
          </cell>
          <cell r="D1088">
            <v>12189.95</v>
          </cell>
          <cell r="E1088">
            <v>12189.95</v>
          </cell>
          <cell r="F1088">
            <v>0</v>
          </cell>
          <cell r="G1088">
            <v>-12189.95</v>
          </cell>
          <cell r="H1088">
            <v>0</v>
          </cell>
          <cell r="I1088" t="str">
            <v>C</v>
          </cell>
        </row>
        <row r="1089">
          <cell r="A1089">
            <v>3775</v>
          </cell>
          <cell r="B1089" t="str">
            <v>2.1.04.010.0181</v>
          </cell>
          <cell r="C1089" t="str">
            <v xml:space="preserve">DILERMANDO COM. DE MAQ. </v>
          </cell>
          <cell r="D1089">
            <v>0</v>
          </cell>
          <cell r="E1089">
            <v>0</v>
          </cell>
          <cell r="F1089">
            <v>80</v>
          </cell>
          <cell r="G1089">
            <v>80</v>
          </cell>
          <cell r="H1089">
            <v>80</v>
          </cell>
          <cell r="I1089" t="str">
            <v>C</v>
          </cell>
        </row>
        <row r="1090">
          <cell r="A1090">
            <v>52711</v>
          </cell>
          <cell r="B1090" t="str">
            <v>2.1.04.010.0182</v>
          </cell>
          <cell r="C1090" t="str">
            <v xml:space="preserve">DINACI DE LOUDES PEREIRA </v>
          </cell>
          <cell r="D1090">
            <v>4653.8999999999996</v>
          </cell>
          <cell r="E1090">
            <v>8073.3</v>
          </cell>
          <cell r="F1090">
            <v>8692.2000000000007</v>
          </cell>
          <cell r="G1090">
            <v>618.9</v>
          </cell>
          <cell r="H1090">
            <v>5272.8</v>
          </cell>
          <cell r="I1090" t="str">
            <v>C</v>
          </cell>
        </row>
        <row r="1091">
          <cell r="A1091">
            <v>33461</v>
          </cell>
          <cell r="B1091" t="str">
            <v>2.1.04.010.0188</v>
          </cell>
          <cell r="C1091" t="str">
            <v>DONIZETTI E BATISTA LTDA</v>
          </cell>
          <cell r="D1091">
            <v>42446.95</v>
          </cell>
          <cell r="E1091">
            <v>77913.45</v>
          </cell>
          <cell r="F1091">
            <v>86300.18</v>
          </cell>
          <cell r="G1091">
            <v>8386.73</v>
          </cell>
          <cell r="H1091">
            <v>50833.68</v>
          </cell>
          <cell r="I1091" t="str">
            <v>C</v>
          </cell>
        </row>
        <row r="1092">
          <cell r="A1092">
            <v>36629</v>
          </cell>
          <cell r="B1092" t="str">
            <v>2.1.04.010.0190</v>
          </cell>
          <cell r="C1092" t="str">
            <v xml:space="preserve">DPM VALE COM PROD </v>
          </cell>
          <cell r="D1092">
            <v>577647.35</v>
          </cell>
          <cell r="E1092">
            <v>275709.90999999997</v>
          </cell>
          <cell r="F1092">
            <v>38194.879999999997</v>
          </cell>
          <cell r="G1092">
            <v>-237515.03</v>
          </cell>
          <cell r="H1092">
            <v>340132.32</v>
          </cell>
          <cell r="I1092" t="str">
            <v>C</v>
          </cell>
        </row>
        <row r="1093">
          <cell r="A1093">
            <v>52225</v>
          </cell>
          <cell r="B1093" t="str">
            <v>2.1.04.010.0192</v>
          </cell>
          <cell r="C1093" t="str">
            <v xml:space="preserve">DROGAPAR SAO DIMAS LTDA </v>
          </cell>
          <cell r="D1093">
            <v>2699.09</v>
          </cell>
          <cell r="E1093">
            <v>1689.09</v>
          </cell>
          <cell r="F1093">
            <v>5274.95</v>
          </cell>
          <cell r="G1093">
            <v>3585.86</v>
          </cell>
          <cell r="H1093">
            <v>6284.95</v>
          </cell>
          <cell r="I1093" t="str">
            <v>C</v>
          </cell>
        </row>
        <row r="1094">
          <cell r="A1094">
            <v>52256</v>
          </cell>
          <cell r="B1094" t="str">
            <v>2.1.04.010.0194</v>
          </cell>
          <cell r="C1094" t="str">
            <v xml:space="preserve">DROGARIA SAO LUCAS </v>
          </cell>
          <cell r="D1094">
            <v>0</v>
          </cell>
          <cell r="E1094">
            <v>150</v>
          </cell>
          <cell r="F1094">
            <v>176.19</v>
          </cell>
          <cell r="G1094">
            <v>26.19</v>
          </cell>
          <cell r="H1094">
            <v>26.19</v>
          </cell>
          <cell r="I1094" t="str">
            <v>C</v>
          </cell>
        </row>
        <row r="1095">
          <cell r="A1095">
            <v>34056</v>
          </cell>
          <cell r="B1095" t="str">
            <v>2.1.04.010.0197</v>
          </cell>
          <cell r="C1095" t="str">
            <v>DSI DROGARIA LTDA</v>
          </cell>
          <cell r="D1095">
            <v>117.39</v>
          </cell>
          <cell r="E1095">
            <v>18161.349999999999</v>
          </cell>
          <cell r="F1095">
            <v>18425.7</v>
          </cell>
          <cell r="G1095">
            <v>264.35000000000002</v>
          </cell>
          <cell r="H1095">
            <v>381.74</v>
          </cell>
          <cell r="I1095" t="str">
            <v>C</v>
          </cell>
        </row>
        <row r="1096">
          <cell r="A1096">
            <v>2719</v>
          </cell>
          <cell r="B1096" t="str">
            <v>2.1.04.010.0199</v>
          </cell>
          <cell r="C1096" t="str">
            <v xml:space="preserve">DUPATRI HOSPITALAR </v>
          </cell>
          <cell r="D1096">
            <v>198421.42</v>
          </cell>
          <cell r="E1096">
            <v>177576.01</v>
          </cell>
          <cell r="F1096">
            <v>64646.94</v>
          </cell>
          <cell r="G1096">
            <v>-112929.07</v>
          </cell>
          <cell r="H1096">
            <v>85492.35</v>
          </cell>
          <cell r="I1096" t="str">
            <v>C</v>
          </cell>
        </row>
        <row r="1097">
          <cell r="A1097">
            <v>33120</v>
          </cell>
          <cell r="B1097" t="str">
            <v>2.1.04.010.0204</v>
          </cell>
          <cell r="C1097" t="str">
            <v>E TAMUSSINO E CIA LTDA</v>
          </cell>
          <cell r="D1097">
            <v>15050</v>
          </cell>
          <cell r="E1097">
            <v>10650</v>
          </cell>
          <cell r="F1097">
            <v>8400</v>
          </cell>
          <cell r="G1097">
            <v>-2250</v>
          </cell>
          <cell r="H1097">
            <v>12800</v>
          </cell>
          <cell r="I1097" t="str">
            <v>C</v>
          </cell>
        </row>
        <row r="1098">
          <cell r="A1098">
            <v>37885</v>
          </cell>
          <cell r="B1098" t="str">
            <v>2.1.04.010.0205</v>
          </cell>
          <cell r="C1098" t="str">
            <v xml:space="preserve">ECO CLEAN COM PROD EQUIP </v>
          </cell>
          <cell r="D1098">
            <v>17125.79</v>
          </cell>
          <cell r="E1098">
            <v>18067.66</v>
          </cell>
          <cell r="F1098">
            <v>9804.0499999999993</v>
          </cell>
          <cell r="G1098">
            <v>-8263.61</v>
          </cell>
          <cell r="H1098">
            <v>8862.18</v>
          </cell>
          <cell r="I1098" t="str">
            <v>C</v>
          </cell>
        </row>
        <row r="1099">
          <cell r="A1099">
            <v>2725</v>
          </cell>
          <cell r="B1099" t="str">
            <v>2.1.04.010.0207</v>
          </cell>
          <cell r="C1099" t="str">
            <v xml:space="preserve">ECOMED COM PROD MED </v>
          </cell>
          <cell r="D1099">
            <v>4000</v>
          </cell>
          <cell r="E1099">
            <v>4000</v>
          </cell>
          <cell r="F1099">
            <v>0</v>
          </cell>
          <cell r="G1099">
            <v>-4000</v>
          </cell>
          <cell r="H1099">
            <v>0</v>
          </cell>
          <cell r="I1099" t="str">
            <v>C</v>
          </cell>
        </row>
        <row r="1100">
          <cell r="A1100">
            <v>38737</v>
          </cell>
          <cell r="B1100" t="str">
            <v>2.1.04.010.0223</v>
          </cell>
          <cell r="C1100" t="str">
            <v>ELFA MEDICAMENTOS LTDA</v>
          </cell>
          <cell r="D1100">
            <v>99882.47</v>
          </cell>
          <cell r="E1100">
            <v>100686.21</v>
          </cell>
          <cell r="F1100">
            <v>92759.46</v>
          </cell>
          <cell r="G1100">
            <v>-7926.75</v>
          </cell>
          <cell r="H1100">
            <v>91955.72</v>
          </cell>
          <cell r="I1100" t="str">
            <v>C</v>
          </cell>
        </row>
        <row r="1101">
          <cell r="A1101">
            <v>2752</v>
          </cell>
          <cell r="B1101" t="str">
            <v>2.1.04.010.0225</v>
          </cell>
          <cell r="C1101" t="str">
            <v xml:space="preserve">EMPORIO HOSPITALAR COM </v>
          </cell>
          <cell r="D1101">
            <v>207640.42</v>
          </cell>
          <cell r="E1101">
            <v>115500.24</v>
          </cell>
          <cell r="F1101">
            <v>123943.13</v>
          </cell>
          <cell r="G1101">
            <v>8442.89</v>
          </cell>
          <cell r="H1101">
            <v>216083.31</v>
          </cell>
          <cell r="I1101" t="str">
            <v>C</v>
          </cell>
        </row>
        <row r="1102">
          <cell r="A1102">
            <v>33134</v>
          </cell>
          <cell r="B1102" t="str">
            <v>2.1.04.010.0226</v>
          </cell>
          <cell r="C1102" t="str">
            <v xml:space="preserve">EMPORIO MEDICO COM DE </v>
          </cell>
          <cell r="D1102">
            <v>35946.99</v>
          </cell>
          <cell r="E1102">
            <v>34381.980000000003</v>
          </cell>
          <cell r="F1102">
            <v>35430</v>
          </cell>
          <cell r="G1102">
            <v>1048.02</v>
          </cell>
          <cell r="H1102">
            <v>36995.01</v>
          </cell>
          <cell r="I1102" t="str">
            <v>C</v>
          </cell>
        </row>
        <row r="1103">
          <cell r="A1103">
            <v>52575</v>
          </cell>
          <cell r="B1103" t="str">
            <v>2.1.04.010.0228</v>
          </cell>
          <cell r="C1103" t="str">
            <v xml:space="preserve">ENDOCTOR PRODUTOS </v>
          </cell>
          <cell r="D1103">
            <v>31286</v>
          </cell>
          <cell r="E1103">
            <v>19461</v>
          </cell>
          <cell r="F1103">
            <v>25557</v>
          </cell>
          <cell r="G1103">
            <v>6096</v>
          </cell>
          <cell r="H1103">
            <v>37382</v>
          </cell>
          <cell r="I1103" t="str">
            <v>C</v>
          </cell>
        </row>
        <row r="1104">
          <cell r="A1104">
            <v>37696</v>
          </cell>
          <cell r="B1104" t="str">
            <v>2.1.04.010.0234</v>
          </cell>
          <cell r="C1104" t="str">
            <v xml:space="preserve">EVMED PRODUTOS MEDICOS </v>
          </cell>
          <cell r="D1104">
            <v>3910</v>
          </cell>
          <cell r="E1104">
            <v>3910</v>
          </cell>
          <cell r="F1104">
            <v>0</v>
          </cell>
          <cell r="G1104">
            <v>-3910</v>
          </cell>
          <cell r="H1104">
            <v>0</v>
          </cell>
          <cell r="I1104" t="str">
            <v>C</v>
          </cell>
        </row>
        <row r="1105">
          <cell r="A1105">
            <v>12451</v>
          </cell>
          <cell r="B1105" t="str">
            <v>2.1.04.010.0238</v>
          </cell>
          <cell r="C1105" t="str">
            <v xml:space="preserve">EXCELENCIA DO PAO </v>
          </cell>
          <cell r="D1105">
            <v>9200.5</v>
          </cell>
          <cell r="E1105">
            <v>10953.1</v>
          </cell>
          <cell r="F1105">
            <v>12527.8</v>
          </cell>
          <cell r="G1105">
            <v>1574.7</v>
          </cell>
          <cell r="H1105">
            <v>10775.2</v>
          </cell>
          <cell r="I1105" t="str">
            <v>C</v>
          </cell>
        </row>
        <row r="1106">
          <cell r="A1106">
            <v>32480</v>
          </cell>
          <cell r="B1106" t="str">
            <v>2.1.04.010.0239</v>
          </cell>
          <cell r="C1106" t="str">
            <v xml:space="preserve">EXPRESSA DISTRIB DE </v>
          </cell>
          <cell r="D1106">
            <v>22580.9</v>
          </cell>
          <cell r="E1106">
            <v>15586.46</v>
          </cell>
          <cell r="F1106">
            <v>6225.98</v>
          </cell>
          <cell r="G1106">
            <v>-9360.48</v>
          </cell>
          <cell r="H1106">
            <v>13220.42</v>
          </cell>
          <cell r="I1106" t="str">
            <v>C</v>
          </cell>
        </row>
        <row r="1107">
          <cell r="A1107">
            <v>33988</v>
          </cell>
          <cell r="B1107" t="str">
            <v>2.1.04.010.0240</v>
          </cell>
          <cell r="C1107" t="str">
            <v xml:space="preserve">EXPRESSMEDICAL COM ATAC </v>
          </cell>
          <cell r="D1107">
            <v>73175.97</v>
          </cell>
          <cell r="E1107">
            <v>61176.29</v>
          </cell>
          <cell r="F1107">
            <v>70567.7</v>
          </cell>
          <cell r="G1107">
            <v>9391.41</v>
          </cell>
          <cell r="H1107">
            <v>82567.38</v>
          </cell>
          <cell r="I1107" t="str">
            <v>C</v>
          </cell>
        </row>
        <row r="1108">
          <cell r="A1108">
            <v>37305</v>
          </cell>
          <cell r="B1108" t="str">
            <v>2.1.04.010.0241</v>
          </cell>
          <cell r="C1108" t="str">
            <v>F DE PAULA M ALBUQUERQUE</v>
          </cell>
          <cell r="D1108">
            <v>1824</v>
          </cell>
          <cell r="E1108">
            <v>1824</v>
          </cell>
          <cell r="F1108">
            <v>1216</v>
          </cell>
          <cell r="G1108">
            <v>-608</v>
          </cell>
          <cell r="H1108">
            <v>1216</v>
          </cell>
          <cell r="I1108" t="str">
            <v>C</v>
          </cell>
        </row>
        <row r="1109">
          <cell r="A1109">
            <v>37995</v>
          </cell>
          <cell r="B1109" t="str">
            <v>2.1.04.010.0248</v>
          </cell>
          <cell r="C1109" t="str">
            <v xml:space="preserve">FARMATER MEDICAMENTOS </v>
          </cell>
          <cell r="D1109">
            <v>1277.75</v>
          </cell>
          <cell r="E1109">
            <v>1277.75</v>
          </cell>
          <cell r="F1109">
            <v>2065.6</v>
          </cell>
          <cell r="G1109">
            <v>787.85</v>
          </cell>
          <cell r="H1109">
            <v>2065.6</v>
          </cell>
          <cell r="I1109" t="str">
            <v>C</v>
          </cell>
        </row>
        <row r="1110">
          <cell r="A1110">
            <v>37752</v>
          </cell>
          <cell r="B1110" t="str">
            <v>2.1.04.010.0251</v>
          </cell>
          <cell r="C1110" t="str">
            <v xml:space="preserve">FELIPE DE CARVALHO ETTORI </v>
          </cell>
          <cell r="D1110">
            <v>0</v>
          </cell>
          <cell r="E1110">
            <v>757.5</v>
          </cell>
          <cell r="F1110">
            <v>2397.5</v>
          </cell>
          <cell r="G1110">
            <v>1640</v>
          </cell>
          <cell r="H1110">
            <v>1640</v>
          </cell>
          <cell r="I1110" t="str">
            <v>C</v>
          </cell>
        </row>
        <row r="1111">
          <cell r="A1111">
            <v>38226</v>
          </cell>
          <cell r="B1111" t="str">
            <v>2.1.04.010.0259</v>
          </cell>
          <cell r="C1111" t="str">
            <v>FLAHEL COMERCIO LTDA ME</v>
          </cell>
          <cell r="D1111">
            <v>2961</v>
          </cell>
          <cell r="E1111">
            <v>2961</v>
          </cell>
          <cell r="F1111">
            <v>1974</v>
          </cell>
          <cell r="G1111">
            <v>-987</v>
          </cell>
          <cell r="H1111">
            <v>1974</v>
          </cell>
          <cell r="I1111" t="str">
            <v>C</v>
          </cell>
        </row>
        <row r="1112">
          <cell r="A1112">
            <v>2813</v>
          </cell>
          <cell r="B1112" t="str">
            <v>2.1.04.010.0267</v>
          </cell>
          <cell r="C1112" t="str">
            <v xml:space="preserve">FONTELAB COM EQUIP </v>
          </cell>
          <cell r="D1112">
            <v>7471.81</v>
          </cell>
          <cell r="E1112">
            <v>5780.72</v>
          </cell>
          <cell r="F1112">
            <v>0</v>
          </cell>
          <cell r="G1112">
            <v>-5780.72</v>
          </cell>
          <cell r="H1112">
            <v>1691.09</v>
          </cell>
          <cell r="I1112" t="str">
            <v>C</v>
          </cell>
        </row>
        <row r="1113">
          <cell r="A1113">
            <v>2826</v>
          </cell>
          <cell r="B1113" t="str">
            <v>2.1.04.010.0270</v>
          </cell>
          <cell r="C1113" t="str">
            <v xml:space="preserve">FRESENIUS MEDICAL CARE </v>
          </cell>
          <cell r="D1113">
            <v>5022.9799999999996</v>
          </cell>
          <cell r="E1113">
            <v>2511.4899999999998</v>
          </cell>
          <cell r="F1113">
            <v>2984.56</v>
          </cell>
          <cell r="G1113">
            <v>473.07</v>
          </cell>
          <cell r="H1113">
            <v>5496.05</v>
          </cell>
          <cell r="I1113" t="str">
            <v>C</v>
          </cell>
        </row>
        <row r="1114">
          <cell r="A1114">
            <v>51384</v>
          </cell>
          <cell r="B1114" t="str">
            <v>2.1.04.010.0272</v>
          </cell>
          <cell r="C1114" t="str">
            <v xml:space="preserve">FRIOSHOPPING COME SERV </v>
          </cell>
          <cell r="D1114">
            <v>896.04</v>
          </cell>
          <cell r="E1114">
            <v>896.04</v>
          </cell>
          <cell r="F1114">
            <v>241.12</v>
          </cell>
          <cell r="G1114">
            <v>-654.91999999999996</v>
          </cell>
          <cell r="H1114">
            <v>241.12</v>
          </cell>
          <cell r="I1114" t="str">
            <v>C</v>
          </cell>
        </row>
        <row r="1115">
          <cell r="A1115">
            <v>37082</v>
          </cell>
          <cell r="B1115" t="str">
            <v>2.1.04.010.0274</v>
          </cell>
          <cell r="C1115" t="str">
            <v xml:space="preserve">FUTURA COM DE PROD </v>
          </cell>
          <cell r="D1115">
            <v>4707.62</v>
          </cell>
          <cell r="E1115">
            <v>9513.6200000000008</v>
          </cell>
          <cell r="F1115">
            <v>5945.99</v>
          </cell>
          <cell r="G1115">
            <v>-3567.63</v>
          </cell>
          <cell r="H1115">
            <v>1139.99</v>
          </cell>
          <cell r="I1115" t="str">
            <v>C</v>
          </cell>
        </row>
        <row r="1116">
          <cell r="A1116">
            <v>2836</v>
          </cell>
          <cell r="B1116" t="str">
            <v>2.1.04.010.0276</v>
          </cell>
          <cell r="C1116" t="str">
            <v>GFE DO BRASIL LTDA</v>
          </cell>
          <cell r="D1116">
            <v>0</v>
          </cell>
          <cell r="E1116">
            <v>2402.15</v>
          </cell>
          <cell r="F1116">
            <v>10137.15</v>
          </cell>
          <cell r="G1116">
            <v>7735</v>
          </cell>
          <cell r="H1116">
            <v>7735</v>
          </cell>
          <cell r="I1116" t="str">
            <v>C</v>
          </cell>
        </row>
        <row r="1117">
          <cell r="A1117">
            <v>37444</v>
          </cell>
          <cell r="B1117" t="str">
            <v>2.1.04.010.0291</v>
          </cell>
          <cell r="C1117" t="str">
            <v xml:space="preserve">HDL LOGISTICA HOSPITALAR </v>
          </cell>
          <cell r="D1117">
            <v>27559.97</v>
          </cell>
          <cell r="E1117">
            <v>35020.019999999997</v>
          </cell>
          <cell r="F1117">
            <v>21292.58</v>
          </cell>
          <cell r="G1117">
            <v>-13727.44</v>
          </cell>
          <cell r="H1117">
            <v>13832.53</v>
          </cell>
          <cell r="I1117" t="str">
            <v>C</v>
          </cell>
        </row>
        <row r="1118">
          <cell r="A1118">
            <v>2870</v>
          </cell>
          <cell r="B1118" t="str">
            <v>2.1.04.010.0297</v>
          </cell>
          <cell r="C1118" t="str">
            <v>HANDLE COM.</v>
          </cell>
          <cell r="D1118">
            <v>47648.29</v>
          </cell>
          <cell r="E1118">
            <v>33360.97</v>
          </cell>
          <cell r="F1118">
            <v>12750</v>
          </cell>
          <cell r="G1118">
            <v>-20610.97</v>
          </cell>
          <cell r="H1118">
            <v>27037.32</v>
          </cell>
          <cell r="I1118" t="str">
            <v>C</v>
          </cell>
        </row>
        <row r="1119">
          <cell r="A1119">
            <v>52809</v>
          </cell>
          <cell r="B1119" t="str">
            <v>2.1.04.010.0300</v>
          </cell>
          <cell r="C1119" t="str">
            <v xml:space="preserve">HEALTH TECH FARMACIA DE </v>
          </cell>
          <cell r="D1119">
            <v>252.75</v>
          </cell>
          <cell r="E1119">
            <v>562.75</v>
          </cell>
          <cell r="F1119">
            <v>647</v>
          </cell>
          <cell r="G1119">
            <v>84.25</v>
          </cell>
          <cell r="H1119">
            <v>337</v>
          </cell>
          <cell r="I1119" t="str">
            <v>C</v>
          </cell>
        </row>
        <row r="1120">
          <cell r="A1120">
            <v>2879</v>
          </cell>
          <cell r="B1120" t="str">
            <v>2.1.04.010.0304</v>
          </cell>
          <cell r="C1120" t="str">
            <v xml:space="preserve">HEMOPHARMA COM.E </v>
          </cell>
          <cell r="D1120">
            <v>0</v>
          </cell>
          <cell r="E1120">
            <v>828</v>
          </cell>
          <cell r="F1120">
            <v>828</v>
          </cell>
          <cell r="G1120">
            <v>0</v>
          </cell>
          <cell r="H1120">
            <v>0</v>
          </cell>
          <cell r="I1120" t="str">
            <v>C</v>
          </cell>
        </row>
        <row r="1121">
          <cell r="A1121">
            <v>26391</v>
          </cell>
          <cell r="B1121" t="str">
            <v>2.1.04.010.0310</v>
          </cell>
          <cell r="C1121" t="str">
            <v xml:space="preserve">HOSP PHARMA MANIPULACAO </v>
          </cell>
          <cell r="D1121">
            <v>14023.24</v>
          </cell>
          <cell r="E1121">
            <v>9901.0400000000009</v>
          </cell>
          <cell r="F1121">
            <v>10004.549999999999</v>
          </cell>
          <cell r="G1121">
            <v>103.51</v>
          </cell>
          <cell r="H1121">
            <v>14126.75</v>
          </cell>
          <cell r="I1121" t="str">
            <v>C</v>
          </cell>
        </row>
        <row r="1122">
          <cell r="A1122">
            <v>2896</v>
          </cell>
          <cell r="B1122" t="str">
            <v>2.1.04.010.0312</v>
          </cell>
          <cell r="C1122" t="str">
            <v>HOUTER DO BRASIL LTDA</v>
          </cell>
          <cell r="D1122">
            <v>1700</v>
          </cell>
          <cell r="E1122">
            <v>1700</v>
          </cell>
          <cell r="F1122">
            <v>2921</v>
          </cell>
          <cell r="G1122">
            <v>1221</v>
          </cell>
          <cell r="H1122">
            <v>2921</v>
          </cell>
          <cell r="I1122" t="str">
            <v>C</v>
          </cell>
        </row>
        <row r="1123">
          <cell r="A1123">
            <v>33708</v>
          </cell>
          <cell r="B1123" t="str">
            <v>2.1.04.010.0314</v>
          </cell>
          <cell r="C1123" t="str">
            <v xml:space="preserve">HTS TECNOL SAUDE COM IMP </v>
          </cell>
          <cell r="D1123">
            <v>0</v>
          </cell>
          <cell r="E1123">
            <v>0</v>
          </cell>
          <cell r="F1123">
            <v>1200</v>
          </cell>
          <cell r="G1123">
            <v>1200</v>
          </cell>
          <cell r="H1123">
            <v>1200</v>
          </cell>
          <cell r="I1123" t="str">
            <v>C</v>
          </cell>
        </row>
        <row r="1124">
          <cell r="A1124">
            <v>38280</v>
          </cell>
          <cell r="B1124" t="str">
            <v>2.1.04.010.0315</v>
          </cell>
          <cell r="C1124" t="str">
            <v xml:space="preserve">HUMANA ALIMENTAR DISTR </v>
          </cell>
          <cell r="D1124">
            <v>108683.58</v>
          </cell>
          <cell r="E1124">
            <v>59695.34</v>
          </cell>
          <cell r="F1124">
            <v>78637.5</v>
          </cell>
          <cell r="G1124">
            <v>18942.16</v>
          </cell>
          <cell r="H1124">
            <v>127625.74</v>
          </cell>
          <cell r="I1124" t="str">
            <v>C</v>
          </cell>
        </row>
        <row r="1125">
          <cell r="A1125">
            <v>52312</v>
          </cell>
          <cell r="B1125" t="str">
            <v>2.1.04.010.0325</v>
          </cell>
          <cell r="C1125" t="str">
            <v>INGRAM MICRO BRASIL LTDA</v>
          </cell>
          <cell r="D1125">
            <v>0</v>
          </cell>
          <cell r="E1125">
            <v>0</v>
          </cell>
          <cell r="F1125">
            <v>1173.33</v>
          </cell>
          <cell r="G1125">
            <v>1173.33</v>
          </cell>
          <cell r="H1125">
            <v>1173.33</v>
          </cell>
          <cell r="I1125" t="str">
            <v>C</v>
          </cell>
        </row>
        <row r="1126">
          <cell r="A1126">
            <v>33093</v>
          </cell>
          <cell r="B1126" t="str">
            <v>2.1.04.010.0327</v>
          </cell>
          <cell r="C1126" t="str">
            <v xml:space="preserve">INOVALI PRODUTOS MEDICOS </v>
          </cell>
          <cell r="D1126">
            <v>7559.89</v>
          </cell>
          <cell r="E1126">
            <v>9263.89</v>
          </cell>
          <cell r="F1126">
            <v>17184.52</v>
          </cell>
          <cell r="G1126">
            <v>7920.63</v>
          </cell>
          <cell r="H1126">
            <v>15480.52</v>
          </cell>
          <cell r="I1126" t="str">
            <v>C</v>
          </cell>
        </row>
        <row r="1127">
          <cell r="A1127">
            <v>52609</v>
          </cell>
          <cell r="B1127" t="str">
            <v>2.1.04.010.0337</v>
          </cell>
          <cell r="C1127" t="str">
            <v xml:space="preserve">ISOTEC TECNOLOGIA MEDICA </v>
          </cell>
          <cell r="D1127">
            <v>0</v>
          </cell>
          <cell r="E1127">
            <v>0</v>
          </cell>
          <cell r="F1127">
            <v>1195.5</v>
          </cell>
          <cell r="G1127">
            <v>1195.5</v>
          </cell>
          <cell r="H1127">
            <v>1195.5</v>
          </cell>
          <cell r="I1127" t="str">
            <v>C</v>
          </cell>
        </row>
        <row r="1128">
          <cell r="A1128">
            <v>51894</v>
          </cell>
          <cell r="B1128" t="str">
            <v>2.1.04.010.0345</v>
          </cell>
          <cell r="C1128" t="str">
            <v xml:space="preserve">JANAINA CARDOSO DE </v>
          </cell>
          <cell r="D1128">
            <v>345</v>
          </cell>
          <cell r="E1128">
            <v>345</v>
          </cell>
          <cell r="F1128">
            <v>0</v>
          </cell>
          <cell r="G1128">
            <v>-345</v>
          </cell>
          <cell r="H1128">
            <v>0</v>
          </cell>
          <cell r="I1128" t="str">
            <v>C</v>
          </cell>
        </row>
        <row r="1129">
          <cell r="A1129">
            <v>2997</v>
          </cell>
          <cell r="B1129" t="str">
            <v>2.1.04.010.0361</v>
          </cell>
          <cell r="C1129" t="str">
            <v xml:space="preserve">KALUNGA COM. E IND. </v>
          </cell>
          <cell r="D1129">
            <v>2937.99</v>
          </cell>
          <cell r="E1129">
            <v>3889.08</v>
          </cell>
          <cell r="F1129">
            <v>2326.02</v>
          </cell>
          <cell r="G1129">
            <v>-1563.06</v>
          </cell>
          <cell r="H1129">
            <v>1374.93</v>
          </cell>
          <cell r="I1129" t="str">
            <v>C</v>
          </cell>
        </row>
        <row r="1130">
          <cell r="A1130">
            <v>52910</v>
          </cell>
          <cell r="B1130" t="str">
            <v>2.1.04.010.0366</v>
          </cell>
          <cell r="C1130" t="str">
            <v>KLEMEM IMPORTACAO LTDA</v>
          </cell>
          <cell r="D1130">
            <v>0</v>
          </cell>
          <cell r="E1130">
            <v>0</v>
          </cell>
          <cell r="F1130">
            <v>898.08</v>
          </cell>
          <cell r="G1130">
            <v>898.08</v>
          </cell>
          <cell r="H1130">
            <v>898.08</v>
          </cell>
          <cell r="I1130" t="str">
            <v>C</v>
          </cell>
        </row>
        <row r="1131">
          <cell r="A1131">
            <v>3004</v>
          </cell>
          <cell r="B1131" t="str">
            <v>2.1.04.010.0367</v>
          </cell>
          <cell r="C1131" t="str">
            <v>KONIMAGEM COMERCIO LTDA</v>
          </cell>
          <cell r="D1131">
            <v>69968.820000000007</v>
          </cell>
          <cell r="E1131">
            <v>66686.19</v>
          </cell>
          <cell r="F1131">
            <v>51862.5</v>
          </cell>
          <cell r="G1131">
            <v>-14823.69</v>
          </cell>
          <cell r="H1131">
            <v>55145.13</v>
          </cell>
          <cell r="I1131" t="str">
            <v>C</v>
          </cell>
        </row>
        <row r="1132">
          <cell r="A1132">
            <v>52918</v>
          </cell>
          <cell r="B1132" t="str">
            <v>2.1.04.010.0368</v>
          </cell>
          <cell r="C1132" t="str">
            <v xml:space="preserve">KORYMA IND E COM DE PROD </v>
          </cell>
          <cell r="D1132">
            <v>895.2</v>
          </cell>
          <cell r="E1132">
            <v>3328.34</v>
          </cell>
          <cell r="F1132">
            <v>2433.14</v>
          </cell>
          <cell r="G1132">
            <v>-895.2</v>
          </cell>
          <cell r="H1132">
            <v>0</v>
          </cell>
          <cell r="I1132" t="str">
            <v>C</v>
          </cell>
        </row>
        <row r="1133">
          <cell r="A1133">
            <v>52149</v>
          </cell>
          <cell r="B1133" t="str">
            <v>2.1.04.010.0373</v>
          </cell>
          <cell r="C1133" t="str">
            <v>LM BORDADOS LTDA ME</v>
          </cell>
          <cell r="D1133">
            <v>0</v>
          </cell>
          <cell r="E1133">
            <v>768.5</v>
          </cell>
          <cell r="F1133">
            <v>768.5</v>
          </cell>
          <cell r="G1133">
            <v>0</v>
          </cell>
          <cell r="H1133">
            <v>0</v>
          </cell>
          <cell r="I1133" t="str">
            <v>C</v>
          </cell>
        </row>
        <row r="1134">
          <cell r="A1134">
            <v>32744</v>
          </cell>
          <cell r="B1134" t="str">
            <v>2.1.04.010.0377</v>
          </cell>
          <cell r="C1134" t="str">
            <v>LAURENY NERY NUNES EPP</v>
          </cell>
          <cell r="D1134">
            <v>0</v>
          </cell>
          <cell r="E1134">
            <v>0</v>
          </cell>
          <cell r="F1134">
            <v>3571.9</v>
          </cell>
          <cell r="G1134">
            <v>3571.9</v>
          </cell>
          <cell r="H1134">
            <v>3571.9</v>
          </cell>
          <cell r="I1134" t="str">
            <v>C</v>
          </cell>
        </row>
        <row r="1135">
          <cell r="A1135">
            <v>3023</v>
          </cell>
          <cell r="B1135" t="str">
            <v>2.1.04.010.0382</v>
          </cell>
          <cell r="C1135" t="str">
            <v>LEMOS E CAVALCANTI LTDA</v>
          </cell>
          <cell r="D1135">
            <v>4598</v>
          </cell>
          <cell r="E1135">
            <v>4598</v>
          </cell>
          <cell r="F1135">
            <v>12917</v>
          </cell>
          <cell r="G1135">
            <v>8319</v>
          </cell>
          <cell r="H1135">
            <v>12917</v>
          </cell>
          <cell r="I1135" t="str">
            <v>C</v>
          </cell>
        </row>
        <row r="1136">
          <cell r="A1136">
            <v>3024</v>
          </cell>
          <cell r="B1136" t="str">
            <v>2.1.04.010.0383</v>
          </cell>
          <cell r="C1136" t="str">
            <v xml:space="preserve">LEO MADEIRAS,MAQUINAS E </v>
          </cell>
          <cell r="D1136">
            <v>2209.66</v>
          </cell>
          <cell r="E1136">
            <v>2209.66</v>
          </cell>
          <cell r="F1136">
            <v>5089.17</v>
          </cell>
          <cell r="G1136">
            <v>2879.51</v>
          </cell>
          <cell r="H1136">
            <v>5089.17</v>
          </cell>
          <cell r="I1136" t="str">
            <v>C</v>
          </cell>
        </row>
        <row r="1137">
          <cell r="A1137">
            <v>3038</v>
          </cell>
          <cell r="B1137" t="str">
            <v>2.1.04.010.0387</v>
          </cell>
          <cell r="C1137" t="str">
            <v>LINDE GASES LTDA AGA SA</v>
          </cell>
          <cell r="D1137">
            <v>75802.03</v>
          </cell>
          <cell r="E1137">
            <v>93066.240000000005</v>
          </cell>
          <cell r="F1137">
            <v>88978.54</v>
          </cell>
          <cell r="G1137">
            <v>-4087.7</v>
          </cell>
          <cell r="H1137">
            <v>71714.33</v>
          </cell>
          <cell r="I1137" t="str">
            <v>C</v>
          </cell>
        </row>
        <row r="1138">
          <cell r="A1138">
            <v>3039</v>
          </cell>
          <cell r="B1138" t="str">
            <v>2.1.04.010.0388</v>
          </cell>
          <cell r="C1138" t="str">
            <v xml:space="preserve">LINE LIFE CARD COM DE </v>
          </cell>
          <cell r="D1138">
            <v>4360</v>
          </cell>
          <cell r="E1138">
            <v>4360</v>
          </cell>
          <cell r="F1138">
            <v>4800</v>
          </cell>
          <cell r="G1138">
            <v>440</v>
          </cell>
          <cell r="H1138">
            <v>4800</v>
          </cell>
          <cell r="I1138" t="str">
            <v>C</v>
          </cell>
        </row>
        <row r="1139">
          <cell r="A1139">
            <v>3042</v>
          </cell>
          <cell r="B1139" t="str">
            <v>2.1.04.010.0392</v>
          </cell>
          <cell r="C1139" t="str">
            <v>LM FARMA IND E COM LTDA</v>
          </cell>
          <cell r="D1139">
            <v>16807.099999999999</v>
          </cell>
          <cell r="E1139">
            <v>14587.1</v>
          </cell>
          <cell r="F1139">
            <v>18734.560000000001</v>
          </cell>
          <cell r="G1139">
            <v>4147.46</v>
          </cell>
          <cell r="H1139">
            <v>20954.560000000001</v>
          </cell>
          <cell r="I1139" t="str">
            <v>C</v>
          </cell>
        </row>
        <row r="1140">
          <cell r="A1140">
            <v>32957</v>
          </cell>
          <cell r="B1140" t="str">
            <v>2.1.04.010.0393</v>
          </cell>
          <cell r="C1140" t="str">
            <v xml:space="preserve">LN EQUIP E PRODUTOS PARA </v>
          </cell>
          <cell r="D1140">
            <v>15767.84</v>
          </cell>
          <cell r="E1140">
            <v>13780.58</v>
          </cell>
          <cell r="F1140">
            <v>6031.08</v>
          </cell>
          <cell r="G1140">
            <v>-7749.5</v>
          </cell>
          <cell r="H1140">
            <v>8018.34</v>
          </cell>
          <cell r="I1140" t="str">
            <v>C</v>
          </cell>
        </row>
        <row r="1141">
          <cell r="A1141">
            <v>37457</v>
          </cell>
          <cell r="B1141" t="str">
            <v>2.1.04.010.0396</v>
          </cell>
          <cell r="C1141" t="str">
            <v xml:space="preserve">LONDRES DISTRIB PROD ALIM </v>
          </cell>
          <cell r="D1141">
            <v>6269.92</v>
          </cell>
          <cell r="E1141">
            <v>9127.2199999999993</v>
          </cell>
          <cell r="F1141">
            <v>8328</v>
          </cell>
          <cell r="G1141">
            <v>-799.22</v>
          </cell>
          <cell r="H1141">
            <v>5470.7</v>
          </cell>
          <cell r="I1141" t="str">
            <v>C</v>
          </cell>
        </row>
        <row r="1142">
          <cell r="A1142">
            <v>3055</v>
          </cell>
          <cell r="B1142" t="str">
            <v>2.1.04.010.0399</v>
          </cell>
          <cell r="C1142" t="str">
            <v xml:space="preserve">LUCHETTI COM DE MATERIAIS </v>
          </cell>
          <cell r="D1142">
            <v>24956.17</v>
          </cell>
          <cell r="E1142">
            <v>25847.77</v>
          </cell>
          <cell r="F1142">
            <v>891.6</v>
          </cell>
          <cell r="G1142">
            <v>-24956.17</v>
          </cell>
          <cell r="H1142">
            <v>0</v>
          </cell>
          <cell r="I1142" t="str">
            <v>C</v>
          </cell>
        </row>
        <row r="1143">
          <cell r="A1143">
            <v>51141</v>
          </cell>
          <cell r="B1143" t="str">
            <v>2.1.04.010.0401</v>
          </cell>
          <cell r="C1143" t="str">
            <v xml:space="preserve">LUMIAR HEALTL BUILDERS </v>
          </cell>
          <cell r="D1143">
            <v>0</v>
          </cell>
          <cell r="E1143">
            <v>8000</v>
          </cell>
          <cell r="F1143">
            <v>8800</v>
          </cell>
          <cell r="G1143">
            <v>800</v>
          </cell>
          <cell r="H1143">
            <v>800</v>
          </cell>
          <cell r="I1143" t="str">
            <v>C</v>
          </cell>
        </row>
        <row r="1144">
          <cell r="A1144">
            <v>3064</v>
          </cell>
          <cell r="B1144" t="str">
            <v>2.1.04.010.0402</v>
          </cell>
          <cell r="C1144" t="str">
            <v xml:space="preserve">LUMIVALE LIVRARIA E </v>
          </cell>
          <cell r="D1144">
            <v>0</v>
          </cell>
          <cell r="E1144">
            <v>0</v>
          </cell>
          <cell r="F1144">
            <v>168</v>
          </cell>
          <cell r="G1144">
            <v>168</v>
          </cell>
          <cell r="H1144">
            <v>168</v>
          </cell>
          <cell r="I1144" t="str">
            <v>C</v>
          </cell>
        </row>
        <row r="1145">
          <cell r="A1145">
            <v>34133</v>
          </cell>
          <cell r="B1145" t="str">
            <v>2.1.04.010.0407</v>
          </cell>
          <cell r="C1145" t="str">
            <v xml:space="preserve">MCM DA SILVEIRA E CIA LTDA </v>
          </cell>
          <cell r="D1145">
            <v>0</v>
          </cell>
          <cell r="E1145">
            <v>0</v>
          </cell>
          <cell r="F1145">
            <v>691.2</v>
          </cell>
          <cell r="G1145">
            <v>691.2</v>
          </cell>
          <cell r="H1145">
            <v>691.2</v>
          </cell>
          <cell r="I1145" t="str">
            <v>C</v>
          </cell>
        </row>
        <row r="1146">
          <cell r="A1146">
            <v>51527</v>
          </cell>
          <cell r="B1146" t="str">
            <v>2.1.04.010.0409</v>
          </cell>
          <cell r="C1146" t="str">
            <v xml:space="preserve">ME DOS SANTOS CARVALHO </v>
          </cell>
          <cell r="D1146">
            <v>25857.8</v>
          </cell>
          <cell r="E1146">
            <v>21430.6</v>
          </cell>
          <cell r="F1146">
            <v>19569</v>
          </cell>
          <cell r="G1146">
            <v>-1861.6</v>
          </cell>
          <cell r="H1146">
            <v>23996.2</v>
          </cell>
          <cell r="I1146" t="str">
            <v>C</v>
          </cell>
        </row>
        <row r="1147">
          <cell r="A1147">
            <v>33676</v>
          </cell>
          <cell r="B1147" t="str">
            <v>2.1.04.010.0411</v>
          </cell>
          <cell r="C1147" t="str">
            <v xml:space="preserve">MACEDO E ANDRADE COM DE </v>
          </cell>
          <cell r="D1147">
            <v>17307.86</v>
          </cell>
          <cell r="E1147">
            <v>20903.63</v>
          </cell>
          <cell r="F1147">
            <v>23141.24</v>
          </cell>
          <cell r="G1147">
            <v>2237.61</v>
          </cell>
          <cell r="H1147">
            <v>19545.47</v>
          </cell>
          <cell r="I1147" t="str">
            <v>C</v>
          </cell>
        </row>
        <row r="1148">
          <cell r="A1148">
            <v>33551</v>
          </cell>
          <cell r="B1148" t="str">
            <v>2.1.04.010.0413</v>
          </cell>
          <cell r="C1148" t="str">
            <v xml:space="preserve">MACOM MALHAS </v>
          </cell>
          <cell r="D1148">
            <v>330</v>
          </cell>
          <cell r="E1148">
            <v>330</v>
          </cell>
          <cell r="F1148">
            <v>0</v>
          </cell>
          <cell r="G1148">
            <v>-330</v>
          </cell>
          <cell r="H1148">
            <v>0</v>
          </cell>
          <cell r="I1148" t="str">
            <v>C</v>
          </cell>
        </row>
        <row r="1149">
          <cell r="A1149">
            <v>33295</v>
          </cell>
          <cell r="B1149" t="str">
            <v>2.1.04.010.0415</v>
          </cell>
          <cell r="C1149" t="str">
            <v>MADEIREIRA ANDORRA LTDA</v>
          </cell>
          <cell r="D1149">
            <v>8421.82</v>
          </cell>
          <cell r="E1149">
            <v>9800.39</v>
          </cell>
          <cell r="F1149">
            <v>13602.27</v>
          </cell>
          <cell r="G1149">
            <v>3801.88</v>
          </cell>
          <cell r="H1149">
            <v>12223.7</v>
          </cell>
          <cell r="I1149" t="str">
            <v>C</v>
          </cell>
        </row>
        <row r="1150">
          <cell r="A1150">
            <v>3090</v>
          </cell>
          <cell r="B1150" t="str">
            <v>2.1.04.010.0416</v>
          </cell>
          <cell r="C1150" t="str">
            <v xml:space="preserve">MAGALHAES EQUIPAMENTOS </v>
          </cell>
          <cell r="D1150">
            <v>1788.31</v>
          </cell>
          <cell r="E1150">
            <v>1788.31</v>
          </cell>
          <cell r="F1150">
            <v>903</v>
          </cell>
          <cell r="G1150">
            <v>-885.31</v>
          </cell>
          <cell r="H1150">
            <v>903</v>
          </cell>
          <cell r="I1150" t="str">
            <v>C</v>
          </cell>
        </row>
        <row r="1151">
          <cell r="A1151">
            <v>52994</v>
          </cell>
          <cell r="B1151" t="str">
            <v>2.1.04.010.0425</v>
          </cell>
          <cell r="C1151" t="str">
            <v xml:space="preserve">MARIA REGINA FERREIRA </v>
          </cell>
          <cell r="D1151">
            <v>240</v>
          </cell>
          <cell r="E1151">
            <v>287.5</v>
          </cell>
          <cell r="F1151">
            <v>354.5</v>
          </cell>
          <cell r="G1151">
            <v>67</v>
          </cell>
          <cell r="H1151">
            <v>307</v>
          </cell>
          <cell r="I1151" t="str">
            <v>C</v>
          </cell>
        </row>
        <row r="1152">
          <cell r="A1152">
            <v>2335</v>
          </cell>
          <cell r="B1152" t="str">
            <v>2.1.04.010.0426</v>
          </cell>
          <cell r="C1152" t="str">
            <v xml:space="preserve">MARILENE AP RIZZETO </v>
          </cell>
          <cell r="D1152">
            <v>20945.3</v>
          </cell>
          <cell r="E1152">
            <v>15553.8</v>
          </cell>
          <cell r="F1152">
            <v>9252.2000000000007</v>
          </cell>
          <cell r="G1152">
            <v>-6301.6</v>
          </cell>
          <cell r="H1152">
            <v>14643.7</v>
          </cell>
          <cell r="I1152" t="str">
            <v>C</v>
          </cell>
        </row>
        <row r="1153">
          <cell r="A1153">
            <v>32968</v>
          </cell>
          <cell r="B1153" t="str">
            <v>2.1.04.010.0432</v>
          </cell>
          <cell r="C1153" t="str">
            <v xml:space="preserve">MAX MEDICAL COM PROD </v>
          </cell>
          <cell r="D1153">
            <v>1597.1</v>
          </cell>
          <cell r="E1153">
            <v>1597.1</v>
          </cell>
          <cell r="F1153">
            <v>3259.04</v>
          </cell>
          <cell r="G1153">
            <v>1661.94</v>
          </cell>
          <cell r="H1153">
            <v>3259.04</v>
          </cell>
          <cell r="I1153" t="str">
            <v>C</v>
          </cell>
        </row>
        <row r="1154">
          <cell r="A1154">
            <v>52594</v>
          </cell>
          <cell r="B1154" t="str">
            <v>2.1.04.010.0435</v>
          </cell>
          <cell r="C1154" t="str">
            <v xml:space="preserve">MAXXSEG SISTEMAS DE </v>
          </cell>
          <cell r="D1154">
            <v>0</v>
          </cell>
          <cell r="E1154">
            <v>659.6</v>
          </cell>
          <cell r="F1154">
            <v>6097.43</v>
          </cell>
          <cell r="G1154">
            <v>5437.83</v>
          </cell>
          <cell r="H1154">
            <v>5437.83</v>
          </cell>
          <cell r="I1154" t="str">
            <v>C</v>
          </cell>
        </row>
        <row r="1155">
          <cell r="A1155">
            <v>52443</v>
          </cell>
          <cell r="B1155" t="str">
            <v>2.1.04.010.0441</v>
          </cell>
          <cell r="C1155" t="str">
            <v>MEDCORP HOSPITALAR LTDA</v>
          </cell>
          <cell r="D1155">
            <v>30818.799999999999</v>
          </cell>
          <cell r="E1155">
            <v>21038.560000000001</v>
          </cell>
          <cell r="F1155">
            <v>34652.199999999997</v>
          </cell>
          <cell r="G1155">
            <v>13613.64</v>
          </cell>
          <cell r="H1155">
            <v>44432.44</v>
          </cell>
          <cell r="I1155" t="str">
            <v>C</v>
          </cell>
        </row>
        <row r="1156">
          <cell r="A1156">
            <v>52564</v>
          </cell>
          <cell r="B1156" t="str">
            <v>2.1.04.010.0442</v>
          </cell>
          <cell r="C1156" t="str">
            <v>MEDI GLOBE BRASIL LTDA</v>
          </cell>
          <cell r="D1156">
            <v>13740</v>
          </cell>
          <cell r="E1156">
            <v>13740</v>
          </cell>
          <cell r="F1156">
            <v>16310</v>
          </cell>
          <cell r="G1156">
            <v>2570</v>
          </cell>
          <cell r="H1156">
            <v>16310</v>
          </cell>
          <cell r="I1156" t="str">
            <v>C</v>
          </cell>
        </row>
        <row r="1157">
          <cell r="A1157">
            <v>52649</v>
          </cell>
          <cell r="B1157" t="str">
            <v>2.1.04.010.0444</v>
          </cell>
          <cell r="C1157" t="str">
            <v xml:space="preserve">MEDIAL COM E ASSIST </v>
          </cell>
          <cell r="D1157">
            <v>2351.1999999999998</v>
          </cell>
          <cell r="E1157">
            <v>2351.1999999999998</v>
          </cell>
          <cell r="F1157">
            <v>0</v>
          </cell>
          <cell r="G1157">
            <v>-2351.1999999999998</v>
          </cell>
          <cell r="H1157">
            <v>0</v>
          </cell>
          <cell r="I1157" t="str">
            <v>C</v>
          </cell>
        </row>
        <row r="1158">
          <cell r="A1158">
            <v>3149</v>
          </cell>
          <cell r="B1158" t="str">
            <v>2.1.04.010.0445</v>
          </cell>
          <cell r="C1158" t="str">
            <v xml:space="preserve">MEDICAL CAMP EQUIP E PROD </v>
          </cell>
          <cell r="D1158">
            <v>7700.5</v>
          </cell>
          <cell r="E1158">
            <v>3850.25</v>
          </cell>
          <cell r="F1158">
            <v>0</v>
          </cell>
          <cell r="G1158">
            <v>-3850.25</v>
          </cell>
          <cell r="H1158">
            <v>3850.25</v>
          </cell>
          <cell r="I1158" t="str">
            <v>C</v>
          </cell>
        </row>
        <row r="1159">
          <cell r="A1159">
            <v>37807</v>
          </cell>
          <cell r="B1159" t="str">
            <v>2.1.04.010.0449</v>
          </cell>
          <cell r="C1159" t="str">
            <v xml:space="preserve">MEDICAMENTAL </v>
          </cell>
          <cell r="D1159">
            <v>70072.460000000006</v>
          </cell>
          <cell r="E1159">
            <v>77993.63</v>
          </cell>
          <cell r="F1159">
            <v>49835.34</v>
          </cell>
          <cell r="G1159">
            <v>-28158.29</v>
          </cell>
          <cell r="H1159">
            <v>41914.17</v>
          </cell>
          <cell r="I1159" t="str">
            <v>C</v>
          </cell>
        </row>
        <row r="1160">
          <cell r="A1160">
            <v>52785</v>
          </cell>
          <cell r="B1160" t="str">
            <v>2.1.04.010.0451</v>
          </cell>
          <cell r="C1160" t="str">
            <v xml:space="preserve">MEDILAR IMPORT E DIST DE </v>
          </cell>
          <cell r="D1160">
            <v>38352.17</v>
          </cell>
          <cell r="E1160">
            <v>24261.17</v>
          </cell>
          <cell r="F1160">
            <v>17082.8</v>
          </cell>
          <cell r="G1160">
            <v>-7178.37</v>
          </cell>
          <cell r="H1160">
            <v>31173.8</v>
          </cell>
          <cell r="I1160" t="str">
            <v>C</v>
          </cell>
        </row>
        <row r="1161">
          <cell r="A1161">
            <v>52020</v>
          </cell>
          <cell r="B1161" t="str">
            <v>2.1.04.010.0452</v>
          </cell>
          <cell r="C1161" t="str">
            <v xml:space="preserve">MEDIZIN E TECHNIK COM IMP </v>
          </cell>
          <cell r="D1161">
            <v>64393.71</v>
          </cell>
          <cell r="E1161">
            <v>82756.09</v>
          </cell>
          <cell r="F1161">
            <v>89489.74</v>
          </cell>
          <cell r="G1161">
            <v>6733.65</v>
          </cell>
          <cell r="H1161">
            <v>71127.360000000001</v>
          </cell>
          <cell r="I1161" t="str">
            <v>C</v>
          </cell>
        </row>
        <row r="1162">
          <cell r="A1162">
            <v>51174</v>
          </cell>
          <cell r="B1162" t="str">
            <v>2.1.04.010.0455</v>
          </cell>
          <cell r="C1162" t="str">
            <v>MEGA UNIFORMES LTDA EPP</v>
          </cell>
          <cell r="D1162">
            <v>19739.240000000002</v>
          </cell>
          <cell r="E1162">
            <v>18658.740000000002</v>
          </cell>
          <cell r="F1162">
            <v>8933</v>
          </cell>
          <cell r="G1162">
            <v>-9725.74</v>
          </cell>
          <cell r="H1162">
            <v>10013.5</v>
          </cell>
          <cell r="I1162" t="str">
            <v>C</v>
          </cell>
        </row>
        <row r="1163">
          <cell r="A1163">
            <v>3163</v>
          </cell>
          <cell r="B1163" t="str">
            <v>2.1.04.010.0460</v>
          </cell>
          <cell r="C1163" t="str">
            <v xml:space="preserve">MERCADINHO PIRATININGA </v>
          </cell>
          <cell r="D1163">
            <v>53.82</v>
          </cell>
          <cell r="E1163">
            <v>53.82</v>
          </cell>
          <cell r="F1163">
            <v>5990.65</v>
          </cell>
          <cell r="G1163">
            <v>5936.83</v>
          </cell>
          <cell r="H1163">
            <v>5990.65</v>
          </cell>
          <cell r="I1163" t="str">
            <v>C</v>
          </cell>
        </row>
        <row r="1164">
          <cell r="A1164">
            <v>52145</v>
          </cell>
          <cell r="B1164" t="str">
            <v>2.1.04.010.0464</v>
          </cell>
          <cell r="C1164" t="str">
            <v>MICHAEL KEIDI AZEKA ME</v>
          </cell>
          <cell r="D1164">
            <v>35537.279999999999</v>
          </cell>
          <cell r="E1164">
            <v>28787.119999999999</v>
          </cell>
          <cell r="F1164">
            <v>54356.3</v>
          </cell>
          <cell r="G1164">
            <v>25569.18</v>
          </cell>
          <cell r="H1164">
            <v>61106.46</v>
          </cell>
          <cell r="I1164" t="str">
            <v>C</v>
          </cell>
        </row>
        <row r="1165">
          <cell r="A1165">
            <v>51538</v>
          </cell>
          <cell r="B1165" t="str">
            <v>2.1.04.010.0472</v>
          </cell>
          <cell r="C1165" t="str">
            <v xml:space="preserve">MJM PRODUTOS </v>
          </cell>
          <cell r="D1165">
            <v>0</v>
          </cell>
          <cell r="E1165">
            <v>1694.7</v>
          </cell>
          <cell r="F1165">
            <v>1694.7</v>
          </cell>
          <cell r="G1165">
            <v>0</v>
          </cell>
          <cell r="H1165">
            <v>0</v>
          </cell>
          <cell r="I1165" t="str">
            <v>C</v>
          </cell>
        </row>
        <row r="1166">
          <cell r="A1166">
            <v>3193</v>
          </cell>
          <cell r="B1166" t="str">
            <v>2.1.04.010.0480</v>
          </cell>
          <cell r="C1166" t="str">
            <v xml:space="preserve">MP COM DE MAT </v>
          </cell>
          <cell r="D1166">
            <v>23230</v>
          </cell>
          <cell r="E1166">
            <v>23744</v>
          </cell>
          <cell r="F1166">
            <v>19243.2</v>
          </cell>
          <cell r="G1166">
            <v>-4500.8</v>
          </cell>
          <cell r="H1166">
            <v>18729.2</v>
          </cell>
          <cell r="I1166" t="str">
            <v>C</v>
          </cell>
        </row>
        <row r="1167">
          <cell r="A1167">
            <v>3194</v>
          </cell>
          <cell r="B1167" t="str">
            <v>2.1.04.010.0481</v>
          </cell>
          <cell r="C1167" t="str">
            <v xml:space="preserve">MP COM PRODUTOS MEDICOS </v>
          </cell>
          <cell r="D1167">
            <v>65057.93</v>
          </cell>
          <cell r="E1167">
            <v>17413.59</v>
          </cell>
          <cell r="F1167">
            <v>24253.71</v>
          </cell>
          <cell r="G1167">
            <v>6840.12</v>
          </cell>
          <cell r="H1167">
            <v>71898.05</v>
          </cell>
          <cell r="I1167" t="str">
            <v>C</v>
          </cell>
        </row>
        <row r="1168">
          <cell r="A1168">
            <v>38701</v>
          </cell>
          <cell r="B1168" t="str">
            <v>2.1.04.010.0484</v>
          </cell>
          <cell r="C1168" t="str">
            <v xml:space="preserve">MULTIFARMA COMERCIAL </v>
          </cell>
          <cell r="D1168">
            <v>2329.6</v>
          </cell>
          <cell r="E1168">
            <v>3369.6</v>
          </cell>
          <cell r="F1168">
            <v>9063.68</v>
          </cell>
          <cell r="G1168">
            <v>5694.08</v>
          </cell>
          <cell r="H1168">
            <v>8023.68</v>
          </cell>
          <cell r="I1168" t="str">
            <v>C</v>
          </cell>
        </row>
        <row r="1169">
          <cell r="A1169">
            <v>37252</v>
          </cell>
          <cell r="B1169" t="str">
            <v>2.1.04.010.0486</v>
          </cell>
          <cell r="C1169" t="str">
            <v xml:space="preserve">NACIONAL COMERCIAL </v>
          </cell>
          <cell r="D1169">
            <v>7137.47</v>
          </cell>
          <cell r="E1169">
            <v>20057.580000000002</v>
          </cell>
          <cell r="F1169">
            <v>42825.49</v>
          </cell>
          <cell r="G1169">
            <v>22767.91</v>
          </cell>
          <cell r="H1169">
            <v>29905.38</v>
          </cell>
          <cell r="I1169" t="str">
            <v>C</v>
          </cell>
        </row>
        <row r="1170">
          <cell r="A1170">
            <v>52954</v>
          </cell>
          <cell r="B1170" t="str">
            <v>2.1.04.010.0488</v>
          </cell>
          <cell r="C1170" t="str">
            <v xml:space="preserve">NELMAR ASSISTENCIA </v>
          </cell>
          <cell r="D1170">
            <v>0</v>
          </cell>
          <cell r="E1170">
            <v>0</v>
          </cell>
          <cell r="F1170">
            <v>2300</v>
          </cell>
          <cell r="G1170">
            <v>2300</v>
          </cell>
          <cell r="H1170">
            <v>2300</v>
          </cell>
          <cell r="I1170" t="str">
            <v>C</v>
          </cell>
        </row>
        <row r="1171">
          <cell r="A1171">
            <v>3217</v>
          </cell>
          <cell r="B1171" t="str">
            <v>2.1.04.010.0498</v>
          </cell>
          <cell r="C1171" t="str">
            <v xml:space="preserve">NIKKEYPAR COMERCIAL SAO </v>
          </cell>
          <cell r="D1171">
            <v>0</v>
          </cell>
          <cell r="E1171">
            <v>0</v>
          </cell>
          <cell r="F1171">
            <v>1661.24</v>
          </cell>
          <cell r="G1171">
            <v>1661.24</v>
          </cell>
          <cell r="H1171">
            <v>1661.24</v>
          </cell>
          <cell r="I1171" t="str">
            <v>C</v>
          </cell>
        </row>
        <row r="1172">
          <cell r="A1172">
            <v>3235</v>
          </cell>
          <cell r="B1172" t="str">
            <v>2.1.04.010.0507</v>
          </cell>
          <cell r="C1172" t="str">
            <v xml:space="preserve">ODETTE MURIANO FERENCZY </v>
          </cell>
          <cell r="D1172">
            <v>0</v>
          </cell>
          <cell r="E1172">
            <v>0</v>
          </cell>
          <cell r="F1172">
            <v>150</v>
          </cell>
          <cell r="G1172">
            <v>150</v>
          </cell>
          <cell r="H1172">
            <v>150</v>
          </cell>
          <cell r="I1172" t="str">
            <v>C</v>
          </cell>
        </row>
        <row r="1173">
          <cell r="A1173">
            <v>33391</v>
          </cell>
          <cell r="B1173" t="str">
            <v>2.1.04.010.0509</v>
          </cell>
          <cell r="C1173" t="str">
            <v xml:space="preserve">OLIDEF CZ IND COM </v>
          </cell>
          <cell r="D1173">
            <v>253.25</v>
          </cell>
          <cell r="E1173">
            <v>253.25</v>
          </cell>
          <cell r="F1173">
            <v>0</v>
          </cell>
          <cell r="G1173">
            <v>-253.25</v>
          </cell>
          <cell r="H1173">
            <v>0</v>
          </cell>
          <cell r="I1173" t="str">
            <v>C</v>
          </cell>
        </row>
        <row r="1174">
          <cell r="A1174">
            <v>33753</v>
          </cell>
          <cell r="B1174" t="str">
            <v>2.1.04.010.0511</v>
          </cell>
          <cell r="C1174" t="str">
            <v xml:space="preserve">ONCO PROD DIST  PROD </v>
          </cell>
          <cell r="D1174">
            <v>512874.73</v>
          </cell>
          <cell r="E1174">
            <v>624391.41</v>
          </cell>
          <cell r="F1174">
            <v>927389.66</v>
          </cell>
          <cell r="G1174">
            <v>302998.25</v>
          </cell>
          <cell r="H1174">
            <v>815872.98</v>
          </cell>
          <cell r="I1174" t="str">
            <v>C</v>
          </cell>
        </row>
        <row r="1175">
          <cell r="A1175">
            <v>2865</v>
          </cell>
          <cell r="B1175" t="str">
            <v>2.1.04.010.0527</v>
          </cell>
          <cell r="C1175" t="str">
            <v xml:space="preserve">PAO DE QUEIJO DA ROCA </v>
          </cell>
          <cell r="D1175">
            <v>250</v>
          </cell>
          <cell r="E1175">
            <v>750</v>
          </cell>
          <cell r="F1175">
            <v>750</v>
          </cell>
          <cell r="G1175">
            <v>0</v>
          </cell>
          <cell r="H1175">
            <v>250</v>
          </cell>
          <cell r="I1175" t="str">
            <v>C</v>
          </cell>
        </row>
        <row r="1176">
          <cell r="A1176">
            <v>52285</v>
          </cell>
          <cell r="B1176" t="str">
            <v>2.1.04.010.0536</v>
          </cell>
          <cell r="C1176" t="str">
            <v xml:space="preserve">PHOINIX HEALTHCARE COM </v>
          </cell>
          <cell r="D1176">
            <v>380</v>
          </cell>
          <cell r="E1176">
            <v>0</v>
          </cell>
          <cell r="F1176">
            <v>0</v>
          </cell>
          <cell r="G1176">
            <v>0</v>
          </cell>
          <cell r="H1176">
            <v>380</v>
          </cell>
          <cell r="I1176" t="str">
            <v>C</v>
          </cell>
        </row>
        <row r="1177">
          <cell r="A1177">
            <v>2934</v>
          </cell>
          <cell r="B1177" t="str">
            <v>2.1.04.010.0541</v>
          </cell>
          <cell r="C1177" t="str">
            <v xml:space="preserve">POLAR FIX IND COM PROD </v>
          </cell>
          <cell r="D1177">
            <v>8937.94</v>
          </cell>
          <cell r="E1177">
            <v>12016.07</v>
          </cell>
          <cell r="F1177">
            <v>8862.8799999999992</v>
          </cell>
          <cell r="G1177">
            <v>-3153.19</v>
          </cell>
          <cell r="H1177">
            <v>5784.75</v>
          </cell>
          <cell r="I1177" t="str">
            <v>C</v>
          </cell>
        </row>
        <row r="1178">
          <cell r="A1178">
            <v>3295</v>
          </cell>
          <cell r="B1178" t="str">
            <v>2.1.04.010.0544</v>
          </cell>
          <cell r="C1178" t="str">
            <v>POLITEC IMP E COM LTDA</v>
          </cell>
          <cell r="D1178">
            <v>55000</v>
          </cell>
          <cell r="E1178">
            <v>55000</v>
          </cell>
          <cell r="F1178">
            <v>0</v>
          </cell>
          <cell r="G1178">
            <v>-55000</v>
          </cell>
          <cell r="H1178">
            <v>0</v>
          </cell>
          <cell r="I1178" t="str">
            <v>C</v>
          </cell>
        </row>
        <row r="1179">
          <cell r="A1179">
            <v>32838</v>
          </cell>
          <cell r="B1179" t="str">
            <v>2.1.04.010.0552</v>
          </cell>
          <cell r="C1179" t="str">
            <v xml:space="preserve">PROMEDON SAO PAULO </v>
          </cell>
          <cell r="D1179">
            <v>12330</v>
          </cell>
          <cell r="E1179">
            <v>8945</v>
          </cell>
          <cell r="F1179">
            <v>17530</v>
          </cell>
          <cell r="G1179">
            <v>8585</v>
          </cell>
          <cell r="H1179">
            <v>20915</v>
          </cell>
          <cell r="I1179" t="str">
            <v>C</v>
          </cell>
        </row>
        <row r="1180">
          <cell r="A1180">
            <v>3325</v>
          </cell>
          <cell r="B1180" t="str">
            <v>2.1.04.010.0556</v>
          </cell>
          <cell r="C1180" t="str">
            <v xml:space="preserve">R3 PROD DE HIGIENE E </v>
          </cell>
          <cell r="D1180">
            <v>64908.73</v>
          </cell>
          <cell r="E1180">
            <v>79634.399999999994</v>
          </cell>
          <cell r="F1180">
            <v>72780.19</v>
          </cell>
          <cell r="G1180">
            <v>-6854.21</v>
          </cell>
          <cell r="H1180">
            <v>58054.52</v>
          </cell>
          <cell r="I1180" t="str">
            <v>C</v>
          </cell>
        </row>
        <row r="1181">
          <cell r="A1181">
            <v>3326</v>
          </cell>
          <cell r="B1181" t="str">
            <v>2.1.04.010.0559</v>
          </cell>
          <cell r="C1181" t="str">
            <v xml:space="preserve">R GONCALVES SUPRIMENTOS </v>
          </cell>
          <cell r="D1181">
            <v>261267.44</v>
          </cell>
          <cell r="E1181">
            <v>131206.04</v>
          </cell>
          <cell r="F1181">
            <v>41423.4</v>
          </cell>
          <cell r="G1181">
            <v>-89782.64</v>
          </cell>
          <cell r="H1181">
            <v>171484.79999999999</v>
          </cell>
          <cell r="I1181" t="str">
            <v>C</v>
          </cell>
        </row>
        <row r="1182">
          <cell r="A1182">
            <v>53018</v>
          </cell>
          <cell r="B1182" t="str">
            <v>2.1.04.010.0576</v>
          </cell>
          <cell r="C1182" t="str">
            <v xml:space="preserve">REP ACESSO COMERCIO E </v>
          </cell>
          <cell r="D1182">
            <v>2009.39</v>
          </cell>
          <cell r="E1182">
            <v>2009.39</v>
          </cell>
          <cell r="F1182">
            <v>5509.39</v>
          </cell>
          <cell r="G1182">
            <v>3500</v>
          </cell>
          <cell r="H1182">
            <v>5509.39</v>
          </cell>
          <cell r="I1182" t="str">
            <v>C</v>
          </cell>
        </row>
        <row r="1183">
          <cell r="A1183">
            <v>33751</v>
          </cell>
          <cell r="B1183" t="str">
            <v>2.1.04.010.0581</v>
          </cell>
          <cell r="C1183" t="str">
            <v xml:space="preserve">RL COMERCIO DE PRODUTOS </v>
          </cell>
          <cell r="D1183">
            <v>7701.6</v>
          </cell>
          <cell r="E1183">
            <v>9987.6</v>
          </cell>
          <cell r="F1183">
            <v>5830.5</v>
          </cell>
          <cell r="G1183">
            <v>-4157.1000000000004</v>
          </cell>
          <cell r="H1183">
            <v>3544.5</v>
          </cell>
          <cell r="I1183" t="str">
            <v>C</v>
          </cell>
        </row>
        <row r="1184">
          <cell r="A1184">
            <v>52529</v>
          </cell>
          <cell r="B1184" t="str">
            <v>2.1.04.010.0596</v>
          </cell>
          <cell r="C1184" t="str">
            <v>SRV PEREIRA HORTIFRUTI ME</v>
          </cell>
          <cell r="D1184">
            <v>13089.33</v>
          </cell>
          <cell r="E1184">
            <v>31480.71</v>
          </cell>
          <cell r="F1184">
            <v>57721.89</v>
          </cell>
          <cell r="G1184">
            <v>26241.18</v>
          </cell>
          <cell r="H1184">
            <v>39330.51</v>
          </cell>
          <cell r="I1184" t="str">
            <v>C</v>
          </cell>
        </row>
        <row r="1185">
          <cell r="A1185">
            <v>52660</v>
          </cell>
          <cell r="B1185" t="str">
            <v>2.1.04.010.0597</v>
          </cell>
          <cell r="C1185" t="str">
            <v xml:space="preserve">SEM REPRESENTACOES </v>
          </cell>
          <cell r="D1185">
            <v>266.39999999999998</v>
          </cell>
          <cell r="E1185">
            <v>266.39999999999998</v>
          </cell>
          <cell r="F1185">
            <v>0</v>
          </cell>
          <cell r="G1185">
            <v>-266.39999999999998</v>
          </cell>
          <cell r="H1185">
            <v>0</v>
          </cell>
          <cell r="I1185" t="str">
            <v>C</v>
          </cell>
        </row>
        <row r="1186">
          <cell r="A1186">
            <v>3392</v>
          </cell>
          <cell r="B1186" t="str">
            <v>2.1.04.010.0606</v>
          </cell>
          <cell r="C1186" t="str">
            <v xml:space="preserve">SAMITECH COM.DE INSUMOS </v>
          </cell>
          <cell r="D1186">
            <v>1440</v>
          </cell>
          <cell r="E1186">
            <v>1440</v>
          </cell>
          <cell r="F1186">
            <v>1450</v>
          </cell>
          <cell r="G1186">
            <v>10</v>
          </cell>
          <cell r="H1186">
            <v>1450</v>
          </cell>
          <cell r="I1186" t="str">
            <v>C</v>
          </cell>
        </row>
        <row r="1187">
          <cell r="A1187">
            <v>3393</v>
          </cell>
          <cell r="B1187" t="str">
            <v>2.1.04.010.0607</v>
          </cell>
          <cell r="C1187" t="str">
            <v xml:space="preserve">SAMTRONIC INDUSTRIA E </v>
          </cell>
          <cell r="D1187">
            <v>16035</v>
          </cell>
          <cell r="E1187">
            <v>17992.5</v>
          </cell>
          <cell r="F1187">
            <v>34005</v>
          </cell>
          <cell r="G1187">
            <v>16012.5</v>
          </cell>
          <cell r="H1187">
            <v>32047.5</v>
          </cell>
          <cell r="I1187" t="str">
            <v>C</v>
          </cell>
        </row>
        <row r="1188">
          <cell r="A1188">
            <v>52830</v>
          </cell>
          <cell r="B1188" t="str">
            <v>2.1.04.010.0609</v>
          </cell>
          <cell r="C1188" t="str">
            <v xml:space="preserve">SAMYS PLASTICOS E </v>
          </cell>
          <cell r="D1188">
            <v>2671</v>
          </cell>
          <cell r="E1188">
            <v>2671</v>
          </cell>
          <cell r="F1188">
            <v>0</v>
          </cell>
          <cell r="G1188">
            <v>-2671</v>
          </cell>
          <cell r="H1188">
            <v>0</v>
          </cell>
          <cell r="I1188" t="str">
            <v>C</v>
          </cell>
        </row>
        <row r="1189">
          <cell r="A1189">
            <v>38532</v>
          </cell>
          <cell r="B1189" t="str">
            <v>2.1.04.010.0614</v>
          </cell>
          <cell r="C1189" t="str">
            <v xml:space="preserve">SATELITE COM E SERV </v>
          </cell>
          <cell r="D1189">
            <v>1419.8</v>
          </cell>
          <cell r="E1189">
            <v>1419.8</v>
          </cell>
          <cell r="F1189">
            <v>1324</v>
          </cell>
          <cell r="G1189">
            <v>-95.8</v>
          </cell>
          <cell r="H1189">
            <v>1324</v>
          </cell>
          <cell r="I1189" t="str">
            <v>C</v>
          </cell>
        </row>
        <row r="1190">
          <cell r="A1190">
            <v>52784</v>
          </cell>
          <cell r="B1190" t="str">
            <v>2.1.04.010.0616</v>
          </cell>
          <cell r="C1190" t="str">
            <v xml:space="preserve">SCANSOURCE BRASIL </v>
          </cell>
          <cell r="D1190">
            <v>0</v>
          </cell>
          <cell r="E1190">
            <v>13406.4</v>
          </cell>
          <cell r="F1190">
            <v>53625.599999999999</v>
          </cell>
          <cell r="G1190">
            <v>40219.199999999997</v>
          </cell>
          <cell r="H1190">
            <v>40219.199999999997</v>
          </cell>
          <cell r="I1190" t="str">
            <v>C</v>
          </cell>
        </row>
        <row r="1191">
          <cell r="A1191">
            <v>52127</v>
          </cell>
          <cell r="B1191" t="str">
            <v>2.1.04.010.0618</v>
          </cell>
          <cell r="C1191" t="str">
            <v xml:space="preserve">SCITECH PRODUTOS </v>
          </cell>
          <cell r="D1191">
            <v>42321</v>
          </cell>
          <cell r="E1191">
            <v>44286.5</v>
          </cell>
          <cell r="F1191">
            <v>20120</v>
          </cell>
          <cell r="G1191">
            <v>-24166.5</v>
          </cell>
          <cell r="H1191">
            <v>18154.5</v>
          </cell>
          <cell r="I1191" t="str">
            <v>C</v>
          </cell>
        </row>
        <row r="1192">
          <cell r="A1192">
            <v>37056</v>
          </cell>
          <cell r="B1192" t="str">
            <v>2.1.04.010.0623</v>
          </cell>
          <cell r="C1192" t="str">
            <v xml:space="preserve">SEMEDIC PRODUTOS </v>
          </cell>
          <cell r="D1192">
            <v>0</v>
          </cell>
          <cell r="E1192">
            <v>0</v>
          </cell>
          <cell r="F1192">
            <v>17870</v>
          </cell>
          <cell r="G1192">
            <v>17870</v>
          </cell>
          <cell r="H1192">
            <v>17870</v>
          </cell>
          <cell r="I1192" t="str">
            <v>C</v>
          </cell>
        </row>
        <row r="1193">
          <cell r="A1193">
            <v>52622</v>
          </cell>
          <cell r="B1193" t="str">
            <v>2.1.04.010.0630</v>
          </cell>
          <cell r="C1193" t="str">
            <v xml:space="preserve">SILVANA DO PRADO SOUZA </v>
          </cell>
          <cell r="D1193">
            <v>242</v>
          </cell>
          <cell r="E1193">
            <v>744</v>
          </cell>
          <cell r="F1193">
            <v>502</v>
          </cell>
          <cell r="G1193">
            <v>-242</v>
          </cell>
          <cell r="H1193">
            <v>0</v>
          </cell>
          <cell r="I1193" t="str">
            <v>C</v>
          </cell>
        </row>
        <row r="1194">
          <cell r="A1194">
            <v>36810</v>
          </cell>
          <cell r="B1194" t="str">
            <v>2.1.04.010.0640</v>
          </cell>
          <cell r="C1194" t="str">
            <v xml:space="preserve">SODROGAS DISTRIB MEDIC E </v>
          </cell>
          <cell r="D1194">
            <v>2850</v>
          </cell>
          <cell r="E1194">
            <v>2850</v>
          </cell>
          <cell r="F1194">
            <v>0</v>
          </cell>
          <cell r="G1194">
            <v>-2850</v>
          </cell>
          <cell r="H1194">
            <v>0</v>
          </cell>
          <cell r="I1194" t="str">
            <v>C</v>
          </cell>
        </row>
        <row r="1195">
          <cell r="A1195">
            <v>52590</v>
          </cell>
          <cell r="B1195" t="str">
            <v>2.1.04.010.0645</v>
          </cell>
          <cell r="C1195" t="str">
            <v xml:space="preserve">SP LABEL ETIQUETAS E </v>
          </cell>
          <cell r="D1195">
            <v>2197.8000000000002</v>
          </cell>
          <cell r="E1195">
            <v>2197.8000000000002</v>
          </cell>
          <cell r="F1195">
            <v>2677</v>
          </cell>
          <cell r="G1195">
            <v>479.2</v>
          </cell>
          <cell r="H1195">
            <v>2677</v>
          </cell>
          <cell r="I1195" t="str">
            <v>C</v>
          </cell>
        </row>
        <row r="1196">
          <cell r="A1196">
            <v>3458</v>
          </cell>
          <cell r="B1196" t="str">
            <v>2.1.04.010.0648</v>
          </cell>
          <cell r="C1196" t="str">
            <v xml:space="preserve">ST.JUDE MEDICAL BRASIL </v>
          </cell>
          <cell r="D1196">
            <v>80250</v>
          </cell>
          <cell r="E1196">
            <v>51678.13</v>
          </cell>
          <cell r="F1196">
            <v>81925</v>
          </cell>
          <cell r="G1196">
            <v>30246.87</v>
          </cell>
          <cell r="H1196">
            <v>110496.87</v>
          </cell>
          <cell r="I1196" t="str">
            <v>C</v>
          </cell>
        </row>
        <row r="1197">
          <cell r="A1197">
            <v>37759</v>
          </cell>
          <cell r="B1197" t="str">
            <v>2.1.04.010.0652</v>
          </cell>
          <cell r="C1197" t="str">
            <v xml:space="preserve">STERILEX CIENTIFICA LTDA </v>
          </cell>
          <cell r="D1197">
            <v>0</v>
          </cell>
          <cell r="E1197">
            <v>3180.02</v>
          </cell>
          <cell r="F1197">
            <v>6360.04</v>
          </cell>
          <cell r="G1197">
            <v>3180.02</v>
          </cell>
          <cell r="H1197">
            <v>3180.02</v>
          </cell>
          <cell r="I1197" t="str">
            <v>C</v>
          </cell>
        </row>
        <row r="1198">
          <cell r="A1198">
            <v>37880</v>
          </cell>
          <cell r="B1198" t="str">
            <v>2.1.04.010.0658</v>
          </cell>
          <cell r="C1198" t="str">
            <v xml:space="preserve">SUPERMED COM IMP PROD </v>
          </cell>
          <cell r="D1198">
            <v>131347.44</v>
          </cell>
          <cell r="E1198">
            <v>131240.46</v>
          </cell>
          <cell r="F1198">
            <v>89130.99</v>
          </cell>
          <cell r="G1198">
            <v>-42109.47</v>
          </cell>
          <cell r="H1198">
            <v>89237.97</v>
          </cell>
          <cell r="I1198" t="str">
            <v>C</v>
          </cell>
        </row>
        <row r="1199">
          <cell r="A1199">
            <v>51881</v>
          </cell>
          <cell r="B1199" t="str">
            <v>2.1.04.010.0659</v>
          </cell>
          <cell r="C1199" t="str">
            <v xml:space="preserve">SUPPORT SURGICAL COM </v>
          </cell>
          <cell r="D1199">
            <v>7400</v>
          </cell>
          <cell r="E1199">
            <v>7400</v>
          </cell>
          <cell r="F1199">
            <v>0</v>
          </cell>
          <cell r="G1199">
            <v>-7400</v>
          </cell>
          <cell r="H1199">
            <v>0</v>
          </cell>
          <cell r="I1199" t="str">
            <v>C</v>
          </cell>
        </row>
        <row r="1200">
          <cell r="A1200">
            <v>52109</v>
          </cell>
          <cell r="B1200" t="str">
            <v>2.1.04.010.0661</v>
          </cell>
          <cell r="C1200" t="str">
            <v>SUPRI ARTIGOS MEDICO-</v>
          </cell>
          <cell r="D1200">
            <v>37600.65</v>
          </cell>
          <cell r="E1200">
            <v>35746.65</v>
          </cell>
          <cell r="F1200">
            <v>26217</v>
          </cell>
          <cell r="G1200">
            <v>-9529.65</v>
          </cell>
          <cell r="H1200">
            <v>28071</v>
          </cell>
          <cell r="I1200" t="str">
            <v>C</v>
          </cell>
        </row>
        <row r="1201">
          <cell r="A1201">
            <v>52281</v>
          </cell>
          <cell r="B1201" t="str">
            <v>2.1.04.010.0663</v>
          </cell>
          <cell r="C1201" t="str">
            <v xml:space="preserve">SURGICOL IMPORTACAO E </v>
          </cell>
          <cell r="D1201">
            <v>152816.74</v>
          </cell>
          <cell r="E1201">
            <v>124272.11</v>
          </cell>
          <cell r="F1201">
            <v>0</v>
          </cell>
          <cell r="G1201">
            <v>-124272.11</v>
          </cell>
          <cell r="H1201">
            <v>28544.63</v>
          </cell>
          <cell r="I1201" t="str">
            <v>C</v>
          </cell>
        </row>
        <row r="1202">
          <cell r="A1202">
            <v>37750</v>
          </cell>
          <cell r="B1202" t="str">
            <v>2.1.04.010.0666</v>
          </cell>
          <cell r="C1202" t="str">
            <v xml:space="preserve">T1 COM EXP IMP PROD MED </v>
          </cell>
          <cell r="D1202">
            <v>640389.26</v>
          </cell>
          <cell r="E1202">
            <v>371129.13</v>
          </cell>
          <cell r="F1202">
            <v>113326.22</v>
          </cell>
          <cell r="G1202">
            <v>-257802.91</v>
          </cell>
          <cell r="H1202">
            <v>382586.35</v>
          </cell>
          <cell r="I1202" t="str">
            <v>C</v>
          </cell>
        </row>
        <row r="1203">
          <cell r="A1203">
            <v>51668</v>
          </cell>
          <cell r="B1203" t="str">
            <v>2.1.04.010.0667</v>
          </cell>
          <cell r="C1203" t="str">
            <v xml:space="preserve">TALITA CAROLINE COSTA EPP </v>
          </cell>
          <cell r="D1203">
            <v>26295.37</v>
          </cell>
          <cell r="E1203">
            <v>26295.37</v>
          </cell>
          <cell r="F1203">
            <v>0</v>
          </cell>
          <cell r="G1203">
            <v>-26295.37</v>
          </cell>
          <cell r="H1203">
            <v>0</v>
          </cell>
          <cell r="I1203" t="str">
            <v>C</v>
          </cell>
        </row>
        <row r="1204">
          <cell r="A1204">
            <v>3478</v>
          </cell>
          <cell r="B1204" t="str">
            <v>2.1.04.010.0668</v>
          </cell>
          <cell r="C1204" t="str">
            <v xml:space="preserve">TANBY COMERCIO DE PAPEIS </v>
          </cell>
          <cell r="D1204">
            <v>5182.75</v>
          </cell>
          <cell r="E1204">
            <v>5182.75</v>
          </cell>
          <cell r="F1204">
            <v>3202.4</v>
          </cell>
          <cell r="G1204">
            <v>-1980.35</v>
          </cell>
          <cell r="H1204">
            <v>3202.4</v>
          </cell>
          <cell r="I1204" t="str">
            <v>C</v>
          </cell>
        </row>
        <row r="1205">
          <cell r="A1205">
            <v>33653</v>
          </cell>
          <cell r="B1205" t="str">
            <v>2.1.04.010.0679</v>
          </cell>
          <cell r="C1205" t="str">
            <v xml:space="preserve">TECNIMED COM. DE PROD. </v>
          </cell>
          <cell r="D1205">
            <v>110490.13</v>
          </cell>
          <cell r="E1205">
            <v>85799.75</v>
          </cell>
          <cell r="F1205">
            <v>61087.47</v>
          </cell>
          <cell r="G1205">
            <v>-24712.28</v>
          </cell>
          <cell r="H1205">
            <v>85777.85</v>
          </cell>
          <cell r="I1205" t="str">
            <v>C</v>
          </cell>
        </row>
        <row r="1206">
          <cell r="A1206">
            <v>3499</v>
          </cell>
          <cell r="B1206" t="str">
            <v>2.1.04.010.0684</v>
          </cell>
          <cell r="C1206" t="str">
            <v xml:space="preserve">THERMOTEX SIST P/IDENTIF </v>
          </cell>
          <cell r="D1206">
            <v>3191.9</v>
          </cell>
          <cell r="E1206">
            <v>3191.9</v>
          </cell>
          <cell r="F1206">
            <v>0</v>
          </cell>
          <cell r="G1206">
            <v>-3191.9</v>
          </cell>
          <cell r="H1206">
            <v>0</v>
          </cell>
          <cell r="I1206" t="str">
            <v>C</v>
          </cell>
        </row>
        <row r="1207">
          <cell r="A1207">
            <v>37902</v>
          </cell>
          <cell r="B1207" t="str">
            <v>2.1.04.010.0685</v>
          </cell>
          <cell r="C1207" t="str">
            <v xml:space="preserve">THOMAZ DE ARAUJO E CIA </v>
          </cell>
          <cell r="D1207">
            <v>0</v>
          </cell>
          <cell r="E1207">
            <v>0</v>
          </cell>
          <cell r="F1207">
            <v>7637.01</v>
          </cell>
          <cell r="G1207">
            <v>7637.01</v>
          </cell>
          <cell r="H1207">
            <v>7637.01</v>
          </cell>
          <cell r="I1207" t="str">
            <v>C</v>
          </cell>
        </row>
        <row r="1208">
          <cell r="A1208">
            <v>3508</v>
          </cell>
          <cell r="B1208" t="str">
            <v>2.1.04.010.0688</v>
          </cell>
          <cell r="C1208" t="str">
            <v xml:space="preserve">CANON MEDICAL SYSTEMS </v>
          </cell>
          <cell r="D1208">
            <v>15409.5</v>
          </cell>
          <cell r="E1208">
            <v>15409.5</v>
          </cell>
          <cell r="F1208">
            <v>30626.42</v>
          </cell>
          <cell r="G1208">
            <v>15216.92</v>
          </cell>
          <cell r="H1208">
            <v>30626.42</v>
          </cell>
          <cell r="I1208" t="str">
            <v>C</v>
          </cell>
        </row>
        <row r="1209">
          <cell r="A1209">
            <v>51804</v>
          </cell>
          <cell r="B1209" t="str">
            <v>2.1.04.010.0689</v>
          </cell>
          <cell r="C1209" t="str">
            <v xml:space="preserve">TOTAL MEDIC COM DE PROD </v>
          </cell>
          <cell r="D1209">
            <v>16350</v>
          </cell>
          <cell r="E1209">
            <v>0</v>
          </cell>
          <cell r="F1209">
            <v>0</v>
          </cell>
          <cell r="G1209">
            <v>0</v>
          </cell>
          <cell r="H1209">
            <v>16350</v>
          </cell>
          <cell r="I1209" t="str">
            <v>C</v>
          </cell>
        </row>
        <row r="1210">
          <cell r="A1210">
            <v>37747</v>
          </cell>
          <cell r="B1210" t="str">
            <v>2.1.04.010.0690</v>
          </cell>
          <cell r="C1210" t="str">
            <v xml:space="preserve">TRIADE IMPL COM IMP EXP </v>
          </cell>
          <cell r="D1210">
            <v>302112.40999999997</v>
          </cell>
          <cell r="E1210">
            <v>236265.26</v>
          </cell>
          <cell r="F1210">
            <v>111247.38</v>
          </cell>
          <cell r="G1210">
            <v>-125017.88</v>
          </cell>
          <cell r="H1210">
            <v>177094.53</v>
          </cell>
          <cell r="I1210" t="str">
            <v>C</v>
          </cell>
        </row>
        <row r="1211">
          <cell r="A1211">
            <v>52845</v>
          </cell>
          <cell r="B1211" t="str">
            <v>2.1.04.010.0691</v>
          </cell>
          <cell r="C1211" t="str">
            <v xml:space="preserve">UFA P COM DE BANDEJAS </v>
          </cell>
          <cell r="D1211">
            <v>22302</v>
          </cell>
          <cell r="E1211">
            <v>22521</v>
          </cell>
          <cell r="F1211">
            <v>24244</v>
          </cell>
          <cell r="G1211">
            <v>1723</v>
          </cell>
          <cell r="H1211">
            <v>24025</v>
          </cell>
          <cell r="I1211" t="str">
            <v>C</v>
          </cell>
        </row>
        <row r="1212">
          <cell r="A1212">
            <v>3526</v>
          </cell>
          <cell r="B1212" t="str">
            <v>2.1.04.010.0692</v>
          </cell>
          <cell r="C1212" t="str">
            <v xml:space="preserve">UNIAO QUIMICA </v>
          </cell>
          <cell r="D1212">
            <v>12517</v>
          </cell>
          <cell r="E1212">
            <v>10817</v>
          </cell>
          <cell r="F1212">
            <v>3490</v>
          </cell>
          <cell r="G1212">
            <v>-7327</v>
          </cell>
          <cell r="H1212">
            <v>5190</v>
          </cell>
          <cell r="I1212" t="str">
            <v>C</v>
          </cell>
        </row>
        <row r="1213">
          <cell r="A1213">
            <v>34118</v>
          </cell>
          <cell r="B1213" t="str">
            <v>2.1.04.010.0699</v>
          </cell>
          <cell r="C1213" t="str">
            <v>VALEBRAVO EDITORIAL LTDA</v>
          </cell>
          <cell r="D1213">
            <v>0</v>
          </cell>
          <cell r="E1213">
            <v>12448.8</v>
          </cell>
          <cell r="F1213">
            <v>12904.8</v>
          </cell>
          <cell r="G1213">
            <v>456</v>
          </cell>
          <cell r="H1213">
            <v>456</v>
          </cell>
          <cell r="I1213" t="str">
            <v>C</v>
          </cell>
        </row>
        <row r="1214">
          <cell r="A1214">
            <v>52964</v>
          </cell>
          <cell r="B1214" t="str">
            <v>2.1.04.010.0701</v>
          </cell>
          <cell r="C1214" t="str">
            <v xml:space="preserve">VECCI COM DE ARTIGOS </v>
          </cell>
          <cell r="D1214">
            <v>51226.81</v>
          </cell>
          <cell r="E1214">
            <v>26355.53</v>
          </cell>
          <cell r="F1214">
            <v>12480</v>
          </cell>
          <cell r="G1214">
            <v>-13875.53</v>
          </cell>
          <cell r="H1214">
            <v>37351.279999999999</v>
          </cell>
          <cell r="I1214" t="str">
            <v>C</v>
          </cell>
        </row>
        <row r="1215">
          <cell r="A1215">
            <v>51189</v>
          </cell>
          <cell r="B1215" t="str">
            <v>2.1.04.010.0703</v>
          </cell>
          <cell r="C1215" t="str">
            <v xml:space="preserve">VERBENNA FARMACIA DE </v>
          </cell>
          <cell r="D1215">
            <v>542</v>
          </cell>
          <cell r="E1215">
            <v>1477</v>
          </cell>
          <cell r="F1215">
            <v>1948.5</v>
          </cell>
          <cell r="G1215">
            <v>471.5</v>
          </cell>
          <cell r="H1215">
            <v>1013.5</v>
          </cell>
          <cell r="I1215" t="str">
            <v>C</v>
          </cell>
        </row>
        <row r="1216">
          <cell r="A1216">
            <v>52124</v>
          </cell>
          <cell r="B1216" t="str">
            <v>2.1.04.010.0709</v>
          </cell>
          <cell r="C1216" t="str">
            <v>VITORIA HOSPITALAR LTDA</v>
          </cell>
          <cell r="D1216">
            <v>144107.37</v>
          </cell>
          <cell r="E1216">
            <v>66354.05</v>
          </cell>
          <cell r="F1216">
            <v>42750.71</v>
          </cell>
          <cell r="G1216">
            <v>-23603.34</v>
          </cell>
          <cell r="H1216">
            <v>120504.03</v>
          </cell>
          <cell r="I1216" t="str">
            <v>C</v>
          </cell>
        </row>
        <row r="1217">
          <cell r="A1217">
            <v>3589</v>
          </cell>
          <cell r="B1217" t="str">
            <v>2.1.04.010.0713</v>
          </cell>
          <cell r="C1217" t="str">
            <v xml:space="preserve">WL GAMA OLIVEIRA JUNIOR </v>
          </cell>
          <cell r="D1217">
            <v>0</v>
          </cell>
          <cell r="E1217">
            <v>0</v>
          </cell>
          <cell r="F1217">
            <v>2112</v>
          </cell>
          <cell r="G1217">
            <v>2112</v>
          </cell>
          <cell r="H1217">
            <v>2112</v>
          </cell>
          <cell r="I1217" t="str">
            <v>C</v>
          </cell>
        </row>
        <row r="1218">
          <cell r="A1218">
            <v>4213</v>
          </cell>
          <cell r="B1218" t="str">
            <v>2.1.04.010.0715</v>
          </cell>
          <cell r="C1218" t="str">
            <v xml:space="preserve">WILSON DE PAULA CHAVEIRO </v>
          </cell>
          <cell r="D1218">
            <v>0</v>
          </cell>
          <cell r="E1218">
            <v>0</v>
          </cell>
          <cell r="F1218">
            <v>550</v>
          </cell>
          <cell r="G1218">
            <v>550</v>
          </cell>
          <cell r="H1218">
            <v>550</v>
          </cell>
          <cell r="I1218" t="str">
            <v>C</v>
          </cell>
        </row>
        <row r="1219">
          <cell r="A1219">
            <v>52176</v>
          </cell>
          <cell r="B1219" t="str">
            <v>2.1.04.010.0720</v>
          </cell>
          <cell r="C1219" t="str">
            <v xml:space="preserve">X SAFE COM DE PROD </v>
          </cell>
          <cell r="D1219">
            <v>147475.98000000001</v>
          </cell>
          <cell r="E1219">
            <v>94239.27</v>
          </cell>
          <cell r="F1219">
            <v>0</v>
          </cell>
          <cell r="G1219">
            <v>-94239.27</v>
          </cell>
          <cell r="H1219">
            <v>53236.71</v>
          </cell>
          <cell r="I1219" t="str">
            <v>C</v>
          </cell>
        </row>
        <row r="1220">
          <cell r="A1220">
            <v>3605</v>
          </cell>
          <cell r="B1220" t="str">
            <v>2.1.04.010.0724</v>
          </cell>
          <cell r="C1220" t="str">
            <v>YUKIKO ETO E CIA LTDA</v>
          </cell>
          <cell r="D1220">
            <v>5367.42</v>
          </cell>
          <cell r="E1220">
            <v>5593.91</v>
          </cell>
          <cell r="F1220">
            <v>6542.19</v>
          </cell>
          <cell r="G1220">
            <v>948.28</v>
          </cell>
          <cell r="H1220">
            <v>6315.7</v>
          </cell>
          <cell r="I1220" t="str">
            <v>C</v>
          </cell>
        </row>
        <row r="1221">
          <cell r="A1221">
            <v>3608</v>
          </cell>
          <cell r="B1221" t="str">
            <v>2.1.04.010.0725</v>
          </cell>
          <cell r="C1221" t="str">
            <v>ZAMMI INSTRUMENTAL LTDA</v>
          </cell>
          <cell r="D1221">
            <v>2364.1999999999998</v>
          </cell>
          <cell r="E1221">
            <v>3255.24</v>
          </cell>
          <cell r="F1221">
            <v>891.04</v>
          </cell>
          <cell r="G1221">
            <v>-2364.1999999999998</v>
          </cell>
          <cell r="H1221">
            <v>0</v>
          </cell>
          <cell r="I1221" t="str">
            <v>C</v>
          </cell>
        </row>
        <row r="1222">
          <cell r="A1222">
            <v>33803</v>
          </cell>
          <cell r="B1222" t="str">
            <v>2.1.04.010.0726</v>
          </cell>
          <cell r="C1222" t="str">
            <v>ZEDAMED LTDA</v>
          </cell>
          <cell r="D1222">
            <v>28644</v>
          </cell>
          <cell r="E1222">
            <v>24948</v>
          </cell>
          <cell r="F1222">
            <v>16016</v>
          </cell>
          <cell r="G1222">
            <v>-8932</v>
          </cell>
          <cell r="H1222">
            <v>19712</v>
          </cell>
          <cell r="I1222" t="str">
            <v>C</v>
          </cell>
        </row>
        <row r="1223">
          <cell r="A1223">
            <v>53103</v>
          </cell>
          <cell r="B1223" t="str">
            <v>2.1.04.010.0738</v>
          </cell>
          <cell r="C1223" t="str">
            <v>L D DE VASCONCELOS</v>
          </cell>
          <cell r="D1223">
            <v>0</v>
          </cell>
          <cell r="E1223">
            <v>1536.5</v>
          </cell>
          <cell r="F1223">
            <v>1536.5</v>
          </cell>
          <cell r="G1223">
            <v>0</v>
          </cell>
          <cell r="H1223">
            <v>0</v>
          </cell>
          <cell r="I1223" t="str">
            <v>C</v>
          </cell>
        </row>
        <row r="1224">
          <cell r="A1224">
            <v>53188</v>
          </cell>
          <cell r="B1224" t="str">
            <v>2.1.04.010.0752</v>
          </cell>
          <cell r="C1224" t="str">
            <v xml:space="preserve">ALEX PLANTAS </v>
          </cell>
          <cell r="D1224">
            <v>550</v>
          </cell>
          <cell r="E1224">
            <v>550</v>
          </cell>
          <cell r="F1224">
            <v>0</v>
          </cell>
          <cell r="G1224">
            <v>-550</v>
          </cell>
          <cell r="H1224">
            <v>0</v>
          </cell>
          <cell r="I1224" t="str">
            <v>C</v>
          </cell>
        </row>
        <row r="1225">
          <cell r="A1225">
            <v>37005</v>
          </cell>
          <cell r="B1225" t="str">
            <v>2.1.04.010.0757</v>
          </cell>
          <cell r="C1225" t="str">
            <v xml:space="preserve">PANIFICADORA E </v>
          </cell>
          <cell r="D1225">
            <v>5123.9799999999996</v>
          </cell>
          <cell r="E1225">
            <v>5031</v>
          </cell>
          <cell r="F1225">
            <v>4626</v>
          </cell>
          <cell r="G1225">
            <v>-405</v>
          </cell>
          <cell r="H1225">
            <v>4718.9799999999996</v>
          </cell>
          <cell r="I1225" t="str">
            <v>C</v>
          </cell>
        </row>
        <row r="1226">
          <cell r="A1226">
            <v>51055</v>
          </cell>
          <cell r="B1226" t="str">
            <v>2.1.04.010.0761</v>
          </cell>
          <cell r="C1226" t="str">
            <v xml:space="preserve">OPHTALMOS FORMULAS </v>
          </cell>
          <cell r="D1226">
            <v>703</v>
          </cell>
          <cell r="E1226">
            <v>703</v>
          </cell>
          <cell r="F1226">
            <v>0</v>
          </cell>
          <cell r="G1226">
            <v>-703</v>
          </cell>
          <cell r="H1226">
            <v>0</v>
          </cell>
          <cell r="I1226" t="str">
            <v>C</v>
          </cell>
        </row>
        <row r="1227">
          <cell r="A1227">
            <v>33796</v>
          </cell>
          <cell r="B1227" t="str">
            <v>2.1.04.010.0769</v>
          </cell>
          <cell r="C1227" t="str">
            <v xml:space="preserve">R VIEIRA ENGENHARIA E AR </v>
          </cell>
          <cell r="D1227">
            <v>29104.98</v>
          </cell>
          <cell r="E1227">
            <v>19349.98</v>
          </cell>
          <cell r="F1227">
            <v>0</v>
          </cell>
          <cell r="G1227">
            <v>-19349.98</v>
          </cell>
          <cell r="H1227">
            <v>9755</v>
          </cell>
          <cell r="I1227" t="str">
            <v>C</v>
          </cell>
        </row>
        <row r="1228">
          <cell r="A1228">
            <v>53218</v>
          </cell>
          <cell r="B1228" t="str">
            <v>2.1.04.010.0777</v>
          </cell>
          <cell r="C1228" t="str">
            <v>SANTA RITA COMERCIAL LTDA</v>
          </cell>
          <cell r="D1228">
            <v>211733.55</v>
          </cell>
          <cell r="E1228">
            <v>163086.35</v>
          </cell>
          <cell r="F1228">
            <v>191392.7</v>
          </cell>
          <cell r="G1228">
            <v>28306.35</v>
          </cell>
          <cell r="H1228">
            <v>240039.9</v>
          </cell>
          <cell r="I1228" t="str">
            <v>C</v>
          </cell>
        </row>
        <row r="1229">
          <cell r="A1229">
            <v>3420</v>
          </cell>
          <cell r="B1229" t="str">
            <v>2.1.04.010.0780</v>
          </cell>
          <cell r="C1229" t="str">
            <v>SERVIMED COMERCIAL LTDA</v>
          </cell>
          <cell r="D1229">
            <v>78715.820000000007</v>
          </cell>
          <cell r="E1229">
            <v>80962.789999999994</v>
          </cell>
          <cell r="F1229">
            <v>62638.66</v>
          </cell>
          <cell r="G1229">
            <v>-18324.13</v>
          </cell>
          <cell r="H1229">
            <v>60391.69</v>
          </cell>
          <cell r="I1229" t="str">
            <v>C</v>
          </cell>
        </row>
        <row r="1230">
          <cell r="A1230">
            <v>53225</v>
          </cell>
          <cell r="B1230" t="str">
            <v>2.1.04.010.0785</v>
          </cell>
          <cell r="C1230" t="str">
            <v xml:space="preserve">TITANIUM COMERCIO DE </v>
          </cell>
          <cell r="D1230">
            <v>132808</v>
          </cell>
          <cell r="E1230">
            <v>61526</v>
          </cell>
          <cell r="F1230">
            <v>2000</v>
          </cell>
          <cell r="G1230">
            <v>-59526</v>
          </cell>
          <cell r="H1230">
            <v>73282</v>
          </cell>
          <cell r="I1230" t="str">
            <v>C</v>
          </cell>
        </row>
        <row r="1231">
          <cell r="A1231">
            <v>53236</v>
          </cell>
          <cell r="B1231" t="str">
            <v>2.1.04.010.0794</v>
          </cell>
          <cell r="C1231" t="str">
            <v xml:space="preserve">NEOLIFE COMERCIO DE </v>
          </cell>
          <cell r="D1231">
            <v>114940</v>
          </cell>
          <cell r="E1231">
            <v>99942.64</v>
          </cell>
          <cell r="F1231">
            <v>27400</v>
          </cell>
          <cell r="G1231">
            <v>-72542.64</v>
          </cell>
          <cell r="H1231">
            <v>42397.36</v>
          </cell>
          <cell r="I1231" t="str">
            <v>C</v>
          </cell>
        </row>
        <row r="1232">
          <cell r="A1232">
            <v>53242</v>
          </cell>
          <cell r="B1232" t="str">
            <v>2.1.04.010.0799</v>
          </cell>
          <cell r="C1232" t="str">
            <v xml:space="preserve">MATHEUS DE OLIVEIRA </v>
          </cell>
          <cell r="D1232">
            <v>7733.9</v>
          </cell>
          <cell r="E1232">
            <v>6497.1</v>
          </cell>
          <cell r="F1232">
            <v>8015.98</v>
          </cell>
          <cell r="G1232">
            <v>1518.88</v>
          </cell>
          <cell r="H1232">
            <v>9252.7800000000007</v>
          </cell>
          <cell r="I1232" t="str">
            <v>C</v>
          </cell>
        </row>
        <row r="1233">
          <cell r="A1233">
            <v>53264</v>
          </cell>
          <cell r="B1233" t="str">
            <v>2.1.04.010.0866</v>
          </cell>
          <cell r="C1233" t="str">
            <v xml:space="preserve">DORTMED IMPLANTES </v>
          </cell>
          <cell r="D1233">
            <v>72075</v>
          </cell>
          <cell r="E1233">
            <v>31260</v>
          </cell>
          <cell r="F1233">
            <v>0</v>
          </cell>
          <cell r="G1233">
            <v>-31260</v>
          </cell>
          <cell r="H1233">
            <v>40815</v>
          </cell>
          <cell r="I1233" t="str">
            <v>C</v>
          </cell>
        </row>
        <row r="1234">
          <cell r="A1234">
            <v>2545</v>
          </cell>
          <cell r="B1234" t="str">
            <v>2.1.04.010.0887</v>
          </cell>
          <cell r="C1234" t="str">
            <v xml:space="preserve">CBS - MEDICO CIENTIFICA </v>
          </cell>
          <cell r="D1234">
            <v>482.4</v>
          </cell>
          <cell r="E1234">
            <v>819.9</v>
          </cell>
          <cell r="F1234">
            <v>337.5</v>
          </cell>
          <cell r="G1234">
            <v>-482.4</v>
          </cell>
          <cell r="H1234">
            <v>0</v>
          </cell>
          <cell r="I1234" t="str">
            <v>C</v>
          </cell>
        </row>
        <row r="1235">
          <cell r="A1235">
            <v>4099</v>
          </cell>
          <cell r="B1235" t="str">
            <v>2.1.04.010.0890</v>
          </cell>
          <cell r="C1235" t="str">
            <v xml:space="preserve">RS BELLINI COM.AUTOMACAO </v>
          </cell>
          <cell r="D1235">
            <v>1215</v>
          </cell>
          <cell r="E1235">
            <v>1215</v>
          </cell>
          <cell r="F1235">
            <v>0</v>
          </cell>
          <cell r="G1235">
            <v>-1215</v>
          </cell>
          <cell r="H1235">
            <v>0</v>
          </cell>
          <cell r="I1235" t="str">
            <v>C</v>
          </cell>
        </row>
        <row r="1236">
          <cell r="A1236">
            <v>53378</v>
          </cell>
          <cell r="B1236" t="str">
            <v>2.1.04.010.0898</v>
          </cell>
          <cell r="C1236" t="str">
            <v xml:space="preserve">D GONCALVES </v>
          </cell>
          <cell r="D1236">
            <v>2614.62</v>
          </cell>
          <cell r="E1236">
            <v>2614.62</v>
          </cell>
          <cell r="F1236">
            <v>13183.1</v>
          </cell>
          <cell r="G1236">
            <v>10568.48</v>
          </cell>
          <cell r="H1236">
            <v>13183.1</v>
          </cell>
          <cell r="I1236" t="str">
            <v>C</v>
          </cell>
        </row>
        <row r="1237">
          <cell r="A1237">
            <v>53380</v>
          </cell>
          <cell r="B1237" t="str">
            <v>2.1.04.010.0900</v>
          </cell>
          <cell r="C1237" t="str">
            <v>NHL COMERCIAL EIRELI</v>
          </cell>
          <cell r="D1237">
            <v>18184.650000000001</v>
          </cell>
          <cell r="E1237">
            <v>19996.650000000001</v>
          </cell>
          <cell r="F1237">
            <v>9369.1</v>
          </cell>
          <cell r="G1237">
            <v>-10627.55</v>
          </cell>
          <cell r="H1237">
            <v>7557.1</v>
          </cell>
          <cell r="I1237" t="str">
            <v>C</v>
          </cell>
        </row>
        <row r="1238">
          <cell r="A1238">
            <v>53472</v>
          </cell>
          <cell r="B1238" t="str">
            <v>2.1.04.010.0920</v>
          </cell>
          <cell r="C1238" t="str">
            <v xml:space="preserve">JJSV PRODUTOS OTICOS </v>
          </cell>
          <cell r="D1238">
            <v>0</v>
          </cell>
          <cell r="E1238">
            <v>0</v>
          </cell>
          <cell r="F1238">
            <v>727.39</v>
          </cell>
          <cell r="G1238">
            <v>727.39</v>
          </cell>
          <cell r="H1238">
            <v>727.39</v>
          </cell>
          <cell r="I1238" t="str">
            <v>C</v>
          </cell>
        </row>
        <row r="1239">
          <cell r="A1239">
            <v>53527</v>
          </cell>
          <cell r="B1239" t="str">
            <v>2.1.04.010.0931</v>
          </cell>
          <cell r="C1239" t="str">
            <v xml:space="preserve">KAREN CRISTINA FERNANDES </v>
          </cell>
          <cell r="D1239">
            <v>0</v>
          </cell>
          <cell r="E1239">
            <v>0</v>
          </cell>
          <cell r="F1239">
            <v>2670</v>
          </cell>
          <cell r="G1239">
            <v>2670</v>
          </cell>
          <cell r="H1239">
            <v>2670</v>
          </cell>
          <cell r="I1239" t="str">
            <v>C</v>
          </cell>
        </row>
        <row r="1240">
          <cell r="A1240">
            <v>37065</v>
          </cell>
          <cell r="B1240" t="str">
            <v>2.1.04.010.0935</v>
          </cell>
          <cell r="C1240" t="str">
            <v xml:space="preserve">M. A. BARUEL CASA DAS </v>
          </cell>
          <cell r="D1240">
            <v>2453</v>
          </cell>
          <cell r="E1240">
            <v>2453</v>
          </cell>
          <cell r="F1240">
            <v>3742</v>
          </cell>
          <cell r="G1240">
            <v>1289</v>
          </cell>
          <cell r="H1240">
            <v>3742</v>
          </cell>
          <cell r="I1240" t="str">
            <v>C</v>
          </cell>
        </row>
        <row r="1241">
          <cell r="A1241">
            <v>53546</v>
          </cell>
          <cell r="B1241" t="str">
            <v>2.1.04.010.0937</v>
          </cell>
          <cell r="C1241" t="str">
            <v xml:space="preserve">RIAADE SUPRIMENTOS </v>
          </cell>
          <cell r="D1241">
            <v>0</v>
          </cell>
          <cell r="E1241">
            <v>0</v>
          </cell>
          <cell r="F1241">
            <v>620.4</v>
          </cell>
          <cell r="G1241">
            <v>620.4</v>
          </cell>
          <cell r="H1241">
            <v>620.4</v>
          </cell>
          <cell r="I1241" t="str">
            <v>C</v>
          </cell>
        </row>
        <row r="1242">
          <cell r="A1242">
            <v>53549</v>
          </cell>
          <cell r="B1242" t="str">
            <v>2.1.04.010.0939</v>
          </cell>
          <cell r="C1242" t="str">
            <v xml:space="preserve">WESLEY HENRIQUE DOS </v>
          </cell>
          <cell r="D1242">
            <v>2160</v>
          </cell>
          <cell r="E1242">
            <v>4320</v>
          </cell>
          <cell r="F1242">
            <v>4280</v>
          </cell>
          <cell r="G1242">
            <v>-40</v>
          </cell>
          <cell r="H1242">
            <v>2120</v>
          </cell>
          <cell r="I1242" t="str">
            <v>C</v>
          </cell>
        </row>
        <row r="1243">
          <cell r="A1243">
            <v>53588</v>
          </cell>
          <cell r="B1243" t="str">
            <v>2.1.04.010.0949</v>
          </cell>
          <cell r="C1243" t="str">
            <v xml:space="preserve">REAL MEDICAL PRODUTOS </v>
          </cell>
          <cell r="D1243">
            <v>64750</v>
          </cell>
          <cell r="E1243">
            <v>25900</v>
          </cell>
          <cell r="F1243">
            <v>56000</v>
          </cell>
          <cell r="G1243">
            <v>30100</v>
          </cell>
          <cell r="H1243">
            <v>94850</v>
          </cell>
          <cell r="I1243" t="str">
            <v>C</v>
          </cell>
        </row>
        <row r="1244">
          <cell r="A1244">
            <v>53711</v>
          </cell>
          <cell r="B1244" t="str">
            <v>2.1.04.010.0963</v>
          </cell>
          <cell r="C1244" t="str">
            <v xml:space="preserve">GADALI MEDICAL COMERCIO </v>
          </cell>
          <cell r="D1244">
            <v>180.2</v>
          </cell>
          <cell r="E1244">
            <v>180.2</v>
          </cell>
          <cell r="F1244">
            <v>0</v>
          </cell>
          <cell r="G1244">
            <v>-180.2</v>
          </cell>
          <cell r="H1244">
            <v>0</v>
          </cell>
          <cell r="I1244" t="str">
            <v>C</v>
          </cell>
        </row>
        <row r="1245">
          <cell r="A1245">
            <v>38691</v>
          </cell>
          <cell r="B1245" t="str">
            <v>2.1.04.010.0964</v>
          </cell>
          <cell r="C1245" t="str">
            <v xml:space="preserve">BARONI E FABRI COM DE </v>
          </cell>
          <cell r="D1245">
            <v>1206.4000000000001</v>
          </cell>
          <cell r="E1245">
            <v>804.31</v>
          </cell>
          <cell r="F1245">
            <v>0</v>
          </cell>
          <cell r="G1245">
            <v>-804.31</v>
          </cell>
          <cell r="H1245">
            <v>402.09</v>
          </cell>
          <cell r="I1245" t="str">
            <v>C</v>
          </cell>
        </row>
        <row r="1246">
          <cell r="A1246">
            <v>53727</v>
          </cell>
          <cell r="B1246" t="str">
            <v>2.1.04.010.0965</v>
          </cell>
          <cell r="C1246" t="str">
            <v xml:space="preserve">JC DA SILVA COMERCIO E </v>
          </cell>
          <cell r="D1246">
            <v>690</v>
          </cell>
          <cell r="E1246">
            <v>690</v>
          </cell>
          <cell r="F1246">
            <v>120</v>
          </cell>
          <cell r="G1246">
            <v>-570</v>
          </cell>
          <cell r="H1246">
            <v>120</v>
          </cell>
          <cell r="I1246" t="str">
            <v>C</v>
          </cell>
        </row>
        <row r="1247">
          <cell r="A1247">
            <v>53837</v>
          </cell>
          <cell r="B1247" t="str">
            <v>2.1.04.010.0984</v>
          </cell>
          <cell r="C1247" t="str">
            <v xml:space="preserve">SAEDCLIN COMERCIO DE </v>
          </cell>
          <cell r="D1247">
            <v>27600.06</v>
          </cell>
          <cell r="E1247">
            <v>23173.58</v>
          </cell>
          <cell r="F1247">
            <v>6559.46</v>
          </cell>
          <cell r="G1247">
            <v>-16614.12</v>
          </cell>
          <cell r="H1247">
            <v>10985.94</v>
          </cell>
          <cell r="I1247" t="str">
            <v>C</v>
          </cell>
        </row>
        <row r="1248">
          <cell r="A1248">
            <v>53846</v>
          </cell>
          <cell r="B1248" t="str">
            <v>2.1.04.010.0986</v>
          </cell>
          <cell r="C1248" t="str">
            <v xml:space="preserve">YAMARO &amp; SUZUKI COMERCIO </v>
          </cell>
          <cell r="D1248">
            <v>8593.1</v>
          </cell>
          <cell r="E1248">
            <v>10243.1</v>
          </cell>
          <cell r="F1248">
            <v>4576</v>
          </cell>
          <cell r="G1248">
            <v>-5667.1</v>
          </cell>
          <cell r="H1248">
            <v>2926</v>
          </cell>
          <cell r="I1248" t="str">
            <v>C</v>
          </cell>
        </row>
        <row r="1249">
          <cell r="A1249">
            <v>53850</v>
          </cell>
          <cell r="B1249" t="str">
            <v>2.1.04.010.0987</v>
          </cell>
          <cell r="C1249" t="str">
            <v xml:space="preserve">CLEAN MEDICAL COMERCIO </v>
          </cell>
          <cell r="D1249">
            <v>2266.66</v>
          </cell>
          <cell r="E1249">
            <v>2266.66</v>
          </cell>
          <cell r="F1249">
            <v>1700</v>
          </cell>
          <cell r="G1249">
            <v>-566.66</v>
          </cell>
          <cell r="H1249">
            <v>1700</v>
          </cell>
          <cell r="I1249" t="str">
            <v>C</v>
          </cell>
        </row>
        <row r="1250">
          <cell r="A1250">
            <v>53855</v>
          </cell>
          <cell r="B1250" t="str">
            <v>2.1.04.010.0990</v>
          </cell>
          <cell r="C1250" t="str">
            <v xml:space="preserve">RINALDO CESAR DELFINO </v>
          </cell>
          <cell r="D1250">
            <v>4011.45</v>
          </cell>
          <cell r="E1250">
            <v>4181.45</v>
          </cell>
          <cell r="F1250">
            <v>11975</v>
          </cell>
          <cell r="G1250">
            <v>7793.55</v>
          </cell>
          <cell r="H1250">
            <v>11805</v>
          </cell>
          <cell r="I1250" t="str">
            <v>C</v>
          </cell>
        </row>
        <row r="1251">
          <cell r="A1251">
            <v>53869</v>
          </cell>
          <cell r="B1251" t="str">
            <v>2.1.04.010.0992</v>
          </cell>
          <cell r="C1251" t="str">
            <v xml:space="preserve">JOSE APARECIDO DE SOUZA </v>
          </cell>
          <cell r="D1251">
            <v>0</v>
          </cell>
          <cell r="E1251">
            <v>2250</v>
          </cell>
          <cell r="F1251">
            <v>2250</v>
          </cell>
          <cell r="G1251">
            <v>0</v>
          </cell>
          <cell r="H1251">
            <v>0</v>
          </cell>
          <cell r="I1251" t="str">
            <v>C</v>
          </cell>
        </row>
        <row r="1252">
          <cell r="A1252">
            <v>53891</v>
          </cell>
          <cell r="B1252" t="str">
            <v>2.1.04.010.0999</v>
          </cell>
          <cell r="C1252" t="str">
            <v xml:space="preserve">AGILE MED IMPORTACAO E </v>
          </cell>
          <cell r="D1252">
            <v>2450</v>
          </cell>
          <cell r="E1252">
            <v>4900</v>
          </cell>
          <cell r="F1252">
            <v>2450</v>
          </cell>
          <cell r="G1252">
            <v>-2450</v>
          </cell>
          <cell r="H1252">
            <v>0</v>
          </cell>
          <cell r="I1252" t="str">
            <v>C</v>
          </cell>
        </row>
        <row r="1253">
          <cell r="A1253">
            <v>53900</v>
          </cell>
          <cell r="B1253" t="str">
            <v>2.1.04.010.1004</v>
          </cell>
          <cell r="C1253" t="str">
            <v xml:space="preserve">SOMA/SP PRODUTOS </v>
          </cell>
          <cell r="D1253">
            <v>101434.95</v>
          </cell>
          <cell r="E1253">
            <v>97986.08</v>
          </cell>
          <cell r="F1253">
            <v>71488.13</v>
          </cell>
          <cell r="G1253">
            <v>-26497.95</v>
          </cell>
          <cell r="H1253">
            <v>74937</v>
          </cell>
          <cell r="I1253" t="str">
            <v>C</v>
          </cell>
        </row>
        <row r="1254">
          <cell r="A1254">
            <v>53901</v>
          </cell>
          <cell r="B1254" t="str">
            <v>2.1.04.010.1005</v>
          </cell>
          <cell r="C1254" t="str">
            <v xml:space="preserve">SURYA JACAREI ALIMENTOS </v>
          </cell>
          <cell r="D1254">
            <v>0</v>
          </cell>
          <cell r="E1254">
            <v>2034</v>
          </cell>
          <cell r="F1254">
            <v>2034</v>
          </cell>
          <cell r="G1254">
            <v>0</v>
          </cell>
          <cell r="H1254">
            <v>0</v>
          </cell>
          <cell r="I1254" t="str">
            <v>C</v>
          </cell>
        </row>
        <row r="1255">
          <cell r="A1255">
            <v>53905</v>
          </cell>
          <cell r="B1255" t="str">
            <v>2.1.04.010.1007</v>
          </cell>
          <cell r="C1255" t="str">
            <v xml:space="preserve">ANGULAR PRODUTOS PARA </v>
          </cell>
          <cell r="D1255">
            <v>0</v>
          </cell>
          <cell r="E1255">
            <v>0</v>
          </cell>
          <cell r="F1255">
            <v>2167.5</v>
          </cell>
          <cell r="G1255">
            <v>2167.5</v>
          </cell>
          <cell r="H1255">
            <v>2167.5</v>
          </cell>
          <cell r="I1255" t="str">
            <v>C</v>
          </cell>
        </row>
        <row r="1256">
          <cell r="A1256">
            <v>53922</v>
          </cell>
          <cell r="B1256" t="str">
            <v>2.1.04.010.1011</v>
          </cell>
          <cell r="C1256" t="str">
            <v xml:space="preserve">JD DA SILVA ACESSORIOS </v>
          </cell>
          <cell r="D1256">
            <v>0</v>
          </cell>
          <cell r="E1256">
            <v>0</v>
          </cell>
          <cell r="F1256">
            <v>780</v>
          </cell>
          <cell r="G1256">
            <v>780</v>
          </cell>
          <cell r="H1256">
            <v>780</v>
          </cell>
          <cell r="I1256" t="str">
            <v>C</v>
          </cell>
        </row>
        <row r="1257">
          <cell r="A1257">
            <v>54027</v>
          </cell>
          <cell r="B1257" t="str">
            <v>2.1.04.010.1038</v>
          </cell>
          <cell r="C1257" t="str">
            <v xml:space="preserve">SPARTAN DO BRASIL </v>
          </cell>
          <cell r="D1257">
            <v>752.25</v>
          </cell>
          <cell r="E1257">
            <v>752.25</v>
          </cell>
          <cell r="F1257">
            <v>510.49</v>
          </cell>
          <cell r="G1257">
            <v>-241.76</v>
          </cell>
          <cell r="H1257">
            <v>510.49</v>
          </cell>
          <cell r="I1257" t="str">
            <v>C</v>
          </cell>
        </row>
        <row r="1258">
          <cell r="A1258">
            <v>54103</v>
          </cell>
          <cell r="B1258" t="str">
            <v>2.1.04.010.1049</v>
          </cell>
          <cell r="C1258" t="str">
            <v xml:space="preserve">CAPRICHO VEICULOS E </v>
          </cell>
          <cell r="D1258">
            <v>0</v>
          </cell>
          <cell r="E1258">
            <v>0</v>
          </cell>
          <cell r="F1258">
            <v>1755.92</v>
          </cell>
          <cell r="G1258">
            <v>1755.92</v>
          </cell>
          <cell r="H1258">
            <v>1755.92</v>
          </cell>
          <cell r="I1258" t="str">
            <v>C</v>
          </cell>
        </row>
        <row r="1259">
          <cell r="A1259">
            <v>54204</v>
          </cell>
          <cell r="B1259" t="str">
            <v>2.1.04.010.1059</v>
          </cell>
          <cell r="C1259" t="str">
            <v xml:space="preserve">PAULEDA COMERCIO DE </v>
          </cell>
          <cell r="D1259">
            <v>3057</v>
          </cell>
          <cell r="E1259">
            <v>3057</v>
          </cell>
          <cell r="F1259">
            <v>780</v>
          </cell>
          <cell r="G1259">
            <v>-2277</v>
          </cell>
          <cell r="H1259">
            <v>780</v>
          </cell>
          <cell r="I1259" t="str">
            <v>C</v>
          </cell>
        </row>
        <row r="1260">
          <cell r="A1260">
            <v>54218</v>
          </cell>
          <cell r="B1260" t="str">
            <v>2.1.04.010.1066</v>
          </cell>
          <cell r="C1260" t="str">
            <v xml:space="preserve">FORMEDICA FARMACIA DE </v>
          </cell>
          <cell r="D1260">
            <v>0</v>
          </cell>
          <cell r="E1260">
            <v>0</v>
          </cell>
          <cell r="F1260">
            <v>1276</v>
          </cell>
          <cell r="G1260">
            <v>1276</v>
          </cell>
          <cell r="H1260">
            <v>1276</v>
          </cell>
          <cell r="I1260" t="str">
            <v>C</v>
          </cell>
        </row>
        <row r="1261">
          <cell r="A1261">
            <v>54244</v>
          </cell>
          <cell r="B1261" t="str">
            <v>2.1.04.010.1073</v>
          </cell>
          <cell r="C1261" t="str">
            <v xml:space="preserve">ONCOTECH HOSPITALAR </v>
          </cell>
          <cell r="D1261">
            <v>0</v>
          </cell>
          <cell r="E1261">
            <v>0</v>
          </cell>
          <cell r="F1261">
            <v>2870.04</v>
          </cell>
          <cell r="G1261">
            <v>2870.04</v>
          </cell>
          <cell r="H1261">
            <v>2870.04</v>
          </cell>
          <cell r="I1261" t="str">
            <v>C</v>
          </cell>
        </row>
        <row r="1262">
          <cell r="A1262">
            <v>54254</v>
          </cell>
          <cell r="B1262" t="str">
            <v>2.1.04.010.1075</v>
          </cell>
          <cell r="C1262" t="str">
            <v xml:space="preserve">KM CLEAN DISTRIBUIDORA E </v>
          </cell>
          <cell r="D1262">
            <v>28741.73</v>
          </cell>
          <cell r="E1262">
            <v>20658.12</v>
          </cell>
          <cell r="F1262">
            <v>18536.099999999999</v>
          </cell>
          <cell r="G1262">
            <v>-2122.02</v>
          </cell>
          <cell r="H1262">
            <v>26619.71</v>
          </cell>
          <cell r="I1262" t="str">
            <v>C</v>
          </cell>
        </row>
        <row r="1263">
          <cell r="A1263">
            <v>54263</v>
          </cell>
          <cell r="B1263" t="str">
            <v>2.1.04.010.1079</v>
          </cell>
          <cell r="C1263" t="str">
            <v xml:space="preserve">SESTRIERE SOFTWARE - </v>
          </cell>
          <cell r="D1263">
            <v>18000.5</v>
          </cell>
          <cell r="E1263">
            <v>9337</v>
          </cell>
          <cell r="F1263">
            <v>6438</v>
          </cell>
          <cell r="G1263">
            <v>-2899</v>
          </cell>
          <cell r="H1263">
            <v>15101.5</v>
          </cell>
          <cell r="I1263" t="str">
            <v>C</v>
          </cell>
        </row>
        <row r="1264">
          <cell r="A1264">
            <v>54306</v>
          </cell>
          <cell r="B1264" t="str">
            <v>2.1.04.010.1087</v>
          </cell>
          <cell r="C1264" t="str">
            <v xml:space="preserve">SYNCROFILM DISTRIBUIDORA </v>
          </cell>
          <cell r="D1264">
            <v>600</v>
          </cell>
          <cell r="E1264">
            <v>1523.87</v>
          </cell>
          <cell r="F1264">
            <v>923.87</v>
          </cell>
          <cell r="G1264">
            <v>-600</v>
          </cell>
          <cell r="H1264">
            <v>0</v>
          </cell>
          <cell r="I1264" t="str">
            <v>C</v>
          </cell>
        </row>
        <row r="1265">
          <cell r="A1265">
            <v>54312</v>
          </cell>
          <cell r="B1265" t="str">
            <v>2.1.04.010.1090</v>
          </cell>
          <cell r="C1265" t="str">
            <v xml:space="preserve">UNIBIO DISTRIBUIDORA E </v>
          </cell>
          <cell r="D1265">
            <v>710</v>
          </cell>
          <cell r="E1265">
            <v>710</v>
          </cell>
          <cell r="F1265">
            <v>1085</v>
          </cell>
          <cell r="G1265">
            <v>375</v>
          </cell>
          <cell r="H1265">
            <v>1085</v>
          </cell>
          <cell r="I1265" t="str">
            <v>C</v>
          </cell>
        </row>
        <row r="1266">
          <cell r="A1266">
            <v>54322</v>
          </cell>
          <cell r="B1266" t="str">
            <v>2.1.04.010.1095</v>
          </cell>
          <cell r="C1266" t="str">
            <v xml:space="preserve">ALL COMERCIO </v>
          </cell>
          <cell r="D1266">
            <v>6890.67</v>
          </cell>
          <cell r="E1266">
            <v>14158.87</v>
          </cell>
          <cell r="F1266">
            <v>21576.97</v>
          </cell>
          <cell r="G1266">
            <v>7418.1</v>
          </cell>
          <cell r="H1266">
            <v>14308.77</v>
          </cell>
          <cell r="I1266" t="str">
            <v>C</v>
          </cell>
        </row>
        <row r="1267">
          <cell r="A1267">
            <v>54329</v>
          </cell>
          <cell r="B1267" t="str">
            <v>2.1.04.010.1096</v>
          </cell>
          <cell r="C1267" t="str">
            <v xml:space="preserve">BIOTEC PRODUTOS </v>
          </cell>
          <cell r="D1267">
            <v>1440</v>
          </cell>
          <cell r="E1267">
            <v>3046.5</v>
          </cell>
          <cell r="F1267">
            <v>13516.2</v>
          </cell>
          <cell r="G1267">
            <v>10469.700000000001</v>
          </cell>
          <cell r="H1267">
            <v>11909.7</v>
          </cell>
          <cell r="I1267" t="str">
            <v>C</v>
          </cell>
        </row>
        <row r="1268">
          <cell r="A1268">
            <v>54342</v>
          </cell>
          <cell r="B1268" t="str">
            <v>2.1.04.010.1098</v>
          </cell>
          <cell r="C1268" t="str">
            <v xml:space="preserve">ONCORIO DISTRIBUIDORA DE </v>
          </cell>
          <cell r="D1268">
            <v>92854.27</v>
          </cell>
          <cell r="E1268">
            <v>77886.53</v>
          </cell>
          <cell r="F1268">
            <v>98369.2</v>
          </cell>
          <cell r="G1268">
            <v>20482.669999999998</v>
          </cell>
          <cell r="H1268">
            <v>113336.94</v>
          </cell>
          <cell r="I1268" t="str">
            <v>C</v>
          </cell>
        </row>
        <row r="1269">
          <cell r="A1269">
            <v>54343</v>
          </cell>
          <cell r="B1269" t="str">
            <v>2.1.04.010.1099</v>
          </cell>
          <cell r="C1269" t="str">
            <v xml:space="preserve">SIMPRESS COMERCIO </v>
          </cell>
          <cell r="D1269">
            <v>2991.97</v>
          </cell>
          <cell r="E1269">
            <v>5664.9</v>
          </cell>
          <cell r="F1269">
            <v>2672.93</v>
          </cell>
          <cell r="G1269">
            <v>-2991.97</v>
          </cell>
          <cell r="H1269">
            <v>0</v>
          </cell>
          <cell r="I1269" t="str">
            <v>C</v>
          </cell>
        </row>
        <row r="1270">
          <cell r="A1270">
            <v>54345</v>
          </cell>
          <cell r="B1270" t="str">
            <v>2.1.04.010.1102</v>
          </cell>
          <cell r="C1270" t="str">
            <v xml:space="preserve">STONEMED PRODUTOS </v>
          </cell>
          <cell r="D1270">
            <v>2680</v>
          </cell>
          <cell r="E1270">
            <v>2280</v>
          </cell>
          <cell r="F1270">
            <v>950</v>
          </cell>
          <cell r="G1270">
            <v>-1330</v>
          </cell>
          <cell r="H1270">
            <v>1350</v>
          </cell>
          <cell r="I1270" t="str">
            <v>C</v>
          </cell>
        </row>
        <row r="1271">
          <cell r="A1271">
            <v>54371</v>
          </cell>
          <cell r="B1271" t="str">
            <v>2.1.04.010.1105</v>
          </cell>
          <cell r="C1271" t="str">
            <v xml:space="preserve">EQUIVALE - EQUIPAMENTOS </v>
          </cell>
          <cell r="D1271">
            <v>3429.7</v>
          </cell>
          <cell r="E1271">
            <v>3429.7</v>
          </cell>
          <cell r="F1271">
            <v>0</v>
          </cell>
          <cell r="G1271">
            <v>-3429.7</v>
          </cell>
          <cell r="H1271">
            <v>0</v>
          </cell>
          <cell r="I1271" t="str">
            <v>C</v>
          </cell>
        </row>
        <row r="1272">
          <cell r="A1272">
            <v>54388</v>
          </cell>
          <cell r="B1272" t="str">
            <v>2.1.04.010.1115</v>
          </cell>
          <cell r="C1272" t="str">
            <v xml:space="preserve">ELETRICA COMERCIAL ANDRA </v>
          </cell>
          <cell r="D1272">
            <v>0</v>
          </cell>
          <cell r="E1272">
            <v>1390.72</v>
          </cell>
          <cell r="F1272">
            <v>1390.72</v>
          </cell>
          <cell r="G1272">
            <v>0</v>
          </cell>
          <cell r="H1272">
            <v>0</v>
          </cell>
          <cell r="I1272" t="str">
            <v>C</v>
          </cell>
        </row>
        <row r="1273">
          <cell r="A1273">
            <v>54408</v>
          </cell>
          <cell r="B1273" t="str">
            <v>2.1.04.010.1120</v>
          </cell>
          <cell r="C1273" t="str">
            <v xml:space="preserve">UNIFRAN EPIS E UNIFORMES </v>
          </cell>
          <cell r="D1273">
            <v>11772.6</v>
          </cell>
          <cell r="E1273">
            <v>9117.5</v>
          </cell>
          <cell r="F1273">
            <v>2598.1</v>
          </cell>
          <cell r="G1273">
            <v>-6519.4</v>
          </cell>
          <cell r="H1273">
            <v>5253.2</v>
          </cell>
          <cell r="I1273" t="str">
            <v>C</v>
          </cell>
        </row>
        <row r="1274">
          <cell r="A1274">
            <v>54409</v>
          </cell>
          <cell r="B1274" t="str">
            <v>2.1.04.010.1121</v>
          </cell>
          <cell r="C1274" t="str">
            <v xml:space="preserve">TRAUMINAS DISTRIBUIDORA </v>
          </cell>
          <cell r="D1274">
            <v>3488.61</v>
          </cell>
          <cell r="E1274">
            <v>3488.61</v>
          </cell>
          <cell r="F1274">
            <v>3697.9</v>
          </cell>
          <cell r="G1274">
            <v>209.29</v>
          </cell>
          <cell r="H1274">
            <v>3697.9</v>
          </cell>
          <cell r="I1274" t="str">
            <v>C</v>
          </cell>
        </row>
        <row r="1275">
          <cell r="A1275">
            <v>54413</v>
          </cell>
          <cell r="B1275" t="str">
            <v>2.1.04.010.1122</v>
          </cell>
          <cell r="C1275" t="str">
            <v xml:space="preserve">CAPROMED FARMACEUTICA </v>
          </cell>
          <cell r="D1275">
            <v>969.6</v>
          </cell>
          <cell r="E1275">
            <v>969.6</v>
          </cell>
          <cell r="F1275">
            <v>0</v>
          </cell>
          <cell r="G1275">
            <v>-969.6</v>
          </cell>
          <cell r="H1275">
            <v>0</v>
          </cell>
          <cell r="I1275" t="str">
            <v>C</v>
          </cell>
        </row>
        <row r="1276">
          <cell r="A1276">
            <v>54419</v>
          </cell>
          <cell r="B1276" t="str">
            <v>2.1.04.010.1126</v>
          </cell>
          <cell r="C1276" t="str">
            <v>DANIEL SERODIO DURIGAN</v>
          </cell>
          <cell r="D1276">
            <v>78000</v>
          </cell>
          <cell r="E1276">
            <v>46800</v>
          </cell>
          <cell r="F1276">
            <v>0</v>
          </cell>
          <cell r="G1276">
            <v>-46800</v>
          </cell>
          <cell r="H1276">
            <v>31200</v>
          </cell>
          <cell r="I1276" t="str">
            <v>C</v>
          </cell>
        </row>
        <row r="1277">
          <cell r="A1277">
            <v>54421</v>
          </cell>
          <cell r="B1277" t="str">
            <v>2.1.04.010.1127</v>
          </cell>
          <cell r="C1277" t="str">
            <v xml:space="preserve">MINERACAO MONTEIRO </v>
          </cell>
          <cell r="D1277">
            <v>2479.4499999999998</v>
          </cell>
          <cell r="E1277">
            <v>3095.4</v>
          </cell>
          <cell r="F1277">
            <v>3529.45</v>
          </cell>
          <cell r="G1277">
            <v>434.05</v>
          </cell>
          <cell r="H1277">
            <v>2913.5</v>
          </cell>
          <cell r="I1277" t="str">
            <v>C</v>
          </cell>
        </row>
        <row r="1278">
          <cell r="A1278">
            <v>54425</v>
          </cell>
          <cell r="B1278" t="str">
            <v>2.1.04.010.1130</v>
          </cell>
          <cell r="C1278" t="str">
            <v xml:space="preserve">MARIA MARLY DE CAMPOS </v>
          </cell>
          <cell r="D1278">
            <v>2420</v>
          </cell>
          <cell r="E1278">
            <v>2420</v>
          </cell>
          <cell r="F1278">
            <v>320</v>
          </cell>
          <cell r="G1278">
            <v>-2100</v>
          </cell>
          <cell r="H1278">
            <v>320</v>
          </cell>
          <cell r="I1278" t="str">
            <v>C</v>
          </cell>
        </row>
        <row r="1279">
          <cell r="A1279">
            <v>54439</v>
          </cell>
          <cell r="B1279" t="str">
            <v>2.1.04.010.1133</v>
          </cell>
          <cell r="C1279" t="str">
            <v xml:space="preserve">MULTICARD - IDENTIFICACOES </v>
          </cell>
          <cell r="D1279">
            <v>0</v>
          </cell>
          <cell r="E1279">
            <v>0</v>
          </cell>
          <cell r="F1279">
            <v>4500</v>
          </cell>
          <cell r="G1279">
            <v>4500</v>
          </cell>
          <cell r="H1279">
            <v>4500</v>
          </cell>
          <cell r="I1279" t="str">
            <v>C</v>
          </cell>
        </row>
        <row r="1280">
          <cell r="A1280">
            <v>54443</v>
          </cell>
          <cell r="B1280" t="str">
            <v>2.1.04.010.1137</v>
          </cell>
          <cell r="C1280" t="str">
            <v xml:space="preserve">CAMAHE INDUSTRIA E </v>
          </cell>
          <cell r="D1280">
            <v>1060</v>
          </cell>
          <cell r="E1280">
            <v>1060</v>
          </cell>
          <cell r="F1280">
            <v>0</v>
          </cell>
          <cell r="G1280">
            <v>-1060</v>
          </cell>
          <cell r="H1280">
            <v>0</v>
          </cell>
          <cell r="I1280" t="str">
            <v>C</v>
          </cell>
        </row>
        <row r="1281">
          <cell r="A1281">
            <v>54459</v>
          </cell>
          <cell r="B1281" t="str">
            <v>2.1.04.010.1141</v>
          </cell>
          <cell r="C1281" t="str">
            <v xml:space="preserve">SILIMED - INDUSTRIA DE </v>
          </cell>
          <cell r="D1281">
            <v>6256</v>
          </cell>
          <cell r="E1281">
            <v>1488</v>
          </cell>
          <cell r="F1281">
            <v>0</v>
          </cell>
          <cell r="G1281">
            <v>-1488</v>
          </cell>
          <cell r="H1281">
            <v>4768</v>
          </cell>
          <cell r="I1281" t="str">
            <v>C</v>
          </cell>
        </row>
        <row r="1282">
          <cell r="A1282">
            <v>54468</v>
          </cell>
          <cell r="B1282" t="str">
            <v>2.1.04.010.1144</v>
          </cell>
          <cell r="C1282" t="str">
            <v xml:space="preserve">SANNA COMERCIO DE </v>
          </cell>
          <cell r="D1282">
            <v>345.49</v>
          </cell>
          <cell r="E1282">
            <v>2649.95</v>
          </cell>
          <cell r="F1282">
            <v>3303.94</v>
          </cell>
          <cell r="G1282">
            <v>653.99</v>
          </cell>
          <cell r="H1282">
            <v>999.48</v>
          </cell>
          <cell r="I1282" t="str">
            <v>C</v>
          </cell>
        </row>
        <row r="1283">
          <cell r="A1283">
            <v>54540</v>
          </cell>
          <cell r="B1283" t="str">
            <v>2.1.04.010.1156</v>
          </cell>
          <cell r="C1283" t="str">
            <v xml:space="preserve">ASTRA FARMA COMERCIO DE </v>
          </cell>
          <cell r="D1283">
            <v>1220.08</v>
          </cell>
          <cell r="E1283">
            <v>1220.08</v>
          </cell>
          <cell r="F1283">
            <v>5137.3900000000003</v>
          </cell>
          <cell r="G1283">
            <v>3917.31</v>
          </cell>
          <cell r="H1283">
            <v>5137.3900000000003</v>
          </cell>
          <cell r="I1283" t="str">
            <v>C</v>
          </cell>
        </row>
        <row r="1284">
          <cell r="A1284">
            <v>54547</v>
          </cell>
          <cell r="B1284" t="str">
            <v>2.1.04.010.1160</v>
          </cell>
          <cell r="C1284" t="str">
            <v xml:space="preserve">MASIERO COMERCIO DE </v>
          </cell>
          <cell r="D1284">
            <v>4325.3999999999996</v>
          </cell>
          <cell r="E1284">
            <v>4325.3999999999996</v>
          </cell>
          <cell r="F1284">
            <v>1131</v>
          </cell>
          <cell r="G1284">
            <v>-3194.4</v>
          </cell>
          <cell r="H1284">
            <v>1131</v>
          </cell>
          <cell r="I1284" t="str">
            <v>C</v>
          </cell>
        </row>
        <row r="1285">
          <cell r="A1285">
            <v>54555</v>
          </cell>
          <cell r="B1285" t="str">
            <v>2.1.04.010.1161</v>
          </cell>
          <cell r="C1285" t="str">
            <v xml:space="preserve">PHARMA LOG PRODUTOS </v>
          </cell>
          <cell r="D1285">
            <v>676.15</v>
          </cell>
          <cell r="E1285">
            <v>2407.69</v>
          </cell>
          <cell r="F1285">
            <v>11575.08</v>
          </cell>
          <cell r="G1285">
            <v>9167.39</v>
          </cell>
          <cell r="H1285">
            <v>9843.5400000000009</v>
          </cell>
          <cell r="I1285" t="str">
            <v>C</v>
          </cell>
        </row>
        <row r="1286">
          <cell r="A1286">
            <v>37093</v>
          </cell>
          <cell r="B1286" t="str">
            <v>2.1.04.010.1162</v>
          </cell>
          <cell r="C1286" t="str">
            <v xml:space="preserve">BONE SURGICAL VALE </v>
          </cell>
          <cell r="D1286">
            <v>150013.71</v>
          </cell>
          <cell r="E1286">
            <v>92013.71</v>
          </cell>
          <cell r="F1286">
            <v>13295</v>
          </cell>
          <cell r="G1286">
            <v>-78718.710000000006</v>
          </cell>
          <cell r="H1286">
            <v>71295</v>
          </cell>
          <cell r="I1286" t="str">
            <v>C</v>
          </cell>
        </row>
        <row r="1287">
          <cell r="A1287">
            <v>54575</v>
          </cell>
          <cell r="B1287" t="str">
            <v>2.1.04.010.1164</v>
          </cell>
          <cell r="C1287" t="str">
            <v xml:space="preserve">FIXEN MED COMERCIAL E </v>
          </cell>
          <cell r="D1287">
            <v>106250</v>
          </cell>
          <cell r="E1287">
            <v>16350</v>
          </cell>
          <cell r="F1287">
            <v>0</v>
          </cell>
          <cell r="G1287">
            <v>-16350</v>
          </cell>
          <cell r="H1287">
            <v>89900</v>
          </cell>
          <cell r="I1287" t="str">
            <v>C</v>
          </cell>
        </row>
        <row r="1288">
          <cell r="A1288">
            <v>54578</v>
          </cell>
          <cell r="B1288" t="str">
            <v>2.1.04.010.1165</v>
          </cell>
          <cell r="C1288" t="str">
            <v xml:space="preserve">TRES PHARMA </v>
          </cell>
          <cell r="D1288">
            <v>6930</v>
          </cell>
          <cell r="E1288">
            <v>6930</v>
          </cell>
          <cell r="F1288">
            <v>0</v>
          </cell>
          <cell r="G1288">
            <v>-6930</v>
          </cell>
          <cell r="H1288">
            <v>0</v>
          </cell>
          <cell r="I1288" t="str">
            <v>C</v>
          </cell>
        </row>
        <row r="1289">
          <cell r="A1289">
            <v>54581</v>
          </cell>
          <cell r="B1289" t="str">
            <v>2.1.04.010.1167</v>
          </cell>
          <cell r="C1289" t="str">
            <v xml:space="preserve">PREMIER PESCADOS </v>
          </cell>
          <cell r="D1289">
            <v>0</v>
          </cell>
          <cell r="E1289">
            <v>1794.9</v>
          </cell>
          <cell r="F1289">
            <v>1794.9</v>
          </cell>
          <cell r="G1289">
            <v>0</v>
          </cell>
          <cell r="H1289">
            <v>0</v>
          </cell>
          <cell r="I1289" t="str">
            <v>C</v>
          </cell>
        </row>
        <row r="1290">
          <cell r="A1290">
            <v>54606</v>
          </cell>
          <cell r="B1290" t="str">
            <v>2.1.04.010.1171</v>
          </cell>
          <cell r="C1290" t="str">
            <v xml:space="preserve">MF MEDICAL IMPORTACAO E </v>
          </cell>
          <cell r="D1290">
            <v>4880.9799999999996</v>
          </cell>
          <cell r="E1290">
            <v>4880.9799999999996</v>
          </cell>
          <cell r="F1290">
            <v>0</v>
          </cell>
          <cell r="G1290">
            <v>-4880.9799999999996</v>
          </cell>
          <cell r="H1290">
            <v>0</v>
          </cell>
          <cell r="I1290" t="str">
            <v>C</v>
          </cell>
        </row>
        <row r="1291">
          <cell r="A1291">
            <v>54607</v>
          </cell>
          <cell r="B1291" t="str">
            <v>2.1.04.010.1172</v>
          </cell>
          <cell r="C1291" t="str">
            <v xml:space="preserve">WOLFORD MEDICAL </v>
          </cell>
          <cell r="D1291">
            <v>130207.16</v>
          </cell>
          <cell r="E1291">
            <v>66404.429999999993</v>
          </cell>
          <cell r="F1291">
            <v>98400</v>
          </cell>
          <cell r="G1291">
            <v>31995.57</v>
          </cell>
          <cell r="H1291">
            <v>162202.73000000001</v>
          </cell>
          <cell r="I1291" t="str">
            <v>C</v>
          </cell>
        </row>
        <row r="1292">
          <cell r="A1292">
            <v>54615</v>
          </cell>
          <cell r="B1292" t="str">
            <v>2.1.04.010.1180</v>
          </cell>
          <cell r="C1292" t="str">
            <v xml:space="preserve">I-MEDIC COMERCIO DE </v>
          </cell>
          <cell r="D1292">
            <v>305392.5</v>
          </cell>
          <cell r="E1292">
            <v>344059</v>
          </cell>
          <cell r="F1292">
            <v>248410</v>
          </cell>
          <cell r="G1292">
            <v>-95649</v>
          </cell>
          <cell r="H1292">
            <v>209743.5</v>
          </cell>
          <cell r="I1292" t="str">
            <v>C</v>
          </cell>
        </row>
        <row r="1293">
          <cell r="A1293">
            <v>54618</v>
          </cell>
          <cell r="B1293" t="str">
            <v>2.1.04.010.1181</v>
          </cell>
          <cell r="C1293" t="str">
            <v xml:space="preserve">RITMO SINUSAL COMERCIO E </v>
          </cell>
          <cell r="D1293">
            <v>24300</v>
          </cell>
          <cell r="E1293">
            <v>8100</v>
          </cell>
          <cell r="F1293">
            <v>0</v>
          </cell>
          <cell r="G1293">
            <v>-8100</v>
          </cell>
          <cell r="H1293">
            <v>16200</v>
          </cell>
          <cell r="I1293" t="str">
            <v>C</v>
          </cell>
        </row>
        <row r="1294">
          <cell r="A1294">
            <v>54619</v>
          </cell>
          <cell r="B1294" t="str">
            <v>2.1.04.010.1182</v>
          </cell>
          <cell r="C1294" t="str">
            <v xml:space="preserve">MM MEDICAL PRODUTOS </v>
          </cell>
          <cell r="D1294">
            <v>2478</v>
          </cell>
          <cell r="E1294">
            <v>7286.5</v>
          </cell>
          <cell r="F1294">
            <v>68499</v>
          </cell>
          <cell r="G1294">
            <v>61212.5</v>
          </cell>
          <cell r="H1294">
            <v>63690.5</v>
          </cell>
          <cell r="I1294" t="str">
            <v>C</v>
          </cell>
        </row>
        <row r="1295">
          <cell r="A1295">
            <v>38309</v>
          </cell>
          <cell r="B1295" t="str">
            <v>2.1.04.010.1187</v>
          </cell>
          <cell r="C1295" t="str">
            <v>NUTRIPORT COMERCIAL LTDA</v>
          </cell>
          <cell r="D1295">
            <v>9445.75</v>
          </cell>
          <cell r="E1295">
            <v>5190.07</v>
          </cell>
          <cell r="F1295">
            <v>8742.2999999999993</v>
          </cell>
          <cell r="G1295">
            <v>3552.23</v>
          </cell>
          <cell r="H1295">
            <v>12997.98</v>
          </cell>
          <cell r="I1295" t="str">
            <v>C</v>
          </cell>
        </row>
        <row r="1296">
          <cell r="A1296">
            <v>54642</v>
          </cell>
          <cell r="B1296" t="str">
            <v>2.1.04.010.1190</v>
          </cell>
          <cell r="C1296" t="str">
            <v xml:space="preserve">MEDICALL FARMA </v>
          </cell>
          <cell r="D1296">
            <v>634.20000000000005</v>
          </cell>
          <cell r="E1296">
            <v>634.20000000000005</v>
          </cell>
          <cell r="F1296">
            <v>987.1</v>
          </cell>
          <cell r="G1296">
            <v>352.9</v>
          </cell>
          <cell r="H1296">
            <v>987.1</v>
          </cell>
          <cell r="I1296" t="str">
            <v>C</v>
          </cell>
        </row>
        <row r="1297">
          <cell r="A1297">
            <v>54644</v>
          </cell>
          <cell r="B1297" t="str">
            <v>2.1.04.010.1194</v>
          </cell>
          <cell r="C1297" t="str">
            <v xml:space="preserve">BRAZMIX COMERCIO </v>
          </cell>
          <cell r="D1297">
            <v>11900.3</v>
          </cell>
          <cell r="E1297">
            <v>16413.650000000001</v>
          </cell>
          <cell r="F1297">
            <v>9031.5</v>
          </cell>
          <cell r="G1297">
            <v>-7382.15</v>
          </cell>
          <cell r="H1297">
            <v>4518.1499999999996</v>
          </cell>
          <cell r="I1297" t="str">
            <v>C</v>
          </cell>
        </row>
        <row r="1298">
          <cell r="A1298">
            <v>52110</v>
          </cell>
          <cell r="B1298" t="str">
            <v>2.1.04.010.1195</v>
          </cell>
          <cell r="C1298" t="str">
            <v xml:space="preserve">PLANTAO MEDICO </v>
          </cell>
          <cell r="D1298">
            <v>25935</v>
          </cell>
          <cell r="E1298">
            <v>31248.5</v>
          </cell>
          <cell r="F1298">
            <v>35274</v>
          </cell>
          <cell r="G1298">
            <v>4025.5</v>
          </cell>
          <cell r="H1298">
            <v>29960.5</v>
          </cell>
          <cell r="I1298" t="str">
            <v>C</v>
          </cell>
        </row>
        <row r="1299">
          <cell r="A1299">
            <v>54584</v>
          </cell>
          <cell r="B1299" t="str">
            <v>2.1.04.010.1198</v>
          </cell>
          <cell r="C1299" t="str">
            <v xml:space="preserve">CESAR AUGUSTO DEMETRIO </v>
          </cell>
          <cell r="D1299">
            <v>38661.72</v>
          </cell>
          <cell r="E1299">
            <v>38290.639999999999</v>
          </cell>
          <cell r="F1299">
            <v>53514.38</v>
          </cell>
          <cell r="G1299">
            <v>15223.74</v>
          </cell>
          <cell r="H1299">
            <v>53885.46</v>
          </cell>
          <cell r="I1299" t="str">
            <v>C</v>
          </cell>
        </row>
        <row r="1300">
          <cell r="A1300">
            <v>52794</v>
          </cell>
          <cell r="B1300" t="str">
            <v>2.1.04.010.1205</v>
          </cell>
          <cell r="C1300" t="str">
            <v>HOSPYTALY LTDA ME</v>
          </cell>
          <cell r="D1300">
            <v>18192</v>
          </cell>
          <cell r="E1300">
            <v>21982</v>
          </cell>
          <cell r="F1300">
            <v>7580</v>
          </cell>
          <cell r="G1300">
            <v>-14402</v>
          </cell>
          <cell r="H1300">
            <v>3790</v>
          </cell>
          <cell r="I1300" t="str">
            <v>C</v>
          </cell>
        </row>
        <row r="1301">
          <cell r="A1301">
            <v>54645</v>
          </cell>
          <cell r="B1301" t="str">
            <v>2.1.04.010.1206</v>
          </cell>
          <cell r="C1301" t="str">
            <v xml:space="preserve">MEDICSOLUTION PRODUTOS </v>
          </cell>
          <cell r="D1301">
            <v>4281.0600000000004</v>
          </cell>
          <cell r="E1301">
            <v>4281.0600000000004</v>
          </cell>
          <cell r="F1301">
            <v>40312.559999999998</v>
          </cell>
          <cell r="G1301">
            <v>36031.5</v>
          </cell>
          <cell r="H1301">
            <v>40312.559999999998</v>
          </cell>
          <cell r="I1301" t="str">
            <v>C</v>
          </cell>
        </row>
        <row r="1302">
          <cell r="A1302">
            <v>54647</v>
          </cell>
          <cell r="B1302" t="str">
            <v>2.1.04.010.1207</v>
          </cell>
          <cell r="C1302" t="str">
            <v xml:space="preserve">COMERCIAL PR MENDONCA </v>
          </cell>
          <cell r="D1302">
            <v>9831.2199999999993</v>
          </cell>
          <cell r="E1302">
            <v>12267.49</v>
          </cell>
          <cell r="F1302">
            <v>15040.46</v>
          </cell>
          <cell r="G1302">
            <v>2772.97</v>
          </cell>
          <cell r="H1302">
            <v>12604.19</v>
          </cell>
          <cell r="I1302" t="str">
            <v>C</v>
          </cell>
        </row>
        <row r="1303">
          <cell r="A1303">
            <v>53427</v>
          </cell>
          <cell r="B1303" t="str">
            <v>2.1.04.010.1224</v>
          </cell>
          <cell r="C1303" t="str">
            <v xml:space="preserve">NEUROMEDIC COMERCIO DE </v>
          </cell>
          <cell r="D1303">
            <v>53302</v>
          </cell>
          <cell r="E1303">
            <v>56702</v>
          </cell>
          <cell r="F1303">
            <v>23800</v>
          </cell>
          <cell r="G1303">
            <v>-32902</v>
          </cell>
          <cell r="H1303">
            <v>20400</v>
          </cell>
          <cell r="I1303" t="str">
            <v>C</v>
          </cell>
        </row>
        <row r="1304">
          <cell r="A1304">
            <v>54739</v>
          </cell>
          <cell r="B1304" t="str">
            <v>2.1.04.010.1234</v>
          </cell>
          <cell r="C1304" t="str">
            <v xml:space="preserve">BUNZL EQUIPAMENTOS PARA </v>
          </cell>
          <cell r="D1304">
            <v>1833.56</v>
          </cell>
          <cell r="E1304">
            <v>1833.56</v>
          </cell>
          <cell r="F1304">
            <v>2751</v>
          </cell>
          <cell r="G1304">
            <v>917.44</v>
          </cell>
          <cell r="H1304">
            <v>2751</v>
          </cell>
          <cell r="I1304" t="str">
            <v>C</v>
          </cell>
        </row>
        <row r="1305">
          <cell r="A1305">
            <v>54755</v>
          </cell>
          <cell r="B1305" t="str">
            <v>2.1.04.010.1240</v>
          </cell>
          <cell r="C1305" t="str">
            <v xml:space="preserve">ANDERSON ROBERTO DO </v>
          </cell>
          <cell r="D1305">
            <v>0</v>
          </cell>
          <cell r="E1305">
            <v>0</v>
          </cell>
          <cell r="F1305">
            <v>3300</v>
          </cell>
          <cell r="G1305">
            <v>3300</v>
          </cell>
          <cell r="H1305">
            <v>3300</v>
          </cell>
          <cell r="I1305" t="str">
            <v>C</v>
          </cell>
        </row>
        <row r="1306">
          <cell r="A1306">
            <v>54759</v>
          </cell>
          <cell r="B1306" t="str">
            <v>2.1.04.010.1243</v>
          </cell>
          <cell r="C1306" t="str">
            <v>RAPHE MEDICAL LTDA</v>
          </cell>
          <cell r="D1306">
            <v>40152</v>
          </cell>
          <cell r="E1306">
            <v>26768</v>
          </cell>
          <cell r="F1306">
            <v>0</v>
          </cell>
          <cell r="G1306">
            <v>-26768</v>
          </cell>
          <cell r="H1306">
            <v>13384</v>
          </cell>
          <cell r="I1306" t="str">
            <v>C</v>
          </cell>
        </row>
        <row r="1307">
          <cell r="A1307">
            <v>3378</v>
          </cell>
          <cell r="B1307" t="str">
            <v>2.1.04.010.1246</v>
          </cell>
          <cell r="C1307" t="str">
            <v>RUSTON ALIMENTOS LTDA.</v>
          </cell>
          <cell r="D1307">
            <v>618.98</v>
          </cell>
          <cell r="E1307">
            <v>5223.6899999999996</v>
          </cell>
          <cell r="F1307">
            <v>7033.5</v>
          </cell>
          <cell r="G1307">
            <v>1809.81</v>
          </cell>
          <cell r="H1307">
            <v>2428.79</v>
          </cell>
          <cell r="I1307" t="str">
            <v>C</v>
          </cell>
        </row>
        <row r="1308">
          <cell r="A1308">
            <v>54781</v>
          </cell>
          <cell r="B1308" t="str">
            <v>2.1.04.010.1248</v>
          </cell>
          <cell r="C1308" t="str">
            <v xml:space="preserve">MGMED PRODUTOS </v>
          </cell>
          <cell r="D1308">
            <v>5943.16</v>
          </cell>
          <cell r="E1308">
            <v>13363.16</v>
          </cell>
          <cell r="F1308">
            <v>8680</v>
          </cell>
          <cell r="G1308">
            <v>-4683.16</v>
          </cell>
          <cell r="H1308">
            <v>1260</v>
          </cell>
          <cell r="I1308" t="str">
            <v>C</v>
          </cell>
        </row>
        <row r="1309">
          <cell r="A1309">
            <v>54785</v>
          </cell>
          <cell r="B1309" t="str">
            <v>2.1.04.010.1252</v>
          </cell>
          <cell r="C1309" t="str">
            <v xml:space="preserve">MARIO DIITI IGARASHI E </v>
          </cell>
          <cell r="D1309">
            <v>1023.6</v>
          </cell>
          <cell r="E1309">
            <v>3051.6</v>
          </cell>
          <cell r="F1309">
            <v>3389</v>
          </cell>
          <cell r="G1309">
            <v>337.4</v>
          </cell>
          <cell r="H1309">
            <v>1361</v>
          </cell>
          <cell r="I1309" t="str">
            <v>C</v>
          </cell>
        </row>
        <row r="1310">
          <cell r="A1310">
            <v>54796</v>
          </cell>
          <cell r="B1310" t="str">
            <v>2.1.04.010.1254</v>
          </cell>
          <cell r="C1310" t="str">
            <v xml:space="preserve">GENESIO A MENDES &amp; CIA </v>
          </cell>
          <cell r="D1310">
            <v>374140.54</v>
          </cell>
          <cell r="E1310">
            <v>235271.71</v>
          </cell>
          <cell r="F1310">
            <v>237377.48</v>
          </cell>
          <cell r="G1310">
            <v>2105.77</v>
          </cell>
          <cell r="H1310">
            <v>376246.31</v>
          </cell>
          <cell r="I1310" t="str">
            <v>C</v>
          </cell>
        </row>
        <row r="1311">
          <cell r="A1311">
            <v>54797</v>
          </cell>
          <cell r="B1311" t="str">
            <v>2.1.04.010.1255</v>
          </cell>
          <cell r="C1311" t="str">
            <v>G C CARVALHO NUTRICAO</v>
          </cell>
          <cell r="D1311">
            <v>0</v>
          </cell>
          <cell r="E1311">
            <v>10342.799999999999</v>
          </cell>
          <cell r="F1311">
            <v>10342.799999999999</v>
          </cell>
          <cell r="G1311">
            <v>0</v>
          </cell>
          <cell r="H1311">
            <v>0</v>
          </cell>
          <cell r="I1311" t="str">
            <v>C</v>
          </cell>
        </row>
        <row r="1312">
          <cell r="A1312">
            <v>54798</v>
          </cell>
          <cell r="B1312" t="str">
            <v>2.1.04.010.1256</v>
          </cell>
          <cell r="C1312" t="str">
            <v>BCN DROGARIA LTDA</v>
          </cell>
          <cell r="D1312">
            <v>5000</v>
          </cell>
          <cell r="E1312">
            <v>5000</v>
          </cell>
          <cell r="F1312">
            <v>5000</v>
          </cell>
          <cell r="G1312">
            <v>0</v>
          </cell>
          <cell r="H1312">
            <v>5000</v>
          </cell>
          <cell r="I1312" t="str">
            <v>C</v>
          </cell>
        </row>
        <row r="1313">
          <cell r="A1313">
            <v>54799</v>
          </cell>
          <cell r="B1313" t="str">
            <v>2.1.04.010.1257</v>
          </cell>
          <cell r="C1313" t="str">
            <v xml:space="preserve">VISAFARMA PRODUTOS </v>
          </cell>
          <cell r="D1313">
            <v>60.31</v>
          </cell>
          <cell r="E1313">
            <v>60.31</v>
          </cell>
          <cell r="F1313">
            <v>65.819999999999993</v>
          </cell>
          <cell r="G1313">
            <v>5.51</v>
          </cell>
          <cell r="H1313">
            <v>65.819999999999993</v>
          </cell>
          <cell r="I1313" t="str">
            <v>C</v>
          </cell>
        </row>
        <row r="1314">
          <cell r="A1314">
            <v>34055</v>
          </cell>
          <cell r="B1314" t="str">
            <v>2.1.04.010.1258</v>
          </cell>
          <cell r="C1314" t="str">
            <v>4BIO MEDICAMENTOS LTDA</v>
          </cell>
          <cell r="D1314">
            <v>184132.96</v>
          </cell>
          <cell r="E1314">
            <v>90291.18</v>
          </cell>
          <cell r="F1314">
            <v>51546.6</v>
          </cell>
          <cell r="G1314">
            <v>-38744.58</v>
          </cell>
          <cell r="H1314">
            <v>145388.38</v>
          </cell>
          <cell r="I1314" t="str">
            <v>C</v>
          </cell>
        </row>
        <row r="1315">
          <cell r="A1315">
            <v>54806</v>
          </cell>
          <cell r="B1315" t="str">
            <v>2.1.04.010.1261</v>
          </cell>
          <cell r="C1315" t="str">
            <v xml:space="preserve">EASY FARMA COMERCIO DE </v>
          </cell>
          <cell r="D1315">
            <v>21297.1</v>
          </cell>
          <cell r="E1315">
            <v>24942.28</v>
          </cell>
          <cell r="F1315">
            <v>53873.51</v>
          </cell>
          <cell r="G1315">
            <v>28931.23</v>
          </cell>
          <cell r="H1315">
            <v>50228.33</v>
          </cell>
          <cell r="I1315" t="str">
            <v>C</v>
          </cell>
        </row>
        <row r="1316">
          <cell r="A1316">
            <v>33613</v>
          </cell>
          <cell r="B1316" t="str">
            <v>2.1.04.010.1266</v>
          </cell>
          <cell r="C1316" t="str">
            <v xml:space="preserve">COLLECT IMP. E COMERCIO </v>
          </cell>
          <cell r="D1316">
            <v>29815.919999999998</v>
          </cell>
          <cell r="E1316">
            <v>10435.58</v>
          </cell>
          <cell r="F1316">
            <v>0</v>
          </cell>
          <cell r="G1316">
            <v>-10435.58</v>
          </cell>
          <cell r="H1316">
            <v>19380.34</v>
          </cell>
          <cell r="I1316" t="str">
            <v>C</v>
          </cell>
        </row>
        <row r="1317">
          <cell r="A1317">
            <v>54818</v>
          </cell>
          <cell r="B1317" t="str">
            <v>2.1.04.010.1268</v>
          </cell>
          <cell r="C1317" t="str">
            <v xml:space="preserve">GLOBAL HOSPITALAR </v>
          </cell>
          <cell r="D1317">
            <v>0</v>
          </cell>
          <cell r="E1317">
            <v>0</v>
          </cell>
          <cell r="F1317">
            <v>1228.54</v>
          </cell>
          <cell r="G1317">
            <v>1228.54</v>
          </cell>
          <cell r="H1317">
            <v>1228.54</v>
          </cell>
          <cell r="I1317" t="str">
            <v>C</v>
          </cell>
        </row>
        <row r="1318">
          <cell r="A1318">
            <v>54819</v>
          </cell>
          <cell r="B1318" t="str">
            <v>2.1.04.010.1270</v>
          </cell>
          <cell r="C1318" t="str">
            <v xml:space="preserve">ALRAN COMERCIO DE </v>
          </cell>
          <cell r="D1318">
            <v>3524</v>
          </cell>
          <cell r="E1318">
            <v>3524</v>
          </cell>
          <cell r="F1318">
            <v>4250</v>
          </cell>
          <cell r="G1318">
            <v>726</v>
          </cell>
          <cell r="H1318">
            <v>4250</v>
          </cell>
          <cell r="I1318" t="str">
            <v>C</v>
          </cell>
        </row>
        <row r="1319">
          <cell r="A1319">
            <v>54847</v>
          </cell>
          <cell r="B1319" t="str">
            <v>2.1.04.010.1282</v>
          </cell>
          <cell r="C1319" t="str">
            <v xml:space="preserve">OXIGENIO PORTOGAS DO </v>
          </cell>
          <cell r="D1319">
            <v>0</v>
          </cell>
          <cell r="E1319">
            <v>7046.13</v>
          </cell>
          <cell r="F1319">
            <v>7046.13</v>
          </cell>
          <cell r="G1319">
            <v>0</v>
          </cell>
          <cell r="H1319">
            <v>0</v>
          </cell>
          <cell r="I1319" t="str">
            <v>C</v>
          </cell>
        </row>
        <row r="1320">
          <cell r="A1320">
            <v>54850</v>
          </cell>
          <cell r="B1320" t="str">
            <v>2.1.04.010.1285</v>
          </cell>
          <cell r="C1320" t="str">
            <v xml:space="preserve">INOMEDICAL COMERCIO DE </v>
          </cell>
          <cell r="D1320">
            <v>42275</v>
          </cell>
          <cell r="E1320">
            <v>33820</v>
          </cell>
          <cell r="F1320">
            <v>64920</v>
          </cell>
          <cell r="G1320">
            <v>31100</v>
          </cell>
          <cell r="H1320">
            <v>73375</v>
          </cell>
          <cell r="I1320" t="str">
            <v>C</v>
          </cell>
        </row>
        <row r="1321">
          <cell r="A1321">
            <v>54857</v>
          </cell>
          <cell r="B1321" t="str">
            <v>2.1.04.010.1291</v>
          </cell>
          <cell r="C1321" t="str">
            <v xml:space="preserve">VALDIR DA SILVA SANTOS </v>
          </cell>
          <cell r="D1321">
            <v>0</v>
          </cell>
          <cell r="E1321">
            <v>0</v>
          </cell>
          <cell r="F1321">
            <v>399.9</v>
          </cell>
          <cell r="G1321">
            <v>399.9</v>
          </cell>
          <cell r="H1321">
            <v>399.9</v>
          </cell>
          <cell r="I1321" t="str">
            <v>C</v>
          </cell>
        </row>
        <row r="1322">
          <cell r="A1322">
            <v>54858</v>
          </cell>
          <cell r="B1322" t="str">
            <v>2.1.04.010.1292</v>
          </cell>
          <cell r="C1322" t="str">
            <v xml:space="preserve">SUPRICORP SUPRIMENTOS </v>
          </cell>
          <cell r="D1322">
            <v>2126.09</v>
          </cell>
          <cell r="E1322">
            <v>2689.62</v>
          </cell>
          <cell r="F1322">
            <v>2790.31</v>
          </cell>
          <cell r="G1322">
            <v>100.69</v>
          </cell>
          <cell r="H1322">
            <v>2226.7800000000002</v>
          </cell>
          <cell r="I1322" t="str">
            <v>C</v>
          </cell>
        </row>
        <row r="1323">
          <cell r="A1323">
            <v>54859</v>
          </cell>
          <cell r="B1323" t="str">
            <v>2.1.04.010.1293</v>
          </cell>
          <cell r="C1323" t="str">
            <v xml:space="preserve">SANTOS TECHNOLOGIA </v>
          </cell>
          <cell r="D1323">
            <v>54828</v>
          </cell>
          <cell r="E1323">
            <v>36552</v>
          </cell>
          <cell r="F1323">
            <v>0</v>
          </cell>
          <cell r="G1323">
            <v>-36552</v>
          </cell>
          <cell r="H1323">
            <v>18276</v>
          </cell>
          <cell r="I1323" t="str">
            <v>C</v>
          </cell>
        </row>
        <row r="1324">
          <cell r="A1324">
            <v>54868</v>
          </cell>
          <cell r="B1324" t="str">
            <v>2.1.04.010.1303</v>
          </cell>
          <cell r="C1324" t="str">
            <v xml:space="preserve">3D MEDICAL IMPORTACAO E </v>
          </cell>
          <cell r="D1324">
            <v>241934.78</v>
          </cell>
          <cell r="E1324">
            <v>192952</v>
          </cell>
          <cell r="F1324">
            <v>0</v>
          </cell>
          <cell r="G1324">
            <v>-192952</v>
          </cell>
          <cell r="H1324">
            <v>48982.78</v>
          </cell>
          <cell r="I1324" t="str">
            <v>C</v>
          </cell>
        </row>
        <row r="1325">
          <cell r="A1325">
            <v>54870</v>
          </cell>
          <cell r="B1325" t="str">
            <v>2.1.04.010.1305</v>
          </cell>
          <cell r="C1325" t="str">
            <v xml:space="preserve">IMPERIOMED DISTRIBUIDORA </v>
          </cell>
          <cell r="D1325">
            <v>0</v>
          </cell>
          <cell r="E1325">
            <v>0</v>
          </cell>
          <cell r="F1325">
            <v>299</v>
          </cell>
          <cell r="G1325">
            <v>299</v>
          </cell>
          <cell r="H1325">
            <v>299</v>
          </cell>
          <cell r="I1325" t="str">
            <v>C</v>
          </cell>
        </row>
        <row r="1326">
          <cell r="A1326">
            <v>54880</v>
          </cell>
          <cell r="B1326" t="str">
            <v>2.1.04.010.1308</v>
          </cell>
          <cell r="C1326" t="str">
            <v xml:space="preserve">R G DE FREITAS PRODUTOS </v>
          </cell>
          <cell r="D1326">
            <v>0</v>
          </cell>
          <cell r="E1326">
            <v>0</v>
          </cell>
          <cell r="F1326">
            <v>9560</v>
          </cell>
          <cell r="G1326">
            <v>9560</v>
          </cell>
          <cell r="H1326">
            <v>9560</v>
          </cell>
          <cell r="I1326" t="str">
            <v>C</v>
          </cell>
        </row>
        <row r="1327">
          <cell r="A1327">
            <v>54896</v>
          </cell>
          <cell r="B1327" t="str">
            <v>2.1.04.010.1311</v>
          </cell>
          <cell r="C1327" t="str">
            <v xml:space="preserve">EDWARDS LIFESCIENCES </v>
          </cell>
          <cell r="D1327">
            <v>9580</v>
          </cell>
          <cell r="E1327">
            <v>4790</v>
          </cell>
          <cell r="F1327">
            <v>8458.66</v>
          </cell>
          <cell r="G1327">
            <v>3668.66</v>
          </cell>
          <cell r="H1327">
            <v>13248.66</v>
          </cell>
          <cell r="I1327" t="str">
            <v>C</v>
          </cell>
        </row>
        <row r="1328">
          <cell r="A1328">
            <v>54901</v>
          </cell>
          <cell r="B1328" t="str">
            <v>2.1.04.010.1313</v>
          </cell>
          <cell r="C1328" t="str">
            <v>ENVA MEDICAL LTDA</v>
          </cell>
          <cell r="D1328">
            <v>1215.5999999999999</v>
          </cell>
          <cell r="E1328">
            <v>1215.5999999999999</v>
          </cell>
          <cell r="F1328">
            <v>704.4</v>
          </cell>
          <cell r="G1328">
            <v>-511.2</v>
          </cell>
          <cell r="H1328">
            <v>704.4</v>
          </cell>
          <cell r="I1328" t="str">
            <v>C</v>
          </cell>
        </row>
        <row r="1329">
          <cell r="A1329">
            <v>54903</v>
          </cell>
          <cell r="B1329" t="str">
            <v>2.1.04.010.1314</v>
          </cell>
          <cell r="C1329" t="str">
            <v xml:space="preserve">CREPMED COMERCIO DE </v>
          </cell>
          <cell r="D1329">
            <v>26175.98</v>
          </cell>
          <cell r="E1329">
            <v>22550.87</v>
          </cell>
          <cell r="F1329">
            <v>13982.07</v>
          </cell>
          <cell r="G1329">
            <v>-8568.7999999999993</v>
          </cell>
          <cell r="H1329">
            <v>17607.18</v>
          </cell>
          <cell r="I1329" t="str">
            <v>C</v>
          </cell>
        </row>
        <row r="1330">
          <cell r="A1330">
            <v>54968</v>
          </cell>
          <cell r="B1330" t="str">
            <v>2.1.04.010.1317</v>
          </cell>
          <cell r="C1330" t="str">
            <v xml:space="preserve">AYROMEDIC COMERCIO DE </v>
          </cell>
          <cell r="D1330">
            <v>0</v>
          </cell>
          <cell r="E1330">
            <v>4700</v>
          </cell>
          <cell r="F1330">
            <v>18800</v>
          </cell>
          <cell r="G1330">
            <v>14100</v>
          </cell>
          <cell r="H1330">
            <v>14100</v>
          </cell>
          <cell r="I1330" t="str">
            <v>C</v>
          </cell>
        </row>
        <row r="1331">
          <cell r="A1331">
            <v>54910</v>
          </cell>
          <cell r="B1331" t="str">
            <v>2.1.04.010.1319</v>
          </cell>
          <cell r="C1331" t="str">
            <v xml:space="preserve">CISCRE IMPORTACAO E </v>
          </cell>
          <cell r="D1331">
            <v>11600</v>
          </cell>
          <cell r="E1331">
            <v>2900</v>
          </cell>
          <cell r="F1331">
            <v>1450</v>
          </cell>
          <cell r="G1331">
            <v>-1450</v>
          </cell>
          <cell r="H1331">
            <v>10150</v>
          </cell>
          <cell r="I1331" t="str">
            <v>C</v>
          </cell>
        </row>
        <row r="1332">
          <cell r="A1332">
            <v>54911</v>
          </cell>
          <cell r="B1332" t="str">
            <v>2.1.04.010.1320</v>
          </cell>
          <cell r="C1332" t="str">
            <v xml:space="preserve">VIDA FORTE NUTRIENTES IND </v>
          </cell>
          <cell r="D1332">
            <v>2922</v>
          </cell>
          <cell r="E1332">
            <v>4387.24</v>
          </cell>
          <cell r="F1332">
            <v>6956.44</v>
          </cell>
          <cell r="G1332">
            <v>2569.1999999999998</v>
          </cell>
          <cell r="H1332">
            <v>5491.2</v>
          </cell>
          <cell r="I1332" t="str">
            <v>C</v>
          </cell>
        </row>
        <row r="1333">
          <cell r="A1333">
            <v>54913</v>
          </cell>
          <cell r="B1333" t="str">
            <v>2.1.04.010.1321</v>
          </cell>
          <cell r="C1333" t="str">
            <v xml:space="preserve">MERCO SOLUCOES EM SAUDE </v>
          </cell>
          <cell r="D1333">
            <v>0</v>
          </cell>
          <cell r="E1333">
            <v>2772</v>
          </cell>
          <cell r="F1333">
            <v>13860</v>
          </cell>
          <cell r="G1333">
            <v>11088</v>
          </cell>
          <cell r="H1333">
            <v>11088</v>
          </cell>
          <cell r="I1333" t="str">
            <v>C</v>
          </cell>
        </row>
        <row r="1334">
          <cell r="A1334">
            <v>54926</v>
          </cell>
          <cell r="B1334" t="str">
            <v>2.1.04.010.1324</v>
          </cell>
          <cell r="C1334" t="str">
            <v xml:space="preserve">VALE SAFE COMERCIO DE </v>
          </cell>
          <cell r="D1334">
            <v>0</v>
          </cell>
          <cell r="E1334">
            <v>0</v>
          </cell>
          <cell r="F1334">
            <v>507.7</v>
          </cell>
          <cell r="G1334">
            <v>507.7</v>
          </cell>
          <cell r="H1334">
            <v>507.7</v>
          </cell>
          <cell r="I1334" t="str">
            <v>C</v>
          </cell>
        </row>
        <row r="1335">
          <cell r="A1335">
            <v>54927</v>
          </cell>
          <cell r="B1335" t="str">
            <v>2.1.04.010.1325</v>
          </cell>
          <cell r="C1335" t="str">
            <v xml:space="preserve">MED-EL DO BRASIL </v>
          </cell>
          <cell r="D1335">
            <v>21897.55</v>
          </cell>
          <cell r="E1335">
            <v>21897.55</v>
          </cell>
          <cell r="F1335">
            <v>0</v>
          </cell>
          <cell r="G1335">
            <v>-21897.55</v>
          </cell>
          <cell r="H1335">
            <v>0</v>
          </cell>
          <cell r="I1335" t="str">
            <v>C</v>
          </cell>
        </row>
        <row r="1336">
          <cell r="A1336">
            <v>54934</v>
          </cell>
          <cell r="B1336" t="str">
            <v>2.1.04.010.1329</v>
          </cell>
          <cell r="C1336" t="str">
            <v xml:space="preserve">GLADIUS IMPORTACAO E </v>
          </cell>
          <cell r="D1336">
            <v>0</v>
          </cell>
          <cell r="E1336">
            <v>0</v>
          </cell>
          <cell r="F1336">
            <v>4250</v>
          </cell>
          <cell r="G1336">
            <v>4250</v>
          </cell>
          <cell r="H1336">
            <v>4250</v>
          </cell>
          <cell r="I1336" t="str">
            <v>C</v>
          </cell>
        </row>
        <row r="1337">
          <cell r="A1337">
            <v>54938</v>
          </cell>
          <cell r="B1337" t="str">
            <v>2.1.04.010.1331</v>
          </cell>
          <cell r="C1337" t="str">
            <v xml:space="preserve">LASERMEDICAL - PRODUTOS </v>
          </cell>
          <cell r="D1337">
            <v>0</v>
          </cell>
          <cell r="E1337">
            <v>0</v>
          </cell>
          <cell r="F1337">
            <v>2024</v>
          </cell>
          <cell r="G1337">
            <v>2024</v>
          </cell>
          <cell r="H1337">
            <v>2024</v>
          </cell>
          <cell r="I1337" t="str">
            <v>C</v>
          </cell>
        </row>
        <row r="1338">
          <cell r="A1338">
            <v>54972</v>
          </cell>
          <cell r="B1338" t="str">
            <v>2.1.04.010.1341</v>
          </cell>
          <cell r="C1338" t="str">
            <v xml:space="preserve">IMAGEM SISTEMAS MEDICOS </v>
          </cell>
          <cell r="D1338">
            <v>1840</v>
          </cell>
          <cell r="E1338">
            <v>1840</v>
          </cell>
          <cell r="F1338">
            <v>0</v>
          </cell>
          <cell r="G1338">
            <v>-1840</v>
          </cell>
          <cell r="H1338">
            <v>0</v>
          </cell>
          <cell r="I1338" t="str">
            <v>C</v>
          </cell>
        </row>
        <row r="1339">
          <cell r="A1339">
            <v>54977</v>
          </cell>
          <cell r="B1339" t="str">
            <v>2.1.04.010.1346</v>
          </cell>
          <cell r="C1339" t="str">
            <v xml:space="preserve">STARK MEDICAL COMERCIO </v>
          </cell>
          <cell r="D1339">
            <v>0</v>
          </cell>
          <cell r="E1339">
            <v>0</v>
          </cell>
          <cell r="F1339">
            <v>7100</v>
          </cell>
          <cell r="G1339">
            <v>7100</v>
          </cell>
          <cell r="H1339">
            <v>7100</v>
          </cell>
          <cell r="I1339" t="str">
            <v>C</v>
          </cell>
        </row>
        <row r="1340">
          <cell r="A1340">
            <v>54983</v>
          </cell>
          <cell r="B1340" t="str">
            <v>2.1.04.010.1350</v>
          </cell>
          <cell r="C1340" t="str">
            <v xml:space="preserve">MARCOS ROBERTO DE </v>
          </cell>
          <cell r="D1340">
            <v>3780</v>
          </cell>
          <cell r="E1340">
            <v>6300</v>
          </cell>
          <cell r="F1340">
            <v>5160</v>
          </cell>
          <cell r="G1340">
            <v>-1140</v>
          </cell>
          <cell r="H1340">
            <v>2640</v>
          </cell>
          <cell r="I1340" t="str">
            <v>C</v>
          </cell>
        </row>
        <row r="1341">
          <cell r="A1341">
            <v>55006</v>
          </cell>
          <cell r="B1341" t="str">
            <v>2.1.04.010.1362</v>
          </cell>
          <cell r="C1341" t="str">
            <v>SM PAIVA ELETRONICOS</v>
          </cell>
          <cell r="D1341">
            <v>1095</v>
          </cell>
          <cell r="E1341">
            <v>1095</v>
          </cell>
          <cell r="F1341">
            <v>16343.5</v>
          </cell>
          <cell r="G1341">
            <v>15248.5</v>
          </cell>
          <cell r="H1341">
            <v>16343.5</v>
          </cell>
          <cell r="I1341" t="str">
            <v>C</v>
          </cell>
        </row>
        <row r="1342">
          <cell r="A1342">
            <v>55012</v>
          </cell>
          <cell r="B1342" t="str">
            <v>2.1.04.010.1364</v>
          </cell>
          <cell r="C1342" t="str">
            <v xml:space="preserve">ORTHO SYSTEM COMERCIO </v>
          </cell>
          <cell r="D1342">
            <v>101300</v>
          </cell>
          <cell r="E1342">
            <v>32312.49</v>
          </cell>
          <cell r="F1342">
            <v>0</v>
          </cell>
          <cell r="G1342">
            <v>-32312.49</v>
          </cell>
          <cell r="H1342">
            <v>68987.509999999995</v>
          </cell>
          <cell r="I1342" t="str">
            <v>C</v>
          </cell>
        </row>
        <row r="1343">
          <cell r="A1343">
            <v>55015</v>
          </cell>
          <cell r="B1343" t="str">
            <v>2.1.04.010.1365</v>
          </cell>
          <cell r="C1343" t="str">
            <v>ORO TECNOLOGIA LTDA</v>
          </cell>
          <cell r="D1343">
            <v>9487.74</v>
          </cell>
          <cell r="E1343">
            <v>5663.52</v>
          </cell>
          <cell r="F1343">
            <v>0</v>
          </cell>
          <cell r="G1343">
            <v>-5663.52</v>
          </cell>
          <cell r="H1343">
            <v>3824.22</v>
          </cell>
          <cell r="I1343" t="str">
            <v>C</v>
          </cell>
        </row>
        <row r="1344">
          <cell r="A1344">
            <v>55044</v>
          </cell>
          <cell r="B1344" t="str">
            <v>2.1.04.010.1379</v>
          </cell>
          <cell r="C1344" t="str">
            <v xml:space="preserve">7 IMPLANTES COMERCIO DE </v>
          </cell>
          <cell r="D1344">
            <v>110310.85</v>
          </cell>
          <cell r="E1344">
            <v>0</v>
          </cell>
          <cell r="F1344">
            <v>0</v>
          </cell>
          <cell r="G1344">
            <v>0</v>
          </cell>
          <cell r="H1344">
            <v>110310.85</v>
          </cell>
          <cell r="I1344" t="str">
            <v>C</v>
          </cell>
        </row>
        <row r="1345">
          <cell r="A1345">
            <v>55048</v>
          </cell>
          <cell r="B1345" t="str">
            <v>2.1.04.010.1382</v>
          </cell>
          <cell r="C1345" t="str">
            <v xml:space="preserve">CIAMED - DISTRIBUIDORA DE </v>
          </cell>
          <cell r="D1345">
            <v>2893.36</v>
          </cell>
          <cell r="E1345">
            <v>2893.36</v>
          </cell>
          <cell r="F1345">
            <v>0</v>
          </cell>
          <cell r="G1345">
            <v>-2893.36</v>
          </cell>
          <cell r="H1345">
            <v>0</v>
          </cell>
          <cell r="I1345" t="str">
            <v>C</v>
          </cell>
        </row>
        <row r="1346">
          <cell r="A1346">
            <v>55051</v>
          </cell>
          <cell r="B1346" t="str">
            <v>2.1.04.010.1383</v>
          </cell>
          <cell r="C1346" t="str">
            <v>BRASMED SUL ODONTO-</v>
          </cell>
          <cell r="D1346">
            <v>8906.68</v>
          </cell>
          <cell r="E1346">
            <v>6680</v>
          </cell>
          <cell r="F1346">
            <v>0</v>
          </cell>
          <cell r="G1346">
            <v>-6680</v>
          </cell>
          <cell r="H1346">
            <v>2226.6799999999998</v>
          </cell>
          <cell r="I1346" t="str">
            <v>C</v>
          </cell>
        </row>
        <row r="1347">
          <cell r="A1347">
            <v>55054</v>
          </cell>
          <cell r="B1347" t="str">
            <v>2.1.04.010.1384</v>
          </cell>
          <cell r="C1347" t="str">
            <v xml:space="preserve">POTENZA CELANO </v>
          </cell>
          <cell r="D1347">
            <v>185.52</v>
          </cell>
          <cell r="E1347">
            <v>185.52</v>
          </cell>
          <cell r="F1347">
            <v>0</v>
          </cell>
          <cell r="G1347">
            <v>-185.52</v>
          </cell>
          <cell r="H1347">
            <v>0</v>
          </cell>
          <cell r="I1347" t="str">
            <v>C</v>
          </cell>
        </row>
        <row r="1348">
          <cell r="A1348">
            <v>55065</v>
          </cell>
          <cell r="B1348" t="str">
            <v>2.1.04.010.1393</v>
          </cell>
          <cell r="C1348" t="str">
            <v xml:space="preserve">MADSON FERNANDO </v>
          </cell>
          <cell r="D1348">
            <v>700</v>
          </cell>
          <cell r="E1348">
            <v>700</v>
          </cell>
          <cell r="F1348">
            <v>945</v>
          </cell>
          <cell r="G1348">
            <v>245</v>
          </cell>
          <cell r="H1348">
            <v>945</v>
          </cell>
          <cell r="I1348" t="str">
            <v>C</v>
          </cell>
        </row>
        <row r="1349">
          <cell r="A1349">
            <v>55072</v>
          </cell>
          <cell r="B1349" t="str">
            <v>2.1.04.010.1398</v>
          </cell>
          <cell r="C1349" t="str">
            <v xml:space="preserve">MEDSYSTEM EQUIPAMENTOS </v>
          </cell>
          <cell r="D1349">
            <v>1563.74</v>
          </cell>
          <cell r="E1349">
            <v>1563.74</v>
          </cell>
          <cell r="F1349">
            <v>0</v>
          </cell>
          <cell r="G1349">
            <v>-1563.74</v>
          </cell>
          <cell r="H1349">
            <v>0</v>
          </cell>
          <cell r="I1349" t="str">
            <v>C</v>
          </cell>
        </row>
        <row r="1350">
          <cell r="A1350">
            <v>55086</v>
          </cell>
          <cell r="B1350" t="str">
            <v>2.1.04.010.1400</v>
          </cell>
          <cell r="C1350" t="str">
            <v>M R DIAS ELETRONICA</v>
          </cell>
          <cell r="D1350">
            <v>1030</v>
          </cell>
          <cell r="E1350">
            <v>1550</v>
          </cell>
          <cell r="F1350">
            <v>2700</v>
          </cell>
          <cell r="G1350">
            <v>1150</v>
          </cell>
          <cell r="H1350">
            <v>2180</v>
          </cell>
          <cell r="I1350" t="str">
            <v>C</v>
          </cell>
        </row>
        <row r="1351">
          <cell r="A1351">
            <v>55088</v>
          </cell>
          <cell r="B1351" t="str">
            <v>2.1.04.010.1402</v>
          </cell>
          <cell r="C1351" t="str">
            <v xml:space="preserve">DUO BRASIL IMP E COM DE </v>
          </cell>
          <cell r="D1351">
            <v>0</v>
          </cell>
          <cell r="E1351">
            <v>0</v>
          </cell>
          <cell r="F1351">
            <v>368.3</v>
          </cell>
          <cell r="G1351">
            <v>368.3</v>
          </cell>
          <cell r="H1351">
            <v>368.3</v>
          </cell>
          <cell r="I1351" t="str">
            <v>C</v>
          </cell>
        </row>
        <row r="1352">
          <cell r="A1352">
            <v>37058</v>
          </cell>
          <cell r="B1352" t="str">
            <v>2.1.04.010.1406</v>
          </cell>
          <cell r="C1352" t="str">
            <v xml:space="preserve">FABRICA DE ARTEFATOS DE </v>
          </cell>
          <cell r="D1352">
            <v>476.78</v>
          </cell>
          <cell r="E1352">
            <v>476.78</v>
          </cell>
          <cell r="F1352">
            <v>0</v>
          </cell>
          <cell r="G1352">
            <v>-476.78</v>
          </cell>
          <cell r="H1352">
            <v>0</v>
          </cell>
          <cell r="I1352" t="str">
            <v>C</v>
          </cell>
        </row>
        <row r="1353">
          <cell r="A1353">
            <v>55102</v>
          </cell>
          <cell r="B1353" t="str">
            <v>2.1.04.010.1413</v>
          </cell>
          <cell r="C1353" t="str">
            <v xml:space="preserve">CRITICARE COMERCIO DE </v>
          </cell>
          <cell r="D1353">
            <v>0</v>
          </cell>
          <cell r="E1353">
            <v>0</v>
          </cell>
          <cell r="F1353">
            <v>6500</v>
          </cell>
          <cell r="G1353">
            <v>6500</v>
          </cell>
          <cell r="H1353">
            <v>6500</v>
          </cell>
          <cell r="I1353" t="str">
            <v>C</v>
          </cell>
        </row>
        <row r="1354">
          <cell r="A1354">
            <v>55103</v>
          </cell>
          <cell r="B1354" t="str">
            <v>2.1.04.010.1414</v>
          </cell>
          <cell r="C1354" t="str">
            <v xml:space="preserve">MED CENTER COMERCIAL </v>
          </cell>
          <cell r="D1354">
            <v>122676.43</v>
          </cell>
          <cell r="E1354">
            <v>136779.96</v>
          </cell>
          <cell r="F1354">
            <v>130730.26</v>
          </cell>
          <cell r="G1354">
            <v>-6049.7</v>
          </cell>
          <cell r="H1354">
            <v>116626.73</v>
          </cell>
          <cell r="I1354" t="str">
            <v>C</v>
          </cell>
        </row>
        <row r="1355">
          <cell r="A1355">
            <v>55107</v>
          </cell>
          <cell r="B1355" t="str">
            <v>2.1.04.010.1417</v>
          </cell>
          <cell r="C1355" t="str">
            <v xml:space="preserve">A CIMENCAL - COMERCIO E </v>
          </cell>
          <cell r="D1355">
            <v>0</v>
          </cell>
          <cell r="E1355">
            <v>0</v>
          </cell>
          <cell r="F1355">
            <v>1385</v>
          </cell>
          <cell r="G1355">
            <v>1385</v>
          </cell>
          <cell r="H1355">
            <v>1385</v>
          </cell>
          <cell r="I1355" t="str">
            <v>C</v>
          </cell>
        </row>
        <row r="1356">
          <cell r="A1356">
            <v>55116</v>
          </cell>
          <cell r="B1356" t="str">
            <v>2.1.04.010.1422</v>
          </cell>
          <cell r="C1356" t="str">
            <v xml:space="preserve">ONCOFARMA COMERCIO </v>
          </cell>
          <cell r="D1356">
            <v>17909.990000000002</v>
          </cell>
          <cell r="E1356">
            <v>20629.990000000002</v>
          </cell>
          <cell r="F1356">
            <v>21689.1</v>
          </cell>
          <cell r="G1356">
            <v>1059.1099999999999</v>
          </cell>
          <cell r="H1356">
            <v>18969.099999999999</v>
          </cell>
          <cell r="I1356" t="str">
            <v>C</v>
          </cell>
        </row>
        <row r="1357">
          <cell r="A1357">
            <v>55121</v>
          </cell>
          <cell r="B1357" t="str">
            <v>2.1.04.010.1425</v>
          </cell>
          <cell r="C1357" t="str">
            <v xml:space="preserve">ALTAMEDICAL PRODUTOS </v>
          </cell>
          <cell r="D1357">
            <v>58092</v>
          </cell>
          <cell r="E1357">
            <v>45292</v>
          </cell>
          <cell r="F1357">
            <v>28214</v>
          </cell>
          <cell r="G1357">
            <v>-17078</v>
          </cell>
          <cell r="H1357">
            <v>41014</v>
          </cell>
          <cell r="I1357" t="str">
            <v>C</v>
          </cell>
        </row>
        <row r="1358">
          <cell r="A1358">
            <v>55122</v>
          </cell>
          <cell r="B1358" t="str">
            <v>2.1.04.010.1426</v>
          </cell>
          <cell r="C1358" t="str">
            <v xml:space="preserve">RIMEDUALC IMPORTACAO </v>
          </cell>
          <cell r="D1358">
            <v>390387.53</v>
          </cell>
          <cell r="E1358">
            <v>128435.36</v>
          </cell>
          <cell r="F1358">
            <v>91200</v>
          </cell>
          <cell r="G1358">
            <v>-37235.360000000001</v>
          </cell>
          <cell r="H1358">
            <v>353152.17</v>
          </cell>
          <cell r="I1358" t="str">
            <v>C</v>
          </cell>
        </row>
        <row r="1359">
          <cell r="A1359">
            <v>55134</v>
          </cell>
          <cell r="B1359" t="str">
            <v>2.1.04.010.1434</v>
          </cell>
          <cell r="C1359" t="str">
            <v xml:space="preserve">JK DESCARTAVEIS TAUBATE </v>
          </cell>
          <cell r="D1359">
            <v>9448.01</v>
          </cell>
          <cell r="E1359">
            <v>7435.33</v>
          </cell>
          <cell r="F1359">
            <v>8972.2000000000007</v>
          </cell>
          <cell r="G1359">
            <v>1536.87</v>
          </cell>
          <cell r="H1359">
            <v>10984.88</v>
          </cell>
          <cell r="I1359" t="str">
            <v>C</v>
          </cell>
        </row>
        <row r="1360">
          <cell r="A1360">
            <v>55158</v>
          </cell>
          <cell r="B1360" t="str">
            <v>2.1.04.010.1447</v>
          </cell>
          <cell r="C1360" t="str">
            <v xml:space="preserve">CASA DE CARNES MAJESTADE </v>
          </cell>
          <cell r="D1360">
            <v>3079.17</v>
          </cell>
          <cell r="E1360">
            <v>8740.8700000000008</v>
          </cell>
          <cell r="F1360">
            <v>8833.7000000000007</v>
          </cell>
          <cell r="G1360">
            <v>92.83</v>
          </cell>
          <cell r="H1360">
            <v>3172</v>
          </cell>
          <cell r="I1360" t="str">
            <v>C</v>
          </cell>
        </row>
        <row r="1361">
          <cell r="A1361">
            <v>55174</v>
          </cell>
          <cell r="B1361" t="str">
            <v>2.1.04.010.1452</v>
          </cell>
          <cell r="C1361" t="str">
            <v xml:space="preserve">HOSPFAR INDUSTRIA E </v>
          </cell>
          <cell r="D1361">
            <v>2952.2</v>
          </cell>
          <cell r="E1361">
            <v>4735.2</v>
          </cell>
          <cell r="F1361">
            <v>19451.900000000001</v>
          </cell>
          <cell r="G1361">
            <v>14716.7</v>
          </cell>
          <cell r="H1361">
            <v>17668.900000000001</v>
          </cell>
          <cell r="I1361" t="str">
            <v>C</v>
          </cell>
        </row>
        <row r="1362">
          <cell r="A1362">
            <v>55186</v>
          </cell>
          <cell r="B1362" t="str">
            <v>2.1.04.010.1461</v>
          </cell>
          <cell r="C1362" t="str">
            <v xml:space="preserve">MOLNLYCKE HEALTH CARE </v>
          </cell>
          <cell r="D1362">
            <v>1331.42</v>
          </cell>
          <cell r="E1362">
            <v>1331.42</v>
          </cell>
          <cell r="F1362">
            <v>0</v>
          </cell>
          <cell r="G1362">
            <v>-1331.42</v>
          </cell>
          <cell r="H1362">
            <v>0</v>
          </cell>
          <cell r="I1362" t="str">
            <v>C</v>
          </cell>
        </row>
        <row r="1363">
          <cell r="A1363">
            <v>55193</v>
          </cell>
          <cell r="B1363" t="str">
            <v>2.1.04.010.1465</v>
          </cell>
          <cell r="C1363" t="str">
            <v xml:space="preserve">MOCH GROUP TECNOLOGIA </v>
          </cell>
          <cell r="D1363">
            <v>66856</v>
          </cell>
          <cell r="E1363">
            <v>12500</v>
          </cell>
          <cell r="F1363">
            <v>0</v>
          </cell>
          <cell r="G1363">
            <v>-12500</v>
          </cell>
          <cell r="H1363">
            <v>54356</v>
          </cell>
          <cell r="I1363" t="str">
            <v>C</v>
          </cell>
        </row>
        <row r="1364">
          <cell r="A1364">
            <v>55204</v>
          </cell>
          <cell r="B1364" t="str">
            <v>2.1.04.010.1476</v>
          </cell>
          <cell r="C1364" t="str">
            <v xml:space="preserve">MP-BIOS REPRESENTACAO E </v>
          </cell>
          <cell r="D1364">
            <v>0</v>
          </cell>
          <cell r="E1364">
            <v>690</v>
          </cell>
          <cell r="F1364">
            <v>690</v>
          </cell>
          <cell r="G1364">
            <v>0</v>
          </cell>
          <cell r="H1364">
            <v>0</v>
          </cell>
          <cell r="I1364" t="str">
            <v>C</v>
          </cell>
        </row>
        <row r="1365">
          <cell r="A1365">
            <v>55207</v>
          </cell>
          <cell r="B1365" t="str">
            <v>2.1.04.010.1478</v>
          </cell>
          <cell r="C1365" t="str">
            <v xml:space="preserve">PRECISION COMERCIAL </v>
          </cell>
          <cell r="D1365">
            <v>38142.559999999998</v>
          </cell>
          <cell r="E1365">
            <v>36047.5</v>
          </cell>
          <cell r="F1365">
            <v>1963.8</v>
          </cell>
          <cell r="G1365">
            <v>-34083.699999999997</v>
          </cell>
          <cell r="H1365">
            <v>4058.86</v>
          </cell>
          <cell r="I1365" t="str">
            <v>C</v>
          </cell>
        </row>
        <row r="1366">
          <cell r="A1366">
            <v>55210</v>
          </cell>
          <cell r="B1366" t="str">
            <v>2.1.04.010.1481</v>
          </cell>
          <cell r="C1366" t="str">
            <v xml:space="preserve">DISK MED PADUA </v>
          </cell>
          <cell r="D1366">
            <v>3500.1</v>
          </cell>
          <cell r="E1366">
            <v>5080.8999999999996</v>
          </cell>
          <cell r="F1366">
            <v>1580.8</v>
          </cell>
          <cell r="G1366">
            <v>-3500.1</v>
          </cell>
          <cell r="H1366">
            <v>0</v>
          </cell>
          <cell r="I1366" t="str">
            <v>C</v>
          </cell>
        </row>
        <row r="1367">
          <cell r="A1367">
            <v>55213</v>
          </cell>
          <cell r="B1367" t="str">
            <v>2.1.04.010.1484</v>
          </cell>
          <cell r="C1367" t="str">
            <v xml:space="preserve">MERCADINHO CASTANHEIRAS </v>
          </cell>
          <cell r="D1367">
            <v>10154.24</v>
          </cell>
          <cell r="E1367">
            <v>19831.2</v>
          </cell>
          <cell r="F1367">
            <v>9851.9599999999991</v>
          </cell>
          <cell r="G1367">
            <v>-9979.24</v>
          </cell>
          <cell r="H1367">
            <v>175</v>
          </cell>
          <cell r="I1367" t="str">
            <v>C</v>
          </cell>
        </row>
        <row r="1368">
          <cell r="A1368">
            <v>55218</v>
          </cell>
          <cell r="B1368" t="str">
            <v>2.1.04.010.1488</v>
          </cell>
          <cell r="C1368" t="str">
            <v xml:space="preserve">VALE SAFE COMERCIO EPIS </v>
          </cell>
          <cell r="D1368">
            <v>0</v>
          </cell>
          <cell r="E1368">
            <v>0</v>
          </cell>
          <cell r="F1368">
            <v>1088.0999999999999</v>
          </cell>
          <cell r="G1368">
            <v>1088.0999999999999</v>
          </cell>
          <cell r="H1368">
            <v>1088.0999999999999</v>
          </cell>
          <cell r="I1368" t="str">
            <v>C</v>
          </cell>
        </row>
        <row r="1369">
          <cell r="A1369">
            <v>55220</v>
          </cell>
          <cell r="B1369" t="str">
            <v>2.1.04.010.1490</v>
          </cell>
          <cell r="C1369" t="str">
            <v xml:space="preserve">M&amp;F DISTRIBUIDORA DE </v>
          </cell>
          <cell r="D1369">
            <v>0</v>
          </cell>
          <cell r="E1369">
            <v>0</v>
          </cell>
          <cell r="F1369">
            <v>1635.66</v>
          </cell>
          <cell r="G1369">
            <v>1635.66</v>
          </cell>
          <cell r="H1369">
            <v>1635.66</v>
          </cell>
          <cell r="I1369" t="str">
            <v>C</v>
          </cell>
        </row>
        <row r="1370">
          <cell r="A1370">
            <v>55221</v>
          </cell>
          <cell r="B1370" t="str">
            <v>2.1.04.010.1491</v>
          </cell>
          <cell r="C1370" t="str">
            <v xml:space="preserve">TECNOFERRAMENTAS </v>
          </cell>
          <cell r="D1370">
            <v>963.31</v>
          </cell>
          <cell r="E1370">
            <v>963.31</v>
          </cell>
          <cell r="F1370">
            <v>0</v>
          </cell>
          <cell r="G1370">
            <v>-963.31</v>
          </cell>
          <cell r="H1370">
            <v>0</v>
          </cell>
          <cell r="I1370" t="str">
            <v>C</v>
          </cell>
        </row>
        <row r="1371">
          <cell r="A1371">
            <v>55230</v>
          </cell>
          <cell r="B1371" t="str">
            <v>2.1.04.010.1492</v>
          </cell>
          <cell r="C1371" t="str">
            <v xml:space="preserve">BRAFER CONSTRUCOES </v>
          </cell>
          <cell r="D1371">
            <v>1459748.88</v>
          </cell>
          <cell r="E1371">
            <v>1459748.88</v>
          </cell>
          <cell r="F1371">
            <v>1100081.27</v>
          </cell>
          <cell r="G1371">
            <v>-359667.61</v>
          </cell>
          <cell r="H1371">
            <v>1100081.27</v>
          </cell>
          <cell r="I1371" t="str">
            <v>C</v>
          </cell>
        </row>
        <row r="1372">
          <cell r="A1372">
            <v>55356</v>
          </cell>
          <cell r="B1372" t="str">
            <v>2.1.04.010.1502</v>
          </cell>
          <cell r="C1372" t="str">
            <v xml:space="preserve">MF MEDICAL IMPORTACAO E </v>
          </cell>
          <cell r="D1372">
            <v>177658.42</v>
          </cell>
          <cell r="E1372">
            <v>31973.439999999999</v>
          </cell>
          <cell r="F1372">
            <v>78758.02</v>
          </cell>
          <cell r="G1372">
            <v>46784.58</v>
          </cell>
          <cell r="H1372">
            <v>224443</v>
          </cell>
          <cell r="I1372" t="str">
            <v>C</v>
          </cell>
        </row>
        <row r="1373">
          <cell r="A1373">
            <v>55363</v>
          </cell>
          <cell r="B1373" t="str">
            <v>2.1.04.010.1508</v>
          </cell>
          <cell r="C1373" t="str">
            <v xml:space="preserve">GEMEDICAL DO BRASIL </v>
          </cell>
          <cell r="D1373">
            <v>382.8</v>
          </cell>
          <cell r="E1373">
            <v>382.8</v>
          </cell>
          <cell r="F1373">
            <v>1526</v>
          </cell>
          <cell r="G1373">
            <v>1143.2</v>
          </cell>
          <cell r="H1373">
            <v>1526</v>
          </cell>
          <cell r="I1373" t="str">
            <v>C</v>
          </cell>
        </row>
        <row r="1374">
          <cell r="A1374">
            <v>55373</v>
          </cell>
          <cell r="B1374" t="str">
            <v>2.1.04.010.1515</v>
          </cell>
          <cell r="C1374" t="str">
            <v xml:space="preserve">TRIADE HEALTH COMERCIO </v>
          </cell>
          <cell r="D1374">
            <v>0</v>
          </cell>
          <cell r="E1374">
            <v>0</v>
          </cell>
          <cell r="F1374">
            <v>3113.6</v>
          </cell>
          <cell r="G1374">
            <v>3113.6</v>
          </cell>
          <cell r="H1374">
            <v>3113.6</v>
          </cell>
          <cell r="I1374" t="str">
            <v>C</v>
          </cell>
        </row>
        <row r="1375">
          <cell r="A1375">
            <v>55391</v>
          </cell>
          <cell r="B1375" t="str">
            <v>2.1.04.010.1530</v>
          </cell>
          <cell r="C1375" t="str">
            <v xml:space="preserve">X - SAFE COMERCIO DE </v>
          </cell>
          <cell r="D1375">
            <v>1240748.8700000001</v>
          </cell>
          <cell r="E1375">
            <v>431881.87</v>
          </cell>
          <cell r="F1375">
            <v>98200</v>
          </cell>
          <cell r="G1375">
            <v>-333681.87</v>
          </cell>
          <cell r="H1375">
            <v>907067</v>
          </cell>
          <cell r="I1375" t="str">
            <v>C</v>
          </cell>
        </row>
        <row r="1376">
          <cell r="A1376">
            <v>55409</v>
          </cell>
          <cell r="B1376" t="str">
            <v>2.1.04.010.1535</v>
          </cell>
          <cell r="C1376" t="str">
            <v xml:space="preserve">EQUILIBRIO MEDICAL - </v>
          </cell>
          <cell r="D1376">
            <v>3060</v>
          </cell>
          <cell r="E1376">
            <v>4080</v>
          </cell>
          <cell r="F1376">
            <v>3060</v>
          </cell>
          <cell r="G1376">
            <v>-1020</v>
          </cell>
          <cell r="H1376">
            <v>2040</v>
          </cell>
          <cell r="I1376" t="str">
            <v>C</v>
          </cell>
        </row>
        <row r="1377">
          <cell r="A1377">
            <v>55425</v>
          </cell>
          <cell r="B1377" t="str">
            <v>2.1.04.010.1542</v>
          </cell>
          <cell r="C1377" t="str">
            <v>MAURICIO ESCOBAR PRETO</v>
          </cell>
          <cell r="D1377">
            <v>634</v>
          </cell>
          <cell r="E1377">
            <v>634</v>
          </cell>
          <cell r="F1377">
            <v>0</v>
          </cell>
          <cell r="G1377">
            <v>-634</v>
          </cell>
          <cell r="H1377">
            <v>0</v>
          </cell>
          <cell r="I1377" t="str">
            <v>C</v>
          </cell>
        </row>
        <row r="1378">
          <cell r="A1378">
            <v>55430</v>
          </cell>
          <cell r="B1378" t="str">
            <v>2.1.04.010.1545</v>
          </cell>
          <cell r="C1378" t="str">
            <v xml:space="preserve">HEALTH INDUSTRIA E </v>
          </cell>
          <cell r="D1378">
            <v>8750</v>
          </cell>
          <cell r="E1378">
            <v>8750</v>
          </cell>
          <cell r="F1378">
            <v>0</v>
          </cell>
          <cell r="G1378">
            <v>-8750</v>
          </cell>
          <cell r="H1378">
            <v>0</v>
          </cell>
          <cell r="I1378" t="str">
            <v>C</v>
          </cell>
        </row>
        <row r="1379">
          <cell r="A1379">
            <v>55432</v>
          </cell>
          <cell r="B1379" t="str">
            <v>2.1.04.010.1547</v>
          </cell>
          <cell r="C1379" t="str">
            <v>NATBIO IMPORTADORA LTDA</v>
          </cell>
          <cell r="D1379">
            <v>1129.67</v>
          </cell>
          <cell r="E1379">
            <v>1129.67</v>
          </cell>
          <cell r="F1379">
            <v>3251.16</v>
          </cell>
          <cell r="G1379">
            <v>2121.4899999999998</v>
          </cell>
          <cell r="H1379">
            <v>3251.16</v>
          </cell>
          <cell r="I1379" t="str">
            <v>C</v>
          </cell>
        </row>
        <row r="1380">
          <cell r="A1380">
            <v>55442</v>
          </cell>
          <cell r="B1380" t="str">
            <v>2.1.04.010.1550</v>
          </cell>
          <cell r="C1380" t="str">
            <v xml:space="preserve">REFRISSUL COMERCIO DE </v>
          </cell>
          <cell r="D1380">
            <v>2935.41</v>
          </cell>
          <cell r="E1380">
            <v>2935.41</v>
          </cell>
          <cell r="F1380">
            <v>5662.76</v>
          </cell>
          <cell r="G1380">
            <v>2727.35</v>
          </cell>
          <cell r="H1380">
            <v>5662.76</v>
          </cell>
          <cell r="I1380" t="str">
            <v>C</v>
          </cell>
        </row>
        <row r="1381">
          <cell r="A1381">
            <v>55447</v>
          </cell>
          <cell r="B1381" t="str">
            <v>2.1.04.010.1552</v>
          </cell>
          <cell r="C1381" t="str">
            <v xml:space="preserve">RJB COMERCIO DE </v>
          </cell>
          <cell r="D1381">
            <v>0</v>
          </cell>
          <cell r="E1381">
            <v>0</v>
          </cell>
          <cell r="F1381">
            <v>1950</v>
          </cell>
          <cell r="G1381">
            <v>1950</v>
          </cell>
          <cell r="H1381">
            <v>1950</v>
          </cell>
          <cell r="I1381" t="str">
            <v>C</v>
          </cell>
        </row>
        <row r="1382">
          <cell r="A1382">
            <v>55457</v>
          </cell>
          <cell r="B1382" t="str">
            <v>2.1.04.010.1555</v>
          </cell>
          <cell r="C1382" t="str">
            <v xml:space="preserve">NOGUEIRA COMERCIO DE </v>
          </cell>
          <cell r="D1382">
            <v>2355</v>
          </cell>
          <cell r="E1382">
            <v>2355</v>
          </cell>
          <cell r="F1382">
            <v>0</v>
          </cell>
          <cell r="G1382">
            <v>-2355</v>
          </cell>
          <cell r="H1382">
            <v>0</v>
          </cell>
          <cell r="I1382" t="str">
            <v>C</v>
          </cell>
        </row>
        <row r="1383">
          <cell r="A1383">
            <v>55466</v>
          </cell>
          <cell r="B1383" t="str">
            <v>2.1.04.010.1560</v>
          </cell>
          <cell r="C1383" t="str">
            <v xml:space="preserve">SINNERGY IMPORTACAO E </v>
          </cell>
          <cell r="D1383">
            <v>19313.8</v>
          </cell>
          <cell r="E1383">
            <v>9656.52</v>
          </cell>
          <cell r="F1383">
            <v>7800</v>
          </cell>
          <cell r="G1383">
            <v>-1856.52</v>
          </cell>
          <cell r="H1383">
            <v>17457.28</v>
          </cell>
          <cell r="I1383" t="str">
            <v>C</v>
          </cell>
        </row>
        <row r="1384">
          <cell r="A1384">
            <v>55467</v>
          </cell>
          <cell r="B1384" t="str">
            <v>2.1.04.010.1561</v>
          </cell>
          <cell r="C1384" t="str">
            <v>M 3 SERVICE LTDA</v>
          </cell>
          <cell r="D1384">
            <v>0</v>
          </cell>
          <cell r="E1384">
            <v>0</v>
          </cell>
          <cell r="F1384">
            <v>412</v>
          </cell>
          <cell r="G1384">
            <v>412</v>
          </cell>
          <cell r="H1384">
            <v>412</v>
          </cell>
          <cell r="I1384" t="str">
            <v>C</v>
          </cell>
        </row>
        <row r="1385">
          <cell r="A1385">
            <v>55476</v>
          </cell>
          <cell r="B1385" t="str">
            <v>2.1.04.010.1566</v>
          </cell>
          <cell r="C1385" t="str">
            <v xml:space="preserve">LIFE SUPPORT TECNOLOGIA </v>
          </cell>
          <cell r="D1385">
            <v>6500</v>
          </cell>
          <cell r="E1385">
            <v>6500</v>
          </cell>
          <cell r="F1385">
            <v>0</v>
          </cell>
          <cell r="G1385">
            <v>-6500</v>
          </cell>
          <cell r="H1385">
            <v>0</v>
          </cell>
          <cell r="I1385" t="str">
            <v>C</v>
          </cell>
        </row>
        <row r="1386">
          <cell r="A1386">
            <v>55478</v>
          </cell>
          <cell r="B1386" t="str">
            <v>2.1.04.010.1568</v>
          </cell>
          <cell r="C1386" t="str">
            <v>EDITORA MARTINARI LTDA</v>
          </cell>
          <cell r="D1386">
            <v>2397.5</v>
          </cell>
          <cell r="E1386">
            <v>2397.5</v>
          </cell>
          <cell r="F1386">
            <v>0</v>
          </cell>
          <cell r="G1386">
            <v>-2397.5</v>
          </cell>
          <cell r="H1386">
            <v>0</v>
          </cell>
          <cell r="I1386" t="str">
            <v>C</v>
          </cell>
        </row>
        <row r="1387">
          <cell r="A1387">
            <v>55480</v>
          </cell>
          <cell r="B1387" t="str">
            <v>2.1.04.010.1570</v>
          </cell>
          <cell r="C1387" t="str">
            <v xml:space="preserve">SOS COMERCIO DE </v>
          </cell>
          <cell r="D1387">
            <v>960</v>
          </cell>
          <cell r="E1387">
            <v>960</v>
          </cell>
          <cell r="F1387">
            <v>1870</v>
          </cell>
          <cell r="G1387">
            <v>910</v>
          </cell>
          <cell r="H1387">
            <v>1870</v>
          </cell>
          <cell r="I1387" t="str">
            <v>C</v>
          </cell>
        </row>
        <row r="1388">
          <cell r="A1388">
            <v>55481</v>
          </cell>
          <cell r="B1388" t="str">
            <v>2.1.04.010.1571</v>
          </cell>
          <cell r="C1388" t="str">
            <v xml:space="preserve">FRIGELAR COMERCIO E </v>
          </cell>
          <cell r="D1388">
            <v>2657.35</v>
          </cell>
          <cell r="E1388">
            <v>2657.35</v>
          </cell>
          <cell r="F1388">
            <v>922.79</v>
          </cell>
          <cell r="G1388">
            <v>-1734.56</v>
          </cell>
          <cell r="H1388">
            <v>922.79</v>
          </cell>
          <cell r="I1388" t="str">
            <v>C</v>
          </cell>
        </row>
        <row r="1389">
          <cell r="A1389">
            <v>55851</v>
          </cell>
          <cell r="B1389" t="str">
            <v>2.1.04.010.1573</v>
          </cell>
          <cell r="C1389" t="str">
            <v xml:space="preserve">ENDOLIFE IMPORTACAO, </v>
          </cell>
          <cell r="D1389">
            <v>0</v>
          </cell>
          <cell r="E1389">
            <v>7000</v>
          </cell>
          <cell r="F1389">
            <v>7000</v>
          </cell>
          <cell r="G1389">
            <v>0</v>
          </cell>
          <cell r="H1389">
            <v>0</v>
          </cell>
          <cell r="I1389" t="str">
            <v>C</v>
          </cell>
        </row>
        <row r="1390">
          <cell r="A1390">
            <v>55858</v>
          </cell>
          <cell r="B1390" t="str">
            <v>2.1.04.010.1576</v>
          </cell>
          <cell r="C1390" t="str">
            <v xml:space="preserve">NEXT IMPLANTES COMERCIO, </v>
          </cell>
          <cell r="D1390">
            <v>7200</v>
          </cell>
          <cell r="E1390">
            <v>7200</v>
          </cell>
          <cell r="F1390">
            <v>0</v>
          </cell>
          <cell r="G1390">
            <v>-7200</v>
          </cell>
          <cell r="H1390">
            <v>0</v>
          </cell>
          <cell r="I1390" t="str">
            <v>C</v>
          </cell>
        </row>
        <row r="1391">
          <cell r="A1391">
            <v>55864</v>
          </cell>
          <cell r="B1391" t="str">
            <v>2.1.04.010.1578</v>
          </cell>
          <cell r="C1391" t="str">
            <v>MEGA MAIS UNIFORMES LTDA</v>
          </cell>
          <cell r="D1391">
            <v>8973.61</v>
          </cell>
          <cell r="E1391">
            <v>4947.79</v>
          </cell>
          <cell r="F1391">
            <v>0</v>
          </cell>
          <cell r="G1391">
            <v>-4947.79</v>
          </cell>
          <cell r="H1391">
            <v>4025.82</v>
          </cell>
          <cell r="I1391" t="str">
            <v>C</v>
          </cell>
        </row>
        <row r="1392">
          <cell r="A1392">
            <v>55905</v>
          </cell>
          <cell r="B1392" t="str">
            <v>2.1.04.010.1592</v>
          </cell>
          <cell r="C1392" t="str">
            <v xml:space="preserve">PRO HEALTH DISTRIBUIDORA </v>
          </cell>
          <cell r="D1392">
            <v>4950</v>
          </cell>
          <cell r="E1392">
            <v>4950</v>
          </cell>
          <cell r="F1392">
            <v>0</v>
          </cell>
          <cell r="G1392">
            <v>-4950</v>
          </cell>
          <cell r="H1392">
            <v>0</v>
          </cell>
          <cell r="I1392" t="str">
            <v>C</v>
          </cell>
        </row>
        <row r="1393">
          <cell r="A1393">
            <v>55911</v>
          </cell>
          <cell r="B1393" t="str">
            <v>2.1.04.010.1595</v>
          </cell>
          <cell r="C1393" t="str">
            <v xml:space="preserve">FESTPAN ALIMENTOS </v>
          </cell>
          <cell r="D1393">
            <v>2431.86</v>
          </cell>
          <cell r="E1393">
            <v>7889.24</v>
          </cell>
          <cell r="F1393">
            <v>7609.05</v>
          </cell>
          <cell r="G1393">
            <v>-280.19</v>
          </cell>
          <cell r="H1393">
            <v>2151.67</v>
          </cell>
          <cell r="I1393" t="str">
            <v>C</v>
          </cell>
        </row>
        <row r="1394">
          <cell r="A1394">
            <v>55922</v>
          </cell>
          <cell r="B1394" t="str">
            <v>2.1.04.010.1601</v>
          </cell>
          <cell r="C1394" t="str">
            <v xml:space="preserve">TECNO4 PRODUTOS </v>
          </cell>
          <cell r="D1394">
            <v>325</v>
          </cell>
          <cell r="E1394">
            <v>1241</v>
          </cell>
          <cell r="F1394">
            <v>1633</v>
          </cell>
          <cell r="G1394">
            <v>392</v>
          </cell>
          <cell r="H1394">
            <v>717</v>
          </cell>
          <cell r="I1394" t="str">
            <v>C</v>
          </cell>
        </row>
        <row r="1395">
          <cell r="A1395">
            <v>55924</v>
          </cell>
          <cell r="B1395" t="str">
            <v>2.1.04.010.1603</v>
          </cell>
          <cell r="C1395" t="str">
            <v xml:space="preserve">PSICOBOX INDUSTRIA E </v>
          </cell>
          <cell r="D1395">
            <v>4800</v>
          </cell>
          <cell r="E1395">
            <v>4800</v>
          </cell>
          <cell r="F1395">
            <v>0</v>
          </cell>
          <cell r="G1395">
            <v>-4800</v>
          </cell>
          <cell r="H1395">
            <v>0</v>
          </cell>
          <cell r="I1395" t="str">
            <v>C</v>
          </cell>
        </row>
        <row r="1396">
          <cell r="A1396">
            <v>55930</v>
          </cell>
          <cell r="B1396" t="str">
            <v>2.1.04.010.1608</v>
          </cell>
          <cell r="C1396" t="str">
            <v xml:space="preserve">ATIVA MEDICO CIRURGICA </v>
          </cell>
          <cell r="D1396">
            <v>1505.24</v>
          </cell>
          <cell r="E1396">
            <v>3304.44</v>
          </cell>
          <cell r="F1396">
            <v>1799.2</v>
          </cell>
          <cell r="G1396">
            <v>-1505.24</v>
          </cell>
          <cell r="H1396">
            <v>0</v>
          </cell>
          <cell r="I1396" t="str">
            <v>C</v>
          </cell>
        </row>
        <row r="1397">
          <cell r="A1397">
            <v>55931</v>
          </cell>
          <cell r="B1397" t="str">
            <v>2.1.04.010.1609</v>
          </cell>
          <cell r="C1397" t="str">
            <v xml:space="preserve">CDI BARRA PRODUTOS - </v>
          </cell>
          <cell r="D1397">
            <v>4075.92</v>
          </cell>
          <cell r="E1397">
            <v>12335.07</v>
          </cell>
          <cell r="F1397">
            <v>10746.81</v>
          </cell>
          <cell r="G1397">
            <v>-1588.26</v>
          </cell>
          <cell r="H1397">
            <v>2487.66</v>
          </cell>
          <cell r="I1397" t="str">
            <v>C</v>
          </cell>
        </row>
        <row r="1398">
          <cell r="A1398">
            <v>55932</v>
          </cell>
          <cell r="B1398" t="str">
            <v>2.1.04.010.1610</v>
          </cell>
          <cell r="C1398" t="str">
            <v xml:space="preserve">DREAMS HOME LAR E </v>
          </cell>
          <cell r="D1398">
            <v>1143.5999999999999</v>
          </cell>
          <cell r="E1398">
            <v>2095.6</v>
          </cell>
          <cell r="F1398">
            <v>952</v>
          </cell>
          <cell r="G1398">
            <v>-1143.5999999999999</v>
          </cell>
          <cell r="H1398">
            <v>0</v>
          </cell>
          <cell r="I1398" t="str">
            <v>C</v>
          </cell>
        </row>
        <row r="1399">
          <cell r="A1399">
            <v>55937</v>
          </cell>
          <cell r="B1399" t="str">
            <v>2.1.04.010.1614</v>
          </cell>
          <cell r="C1399" t="str">
            <v xml:space="preserve">CASA DE CARNES LEITE &amp; </v>
          </cell>
          <cell r="D1399">
            <v>29590.560000000001</v>
          </cell>
          <cell r="E1399">
            <v>58018.05</v>
          </cell>
          <cell r="F1399">
            <v>58541.3</v>
          </cell>
          <cell r="G1399">
            <v>523.25</v>
          </cell>
          <cell r="H1399">
            <v>30113.81</v>
          </cell>
          <cell r="I1399" t="str">
            <v>C</v>
          </cell>
        </row>
        <row r="1400">
          <cell r="A1400">
            <v>55939</v>
          </cell>
          <cell r="B1400" t="str">
            <v>2.1.04.010.1615</v>
          </cell>
          <cell r="C1400" t="str">
            <v xml:space="preserve">GRANI AMICI INDUSTRIA E </v>
          </cell>
          <cell r="D1400">
            <v>0</v>
          </cell>
          <cell r="E1400">
            <v>0</v>
          </cell>
          <cell r="F1400">
            <v>425.4</v>
          </cell>
          <cell r="G1400">
            <v>425.4</v>
          </cell>
          <cell r="H1400">
            <v>425.4</v>
          </cell>
          <cell r="I1400" t="str">
            <v>C</v>
          </cell>
        </row>
        <row r="1401">
          <cell r="A1401">
            <v>55948</v>
          </cell>
          <cell r="B1401" t="str">
            <v>2.1.04.010.1618</v>
          </cell>
          <cell r="C1401" t="str">
            <v>BACABAL BLOCOS LTDA</v>
          </cell>
          <cell r="D1401">
            <v>0</v>
          </cell>
          <cell r="E1401">
            <v>0</v>
          </cell>
          <cell r="F1401">
            <v>1900</v>
          </cell>
          <cell r="G1401">
            <v>1900</v>
          </cell>
          <cell r="H1401">
            <v>1900</v>
          </cell>
          <cell r="I1401" t="str">
            <v>C</v>
          </cell>
        </row>
        <row r="1402">
          <cell r="A1402">
            <v>55953</v>
          </cell>
          <cell r="B1402" t="str">
            <v>2.1.04.010.1619</v>
          </cell>
          <cell r="C1402" t="str">
            <v xml:space="preserve">INOVE FLEX SOLUCOES EM </v>
          </cell>
          <cell r="D1402">
            <v>0</v>
          </cell>
          <cell r="E1402">
            <v>7635</v>
          </cell>
          <cell r="F1402">
            <v>30540</v>
          </cell>
          <cell r="G1402">
            <v>22905</v>
          </cell>
          <cell r="H1402">
            <v>22905</v>
          </cell>
          <cell r="I1402" t="str">
            <v>C</v>
          </cell>
        </row>
        <row r="1403">
          <cell r="A1403">
            <v>55965</v>
          </cell>
          <cell r="B1403" t="str">
            <v>2.1.04.010.1624</v>
          </cell>
          <cell r="C1403" t="str">
            <v xml:space="preserve">SLIC EQUIPAMENTOS DE </v>
          </cell>
          <cell r="D1403">
            <v>1235.83</v>
          </cell>
          <cell r="E1403">
            <v>1235.83</v>
          </cell>
          <cell r="F1403">
            <v>0</v>
          </cell>
          <cell r="G1403">
            <v>-1235.83</v>
          </cell>
          <cell r="H1403">
            <v>0</v>
          </cell>
          <cell r="I1403" t="str">
            <v>C</v>
          </cell>
        </row>
        <row r="1404">
          <cell r="A1404">
            <v>55967</v>
          </cell>
          <cell r="B1404" t="str">
            <v>2.1.04.010.1625</v>
          </cell>
          <cell r="C1404" t="str">
            <v xml:space="preserve">FUSATI INDUSTRIA COMERCIO </v>
          </cell>
          <cell r="D1404">
            <v>0</v>
          </cell>
          <cell r="E1404">
            <v>10000</v>
          </cell>
          <cell r="F1404">
            <v>10000</v>
          </cell>
          <cell r="G1404">
            <v>0</v>
          </cell>
          <cell r="H1404">
            <v>0</v>
          </cell>
          <cell r="I1404" t="str">
            <v>C</v>
          </cell>
        </row>
        <row r="1405">
          <cell r="A1405">
            <v>55968</v>
          </cell>
          <cell r="B1405" t="str">
            <v>2.1.04.010.1626</v>
          </cell>
          <cell r="C1405" t="str">
            <v xml:space="preserve">LEO MADEIRAS, MAQUINAS E </v>
          </cell>
          <cell r="D1405">
            <v>250.33</v>
          </cell>
          <cell r="E1405">
            <v>250.33</v>
          </cell>
          <cell r="F1405">
            <v>80.8</v>
          </cell>
          <cell r="G1405">
            <v>-169.53</v>
          </cell>
          <cell r="H1405">
            <v>80.8</v>
          </cell>
          <cell r="I1405" t="str">
            <v>C</v>
          </cell>
        </row>
        <row r="1406">
          <cell r="A1406">
            <v>55970</v>
          </cell>
          <cell r="B1406" t="str">
            <v>2.1.04.010.1627</v>
          </cell>
          <cell r="C1406" t="str">
            <v>NOXTER DO BRASIL LTDA</v>
          </cell>
          <cell r="D1406">
            <v>658.8</v>
          </cell>
          <cell r="E1406">
            <v>658.8</v>
          </cell>
          <cell r="F1406">
            <v>1044.6400000000001</v>
          </cell>
          <cell r="G1406">
            <v>385.84</v>
          </cell>
          <cell r="H1406">
            <v>1044.6400000000001</v>
          </cell>
          <cell r="I1406" t="str">
            <v>C</v>
          </cell>
        </row>
        <row r="1407">
          <cell r="A1407">
            <v>55971</v>
          </cell>
          <cell r="B1407" t="str">
            <v>2.1.04.010.1628</v>
          </cell>
          <cell r="C1407" t="str">
            <v xml:space="preserve">DEPOSITO CARDOSO </v>
          </cell>
          <cell r="D1407">
            <v>0</v>
          </cell>
          <cell r="E1407">
            <v>0</v>
          </cell>
          <cell r="F1407">
            <v>987.6</v>
          </cell>
          <cell r="G1407">
            <v>987.6</v>
          </cell>
          <cell r="H1407">
            <v>987.6</v>
          </cell>
          <cell r="I1407" t="str">
            <v>C</v>
          </cell>
        </row>
        <row r="1408">
          <cell r="A1408">
            <v>55976</v>
          </cell>
          <cell r="B1408" t="str">
            <v>2.1.04.010.1629</v>
          </cell>
          <cell r="C1408" t="str">
            <v xml:space="preserve">AGROLITORAL PRODUTOS E </v>
          </cell>
          <cell r="D1408">
            <v>340</v>
          </cell>
          <cell r="E1408">
            <v>340</v>
          </cell>
          <cell r="F1408">
            <v>1299.5999999999999</v>
          </cell>
          <cell r="G1408">
            <v>959.6</v>
          </cell>
          <cell r="H1408">
            <v>1299.5999999999999</v>
          </cell>
          <cell r="I1408" t="str">
            <v>C</v>
          </cell>
        </row>
        <row r="1409">
          <cell r="A1409">
            <v>55978</v>
          </cell>
          <cell r="B1409" t="str">
            <v>2.1.04.010.1630</v>
          </cell>
          <cell r="C1409" t="str">
            <v xml:space="preserve">LONG FARMA DISTRIBUIDORA </v>
          </cell>
          <cell r="D1409">
            <v>1725</v>
          </cell>
          <cell r="E1409">
            <v>1725</v>
          </cell>
          <cell r="F1409">
            <v>0</v>
          </cell>
          <cell r="G1409">
            <v>-1725</v>
          </cell>
          <cell r="H1409">
            <v>0</v>
          </cell>
          <cell r="I1409" t="str">
            <v>C</v>
          </cell>
        </row>
        <row r="1410">
          <cell r="A1410">
            <v>55979</v>
          </cell>
          <cell r="B1410" t="str">
            <v>2.1.04.010.1631</v>
          </cell>
          <cell r="C1410" t="str">
            <v xml:space="preserve">MAXEL MATERIAIS ELETRICOS </v>
          </cell>
          <cell r="D1410">
            <v>10083</v>
          </cell>
          <cell r="E1410">
            <v>11566</v>
          </cell>
          <cell r="F1410">
            <v>1483</v>
          </cell>
          <cell r="G1410">
            <v>-10083</v>
          </cell>
          <cell r="H1410">
            <v>0</v>
          </cell>
          <cell r="I1410" t="str">
            <v>C</v>
          </cell>
        </row>
        <row r="1411">
          <cell r="A1411">
            <v>55982</v>
          </cell>
          <cell r="B1411" t="str">
            <v>2.1.04.010.1632</v>
          </cell>
          <cell r="C1411" t="str">
            <v xml:space="preserve">F &amp; F DISTRIBUIDORA DE </v>
          </cell>
          <cell r="D1411">
            <v>14512</v>
          </cell>
          <cell r="E1411">
            <v>8662</v>
          </cell>
          <cell r="F1411">
            <v>1600</v>
          </cell>
          <cell r="G1411">
            <v>-7062</v>
          </cell>
          <cell r="H1411">
            <v>7450</v>
          </cell>
          <cell r="I1411" t="str">
            <v>C</v>
          </cell>
        </row>
        <row r="1412">
          <cell r="A1412">
            <v>55996</v>
          </cell>
          <cell r="B1412" t="str">
            <v>2.1.04.010.1639</v>
          </cell>
          <cell r="C1412" t="str">
            <v xml:space="preserve">VALEMEDIC PRODUTOS </v>
          </cell>
          <cell r="D1412">
            <v>0</v>
          </cell>
          <cell r="E1412">
            <v>0</v>
          </cell>
          <cell r="F1412">
            <v>28336.14</v>
          </cell>
          <cell r="G1412">
            <v>28336.14</v>
          </cell>
          <cell r="H1412">
            <v>28336.14</v>
          </cell>
          <cell r="I1412" t="str">
            <v>C</v>
          </cell>
        </row>
        <row r="1413">
          <cell r="A1413">
            <v>56001</v>
          </cell>
          <cell r="B1413" t="str">
            <v>2.1.04.010.1640</v>
          </cell>
          <cell r="C1413" t="str">
            <v>W.H.B.DO BRASIL LTDA</v>
          </cell>
          <cell r="D1413">
            <v>0</v>
          </cell>
          <cell r="E1413">
            <v>483.92</v>
          </cell>
          <cell r="F1413">
            <v>483.92</v>
          </cell>
          <cell r="G1413">
            <v>0</v>
          </cell>
          <cell r="H1413">
            <v>0</v>
          </cell>
          <cell r="I1413" t="str">
            <v>C</v>
          </cell>
        </row>
        <row r="1414">
          <cell r="A1414">
            <v>56002</v>
          </cell>
          <cell r="B1414" t="str">
            <v>2.1.04.010.1641</v>
          </cell>
          <cell r="C1414" t="str">
            <v xml:space="preserve">SOARES E DE PAULA </v>
          </cell>
          <cell r="D1414">
            <v>0</v>
          </cell>
          <cell r="E1414">
            <v>274.7</v>
          </cell>
          <cell r="F1414">
            <v>274.7</v>
          </cell>
          <cell r="G1414">
            <v>0</v>
          </cell>
          <cell r="H1414">
            <v>0</v>
          </cell>
          <cell r="I1414" t="str">
            <v>C</v>
          </cell>
        </row>
        <row r="1415">
          <cell r="A1415">
            <v>56003</v>
          </cell>
          <cell r="B1415" t="str">
            <v>2.1.04.010.1642</v>
          </cell>
          <cell r="C1415" t="str">
            <v xml:space="preserve">MANETONI DISTRIBUIDORA DE </v>
          </cell>
          <cell r="D1415">
            <v>0</v>
          </cell>
          <cell r="E1415">
            <v>41391</v>
          </cell>
          <cell r="F1415">
            <v>74123.199999999997</v>
          </cell>
          <cell r="G1415">
            <v>32732.2</v>
          </cell>
          <cell r="H1415">
            <v>32732.2</v>
          </cell>
          <cell r="I1415" t="str">
            <v>C</v>
          </cell>
        </row>
        <row r="1416">
          <cell r="A1416">
            <v>55999</v>
          </cell>
          <cell r="B1416" t="str">
            <v>2.1.04.010.1643</v>
          </cell>
          <cell r="C1416" t="str">
            <v xml:space="preserve">JOSMAR MATERIAIS PARA </v>
          </cell>
          <cell r="D1416">
            <v>0</v>
          </cell>
          <cell r="E1416">
            <v>1447.5</v>
          </cell>
          <cell r="F1416">
            <v>1447.5</v>
          </cell>
          <cell r="G1416">
            <v>0</v>
          </cell>
          <cell r="H1416">
            <v>0</v>
          </cell>
          <cell r="I1416" t="str">
            <v>C</v>
          </cell>
        </row>
        <row r="1417">
          <cell r="A1417">
            <v>56007</v>
          </cell>
          <cell r="B1417" t="str">
            <v>2.1.04.010.1646</v>
          </cell>
          <cell r="C1417" t="str">
            <v xml:space="preserve">MP MEDICAL COMERCIO DE </v>
          </cell>
          <cell r="D1417">
            <v>0</v>
          </cell>
          <cell r="E1417">
            <v>0</v>
          </cell>
          <cell r="F1417">
            <v>2259</v>
          </cell>
          <cell r="G1417">
            <v>2259</v>
          </cell>
          <cell r="H1417">
            <v>2259</v>
          </cell>
          <cell r="I1417" t="str">
            <v>C</v>
          </cell>
        </row>
        <row r="1418">
          <cell r="A1418">
            <v>56015</v>
          </cell>
          <cell r="B1418" t="str">
            <v>2.1.04.010.1647</v>
          </cell>
          <cell r="C1418" t="str">
            <v xml:space="preserve">BS MATERIAIS DE </v>
          </cell>
          <cell r="D1418">
            <v>0</v>
          </cell>
          <cell r="E1418">
            <v>0</v>
          </cell>
          <cell r="F1418">
            <v>2419</v>
          </cell>
          <cell r="G1418">
            <v>2419</v>
          </cell>
          <cell r="H1418">
            <v>2419</v>
          </cell>
          <cell r="I1418" t="str">
            <v>C</v>
          </cell>
        </row>
        <row r="1419">
          <cell r="A1419">
            <v>56016</v>
          </cell>
          <cell r="B1419" t="str">
            <v>2.1.04.010.1648</v>
          </cell>
          <cell r="C1419" t="str">
            <v xml:space="preserve">GELATOTEC INDUSTRIA E </v>
          </cell>
          <cell r="D1419">
            <v>0</v>
          </cell>
          <cell r="E1419">
            <v>2635.29</v>
          </cell>
          <cell r="F1419">
            <v>18447</v>
          </cell>
          <cell r="G1419">
            <v>15811.71</v>
          </cell>
          <cell r="H1419">
            <v>15811.71</v>
          </cell>
          <cell r="I1419" t="str">
            <v>C</v>
          </cell>
        </row>
        <row r="1420">
          <cell r="A1420">
            <v>56017</v>
          </cell>
          <cell r="B1420" t="str">
            <v>2.1.04.010.1649</v>
          </cell>
          <cell r="C1420" t="str">
            <v xml:space="preserve">MIGMED MEDICAMENTOS E </v>
          </cell>
          <cell r="D1420">
            <v>0</v>
          </cell>
          <cell r="E1420">
            <v>2599.7399999999998</v>
          </cell>
          <cell r="F1420">
            <v>7800</v>
          </cell>
          <cell r="G1420">
            <v>5200.26</v>
          </cell>
          <cell r="H1420">
            <v>5200.26</v>
          </cell>
          <cell r="I1420" t="str">
            <v>C</v>
          </cell>
        </row>
        <row r="1421">
          <cell r="A1421">
            <v>56018</v>
          </cell>
          <cell r="B1421" t="str">
            <v>2.1.04.010.1650</v>
          </cell>
          <cell r="C1421" t="str">
            <v xml:space="preserve">LUCENA COMERCIO DE </v>
          </cell>
          <cell r="D1421">
            <v>0</v>
          </cell>
          <cell r="E1421">
            <v>0</v>
          </cell>
          <cell r="F1421">
            <v>1168</v>
          </cell>
          <cell r="G1421">
            <v>1168</v>
          </cell>
          <cell r="H1421">
            <v>1168</v>
          </cell>
          <cell r="I1421" t="str">
            <v>C</v>
          </cell>
        </row>
        <row r="1422">
          <cell r="A1422">
            <v>56014</v>
          </cell>
          <cell r="B1422" t="str">
            <v>2.1.04.010.1651</v>
          </cell>
          <cell r="C1422" t="str">
            <v xml:space="preserve">METALPLAY INDUSTRIA E </v>
          </cell>
          <cell r="D1422">
            <v>0</v>
          </cell>
          <cell r="E1422">
            <v>3500</v>
          </cell>
          <cell r="F1422">
            <v>3500</v>
          </cell>
          <cell r="G1422">
            <v>0</v>
          </cell>
          <cell r="H1422">
            <v>0</v>
          </cell>
          <cell r="I1422" t="str">
            <v>C</v>
          </cell>
        </row>
        <row r="1423">
          <cell r="A1423">
            <v>56019</v>
          </cell>
          <cell r="B1423" t="str">
            <v>2.1.04.010.1652</v>
          </cell>
          <cell r="C1423" t="str">
            <v xml:space="preserve">UENDOS MANUTENCOES </v>
          </cell>
          <cell r="D1423">
            <v>0</v>
          </cell>
          <cell r="E1423">
            <v>380</v>
          </cell>
          <cell r="F1423">
            <v>380</v>
          </cell>
          <cell r="G1423">
            <v>0</v>
          </cell>
          <cell r="H1423">
            <v>0</v>
          </cell>
          <cell r="I1423" t="str">
            <v>C</v>
          </cell>
        </row>
        <row r="1424">
          <cell r="A1424">
            <v>56020</v>
          </cell>
          <cell r="B1424" t="str">
            <v>2.1.04.010.1653</v>
          </cell>
          <cell r="C1424" t="str">
            <v xml:space="preserve">DENIS SANTOS COELHO </v>
          </cell>
          <cell r="D1424">
            <v>0</v>
          </cell>
          <cell r="E1424">
            <v>267.95</v>
          </cell>
          <cell r="F1424">
            <v>267.95</v>
          </cell>
          <cell r="G1424">
            <v>0</v>
          </cell>
          <cell r="H1424">
            <v>0</v>
          </cell>
          <cell r="I1424" t="str">
            <v>C</v>
          </cell>
        </row>
        <row r="1425">
          <cell r="A1425">
            <v>56021</v>
          </cell>
          <cell r="B1425" t="str">
            <v>2.1.04.010.1654</v>
          </cell>
          <cell r="C1425" t="str">
            <v xml:space="preserve">FRIGELAR COMERCIO E </v>
          </cell>
          <cell r="D1425">
            <v>0</v>
          </cell>
          <cell r="E1425">
            <v>0</v>
          </cell>
          <cell r="F1425">
            <v>777.36</v>
          </cell>
          <cell r="G1425">
            <v>777.36</v>
          </cell>
          <cell r="H1425">
            <v>777.36</v>
          </cell>
          <cell r="I1425" t="str">
            <v>C</v>
          </cell>
        </row>
        <row r="1426">
          <cell r="A1426">
            <v>56023</v>
          </cell>
          <cell r="B1426" t="str">
            <v>2.1.04.010.1656</v>
          </cell>
          <cell r="C1426" t="str">
            <v>FRESENIUS KABI BRASIL LTDA</v>
          </cell>
          <cell r="D1426">
            <v>0</v>
          </cell>
          <cell r="E1426">
            <v>0</v>
          </cell>
          <cell r="F1426">
            <v>5160</v>
          </cell>
          <cell r="G1426">
            <v>5160</v>
          </cell>
          <cell r="H1426">
            <v>5160</v>
          </cell>
          <cell r="I1426" t="str">
            <v>C</v>
          </cell>
        </row>
        <row r="1427">
          <cell r="A1427">
            <v>56024</v>
          </cell>
          <cell r="B1427" t="str">
            <v>2.1.04.010.1657</v>
          </cell>
          <cell r="C1427" t="str">
            <v xml:space="preserve">TOP SERVICE DISTRIBUIDORA </v>
          </cell>
          <cell r="D1427">
            <v>0</v>
          </cell>
          <cell r="E1427">
            <v>0</v>
          </cell>
          <cell r="F1427">
            <v>1297.8800000000001</v>
          </cell>
          <cell r="G1427">
            <v>1297.8800000000001</v>
          </cell>
          <cell r="H1427">
            <v>1297.8800000000001</v>
          </cell>
          <cell r="I1427" t="str">
            <v>C</v>
          </cell>
        </row>
        <row r="1428">
          <cell r="A1428">
            <v>56025</v>
          </cell>
          <cell r="B1428" t="str">
            <v>2.1.04.010.1658</v>
          </cell>
          <cell r="C1428" t="str">
            <v>HOSPVIDA LTDA</v>
          </cell>
          <cell r="D1428">
            <v>0</v>
          </cell>
          <cell r="E1428">
            <v>0</v>
          </cell>
          <cell r="F1428">
            <v>2345.5</v>
          </cell>
          <cell r="G1428">
            <v>2345.5</v>
          </cell>
          <cell r="H1428">
            <v>2345.5</v>
          </cell>
          <cell r="I1428" t="str">
            <v>C</v>
          </cell>
        </row>
        <row r="1429">
          <cell r="A1429">
            <v>55847</v>
          </cell>
          <cell r="B1429" t="str">
            <v>2.1.04.010.1659</v>
          </cell>
          <cell r="C1429" t="str">
            <v xml:space="preserve">E. ALCALDE COMERCIO DE </v>
          </cell>
          <cell r="D1429">
            <v>0.01</v>
          </cell>
          <cell r="E1429">
            <v>0</v>
          </cell>
          <cell r="F1429">
            <v>0</v>
          </cell>
          <cell r="G1429">
            <v>0</v>
          </cell>
          <cell r="H1429">
            <v>0.01</v>
          </cell>
          <cell r="I1429" t="str">
            <v>C</v>
          </cell>
        </row>
        <row r="1430">
          <cell r="A1430">
            <v>56027</v>
          </cell>
          <cell r="B1430" t="str">
            <v>2.1.04.010.1660</v>
          </cell>
          <cell r="C1430" t="str">
            <v xml:space="preserve">A. C. SILVA MATERIAIS </v>
          </cell>
          <cell r="D1430">
            <v>0</v>
          </cell>
          <cell r="E1430">
            <v>0</v>
          </cell>
          <cell r="F1430">
            <v>4203.74</v>
          </cell>
          <cell r="G1430">
            <v>4203.74</v>
          </cell>
          <cell r="H1430">
            <v>4203.74</v>
          </cell>
          <cell r="I1430" t="str">
            <v>C</v>
          </cell>
        </row>
        <row r="1431">
          <cell r="A1431">
            <v>55285</v>
          </cell>
          <cell r="B1431" t="str">
            <v>2.1.04.010.1663</v>
          </cell>
          <cell r="C1431" t="str">
            <v xml:space="preserve">APRAMED - INDUSTRIA E </v>
          </cell>
          <cell r="D1431">
            <v>0</v>
          </cell>
          <cell r="E1431">
            <v>0</v>
          </cell>
          <cell r="F1431">
            <v>6800</v>
          </cell>
          <cell r="G1431">
            <v>6800</v>
          </cell>
          <cell r="H1431">
            <v>6800</v>
          </cell>
          <cell r="I1431" t="str">
            <v>C</v>
          </cell>
        </row>
        <row r="1432">
          <cell r="A1432">
            <v>55289</v>
          </cell>
          <cell r="B1432" t="str">
            <v>2.1.04.010.1664</v>
          </cell>
          <cell r="C1432" t="str">
            <v xml:space="preserve">CRUDO PLAST INDUSTRIA E </v>
          </cell>
          <cell r="D1432">
            <v>0</v>
          </cell>
          <cell r="E1432">
            <v>0</v>
          </cell>
          <cell r="F1432">
            <v>1335</v>
          </cell>
          <cell r="G1432">
            <v>1335</v>
          </cell>
          <cell r="H1432">
            <v>1335</v>
          </cell>
          <cell r="I1432" t="str">
            <v>C</v>
          </cell>
        </row>
        <row r="1433">
          <cell r="A1433">
            <v>55293</v>
          </cell>
          <cell r="B1433" t="str">
            <v>2.1.04.010.1665</v>
          </cell>
          <cell r="C1433" t="str">
            <v xml:space="preserve">HIDROBRAS TUBOS E </v>
          </cell>
          <cell r="D1433">
            <v>0</v>
          </cell>
          <cell r="E1433">
            <v>0</v>
          </cell>
          <cell r="F1433">
            <v>7504.26</v>
          </cell>
          <cell r="G1433">
            <v>7504.26</v>
          </cell>
          <cell r="H1433">
            <v>7504.26</v>
          </cell>
          <cell r="I1433" t="str">
            <v>C</v>
          </cell>
        </row>
        <row r="1434">
          <cell r="A1434">
            <v>55298</v>
          </cell>
          <cell r="B1434" t="str">
            <v>2.1.04.010.1666</v>
          </cell>
          <cell r="C1434" t="str">
            <v xml:space="preserve">TONHAO TINTAS TAUBATE </v>
          </cell>
          <cell r="D1434">
            <v>0</v>
          </cell>
          <cell r="E1434">
            <v>0</v>
          </cell>
          <cell r="F1434">
            <v>1000</v>
          </cell>
          <cell r="G1434">
            <v>1000</v>
          </cell>
          <cell r="H1434">
            <v>1000</v>
          </cell>
          <cell r="I1434" t="str">
            <v>C</v>
          </cell>
        </row>
        <row r="1435">
          <cell r="A1435">
            <v>55301</v>
          </cell>
          <cell r="B1435" t="str">
            <v>2.1.04.010.1667</v>
          </cell>
          <cell r="C1435" t="str">
            <v xml:space="preserve">EYETEC EQUIP. OFTAL IND. </v>
          </cell>
          <cell r="D1435">
            <v>0</v>
          </cell>
          <cell r="E1435">
            <v>0</v>
          </cell>
          <cell r="F1435">
            <v>4200</v>
          </cell>
          <cell r="G1435">
            <v>4200</v>
          </cell>
          <cell r="H1435">
            <v>4200</v>
          </cell>
          <cell r="I1435" t="str">
            <v>C</v>
          </cell>
        </row>
        <row r="1436">
          <cell r="A1436">
            <v>55302</v>
          </cell>
          <cell r="B1436" t="str">
            <v>2.1.04.010.1668</v>
          </cell>
          <cell r="C1436" t="str">
            <v>MAZER DISTRIBUIDORA LTDA</v>
          </cell>
          <cell r="D1436">
            <v>0</v>
          </cell>
          <cell r="E1436">
            <v>0</v>
          </cell>
          <cell r="F1436">
            <v>7120</v>
          </cell>
          <cell r="G1436">
            <v>7120</v>
          </cell>
          <cell r="H1436">
            <v>7120</v>
          </cell>
          <cell r="I1436" t="str">
            <v>C</v>
          </cell>
        </row>
        <row r="1437">
          <cell r="A1437">
            <v>55305</v>
          </cell>
          <cell r="B1437" t="str">
            <v>2.1.04.010.1670</v>
          </cell>
          <cell r="C1437" t="str">
            <v xml:space="preserve">JEORGIANE FERNANDES </v>
          </cell>
          <cell r="D1437">
            <v>0</v>
          </cell>
          <cell r="E1437">
            <v>0</v>
          </cell>
          <cell r="F1437">
            <v>140</v>
          </cell>
          <cell r="G1437">
            <v>140</v>
          </cell>
          <cell r="H1437">
            <v>140</v>
          </cell>
          <cell r="I1437" t="str">
            <v>C</v>
          </cell>
        </row>
        <row r="1438">
          <cell r="A1438">
            <v>55306</v>
          </cell>
          <cell r="B1438" t="str">
            <v>2.1.04.010.1671</v>
          </cell>
          <cell r="C1438" t="str">
            <v xml:space="preserve">COMERCIAL MARCHEZINI </v>
          </cell>
          <cell r="D1438">
            <v>0</v>
          </cell>
          <cell r="E1438">
            <v>0</v>
          </cell>
          <cell r="F1438">
            <v>607</v>
          </cell>
          <cell r="G1438">
            <v>607</v>
          </cell>
          <cell r="H1438">
            <v>607</v>
          </cell>
          <cell r="I1438" t="str">
            <v>C</v>
          </cell>
        </row>
        <row r="1439">
          <cell r="A1439">
            <v>55307</v>
          </cell>
          <cell r="B1439" t="str">
            <v>2.1.04.010.1672</v>
          </cell>
          <cell r="C1439" t="str">
            <v>COMERCIAL ELETRICA P.J.</v>
          </cell>
          <cell r="D1439">
            <v>0</v>
          </cell>
          <cell r="E1439">
            <v>0</v>
          </cell>
          <cell r="F1439">
            <v>402.75</v>
          </cell>
          <cell r="G1439">
            <v>402.75</v>
          </cell>
          <cell r="H1439">
            <v>402.75</v>
          </cell>
          <cell r="I1439" t="str">
            <v>C</v>
          </cell>
        </row>
        <row r="1440">
          <cell r="A1440">
            <v>55308</v>
          </cell>
          <cell r="B1440" t="str">
            <v>2.1.04.010.1673</v>
          </cell>
          <cell r="C1440" t="str">
            <v xml:space="preserve">DOMICIANOS SOLUCOES DE </v>
          </cell>
          <cell r="D1440">
            <v>0</v>
          </cell>
          <cell r="E1440">
            <v>0</v>
          </cell>
          <cell r="F1440">
            <v>1380</v>
          </cell>
          <cell r="G1440">
            <v>1380</v>
          </cell>
          <cell r="H1440">
            <v>1380</v>
          </cell>
          <cell r="I1440" t="str">
            <v>C</v>
          </cell>
        </row>
        <row r="1441">
          <cell r="A1441">
            <v>53064</v>
          </cell>
          <cell r="B1441" t="str">
            <v>2.1.04.020</v>
          </cell>
          <cell r="C1441" t="str">
            <v>FORNECEDOR DE SERVICOS</v>
          </cell>
          <cell r="D1441">
            <v>1841570.81</v>
          </cell>
          <cell r="E1441">
            <v>2870083.69</v>
          </cell>
          <cell r="F1441">
            <v>2796550.51</v>
          </cell>
          <cell r="G1441">
            <v>-73533.179999999993</v>
          </cell>
          <cell r="H1441">
            <v>1768037.63</v>
          </cell>
          <cell r="I1441" t="str">
            <v>C</v>
          </cell>
        </row>
        <row r="1442">
          <cell r="A1442">
            <v>36631</v>
          </cell>
          <cell r="B1442" t="str">
            <v>2.1.04.020.0005</v>
          </cell>
          <cell r="C1442" t="str">
            <v xml:space="preserve">ABC TRANSPORTES </v>
          </cell>
          <cell r="D1442">
            <v>0</v>
          </cell>
          <cell r="E1442">
            <v>790.35</v>
          </cell>
          <cell r="F1442">
            <v>790.35</v>
          </cell>
          <cell r="G1442">
            <v>0</v>
          </cell>
          <cell r="H1442">
            <v>0</v>
          </cell>
          <cell r="I1442" t="str">
            <v>C</v>
          </cell>
        </row>
        <row r="1443">
          <cell r="A1443">
            <v>52254</v>
          </cell>
          <cell r="B1443" t="str">
            <v>2.1.04.020.0010</v>
          </cell>
          <cell r="C1443" t="str">
            <v xml:space="preserve">ADYEN SERVICOS DE </v>
          </cell>
          <cell r="D1443">
            <v>0</v>
          </cell>
          <cell r="E1443">
            <v>3200</v>
          </cell>
          <cell r="F1443">
            <v>3900</v>
          </cell>
          <cell r="G1443">
            <v>700</v>
          </cell>
          <cell r="H1443">
            <v>700</v>
          </cell>
          <cell r="I1443" t="str">
            <v>C</v>
          </cell>
        </row>
        <row r="1444">
          <cell r="A1444">
            <v>1911</v>
          </cell>
          <cell r="B1444" t="str">
            <v>2.1.04.020.0012</v>
          </cell>
          <cell r="C1444" t="str">
            <v xml:space="preserve">AGENCIA NACIONAL SAUDE </v>
          </cell>
          <cell r="D1444">
            <v>0</v>
          </cell>
          <cell r="E1444">
            <v>8241.2099999999991</v>
          </cell>
          <cell r="F1444">
            <v>8241.2099999999991</v>
          </cell>
          <cell r="G1444">
            <v>0</v>
          </cell>
          <cell r="H1444">
            <v>0</v>
          </cell>
          <cell r="I1444" t="str">
            <v>C</v>
          </cell>
        </row>
        <row r="1445">
          <cell r="A1445">
            <v>51172</v>
          </cell>
          <cell r="B1445" t="str">
            <v>2.1.04.020.0015</v>
          </cell>
          <cell r="C1445" t="str">
            <v>ALICE TORRES DELGADO - ME</v>
          </cell>
          <cell r="D1445">
            <v>0</v>
          </cell>
          <cell r="E1445">
            <v>35400.050000000003</v>
          </cell>
          <cell r="F1445">
            <v>35400.050000000003</v>
          </cell>
          <cell r="G1445">
            <v>0</v>
          </cell>
          <cell r="H1445">
            <v>0</v>
          </cell>
          <cell r="I1445" t="str">
            <v>C</v>
          </cell>
        </row>
        <row r="1446">
          <cell r="A1446">
            <v>12459</v>
          </cell>
          <cell r="B1446" t="str">
            <v>2.1.04.020.0019</v>
          </cell>
          <cell r="C1446" t="str">
            <v xml:space="preserve">AMPRO - LABORATORIO E </v>
          </cell>
          <cell r="D1446">
            <v>3363.51</v>
          </cell>
          <cell r="E1446">
            <v>3363.51</v>
          </cell>
          <cell r="F1446">
            <v>2595</v>
          </cell>
          <cell r="G1446">
            <v>-768.51</v>
          </cell>
          <cell r="H1446">
            <v>2595</v>
          </cell>
          <cell r="I1446" t="str">
            <v>C</v>
          </cell>
        </row>
        <row r="1447">
          <cell r="A1447">
            <v>51727</v>
          </cell>
          <cell r="B1447" t="str">
            <v>2.1.04.020.0020</v>
          </cell>
          <cell r="C1447" t="str">
            <v xml:space="preserve">ANA ROSA SORRENTI SETTI E </v>
          </cell>
          <cell r="D1447">
            <v>0</v>
          </cell>
          <cell r="E1447">
            <v>354.88</v>
          </cell>
          <cell r="F1447">
            <v>670.78</v>
          </cell>
          <cell r="G1447">
            <v>315.89999999999998</v>
          </cell>
          <cell r="H1447">
            <v>315.89999999999998</v>
          </cell>
          <cell r="I1447" t="str">
            <v>C</v>
          </cell>
        </row>
        <row r="1448">
          <cell r="A1448">
            <v>52336</v>
          </cell>
          <cell r="B1448" t="str">
            <v>2.1.04.020.0021</v>
          </cell>
          <cell r="C1448" t="str">
            <v xml:space="preserve">ANDRE FREIRE ASSESSORIA E </v>
          </cell>
          <cell r="D1448">
            <v>23615.33</v>
          </cell>
          <cell r="E1448">
            <v>16865.25</v>
          </cell>
          <cell r="F1448">
            <v>13500.16</v>
          </cell>
          <cell r="G1448">
            <v>-3365.09</v>
          </cell>
          <cell r="H1448">
            <v>20250.240000000002</v>
          </cell>
          <cell r="I1448" t="str">
            <v>C</v>
          </cell>
        </row>
        <row r="1449">
          <cell r="A1449">
            <v>2429</v>
          </cell>
          <cell r="B1449" t="str">
            <v>2.1.04.020.0022</v>
          </cell>
          <cell r="C1449" t="str">
            <v xml:space="preserve">ANDREI PUBLIC.MED.FARM.E </v>
          </cell>
          <cell r="D1449">
            <v>1680</v>
          </cell>
          <cell r="E1449">
            <v>1680</v>
          </cell>
          <cell r="F1449">
            <v>1680</v>
          </cell>
          <cell r="G1449">
            <v>0</v>
          </cell>
          <cell r="H1449">
            <v>1680</v>
          </cell>
          <cell r="I1449" t="str">
            <v>C</v>
          </cell>
        </row>
        <row r="1450">
          <cell r="A1450">
            <v>51283</v>
          </cell>
          <cell r="B1450" t="str">
            <v>2.1.04.020.0025</v>
          </cell>
          <cell r="C1450" t="str">
            <v xml:space="preserve">ASSOCIACAO SANTA CASA </v>
          </cell>
          <cell r="D1450">
            <v>0</v>
          </cell>
          <cell r="E1450">
            <v>93086.92</v>
          </cell>
          <cell r="F1450">
            <v>93086.92</v>
          </cell>
          <cell r="G1450">
            <v>0</v>
          </cell>
          <cell r="H1450">
            <v>0</v>
          </cell>
          <cell r="I1450" t="str">
            <v>C</v>
          </cell>
        </row>
        <row r="1451">
          <cell r="A1451">
            <v>52825</v>
          </cell>
          <cell r="B1451" t="str">
            <v>2.1.04.020.0029</v>
          </cell>
          <cell r="C1451" t="str">
            <v xml:space="preserve">AVATAR SOLUCOES EM </v>
          </cell>
          <cell r="D1451">
            <v>0</v>
          </cell>
          <cell r="E1451">
            <v>2533.9499999999998</v>
          </cell>
          <cell r="F1451">
            <v>2533.9499999999998</v>
          </cell>
          <cell r="G1451">
            <v>0</v>
          </cell>
          <cell r="H1451">
            <v>0</v>
          </cell>
          <cell r="I1451" t="str">
            <v>C</v>
          </cell>
        </row>
        <row r="1452">
          <cell r="A1452">
            <v>52123</v>
          </cell>
          <cell r="B1452" t="str">
            <v>2.1.04.020.0038</v>
          </cell>
          <cell r="C1452" t="str">
            <v xml:space="preserve">CALL MEDICS SUPRIM MED </v>
          </cell>
          <cell r="D1452">
            <v>32901.599999999999</v>
          </cell>
          <cell r="E1452">
            <v>23316</v>
          </cell>
          <cell r="F1452">
            <v>2796</v>
          </cell>
          <cell r="G1452">
            <v>-20520</v>
          </cell>
          <cell r="H1452">
            <v>12381.6</v>
          </cell>
          <cell r="I1452" t="str">
            <v>C</v>
          </cell>
        </row>
        <row r="1453">
          <cell r="A1453">
            <v>38750</v>
          </cell>
          <cell r="B1453" t="str">
            <v>2.1.04.020.0039</v>
          </cell>
          <cell r="C1453" t="str">
            <v xml:space="preserve">CENTRO DE INTEGRACAO </v>
          </cell>
          <cell r="D1453">
            <v>0</v>
          </cell>
          <cell r="E1453">
            <v>12488.72</v>
          </cell>
          <cell r="F1453">
            <v>12488.72</v>
          </cell>
          <cell r="G1453">
            <v>0</v>
          </cell>
          <cell r="H1453">
            <v>0</v>
          </cell>
          <cell r="I1453" t="str">
            <v>C</v>
          </cell>
        </row>
        <row r="1454">
          <cell r="A1454">
            <v>52213</v>
          </cell>
          <cell r="B1454" t="str">
            <v>2.1.04.020.0041</v>
          </cell>
          <cell r="C1454" t="str">
            <v xml:space="preserve">CERTISIGN CERTIFICADORA </v>
          </cell>
          <cell r="D1454">
            <v>0</v>
          </cell>
          <cell r="E1454">
            <v>249.9</v>
          </cell>
          <cell r="F1454">
            <v>499.8</v>
          </cell>
          <cell r="G1454">
            <v>249.9</v>
          </cell>
          <cell r="H1454">
            <v>249.9</v>
          </cell>
          <cell r="I1454" t="str">
            <v>C</v>
          </cell>
        </row>
        <row r="1455">
          <cell r="A1455">
            <v>34106</v>
          </cell>
          <cell r="B1455" t="str">
            <v>2.1.04.020.0042</v>
          </cell>
          <cell r="C1455" t="str">
            <v xml:space="preserve">SEM PARAR INSTITUICAO DE </v>
          </cell>
          <cell r="D1455">
            <v>0</v>
          </cell>
          <cell r="E1455">
            <v>747.75</v>
          </cell>
          <cell r="F1455">
            <v>747.75</v>
          </cell>
          <cell r="G1455">
            <v>0</v>
          </cell>
          <cell r="H1455">
            <v>0</v>
          </cell>
          <cell r="I1455" t="str">
            <v>C</v>
          </cell>
        </row>
        <row r="1456">
          <cell r="A1456">
            <v>36888</v>
          </cell>
          <cell r="B1456" t="str">
            <v>2.1.04.020.0043</v>
          </cell>
          <cell r="C1456" t="str">
            <v xml:space="preserve">CHAER DIB E CELESTINO MED </v>
          </cell>
          <cell r="D1456">
            <v>0</v>
          </cell>
          <cell r="E1456">
            <v>0</v>
          </cell>
          <cell r="F1456">
            <v>369.4</v>
          </cell>
          <cell r="G1456">
            <v>369.4</v>
          </cell>
          <cell r="H1456">
            <v>369.4</v>
          </cell>
          <cell r="I1456" t="str">
            <v>C</v>
          </cell>
        </row>
        <row r="1457">
          <cell r="A1457">
            <v>37679</v>
          </cell>
          <cell r="B1457" t="str">
            <v>2.1.04.020.0046</v>
          </cell>
          <cell r="C1457" t="str">
            <v xml:space="preserve">COMPANHIA BRAS SOLUCOES </v>
          </cell>
          <cell r="D1457">
            <v>418785.42</v>
          </cell>
          <cell r="E1457">
            <v>376042.48</v>
          </cell>
          <cell r="F1457">
            <v>397389.97</v>
          </cell>
          <cell r="G1457">
            <v>21347.49</v>
          </cell>
          <cell r="H1457">
            <v>440132.91</v>
          </cell>
          <cell r="I1457" t="str">
            <v>C</v>
          </cell>
        </row>
        <row r="1458">
          <cell r="A1458">
            <v>51154</v>
          </cell>
          <cell r="B1458" t="str">
            <v>2.1.04.020.0048</v>
          </cell>
          <cell r="C1458" t="str">
            <v xml:space="preserve">CONFEDERACAO DAS SANTAS </v>
          </cell>
          <cell r="D1458">
            <v>1696</v>
          </cell>
          <cell r="E1458">
            <v>1696</v>
          </cell>
          <cell r="F1458">
            <v>1696</v>
          </cell>
          <cell r="G1458">
            <v>0</v>
          </cell>
          <cell r="H1458">
            <v>1696</v>
          </cell>
          <cell r="I1458" t="str">
            <v>C</v>
          </cell>
        </row>
        <row r="1459">
          <cell r="A1459">
            <v>38080</v>
          </cell>
          <cell r="B1459" t="str">
            <v>2.1.04.020.0050</v>
          </cell>
          <cell r="C1459" t="str">
            <v xml:space="preserve">CONSELHO REGIONAL DE </v>
          </cell>
          <cell r="D1459">
            <v>0</v>
          </cell>
          <cell r="E1459">
            <v>941.88</v>
          </cell>
          <cell r="F1459">
            <v>941.88</v>
          </cell>
          <cell r="G1459">
            <v>0</v>
          </cell>
          <cell r="H1459">
            <v>0</v>
          </cell>
          <cell r="I1459" t="str">
            <v>C</v>
          </cell>
        </row>
        <row r="1460">
          <cell r="A1460">
            <v>3756</v>
          </cell>
          <cell r="B1460" t="str">
            <v>2.1.04.020.0052</v>
          </cell>
          <cell r="C1460" t="str">
            <v xml:space="preserve">COPIADORA COPCENTRO </v>
          </cell>
          <cell r="D1460">
            <v>1535.31</v>
          </cell>
          <cell r="E1460">
            <v>3435.31</v>
          </cell>
          <cell r="F1460">
            <v>11566</v>
          </cell>
          <cell r="G1460">
            <v>8130.69</v>
          </cell>
          <cell r="H1460">
            <v>9666</v>
          </cell>
          <cell r="I1460" t="str">
            <v>C</v>
          </cell>
        </row>
        <row r="1461">
          <cell r="A1461">
            <v>2701</v>
          </cell>
          <cell r="B1461" t="str">
            <v>2.1.04.020.0054</v>
          </cell>
          <cell r="C1461" t="str">
            <v>DISTRIFILM COMERCIAL LTDA.</v>
          </cell>
          <cell r="D1461">
            <v>2931.65</v>
          </cell>
          <cell r="E1461">
            <v>2931.65</v>
          </cell>
          <cell r="F1461">
            <v>2721.47</v>
          </cell>
          <cell r="G1461">
            <v>-210.18</v>
          </cell>
          <cell r="H1461">
            <v>2721.47</v>
          </cell>
          <cell r="I1461" t="str">
            <v>C</v>
          </cell>
        </row>
        <row r="1462">
          <cell r="A1462">
            <v>3777</v>
          </cell>
          <cell r="B1462" t="str">
            <v>2.1.04.020.0055</v>
          </cell>
          <cell r="C1462" t="str">
            <v>DNMV SISTEMAS LTDA</v>
          </cell>
          <cell r="D1462">
            <v>36413.440000000002</v>
          </cell>
          <cell r="E1462">
            <v>38197.86</v>
          </cell>
          <cell r="F1462">
            <v>31756.400000000001</v>
          </cell>
          <cell r="G1462">
            <v>-6441.46</v>
          </cell>
          <cell r="H1462">
            <v>29971.98</v>
          </cell>
          <cell r="I1462" t="str">
            <v>C</v>
          </cell>
        </row>
        <row r="1463">
          <cell r="A1463">
            <v>2711</v>
          </cell>
          <cell r="B1463" t="str">
            <v>2.1.04.020.0056</v>
          </cell>
          <cell r="C1463" t="str">
            <v xml:space="preserve">DRAGER INDUSTRIA E </v>
          </cell>
          <cell r="D1463">
            <v>5534.1</v>
          </cell>
          <cell r="E1463">
            <v>7948.23</v>
          </cell>
          <cell r="F1463">
            <v>7948.23</v>
          </cell>
          <cell r="G1463">
            <v>0</v>
          </cell>
          <cell r="H1463">
            <v>5534.1</v>
          </cell>
          <cell r="I1463" t="str">
            <v>C</v>
          </cell>
        </row>
        <row r="1464">
          <cell r="A1464">
            <v>3800</v>
          </cell>
          <cell r="B1464" t="str">
            <v>2.1.04.020.0059</v>
          </cell>
          <cell r="C1464" t="str">
            <v xml:space="preserve">EMPR.DE ONIBUS PASSARO </v>
          </cell>
          <cell r="D1464">
            <v>0</v>
          </cell>
          <cell r="E1464">
            <v>8581.76</v>
          </cell>
          <cell r="F1464">
            <v>8581.76</v>
          </cell>
          <cell r="G1464">
            <v>0</v>
          </cell>
          <cell r="H1464">
            <v>0</v>
          </cell>
          <cell r="I1464" t="str">
            <v>C</v>
          </cell>
        </row>
        <row r="1465">
          <cell r="A1465">
            <v>3801</v>
          </cell>
          <cell r="B1465" t="str">
            <v>2.1.04.020.0060</v>
          </cell>
          <cell r="C1465" t="str">
            <v xml:space="preserve">EMPR.ENG.E CONT. BRASIL </v>
          </cell>
          <cell r="D1465">
            <v>0</v>
          </cell>
          <cell r="E1465">
            <v>29291</v>
          </cell>
          <cell r="F1465">
            <v>29291</v>
          </cell>
          <cell r="G1465">
            <v>0</v>
          </cell>
          <cell r="H1465">
            <v>0</v>
          </cell>
          <cell r="I1465" t="str">
            <v>C</v>
          </cell>
        </row>
        <row r="1466">
          <cell r="A1466">
            <v>38047</v>
          </cell>
          <cell r="B1466" t="str">
            <v>2.1.04.020.0061</v>
          </cell>
          <cell r="C1466" t="str">
            <v xml:space="preserve">EMPRESA BRASILEIRA DE </v>
          </cell>
          <cell r="D1466">
            <v>0</v>
          </cell>
          <cell r="E1466">
            <v>2000</v>
          </cell>
          <cell r="F1466">
            <v>2000</v>
          </cell>
          <cell r="G1466">
            <v>0</v>
          </cell>
          <cell r="H1466">
            <v>0</v>
          </cell>
          <cell r="I1466" t="str">
            <v>C</v>
          </cell>
        </row>
        <row r="1467">
          <cell r="A1467">
            <v>51223</v>
          </cell>
          <cell r="B1467" t="str">
            <v>2.1.04.020.0063</v>
          </cell>
          <cell r="C1467" t="str">
            <v xml:space="preserve">ESTACIONAMENTO RICIERI </v>
          </cell>
          <cell r="D1467">
            <v>1330</v>
          </cell>
          <cell r="E1467">
            <v>1330</v>
          </cell>
          <cell r="F1467">
            <v>1330</v>
          </cell>
          <cell r="G1467">
            <v>0</v>
          </cell>
          <cell r="H1467">
            <v>1330</v>
          </cell>
          <cell r="I1467" t="str">
            <v>C</v>
          </cell>
        </row>
        <row r="1468">
          <cell r="A1468">
            <v>38079</v>
          </cell>
          <cell r="B1468" t="str">
            <v>2.1.04.020.0065</v>
          </cell>
          <cell r="C1468" t="str">
            <v xml:space="preserve">FEDERACAO DAS STAS CASAS </v>
          </cell>
          <cell r="D1468">
            <v>1581.94</v>
          </cell>
          <cell r="E1468">
            <v>5916.94</v>
          </cell>
          <cell r="F1468">
            <v>11699.02</v>
          </cell>
          <cell r="G1468">
            <v>5782.08</v>
          </cell>
          <cell r="H1468">
            <v>7364.02</v>
          </cell>
          <cell r="I1468" t="str">
            <v>C</v>
          </cell>
        </row>
        <row r="1469">
          <cell r="A1469">
            <v>52226</v>
          </cell>
          <cell r="B1469" t="str">
            <v>2.1.04.020.0066</v>
          </cell>
          <cell r="C1469" t="str">
            <v xml:space="preserve">FISIREHO BRASIL SERVICOS </v>
          </cell>
          <cell r="D1469">
            <v>0</v>
          </cell>
          <cell r="E1469">
            <v>350</v>
          </cell>
          <cell r="F1469">
            <v>350</v>
          </cell>
          <cell r="G1469">
            <v>0</v>
          </cell>
          <cell r="H1469">
            <v>0</v>
          </cell>
          <cell r="I1469" t="str">
            <v>C</v>
          </cell>
        </row>
        <row r="1470">
          <cell r="A1470">
            <v>12458</v>
          </cell>
          <cell r="B1470" t="str">
            <v>2.1.04.020.0070</v>
          </cell>
          <cell r="C1470" t="str">
            <v>FORNECEDORES DIVERSOS</v>
          </cell>
          <cell r="D1470">
            <v>63114.38</v>
          </cell>
          <cell r="E1470">
            <v>21095.69</v>
          </cell>
          <cell r="F1470">
            <v>10479.11</v>
          </cell>
          <cell r="G1470">
            <v>-10616.58</v>
          </cell>
          <cell r="H1470">
            <v>52497.8</v>
          </cell>
          <cell r="I1470" t="str">
            <v>C</v>
          </cell>
        </row>
        <row r="1471">
          <cell r="A1471">
            <v>36709</v>
          </cell>
          <cell r="B1471" t="str">
            <v>2.1.04.020.0076</v>
          </cell>
          <cell r="C1471" t="str">
            <v xml:space="preserve">GRAFICA COPCENTRO LTDA - </v>
          </cell>
          <cell r="D1471">
            <v>9805.15</v>
          </cell>
          <cell r="E1471">
            <v>7568.2</v>
          </cell>
          <cell r="F1471">
            <v>9890</v>
          </cell>
          <cell r="G1471">
            <v>2321.8000000000002</v>
          </cell>
          <cell r="H1471">
            <v>12126.95</v>
          </cell>
          <cell r="I1471" t="str">
            <v>C</v>
          </cell>
        </row>
        <row r="1472">
          <cell r="A1472">
            <v>3875</v>
          </cell>
          <cell r="B1472" t="str">
            <v>2.1.04.020.0090</v>
          </cell>
          <cell r="C1472" t="str">
            <v xml:space="preserve">INSTITUTO QUALISA DE </v>
          </cell>
          <cell r="D1472">
            <v>7948.48</v>
          </cell>
          <cell r="E1472">
            <v>10966.96</v>
          </cell>
          <cell r="F1472">
            <v>3018.48</v>
          </cell>
          <cell r="G1472">
            <v>-7948.48</v>
          </cell>
          <cell r="H1472">
            <v>0</v>
          </cell>
          <cell r="I1472" t="str">
            <v>C</v>
          </cell>
        </row>
        <row r="1473">
          <cell r="A1473">
            <v>33574</v>
          </cell>
          <cell r="B1473" t="str">
            <v>2.1.04.020.0091</v>
          </cell>
          <cell r="C1473" t="str">
            <v xml:space="preserve">IPMMI OBRA DE ACAO SOCIAL </v>
          </cell>
          <cell r="D1473">
            <v>27467.16</v>
          </cell>
          <cell r="E1473">
            <v>27467.16</v>
          </cell>
          <cell r="F1473">
            <v>0</v>
          </cell>
          <cell r="G1473">
            <v>-27467.16</v>
          </cell>
          <cell r="H1473">
            <v>0</v>
          </cell>
          <cell r="I1473" t="str">
            <v>C</v>
          </cell>
        </row>
        <row r="1474">
          <cell r="A1474">
            <v>2959</v>
          </cell>
          <cell r="B1474" t="str">
            <v>2.1.04.020.0094</v>
          </cell>
          <cell r="C1474" t="str">
            <v xml:space="preserve">JACAREI TRANSPORTE </v>
          </cell>
          <cell r="D1474">
            <v>0</v>
          </cell>
          <cell r="E1474">
            <v>10588.03</v>
          </cell>
          <cell r="F1474">
            <v>10588.03</v>
          </cell>
          <cell r="G1474">
            <v>0</v>
          </cell>
          <cell r="H1474">
            <v>0</v>
          </cell>
          <cell r="I1474" t="str">
            <v>C</v>
          </cell>
        </row>
        <row r="1475">
          <cell r="A1475">
            <v>34177</v>
          </cell>
          <cell r="B1475" t="str">
            <v>2.1.04.020.0104</v>
          </cell>
          <cell r="C1475" t="str">
            <v xml:space="preserve">LOCAWEB SERVICOS DE </v>
          </cell>
          <cell r="D1475">
            <v>1252.6099999999999</v>
          </cell>
          <cell r="E1475">
            <v>1252.6099999999999</v>
          </cell>
          <cell r="F1475">
            <v>1252.6099999999999</v>
          </cell>
          <cell r="G1475">
            <v>0</v>
          </cell>
          <cell r="H1475">
            <v>1252.6099999999999</v>
          </cell>
          <cell r="I1475" t="str">
            <v>C</v>
          </cell>
        </row>
        <row r="1476">
          <cell r="A1476">
            <v>51756</v>
          </cell>
          <cell r="B1476" t="str">
            <v>2.1.04.020.0109</v>
          </cell>
          <cell r="C1476" t="str">
            <v xml:space="preserve">NEUROVITTA CLIN NEUROL </v>
          </cell>
          <cell r="D1476">
            <v>541.42999999999995</v>
          </cell>
          <cell r="E1476">
            <v>541.42999999999995</v>
          </cell>
          <cell r="F1476">
            <v>477.62</v>
          </cell>
          <cell r="G1476">
            <v>-63.81</v>
          </cell>
          <cell r="H1476">
            <v>477.62</v>
          </cell>
          <cell r="I1476" t="str">
            <v>C</v>
          </cell>
        </row>
        <row r="1477">
          <cell r="A1477">
            <v>51122</v>
          </cell>
          <cell r="B1477" t="str">
            <v>2.1.04.020.0110</v>
          </cell>
          <cell r="C1477" t="str">
            <v>NEWTON OG PINOTTI - ME</v>
          </cell>
          <cell r="D1477">
            <v>0</v>
          </cell>
          <cell r="E1477">
            <v>29920</v>
          </cell>
          <cell r="F1477">
            <v>29920</v>
          </cell>
          <cell r="G1477">
            <v>0</v>
          </cell>
          <cell r="H1477">
            <v>0</v>
          </cell>
          <cell r="I1477" t="str">
            <v>C</v>
          </cell>
        </row>
        <row r="1478">
          <cell r="A1478">
            <v>52925</v>
          </cell>
          <cell r="B1478" t="str">
            <v>2.1.04.020.0115</v>
          </cell>
          <cell r="C1478" t="str">
            <v>P.D.F EMPREITEIRA EIRELLI</v>
          </cell>
          <cell r="D1478">
            <v>0</v>
          </cell>
          <cell r="E1478">
            <v>4672.8999999999996</v>
          </cell>
          <cell r="F1478">
            <v>4672.8999999999996</v>
          </cell>
          <cell r="G1478">
            <v>0</v>
          </cell>
          <cell r="H1478">
            <v>0</v>
          </cell>
          <cell r="I1478" t="str">
            <v>C</v>
          </cell>
        </row>
        <row r="1479">
          <cell r="A1479">
            <v>4048</v>
          </cell>
          <cell r="B1479" t="str">
            <v>2.1.04.020.0116</v>
          </cell>
          <cell r="C1479" t="str">
            <v>PLANISA PLANEJ.ORGAN.</v>
          </cell>
          <cell r="D1479">
            <v>0</v>
          </cell>
          <cell r="E1479">
            <v>4753.03</v>
          </cell>
          <cell r="F1479">
            <v>4753.03</v>
          </cell>
          <cell r="G1479">
            <v>0</v>
          </cell>
          <cell r="H1479">
            <v>0</v>
          </cell>
          <cell r="I1479" t="str">
            <v>C</v>
          </cell>
        </row>
        <row r="1480">
          <cell r="A1480">
            <v>50886</v>
          </cell>
          <cell r="B1480" t="str">
            <v>2.1.04.020.0119</v>
          </cell>
          <cell r="C1480" t="str">
            <v xml:space="preserve">PREFEITURA  DE S PAULO - </v>
          </cell>
          <cell r="D1480">
            <v>0</v>
          </cell>
          <cell r="E1480">
            <v>130.16</v>
          </cell>
          <cell r="F1480">
            <v>625.26</v>
          </cell>
          <cell r="G1480">
            <v>495.1</v>
          </cell>
          <cell r="H1480">
            <v>495.1</v>
          </cell>
          <cell r="I1480" t="str">
            <v>C</v>
          </cell>
        </row>
        <row r="1481">
          <cell r="A1481">
            <v>53021</v>
          </cell>
          <cell r="B1481" t="str">
            <v>2.1.04.020.0121</v>
          </cell>
          <cell r="C1481" t="str">
            <v xml:space="preserve">PRINT MAILING COM SERVIC E </v>
          </cell>
          <cell r="D1481">
            <v>1856.41</v>
          </cell>
          <cell r="E1481">
            <v>1856.41</v>
          </cell>
          <cell r="F1481">
            <v>1856.41</v>
          </cell>
          <cell r="G1481">
            <v>0</v>
          </cell>
          <cell r="H1481">
            <v>1856.41</v>
          </cell>
          <cell r="I1481" t="str">
            <v>C</v>
          </cell>
        </row>
        <row r="1482">
          <cell r="A1482">
            <v>52937</v>
          </cell>
          <cell r="B1482" t="str">
            <v>2.1.04.020.0135</v>
          </cell>
          <cell r="C1482" t="str">
            <v xml:space="preserve">SECRETARIA DO SUPERIOR </v>
          </cell>
          <cell r="D1482">
            <v>0</v>
          </cell>
          <cell r="E1482">
            <v>223.3</v>
          </cell>
          <cell r="F1482">
            <v>223.3</v>
          </cell>
          <cell r="G1482">
            <v>0</v>
          </cell>
          <cell r="H1482">
            <v>0</v>
          </cell>
          <cell r="I1482" t="str">
            <v>C</v>
          </cell>
        </row>
        <row r="1483">
          <cell r="A1483">
            <v>4118</v>
          </cell>
          <cell r="B1483" t="str">
            <v>2.1.04.020.0138</v>
          </cell>
          <cell r="C1483" t="str">
            <v>SERASA S.A.</v>
          </cell>
          <cell r="D1483">
            <v>409.87</v>
          </cell>
          <cell r="E1483">
            <v>1334.47</v>
          </cell>
          <cell r="F1483">
            <v>1334.47</v>
          </cell>
          <cell r="G1483">
            <v>0</v>
          </cell>
          <cell r="H1483">
            <v>409.87</v>
          </cell>
          <cell r="I1483" t="str">
            <v>C</v>
          </cell>
        </row>
        <row r="1484">
          <cell r="A1484">
            <v>51892</v>
          </cell>
          <cell r="B1484" t="str">
            <v>2.1.04.020.0139</v>
          </cell>
          <cell r="C1484" t="str">
            <v xml:space="preserve">SERVI MIL MANUT MONT </v>
          </cell>
          <cell r="D1484">
            <v>1908.33</v>
          </cell>
          <cell r="E1484">
            <v>1908.33</v>
          </cell>
          <cell r="F1484">
            <v>1908.33</v>
          </cell>
          <cell r="G1484">
            <v>0</v>
          </cell>
          <cell r="H1484">
            <v>1908.33</v>
          </cell>
          <cell r="I1484" t="str">
            <v>C</v>
          </cell>
        </row>
        <row r="1485">
          <cell r="A1485">
            <v>51385</v>
          </cell>
          <cell r="B1485" t="str">
            <v>2.1.04.020.0141</v>
          </cell>
          <cell r="C1485" t="str">
            <v>SERV-RAD LTDA - ME</v>
          </cell>
          <cell r="D1485">
            <v>2859.43</v>
          </cell>
          <cell r="E1485">
            <v>5718.86</v>
          </cell>
          <cell r="F1485">
            <v>2859.43</v>
          </cell>
          <cell r="G1485">
            <v>-2859.43</v>
          </cell>
          <cell r="H1485">
            <v>0</v>
          </cell>
          <cell r="I1485" t="str">
            <v>C</v>
          </cell>
        </row>
        <row r="1486">
          <cell r="A1486">
            <v>3425</v>
          </cell>
          <cell r="B1486" t="str">
            <v>2.1.04.020.0142</v>
          </cell>
          <cell r="C1486" t="str">
            <v xml:space="preserve">SGS AUDITORES </v>
          </cell>
          <cell r="D1486">
            <v>0</v>
          </cell>
          <cell r="E1486">
            <v>1313</v>
          </cell>
          <cell r="F1486">
            <v>1313</v>
          </cell>
          <cell r="G1486">
            <v>0</v>
          </cell>
          <cell r="H1486">
            <v>0</v>
          </cell>
          <cell r="I1486" t="str">
            <v>C</v>
          </cell>
        </row>
        <row r="1487">
          <cell r="A1487">
            <v>4140</v>
          </cell>
          <cell r="B1487" t="str">
            <v>2.1.04.020.0145</v>
          </cell>
          <cell r="C1487" t="str">
            <v xml:space="preserve">SOARES CARVALHO E OTANI </v>
          </cell>
          <cell r="D1487">
            <v>199.55</v>
          </cell>
          <cell r="E1487">
            <v>10992.3</v>
          </cell>
          <cell r="F1487">
            <v>10792.75</v>
          </cell>
          <cell r="G1487">
            <v>-199.55</v>
          </cell>
          <cell r="H1487">
            <v>0</v>
          </cell>
          <cell r="I1487" t="str">
            <v>C</v>
          </cell>
        </row>
        <row r="1488">
          <cell r="A1488">
            <v>33279</v>
          </cell>
          <cell r="B1488" t="str">
            <v>2.1.04.020.0149</v>
          </cell>
          <cell r="C1488" t="str">
            <v xml:space="preserve">SPEEDCAR CENTRO </v>
          </cell>
          <cell r="D1488">
            <v>11279.25</v>
          </cell>
          <cell r="E1488">
            <v>4276.75</v>
          </cell>
          <cell r="F1488">
            <v>3862</v>
          </cell>
          <cell r="G1488">
            <v>-414.75</v>
          </cell>
          <cell r="H1488">
            <v>10864.5</v>
          </cell>
          <cell r="I1488" t="str">
            <v>C</v>
          </cell>
        </row>
        <row r="1489">
          <cell r="A1489">
            <v>50848</v>
          </cell>
          <cell r="B1489" t="str">
            <v>2.1.04.020.0150</v>
          </cell>
          <cell r="C1489" t="str">
            <v xml:space="preserve">SSA RH SOLUCOES TREIN </v>
          </cell>
          <cell r="D1489">
            <v>0</v>
          </cell>
          <cell r="E1489">
            <v>8164.95</v>
          </cell>
          <cell r="F1489">
            <v>8164.95</v>
          </cell>
          <cell r="G1489">
            <v>0</v>
          </cell>
          <cell r="H1489">
            <v>0</v>
          </cell>
          <cell r="I1489" t="str">
            <v>C</v>
          </cell>
        </row>
        <row r="1490">
          <cell r="A1490">
            <v>38715</v>
          </cell>
          <cell r="B1490" t="str">
            <v>2.1.04.020.0156</v>
          </cell>
          <cell r="C1490" t="str">
            <v xml:space="preserve">TERCEIRO TABELIAO DE </v>
          </cell>
          <cell r="D1490">
            <v>0</v>
          </cell>
          <cell r="E1490">
            <v>30.28</v>
          </cell>
          <cell r="F1490">
            <v>30.28</v>
          </cell>
          <cell r="G1490">
            <v>0</v>
          </cell>
          <cell r="H1490">
            <v>0</v>
          </cell>
          <cell r="I1490" t="str">
            <v>C</v>
          </cell>
        </row>
        <row r="1491">
          <cell r="A1491">
            <v>32601</v>
          </cell>
          <cell r="B1491" t="str">
            <v>2.1.04.020.0159</v>
          </cell>
          <cell r="C1491" t="str">
            <v xml:space="preserve">THYSSENKRUPP </v>
          </cell>
          <cell r="D1491">
            <v>5433.37</v>
          </cell>
          <cell r="E1491">
            <v>5667.31</v>
          </cell>
          <cell r="F1491">
            <v>5667.31</v>
          </cell>
          <cell r="G1491">
            <v>0</v>
          </cell>
          <cell r="H1491">
            <v>5433.37</v>
          </cell>
          <cell r="I1491" t="str">
            <v>C</v>
          </cell>
        </row>
        <row r="1492">
          <cell r="A1492">
            <v>36832</v>
          </cell>
          <cell r="B1492" t="str">
            <v>2.1.04.020.0161</v>
          </cell>
          <cell r="C1492" t="str">
            <v xml:space="preserve">TOOLMED MAN REPAR EQUIP </v>
          </cell>
          <cell r="D1492">
            <v>4246</v>
          </cell>
          <cell r="E1492">
            <v>1061.5</v>
          </cell>
          <cell r="F1492">
            <v>0</v>
          </cell>
          <cell r="G1492">
            <v>-1061.5</v>
          </cell>
          <cell r="H1492">
            <v>3184.5</v>
          </cell>
          <cell r="I1492" t="str">
            <v>C</v>
          </cell>
        </row>
        <row r="1493">
          <cell r="A1493">
            <v>52436</v>
          </cell>
          <cell r="B1493" t="str">
            <v>2.1.04.020.0164</v>
          </cell>
          <cell r="C1493" t="str">
            <v>TOTVS S A</v>
          </cell>
          <cell r="D1493">
            <v>0</v>
          </cell>
          <cell r="E1493">
            <v>14539.89</v>
          </cell>
          <cell r="F1493">
            <v>16336.02</v>
          </cell>
          <cell r="G1493">
            <v>1796.13</v>
          </cell>
          <cell r="H1493">
            <v>1796.13</v>
          </cell>
          <cell r="I1493" t="str">
            <v>C</v>
          </cell>
        </row>
        <row r="1494">
          <cell r="A1494">
            <v>51658</v>
          </cell>
          <cell r="B1494" t="str">
            <v>2.1.04.020.0167</v>
          </cell>
          <cell r="C1494" t="str">
            <v xml:space="preserve">ECKERT E ZIEGLER BRASIL </v>
          </cell>
          <cell r="D1494">
            <v>1707.28</v>
          </cell>
          <cell r="E1494">
            <v>2560.92</v>
          </cell>
          <cell r="F1494">
            <v>2414.1799999999998</v>
          </cell>
          <cell r="G1494">
            <v>-146.74</v>
          </cell>
          <cell r="H1494">
            <v>1560.54</v>
          </cell>
          <cell r="I1494" t="str">
            <v>C</v>
          </cell>
        </row>
        <row r="1495">
          <cell r="A1495">
            <v>36730</v>
          </cell>
          <cell r="B1495" t="str">
            <v>2.1.04.020.0169</v>
          </cell>
          <cell r="C1495" t="str">
            <v xml:space="preserve">UNIODONTO SJCAMPOS COOP </v>
          </cell>
          <cell r="D1495">
            <v>35078.400000000001</v>
          </cell>
          <cell r="E1495">
            <v>35078.400000000001</v>
          </cell>
          <cell r="F1495">
            <v>35182.800000000003</v>
          </cell>
          <cell r="G1495">
            <v>104.4</v>
          </cell>
          <cell r="H1495">
            <v>35182.800000000003</v>
          </cell>
          <cell r="I1495" t="str">
            <v>C</v>
          </cell>
        </row>
        <row r="1496">
          <cell r="A1496">
            <v>4192</v>
          </cell>
          <cell r="B1496" t="str">
            <v>2.1.04.020.0170</v>
          </cell>
          <cell r="C1496" t="str">
            <v>V. V. J. GRAFICA LTDA. - ME</v>
          </cell>
          <cell r="D1496">
            <v>44011.5</v>
          </cell>
          <cell r="E1496">
            <v>37855.699999999997</v>
          </cell>
          <cell r="F1496">
            <v>50368.2</v>
          </cell>
          <cell r="G1496">
            <v>12512.5</v>
          </cell>
          <cell r="H1496">
            <v>56524</v>
          </cell>
          <cell r="I1496" t="str">
            <v>C</v>
          </cell>
        </row>
        <row r="1497">
          <cell r="A1497">
            <v>3559</v>
          </cell>
          <cell r="B1497" t="str">
            <v>2.1.04.020.0173</v>
          </cell>
          <cell r="C1497" t="str">
            <v>VIACAO JACAREI LTDA.</v>
          </cell>
          <cell r="D1497">
            <v>0</v>
          </cell>
          <cell r="E1497">
            <v>23002.12</v>
          </cell>
          <cell r="F1497">
            <v>23002.12</v>
          </cell>
          <cell r="G1497">
            <v>0</v>
          </cell>
          <cell r="H1497">
            <v>0</v>
          </cell>
          <cell r="I1497" t="str">
            <v>C</v>
          </cell>
        </row>
        <row r="1498">
          <cell r="A1498">
            <v>51637</v>
          </cell>
          <cell r="B1498" t="str">
            <v>2.1.04.020.0174</v>
          </cell>
          <cell r="C1498" t="str">
            <v xml:space="preserve">VIEIRA DE MELO LOCACOES E </v>
          </cell>
          <cell r="D1498">
            <v>0</v>
          </cell>
          <cell r="E1498">
            <v>947.32</v>
          </cell>
          <cell r="F1498">
            <v>947.32</v>
          </cell>
          <cell r="G1498">
            <v>0</v>
          </cell>
          <cell r="H1498">
            <v>0</v>
          </cell>
          <cell r="I1498" t="str">
            <v>C</v>
          </cell>
        </row>
        <row r="1499">
          <cell r="A1499">
            <v>3577</v>
          </cell>
          <cell r="B1499" t="str">
            <v>2.1.04.020.0177</v>
          </cell>
          <cell r="C1499" t="str">
            <v xml:space="preserve">VIVA PRINTER SOLUCOES </v>
          </cell>
          <cell r="D1499">
            <v>38169.54</v>
          </cell>
          <cell r="E1499">
            <v>54004.25</v>
          </cell>
          <cell r="F1499">
            <v>47920.88</v>
          </cell>
          <cell r="G1499">
            <v>-6083.37</v>
          </cell>
          <cell r="H1499">
            <v>32086.17</v>
          </cell>
          <cell r="I1499" t="str">
            <v>C</v>
          </cell>
        </row>
        <row r="1500">
          <cell r="A1500">
            <v>53058</v>
          </cell>
          <cell r="B1500" t="str">
            <v>2.1.04.020.0185</v>
          </cell>
          <cell r="C1500" t="str">
            <v xml:space="preserve">ENGEL MARTINS SERVICOS </v>
          </cell>
          <cell r="D1500">
            <v>7682.35</v>
          </cell>
          <cell r="E1500">
            <v>16412.27</v>
          </cell>
          <cell r="F1500">
            <v>8729.92</v>
          </cell>
          <cell r="G1500">
            <v>-7682.35</v>
          </cell>
          <cell r="H1500">
            <v>0</v>
          </cell>
          <cell r="I1500" t="str">
            <v>C</v>
          </cell>
        </row>
        <row r="1501">
          <cell r="A1501">
            <v>53192</v>
          </cell>
          <cell r="B1501" t="str">
            <v>2.1.04.020.0208</v>
          </cell>
          <cell r="C1501" t="str">
            <v xml:space="preserve">ENGEPRAG CONTROLE DE </v>
          </cell>
          <cell r="D1501">
            <v>222.5</v>
          </cell>
          <cell r="E1501">
            <v>2727.83</v>
          </cell>
          <cell r="F1501">
            <v>3252.93</v>
          </cell>
          <cell r="G1501">
            <v>525.1</v>
          </cell>
          <cell r="H1501">
            <v>747.6</v>
          </cell>
          <cell r="I1501" t="str">
            <v>C</v>
          </cell>
        </row>
        <row r="1502">
          <cell r="A1502">
            <v>52321</v>
          </cell>
          <cell r="B1502" t="str">
            <v>2.1.04.020.0216</v>
          </cell>
          <cell r="C1502" t="str">
            <v xml:space="preserve">SANTA BRANCA </v>
          </cell>
          <cell r="D1502">
            <v>0</v>
          </cell>
          <cell r="E1502">
            <v>544.39</v>
          </cell>
          <cell r="F1502">
            <v>544.39</v>
          </cell>
          <cell r="G1502">
            <v>0</v>
          </cell>
          <cell r="H1502">
            <v>0</v>
          </cell>
          <cell r="I1502" t="str">
            <v>C</v>
          </cell>
        </row>
        <row r="1503">
          <cell r="A1503">
            <v>38617</v>
          </cell>
          <cell r="B1503" t="str">
            <v>2.1.04.020.0231</v>
          </cell>
          <cell r="C1503" t="str">
            <v>AUTONOMOS/RPA</v>
          </cell>
          <cell r="D1503">
            <v>0</v>
          </cell>
          <cell r="E1503">
            <v>420</v>
          </cell>
          <cell r="F1503">
            <v>420</v>
          </cell>
          <cell r="G1503">
            <v>0</v>
          </cell>
          <cell r="H1503">
            <v>0</v>
          </cell>
          <cell r="I1503" t="str">
            <v>C</v>
          </cell>
        </row>
        <row r="1504">
          <cell r="A1504">
            <v>53299</v>
          </cell>
          <cell r="B1504" t="str">
            <v>2.1.04.020.0235</v>
          </cell>
          <cell r="C1504" t="str">
            <v>MV INFORMATICA NORDESTE</v>
          </cell>
          <cell r="D1504">
            <v>9082.73</v>
          </cell>
          <cell r="E1504">
            <v>9842.91</v>
          </cell>
          <cell r="F1504">
            <v>9487.18</v>
          </cell>
          <cell r="G1504">
            <v>-355.73</v>
          </cell>
          <cell r="H1504">
            <v>8727</v>
          </cell>
          <cell r="I1504" t="str">
            <v>C</v>
          </cell>
        </row>
        <row r="1505">
          <cell r="A1505">
            <v>51869</v>
          </cell>
          <cell r="B1505" t="str">
            <v>2.1.04.020.0246</v>
          </cell>
          <cell r="C1505" t="str">
            <v xml:space="preserve">CARTORIO 1° OFICIO REG </v>
          </cell>
          <cell r="D1505">
            <v>64.819999999999993</v>
          </cell>
          <cell r="E1505">
            <v>496.97</v>
          </cell>
          <cell r="F1505">
            <v>432.15</v>
          </cell>
          <cell r="G1505">
            <v>-64.819999999999993</v>
          </cell>
          <cell r="H1505">
            <v>0</v>
          </cell>
          <cell r="I1505" t="str">
            <v>C</v>
          </cell>
        </row>
        <row r="1506">
          <cell r="A1506">
            <v>53355</v>
          </cell>
          <cell r="B1506" t="str">
            <v>2.1.04.020.0253</v>
          </cell>
          <cell r="C1506" t="str">
            <v xml:space="preserve">L C FREITAS RESTAURANTE </v>
          </cell>
          <cell r="D1506">
            <v>0</v>
          </cell>
          <cell r="E1506">
            <v>3978</v>
          </cell>
          <cell r="F1506">
            <v>3978</v>
          </cell>
          <cell r="G1506">
            <v>0</v>
          </cell>
          <cell r="H1506">
            <v>0</v>
          </cell>
          <cell r="I1506" t="str">
            <v>C</v>
          </cell>
        </row>
        <row r="1507">
          <cell r="A1507">
            <v>53361</v>
          </cell>
          <cell r="B1507" t="str">
            <v>2.1.04.020.0256</v>
          </cell>
          <cell r="C1507" t="str">
            <v xml:space="preserve">POWERBLADE SOLUCOES EM </v>
          </cell>
          <cell r="D1507">
            <v>0</v>
          </cell>
          <cell r="E1507">
            <v>2960.3</v>
          </cell>
          <cell r="F1507">
            <v>2960.3</v>
          </cell>
          <cell r="G1507">
            <v>0</v>
          </cell>
          <cell r="H1507">
            <v>0</v>
          </cell>
          <cell r="I1507" t="str">
            <v>C</v>
          </cell>
        </row>
        <row r="1508">
          <cell r="A1508">
            <v>53419</v>
          </cell>
          <cell r="B1508" t="str">
            <v>2.1.04.020.0273</v>
          </cell>
          <cell r="C1508" t="str">
            <v xml:space="preserve">VGM FALCI EQUIPAMENTOS </v>
          </cell>
          <cell r="D1508">
            <v>1870</v>
          </cell>
          <cell r="E1508">
            <v>1870</v>
          </cell>
          <cell r="F1508">
            <v>11240</v>
          </cell>
          <cell r="G1508">
            <v>9370</v>
          </cell>
          <cell r="H1508">
            <v>11240</v>
          </cell>
          <cell r="I1508" t="str">
            <v>C</v>
          </cell>
        </row>
        <row r="1509">
          <cell r="A1509">
            <v>2675</v>
          </cell>
          <cell r="B1509" t="str">
            <v>2.1.04.020.0279</v>
          </cell>
          <cell r="C1509" t="str">
            <v xml:space="preserve">DEGRAUS ANDAIME E </v>
          </cell>
          <cell r="D1509">
            <v>3064.62</v>
          </cell>
          <cell r="E1509">
            <v>4578.7299999999996</v>
          </cell>
          <cell r="F1509">
            <v>1514.11</v>
          </cell>
          <cell r="G1509">
            <v>-3064.62</v>
          </cell>
          <cell r="H1509">
            <v>0</v>
          </cell>
          <cell r="I1509" t="str">
            <v>C</v>
          </cell>
        </row>
        <row r="1510">
          <cell r="A1510">
            <v>53479</v>
          </cell>
          <cell r="B1510" t="str">
            <v>2.1.04.020.0287</v>
          </cell>
          <cell r="C1510" t="str">
            <v xml:space="preserve">NUMB3RS CONSULTORIA E </v>
          </cell>
          <cell r="D1510">
            <v>0</v>
          </cell>
          <cell r="E1510">
            <v>1591.05</v>
          </cell>
          <cell r="F1510">
            <v>1591.05</v>
          </cell>
          <cell r="G1510">
            <v>0</v>
          </cell>
          <cell r="H1510">
            <v>0</v>
          </cell>
          <cell r="I1510" t="str">
            <v>C</v>
          </cell>
        </row>
        <row r="1511">
          <cell r="A1511">
            <v>53486</v>
          </cell>
          <cell r="B1511" t="str">
            <v>2.1.04.020.0289</v>
          </cell>
          <cell r="C1511" t="str">
            <v>FARO SAO TOME HOTEL LTDA</v>
          </cell>
          <cell r="D1511">
            <v>0</v>
          </cell>
          <cell r="E1511">
            <v>0</v>
          </cell>
          <cell r="F1511">
            <v>2530.8000000000002</v>
          </cell>
          <cell r="G1511">
            <v>2530.8000000000002</v>
          </cell>
          <cell r="H1511">
            <v>2530.8000000000002</v>
          </cell>
          <cell r="I1511" t="str">
            <v>C</v>
          </cell>
        </row>
        <row r="1512">
          <cell r="A1512">
            <v>52026</v>
          </cell>
          <cell r="B1512" t="str">
            <v>2.1.04.020.0294</v>
          </cell>
          <cell r="C1512" t="str">
            <v xml:space="preserve">ACIM SERVICOS MEDICOS </v>
          </cell>
          <cell r="D1512">
            <v>495.2</v>
          </cell>
          <cell r="E1512">
            <v>0</v>
          </cell>
          <cell r="F1512">
            <v>0</v>
          </cell>
          <cell r="G1512">
            <v>0</v>
          </cell>
          <cell r="H1512">
            <v>495.2</v>
          </cell>
          <cell r="I1512" t="str">
            <v>C</v>
          </cell>
        </row>
        <row r="1513">
          <cell r="A1513">
            <v>53505</v>
          </cell>
          <cell r="B1513" t="str">
            <v>2.1.04.020.0296</v>
          </cell>
          <cell r="C1513" t="str">
            <v xml:space="preserve">BRASILIA CONSULTORIA </v>
          </cell>
          <cell r="D1513">
            <v>0</v>
          </cell>
          <cell r="E1513">
            <v>7265</v>
          </cell>
          <cell r="F1513">
            <v>7265</v>
          </cell>
          <cell r="G1513">
            <v>0</v>
          </cell>
          <cell r="H1513">
            <v>0</v>
          </cell>
          <cell r="I1513" t="str">
            <v>C</v>
          </cell>
        </row>
        <row r="1514">
          <cell r="A1514">
            <v>53563</v>
          </cell>
          <cell r="B1514" t="str">
            <v>2.1.04.020.0311</v>
          </cell>
          <cell r="C1514" t="str">
            <v xml:space="preserve">SETE MEIA </v>
          </cell>
          <cell r="D1514">
            <v>6800</v>
          </cell>
          <cell r="E1514">
            <v>6800</v>
          </cell>
          <cell r="F1514">
            <v>5200</v>
          </cell>
          <cell r="G1514">
            <v>-1600</v>
          </cell>
          <cell r="H1514">
            <v>5200</v>
          </cell>
          <cell r="I1514" t="str">
            <v>C</v>
          </cell>
        </row>
        <row r="1515">
          <cell r="A1515">
            <v>53589</v>
          </cell>
          <cell r="B1515" t="str">
            <v>2.1.04.020.0319</v>
          </cell>
          <cell r="C1515" t="str">
            <v xml:space="preserve">BARBOSA &amp; LIBORIO </v>
          </cell>
          <cell r="D1515">
            <v>0</v>
          </cell>
          <cell r="E1515">
            <v>10813.45</v>
          </cell>
          <cell r="F1515">
            <v>10813.45</v>
          </cell>
          <cell r="G1515">
            <v>0</v>
          </cell>
          <cell r="H1515">
            <v>0</v>
          </cell>
          <cell r="I1515" t="str">
            <v>C</v>
          </cell>
        </row>
        <row r="1516">
          <cell r="A1516">
            <v>4038</v>
          </cell>
          <cell r="B1516" t="str">
            <v>2.1.04.020.0321</v>
          </cell>
          <cell r="C1516" t="str">
            <v>PAULO ROBERTO FERRAZ - PJ</v>
          </cell>
          <cell r="D1516">
            <v>769.76</v>
          </cell>
          <cell r="E1516">
            <v>1539.28</v>
          </cell>
          <cell r="F1516">
            <v>769.52</v>
          </cell>
          <cell r="G1516">
            <v>-769.76</v>
          </cell>
          <cell r="H1516">
            <v>0</v>
          </cell>
          <cell r="I1516" t="str">
            <v>C</v>
          </cell>
        </row>
        <row r="1517">
          <cell r="A1517">
            <v>53714</v>
          </cell>
          <cell r="B1517" t="str">
            <v>2.1.04.020.0329</v>
          </cell>
          <cell r="C1517" t="str">
            <v>DANILO LOPES RIBEIRO</v>
          </cell>
          <cell r="D1517">
            <v>45876.76</v>
          </cell>
          <cell r="E1517">
            <v>9358.86</v>
          </cell>
          <cell r="F1517">
            <v>367</v>
          </cell>
          <cell r="G1517">
            <v>-8991.86</v>
          </cell>
          <cell r="H1517">
            <v>36884.9</v>
          </cell>
          <cell r="I1517" t="str">
            <v>C</v>
          </cell>
        </row>
        <row r="1518">
          <cell r="A1518">
            <v>53725</v>
          </cell>
          <cell r="B1518" t="str">
            <v>2.1.04.020.0332</v>
          </cell>
          <cell r="C1518" t="str">
            <v xml:space="preserve">BULBLESS SERVICOS </v>
          </cell>
          <cell r="D1518">
            <v>1294.3499999999999</v>
          </cell>
          <cell r="E1518">
            <v>1294.3499999999999</v>
          </cell>
          <cell r="F1518">
            <v>0</v>
          </cell>
          <cell r="G1518">
            <v>-1294.3499999999999</v>
          </cell>
          <cell r="H1518">
            <v>0</v>
          </cell>
          <cell r="I1518" t="str">
            <v>C</v>
          </cell>
        </row>
        <row r="1519">
          <cell r="A1519">
            <v>53726</v>
          </cell>
          <cell r="B1519" t="str">
            <v>2.1.04.020.0333</v>
          </cell>
          <cell r="C1519" t="str">
            <v xml:space="preserve">ALEXANDRE DO NASCIMENTO </v>
          </cell>
          <cell r="D1519">
            <v>3993.5</v>
          </cell>
          <cell r="E1519">
            <v>9008.25</v>
          </cell>
          <cell r="F1519">
            <v>5014.75</v>
          </cell>
          <cell r="G1519">
            <v>-3993.5</v>
          </cell>
          <cell r="H1519">
            <v>0</v>
          </cell>
          <cell r="I1519" t="str">
            <v>C</v>
          </cell>
        </row>
        <row r="1520">
          <cell r="A1520">
            <v>53732</v>
          </cell>
          <cell r="B1520" t="str">
            <v>2.1.04.020.0336</v>
          </cell>
          <cell r="C1520" t="str">
            <v xml:space="preserve">LF SJCAMPOS ALUGUEL DE </v>
          </cell>
          <cell r="D1520">
            <v>0</v>
          </cell>
          <cell r="E1520">
            <v>340</v>
          </cell>
          <cell r="F1520">
            <v>850</v>
          </cell>
          <cell r="G1520">
            <v>510</v>
          </cell>
          <cell r="H1520">
            <v>510</v>
          </cell>
          <cell r="I1520" t="str">
            <v>C</v>
          </cell>
        </row>
        <row r="1521">
          <cell r="A1521">
            <v>53799</v>
          </cell>
          <cell r="B1521" t="str">
            <v>2.1.04.020.0341</v>
          </cell>
          <cell r="C1521" t="str">
            <v xml:space="preserve">SOARES E CARVALHO </v>
          </cell>
          <cell r="D1521">
            <v>2655.36</v>
          </cell>
          <cell r="E1521">
            <v>2655.36</v>
          </cell>
          <cell r="F1521">
            <v>2655.36</v>
          </cell>
          <cell r="G1521">
            <v>0</v>
          </cell>
          <cell r="H1521">
            <v>2655.36</v>
          </cell>
          <cell r="I1521" t="str">
            <v>C</v>
          </cell>
        </row>
        <row r="1522">
          <cell r="A1522">
            <v>53823</v>
          </cell>
          <cell r="B1522" t="str">
            <v>2.1.04.020.0347</v>
          </cell>
          <cell r="C1522" t="str">
            <v xml:space="preserve">ESTERILAV COMERCIO E </v>
          </cell>
          <cell r="D1522">
            <v>1580</v>
          </cell>
          <cell r="E1522">
            <v>1580</v>
          </cell>
          <cell r="F1522">
            <v>636</v>
          </cell>
          <cell r="G1522">
            <v>-944</v>
          </cell>
          <cell r="H1522">
            <v>636</v>
          </cell>
          <cell r="I1522" t="str">
            <v>C</v>
          </cell>
        </row>
        <row r="1523">
          <cell r="A1523">
            <v>53890</v>
          </cell>
          <cell r="B1523" t="str">
            <v>2.1.04.020.0360</v>
          </cell>
          <cell r="C1523" t="str">
            <v xml:space="preserve">ALERTE AUTOMATIZACAO DE </v>
          </cell>
          <cell r="D1523">
            <v>0</v>
          </cell>
          <cell r="E1523">
            <v>186</v>
          </cell>
          <cell r="F1523">
            <v>186</v>
          </cell>
          <cell r="G1523">
            <v>0</v>
          </cell>
          <cell r="H1523">
            <v>0</v>
          </cell>
          <cell r="I1523" t="str">
            <v>C</v>
          </cell>
        </row>
        <row r="1524">
          <cell r="A1524">
            <v>53927</v>
          </cell>
          <cell r="B1524" t="str">
            <v>2.1.04.020.0369</v>
          </cell>
          <cell r="C1524" t="str">
            <v xml:space="preserve">DLOCAL BRASIL </v>
          </cell>
          <cell r="D1524">
            <v>0</v>
          </cell>
          <cell r="E1524">
            <v>3864</v>
          </cell>
          <cell r="F1524">
            <v>3864</v>
          </cell>
          <cell r="G1524">
            <v>0</v>
          </cell>
          <cell r="H1524">
            <v>0</v>
          </cell>
          <cell r="I1524" t="str">
            <v>C</v>
          </cell>
        </row>
        <row r="1525">
          <cell r="A1525">
            <v>53941</v>
          </cell>
          <cell r="B1525" t="str">
            <v>2.1.04.020.0375</v>
          </cell>
          <cell r="C1525" t="str">
            <v xml:space="preserve">GILBERTO DE CARVALHO </v>
          </cell>
          <cell r="D1525">
            <v>1046.81</v>
          </cell>
          <cell r="E1525">
            <v>1046.81</v>
          </cell>
          <cell r="F1525">
            <v>405.4</v>
          </cell>
          <cell r="G1525">
            <v>-641.41</v>
          </cell>
          <cell r="H1525">
            <v>405.4</v>
          </cell>
          <cell r="I1525" t="str">
            <v>C</v>
          </cell>
        </row>
        <row r="1526">
          <cell r="A1526">
            <v>53943</v>
          </cell>
          <cell r="B1526" t="str">
            <v>2.1.04.020.0376</v>
          </cell>
          <cell r="C1526" t="str">
            <v xml:space="preserve">ISMAEL DE OLIVEIRA BATISTA </v>
          </cell>
          <cell r="D1526">
            <v>5250</v>
          </cell>
          <cell r="E1526">
            <v>2625</v>
          </cell>
          <cell r="F1526">
            <v>0</v>
          </cell>
          <cell r="G1526">
            <v>-2625</v>
          </cell>
          <cell r="H1526">
            <v>2625</v>
          </cell>
          <cell r="I1526" t="str">
            <v>C</v>
          </cell>
        </row>
        <row r="1527">
          <cell r="A1527">
            <v>53989</v>
          </cell>
          <cell r="B1527" t="str">
            <v>2.1.04.020.0393</v>
          </cell>
          <cell r="C1527" t="str">
            <v xml:space="preserve">STERICYCLE GESTAO </v>
          </cell>
          <cell r="D1527">
            <v>27399.61</v>
          </cell>
          <cell r="E1527">
            <v>27399.61</v>
          </cell>
          <cell r="F1527">
            <v>27637.75</v>
          </cell>
          <cell r="G1527">
            <v>238.14</v>
          </cell>
          <cell r="H1527">
            <v>27637.75</v>
          </cell>
          <cell r="I1527" t="str">
            <v>C</v>
          </cell>
        </row>
        <row r="1528">
          <cell r="A1528">
            <v>53999</v>
          </cell>
          <cell r="B1528" t="str">
            <v>2.1.04.020.0395</v>
          </cell>
          <cell r="C1528" t="str">
            <v xml:space="preserve">LEANDRO FABIO DE ANDRADE </v>
          </cell>
          <cell r="D1528">
            <v>0</v>
          </cell>
          <cell r="E1528">
            <v>6859.3</v>
          </cell>
          <cell r="F1528">
            <v>6859.3</v>
          </cell>
          <cell r="G1528">
            <v>0</v>
          </cell>
          <cell r="H1528">
            <v>0</v>
          </cell>
          <cell r="I1528" t="str">
            <v>C</v>
          </cell>
        </row>
        <row r="1529">
          <cell r="A1529">
            <v>54577</v>
          </cell>
          <cell r="B1529" t="str">
            <v>2.1.04.020.0417</v>
          </cell>
          <cell r="C1529" t="str">
            <v xml:space="preserve">WILLIAM APARECIDO BUENO </v>
          </cell>
          <cell r="D1529">
            <v>0</v>
          </cell>
          <cell r="E1529">
            <v>0</v>
          </cell>
          <cell r="F1529">
            <v>14310</v>
          </cell>
          <cell r="G1529">
            <v>14310</v>
          </cell>
          <cell r="H1529">
            <v>14310</v>
          </cell>
          <cell r="I1529" t="str">
            <v>C</v>
          </cell>
        </row>
        <row r="1530">
          <cell r="A1530">
            <v>54600</v>
          </cell>
          <cell r="B1530" t="str">
            <v>2.1.04.020.0428</v>
          </cell>
          <cell r="C1530" t="str">
            <v xml:space="preserve">CAMILA MOUSINHO LIMA </v>
          </cell>
          <cell r="D1530">
            <v>0</v>
          </cell>
          <cell r="E1530">
            <v>0</v>
          </cell>
          <cell r="F1530">
            <v>281.3</v>
          </cell>
          <cell r="G1530">
            <v>281.3</v>
          </cell>
          <cell r="H1530">
            <v>281.3</v>
          </cell>
          <cell r="I1530" t="str">
            <v>C</v>
          </cell>
        </row>
        <row r="1531">
          <cell r="A1531">
            <v>54601</v>
          </cell>
          <cell r="B1531" t="str">
            <v>2.1.04.020.0429</v>
          </cell>
          <cell r="C1531" t="str">
            <v xml:space="preserve">MV SISTEMAS DE MEDICINA </v>
          </cell>
          <cell r="D1531">
            <v>4449.22</v>
          </cell>
          <cell r="E1531">
            <v>4449.22</v>
          </cell>
          <cell r="F1531">
            <v>4449.22</v>
          </cell>
          <cell r="G1531">
            <v>0</v>
          </cell>
          <cell r="H1531">
            <v>4449.22</v>
          </cell>
          <cell r="I1531" t="str">
            <v>C</v>
          </cell>
        </row>
        <row r="1532">
          <cell r="A1532">
            <v>54626</v>
          </cell>
          <cell r="B1532" t="str">
            <v>2.1.04.020.0434</v>
          </cell>
          <cell r="C1532" t="str">
            <v xml:space="preserve">CORONEL SERVICOS DE </v>
          </cell>
          <cell r="D1532">
            <v>19486.54</v>
          </cell>
          <cell r="E1532">
            <v>19486.54</v>
          </cell>
          <cell r="F1532">
            <v>0</v>
          </cell>
          <cell r="G1532">
            <v>-19486.54</v>
          </cell>
          <cell r="H1532">
            <v>0</v>
          </cell>
          <cell r="I1532" t="str">
            <v>C</v>
          </cell>
        </row>
        <row r="1533">
          <cell r="A1533">
            <v>54074</v>
          </cell>
          <cell r="B1533" t="str">
            <v>2.1.04.020.0544</v>
          </cell>
          <cell r="C1533" t="str">
            <v xml:space="preserve">WILLIAN DOS SANTOS LIMA </v>
          </cell>
          <cell r="D1533">
            <v>6400</v>
          </cell>
          <cell r="E1533">
            <v>13600</v>
          </cell>
          <cell r="F1533">
            <v>7200</v>
          </cell>
          <cell r="G1533">
            <v>-6400</v>
          </cell>
          <cell r="H1533">
            <v>0</v>
          </cell>
          <cell r="I1533" t="str">
            <v>C</v>
          </cell>
        </row>
        <row r="1534">
          <cell r="A1534">
            <v>54109</v>
          </cell>
          <cell r="B1534" t="str">
            <v>2.1.04.020.0554</v>
          </cell>
          <cell r="C1534" t="str">
            <v xml:space="preserve">RESTAURANTE BERROYER </v>
          </cell>
          <cell r="D1534">
            <v>1044.3399999999999</v>
          </cell>
          <cell r="E1534">
            <v>2111.4299999999998</v>
          </cell>
          <cell r="F1534">
            <v>1067.0899999999999</v>
          </cell>
          <cell r="G1534">
            <v>-1044.3399999999999</v>
          </cell>
          <cell r="H1534">
            <v>0</v>
          </cell>
          <cell r="I1534" t="str">
            <v>C</v>
          </cell>
        </row>
        <row r="1535">
          <cell r="A1535">
            <v>54266</v>
          </cell>
          <cell r="B1535" t="str">
            <v>2.1.04.020.0574</v>
          </cell>
          <cell r="C1535" t="str">
            <v xml:space="preserve">VICTOR HUGO SOARES DA </v>
          </cell>
          <cell r="D1535">
            <v>0</v>
          </cell>
          <cell r="E1535">
            <v>1000</v>
          </cell>
          <cell r="F1535">
            <v>1000</v>
          </cell>
          <cell r="G1535">
            <v>0</v>
          </cell>
          <cell r="H1535">
            <v>0</v>
          </cell>
          <cell r="I1535" t="str">
            <v>C</v>
          </cell>
        </row>
        <row r="1536">
          <cell r="A1536">
            <v>54279</v>
          </cell>
          <cell r="B1536" t="str">
            <v>2.1.04.020.0576</v>
          </cell>
          <cell r="C1536" t="str">
            <v xml:space="preserve">FEITOSA NEFROLOGIA </v>
          </cell>
          <cell r="D1536">
            <v>1006.8</v>
          </cell>
          <cell r="E1536">
            <v>0</v>
          </cell>
          <cell r="F1536">
            <v>0</v>
          </cell>
          <cell r="G1536">
            <v>0</v>
          </cell>
          <cell r="H1536">
            <v>1006.8</v>
          </cell>
          <cell r="I1536" t="str">
            <v>C</v>
          </cell>
        </row>
        <row r="1537">
          <cell r="A1537">
            <v>54294</v>
          </cell>
          <cell r="B1537" t="str">
            <v>2.1.04.020.0581</v>
          </cell>
          <cell r="C1537" t="str">
            <v xml:space="preserve">ABC DO VALE TRANSPORTES </v>
          </cell>
          <cell r="D1537">
            <v>0</v>
          </cell>
          <cell r="E1537">
            <v>1561.9</v>
          </cell>
          <cell r="F1537">
            <v>1561.9</v>
          </cell>
          <cell r="G1537">
            <v>0</v>
          </cell>
          <cell r="H1537">
            <v>0</v>
          </cell>
          <cell r="I1537" t="str">
            <v>C</v>
          </cell>
        </row>
        <row r="1538">
          <cell r="A1538">
            <v>54304</v>
          </cell>
          <cell r="B1538" t="str">
            <v>2.1.04.020.0585</v>
          </cell>
          <cell r="C1538" t="str">
            <v xml:space="preserve">I-SOLUTIONCARD COMERCIO </v>
          </cell>
          <cell r="D1538">
            <v>260</v>
          </cell>
          <cell r="E1538">
            <v>1313</v>
          </cell>
          <cell r="F1538">
            <v>1971</v>
          </cell>
          <cell r="G1538">
            <v>658</v>
          </cell>
          <cell r="H1538">
            <v>918</v>
          </cell>
          <cell r="I1538" t="str">
            <v>C</v>
          </cell>
        </row>
        <row r="1539">
          <cell r="A1539">
            <v>54314</v>
          </cell>
          <cell r="B1539" t="str">
            <v>2.1.04.020.0588</v>
          </cell>
          <cell r="C1539" t="str">
            <v xml:space="preserve">RAQUEL RODRIGUES COSTA </v>
          </cell>
          <cell r="D1539">
            <v>0</v>
          </cell>
          <cell r="E1539">
            <v>1600</v>
          </cell>
          <cell r="F1539">
            <v>1600</v>
          </cell>
          <cell r="G1539">
            <v>0</v>
          </cell>
          <cell r="H1539">
            <v>0</v>
          </cell>
          <cell r="I1539" t="str">
            <v>C</v>
          </cell>
        </row>
        <row r="1540">
          <cell r="A1540">
            <v>54346</v>
          </cell>
          <cell r="B1540" t="str">
            <v>2.1.04.020.0596</v>
          </cell>
          <cell r="C1540" t="str">
            <v xml:space="preserve">GRAU ENGENHARIA DE </v>
          </cell>
          <cell r="D1540">
            <v>1830.07</v>
          </cell>
          <cell r="E1540">
            <v>1830.07</v>
          </cell>
          <cell r="F1540">
            <v>0</v>
          </cell>
          <cell r="G1540">
            <v>-1830.07</v>
          </cell>
          <cell r="H1540">
            <v>0</v>
          </cell>
          <cell r="I1540" t="str">
            <v>C</v>
          </cell>
        </row>
        <row r="1541">
          <cell r="A1541">
            <v>54350</v>
          </cell>
          <cell r="B1541" t="str">
            <v>2.1.04.020.0600</v>
          </cell>
          <cell r="C1541" t="str">
            <v xml:space="preserve">QUAGLIA LABORATORIO DE </v>
          </cell>
          <cell r="D1541">
            <v>0</v>
          </cell>
          <cell r="E1541">
            <v>0</v>
          </cell>
          <cell r="F1541">
            <v>629.62</v>
          </cell>
          <cell r="G1541">
            <v>629.62</v>
          </cell>
          <cell r="H1541">
            <v>629.62</v>
          </cell>
          <cell r="I1541" t="str">
            <v>C</v>
          </cell>
        </row>
        <row r="1542">
          <cell r="A1542">
            <v>54387</v>
          </cell>
          <cell r="B1542" t="str">
            <v>2.1.04.020.0607</v>
          </cell>
          <cell r="C1542" t="str">
            <v>RENAN CHAVES PEREIRA</v>
          </cell>
          <cell r="D1542">
            <v>0</v>
          </cell>
          <cell r="E1542">
            <v>100</v>
          </cell>
          <cell r="F1542">
            <v>100</v>
          </cell>
          <cell r="G1542">
            <v>0</v>
          </cell>
          <cell r="H1542">
            <v>0</v>
          </cell>
          <cell r="I1542" t="str">
            <v>C</v>
          </cell>
        </row>
        <row r="1543">
          <cell r="A1543">
            <v>54412</v>
          </cell>
          <cell r="B1543" t="str">
            <v>2.1.04.020.0612</v>
          </cell>
          <cell r="C1543" t="str">
            <v xml:space="preserve">FREDERICO REIS COSTA </v>
          </cell>
          <cell r="D1543">
            <v>3628.83</v>
          </cell>
          <cell r="E1543">
            <v>3628.83</v>
          </cell>
          <cell r="F1543">
            <v>3533.04</v>
          </cell>
          <cell r="G1543">
            <v>-95.79</v>
          </cell>
          <cell r="H1543">
            <v>3533.04</v>
          </cell>
          <cell r="I1543" t="str">
            <v>C</v>
          </cell>
        </row>
        <row r="1544">
          <cell r="A1544">
            <v>54423</v>
          </cell>
          <cell r="B1544" t="str">
            <v>2.1.04.020.0613</v>
          </cell>
          <cell r="C1544" t="str">
            <v xml:space="preserve">BRUMED COMERCIO E </v>
          </cell>
          <cell r="D1544">
            <v>875</v>
          </cell>
          <cell r="E1544">
            <v>0</v>
          </cell>
          <cell r="F1544">
            <v>0</v>
          </cell>
          <cell r="G1544">
            <v>0</v>
          </cell>
          <cell r="H1544">
            <v>875</v>
          </cell>
          <cell r="I1544" t="str">
            <v>C</v>
          </cell>
        </row>
        <row r="1545">
          <cell r="A1545">
            <v>54460</v>
          </cell>
          <cell r="B1545" t="str">
            <v>2.1.04.020.0617</v>
          </cell>
          <cell r="C1545" t="str">
            <v>L F RIBEIRO EXTINTORES</v>
          </cell>
          <cell r="D1545">
            <v>164.8</v>
          </cell>
          <cell r="E1545">
            <v>164.8</v>
          </cell>
          <cell r="F1545">
            <v>0</v>
          </cell>
          <cell r="G1545">
            <v>-164.8</v>
          </cell>
          <cell r="H1545">
            <v>0</v>
          </cell>
          <cell r="I1545" t="str">
            <v>C</v>
          </cell>
        </row>
        <row r="1546">
          <cell r="A1546">
            <v>54480</v>
          </cell>
          <cell r="B1546" t="str">
            <v>2.1.04.020.0625</v>
          </cell>
          <cell r="C1546" t="str">
            <v xml:space="preserve">MARIA SANTOS DE JESUS </v>
          </cell>
          <cell r="D1546">
            <v>0</v>
          </cell>
          <cell r="E1546">
            <v>2400</v>
          </cell>
          <cell r="F1546">
            <v>2880</v>
          </cell>
          <cell r="G1546">
            <v>480</v>
          </cell>
          <cell r="H1546">
            <v>480</v>
          </cell>
          <cell r="I1546" t="str">
            <v>C</v>
          </cell>
        </row>
        <row r="1547">
          <cell r="A1547">
            <v>54506</v>
          </cell>
          <cell r="B1547" t="str">
            <v>2.1.04.020.0635</v>
          </cell>
          <cell r="C1547" t="str">
            <v xml:space="preserve">CARLOS ROBERTO CAMARGO </v>
          </cell>
          <cell r="D1547">
            <v>6488.11</v>
          </cell>
          <cell r="E1547">
            <v>6488.11</v>
          </cell>
          <cell r="F1547">
            <v>6488.11</v>
          </cell>
          <cell r="G1547">
            <v>0</v>
          </cell>
          <cell r="H1547">
            <v>6488.11</v>
          </cell>
          <cell r="I1547" t="str">
            <v>C</v>
          </cell>
        </row>
        <row r="1548">
          <cell r="A1548">
            <v>54507</v>
          </cell>
          <cell r="B1548" t="str">
            <v>2.1.04.020.0636</v>
          </cell>
          <cell r="C1548" t="str">
            <v xml:space="preserve">CELIA REGINA CAMARGO </v>
          </cell>
          <cell r="D1548">
            <v>6488.11</v>
          </cell>
          <cell r="E1548">
            <v>6488.11</v>
          </cell>
          <cell r="F1548">
            <v>6488.11</v>
          </cell>
          <cell r="G1548">
            <v>0</v>
          </cell>
          <cell r="H1548">
            <v>6488.11</v>
          </cell>
          <cell r="I1548" t="str">
            <v>C</v>
          </cell>
        </row>
        <row r="1549">
          <cell r="A1549">
            <v>54508</v>
          </cell>
          <cell r="B1549" t="str">
            <v>2.1.04.020.0637</v>
          </cell>
          <cell r="C1549" t="str">
            <v xml:space="preserve">MARIA DO CARMO DE FARIA </v>
          </cell>
          <cell r="D1549">
            <v>6159.54</v>
          </cell>
          <cell r="E1549">
            <v>6159.54</v>
          </cell>
          <cell r="F1549">
            <v>6159.54</v>
          </cell>
          <cell r="G1549">
            <v>0</v>
          </cell>
          <cell r="H1549">
            <v>6159.54</v>
          </cell>
          <cell r="I1549" t="str">
            <v>C</v>
          </cell>
        </row>
        <row r="1550">
          <cell r="A1550">
            <v>54509</v>
          </cell>
          <cell r="B1550" t="str">
            <v>2.1.04.020.0638</v>
          </cell>
          <cell r="C1550" t="str">
            <v xml:space="preserve">JOSE GILBERTO BEZERRA </v>
          </cell>
          <cell r="D1550">
            <v>13626.97</v>
          </cell>
          <cell r="E1550">
            <v>13626.97</v>
          </cell>
          <cell r="F1550">
            <v>17456.97</v>
          </cell>
          <cell r="G1550">
            <v>3830</v>
          </cell>
          <cell r="H1550">
            <v>17456.97</v>
          </cell>
          <cell r="I1550" t="str">
            <v>C</v>
          </cell>
        </row>
        <row r="1551">
          <cell r="A1551">
            <v>54534</v>
          </cell>
          <cell r="B1551" t="str">
            <v>2.1.04.020.0639</v>
          </cell>
          <cell r="C1551" t="str">
            <v>IANO ANDRE COSTA</v>
          </cell>
          <cell r="D1551">
            <v>4353.29</v>
          </cell>
          <cell r="E1551">
            <v>4353.29</v>
          </cell>
          <cell r="F1551">
            <v>4296.05</v>
          </cell>
          <cell r="G1551">
            <v>-57.24</v>
          </cell>
          <cell r="H1551">
            <v>4296.05</v>
          </cell>
          <cell r="I1551" t="str">
            <v>C</v>
          </cell>
        </row>
        <row r="1552">
          <cell r="A1552">
            <v>54535</v>
          </cell>
          <cell r="B1552" t="str">
            <v>2.1.04.020.0640</v>
          </cell>
          <cell r="C1552" t="str">
            <v xml:space="preserve">SERGIA GERTRUDES GOVEIA </v>
          </cell>
          <cell r="D1552">
            <v>4353.29</v>
          </cell>
          <cell r="E1552">
            <v>4353.29</v>
          </cell>
          <cell r="F1552">
            <v>4296.05</v>
          </cell>
          <cell r="G1552">
            <v>-57.24</v>
          </cell>
          <cell r="H1552">
            <v>4296.05</v>
          </cell>
          <cell r="I1552" t="str">
            <v>C</v>
          </cell>
        </row>
        <row r="1553">
          <cell r="A1553">
            <v>54536</v>
          </cell>
          <cell r="B1553" t="str">
            <v>2.1.04.020.0641</v>
          </cell>
          <cell r="C1553" t="str">
            <v>ANTONIO SERGIO COSTA</v>
          </cell>
          <cell r="D1553">
            <v>4353.29</v>
          </cell>
          <cell r="E1553">
            <v>4353.29</v>
          </cell>
          <cell r="F1553">
            <v>4296.05</v>
          </cell>
          <cell r="G1553">
            <v>-57.24</v>
          </cell>
          <cell r="H1553">
            <v>4296.05</v>
          </cell>
          <cell r="I1553" t="str">
            <v>C</v>
          </cell>
        </row>
        <row r="1554">
          <cell r="A1554">
            <v>54537</v>
          </cell>
          <cell r="B1554" t="str">
            <v>2.1.04.020.0642</v>
          </cell>
          <cell r="C1554" t="str">
            <v>ANGELA CELESTE COSTA</v>
          </cell>
          <cell r="D1554">
            <v>4353.29</v>
          </cell>
          <cell r="E1554">
            <v>4353.29</v>
          </cell>
          <cell r="F1554">
            <v>4296.05</v>
          </cell>
          <cell r="G1554">
            <v>-57.24</v>
          </cell>
          <cell r="H1554">
            <v>4296.05</v>
          </cell>
          <cell r="I1554" t="str">
            <v>C</v>
          </cell>
        </row>
        <row r="1555">
          <cell r="A1555">
            <v>54538</v>
          </cell>
          <cell r="B1555" t="str">
            <v>2.1.04.020.0643</v>
          </cell>
          <cell r="C1555" t="str">
            <v xml:space="preserve">CONTINENTAL HEALTHCARE </v>
          </cell>
          <cell r="D1555">
            <v>0</v>
          </cell>
          <cell r="E1555">
            <v>19000</v>
          </cell>
          <cell r="F1555">
            <v>19000</v>
          </cell>
          <cell r="G1555">
            <v>0</v>
          </cell>
          <cell r="H1555">
            <v>0</v>
          </cell>
          <cell r="I1555" t="str">
            <v>C</v>
          </cell>
        </row>
        <row r="1556">
          <cell r="A1556">
            <v>54628</v>
          </cell>
          <cell r="B1556" t="str">
            <v>2.1.04.020.0660</v>
          </cell>
          <cell r="C1556" t="str">
            <v xml:space="preserve">MITSUI SUMITOMO SEGUROS </v>
          </cell>
          <cell r="D1556">
            <v>5995.6</v>
          </cell>
          <cell r="E1556">
            <v>1498.9</v>
          </cell>
          <cell r="F1556">
            <v>0</v>
          </cell>
          <cell r="G1556">
            <v>-1498.9</v>
          </cell>
          <cell r="H1556">
            <v>4496.7</v>
          </cell>
          <cell r="I1556" t="str">
            <v>C</v>
          </cell>
        </row>
        <row r="1557">
          <cell r="A1557">
            <v>51917</v>
          </cell>
          <cell r="B1557" t="str">
            <v>2.1.04.020.0666</v>
          </cell>
          <cell r="C1557" t="str">
            <v xml:space="preserve">BENEDITA DE CASSIA DE </v>
          </cell>
          <cell r="D1557">
            <v>3140</v>
          </cell>
          <cell r="E1557">
            <v>9697</v>
          </cell>
          <cell r="F1557">
            <v>8153</v>
          </cell>
          <cell r="G1557">
            <v>-1544</v>
          </cell>
          <cell r="H1557">
            <v>1596</v>
          </cell>
          <cell r="I1557" t="str">
            <v>C</v>
          </cell>
        </row>
        <row r="1558">
          <cell r="A1558">
            <v>33709</v>
          </cell>
          <cell r="B1558" t="str">
            <v>2.1.04.020.0668</v>
          </cell>
          <cell r="C1558" t="str">
            <v xml:space="preserve">CONSORCIO 123 SAO JOSE </v>
          </cell>
          <cell r="D1558">
            <v>0</v>
          </cell>
          <cell r="E1558">
            <v>120000</v>
          </cell>
          <cell r="F1558">
            <v>120000</v>
          </cell>
          <cell r="G1558">
            <v>0</v>
          </cell>
          <cell r="H1558">
            <v>0</v>
          </cell>
          <cell r="I1558" t="str">
            <v>C</v>
          </cell>
        </row>
        <row r="1559">
          <cell r="A1559">
            <v>37997</v>
          </cell>
          <cell r="B1559" t="str">
            <v>2.1.04.020.0669</v>
          </cell>
          <cell r="C1559" t="str">
            <v xml:space="preserve">DBACOMP TECNOLOGIA DE </v>
          </cell>
          <cell r="D1559">
            <v>3025</v>
          </cell>
          <cell r="E1559">
            <v>3025</v>
          </cell>
          <cell r="F1559">
            <v>3025</v>
          </cell>
          <cell r="G1559">
            <v>0</v>
          </cell>
          <cell r="H1559">
            <v>3025</v>
          </cell>
          <cell r="I1559" t="str">
            <v>C</v>
          </cell>
        </row>
        <row r="1560">
          <cell r="A1560">
            <v>51062</v>
          </cell>
          <cell r="B1560" t="str">
            <v>2.1.04.020.0670</v>
          </cell>
          <cell r="C1560" t="str">
            <v xml:space="preserve">ELEV STATION COM PECAS E </v>
          </cell>
          <cell r="D1560">
            <v>0</v>
          </cell>
          <cell r="E1560">
            <v>415.57</v>
          </cell>
          <cell r="F1560">
            <v>415.57</v>
          </cell>
          <cell r="G1560">
            <v>0</v>
          </cell>
          <cell r="H1560">
            <v>0</v>
          </cell>
          <cell r="I1560" t="str">
            <v>C</v>
          </cell>
        </row>
        <row r="1561">
          <cell r="A1561">
            <v>52079</v>
          </cell>
          <cell r="B1561" t="str">
            <v>2.1.04.020.0671</v>
          </cell>
          <cell r="C1561" t="str">
            <v xml:space="preserve">GERIR ORGANIZ E </v>
          </cell>
          <cell r="D1561">
            <v>1888.45</v>
          </cell>
          <cell r="E1561">
            <v>1888.45</v>
          </cell>
          <cell r="F1561">
            <v>1955.62</v>
          </cell>
          <cell r="G1561">
            <v>67.17</v>
          </cell>
          <cell r="H1561">
            <v>1955.62</v>
          </cell>
          <cell r="I1561" t="str">
            <v>C</v>
          </cell>
        </row>
        <row r="1562">
          <cell r="A1562">
            <v>52786</v>
          </cell>
          <cell r="B1562" t="str">
            <v>2.1.04.020.0672</v>
          </cell>
          <cell r="C1562" t="str">
            <v>JP IT SERVICES LTDA</v>
          </cell>
          <cell r="D1562">
            <v>3128</v>
          </cell>
          <cell r="E1562">
            <v>3128</v>
          </cell>
          <cell r="F1562">
            <v>3128</v>
          </cell>
          <cell r="G1562">
            <v>0</v>
          </cell>
          <cell r="H1562">
            <v>3128</v>
          </cell>
          <cell r="I1562" t="str">
            <v>C</v>
          </cell>
        </row>
        <row r="1563">
          <cell r="A1563">
            <v>38248</v>
          </cell>
          <cell r="B1563" t="str">
            <v>2.1.04.020.0674</v>
          </cell>
          <cell r="C1563" t="str">
            <v xml:space="preserve">NIPCABLE DO BRASIL </v>
          </cell>
          <cell r="D1563">
            <v>0</v>
          </cell>
          <cell r="E1563">
            <v>4400</v>
          </cell>
          <cell r="F1563">
            <v>4400</v>
          </cell>
          <cell r="G1563">
            <v>0</v>
          </cell>
          <cell r="H1563">
            <v>0</v>
          </cell>
          <cell r="I1563" t="str">
            <v>C</v>
          </cell>
        </row>
        <row r="1564">
          <cell r="A1564">
            <v>52511</v>
          </cell>
          <cell r="B1564" t="str">
            <v>2.1.04.020.0675</v>
          </cell>
          <cell r="C1564" t="str">
            <v xml:space="preserve">OPTIKX COMERCIO E </v>
          </cell>
          <cell r="D1564">
            <v>4256</v>
          </cell>
          <cell r="E1564">
            <v>4256</v>
          </cell>
          <cell r="F1564">
            <v>2620</v>
          </cell>
          <cell r="G1564">
            <v>-1636</v>
          </cell>
          <cell r="H1564">
            <v>2620</v>
          </cell>
          <cell r="I1564" t="str">
            <v>C</v>
          </cell>
        </row>
        <row r="1565">
          <cell r="A1565">
            <v>51294</v>
          </cell>
          <cell r="B1565" t="str">
            <v>2.1.04.020.0676</v>
          </cell>
          <cell r="C1565" t="str">
            <v xml:space="preserve">OZOXI IND COM EQP </v>
          </cell>
          <cell r="D1565">
            <v>0</v>
          </cell>
          <cell r="E1565">
            <v>10980</v>
          </cell>
          <cell r="F1565">
            <v>10980</v>
          </cell>
          <cell r="G1565">
            <v>0</v>
          </cell>
          <cell r="H1565">
            <v>0</v>
          </cell>
          <cell r="I1565" t="str">
            <v>C</v>
          </cell>
        </row>
        <row r="1566">
          <cell r="A1566">
            <v>4055</v>
          </cell>
          <cell r="B1566" t="str">
            <v>2.1.04.020.0677</v>
          </cell>
          <cell r="C1566" t="str">
            <v xml:space="preserve">PORTO SEGURO CIA DE </v>
          </cell>
          <cell r="D1566">
            <v>8540.8700000000008</v>
          </cell>
          <cell r="E1566">
            <v>2471.75</v>
          </cell>
          <cell r="F1566">
            <v>0</v>
          </cell>
          <cell r="G1566">
            <v>-2471.75</v>
          </cell>
          <cell r="H1566">
            <v>6069.12</v>
          </cell>
          <cell r="I1566" t="str">
            <v>C</v>
          </cell>
        </row>
        <row r="1567">
          <cell r="A1567">
            <v>4097</v>
          </cell>
          <cell r="B1567" t="str">
            <v>2.1.04.020.0679</v>
          </cell>
          <cell r="C1567" t="str">
            <v>ROMAO E RAMOS LTDA</v>
          </cell>
          <cell r="D1567">
            <v>1028.5</v>
          </cell>
          <cell r="E1567">
            <v>2522.8000000000002</v>
          </cell>
          <cell r="F1567">
            <v>1494.3</v>
          </cell>
          <cell r="G1567">
            <v>-1028.5</v>
          </cell>
          <cell r="H1567">
            <v>0</v>
          </cell>
          <cell r="I1567" t="str">
            <v>C</v>
          </cell>
        </row>
        <row r="1568">
          <cell r="A1568">
            <v>52722</v>
          </cell>
          <cell r="B1568" t="str">
            <v>2.1.04.020.0680</v>
          </cell>
          <cell r="C1568" t="str">
            <v>SABRINA LEITE MOREIRA ME</v>
          </cell>
          <cell r="D1568">
            <v>0</v>
          </cell>
          <cell r="E1568">
            <v>1098</v>
          </cell>
          <cell r="F1568">
            <v>1098</v>
          </cell>
          <cell r="G1568">
            <v>0</v>
          </cell>
          <cell r="H1568">
            <v>0</v>
          </cell>
          <cell r="I1568" t="str">
            <v>C</v>
          </cell>
        </row>
        <row r="1569">
          <cell r="A1569">
            <v>52580</v>
          </cell>
          <cell r="B1569" t="str">
            <v>2.1.04.020.0681</v>
          </cell>
          <cell r="C1569" t="str">
            <v xml:space="preserve">SAMUEL ELIAS DE SOUSA </v>
          </cell>
          <cell r="D1569">
            <v>0</v>
          </cell>
          <cell r="E1569">
            <v>1000</v>
          </cell>
          <cell r="F1569">
            <v>1000</v>
          </cell>
          <cell r="G1569">
            <v>0</v>
          </cell>
          <cell r="H1569">
            <v>0</v>
          </cell>
          <cell r="I1569" t="str">
            <v>C</v>
          </cell>
        </row>
        <row r="1570">
          <cell r="A1570">
            <v>4111</v>
          </cell>
          <cell r="B1570" t="str">
            <v>2.1.04.020.0682</v>
          </cell>
          <cell r="C1570" t="str">
            <v xml:space="preserve">SAPRA LANDAUER SERV. DE </v>
          </cell>
          <cell r="D1570">
            <v>1657.66</v>
          </cell>
          <cell r="E1570">
            <v>1657.66</v>
          </cell>
          <cell r="F1570">
            <v>1610.73</v>
          </cell>
          <cell r="G1570">
            <v>-46.93</v>
          </cell>
          <cell r="H1570">
            <v>1610.73</v>
          </cell>
          <cell r="I1570" t="str">
            <v>C</v>
          </cell>
        </row>
        <row r="1571">
          <cell r="A1571">
            <v>52663</v>
          </cell>
          <cell r="B1571" t="str">
            <v>2.1.04.020.0683</v>
          </cell>
          <cell r="C1571" t="str">
            <v xml:space="preserve">SEGTRONICA COM DE </v>
          </cell>
          <cell r="D1571">
            <v>0</v>
          </cell>
          <cell r="E1571">
            <v>2914.75</v>
          </cell>
          <cell r="F1571">
            <v>2914.75</v>
          </cell>
          <cell r="G1571">
            <v>0</v>
          </cell>
          <cell r="H1571">
            <v>0</v>
          </cell>
          <cell r="I1571" t="str">
            <v>C</v>
          </cell>
        </row>
        <row r="1572">
          <cell r="A1572">
            <v>4125</v>
          </cell>
          <cell r="B1572" t="str">
            <v>2.1.04.020.0684</v>
          </cell>
          <cell r="C1572" t="str">
            <v xml:space="preserve">SIEMENS HEALTHCARE DIAG </v>
          </cell>
          <cell r="D1572">
            <v>19326.47</v>
          </cell>
          <cell r="E1572">
            <v>19326.47</v>
          </cell>
          <cell r="F1572">
            <v>18757.97</v>
          </cell>
          <cell r="G1572">
            <v>-568.5</v>
          </cell>
          <cell r="H1572">
            <v>18757.97</v>
          </cell>
          <cell r="I1572" t="str">
            <v>C</v>
          </cell>
        </row>
        <row r="1573">
          <cell r="A1573">
            <v>4130</v>
          </cell>
          <cell r="B1573" t="str">
            <v>2.1.04.020.0686</v>
          </cell>
          <cell r="C1573" t="str">
            <v xml:space="preserve">SIMPRO </v>
          </cell>
          <cell r="D1573">
            <v>1958.04</v>
          </cell>
          <cell r="E1573">
            <v>1958.04</v>
          </cell>
          <cell r="F1573">
            <v>1958.04</v>
          </cell>
          <cell r="G1573">
            <v>0</v>
          </cell>
          <cell r="H1573">
            <v>1958.04</v>
          </cell>
          <cell r="I1573" t="str">
            <v>C</v>
          </cell>
        </row>
        <row r="1574">
          <cell r="A1574">
            <v>3461</v>
          </cell>
          <cell r="B1574" t="str">
            <v>2.1.04.020.0687</v>
          </cell>
          <cell r="C1574" t="str">
            <v xml:space="preserve">STEMAC SA GRUPOS </v>
          </cell>
          <cell r="D1574">
            <v>3163.02</v>
          </cell>
          <cell r="E1574">
            <v>6326.04</v>
          </cell>
          <cell r="F1574">
            <v>3163.02</v>
          </cell>
          <cell r="G1574">
            <v>-3163.02</v>
          </cell>
          <cell r="H1574">
            <v>0</v>
          </cell>
          <cell r="I1574" t="str">
            <v>C</v>
          </cell>
        </row>
        <row r="1575">
          <cell r="A1575">
            <v>34109</v>
          </cell>
          <cell r="B1575" t="str">
            <v>2.1.04.020.0690</v>
          </cell>
          <cell r="C1575" t="str">
            <v xml:space="preserve">TECNOALIM SERV TECNICOS </v>
          </cell>
          <cell r="D1575">
            <v>3074</v>
          </cell>
          <cell r="E1575">
            <v>3074</v>
          </cell>
          <cell r="F1575">
            <v>3514</v>
          </cell>
          <cell r="G1575">
            <v>440</v>
          </cell>
          <cell r="H1575">
            <v>3514</v>
          </cell>
          <cell r="I1575" t="str">
            <v>C</v>
          </cell>
        </row>
        <row r="1576">
          <cell r="A1576">
            <v>54207</v>
          </cell>
          <cell r="B1576" t="str">
            <v>2.1.04.020.0691</v>
          </cell>
          <cell r="C1576" t="str">
            <v xml:space="preserve">ALPHA ELETRO ENGENHARIA </v>
          </cell>
          <cell r="D1576">
            <v>0</v>
          </cell>
          <cell r="E1576">
            <v>7550.4</v>
          </cell>
          <cell r="F1576">
            <v>7550.4</v>
          </cell>
          <cell r="G1576">
            <v>0</v>
          </cell>
          <cell r="H1576">
            <v>0</v>
          </cell>
          <cell r="I1576" t="str">
            <v>C</v>
          </cell>
        </row>
        <row r="1577">
          <cell r="A1577">
            <v>54338</v>
          </cell>
          <cell r="B1577" t="str">
            <v>2.1.04.020.0694</v>
          </cell>
          <cell r="C1577" t="str">
            <v>EMAC PROJETOS S/S LTDA</v>
          </cell>
          <cell r="D1577">
            <v>0</v>
          </cell>
          <cell r="E1577">
            <v>8765.59</v>
          </cell>
          <cell r="F1577">
            <v>8765.59</v>
          </cell>
          <cell r="G1577">
            <v>0</v>
          </cell>
          <cell r="H1577">
            <v>0</v>
          </cell>
          <cell r="I1577" t="str">
            <v>C</v>
          </cell>
        </row>
        <row r="1578">
          <cell r="A1578">
            <v>54402</v>
          </cell>
          <cell r="B1578" t="str">
            <v>2.1.04.020.0695</v>
          </cell>
          <cell r="C1578" t="str">
            <v xml:space="preserve">CLIMA ROCHA SOLUCOES EM </v>
          </cell>
          <cell r="D1578">
            <v>2250.4</v>
          </cell>
          <cell r="E1578">
            <v>4500.8</v>
          </cell>
          <cell r="F1578">
            <v>2982.75</v>
          </cell>
          <cell r="G1578">
            <v>-1518.05</v>
          </cell>
          <cell r="H1578">
            <v>732.35</v>
          </cell>
          <cell r="I1578" t="str">
            <v>C</v>
          </cell>
        </row>
        <row r="1579">
          <cell r="A1579">
            <v>54544</v>
          </cell>
          <cell r="B1579" t="str">
            <v>2.1.04.020.0696</v>
          </cell>
          <cell r="C1579" t="str">
            <v xml:space="preserve">OGINO ULTRASSONOGRAFIA </v>
          </cell>
          <cell r="D1579">
            <v>24818.94</v>
          </cell>
          <cell r="E1579">
            <v>24818.94</v>
          </cell>
          <cell r="F1579">
            <v>12765.36</v>
          </cell>
          <cell r="G1579">
            <v>-12053.58</v>
          </cell>
          <cell r="H1579">
            <v>12765.36</v>
          </cell>
          <cell r="I1579" t="str">
            <v>C</v>
          </cell>
        </row>
        <row r="1580">
          <cell r="A1580">
            <v>54614</v>
          </cell>
          <cell r="B1580" t="str">
            <v>2.1.04.020.0697</v>
          </cell>
          <cell r="C1580" t="str">
            <v xml:space="preserve">MARIA DA CONCEICAO </v>
          </cell>
          <cell r="D1580">
            <v>3616.2</v>
          </cell>
          <cell r="E1580">
            <v>3616.2</v>
          </cell>
          <cell r="F1580">
            <v>4086.6</v>
          </cell>
          <cell r="G1580">
            <v>470.4</v>
          </cell>
          <cell r="H1580">
            <v>4086.6</v>
          </cell>
          <cell r="I1580" t="str">
            <v>C</v>
          </cell>
        </row>
        <row r="1581">
          <cell r="A1581">
            <v>51798</v>
          </cell>
          <cell r="B1581" t="str">
            <v>2.1.04.020.0712</v>
          </cell>
          <cell r="C1581" t="str">
            <v xml:space="preserve">MR DA SILVA SJ DOS CAMPOS </v>
          </cell>
          <cell r="D1581">
            <v>0</v>
          </cell>
          <cell r="E1581">
            <v>3000</v>
          </cell>
          <cell r="F1581">
            <v>3000</v>
          </cell>
          <cell r="G1581">
            <v>0</v>
          </cell>
          <cell r="H1581">
            <v>0</v>
          </cell>
          <cell r="I1581" t="str">
            <v>C</v>
          </cell>
        </row>
        <row r="1582">
          <cell r="A1582">
            <v>54677</v>
          </cell>
          <cell r="B1582" t="str">
            <v>2.1.04.020.0716</v>
          </cell>
          <cell r="C1582" t="str">
            <v>POWERTISS SISTEMAS LTDA</v>
          </cell>
          <cell r="D1582">
            <v>4223.25</v>
          </cell>
          <cell r="E1582">
            <v>4223.25</v>
          </cell>
          <cell r="F1582">
            <v>4223.25</v>
          </cell>
          <cell r="G1582">
            <v>0</v>
          </cell>
          <cell r="H1582">
            <v>4223.25</v>
          </cell>
          <cell r="I1582" t="str">
            <v>C</v>
          </cell>
        </row>
        <row r="1583">
          <cell r="A1583">
            <v>3309</v>
          </cell>
          <cell r="B1583" t="str">
            <v>2.1.04.020.0722</v>
          </cell>
          <cell r="C1583" t="str">
            <v xml:space="preserve">PRODUMED SERV. IND. E </v>
          </cell>
          <cell r="D1583">
            <v>338.84</v>
          </cell>
          <cell r="E1583">
            <v>338.84</v>
          </cell>
          <cell r="F1583">
            <v>800.7</v>
          </cell>
          <cell r="G1583">
            <v>461.86</v>
          </cell>
          <cell r="H1583">
            <v>800.7</v>
          </cell>
          <cell r="I1583" t="str">
            <v>C</v>
          </cell>
        </row>
        <row r="1584">
          <cell r="A1584">
            <v>54697</v>
          </cell>
          <cell r="B1584" t="str">
            <v>2.1.04.020.0723</v>
          </cell>
          <cell r="C1584" t="str">
            <v xml:space="preserve">ALEX APARECIDO DA SILVA </v>
          </cell>
          <cell r="D1584">
            <v>5730</v>
          </cell>
          <cell r="E1584">
            <v>5050</v>
          </cell>
          <cell r="F1584">
            <v>6690</v>
          </cell>
          <cell r="G1584">
            <v>1640</v>
          </cell>
          <cell r="H1584">
            <v>7370</v>
          </cell>
          <cell r="I1584" t="str">
            <v>C</v>
          </cell>
        </row>
        <row r="1585">
          <cell r="A1585">
            <v>54744</v>
          </cell>
          <cell r="B1585" t="str">
            <v>2.1.04.020.0737</v>
          </cell>
          <cell r="C1585" t="str">
            <v xml:space="preserve">JORGE APARECIDO FERREIRA </v>
          </cell>
          <cell r="D1585">
            <v>10920</v>
          </cell>
          <cell r="E1585">
            <v>23010</v>
          </cell>
          <cell r="F1585">
            <v>12090</v>
          </cell>
          <cell r="G1585">
            <v>-10920</v>
          </cell>
          <cell r="H1585">
            <v>0</v>
          </cell>
          <cell r="I1585" t="str">
            <v>C</v>
          </cell>
        </row>
        <row r="1586">
          <cell r="A1586">
            <v>54774</v>
          </cell>
          <cell r="B1586" t="str">
            <v>2.1.04.020.0741</v>
          </cell>
          <cell r="C1586" t="str">
            <v>POLO DOS CAFES LTDA</v>
          </cell>
          <cell r="D1586">
            <v>3717.45</v>
          </cell>
          <cell r="E1586">
            <v>7632.7</v>
          </cell>
          <cell r="F1586">
            <v>7926.55</v>
          </cell>
          <cell r="G1586">
            <v>293.85000000000002</v>
          </cell>
          <cell r="H1586">
            <v>4011.3</v>
          </cell>
          <cell r="I1586" t="str">
            <v>C</v>
          </cell>
        </row>
        <row r="1587">
          <cell r="A1587">
            <v>52672</v>
          </cell>
          <cell r="B1587" t="str">
            <v>2.1.04.020.0742</v>
          </cell>
          <cell r="C1587" t="str">
            <v>PLAZA E CAMPOS LTDA ME</v>
          </cell>
          <cell r="D1587">
            <v>1066.2</v>
          </cell>
          <cell r="E1587">
            <v>2567.8000000000002</v>
          </cell>
          <cell r="F1587">
            <v>4069.4</v>
          </cell>
          <cell r="G1587">
            <v>1501.6</v>
          </cell>
          <cell r="H1587">
            <v>2567.8000000000002</v>
          </cell>
          <cell r="I1587" t="str">
            <v>C</v>
          </cell>
        </row>
        <row r="1588">
          <cell r="A1588">
            <v>53006</v>
          </cell>
          <cell r="B1588" t="str">
            <v>2.1.04.020.0745</v>
          </cell>
          <cell r="C1588" t="str">
            <v>EC RAPOSO BALANCAS ME</v>
          </cell>
          <cell r="D1588">
            <v>200</v>
          </cell>
          <cell r="E1588">
            <v>200</v>
          </cell>
          <cell r="F1588">
            <v>0</v>
          </cell>
          <cell r="G1588">
            <v>-200</v>
          </cell>
          <cell r="H1588">
            <v>0</v>
          </cell>
          <cell r="I1588" t="str">
            <v>C</v>
          </cell>
        </row>
        <row r="1589">
          <cell r="A1589">
            <v>54779</v>
          </cell>
          <cell r="B1589" t="str">
            <v>2.1.04.020.0747</v>
          </cell>
          <cell r="C1589" t="str">
            <v xml:space="preserve">DRM EDUCACAO - SISTEMA </v>
          </cell>
          <cell r="D1589">
            <v>1270</v>
          </cell>
          <cell r="E1589">
            <v>1270</v>
          </cell>
          <cell r="F1589">
            <v>1605</v>
          </cell>
          <cell r="G1589">
            <v>335</v>
          </cell>
          <cell r="H1589">
            <v>1605</v>
          </cell>
          <cell r="I1589" t="str">
            <v>C</v>
          </cell>
        </row>
        <row r="1590">
          <cell r="A1590">
            <v>54800</v>
          </cell>
          <cell r="B1590" t="str">
            <v>2.1.04.020.0753</v>
          </cell>
          <cell r="C1590" t="str">
            <v xml:space="preserve">LOCASET LOCADORA DE </v>
          </cell>
          <cell r="D1590">
            <v>400</v>
          </cell>
          <cell r="E1590">
            <v>400</v>
          </cell>
          <cell r="F1590">
            <v>400</v>
          </cell>
          <cell r="G1590">
            <v>0</v>
          </cell>
          <cell r="H1590">
            <v>400</v>
          </cell>
          <cell r="I1590" t="str">
            <v>C</v>
          </cell>
        </row>
        <row r="1591">
          <cell r="A1591">
            <v>54843</v>
          </cell>
          <cell r="B1591" t="str">
            <v>2.1.04.020.0760</v>
          </cell>
          <cell r="C1591" t="str">
            <v>PHVS RESTAURANTE LTDA</v>
          </cell>
          <cell r="D1591">
            <v>0</v>
          </cell>
          <cell r="E1591">
            <v>2142</v>
          </cell>
          <cell r="F1591">
            <v>4536</v>
          </cell>
          <cell r="G1591">
            <v>2394</v>
          </cell>
          <cell r="H1591">
            <v>2394</v>
          </cell>
          <cell r="I1591" t="str">
            <v>C</v>
          </cell>
        </row>
        <row r="1592">
          <cell r="A1592">
            <v>54871</v>
          </cell>
          <cell r="B1592" t="str">
            <v>2.1.04.020.0763</v>
          </cell>
          <cell r="C1592" t="str">
            <v xml:space="preserve">HORACIO ALAN DE OLIVEIRA </v>
          </cell>
          <cell r="D1592">
            <v>52</v>
          </cell>
          <cell r="E1592">
            <v>104</v>
          </cell>
          <cell r="F1592">
            <v>52</v>
          </cell>
          <cell r="G1592">
            <v>-52</v>
          </cell>
          <cell r="H1592">
            <v>0</v>
          </cell>
          <cell r="I1592" t="str">
            <v>C</v>
          </cell>
        </row>
        <row r="1593">
          <cell r="A1593">
            <v>54879</v>
          </cell>
          <cell r="B1593" t="str">
            <v>2.1.04.020.0765</v>
          </cell>
          <cell r="C1593" t="str">
            <v xml:space="preserve">PALLAS INTELIGENCIA EM </v>
          </cell>
          <cell r="D1593">
            <v>10341.1</v>
          </cell>
          <cell r="E1593">
            <v>20682.2</v>
          </cell>
          <cell r="F1593">
            <v>10341.1</v>
          </cell>
          <cell r="G1593">
            <v>-10341.1</v>
          </cell>
          <cell r="H1593">
            <v>0</v>
          </cell>
          <cell r="I1593" t="str">
            <v>C</v>
          </cell>
        </row>
        <row r="1594">
          <cell r="A1594">
            <v>54886</v>
          </cell>
          <cell r="B1594" t="str">
            <v>2.1.04.020.0766</v>
          </cell>
          <cell r="C1594" t="str">
            <v xml:space="preserve">TECNOVALE EXTINTORES </v>
          </cell>
          <cell r="D1594">
            <v>388</v>
          </cell>
          <cell r="E1594">
            <v>388</v>
          </cell>
          <cell r="F1594">
            <v>0</v>
          </cell>
          <cell r="G1594">
            <v>-388</v>
          </cell>
          <cell r="H1594">
            <v>0</v>
          </cell>
          <cell r="I1594" t="str">
            <v>C</v>
          </cell>
        </row>
        <row r="1595">
          <cell r="A1595">
            <v>54912</v>
          </cell>
          <cell r="B1595" t="str">
            <v>2.1.04.020.0768</v>
          </cell>
          <cell r="C1595" t="str">
            <v xml:space="preserve">STUDIO DUALDAY </v>
          </cell>
          <cell r="D1595">
            <v>0</v>
          </cell>
          <cell r="E1595">
            <v>0</v>
          </cell>
          <cell r="F1595">
            <v>24000</v>
          </cell>
          <cell r="G1595">
            <v>24000</v>
          </cell>
          <cell r="H1595">
            <v>24000</v>
          </cell>
          <cell r="I1595" t="str">
            <v>C</v>
          </cell>
        </row>
        <row r="1596">
          <cell r="A1596">
            <v>54922</v>
          </cell>
          <cell r="B1596" t="str">
            <v>2.1.04.020.0769</v>
          </cell>
          <cell r="C1596" t="str">
            <v xml:space="preserve">CLODOALDO TOBIAS DA SILVA </v>
          </cell>
          <cell r="D1596">
            <v>11000</v>
          </cell>
          <cell r="E1596">
            <v>11000</v>
          </cell>
          <cell r="F1596">
            <v>0</v>
          </cell>
          <cell r="G1596">
            <v>-11000</v>
          </cell>
          <cell r="H1596">
            <v>0</v>
          </cell>
          <cell r="I1596" t="str">
            <v>C</v>
          </cell>
        </row>
        <row r="1597">
          <cell r="A1597">
            <v>54928</v>
          </cell>
          <cell r="B1597" t="str">
            <v>2.1.04.020.0770</v>
          </cell>
          <cell r="C1597" t="str">
            <v xml:space="preserve">LEANDRO JOSE DO CARMO </v>
          </cell>
          <cell r="D1597">
            <v>8500</v>
          </cell>
          <cell r="E1597">
            <v>8500</v>
          </cell>
          <cell r="F1597">
            <v>8500</v>
          </cell>
          <cell r="G1597">
            <v>0</v>
          </cell>
          <cell r="H1597">
            <v>8500</v>
          </cell>
          <cell r="I1597" t="str">
            <v>C</v>
          </cell>
        </row>
        <row r="1598">
          <cell r="A1598">
            <v>54931</v>
          </cell>
          <cell r="B1598" t="str">
            <v>2.1.04.020.0773</v>
          </cell>
          <cell r="C1598" t="str">
            <v xml:space="preserve">BARBOSA &amp; DRUMOND APOIO </v>
          </cell>
          <cell r="D1598">
            <v>0</v>
          </cell>
          <cell r="E1598">
            <v>6500</v>
          </cell>
          <cell r="F1598">
            <v>6500</v>
          </cell>
          <cell r="G1598">
            <v>0</v>
          </cell>
          <cell r="H1598">
            <v>0</v>
          </cell>
          <cell r="I1598" t="str">
            <v>C</v>
          </cell>
        </row>
        <row r="1599">
          <cell r="A1599">
            <v>54937</v>
          </cell>
          <cell r="B1599" t="str">
            <v>2.1.04.020.0775</v>
          </cell>
          <cell r="C1599" t="str">
            <v xml:space="preserve">JANE ANTUNES DE BRITO </v>
          </cell>
          <cell r="D1599">
            <v>215.7</v>
          </cell>
          <cell r="E1599">
            <v>215.7</v>
          </cell>
          <cell r="F1599">
            <v>0</v>
          </cell>
          <cell r="G1599">
            <v>-215.7</v>
          </cell>
          <cell r="H1599">
            <v>0</v>
          </cell>
          <cell r="I1599" t="str">
            <v>C</v>
          </cell>
        </row>
        <row r="1600">
          <cell r="A1600">
            <v>54945</v>
          </cell>
          <cell r="B1600" t="str">
            <v>2.1.04.020.0777</v>
          </cell>
          <cell r="C1600" t="str">
            <v xml:space="preserve">PROMEC VENT ENGENHARIA </v>
          </cell>
          <cell r="D1600">
            <v>3753.3</v>
          </cell>
          <cell r="E1600">
            <v>2502.1999999999998</v>
          </cell>
          <cell r="F1600">
            <v>0</v>
          </cell>
          <cell r="G1600">
            <v>-2502.1999999999998</v>
          </cell>
          <cell r="H1600">
            <v>1251.0999999999999</v>
          </cell>
          <cell r="I1600" t="str">
            <v>C</v>
          </cell>
        </row>
        <row r="1601">
          <cell r="A1601">
            <v>54985</v>
          </cell>
          <cell r="B1601" t="str">
            <v>2.1.04.020.0786</v>
          </cell>
          <cell r="C1601" t="str">
            <v xml:space="preserve">MAFFEI BELLINI APOIO </v>
          </cell>
          <cell r="D1601">
            <v>11000</v>
          </cell>
          <cell r="E1601">
            <v>11000</v>
          </cell>
          <cell r="F1601">
            <v>11000</v>
          </cell>
          <cell r="G1601">
            <v>0</v>
          </cell>
          <cell r="H1601">
            <v>11000</v>
          </cell>
          <cell r="I1601" t="str">
            <v>C</v>
          </cell>
        </row>
        <row r="1602">
          <cell r="A1602">
            <v>55007</v>
          </cell>
          <cell r="B1602" t="str">
            <v>2.1.04.020.0787</v>
          </cell>
          <cell r="C1602" t="str">
            <v xml:space="preserve">LMM ARMAZENAMENTO DE </v>
          </cell>
          <cell r="D1602">
            <v>0</v>
          </cell>
          <cell r="E1602">
            <v>230</v>
          </cell>
          <cell r="F1602">
            <v>230</v>
          </cell>
          <cell r="G1602">
            <v>0</v>
          </cell>
          <cell r="H1602">
            <v>0</v>
          </cell>
          <cell r="I1602" t="str">
            <v>C</v>
          </cell>
        </row>
        <row r="1603">
          <cell r="A1603">
            <v>55023</v>
          </cell>
          <cell r="B1603" t="str">
            <v>2.1.04.020.0792</v>
          </cell>
          <cell r="C1603" t="str">
            <v xml:space="preserve">RODOAN LOGISTICA E </v>
          </cell>
          <cell r="D1603">
            <v>1700</v>
          </cell>
          <cell r="E1603">
            <v>1700</v>
          </cell>
          <cell r="F1603">
            <v>3100</v>
          </cell>
          <cell r="G1603">
            <v>1400</v>
          </cell>
          <cell r="H1603">
            <v>3100</v>
          </cell>
          <cell r="I1603" t="str">
            <v>C</v>
          </cell>
        </row>
        <row r="1604">
          <cell r="A1604">
            <v>55030</v>
          </cell>
          <cell r="B1604" t="str">
            <v>2.1.04.020.0797</v>
          </cell>
          <cell r="C1604" t="str">
            <v>MARIANA ARAUJO SANTOS</v>
          </cell>
          <cell r="D1604">
            <v>244.48</v>
          </cell>
          <cell r="E1604">
            <v>0</v>
          </cell>
          <cell r="F1604">
            <v>0</v>
          </cell>
          <cell r="G1604">
            <v>0</v>
          </cell>
          <cell r="H1604">
            <v>244.48</v>
          </cell>
          <cell r="I1604" t="str">
            <v>C</v>
          </cell>
        </row>
        <row r="1605">
          <cell r="A1605">
            <v>55045</v>
          </cell>
          <cell r="B1605" t="str">
            <v>2.1.04.020.0799</v>
          </cell>
          <cell r="C1605" t="str">
            <v xml:space="preserve">GENI MELO DE OLIVEIRA </v>
          </cell>
          <cell r="D1605">
            <v>4815.8</v>
          </cell>
          <cell r="E1605">
            <v>14666.3</v>
          </cell>
          <cell r="F1605">
            <v>9850.5</v>
          </cell>
          <cell r="G1605">
            <v>-4815.8</v>
          </cell>
          <cell r="H1605">
            <v>0</v>
          </cell>
          <cell r="I1605" t="str">
            <v>C</v>
          </cell>
        </row>
        <row r="1606">
          <cell r="A1606">
            <v>55050</v>
          </cell>
          <cell r="B1606" t="str">
            <v>2.1.04.020.0801</v>
          </cell>
          <cell r="C1606" t="str">
            <v xml:space="preserve">CONTBAN COMERCIO E </v>
          </cell>
          <cell r="D1606">
            <v>1560</v>
          </cell>
          <cell r="E1606">
            <v>1560</v>
          </cell>
          <cell r="F1606">
            <v>1560</v>
          </cell>
          <cell r="G1606">
            <v>0</v>
          </cell>
          <cell r="H1606">
            <v>1560</v>
          </cell>
          <cell r="I1606" t="str">
            <v>C</v>
          </cell>
        </row>
        <row r="1607">
          <cell r="A1607">
            <v>55052</v>
          </cell>
          <cell r="B1607" t="str">
            <v>2.1.04.020.0803</v>
          </cell>
          <cell r="C1607" t="str">
            <v xml:space="preserve">SOUZAMONT MONTAGEM E </v>
          </cell>
          <cell r="D1607">
            <v>0</v>
          </cell>
          <cell r="E1607">
            <v>0</v>
          </cell>
          <cell r="F1607">
            <v>12343.25</v>
          </cell>
          <cell r="G1607">
            <v>12343.25</v>
          </cell>
          <cell r="H1607">
            <v>12343.25</v>
          </cell>
          <cell r="I1607" t="str">
            <v>C</v>
          </cell>
        </row>
        <row r="1608">
          <cell r="A1608">
            <v>55075</v>
          </cell>
          <cell r="B1608" t="str">
            <v>2.1.04.020.0810</v>
          </cell>
          <cell r="C1608" t="str">
            <v>PINESE VIEIRA LTDA.</v>
          </cell>
          <cell r="D1608">
            <v>481538.7</v>
          </cell>
          <cell r="E1608">
            <v>481538.7</v>
          </cell>
          <cell r="F1608">
            <v>481141.95</v>
          </cell>
          <cell r="G1608">
            <v>-396.75</v>
          </cell>
          <cell r="H1608">
            <v>481141.95</v>
          </cell>
          <cell r="I1608" t="str">
            <v>C</v>
          </cell>
        </row>
        <row r="1609">
          <cell r="A1609">
            <v>55090</v>
          </cell>
          <cell r="B1609" t="str">
            <v>2.1.04.020.0812</v>
          </cell>
          <cell r="C1609" t="str">
            <v xml:space="preserve">FNTT COMERCIO E SERVICOS </v>
          </cell>
          <cell r="D1609">
            <v>8756.2000000000007</v>
          </cell>
          <cell r="E1609">
            <v>17512.400000000001</v>
          </cell>
          <cell r="F1609">
            <v>8756.2000000000007</v>
          </cell>
          <cell r="G1609">
            <v>-8756.2000000000007</v>
          </cell>
          <cell r="H1609">
            <v>0</v>
          </cell>
          <cell r="I1609" t="str">
            <v>C</v>
          </cell>
        </row>
        <row r="1610">
          <cell r="A1610">
            <v>55093</v>
          </cell>
          <cell r="B1610" t="str">
            <v>2.1.04.020.0813</v>
          </cell>
          <cell r="C1610" t="str">
            <v xml:space="preserve">ANA BEATRIZ DE OLIVEIRA </v>
          </cell>
          <cell r="D1610">
            <v>0</v>
          </cell>
          <cell r="E1610">
            <v>3840</v>
          </cell>
          <cell r="F1610">
            <v>3840</v>
          </cell>
          <cell r="G1610">
            <v>0</v>
          </cell>
          <cell r="H1610">
            <v>0</v>
          </cell>
          <cell r="I1610" t="str">
            <v>C</v>
          </cell>
        </row>
        <row r="1611">
          <cell r="A1611">
            <v>55108</v>
          </cell>
          <cell r="B1611" t="str">
            <v>2.1.04.020.0814</v>
          </cell>
          <cell r="C1611" t="str">
            <v>DECIO DE BARROS JUNIOR</v>
          </cell>
          <cell r="D1611">
            <v>22075.61</v>
          </cell>
          <cell r="E1611">
            <v>44151.22</v>
          </cell>
          <cell r="F1611">
            <v>44151.22</v>
          </cell>
          <cell r="G1611">
            <v>0</v>
          </cell>
          <cell r="H1611">
            <v>22075.61</v>
          </cell>
          <cell r="I1611" t="str">
            <v>C</v>
          </cell>
        </row>
        <row r="1612">
          <cell r="A1612">
            <v>55117</v>
          </cell>
          <cell r="B1612" t="str">
            <v>2.1.04.020.0818</v>
          </cell>
          <cell r="C1612" t="str">
            <v xml:space="preserve">A. A. DE SANTANA </v>
          </cell>
          <cell r="D1612">
            <v>2400</v>
          </cell>
          <cell r="E1612">
            <v>2400</v>
          </cell>
          <cell r="F1612">
            <v>0</v>
          </cell>
          <cell r="G1612">
            <v>-2400</v>
          </cell>
          <cell r="H1612">
            <v>0</v>
          </cell>
          <cell r="I1612" t="str">
            <v>C</v>
          </cell>
        </row>
        <row r="1613">
          <cell r="A1613">
            <v>55124</v>
          </cell>
          <cell r="B1613" t="str">
            <v>2.1.04.020.0820</v>
          </cell>
          <cell r="C1613" t="str">
            <v>STACHERA BIO PULMONAR</v>
          </cell>
          <cell r="D1613">
            <v>0</v>
          </cell>
          <cell r="E1613">
            <v>3670</v>
          </cell>
          <cell r="F1613">
            <v>5940</v>
          </cell>
          <cell r="G1613">
            <v>2270</v>
          </cell>
          <cell r="H1613">
            <v>2270</v>
          </cell>
          <cell r="I1613" t="str">
            <v>C</v>
          </cell>
        </row>
        <row r="1614">
          <cell r="A1614">
            <v>55146</v>
          </cell>
          <cell r="B1614" t="str">
            <v>2.1.04.020.0825</v>
          </cell>
          <cell r="C1614" t="str">
            <v xml:space="preserve">RJ VALE INFRAESTRUTURA </v>
          </cell>
          <cell r="D1614">
            <v>2100</v>
          </cell>
          <cell r="E1614">
            <v>2100</v>
          </cell>
          <cell r="F1614">
            <v>0</v>
          </cell>
          <cell r="G1614">
            <v>-2100</v>
          </cell>
          <cell r="H1614">
            <v>0</v>
          </cell>
          <cell r="I1614" t="str">
            <v>C</v>
          </cell>
        </row>
        <row r="1615">
          <cell r="A1615">
            <v>55147</v>
          </cell>
          <cell r="B1615" t="str">
            <v>2.1.04.020.0826</v>
          </cell>
          <cell r="C1615" t="str">
            <v>CONSTRUTORA DEVINI LTDA</v>
          </cell>
          <cell r="D1615">
            <v>1773.28</v>
          </cell>
          <cell r="E1615">
            <v>1773.28</v>
          </cell>
          <cell r="F1615">
            <v>0</v>
          </cell>
          <cell r="G1615">
            <v>-1773.28</v>
          </cell>
          <cell r="H1615">
            <v>0</v>
          </cell>
          <cell r="I1615" t="str">
            <v>C</v>
          </cell>
        </row>
        <row r="1616">
          <cell r="A1616">
            <v>55154</v>
          </cell>
          <cell r="B1616" t="str">
            <v>2.1.04.020.0828</v>
          </cell>
          <cell r="C1616" t="str">
            <v xml:space="preserve">J &amp; J CONSULTORIA </v>
          </cell>
          <cell r="D1616">
            <v>0</v>
          </cell>
          <cell r="E1616">
            <v>3500</v>
          </cell>
          <cell r="F1616">
            <v>3500</v>
          </cell>
          <cell r="G1616">
            <v>0</v>
          </cell>
          <cell r="H1616">
            <v>0</v>
          </cell>
          <cell r="I1616" t="str">
            <v>C</v>
          </cell>
        </row>
        <row r="1617">
          <cell r="A1617">
            <v>55156</v>
          </cell>
          <cell r="B1617" t="str">
            <v>2.1.04.020.0829</v>
          </cell>
          <cell r="C1617" t="str">
            <v>POLIMIX CONCRETO LTDA</v>
          </cell>
          <cell r="D1617">
            <v>0</v>
          </cell>
          <cell r="E1617">
            <v>0</v>
          </cell>
          <cell r="F1617">
            <v>66995.8</v>
          </cell>
          <cell r="G1617">
            <v>66995.8</v>
          </cell>
          <cell r="H1617">
            <v>66995.8</v>
          </cell>
          <cell r="I1617" t="str">
            <v>C</v>
          </cell>
        </row>
        <row r="1618">
          <cell r="A1618">
            <v>55357</v>
          </cell>
          <cell r="B1618" t="str">
            <v>2.1.04.020.0841</v>
          </cell>
          <cell r="C1618" t="str">
            <v xml:space="preserve">MARCIO HENRIQUE AFFINI DA </v>
          </cell>
          <cell r="D1618">
            <v>5400</v>
          </cell>
          <cell r="E1618">
            <v>1800</v>
          </cell>
          <cell r="F1618">
            <v>0</v>
          </cell>
          <cell r="G1618">
            <v>-1800</v>
          </cell>
          <cell r="H1618">
            <v>3600</v>
          </cell>
          <cell r="I1618" t="str">
            <v>C</v>
          </cell>
        </row>
        <row r="1619">
          <cell r="A1619">
            <v>55254</v>
          </cell>
          <cell r="B1619" t="str">
            <v>2.1.04.020.0842</v>
          </cell>
          <cell r="C1619" t="str">
            <v>S A O ESTADO DE S PAULO</v>
          </cell>
          <cell r="D1619">
            <v>31575.52</v>
          </cell>
          <cell r="E1619">
            <v>0</v>
          </cell>
          <cell r="F1619">
            <v>0</v>
          </cell>
          <cell r="G1619">
            <v>0</v>
          </cell>
          <cell r="H1619">
            <v>31575.52</v>
          </cell>
          <cell r="I1619" t="str">
            <v>C</v>
          </cell>
        </row>
        <row r="1620">
          <cell r="A1620">
            <v>55413</v>
          </cell>
          <cell r="B1620" t="str">
            <v>2.1.04.020.0852</v>
          </cell>
          <cell r="C1620" t="str">
            <v xml:space="preserve">SECRETARIA DA FAZENDA E </v>
          </cell>
          <cell r="D1620">
            <v>213.51</v>
          </cell>
          <cell r="E1620">
            <v>23270.959999999999</v>
          </cell>
          <cell r="F1620">
            <v>23057.45</v>
          </cell>
          <cell r="G1620">
            <v>-213.51</v>
          </cell>
          <cell r="H1620">
            <v>0</v>
          </cell>
          <cell r="I1620" t="str">
            <v>C</v>
          </cell>
        </row>
        <row r="1621">
          <cell r="A1621">
            <v>55418</v>
          </cell>
          <cell r="B1621" t="str">
            <v>2.1.04.020.0855</v>
          </cell>
          <cell r="C1621" t="str">
            <v xml:space="preserve">VAI LOCAR EQUIPAMENTOS </v>
          </cell>
          <cell r="D1621">
            <v>3696</v>
          </cell>
          <cell r="E1621">
            <v>6889</v>
          </cell>
          <cell r="F1621">
            <v>6049</v>
          </cell>
          <cell r="G1621">
            <v>-840</v>
          </cell>
          <cell r="H1621">
            <v>2856</v>
          </cell>
          <cell r="I1621" t="str">
            <v>C</v>
          </cell>
        </row>
        <row r="1622">
          <cell r="A1622">
            <v>55419</v>
          </cell>
          <cell r="B1622" t="str">
            <v>2.1.04.020.0856</v>
          </cell>
          <cell r="C1622" t="str">
            <v xml:space="preserve">TANGRAM APP </v>
          </cell>
          <cell r="D1622">
            <v>0</v>
          </cell>
          <cell r="E1622">
            <v>4276.74</v>
          </cell>
          <cell r="F1622">
            <v>4276.74</v>
          </cell>
          <cell r="G1622">
            <v>0</v>
          </cell>
          <cell r="H1622">
            <v>0</v>
          </cell>
          <cell r="I1622" t="str">
            <v>C</v>
          </cell>
        </row>
        <row r="1623">
          <cell r="A1623">
            <v>55422</v>
          </cell>
          <cell r="B1623" t="str">
            <v>2.1.04.020.0858</v>
          </cell>
          <cell r="C1623" t="str">
            <v xml:space="preserve">PM EMPREENDIMENTOS </v>
          </cell>
          <cell r="D1623">
            <v>0</v>
          </cell>
          <cell r="E1623">
            <v>25000</v>
          </cell>
          <cell r="F1623">
            <v>50000</v>
          </cell>
          <cell r="G1623">
            <v>25000</v>
          </cell>
          <cell r="H1623">
            <v>25000</v>
          </cell>
          <cell r="I1623" t="str">
            <v>C</v>
          </cell>
        </row>
        <row r="1624">
          <cell r="A1624">
            <v>55423</v>
          </cell>
          <cell r="B1624" t="str">
            <v>2.1.04.020.0859</v>
          </cell>
          <cell r="C1624" t="str">
            <v xml:space="preserve">LOCAR GUINDASTES E </v>
          </cell>
          <cell r="D1624">
            <v>31799.439999999999</v>
          </cell>
          <cell r="E1624">
            <v>76863.17</v>
          </cell>
          <cell r="F1624">
            <v>45063.73</v>
          </cell>
          <cell r="G1624">
            <v>-31799.439999999999</v>
          </cell>
          <cell r="H1624">
            <v>0</v>
          </cell>
          <cell r="I1624" t="str">
            <v>C</v>
          </cell>
        </row>
        <row r="1625">
          <cell r="A1625">
            <v>55446</v>
          </cell>
          <cell r="B1625" t="str">
            <v>2.1.04.020.0867</v>
          </cell>
          <cell r="C1625" t="str">
            <v xml:space="preserve">LAYHER COMERCIO DE </v>
          </cell>
          <cell r="D1625">
            <v>0</v>
          </cell>
          <cell r="E1625">
            <v>8283.5</v>
          </cell>
          <cell r="F1625">
            <v>8283.5</v>
          </cell>
          <cell r="G1625">
            <v>0</v>
          </cell>
          <cell r="H1625">
            <v>0</v>
          </cell>
          <cell r="I1625" t="str">
            <v>C</v>
          </cell>
        </row>
        <row r="1626">
          <cell r="A1626">
            <v>55460</v>
          </cell>
          <cell r="B1626" t="str">
            <v>2.1.04.020.0868</v>
          </cell>
          <cell r="C1626" t="str">
            <v>ELEVADORES VILLARTA LTDA</v>
          </cell>
          <cell r="D1626">
            <v>357.32</v>
          </cell>
          <cell r="E1626">
            <v>357.32</v>
          </cell>
          <cell r="F1626">
            <v>357.32</v>
          </cell>
          <cell r="G1626">
            <v>0</v>
          </cell>
          <cell r="H1626">
            <v>357.32</v>
          </cell>
          <cell r="I1626" t="str">
            <v>C</v>
          </cell>
        </row>
        <row r="1627">
          <cell r="A1627">
            <v>55471</v>
          </cell>
          <cell r="B1627" t="str">
            <v>2.1.04.020.0869</v>
          </cell>
          <cell r="C1627" t="str">
            <v xml:space="preserve">PODER JUDICIARIO TRIBUNAL </v>
          </cell>
          <cell r="D1627">
            <v>0</v>
          </cell>
          <cell r="E1627">
            <v>365107.92</v>
          </cell>
          <cell r="F1627">
            <v>365107.92</v>
          </cell>
          <cell r="G1627">
            <v>0</v>
          </cell>
          <cell r="H1627">
            <v>0</v>
          </cell>
          <cell r="I1627" t="str">
            <v>C</v>
          </cell>
        </row>
        <row r="1628">
          <cell r="A1628">
            <v>55856</v>
          </cell>
          <cell r="B1628" t="str">
            <v>2.1.04.020.0877</v>
          </cell>
          <cell r="C1628" t="str">
            <v>ALLIANZ SEGUROS S/A</v>
          </cell>
          <cell r="D1628">
            <v>307.89</v>
          </cell>
          <cell r="E1628">
            <v>307.89</v>
          </cell>
          <cell r="F1628">
            <v>0</v>
          </cell>
          <cell r="G1628">
            <v>-307.89</v>
          </cell>
          <cell r="H1628">
            <v>0</v>
          </cell>
          <cell r="I1628" t="str">
            <v>C</v>
          </cell>
        </row>
        <row r="1629">
          <cell r="A1629">
            <v>55861</v>
          </cell>
          <cell r="B1629" t="str">
            <v>2.1.04.020.0878</v>
          </cell>
          <cell r="C1629" t="str">
            <v xml:space="preserve">CONSDOC PROCESSAMENTO </v>
          </cell>
          <cell r="D1629">
            <v>380.45</v>
          </cell>
          <cell r="E1629">
            <v>760.9</v>
          </cell>
          <cell r="F1629">
            <v>380.45</v>
          </cell>
          <cell r="G1629">
            <v>-380.45</v>
          </cell>
          <cell r="H1629">
            <v>0</v>
          </cell>
          <cell r="I1629" t="str">
            <v>C</v>
          </cell>
        </row>
        <row r="1630">
          <cell r="A1630">
            <v>55863</v>
          </cell>
          <cell r="B1630" t="str">
            <v>2.1.04.020.0879</v>
          </cell>
          <cell r="C1630" t="str">
            <v>SPONTE INFORMATICA S. A.</v>
          </cell>
          <cell r="D1630">
            <v>0</v>
          </cell>
          <cell r="E1630">
            <v>347.7</v>
          </cell>
          <cell r="F1630">
            <v>347.7</v>
          </cell>
          <cell r="G1630">
            <v>0</v>
          </cell>
          <cell r="H1630">
            <v>0</v>
          </cell>
          <cell r="I1630" t="str">
            <v>C</v>
          </cell>
        </row>
        <row r="1631">
          <cell r="A1631">
            <v>55872</v>
          </cell>
          <cell r="B1631" t="str">
            <v>2.1.04.020.0882</v>
          </cell>
          <cell r="C1631" t="str">
            <v xml:space="preserve">GO TIME LAPSE LOCACAO DE </v>
          </cell>
          <cell r="D1631">
            <v>1625</v>
          </cell>
          <cell r="E1631">
            <v>1625</v>
          </cell>
          <cell r="F1631">
            <v>1625</v>
          </cell>
          <cell r="G1631">
            <v>0</v>
          </cell>
          <cell r="H1631">
            <v>1625</v>
          </cell>
          <cell r="I1631" t="str">
            <v>C</v>
          </cell>
        </row>
        <row r="1632">
          <cell r="A1632">
            <v>55888</v>
          </cell>
          <cell r="B1632" t="str">
            <v>2.1.04.020.0889</v>
          </cell>
          <cell r="C1632" t="str">
            <v>SOMPO SEGUROS S.A.</v>
          </cell>
          <cell r="D1632">
            <v>1120.29</v>
          </cell>
          <cell r="E1632">
            <v>280.08</v>
          </cell>
          <cell r="F1632">
            <v>0</v>
          </cell>
          <cell r="G1632">
            <v>-280.08</v>
          </cell>
          <cell r="H1632">
            <v>840.21</v>
          </cell>
          <cell r="I1632" t="str">
            <v>C</v>
          </cell>
        </row>
        <row r="1633">
          <cell r="A1633">
            <v>55890</v>
          </cell>
          <cell r="B1633" t="str">
            <v>2.1.04.020.0890</v>
          </cell>
          <cell r="C1633" t="str">
            <v xml:space="preserve">HIDRO BALA TRANSPORTES E </v>
          </cell>
          <cell r="D1633">
            <v>1164</v>
          </cell>
          <cell r="E1633">
            <v>1164</v>
          </cell>
          <cell r="F1633">
            <v>0</v>
          </cell>
          <cell r="G1633">
            <v>-1164</v>
          </cell>
          <cell r="H1633">
            <v>0</v>
          </cell>
          <cell r="I1633" t="str">
            <v>C</v>
          </cell>
        </row>
        <row r="1634">
          <cell r="A1634">
            <v>55889</v>
          </cell>
          <cell r="B1634" t="str">
            <v>2.1.04.020.0891</v>
          </cell>
          <cell r="C1634" t="str">
            <v>VIVIANE GOIS DA SILVA</v>
          </cell>
          <cell r="D1634">
            <v>0</v>
          </cell>
          <cell r="E1634">
            <v>8770.77</v>
          </cell>
          <cell r="F1634">
            <v>8770.77</v>
          </cell>
          <cell r="G1634">
            <v>0</v>
          </cell>
          <cell r="H1634">
            <v>0</v>
          </cell>
          <cell r="I1634" t="str">
            <v>C</v>
          </cell>
        </row>
        <row r="1635">
          <cell r="A1635">
            <v>55899</v>
          </cell>
          <cell r="B1635" t="str">
            <v>2.1.04.020.0893</v>
          </cell>
          <cell r="C1635" t="str">
            <v xml:space="preserve">RIGGING BRASIL PRESTACAO </v>
          </cell>
          <cell r="D1635">
            <v>933.8</v>
          </cell>
          <cell r="E1635">
            <v>933.8</v>
          </cell>
          <cell r="F1635">
            <v>0</v>
          </cell>
          <cell r="G1635">
            <v>-933.8</v>
          </cell>
          <cell r="H1635">
            <v>0</v>
          </cell>
          <cell r="I1635" t="str">
            <v>C</v>
          </cell>
        </row>
        <row r="1636">
          <cell r="A1636">
            <v>55906</v>
          </cell>
          <cell r="B1636" t="str">
            <v>2.1.04.020.0896</v>
          </cell>
          <cell r="C1636" t="str">
            <v xml:space="preserve">PROGIC TECNOLOGIA </v>
          </cell>
          <cell r="D1636">
            <v>1245</v>
          </cell>
          <cell r="E1636">
            <v>2490</v>
          </cell>
          <cell r="F1636">
            <v>1245</v>
          </cell>
          <cell r="G1636">
            <v>-1245</v>
          </cell>
          <cell r="H1636">
            <v>0</v>
          </cell>
          <cell r="I1636" t="str">
            <v>C</v>
          </cell>
        </row>
        <row r="1637">
          <cell r="A1637">
            <v>55913</v>
          </cell>
          <cell r="B1637" t="str">
            <v>2.1.04.020.0897</v>
          </cell>
          <cell r="C1637" t="str">
            <v xml:space="preserve">ON INCENTIVOS E </v>
          </cell>
          <cell r="D1637">
            <v>0</v>
          </cell>
          <cell r="E1637">
            <v>0</v>
          </cell>
          <cell r="F1637">
            <v>957.44</v>
          </cell>
          <cell r="G1637">
            <v>957.44</v>
          </cell>
          <cell r="H1637">
            <v>957.44</v>
          </cell>
          <cell r="I1637" t="str">
            <v>C</v>
          </cell>
        </row>
        <row r="1638">
          <cell r="A1638">
            <v>55917</v>
          </cell>
          <cell r="B1638" t="str">
            <v>2.1.04.020.0898</v>
          </cell>
          <cell r="C1638" t="str">
            <v xml:space="preserve">RADIO DIFUSORA DE SAO </v>
          </cell>
          <cell r="D1638">
            <v>0</v>
          </cell>
          <cell r="E1638">
            <v>5500</v>
          </cell>
          <cell r="F1638">
            <v>5500</v>
          </cell>
          <cell r="G1638">
            <v>0</v>
          </cell>
          <cell r="H1638">
            <v>0</v>
          </cell>
          <cell r="I1638" t="str">
            <v>C</v>
          </cell>
        </row>
        <row r="1639">
          <cell r="A1639">
            <v>55920</v>
          </cell>
          <cell r="B1639" t="str">
            <v>2.1.04.020.0899</v>
          </cell>
          <cell r="C1639" t="str">
            <v xml:space="preserve">SIMONE SOARES PINHEIRO </v>
          </cell>
          <cell r="D1639">
            <v>0</v>
          </cell>
          <cell r="E1639">
            <v>890</v>
          </cell>
          <cell r="F1639">
            <v>890</v>
          </cell>
          <cell r="G1639">
            <v>0</v>
          </cell>
          <cell r="H1639">
            <v>0</v>
          </cell>
          <cell r="I1639" t="str">
            <v>C</v>
          </cell>
        </row>
        <row r="1640">
          <cell r="A1640">
            <v>55926</v>
          </cell>
          <cell r="B1640" t="str">
            <v>2.1.04.020.0900</v>
          </cell>
          <cell r="C1640" t="str">
            <v>CONECTE-SE LTDA</v>
          </cell>
          <cell r="D1640">
            <v>844.65</v>
          </cell>
          <cell r="E1640">
            <v>844.65</v>
          </cell>
          <cell r="F1640">
            <v>844.65</v>
          </cell>
          <cell r="G1640">
            <v>0</v>
          </cell>
          <cell r="H1640">
            <v>844.65</v>
          </cell>
          <cell r="I1640" t="str">
            <v>C</v>
          </cell>
        </row>
        <row r="1641">
          <cell r="A1641">
            <v>55946</v>
          </cell>
          <cell r="B1641" t="str">
            <v>2.1.04.020.0904</v>
          </cell>
          <cell r="C1641" t="str">
            <v xml:space="preserve">CORONEL SEGURANCA </v>
          </cell>
          <cell r="D1641">
            <v>8581</v>
          </cell>
          <cell r="E1641">
            <v>4148.5</v>
          </cell>
          <cell r="F1641">
            <v>550</v>
          </cell>
          <cell r="G1641">
            <v>-3598.5</v>
          </cell>
          <cell r="H1641">
            <v>4982.5</v>
          </cell>
          <cell r="I1641" t="str">
            <v>C</v>
          </cell>
        </row>
        <row r="1642">
          <cell r="A1642">
            <v>55950</v>
          </cell>
          <cell r="B1642" t="str">
            <v>2.1.04.020.0907</v>
          </cell>
          <cell r="C1642" t="str">
            <v xml:space="preserve">INOSERVICE SERVICOS DE </v>
          </cell>
          <cell r="D1642">
            <v>1872.1</v>
          </cell>
          <cell r="E1642">
            <v>1872.1</v>
          </cell>
          <cell r="F1642">
            <v>0</v>
          </cell>
          <cell r="G1642">
            <v>-1872.1</v>
          </cell>
          <cell r="H1642">
            <v>0</v>
          </cell>
          <cell r="I1642" t="str">
            <v>C</v>
          </cell>
        </row>
        <row r="1643">
          <cell r="A1643">
            <v>55954</v>
          </cell>
          <cell r="B1643" t="str">
            <v>2.1.04.020.0908</v>
          </cell>
          <cell r="C1643" t="str">
            <v xml:space="preserve">BAMBOO II RESTAURANTE E </v>
          </cell>
          <cell r="D1643">
            <v>0</v>
          </cell>
          <cell r="E1643">
            <v>6642</v>
          </cell>
          <cell r="F1643">
            <v>6642</v>
          </cell>
          <cell r="G1643">
            <v>0</v>
          </cell>
          <cell r="H1643">
            <v>0</v>
          </cell>
          <cell r="I1643" t="str">
            <v>C</v>
          </cell>
        </row>
        <row r="1644">
          <cell r="A1644">
            <v>55969</v>
          </cell>
          <cell r="B1644" t="str">
            <v>2.1.04.020.0909</v>
          </cell>
          <cell r="C1644" t="str">
            <v xml:space="preserve">ALEXANDRE RODRIGUES </v>
          </cell>
          <cell r="D1644">
            <v>0</v>
          </cell>
          <cell r="E1644">
            <v>12700</v>
          </cell>
          <cell r="F1644">
            <v>12700</v>
          </cell>
          <cell r="G1644">
            <v>0</v>
          </cell>
          <cell r="H1644">
            <v>0</v>
          </cell>
          <cell r="I1644" t="str">
            <v>C</v>
          </cell>
        </row>
        <row r="1645">
          <cell r="A1645">
            <v>55973</v>
          </cell>
          <cell r="B1645" t="str">
            <v>2.1.04.020.0910</v>
          </cell>
          <cell r="C1645" t="str">
            <v>OSCAR PORCELLI FLORIS ME</v>
          </cell>
          <cell r="D1645">
            <v>160</v>
          </cell>
          <cell r="E1645">
            <v>160</v>
          </cell>
          <cell r="F1645">
            <v>0</v>
          </cell>
          <cell r="G1645">
            <v>-160</v>
          </cell>
          <cell r="H1645">
            <v>0</v>
          </cell>
          <cell r="I1645" t="str">
            <v>C</v>
          </cell>
        </row>
        <row r="1646">
          <cell r="A1646">
            <v>55974</v>
          </cell>
          <cell r="B1646" t="str">
            <v>2.1.04.020.0911</v>
          </cell>
          <cell r="C1646" t="str">
            <v>EMPLAC PUBLICIDADE LTDA</v>
          </cell>
          <cell r="D1646">
            <v>1446</v>
          </cell>
          <cell r="E1646">
            <v>1446</v>
          </cell>
          <cell r="F1646">
            <v>0</v>
          </cell>
          <cell r="G1646">
            <v>-1446</v>
          </cell>
          <cell r="H1646">
            <v>0</v>
          </cell>
          <cell r="I1646" t="str">
            <v>C</v>
          </cell>
        </row>
        <row r="1647">
          <cell r="A1647">
            <v>55975</v>
          </cell>
          <cell r="B1647" t="str">
            <v>2.1.04.020.0912</v>
          </cell>
          <cell r="C1647" t="str">
            <v>MAXGERA GERADORES EIRELI</v>
          </cell>
          <cell r="D1647">
            <v>8819.1</v>
          </cell>
          <cell r="E1647">
            <v>19108.05</v>
          </cell>
          <cell r="F1647">
            <v>10288.950000000001</v>
          </cell>
          <cell r="G1647">
            <v>-8819.1</v>
          </cell>
          <cell r="H1647">
            <v>0</v>
          </cell>
          <cell r="I1647" t="str">
            <v>C</v>
          </cell>
        </row>
        <row r="1648">
          <cell r="A1648">
            <v>55980</v>
          </cell>
          <cell r="B1648" t="str">
            <v>2.1.04.020.0913</v>
          </cell>
          <cell r="C1648" t="str">
            <v xml:space="preserve">FERNANDA MONSCOFSQUE </v>
          </cell>
          <cell r="D1648">
            <v>8333.34</v>
          </cell>
          <cell r="E1648">
            <v>4166.66</v>
          </cell>
          <cell r="F1648">
            <v>0</v>
          </cell>
          <cell r="G1648">
            <v>-4166.66</v>
          </cell>
          <cell r="H1648">
            <v>4166.68</v>
          </cell>
          <cell r="I1648" t="str">
            <v>C</v>
          </cell>
        </row>
        <row r="1649">
          <cell r="A1649">
            <v>55981</v>
          </cell>
          <cell r="B1649" t="str">
            <v>2.1.04.020.0914</v>
          </cell>
          <cell r="C1649" t="str">
            <v xml:space="preserve">F.G.A. LEMOS LOCACAO DE </v>
          </cell>
          <cell r="D1649">
            <v>712.5</v>
          </cell>
          <cell r="E1649">
            <v>712.5</v>
          </cell>
          <cell r="F1649">
            <v>0</v>
          </cell>
          <cell r="G1649">
            <v>-712.5</v>
          </cell>
          <cell r="H1649">
            <v>0</v>
          </cell>
          <cell r="I1649" t="str">
            <v>C</v>
          </cell>
        </row>
        <row r="1650">
          <cell r="A1650">
            <v>55987</v>
          </cell>
          <cell r="B1650" t="str">
            <v>2.1.04.020.0915</v>
          </cell>
          <cell r="C1650" t="str">
            <v xml:space="preserve">ASSOCIACAO NACIONAL DE </v>
          </cell>
          <cell r="D1650">
            <v>30906.78</v>
          </cell>
          <cell r="E1650">
            <v>20604.52</v>
          </cell>
          <cell r="F1650">
            <v>10302.26</v>
          </cell>
          <cell r="G1650">
            <v>-10302.26</v>
          </cell>
          <cell r="H1650">
            <v>20604.52</v>
          </cell>
          <cell r="I1650" t="str">
            <v>C</v>
          </cell>
        </row>
        <row r="1651">
          <cell r="A1651">
            <v>55992</v>
          </cell>
          <cell r="B1651" t="str">
            <v>2.1.04.020.0916</v>
          </cell>
          <cell r="C1651" t="str">
            <v xml:space="preserve">EPIMED SOLUTIONS </v>
          </cell>
          <cell r="D1651">
            <v>8700</v>
          </cell>
          <cell r="E1651">
            <v>26100</v>
          </cell>
          <cell r="F1651">
            <v>17400</v>
          </cell>
          <cell r="G1651">
            <v>-8700</v>
          </cell>
          <cell r="H1651">
            <v>0</v>
          </cell>
          <cell r="I1651" t="str">
            <v>C</v>
          </cell>
        </row>
        <row r="1652">
          <cell r="A1652">
            <v>55994</v>
          </cell>
          <cell r="B1652" t="str">
            <v>2.1.04.020.0917</v>
          </cell>
          <cell r="C1652" t="str">
            <v xml:space="preserve">NEOS INDUSTRIA DE </v>
          </cell>
          <cell r="D1652">
            <v>643.76</v>
          </cell>
          <cell r="E1652">
            <v>643.76</v>
          </cell>
          <cell r="F1652">
            <v>0</v>
          </cell>
          <cell r="G1652">
            <v>-643.76</v>
          </cell>
          <cell r="H1652">
            <v>0</v>
          </cell>
          <cell r="I1652" t="str">
            <v>C</v>
          </cell>
        </row>
        <row r="1653">
          <cell r="A1653">
            <v>55998</v>
          </cell>
          <cell r="B1653" t="str">
            <v>2.1.04.020.0918</v>
          </cell>
          <cell r="C1653" t="str">
            <v xml:space="preserve">NOVO HORIZONTE </v>
          </cell>
          <cell r="D1653">
            <v>2460</v>
          </cell>
          <cell r="E1653">
            <v>3560</v>
          </cell>
          <cell r="F1653">
            <v>1100</v>
          </cell>
          <cell r="G1653">
            <v>-2460</v>
          </cell>
          <cell r="H1653">
            <v>0</v>
          </cell>
          <cell r="I1653" t="str">
            <v>C</v>
          </cell>
        </row>
        <row r="1654">
          <cell r="A1654">
            <v>56005</v>
          </cell>
          <cell r="B1654" t="str">
            <v>2.1.04.020.0919</v>
          </cell>
          <cell r="C1654" t="str">
            <v>CONCEITO LOCADORA LTDA</v>
          </cell>
          <cell r="D1654">
            <v>200</v>
          </cell>
          <cell r="E1654">
            <v>200</v>
          </cell>
          <cell r="F1654">
            <v>200</v>
          </cell>
          <cell r="G1654">
            <v>0</v>
          </cell>
          <cell r="H1654">
            <v>200</v>
          </cell>
          <cell r="I1654" t="str">
            <v>C</v>
          </cell>
        </row>
        <row r="1655">
          <cell r="A1655">
            <v>56028</v>
          </cell>
          <cell r="B1655" t="str">
            <v>2.1.04.020.0920</v>
          </cell>
          <cell r="C1655" t="str">
            <v xml:space="preserve">FERNANDO AUGUSTO </v>
          </cell>
          <cell r="D1655">
            <v>0</v>
          </cell>
          <cell r="E1655">
            <v>272.44</v>
          </cell>
          <cell r="F1655">
            <v>272.44</v>
          </cell>
          <cell r="G1655">
            <v>0</v>
          </cell>
          <cell r="H1655">
            <v>0</v>
          </cell>
          <cell r="I1655" t="str">
            <v>C</v>
          </cell>
        </row>
        <row r="1656">
          <cell r="A1656">
            <v>56029</v>
          </cell>
          <cell r="B1656" t="str">
            <v>2.1.04.020.0921</v>
          </cell>
          <cell r="C1656" t="str">
            <v xml:space="preserve">MKM ASSESSORIA E </v>
          </cell>
          <cell r="D1656">
            <v>0</v>
          </cell>
          <cell r="E1656">
            <v>3161.58</v>
          </cell>
          <cell r="F1656">
            <v>3161.58</v>
          </cell>
          <cell r="G1656">
            <v>0</v>
          </cell>
          <cell r="H1656">
            <v>0</v>
          </cell>
          <cell r="I1656" t="str">
            <v>C</v>
          </cell>
        </row>
        <row r="1657">
          <cell r="A1657">
            <v>55281</v>
          </cell>
          <cell r="B1657" t="str">
            <v>2.1.04.020.0922</v>
          </cell>
          <cell r="C1657" t="str">
            <v xml:space="preserve">ANTONIO MARCOS DE SENA </v>
          </cell>
          <cell r="D1657">
            <v>0</v>
          </cell>
          <cell r="E1657">
            <v>960</v>
          </cell>
          <cell r="F1657">
            <v>960</v>
          </cell>
          <cell r="G1657">
            <v>0</v>
          </cell>
          <cell r="H1657">
            <v>0</v>
          </cell>
          <cell r="I1657" t="str">
            <v>C</v>
          </cell>
        </row>
        <row r="1658">
          <cell r="A1658">
            <v>55297</v>
          </cell>
          <cell r="B1658" t="str">
            <v>2.1.04.020.0923</v>
          </cell>
          <cell r="C1658" t="str">
            <v xml:space="preserve">FEVALE ESTACIONAMENTO </v>
          </cell>
          <cell r="D1658">
            <v>0</v>
          </cell>
          <cell r="E1658">
            <v>0</v>
          </cell>
          <cell r="F1658">
            <v>783.92</v>
          </cell>
          <cell r="G1658">
            <v>783.92</v>
          </cell>
          <cell r="H1658">
            <v>783.92</v>
          </cell>
          <cell r="I1658" t="str">
            <v>C</v>
          </cell>
        </row>
        <row r="1659">
          <cell r="A1659">
            <v>55300</v>
          </cell>
          <cell r="B1659" t="str">
            <v>2.1.04.020.0925</v>
          </cell>
          <cell r="C1659" t="str">
            <v xml:space="preserve">TATIANE CHAVES BARROS DE </v>
          </cell>
          <cell r="D1659">
            <v>0</v>
          </cell>
          <cell r="E1659">
            <v>0</v>
          </cell>
          <cell r="F1659">
            <v>974</v>
          </cell>
          <cell r="G1659">
            <v>974</v>
          </cell>
          <cell r="H1659">
            <v>974</v>
          </cell>
          <cell r="I1659" t="str">
            <v>C</v>
          </cell>
        </row>
        <row r="1660">
          <cell r="A1660">
            <v>55303</v>
          </cell>
          <cell r="B1660" t="str">
            <v>2.1.04.020.0926</v>
          </cell>
          <cell r="C1660" t="str">
            <v xml:space="preserve">CIRURGICA SUL MINAS </v>
          </cell>
          <cell r="D1660">
            <v>0</v>
          </cell>
          <cell r="E1660">
            <v>16650</v>
          </cell>
          <cell r="F1660">
            <v>16650</v>
          </cell>
          <cell r="G1660">
            <v>0</v>
          </cell>
          <cell r="H1660">
            <v>0</v>
          </cell>
          <cell r="I1660" t="str">
            <v>C</v>
          </cell>
        </row>
        <row r="1661">
          <cell r="A1661">
            <v>55312</v>
          </cell>
          <cell r="B1661" t="str">
            <v>2.1.04.020.0928</v>
          </cell>
          <cell r="C1661" t="str">
            <v>IWINET SOLUTIONS LTDA</v>
          </cell>
          <cell r="D1661">
            <v>0</v>
          </cell>
          <cell r="E1661">
            <v>0</v>
          </cell>
          <cell r="F1661">
            <v>9330</v>
          </cell>
          <cell r="G1661">
            <v>9330</v>
          </cell>
          <cell r="H1661">
            <v>9330</v>
          </cell>
          <cell r="I1661" t="str">
            <v>C</v>
          </cell>
        </row>
        <row r="1662">
          <cell r="A1662">
            <v>40592</v>
          </cell>
          <cell r="B1662" t="str">
            <v>2.1.05</v>
          </cell>
          <cell r="C1662" t="str">
            <v>OUTRAS OBRIGACOES</v>
          </cell>
          <cell r="D1662">
            <v>3597401.83</v>
          </cell>
          <cell r="E1662">
            <v>21581647.379999999</v>
          </cell>
          <cell r="F1662">
            <v>21373022.140000001</v>
          </cell>
          <cell r="G1662">
            <v>-208625.24</v>
          </cell>
          <cell r="H1662">
            <v>3388776.59</v>
          </cell>
          <cell r="I1662" t="str">
            <v>C</v>
          </cell>
        </row>
        <row r="1663">
          <cell r="A1663">
            <v>4270</v>
          </cell>
          <cell r="B1663" t="str">
            <v>2.1.05.010</v>
          </cell>
          <cell r="C1663" t="str">
            <v xml:space="preserve">OUTRAS OBRIGAÇOES - </v>
          </cell>
          <cell r="D1663">
            <v>2641640.23</v>
          </cell>
          <cell r="E1663">
            <v>21581647.379999999</v>
          </cell>
          <cell r="F1663">
            <v>21373022.140000001</v>
          </cell>
          <cell r="G1663">
            <v>-208625.24</v>
          </cell>
          <cell r="H1663">
            <v>2433014.9900000002</v>
          </cell>
          <cell r="I1663" t="str">
            <v>C</v>
          </cell>
        </row>
        <row r="1664">
          <cell r="A1664">
            <v>4273</v>
          </cell>
          <cell r="B1664" t="str">
            <v>2.1.05.010.0002</v>
          </cell>
          <cell r="C1664" t="str">
            <v xml:space="preserve">CHEQUES A PAGAR </v>
          </cell>
          <cell r="D1664">
            <v>2468.6</v>
          </cell>
          <cell r="E1664">
            <v>2468.6</v>
          </cell>
          <cell r="F1664">
            <v>10949.8</v>
          </cell>
          <cell r="G1664">
            <v>8481.2000000000007</v>
          </cell>
          <cell r="H1664">
            <v>10949.8</v>
          </cell>
          <cell r="I1664" t="str">
            <v>C</v>
          </cell>
        </row>
        <row r="1665">
          <cell r="A1665">
            <v>4281</v>
          </cell>
          <cell r="B1665" t="str">
            <v>2.1.05.010.0003</v>
          </cell>
          <cell r="C1665" t="str">
            <v xml:space="preserve">COMGAS A PAGAR </v>
          </cell>
          <cell r="D1665">
            <v>31951.63</v>
          </cell>
          <cell r="E1665">
            <v>31951.63</v>
          </cell>
          <cell r="F1665">
            <v>30980.37</v>
          </cell>
          <cell r="G1665">
            <v>-971.26</v>
          </cell>
          <cell r="H1665">
            <v>30980.37</v>
          </cell>
          <cell r="I1665" t="str">
            <v>C</v>
          </cell>
        </row>
        <row r="1666">
          <cell r="A1666">
            <v>4277</v>
          </cell>
          <cell r="B1666" t="str">
            <v>2.1.05.010.0004</v>
          </cell>
          <cell r="C1666" t="str">
            <v xml:space="preserve">CONTA DE AGUA </v>
          </cell>
          <cell r="D1666">
            <v>102175.45</v>
          </cell>
          <cell r="E1666">
            <v>61069.93</v>
          </cell>
          <cell r="F1666">
            <v>30843.15</v>
          </cell>
          <cell r="G1666">
            <v>-30226.78</v>
          </cell>
          <cell r="H1666">
            <v>71948.67</v>
          </cell>
          <cell r="I1666" t="str">
            <v>C</v>
          </cell>
        </row>
        <row r="1667">
          <cell r="A1667">
            <v>4276</v>
          </cell>
          <cell r="B1667" t="str">
            <v>2.1.05.010.0005</v>
          </cell>
          <cell r="C1667" t="str">
            <v xml:space="preserve">CONTA DE ENERGIA </v>
          </cell>
          <cell r="D1667">
            <v>675690.37</v>
          </cell>
          <cell r="E1667">
            <v>820636.46</v>
          </cell>
          <cell r="F1667">
            <v>572606.59</v>
          </cell>
          <cell r="G1667">
            <v>-248029.87</v>
          </cell>
          <cell r="H1667">
            <v>427660.5</v>
          </cell>
          <cell r="I1667" t="str">
            <v>C</v>
          </cell>
        </row>
        <row r="1668">
          <cell r="A1668">
            <v>4275</v>
          </cell>
          <cell r="B1668" t="str">
            <v>2.1.05.010.0006</v>
          </cell>
          <cell r="C1668" t="str">
            <v xml:space="preserve">CONTA TELEFONICA </v>
          </cell>
          <cell r="D1668">
            <v>12014.83</v>
          </cell>
          <cell r="E1668">
            <v>17507.91</v>
          </cell>
          <cell r="F1668">
            <v>19843.36</v>
          </cell>
          <cell r="G1668">
            <v>2335.4499999999998</v>
          </cell>
          <cell r="H1668">
            <v>14350.28</v>
          </cell>
          <cell r="I1668" t="str">
            <v>C</v>
          </cell>
        </row>
        <row r="1669">
          <cell r="A1669">
            <v>4235</v>
          </cell>
          <cell r="B1669" t="str">
            <v>2.1.05.010.0010</v>
          </cell>
          <cell r="C1669" t="str">
            <v>DEPOSITO ANTECIPADO</v>
          </cell>
          <cell r="D1669">
            <v>1709385.07</v>
          </cell>
          <cell r="E1669">
            <v>53661.440000000002</v>
          </cell>
          <cell r="F1669">
            <v>93497.43</v>
          </cell>
          <cell r="G1669">
            <v>39835.99</v>
          </cell>
          <cell r="H1669">
            <v>1749221.06</v>
          </cell>
          <cell r="I1669" t="str">
            <v>C</v>
          </cell>
        </row>
        <row r="1670">
          <cell r="A1670">
            <v>32728</v>
          </cell>
          <cell r="B1670" t="str">
            <v>2.1.05.010.0011</v>
          </cell>
          <cell r="C1670" t="str">
            <v>CONTA TRANSITORIA</v>
          </cell>
          <cell r="D1670">
            <v>69313.33</v>
          </cell>
          <cell r="E1670">
            <v>20551192.18</v>
          </cell>
          <cell r="F1670">
            <v>20571142.210000001</v>
          </cell>
          <cell r="G1670">
            <v>19950.03</v>
          </cell>
          <cell r="H1670">
            <v>89263.360000000001</v>
          </cell>
          <cell r="I1670" t="str">
            <v>C</v>
          </cell>
        </row>
        <row r="1671">
          <cell r="A1671">
            <v>4258</v>
          </cell>
          <cell r="B1671" t="str">
            <v>2.1.05.010.0013</v>
          </cell>
          <cell r="C1671" t="str">
            <v xml:space="preserve">ALUGUEIS A PAGAR - </v>
          </cell>
          <cell r="D1671">
            <v>38640.949999999997</v>
          </cell>
          <cell r="E1671">
            <v>38640.949999999997</v>
          </cell>
          <cell r="F1671">
            <v>38640.949999999997</v>
          </cell>
          <cell r="G1671">
            <v>0</v>
          </cell>
          <cell r="H1671">
            <v>38640.949999999997</v>
          </cell>
          <cell r="I1671" t="str">
            <v>C</v>
          </cell>
        </row>
        <row r="1672">
          <cell r="A1672">
            <v>53413</v>
          </cell>
          <cell r="B1672" t="str">
            <v>2.1.05.010.0016</v>
          </cell>
          <cell r="C1672" t="str">
            <v>PROCESSOS</v>
          </cell>
          <cell r="D1672">
            <v>0</v>
          </cell>
          <cell r="E1672">
            <v>4518.28</v>
          </cell>
          <cell r="F1672">
            <v>4518.28</v>
          </cell>
          <cell r="G1672">
            <v>0</v>
          </cell>
          <cell r="H1672">
            <v>0</v>
          </cell>
          <cell r="I1672" t="str">
            <v>C</v>
          </cell>
        </row>
        <row r="1673">
          <cell r="A1673">
            <v>53595</v>
          </cell>
          <cell r="B1673" t="str">
            <v>2.1.05.011</v>
          </cell>
          <cell r="C1673" t="str">
            <v xml:space="preserve">OUTRAS OBRIGACOES - </v>
          </cell>
          <cell r="D1673">
            <v>955761.6</v>
          </cell>
          <cell r="E1673">
            <v>0</v>
          </cell>
          <cell r="F1673">
            <v>0</v>
          </cell>
          <cell r="G1673">
            <v>0</v>
          </cell>
          <cell r="H1673">
            <v>955761.6</v>
          </cell>
          <cell r="I1673" t="str">
            <v>C</v>
          </cell>
        </row>
        <row r="1674">
          <cell r="A1674">
            <v>53596</v>
          </cell>
          <cell r="B1674" t="str">
            <v>2.1.05.011.0001</v>
          </cell>
          <cell r="C1674" t="str">
            <v xml:space="preserve">PROJETOS A REALIZAR - </v>
          </cell>
          <cell r="D1674">
            <v>955761.6</v>
          </cell>
          <cell r="E1674">
            <v>0</v>
          </cell>
          <cell r="F1674">
            <v>0</v>
          </cell>
          <cell r="G1674">
            <v>0</v>
          </cell>
          <cell r="H1674">
            <v>955761.6</v>
          </cell>
          <cell r="I1674" t="str">
            <v>C</v>
          </cell>
        </row>
        <row r="1675">
          <cell r="A1675">
            <v>55271</v>
          </cell>
          <cell r="B1675" t="str">
            <v>2.1.06</v>
          </cell>
          <cell r="C1675" t="str">
            <v>RECEITAS DIFERIDAS</v>
          </cell>
          <cell r="D1675">
            <v>305555.46000000002</v>
          </cell>
          <cell r="E1675">
            <v>27777.78</v>
          </cell>
          <cell r="F1675">
            <v>0</v>
          </cell>
          <cell r="G1675">
            <v>-27777.78</v>
          </cell>
          <cell r="H1675">
            <v>277777.68</v>
          </cell>
          <cell r="I1675" t="str">
            <v>C</v>
          </cell>
        </row>
        <row r="1676">
          <cell r="A1676">
            <v>55272</v>
          </cell>
          <cell r="B1676" t="str">
            <v>2.1.06.010</v>
          </cell>
          <cell r="C1676" t="str">
            <v>CONTRATOS</v>
          </cell>
          <cell r="D1676">
            <v>305555.46000000002</v>
          </cell>
          <cell r="E1676">
            <v>27777.78</v>
          </cell>
          <cell r="F1676">
            <v>0</v>
          </cell>
          <cell r="G1676">
            <v>-27777.78</v>
          </cell>
          <cell r="H1676">
            <v>277777.68</v>
          </cell>
          <cell r="I1676" t="str">
            <v>C</v>
          </cell>
        </row>
        <row r="1677">
          <cell r="A1677">
            <v>55273</v>
          </cell>
          <cell r="B1677" t="str">
            <v>2.1.06.010.0001</v>
          </cell>
          <cell r="C1677" t="str">
            <v xml:space="preserve">SANTANDER - CONTRATO </v>
          </cell>
          <cell r="D1677">
            <v>305555.46000000002</v>
          </cell>
          <cell r="E1677">
            <v>27777.78</v>
          </cell>
          <cell r="F1677">
            <v>0</v>
          </cell>
          <cell r="G1677">
            <v>-27777.78</v>
          </cell>
          <cell r="H1677">
            <v>277777.68</v>
          </cell>
          <cell r="I1677" t="str">
            <v>C</v>
          </cell>
        </row>
        <row r="1678">
          <cell r="A1678">
            <v>4283</v>
          </cell>
          <cell r="B1678" t="str">
            <v>2.2</v>
          </cell>
          <cell r="C1678" t="str">
            <v>PASSIVO NAO CIRCULANTE</v>
          </cell>
          <cell r="D1678">
            <v>62953745.950000003</v>
          </cell>
          <cell r="E1678">
            <v>52206.17</v>
          </cell>
          <cell r="F1678">
            <v>9478.2800000000007</v>
          </cell>
          <cell r="G1678">
            <v>-42727.89</v>
          </cell>
          <cell r="H1678">
            <v>62911018.060000002</v>
          </cell>
          <cell r="I1678" t="str">
            <v>C</v>
          </cell>
        </row>
        <row r="1679">
          <cell r="A1679">
            <v>38373</v>
          </cell>
          <cell r="B1679" t="str">
            <v>2.2.01</v>
          </cell>
          <cell r="C1679" t="str">
            <v>CONTIGENCIAS</v>
          </cell>
          <cell r="D1679">
            <v>1271019.29</v>
          </cell>
          <cell r="E1679">
            <v>0</v>
          </cell>
          <cell r="F1679">
            <v>0</v>
          </cell>
          <cell r="G1679">
            <v>0</v>
          </cell>
          <cell r="H1679">
            <v>1271019.29</v>
          </cell>
          <cell r="I1679" t="str">
            <v>C</v>
          </cell>
        </row>
        <row r="1680">
          <cell r="A1680">
            <v>38875</v>
          </cell>
          <cell r="B1680" t="str">
            <v>2.2.01.010</v>
          </cell>
          <cell r="C1680" t="str">
            <v xml:space="preserve">PROVISOES PARA </v>
          </cell>
          <cell r="D1680">
            <v>1271019.29</v>
          </cell>
          <cell r="E1680">
            <v>0</v>
          </cell>
          <cell r="F1680">
            <v>0</v>
          </cell>
          <cell r="G1680">
            <v>0</v>
          </cell>
          <cell r="H1680">
            <v>1271019.29</v>
          </cell>
          <cell r="I1680" t="str">
            <v>C</v>
          </cell>
        </row>
        <row r="1681">
          <cell r="A1681">
            <v>33455</v>
          </cell>
          <cell r="B1681" t="str">
            <v>2.2.01.010.0001</v>
          </cell>
          <cell r="C1681" t="str">
            <v xml:space="preserve">PROVISAO PARA </v>
          </cell>
          <cell r="D1681">
            <v>350592.24</v>
          </cell>
          <cell r="E1681">
            <v>0</v>
          </cell>
          <cell r="F1681">
            <v>0</v>
          </cell>
          <cell r="G1681">
            <v>0</v>
          </cell>
          <cell r="H1681">
            <v>350592.24</v>
          </cell>
          <cell r="I1681" t="str">
            <v>C</v>
          </cell>
        </row>
        <row r="1682">
          <cell r="A1682">
            <v>32908</v>
          </cell>
          <cell r="B1682" t="str">
            <v>2.2.01.010.0002</v>
          </cell>
          <cell r="C1682" t="str">
            <v xml:space="preserve">PROVISAO P/CONTINGENCIA </v>
          </cell>
          <cell r="D1682">
            <v>920427.05</v>
          </cell>
          <cell r="E1682">
            <v>0</v>
          </cell>
          <cell r="F1682">
            <v>0</v>
          </cell>
          <cell r="G1682">
            <v>0</v>
          </cell>
          <cell r="H1682">
            <v>920427.05</v>
          </cell>
          <cell r="I1682" t="str">
            <v>C</v>
          </cell>
        </row>
        <row r="1683">
          <cell r="A1683">
            <v>38372</v>
          </cell>
          <cell r="B1683" t="str">
            <v>2.2.02</v>
          </cell>
          <cell r="C1683" t="str">
            <v xml:space="preserve">EMPRESTIMOS E </v>
          </cell>
          <cell r="D1683">
            <v>44362293.210000001</v>
          </cell>
          <cell r="E1683">
            <v>8025.98</v>
          </cell>
          <cell r="F1683">
            <v>8025.98</v>
          </cell>
          <cell r="G1683">
            <v>0</v>
          </cell>
          <cell r="H1683">
            <v>44362293.210000001</v>
          </cell>
          <cell r="I1683" t="str">
            <v>C</v>
          </cell>
        </row>
        <row r="1684">
          <cell r="A1684">
            <v>40742</v>
          </cell>
          <cell r="B1684" t="str">
            <v>2.2.02.010</v>
          </cell>
          <cell r="C1684" t="str">
            <v xml:space="preserve">EMPRESTIMOS E </v>
          </cell>
          <cell r="D1684">
            <v>54475025.270000003</v>
          </cell>
          <cell r="E1684">
            <v>8025.98</v>
          </cell>
          <cell r="F1684">
            <v>8025.98</v>
          </cell>
          <cell r="G1684">
            <v>0</v>
          </cell>
          <cell r="H1684">
            <v>54475025.270000003</v>
          </cell>
          <cell r="I1684" t="str">
            <v>C</v>
          </cell>
        </row>
        <row r="1685">
          <cell r="A1685">
            <v>37695</v>
          </cell>
          <cell r="B1685" t="str">
            <v>2.2.02.010.0006</v>
          </cell>
          <cell r="C1685" t="str">
            <v xml:space="preserve">EMPRESTIMO BANCO DO </v>
          </cell>
          <cell r="D1685">
            <v>0</v>
          </cell>
          <cell r="E1685">
            <v>7777.15</v>
          </cell>
          <cell r="F1685">
            <v>7777.15</v>
          </cell>
          <cell r="G1685">
            <v>0</v>
          </cell>
          <cell r="H1685">
            <v>0</v>
          </cell>
          <cell r="I1685" t="str">
            <v>C</v>
          </cell>
        </row>
        <row r="1686">
          <cell r="A1686">
            <v>37452</v>
          </cell>
          <cell r="B1686" t="str">
            <v>2.2.02.010.0008</v>
          </cell>
          <cell r="C1686" t="str">
            <v xml:space="preserve">EMPRESTIMO BANCO </v>
          </cell>
          <cell r="D1686">
            <v>33328572.379999999</v>
          </cell>
          <cell r="E1686">
            <v>0</v>
          </cell>
          <cell r="F1686">
            <v>0</v>
          </cell>
          <cell r="G1686">
            <v>0</v>
          </cell>
          <cell r="H1686">
            <v>33328572.379999999</v>
          </cell>
          <cell r="I1686" t="str">
            <v>C</v>
          </cell>
        </row>
        <row r="1687">
          <cell r="A1687">
            <v>51497</v>
          </cell>
          <cell r="B1687" t="str">
            <v>2.2.02.010.0009</v>
          </cell>
          <cell r="C1687" t="str">
            <v xml:space="preserve">EMPRESTIMO DESENVOLVE </v>
          </cell>
          <cell r="D1687">
            <v>4047528.51</v>
          </cell>
          <cell r="E1687">
            <v>0</v>
          </cell>
          <cell r="F1687">
            <v>0</v>
          </cell>
          <cell r="G1687">
            <v>0</v>
          </cell>
          <cell r="H1687">
            <v>4047528.51</v>
          </cell>
          <cell r="I1687" t="str">
            <v>C</v>
          </cell>
        </row>
        <row r="1688">
          <cell r="A1688">
            <v>37301</v>
          </cell>
          <cell r="B1688" t="str">
            <v>2.2.02.010.0010</v>
          </cell>
          <cell r="C1688" t="str">
            <v xml:space="preserve">BANCO SAFRA S A C/C </v>
          </cell>
          <cell r="D1688">
            <v>0</v>
          </cell>
          <cell r="E1688">
            <v>248.83</v>
          </cell>
          <cell r="F1688">
            <v>248.83</v>
          </cell>
          <cell r="G1688">
            <v>0</v>
          </cell>
          <cell r="H1688">
            <v>0</v>
          </cell>
          <cell r="I1688" t="str">
            <v>C</v>
          </cell>
        </row>
        <row r="1689">
          <cell r="A1689">
            <v>54964</v>
          </cell>
          <cell r="B1689" t="str">
            <v>2.2.02.010.0015</v>
          </cell>
          <cell r="C1689" t="str">
            <v xml:space="preserve">BCO NACIONAL DE DESENV </v>
          </cell>
          <cell r="D1689">
            <v>17098924.379999999</v>
          </cell>
          <cell r="E1689">
            <v>0</v>
          </cell>
          <cell r="F1689">
            <v>0</v>
          </cell>
          <cell r="G1689">
            <v>0</v>
          </cell>
          <cell r="H1689">
            <v>17098924.379999999</v>
          </cell>
          <cell r="I1689" t="str">
            <v>C</v>
          </cell>
        </row>
        <row r="1690">
          <cell r="A1690">
            <v>38935</v>
          </cell>
          <cell r="B1690" t="str">
            <v>2.2.02.020</v>
          </cell>
          <cell r="C1690" t="str">
            <v>(-) JUROS A APRPRIAR</v>
          </cell>
          <cell r="D1690">
            <v>-10196818.49</v>
          </cell>
          <cell r="E1690">
            <v>0</v>
          </cell>
          <cell r="F1690">
            <v>0</v>
          </cell>
          <cell r="G1690">
            <v>0</v>
          </cell>
          <cell r="H1690">
            <v>-10196818.49</v>
          </cell>
          <cell r="I1690" t="str">
            <v>D</v>
          </cell>
        </row>
        <row r="1691">
          <cell r="A1691">
            <v>37454</v>
          </cell>
          <cell r="B1691" t="str">
            <v>2.2.02.020.0005</v>
          </cell>
          <cell r="C1691" t="str">
            <v xml:space="preserve">(-) JUROS A APROPRIAR - </v>
          </cell>
          <cell r="D1691">
            <v>-2580047.4</v>
          </cell>
          <cell r="E1691">
            <v>0</v>
          </cell>
          <cell r="F1691">
            <v>0</v>
          </cell>
          <cell r="G1691">
            <v>0</v>
          </cell>
          <cell r="H1691">
            <v>-2580047.4</v>
          </cell>
          <cell r="I1691" t="str">
            <v>D</v>
          </cell>
        </row>
        <row r="1692">
          <cell r="A1692">
            <v>51499</v>
          </cell>
          <cell r="B1692" t="str">
            <v>2.2.02.020.0008</v>
          </cell>
          <cell r="C1692" t="str">
            <v xml:space="preserve">(-) JUROS A APROPRIAR - </v>
          </cell>
          <cell r="D1692">
            <v>-517846.71</v>
          </cell>
          <cell r="E1692">
            <v>0</v>
          </cell>
          <cell r="F1692">
            <v>0</v>
          </cell>
          <cell r="G1692">
            <v>0</v>
          </cell>
          <cell r="H1692">
            <v>-517846.71</v>
          </cell>
          <cell r="I1692" t="str">
            <v>D</v>
          </cell>
        </row>
        <row r="1693">
          <cell r="A1693">
            <v>54965</v>
          </cell>
          <cell r="B1693" t="str">
            <v>2.2.02.020.0016</v>
          </cell>
          <cell r="C1693" t="str">
            <v xml:space="preserve">(-)JUROS APROP - BANCO </v>
          </cell>
          <cell r="D1693">
            <v>-7098924.3799999999</v>
          </cell>
          <cell r="E1693">
            <v>0</v>
          </cell>
          <cell r="F1693">
            <v>0</v>
          </cell>
          <cell r="G1693">
            <v>0</v>
          </cell>
          <cell r="H1693">
            <v>-7098924.3799999999</v>
          </cell>
          <cell r="I1693" t="str">
            <v>D</v>
          </cell>
        </row>
        <row r="1694">
          <cell r="A1694">
            <v>25584</v>
          </cell>
          <cell r="B1694" t="str">
            <v>2.2.02.030</v>
          </cell>
          <cell r="C1694" t="str">
            <v xml:space="preserve">FINANCIAMENTOS </v>
          </cell>
          <cell r="D1694">
            <v>106313.94</v>
          </cell>
          <cell r="E1694">
            <v>0</v>
          </cell>
          <cell r="F1694">
            <v>0</v>
          </cell>
          <cell r="G1694">
            <v>0</v>
          </cell>
          <cell r="H1694">
            <v>106313.94</v>
          </cell>
          <cell r="I1694" t="str">
            <v>C</v>
          </cell>
        </row>
        <row r="1695">
          <cell r="A1695">
            <v>51722</v>
          </cell>
          <cell r="B1695" t="str">
            <v>2.2.02.030.0005</v>
          </cell>
          <cell r="C1695" t="str">
            <v xml:space="preserve">EMPRESTIMO SANTANDER </v>
          </cell>
          <cell r="D1695">
            <v>66560.34</v>
          </cell>
          <cell r="E1695">
            <v>0</v>
          </cell>
          <cell r="F1695">
            <v>0</v>
          </cell>
          <cell r="G1695">
            <v>0</v>
          </cell>
          <cell r="H1695">
            <v>66560.34</v>
          </cell>
          <cell r="I1695" t="str">
            <v>C</v>
          </cell>
        </row>
        <row r="1696">
          <cell r="A1696">
            <v>54057</v>
          </cell>
          <cell r="B1696" t="str">
            <v>2.2.02.030.0007</v>
          </cell>
          <cell r="C1696" t="str">
            <v>SAFRA LEASING S A</v>
          </cell>
          <cell r="D1696">
            <v>39753.599999999999</v>
          </cell>
          <cell r="E1696">
            <v>0</v>
          </cell>
          <cell r="F1696">
            <v>0</v>
          </cell>
          <cell r="G1696">
            <v>0</v>
          </cell>
          <cell r="H1696">
            <v>39753.599999999999</v>
          </cell>
          <cell r="I1696" t="str">
            <v>C</v>
          </cell>
        </row>
        <row r="1697">
          <cell r="A1697">
            <v>34765</v>
          </cell>
          <cell r="B1697" t="str">
            <v>2.2.02.040</v>
          </cell>
          <cell r="C1697" t="str">
            <v>(-) JUROS A APROPRIAR</v>
          </cell>
          <cell r="D1697">
            <v>-22227.51</v>
          </cell>
          <cell r="E1697">
            <v>0</v>
          </cell>
          <cell r="F1697">
            <v>0</v>
          </cell>
          <cell r="G1697">
            <v>0</v>
          </cell>
          <cell r="H1697">
            <v>-22227.51</v>
          </cell>
          <cell r="I1697" t="str">
            <v>D</v>
          </cell>
        </row>
        <row r="1698">
          <cell r="A1698">
            <v>51724</v>
          </cell>
          <cell r="B1698" t="str">
            <v>2.2.02.040.0002</v>
          </cell>
          <cell r="C1698" t="str">
            <v xml:space="preserve">(-) JUROS A APROPRIAR - </v>
          </cell>
          <cell r="D1698">
            <v>-14034.01</v>
          </cell>
          <cell r="E1698">
            <v>0</v>
          </cell>
          <cell r="F1698">
            <v>0</v>
          </cell>
          <cell r="G1698">
            <v>0</v>
          </cell>
          <cell r="H1698">
            <v>-14034.01</v>
          </cell>
          <cell r="I1698" t="str">
            <v>D</v>
          </cell>
        </row>
        <row r="1699">
          <cell r="A1699">
            <v>54374</v>
          </cell>
          <cell r="B1699" t="str">
            <v>2.2.02.040.0004</v>
          </cell>
          <cell r="C1699" t="str">
            <v xml:space="preserve">(-) JUROA A APROPRIAR </v>
          </cell>
          <cell r="D1699">
            <v>-8193.5</v>
          </cell>
          <cell r="E1699">
            <v>0</v>
          </cell>
          <cell r="F1699">
            <v>0</v>
          </cell>
          <cell r="G1699">
            <v>0</v>
          </cell>
          <cell r="H1699">
            <v>-8193.5</v>
          </cell>
          <cell r="I1699" t="str">
            <v>D</v>
          </cell>
        </row>
        <row r="1700">
          <cell r="A1700">
            <v>40746</v>
          </cell>
          <cell r="B1700" t="str">
            <v>2.2.03</v>
          </cell>
          <cell r="C1700" t="str">
            <v xml:space="preserve">OUTRAS OBRIGACOES DE </v>
          </cell>
          <cell r="D1700">
            <v>4735347.34</v>
          </cell>
          <cell r="E1700">
            <v>42727.89</v>
          </cell>
          <cell r="F1700">
            <v>0</v>
          </cell>
          <cell r="G1700">
            <v>-42727.89</v>
          </cell>
          <cell r="H1700">
            <v>4692619.45</v>
          </cell>
          <cell r="I1700" t="str">
            <v>C</v>
          </cell>
        </row>
        <row r="1701">
          <cell r="A1701">
            <v>40747</v>
          </cell>
          <cell r="B1701" t="str">
            <v>2.2.03.010</v>
          </cell>
          <cell r="C1701" t="str">
            <v xml:space="preserve">OUTRAS OBRIGACOES DE </v>
          </cell>
          <cell r="D1701">
            <v>4735347.34</v>
          </cell>
          <cell r="E1701">
            <v>42727.89</v>
          </cell>
          <cell r="F1701">
            <v>0</v>
          </cell>
          <cell r="G1701">
            <v>-42727.89</v>
          </cell>
          <cell r="H1701">
            <v>4692619.45</v>
          </cell>
          <cell r="I1701" t="str">
            <v>C</v>
          </cell>
        </row>
        <row r="1702">
          <cell r="A1702">
            <v>38129</v>
          </cell>
          <cell r="B1702" t="str">
            <v>2.2.03.010.0001</v>
          </cell>
          <cell r="C1702" t="str">
            <v xml:space="preserve">PROJETOS A REALIZAR - </v>
          </cell>
          <cell r="D1702">
            <v>198052.7</v>
          </cell>
          <cell r="E1702">
            <v>2332.0700000000002</v>
          </cell>
          <cell r="F1702">
            <v>0</v>
          </cell>
          <cell r="G1702">
            <v>-2332.0700000000002</v>
          </cell>
          <cell r="H1702">
            <v>195720.63</v>
          </cell>
          <cell r="I1702" t="str">
            <v>C</v>
          </cell>
        </row>
        <row r="1703">
          <cell r="A1703">
            <v>51503</v>
          </cell>
          <cell r="B1703" t="str">
            <v>2.2.03.010.0003</v>
          </cell>
          <cell r="C1703" t="str">
            <v xml:space="preserve">SUBVENCOES ATIVOS </v>
          </cell>
          <cell r="D1703">
            <v>2723626.01</v>
          </cell>
          <cell r="E1703">
            <v>25482.59</v>
          </cell>
          <cell r="F1703">
            <v>0</v>
          </cell>
          <cell r="G1703">
            <v>-25482.59</v>
          </cell>
          <cell r="H1703">
            <v>2698143.42</v>
          </cell>
          <cell r="I1703" t="str">
            <v>C</v>
          </cell>
        </row>
        <row r="1704">
          <cell r="A1704">
            <v>51745</v>
          </cell>
          <cell r="B1704" t="str">
            <v>2.2.03.010.0004</v>
          </cell>
          <cell r="C1704" t="str">
            <v xml:space="preserve">PROJETOS A REALIZAR COM </v>
          </cell>
          <cell r="D1704">
            <v>1813668.63</v>
          </cell>
          <cell r="E1704">
            <v>14913.23</v>
          </cell>
          <cell r="F1704">
            <v>0</v>
          </cell>
          <cell r="G1704">
            <v>-14913.23</v>
          </cell>
          <cell r="H1704">
            <v>1798755.4</v>
          </cell>
          <cell r="I1704" t="str">
            <v>C</v>
          </cell>
        </row>
        <row r="1705">
          <cell r="A1705">
            <v>38371</v>
          </cell>
          <cell r="B1705" t="str">
            <v>2.2.04</v>
          </cell>
          <cell r="C1705" t="str">
            <v xml:space="preserve">TRIBUTOS E ENCARGOS </v>
          </cell>
          <cell r="D1705">
            <v>8080886.6399999997</v>
          </cell>
          <cell r="E1705">
            <v>0</v>
          </cell>
          <cell r="F1705">
            <v>0</v>
          </cell>
          <cell r="G1705">
            <v>0</v>
          </cell>
          <cell r="H1705">
            <v>8080886.6399999997</v>
          </cell>
          <cell r="I1705" t="str">
            <v>C</v>
          </cell>
        </row>
        <row r="1706">
          <cell r="A1706">
            <v>40611</v>
          </cell>
          <cell r="B1706" t="str">
            <v>2.2.04.001</v>
          </cell>
          <cell r="C1706" t="str">
            <v xml:space="preserve">TRIBUTOS E ENCARGOS </v>
          </cell>
          <cell r="D1706">
            <v>8080886.6399999997</v>
          </cell>
          <cell r="E1706">
            <v>0</v>
          </cell>
          <cell r="F1706">
            <v>0</v>
          </cell>
          <cell r="G1706">
            <v>0</v>
          </cell>
          <cell r="H1706">
            <v>8080886.6399999997</v>
          </cell>
          <cell r="I1706" t="str">
            <v>C</v>
          </cell>
        </row>
        <row r="1707">
          <cell r="A1707">
            <v>33959</v>
          </cell>
          <cell r="B1707" t="str">
            <v>2.2.04.001.0001</v>
          </cell>
          <cell r="C1707" t="str">
            <v xml:space="preserve">1194 IRRF PGN </v>
          </cell>
          <cell r="D1707">
            <v>988768.91</v>
          </cell>
          <cell r="E1707">
            <v>0</v>
          </cell>
          <cell r="F1707">
            <v>0</v>
          </cell>
          <cell r="G1707">
            <v>0</v>
          </cell>
          <cell r="H1707">
            <v>988768.91</v>
          </cell>
          <cell r="I1707" t="str">
            <v>C</v>
          </cell>
        </row>
        <row r="1708">
          <cell r="A1708">
            <v>4335</v>
          </cell>
          <cell r="B1708" t="str">
            <v>2.2.04.001.0002</v>
          </cell>
          <cell r="C1708" t="str">
            <v xml:space="preserve">1285 IRRF RSF </v>
          </cell>
          <cell r="D1708">
            <v>4501216.8</v>
          </cell>
          <cell r="E1708">
            <v>0</v>
          </cell>
          <cell r="F1708">
            <v>0</v>
          </cell>
          <cell r="G1708">
            <v>0</v>
          </cell>
          <cell r="H1708">
            <v>4501216.8</v>
          </cell>
          <cell r="I1708" t="str">
            <v>C</v>
          </cell>
        </row>
        <row r="1709">
          <cell r="A1709">
            <v>4376</v>
          </cell>
          <cell r="B1709" t="str">
            <v>2.2.04.001.0003</v>
          </cell>
          <cell r="C1709" t="str">
            <v xml:space="preserve">1233 PREVIDENCIA </v>
          </cell>
          <cell r="D1709">
            <v>2249395.35</v>
          </cell>
          <cell r="E1709">
            <v>0</v>
          </cell>
          <cell r="F1709">
            <v>0</v>
          </cell>
          <cell r="G1709">
            <v>0</v>
          </cell>
          <cell r="H1709">
            <v>2249395.35</v>
          </cell>
          <cell r="I1709" t="str">
            <v>C</v>
          </cell>
        </row>
        <row r="1710">
          <cell r="A1710">
            <v>33117</v>
          </cell>
          <cell r="B1710" t="str">
            <v>2.2.04.001.0004</v>
          </cell>
          <cell r="C1710" t="str">
            <v>FGTS</v>
          </cell>
          <cell r="D1710">
            <v>341505.58</v>
          </cell>
          <cell r="E1710">
            <v>0</v>
          </cell>
          <cell r="F1710">
            <v>0</v>
          </cell>
          <cell r="G1710">
            <v>0</v>
          </cell>
          <cell r="H1710">
            <v>341505.58</v>
          </cell>
          <cell r="I1710" t="str">
            <v>C</v>
          </cell>
        </row>
        <row r="1711">
          <cell r="A1711">
            <v>54451</v>
          </cell>
          <cell r="B1711" t="str">
            <v>2.2.06</v>
          </cell>
          <cell r="C1711" t="str">
            <v>PROCESSOS</v>
          </cell>
          <cell r="D1711">
            <v>2837532.71</v>
          </cell>
          <cell r="E1711">
            <v>1452.3</v>
          </cell>
          <cell r="F1711">
            <v>1452.3</v>
          </cell>
          <cell r="G1711">
            <v>0</v>
          </cell>
          <cell r="H1711">
            <v>2837532.71</v>
          </cell>
          <cell r="I1711" t="str">
            <v>C</v>
          </cell>
        </row>
        <row r="1712">
          <cell r="A1712">
            <v>54452</v>
          </cell>
          <cell r="B1712" t="str">
            <v>2.2.06.010</v>
          </cell>
          <cell r="C1712" t="str">
            <v>PROCESSO TRABALHISTA</v>
          </cell>
          <cell r="D1712">
            <v>2837532.71</v>
          </cell>
          <cell r="E1712">
            <v>1452.3</v>
          </cell>
          <cell r="F1712">
            <v>1452.3</v>
          </cell>
          <cell r="G1712">
            <v>0</v>
          </cell>
          <cell r="H1712">
            <v>2837532.71</v>
          </cell>
          <cell r="I1712" t="str">
            <v>C</v>
          </cell>
        </row>
        <row r="1713">
          <cell r="A1713">
            <v>54453</v>
          </cell>
          <cell r="B1713" t="str">
            <v>2.2.06.010.0001</v>
          </cell>
          <cell r="C1713" t="str">
            <v>ACORDO TRABALHISTA</v>
          </cell>
          <cell r="D1713">
            <v>2837532.71</v>
          </cell>
          <cell r="E1713">
            <v>1452.3</v>
          </cell>
          <cell r="F1713">
            <v>1452.3</v>
          </cell>
          <cell r="G1713">
            <v>0</v>
          </cell>
          <cell r="H1713">
            <v>2837532.71</v>
          </cell>
          <cell r="I1713" t="str">
            <v>C</v>
          </cell>
        </row>
        <row r="1714">
          <cell r="A1714">
            <v>55274</v>
          </cell>
          <cell r="B1714" t="str">
            <v>2.2.07</v>
          </cell>
          <cell r="C1714" t="str">
            <v>RECEITAS DIFERIDAS</v>
          </cell>
          <cell r="D1714">
            <v>1666666.76</v>
          </cell>
          <cell r="E1714">
            <v>0</v>
          </cell>
          <cell r="F1714">
            <v>0</v>
          </cell>
          <cell r="G1714">
            <v>0</v>
          </cell>
          <cell r="H1714">
            <v>1666666.76</v>
          </cell>
          <cell r="I1714" t="str">
            <v>C</v>
          </cell>
        </row>
        <row r="1715">
          <cell r="A1715">
            <v>55275</v>
          </cell>
          <cell r="B1715" t="str">
            <v>2.2.07.010</v>
          </cell>
          <cell r="C1715" t="str">
            <v>CONTRATOS</v>
          </cell>
          <cell r="D1715">
            <v>1666666.76</v>
          </cell>
          <cell r="E1715">
            <v>0</v>
          </cell>
          <cell r="F1715">
            <v>0</v>
          </cell>
          <cell r="G1715">
            <v>0</v>
          </cell>
          <cell r="H1715">
            <v>1666666.76</v>
          </cell>
          <cell r="I1715" t="str">
            <v>C</v>
          </cell>
        </row>
        <row r="1716">
          <cell r="A1716">
            <v>55276</v>
          </cell>
          <cell r="B1716" t="str">
            <v>2.2.07.010.0001</v>
          </cell>
          <cell r="C1716" t="str">
            <v xml:space="preserve">SANTANDER - CONTRATO </v>
          </cell>
          <cell r="D1716">
            <v>1666666.76</v>
          </cell>
          <cell r="E1716">
            <v>0</v>
          </cell>
          <cell r="F1716">
            <v>0</v>
          </cell>
          <cell r="G1716">
            <v>0</v>
          </cell>
          <cell r="H1716">
            <v>1666666.76</v>
          </cell>
          <cell r="I1716" t="str">
            <v>C</v>
          </cell>
        </row>
        <row r="1717">
          <cell r="A1717">
            <v>4484</v>
          </cell>
          <cell r="B1717" t="str">
            <v>2.3</v>
          </cell>
          <cell r="C1717" t="str">
            <v>PATRIMONIO</v>
          </cell>
          <cell r="D1717">
            <v>61067475.869999997</v>
          </cell>
          <cell r="E1717">
            <v>25000</v>
          </cell>
          <cell r="F1717">
            <v>0</v>
          </cell>
          <cell r="G1717">
            <v>-25000</v>
          </cell>
          <cell r="H1717">
            <v>61042475.869999997</v>
          </cell>
          <cell r="I1717" t="str">
            <v>C</v>
          </cell>
        </row>
        <row r="1718">
          <cell r="A1718">
            <v>4485</v>
          </cell>
          <cell r="B1718" t="str">
            <v>2.3.01</v>
          </cell>
          <cell r="C1718" t="str">
            <v>PATRIMONIO LIQUIDO</v>
          </cell>
          <cell r="D1718">
            <v>61067475.869999997</v>
          </cell>
          <cell r="E1718">
            <v>25000</v>
          </cell>
          <cell r="F1718">
            <v>0</v>
          </cell>
          <cell r="G1718">
            <v>-25000</v>
          </cell>
          <cell r="H1718">
            <v>61042475.869999997</v>
          </cell>
          <cell r="I1718" t="str">
            <v>C</v>
          </cell>
        </row>
        <row r="1719">
          <cell r="A1719">
            <v>4486</v>
          </cell>
          <cell r="B1719" t="str">
            <v>2.3.01.010</v>
          </cell>
          <cell r="C1719" t="str">
            <v>PATRIMONIO SOCIAL</v>
          </cell>
          <cell r="D1719">
            <v>55617782.5</v>
          </cell>
          <cell r="E1719">
            <v>0</v>
          </cell>
          <cell r="F1719">
            <v>0</v>
          </cell>
          <cell r="G1719">
            <v>0</v>
          </cell>
          <cell r="H1719">
            <v>55617782.5</v>
          </cell>
          <cell r="I1719" t="str">
            <v>C</v>
          </cell>
        </row>
        <row r="1720">
          <cell r="A1720">
            <v>4495</v>
          </cell>
          <cell r="B1720" t="str">
            <v>2.3.01.010.0001</v>
          </cell>
          <cell r="C1720" t="str">
            <v>PATRIMONIO SOCIAL</v>
          </cell>
          <cell r="D1720">
            <v>55617782.5</v>
          </cell>
          <cell r="E1720">
            <v>0</v>
          </cell>
          <cell r="F1720">
            <v>0</v>
          </cell>
          <cell r="G1720">
            <v>0</v>
          </cell>
          <cell r="H1720">
            <v>55617782.5</v>
          </cell>
          <cell r="I1720" t="str">
            <v>C</v>
          </cell>
        </row>
        <row r="1721">
          <cell r="A1721">
            <v>4582</v>
          </cell>
          <cell r="B1721" t="str">
            <v>2.3.01.050</v>
          </cell>
          <cell r="C1721" t="str">
            <v xml:space="preserve">SUPERAVIT/DEFICIT DO </v>
          </cell>
          <cell r="D1721">
            <v>5449693.3700000001</v>
          </cell>
          <cell r="E1721">
            <v>25000</v>
          </cell>
          <cell r="F1721">
            <v>0</v>
          </cell>
          <cell r="G1721">
            <v>-25000</v>
          </cell>
          <cell r="H1721">
            <v>5424693.3700000001</v>
          </cell>
          <cell r="I1721" t="str">
            <v>C</v>
          </cell>
        </row>
        <row r="1722">
          <cell r="A1722">
            <v>4592</v>
          </cell>
          <cell r="B1722" t="str">
            <v>2.3.01.050.0001</v>
          </cell>
          <cell r="C1722" t="str">
            <v>SUPERAVITS/ ACUMULADOS</v>
          </cell>
          <cell r="D1722">
            <v>80840242.909999996</v>
          </cell>
          <cell r="E1722">
            <v>0</v>
          </cell>
          <cell r="F1722">
            <v>0</v>
          </cell>
          <cell r="G1722">
            <v>0</v>
          </cell>
          <cell r="H1722">
            <v>80840242.909999996</v>
          </cell>
          <cell r="I1722" t="str">
            <v>C</v>
          </cell>
        </row>
        <row r="1723">
          <cell r="A1723">
            <v>4597</v>
          </cell>
          <cell r="B1723" t="str">
            <v>2.3.01.050.0002</v>
          </cell>
          <cell r="C1723" t="str">
            <v>DEFICITS ACUMULADOS</v>
          </cell>
          <cell r="D1723">
            <v>-55966053.770000003</v>
          </cell>
          <cell r="E1723">
            <v>0</v>
          </cell>
          <cell r="F1723">
            <v>0</v>
          </cell>
          <cell r="G1723">
            <v>0</v>
          </cell>
          <cell r="H1723">
            <v>-55966053.770000003</v>
          </cell>
          <cell r="I1723" t="str">
            <v>D</v>
          </cell>
        </row>
        <row r="1724">
          <cell r="A1724">
            <v>32465</v>
          </cell>
          <cell r="B1724" t="str">
            <v>2.3.01.050.0004</v>
          </cell>
          <cell r="C1724" t="str">
            <v xml:space="preserve">LUCROS/SUPERAVITS </v>
          </cell>
          <cell r="D1724">
            <v>7615</v>
          </cell>
          <cell r="E1724">
            <v>0</v>
          </cell>
          <cell r="F1724">
            <v>0</v>
          </cell>
          <cell r="G1724">
            <v>0</v>
          </cell>
          <cell r="H1724">
            <v>7615</v>
          </cell>
          <cell r="I1724" t="str">
            <v>C</v>
          </cell>
        </row>
        <row r="1725">
          <cell r="A1725">
            <v>4612</v>
          </cell>
          <cell r="B1725" t="str">
            <v>2.3.01.050.0005</v>
          </cell>
          <cell r="C1725" t="str">
            <v xml:space="preserve">AJUSTES DE EXERCICIOS </v>
          </cell>
          <cell r="D1725">
            <v>-19432110.77</v>
          </cell>
          <cell r="E1725">
            <v>25000</v>
          </cell>
          <cell r="F1725">
            <v>0</v>
          </cell>
          <cell r="G1725">
            <v>-25000</v>
          </cell>
          <cell r="H1725">
            <v>-19457110.77</v>
          </cell>
          <cell r="I1725" t="str">
            <v>D</v>
          </cell>
        </row>
        <row r="1726">
          <cell r="A1726">
            <v>4625</v>
          </cell>
          <cell r="B1726">
            <v>3</v>
          </cell>
          <cell r="C1726" t="str">
            <v>RECEITA</v>
          </cell>
          <cell r="D1726">
            <v>44702210.609999999</v>
          </cell>
          <cell r="E1726">
            <v>2255480.19</v>
          </cell>
          <cell r="F1726">
            <v>26155223.260000002</v>
          </cell>
          <cell r="G1726">
            <v>23899743.07</v>
          </cell>
          <cell r="H1726">
            <v>68601953.680000007</v>
          </cell>
          <cell r="I1726" t="str">
            <v>C</v>
          </cell>
          <cell r="J1726" t="e">
            <v>#N/A</v>
          </cell>
        </row>
        <row r="1727">
          <cell r="A1727">
            <v>4860</v>
          </cell>
          <cell r="B1727" t="str">
            <v>3.1</v>
          </cell>
          <cell r="C1727" t="str">
            <v>RECEITAS OPERACIONAIS</v>
          </cell>
          <cell r="D1727">
            <v>40789809.039999999</v>
          </cell>
          <cell r="E1727">
            <v>2250543.52</v>
          </cell>
          <cell r="F1727">
            <v>24616940.5</v>
          </cell>
          <cell r="G1727">
            <v>22366396.98</v>
          </cell>
          <cell r="H1727">
            <v>63156206.020000003</v>
          </cell>
          <cell r="I1727" t="str">
            <v>C</v>
          </cell>
          <cell r="J1727" t="e">
            <v>#N/A</v>
          </cell>
        </row>
        <row r="1728">
          <cell r="A1728">
            <v>4861</v>
          </cell>
          <cell r="B1728" t="str">
            <v>3.1.01</v>
          </cell>
          <cell r="C1728" t="str">
            <v>RECEITAS OPERACIONAIS</v>
          </cell>
          <cell r="D1728">
            <v>40789809.039999999</v>
          </cell>
          <cell r="E1728">
            <v>2250543.52</v>
          </cell>
          <cell r="F1728">
            <v>24616940.5</v>
          </cell>
          <cell r="G1728">
            <v>22366396.98</v>
          </cell>
          <cell r="H1728">
            <v>63156206.020000003</v>
          </cell>
          <cell r="I1728" t="str">
            <v>C</v>
          </cell>
          <cell r="J1728" t="e">
            <v>#N/A</v>
          </cell>
        </row>
        <row r="1729">
          <cell r="A1729">
            <v>4862</v>
          </cell>
          <cell r="B1729" t="str">
            <v>3.1.01.010</v>
          </cell>
          <cell r="C1729" t="str">
            <v>RECEITAS COM COVENIOS</v>
          </cell>
          <cell r="D1729">
            <v>33697849.850000001</v>
          </cell>
          <cell r="E1729">
            <v>314.10000000000002</v>
          </cell>
          <cell r="F1729">
            <v>18664708.449999999</v>
          </cell>
          <cell r="G1729">
            <v>18664394.350000001</v>
          </cell>
          <cell r="H1729">
            <v>52362244.200000003</v>
          </cell>
          <cell r="I1729" t="str">
            <v>C</v>
          </cell>
          <cell r="J1729">
            <v>4862</v>
          </cell>
        </row>
        <row r="1730">
          <cell r="A1730">
            <v>4908</v>
          </cell>
          <cell r="B1730" t="str">
            <v>3.1.01.010.0001</v>
          </cell>
          <cell r="C1730" t="str">
            <v>ABRANGE</v>
          </cell>
          <cell r="D1730">
            <v>1727.54</v>
          </cell>
          <cell r="E1730">
            <v>0</v>
          </cell>
          <cell r="F1730">
            <v>1549.78</v>
          </cell>
          <cell r="G1730">
            <v>1549.78</v>
          </cell>
          <cell r="H1730">
            <v>3277.32</v>
          </cell>
          <cell r="I1730" t="str">
            <v>C</v>
          </cell>
          <cell r="J1730" t="e">
            <v>#N/A</v>
          </cell>
        </row>
        <row r="1731">
          <cell r="A1731">
            <v>33137</v>
          </cell>
          <cell r="B1731" t="str">
            <v>3.1.01.010.0002</v>
          </cell>
          <cell r="C1731" t="str">
            <v>ALIANZ SAUDE</v>
          </cell>
          <cell r="D1731">
            <v>140.78</v>
          </cell>
          <cell r="E1731">
            <v>0</v>
          </cell>
          <cell r="F1731">
            <v>0</v>
          </cell>
          <cell r="G1731">
            <v>0</v>
          </cell>
          <cell r="H1731">
            <v>140.78</v>
          </cell>
          <cell r="I1731" t="str">
            <v>C</v>
          </cell>
          <cell r="J1731" t="e">
            <v>#N/A</v>
          </cell>
        </row>
        <row r="1732">
          <cell r="A1732">
            <v>4910</v>
          </cell>
          <cell r="B1732" t="str">
            <v>3.1.01.010.0003</v>
          </cell>
          <cell r="C1732" t="str">
            <v>AMAFRESP</v>
          </cell>
          <cell r="D1732">
            <v>1769.06</v>
          </cell>
          <cell r="E1732">
            <v>0</v>
          </cell>
          <cell r="F1732">
            <v>75</v>
          </cell>
          <cell r="G1732">
            <v>75</v>
          </cell>
          <cell r="H1732">
            <v>1844.06</v>
          </cell>
          <cell r="I1732" t="str">
            <v>C</v>
          </cell>
          <cell r="J1732" t="e">
            <v>#N/A</v>
          </cell>
        </row>
        <row r="1733">
          <cell r="A1733">
            <v>4911</v>
          </cell>
          <cell r="B1733" t="str">
            <v>3.1.01.010.0005</v>
          </cell>
          <cell r="C1733" t="str">
            <v>AMIL</v>
          </cell>
          <cell r="D1733">
            <v>366827.24</v>
          </cell>
          <cell r="E1733">
            <v>0</v>
          </cell>
          <cell r="F1733">
            <v>334140.46000000002</v>
          </cell>
          <cell r="G1733">
            <v>334140.46000000002</v>
          </cell>
          <cell r="H1733">
            <v>700967.7</v>
          </cell>
          <cell r="I1733" t="str">
            <v>C</v>
          </cell>
          <cell r="J1733" t="e">
            <v>#N/A</v>
          </cell>
        </row>
        <row r="1734">
          <cell r="A1734">
            <v>32999</v>
          </cell>
          <cell r="B1734" t="str">
            <v>3.1.01.010.0007</v>
          </cell>
          <cell r="C1734" t="str">
            <v xml:space="preserve">ATIVIA / COOPERATIVA </v>
          </cell>
          <cell r="D1734">
            <v>6911.44</v>
          </cell>
          <cell r="E1734">
            <v>0</v>
          </cell>
          <cell r="F1734">
            <v>1386.9</v>
          </cell>
          <cell r="G1734">
            <v>1386.9</v>
          </cell>
          <cell r="H1734">
            <v>8298.34</v>
          </cell>
          <cell r="I1734" t="str">
            <v>C</v>
          </cell>
          <cell r="J1734" t="e">
            <v>#N/A</v>
          </cell>
        </row>
        <row r="1735">
          <cell r="A1735">
            <v>32898</v>
          </cell>
          <cell r="B1735" t="str">
            <v>3.1.01.010.0008</v>
          </cell>
          <cell r="C1735" t="str">
            <v xml:space="preserve">AVAMP ASSOC V. PARAIBANA </v>
          </cell>
          <cell r="D1735">
            <v>213449.27</v>
          </cell>
          <cell r="E1735">
            <v>0</v>
          </cell>
          <cell r="F1735">
            <v>165146.29999999999</v>
          </cell>
          <cell r="G1735">
            <v>165146.29999999999</v>
          </cell>
          <cell r="H1735">
            <v>378595.57</v>
          </cell>
          <cell r="I1735" t="str">
            <v>C</v>
          </cell>
          <cell r="J1735" t="e">
            <v>#N/A</v>
          </cell>
        </row>
        <row r="1736">
          <cell r="A1736">
            <v>4914</v>
          </cell>
          <cell r="B1736" t="str">
            <v>3.1.01.010.0009</v>
          </cell>
          <cell r="C1736" t="str">
            <v>BRADESCO SEGURO</v>
          </cell>
          <cell r="D1736">
            <v>435446.6</v>
          </cell>
          <cell r="E1736">
            <v>0</v>
          </cell>
          <cell r="F1736">
            <v>299803.84000000003</v>
          </cell>
          <cell r="G1736">
            <v>299803.84000000003</v>
          </cell>
          <cell r="H1736">
            <v>735250.44</v>
          </cell>
          <cell r="I1736" t="str">
            <v>C</v>
          </cell>
          <cell r="J1736" t="e">
            <v>#N/A</v>
          </cell>
        </row>
        <row r="1737">
          <cell r="A1737">
            <v>4915</v>
          </cell>
          <cell r="B1737" t="str">
            <v>3.1.01.010.0010</v>
          </cell>
          <cell r="C1737" t="str">
            <v>CABESP CAIXA BENEF.</v>
          </cell>
          <cell r="D1737">
            <v>1447.85</v>
          </cell>
          <cell r="E1737">
            <v>0</v>
          </cell>
          <cell r="F1737">
            <v>225</v>
          </cell>
          <cell r="G1737">
            <v>225</v>
          </cell>
          <cell r="H1737">
            <v>1672.85</v>
          </cell>
          <cell r="I1737" t="str">
            <v>C</v>
          </cell>
          <cell r="J1737" t="e">
            <v>#N/A</v>
          </cell>
        </row>
        <row r="1738">
          <cell r="A1738">
            <v>37841</v>
          </cell>
          <cell r="B1738" t="str">
            <v>3.1.01.010.0011</v>
          </cell>
          <cell r="C1738" t="str">
            <v xml:space="preserve">CAIXA ECONOMICA FEDERAL </v>
          </cell>
          <cell r="D1738">
            <v>30822.28</v>
          </cell>
          <cell r="E1738">
            <v>0</v>
          </cell>
          <cell r="F1738">
            <v>3574.52</v>
          </cell>
          <cell r="G1738">
            <v>3574.52</v>
          </cell>
          <cell r="H1738">
            <v>34396.800000000003</v>
          </cell>
          <cell r="I1738" t="str">
            <v>C</v>
          </cell>
          <cell r="J1738" t="e">
            <v>#N/A</v>
          </cell>
        </row>
        <row r="1739">
          <cell r="A1739">
            <v>4916</v>
          </cell>
          <cell r="B1739" t="str">
            <v>3.1.01.010.0012</v>
          </cell>
          <cell r="C1739" t="str">
            <v xml:space="preserve">CARE PLUS MEDIC. </v>
          </cell>
          <cell r="D1739">
            <v>3872.25</v>
          </cell>
          <cell r="E1739">
            <v>0</v>
          </cell>
          <cell r="F1739">
            <v>3319.67</v>
          </cell>
          <cell r="G1739">
            <v>3319.67</v>
          </cell>
          <cell r="H1739">
            <v>7191.92</v>
          </cell>
          <cell r="I1739" t="str">
            <v>C</v>
          </cell>
          <cell r="J1739" t="e">
            <v>#N/A</v>
          </cell>
        </row>
        <row r="1740">
          <cell r="A1740">
            <v>4917</v>
          </cell>
          <cell r="B1740" t="str">
            <v>3.1.01.010.0013</v>
          </cell>
          <cell r="C1740" t="str">
            <v>CASSI - CAIXA ASSIST.FUNC.</v>
          </cell>
          <cell r="D1740">
            <v>190647.34</v>
          </cell>
          <cell r="E1740">
            <v>0</v>
          </cell>
          <cell r="F1740">
            <v>22787.88</v>
          </cell>
          <cell r="G1740">
            <v>22787.88</v>
          </cell>
          <cell r="H1740">
            <v>213435.22</v>
          </cell>
          <cell r="I1740" t="str">
            <v>C</v>
          </cell>
          <cell r="J1740" t="e">
            <v>#N/A</v>
          </cell>
        </row>
        <row r="1741">
          <cell r="A1741">
            <v>4920</v>
          </cell>
          <cell r="B1741" t="str">
            <v>3.1.01.010.0015</v>
          </cell>
          <cell r="C1741" t="str">
            <v>CORREIO</v>
          </cell>
          <cell r="D1741">
            <v>50324.57</v>
          </cell>
          <cell r="E1741">
            <v>0</v>
          </cell>
          <cell r="F1741">
            <v>16296.96</v>
          </cell>
          <cell r="G1741">
            <v>16296.96</v>
          </cell>
          <cell r="H1741">
            <v>66621.53</v>
          </cell>
          <cell r="I1741" t="str">
            <v>C</v>
          </cell>
          <cell r="J1741" t="e">
            <v>#N/A</v>
          </cell>
        </row>
        <row r="1742">
          <cell r="A1742">
            <v>32970</v>
          </cell>
          <cell r="B1742" t="str">
            <v>3.1.01.010.0018</v>
          </cell>
          <cell r="C1742" t="str">
            <v>FUNDACAO CESP</v>
          </cell>
          <cell r="D1742">
            <v>5964.8</v>
          </cell>
          <cell r="E1742">
            <v>0</v>
          </cell>
          <cell r="F1742">
            <v>12427.78</v>
          </cell>
          <cell r="G1742">
            <v>12427.78</v>
          </cell>
          <cell r="H1742">
            <v>18392.580000000002</v>
          </cell>
          <cell r="I1742" t="str">
            <v>C</v>
          </cell>
          <cell r="J1742" t="e">
            <v>#N/A</v>
          </cell>
        </row>
        <row r="1743">
          <cell r="A1743">
            <v>33032</v>
          </cell>
          <cell r="B1743" t="str">
            <v>3.1.01.010.0019</v>
          </cell>
          <cell r="C1743" t="str">
            <v>FUSEX</v>
          </cell>
          <cell r="D1743">
            <v>384903.67999999999</v>
          </cell>
          <cell r="E1743">
            <v>0</v>
          </cell>
          <cell r="F1743">
            <v>123525.21</v>
          </cell>
          <cell r="G1743">
            <v>123525.21</v>
          </cell>
          <cell r="H1743">
            <v>508428.89</v>
          </cell>
          <cell r="I1743" t="str">
            <v>C</v>
          </cell>
          <cell r="J1743" t="e">
            <v>#N/A</v>
          </cell>
        </row>
        <row r="1744">
          <cell r="A1744">
            <v>38174</v>
          </cell>
          <cell r="B1744" t="str">
            <v>3.1.01.010.0022</v>
          </cell>
          <cell r="C1744" t="str">
            <v xml:space="preserve">INSTIT ASSIST MEDICA AO </v>
          </cell>
          <cell r="D1744">
            <v>2572104.25</v>
          </cell>
          <cell r="E1744">
            <v>0</v>
          </cell>
          <cell r="F1744">
            <v>1154983.8500000001</v>
          </cell>
          <cell r="G1744">
            <v>1154983.8500000001</v>
          </cell>
          <cell r="H1744">
            <v>3727088.1</v>
          </cell>
          <cell r="I1744" t="str">
            <v>C</v>
          </cell>
          <cell r="J1744" t="e">
            <v>#N/A</v>
          </cell>
        </row>
        <row r="1745">
          <cell r="A1745">
            <v>37686</v>
          </cell>
          <cell r="B1745" t="str">
            <v>3.1.01.010.0023</v>
          </cell>
          <cell r="C1745" t="str">
            <v xml:space="preserve">INTERMEDICA SISTEMA DE </v>
          </cell>
          <cell r="D1745">
            <v>191885.43</v>
          </cell>
          <cell r="E1745">
            <v>314.10000000000002</v>
          </cell>
          <cell r="F1745">
            <v>262934.06</v>
          </cell>
          <cell r="G1745">
            <v>262619.96000000002</v>
          </cell>
          <cell r="H1745">
            <v>454505.39</v>
          </cell>
          <cell r="I1745" t="str">
            <v>C</v>
          </cell>
          <cell r="J1745" t="e">
            <v>#N/A</v>
          </cell>
        </row>
        <row r="1746">
          <cell r="A1746">
            <v>33914</v>
          </cell>
          <cell r="B1746" t="str">
            <v>3.1.01.010.0024</v>
          </cell>
          <cell r="C1746" t="str">
            <v>LIFE EMPRESARIAL SAUDE</v>
          </cell>
          <cell r="D1746">
            <v>6006.85</v>
          </cell>
          <cell r="E1746">
            <v>0</v>
          </cell>
          <cell r="F1746">
            <v>2470.2600000000002</v>
          </cell>
          <cell r="G1746">
            <v>2470.2600000000002</v>
          </cell>
          <cell r="H1746">
            <v>8477.11</v>
          </cell>
          <cell r="I1746" t="str">
            <v>C</v>
          </cell>
          <cell r="J1746" t="e">
            <v>#N/A</v>
          </cell>
        </row>
        <row r="1747">
          <cell r="A1747">
            <v>4928</v>
          </cell>
          <cell r="B1747" t="str">
            <v>3.1.01.010.0025</v>
          </cell>
          <cell r="C1747" t="str">
            <v>MARITIMA SAUDE</v>
          </cell>
          <cell r="D1747">
            <v>420.57</v>
          </cell>
          <cell r="E1747">
            <v>0</v>
          </cell>
          <cell r="F1747">
            <v>868.11</v>
          </cell>
          <cell r="G1747">
            <v>868.11</v>
          </cell>
          <cell r="H1747">
            <v>1288.68</v>
          </cell>
          <cell r="I1747" t="str">
            <v>C</v>
          </cell>
          <cell r="J1747" t="e">
            <v>#N/A</v>
          </cell>
        </row>
        <row r="1748">
          <cell r="A1748">
            <v>4930</v>
          </cell>
          <cell r="B1748" t="str">
            <v>3.1.01.010.0026</v>
          </cell>
          <cell r="C1748" t="str">
            <v>MEDISERVICE</v>
          </cell>
          <cell r="D1748">
            <v>35245.32</v>
          </cell>
          <cell r="E1748">
            <v>0</v>
          </cell>
          <cell r="F1748">
            <v>19415.82</v>
          </cell>
          <cell r="G1748">
            <v>19415.82</v>
          </cell>
          <cell r="H1748">
            <v>54661.14</v>
          </cell>
          <cell r="I1748" t="str">
            <v>C</v>
          </cell>
          <cell r="J1748" t="e">
            <v>#N/A</v>
          </cell>
        </row>
        <row r="1749">
          <cell r="A1749">
            <v>4931</v>
          </cell>
          <cell r="B1749" t="str">
            <v>3.1.01.010.0027</v>
          </cell>
          <cell r="C1749" t="str">
            <v>NOTRE DAME</v>
          </cell>
          <cell r="D1749">
            <v>223002.36</v>
          </cell>
          <cell r="E1749">
            <v>0</v>
          </cell>
          <cell r="F1749">
            <v>129776.11</v>
          </cell>
          <cell r="G1749">
            <v>129776.11</v>
          </cell>
          <cell r="H1749">
            <v>352778.47</v>
          </cell>
          <cell r="I1749" t="str">
            <v>C</v>
          </cell>
          <cell r="J1749" t="e">
            <v>#N/A</v>
          </cell>
        </row>
        <row r="1750">
          <cell r="A1750">
            <v>4933</v>
          </cell>
          <cell r="B1750" t="str">
            <v>3.1.01.010.0029</v>
          </cell>
          <cell r="C1750" t="str">
            <v xml:space="preserve">PETROBRAS PETROLEO </v>
          </cell>
          <cell r="D1750">
            <v>18121.240000000002</v>
          </cell>
          <cell r="E1750">
            <v>0</v>
          </cell>
          <cell r="F1750">
            <v>5302.68</v>
          </cell>
          <cell r="G1750">
            <v>5302.68</v>
          </cell>
          <cell r="H1750">
            <v>23423.919999999998</v>
          </cell>
          <cell r="I1750" t="str">
            <v>C</v>
          </cell>
          <cell r="J1750" t="e">
            <v>#N/A</v>
          </cell>
        </row>
        <row r="1751">
          <cell r="A1751">
            <v>4936</v>
          </cell>
          <cell r="B1751" t="str">
            <v>3.1.01.010.0031</v>
          </cell>
          <cell r="C1751" t="str">
            <v>PORTO SEGURO SAUDE S/A</v>
          </cell>
          <cell r="D1751">
            <v>132146.74</v>
          </cell>
          <cell r="E1751">
            <v>0</v>
          </cell>
          <cell r="F1751">
            <v>57188.76</v>
          </cell>
          <cell r="G1751">
            <v>57188.76</v>
          </cell>
          <cell r="H1751">
            <v>189335.5</v>
          </cell>
          <cell r="I1751" t="str">
            <v>C</v>
          </cell>
          <cell r="J1751" t="e">
            <v>#N/A</v>
          </cell>
        </row>
        <row r="1752">
          <cell r="A1752">
            <v>37850</v>
          </cell>
          <cell r="B1752" t="str">
            <v>3.1.01.010.0033</v>
          </cell>
          <cell r="C1752" t="str">
            <v xml:space="preserve">SPDM ASSOCIACAO PAULISTA </v>
          </cell>
          <cell r="D1752">
            <v>83800.09</v>
          </cell>
          <cell r="E1752">
            <v>0</v>
          </cell>
          <cell r="F1752">
            <v>32344.68</v>
          </cell>
          <cell r="G1752">
            <v>32344.68</v>
          </cell>
          <cell r="H1752">
            <v>116144.77</v>
          </cell>
          <cell r="I1752" t="str">
            <v>C</v>
          </cell>
          <cell r="J1752" t="e">
            <v>#N/A</v>
          </cell>
        </row>
        <row r="1753">
          <cell r="A1753">
            <v>32503</v>
          </cell>
          <cell r="B1753" t="str">
            <v>3.1.01.010.0034</v>
          </cell>
          <cell r="C1753" t="str">
            <v>SUL AMERICA</v>
          </cell>
          <cell r="D1753">
            <v>1537470.74</v>
          </cell>
          <cell r="E1753">
            <v>0</v>
          </cell>
          <cell r="F1753">
            <v>806018.75</v>
          </cell>
          <cell r="G1753">
            <v>806018.75</v>
          </cell>
          <cell r="H1753">
            <v>2343489.4900000002</v>
          </cell>
          <cell r="I1753" t="str">
            <v>C</v>
          </cell>
          <cell r="J1753" t="e">
            <v>#N/A</v>
          </cell>
        </row>
        <row r="1754">
          <cell r="A1754">
            <v>4945</v>
          </cell>
          <cell r="B1754" t="str">
            <v>3.1.01.010.0036</v>
          </cell>
          <cell r="C1754" t="str">
            <v>UNIMED</v>
          </cell>
          <cell r="D1754">
            <v>1782484.27</v>
          </cell>
          <cell r="E1754">
            <v>0</v>
          </cell>
          <cell r="F1754">
            <v>849345.22</v>
          </cell>
          <cell r="G1754">
            <v>849345.22</v>
          </cell>
          <cell r="H1754">
            <v>2631829.4900000002</v>
          </cell>
          <cell r="I1754" t="str">
            <v>C</v>
          </cell>
          <cell r="J1754" t="e">
            <v>#N/A</v>
          </cell>
        </row>
        <row r="1755">
          <cell r="A1755">
            <v>38595</v>
          </cell>
          <cell r="B1755" t="str">
            <v>3.1.01.010.0039</v>
          </cell>
          <cell r="C1755" t="str">
            <v xml:space="preserve">PREFEITURA MUNICIPAL DE </v>
          </cell>
          <cell r="D1755">
            <v>246307.08</v>
          </cell>
          <cell r="E1755">
            <v>0</v>
          </cell>
          <cell r="F1755">
            <v>140639.22</v>
          </cell>
          <cell r="G1755">
            <v>140639.22</v>
          </cell>
          <cell r="H1755">
            <v>386946.3</v>
          </cell>
          <cell r="I1755" t="str">
            <v>C</v>
          </cell>
          <cell r="J1755" t="e">
            <v>#N/A</v>
          </cell>
        </row>
        <row r="1756">
          <cell r="A1756">
            <v>38683</v>
          </cell>
          <cell r="B1756" t="str">
            <v>3.1.01.010.0040</v>
          </cell>
          <cell r="C1756" t="str">
            <v>COMANDO DA MARINHA</v>
          </cell>
          <cell r="D1756">
            <v>58420.83</v>
          </cell>
          <cell r="E1756">
            <v>0</v>
          </cell>
          <cell r="F1756">
            <v>88436.52</v>
          </cell>
          <cell r="G1756">
            <v>88436.52</v>
          </cell>
          <cell r="H1756">
            <v>146857.35</v>
          </cell>
          <cell r="I1756" t="str">
            <v>C</v>
          </cell>
          <cell r="J1756" t="e">
            <v>#N/A</v>
          </cell>
        </row>
        <row r="1757">
          <cell r="A1757">
            <v>51150</v>
          </cell>
          <cell r="B1757" t="str">
            <v>3.1.01.010.0044</v>
          </cell>
          <cell r="C1757" t="str">
            <v xml:space="preserve">ASSOCIACAO SANTA CASA </v>
          </cell>
          <cell r="D1757">
            <v>24420843.780000001</v>
          </cell>
          <cell r="E1757">
            <v>0</v>
          </cell>
          <cell r="F1757">
            <v>13828879.210000001</v>
          </cell>
          <cell r="G1757">
            <v>13828879.210000001</v>
          </cell>
          <cell r="H1757">
            <v>38249722.990000002</v>
          </cell>
          <cell r="I1757" t="str">
            <v>C</v>
          </cell>
          <cell r="J1757">
            <v>51150</v>
          </cell>
        </row>
        <row r="1758">
          <cell r="A1758">
            <v>51841</v>
          </cell>
          <cell r="B1758" t="str">
            <v>3.1.01.010.0052</v>
          </cell>
          <cell r="C1758" t="str">
            <v xml:space="preserve">COMANDO DA  AERONAUTICA </v>
          </cell>
          <cell r="D1758">
            <v>84137.03</v>
          </cell>
          <cell r="E1758">
            <v>0</v>
          </cell>
          <cell r="F1758">
            <v>79474.429999999993</v>
          </cell>
          <cell r="G1758">
            <v>79474.429999999993</v>
          </cell>
          <cell r="H1758">
            <v>163611.46</v>
          </cell>
          <cell r="I1758" t="str">
            <v>C</v>
          </cell>
          <cell r="J1758" t="e">
            <v>#N/A</v>
          </cell>
        </row>
        <row r="1759">
          <cell r="A1759">
            <v>53084</v>
          </cell>
          <cell r="B1759" t="str">
            <v>3.1.01.010.0062</v>
          </cell>
          <cell r="C1759" t="str">
            <v>PIO XII</v>
          </cell>
          <cell r="D1759">
            <v>0</v>
          </cell>
          <cell r="E1759">
            <v>0</v>
          </cell>
          <cell r="F1759">
            <v>4797.26</v>
          </cell>
          <cell r="G1759">
            <v>4797.26</v>
          </cell>
          <cell r="H1759">
            <v>4797.26</v>
          </cell>
          <cell r="I1759" t="str">
            <v>C</v>
          </cell>
          <cell r="J1759" t="e">
            <v>#N/A</v>
          </cell>
        </row>
        <row r="1760">
          <cell r="A1760">
            <v>54750</v>
          </cell>
          <cell r="B1760" t="str">
            <v>3.1.01.010.0063</v>
          </cell>
          <cell r="C1760" t="str">
            <v>BRADESCO SAUDE</v>
          </cell>
          <cell r="D1760">
            <v>485820.35</v>
          </cell>
          <cell r="E1760">
            <v>0</v>
          </cell>
          <cell r="F1760">
            <v>191533.26</v>
          </cell>
          <cell r="G1760">
            <v>191533.26</v>
          </cell>
          <cell r="H1760">
            <v>677353.61</v>
          </cell>
          <cell r="I1760" t="str">
            <v>C</v>
          </cell>
          <cell r="J1760" t="e">
            <v>#N/A</v>
          </cell>
        </row>
        <row r="1761">
          <cell r="A1761">
            <v>55014</v>
          </cell>
          <cell r="B1761" t="str">
            <v>3.1.01.010.0064</v>
          </cell>
          <cell r="C1761" t="str">
            <v xml:space="preserve">GO CARE PLANOS DE SAUDE </v>
          </cell>
          <cell r="D1761">
            <v>125378.22</v>
          </cell>
          <cell r="E1761">
            <v>0</v>
          </cell>
          <cell r="F1761">
            <v>26040.95</v>
          </cell>
          <cell r="G1761">
            <v>26040.95</v>
          </cell>
          <cell r="H1761">
            <v>151419.17000000001</v>
          </cell>
          <cell r="I1761" t="str">
            <v>C</v>
          </cell>
          <cell r="J1761" t="e">
            <v>#N/A</v>
          </cell>
        </row>
        <row r="1762">
          <cell r="A1762">
            <v>53065</v>
          </cell>
          <cell r="B1762" t="str">
            <v>3.1.01.030</v>
          </cell>
          <cell r="C1762" t="str">
            <v>PACIENTES PARTICULAR</v>
          </cell>
          <cell r="D1762">
            <v>298629.53000000003</v>
          </cell>
          <cell r="E1762">
            <v>20</v>
          </cell>
          <cell r="F1762">
            <v>109683.89</v>
          </cell>
          <cell r="G1762">
            <v>109663.89</v>
          </cell>
          <cell r="H1762">
            <v>408293.42</v>
          </cell>
          <cell r="I1762" t="str">
            <v>C</v>
          </cell>
          <cell r="J1762">
            <v>53065</v>
          </cell>
        </row>
        <row r="1763">
          <cell r="A1763">
            <v>4904</v>
          </cell>
          <cell r="B1763" t="str">
            <v>3.1.01.030.0001</v>
          </cell>
          <cell r="C1763" t="str">
            <v>PACIENTES PARTICULAR</v>
          </cell>
          <cell r="D1763">
            <v>298629.53000000003</v>
          </cell>
          <cell r="E1763">
            <v>20</v>
          </cell>
          <cell r="F1763">
            <v>109683.89</v>
          </cell>
          <cell r="G1763">
            <v>109663.89</v>
          </cell>
          <cell r="H1763">
            <v>408293.42</v>
          </cell>
          <cell r="I1763" t="str">
            <v>C</v>
          </cell>
          <cell r="J1763" t="e">
            <v>#N/A</v>
          </cell>
        </row>
        <row r="1764">
          <cell r="A1764">
            <v>4962</v>
          </cell>
          <cell r="B1764" t="str">
            <v>3.1.01.040</v>
          </cell>
          <cell r="C1764" t="str">
            <v xml:space="preserve">( - ) GLOSAS DAS RECEITAS </v>
          </cell>
          <cell r="D1764">
            <v>-78879.63</v>
          </cell>
          <cell r="E1764">
            <v>19026.900000000001</v>
          </cell>
          <cell r="F1764">
            <v>0</v>
          </cell>
          <cell r="G1764">
            <v>-19026.900000000001</v>
          </cell>
          <cell r="H1764">
            <v>-97906.53</v>
          </cell>
          <cell r="I1764" t="str">
            <v>D</v>
          </cell>
          <cell r="J1764">
            <v>4962</v>
          </cell>
        </row>
        <row r="1765">
          <cell r="A1765">
            <v>36537</v>
          </cell>
          <cell r="B1765" t="str">
            <v>3.1.01.040.0001</v>
          </cell>
          <cell r="C1765" t="str">
            <v xml:space="preserve">( - ) RECURSO/ACEITE DE </v>
          </cell>
          <cell r="D1765">
            <v>-830.98</v>
          </cell>
          <cell r="E1765">
            <v>27.82</v>
          </cell>
          <cell r="F1765">
            <v>0</v>
          </cell>
          <cell r="G1765">
            <v>-27.82</v>
          </cell>
          <cell r="H1765">
            <v>-858.8</v>
          </cell>
          <cell r="I1765" t="str">
            <v>D</v>
          </cell>
          <cell r="J1765" t="e">
            <v>#N/A</v>
          </cell>
        </row>
        <row r="1766">
          <cell r="A1766">
            <v>36540</v>
          </cell>
          <cell r="B1766" t="str">
            <v>3.1.01.040.0002</v>
          </cell>
          <cell r="C1766" t="str">
            <v xml:space="preserve">( - ) RECURSO/ACEITE DE </v>
          </cell>
          <cell r="D1766">
            <v>-34</v>
          </cell>
          <cell r="E1766">
            <v>0</v>
          </cell>
          <cell r="F1766">
            <v>0</v>
          </cell>
          <cell r="G1766">
            <v>0</v>
          </cell>
          <cell r="H1766">
            <v>-34</v>
          </cell>
          <cell r="I1766" t="str">
            <v>D</v>
          </cell>
          <cell r="J1766" t="e">
            <v>#N/A</v>
          </cell>
        </row>
        <row r="1767">
          <cell r="A1767">
            <v>36539</v>
          </cell>
          <cell r="B1767" t="str">
            <v>3.1.01.040.0003</v>
          </cell>
          <cell r="C1767" t="str">
            <v xml:space="preserve">( - ) RECURSO/ACEITE DE </v>
          </cell>
          <cell r="D1767">
            <v>-1713.73</v>
          </cell>
          <cell r="E1767">
            <v>9613.64</v>
          </cell>
          <cell r="F1767">
            <v>0</v>
          </cell>
          <cell r="G1767">
            <v>-9613.64</v>
          </cell>
          <cell r="H1767">
            <v>-11327.37</v>
          </cell>
          <cell r="I1767" t="str">
            <v>D</v>
          </cell>
          <cell r="J1767" t="e">
            <v>#N/A</v>
          </cell>
        </row>
        <row r="1768">
          <cell r="A1768">
            <v>36545</v>
          </cell>
          <cell r="B1768" t="str">
            <v>3.1.01.040.0004</v>
          </cell>
          <cell r="C1768" t="str">
            <v xml:space="preserve">( - ) RECURSO/ACEITE DE </v>
          </cell>
          <cell r="D1768">
            <v>-0.56999999999999995</v>
          </cell>
          <cell r="E1768">
            <v>0</v>
          </cell>
          <cell r="F1768">
            <v>0</v>
          </cell>
          <cell r="G1768">
            <v>0</v>
          </cell>
          <cell r="H1768">
            <v>-0.56999999999999995</v>
          </cell>
          <cell r="I1768" t="str">
            <v>D</v>
          </cell>
          <cell r="J1768" t="e">
            <v>#N/A</v>
          </cell>
        </row>
        <row r="1769">
          <cell r="A1769">
            <v>36546</v>
          </cell>
          <cell r="B1769" t="str">
            <v>3.1.01.040.0007</v>
          </cell>
          <cell r="C1769" t="str">
            <v xml:space="preserve">( - ) RECURSO/ACEITE DE </v>
          </cell>
          <cell r="D1769">
            <v>0</v>
          </cell>
          <cell r="E1769">
            <v>0.01</v>
          </cell>
          <cell r="F1769">
            <v>0</v>
          </cell>
          <cell r="G1769">
            <v>-0.01</v>
          </cell>
          <cell r="H1769">
            <v>-0.01</v>
          </cell>
          <cell r="I1769" t="str">
            <v>D</v>
          </cell>
          <cell r="J1769" t="e">
            <v>#N/A</v>
          </cell>
        </row>
        <row r="1770">
          <cell r="A1770">
            <v>36541</v>
          </cell>
          <cell r="B1770" t="str">
            <v>3.1.01.040.0008</v>
          </cell>
          <cell r="C1770" t="str">
            <v xml:space="preserve">( - ) RECURSO/ACEITE DE </v>
          </cell>
          <cell r="D1770">
            <v>-9391.01</v>
          </cell>
          <cell r="E1770">
            <v>2263.08</v>
          </cell>
          <cell r="F1770">
            <v>0</v>
          </cell>
          <cell r="G1770">
            <v>-2263.08</v>
          </cell>
          <cell r="H1770">
            <v>-11654.09</v>
          </cell>
          <cell r="I1770" t="str">
            <v>D</v>
          </cell>
          <cell r="J1770" t="e">
            <v>#N/A</v>
          </cell>
        </row>
        <row r="1771">
          <cell r="A1771">
            <v>36538</v>
          </cell>
          <cell r="B1771" t="str">
            <v>3.1.01.040.0009</v>
          </cell>
          <cell r="C1771" t="str">
            <v xml:space="preserve">( - ) RECURSO/ACEITE DE </v>
          </cell>
          <cell r="D1771">
            <v>-954.97</v>
          </cell>
          <cell r="E1771">
            <v>1761.46</v>
          </cell>
          <cell r="F1771">
            <v>0</v>
          </cell>
          <cell r="G1771">
            <v>-1761.46</v>
          </cell>
          <cell r="H1771">
            <v>-2716.43</v>
          </cell>
          <cell r="I1771" t="str">
            <v>D</v>
          </cell>
          <cell r="J1771" t="e">
            <v>#N/A</v>
          </cell>
        </row>
        <row r="1772">
          <cell r="A1772">
            <v>4966</v>
          </cell>
          <cell r="B1772" t="str">
            <v>3.1.01.040.0010</v>
          </cell>
          <cell r="C1772" t="str">
            <v xml:space="preserve">( - ) RECURSO/ACEITE DE </v>
          </cell>
          <cell r="D1772">
            <v>-25803.119999999999</v>
          </cell>
          <cell r="E1772">
            <v>1844.48</v>
          </cell>
          <cell r="F1772">
            <v>0</v>
          </cell>
          <cell r="G1772">
            <v>-1844.48</v>
          </cell>
          <cell r="H1772">
            <v>-27647.599999999999</v>
          </cell>
          <cell r="I1772" t="str">
            <v>D</v>
          </cell>
          <cell r="J1772" t="e">
            <v>#N/A</v>
          </cell>
        </row>
        <row r="1773">
          <cell r="A1773">
            <v>36535</v>
          </cell>
          <cell r="B1773" t="str">
            <v>3.1.01.040.0011</v>
          </cell>
          <cell r="C1773" t="str">
            <v xml:space="preserve">( - ) RECURSO/ACEITE DE </v>
          </cell>
          <cell r="D1773">
            <v>-0.06</v>
          </cell>
          <cell r="E1773">
            <v>0.04</v>
          </cell>
          <cell r="F1773">
            <v>0</v>
          </cell>
          <cell r="G1773">
            <v>-0.04</v>
          </cell>
          <cell r="H1773">
            <v>-0.1</v>
          </cell>
          <cell r="I1773" t="str">
            <v>D</v>
          </cell>
          <cell r="J1773" t="e">
            <v>#N/A</v>
          </cell>
        </row>
        <row r="1774">
          <cell r="A1774">
            <v>53744</v>
          </cell>
          <cell r="B1774" t="str">
            <v>3.1.01.040.0020</v>
          </cell>
          <cell r="C1774" t="str">
            <v xml:space="preserve">( - ) RECURSO/ACEITE DE </v>
          </cell>
          <cell r="D1774">
            <v>-25223.69</v>
          </cell>
          <cell r="E1774">
            <v>0</v>
          </cell>
          <cell r="F1774">
            <v>0</v>
          </cell>
          <cell r="G1774">
            <v>0</v>
          </cell>
          <cell r="H1774">
            <v>-25223.69</v>
          </cell>
          <cell r="I1774" t="str">
            <v>D</v>
          </cell>
          <cell r="J1774" t="e">
            <v>#N/A</v>
          </cell>
        </row>
        <row r="1775">
          <cell r="A1775">
            <v>53761</v>
          </cell>
          <cell r="B1775" t="str">
            <v>3.1.01.040.0030</v>
          </cell>
          <cell r="C1775" t="str">
            <v xml:space="preserve">( - ) RECURSO/ACEITE DE </v>
          </cell>
          <cell r="D1775">
            <v>-469.98</v>
          </cell>
          <cell r="E1775">
            <v>739.19</v>
          </cell>
          <cell r="F1775">
            <v>0</v>
          </cell>
          <cell r="G1775">
            <v>-739.19</v>
          </cell>
          <cell r="H1775">
            <v>-1209.17</v>
          </cell>
          <cell r="I1775" t="str">
            <v>D</v>
          </cell>
          <cell r="J1775" t="e">
            <v>#N/A</v>
          </cell>
        </row>
        <row r="1776">
          <cell r="A1776">
            <v>53756</v>
          </cell>
          <cell r="B1776" t="str">
            <v>3.1.01.040.0034</v>
          </cell>
          <cell r="C1776" t="str">
            <v xml:space="preserve">( - ) RECURSO/ACEITE DE </v>
          </cell>
          <cell r="D1776">
            <v>-50.88</v>
          </cell>
          <cell r="E1776">
            <v>3.12</v>
          </cell>
          <cell r="F1776">
            <v>0</v>
          </cell>
          <cell r="G1776">
            <v>-3.12</v>
          </cell>
          <cell r="H1776">
            <v>-54</v>
          </cell>
          <cell r="I1776" t="str">
            <v>D</v>
          </cell>
          <cell r="J1776" t="e">
            <v>#N/A</v>
          </cell>
        </row>
        <row r="1777">
          <cell r="A1777">
            <v>53774</v>
          </cell>
          <cell r="B1777" t="str">
            <v>3.1.01.040.0048</v>
          </cell>
          <cell r="C1777" t="str">
            <v xml:space="preserve">( - ) RECURSO/ACEITE DE </v>
          </cell>
          <cell r="D1777">
            <v>-113.99</v>
          </cell>
          <cell r="E1777">
            <v>0</v>
          </cell>
          <cell r="F1777">
            <v>0</v>
          </cell>
          <cell r="G1777">
            <v>0</v>
          </cell>
          <cell r="H1777">
            <v>-113.99</v>
          </cell>
          <cell r="I1777" t="str">
            <v>D</v>
          </cell>
          <cell r="J1777" t="e">
            <v>#N/A</v>
          </cell>
        </row>
        <row r="1778">
          <cell r="A1778">
            <v>53776</v>
          </cell>
          <cell r="B1778" t="str">
            <v>3.1.01.040.0052</v>
          </cell>
          <cell r="C1778" t="str">
            <v xml:space="preserve">( - ) RECURSO/ACEITE DE </v>
          </cell>
          <cell r="D1778">
            <v>-13070.79</v>
          </cell>
          <cell r="E1778">
            <v>0</v>
          </cell>
          <cell r="F1778">
            <v>0</v>
          </cell>
          <cell r="G1778">
            <v>0</v>
          </cell>
          <cell r="H1778">
            <v>-13070.79</v>
          </cell>
          <cell r="I1778" t="str">
            <v>D</v>
          </cell>
          <cell r="J1778" t="e">
            <v>#N/A</v>
          </cell>
        </row>
        <row r="1779">
          <cell r="A1779">
            <v>53784</v>
          </cell>
          <cell r="B1779" t="str">
            <v>3.1.01.040.0056</v>
          </cell>
          <cell r="C1779" t="str">
            <v xml:space="preserve">( - ) RECURSO/ACEITE DE </v>
          </cell>
          <cell r="D1779">
            <v>-123.57</v>
          </cell>
          <cell r="E1779">
            <v>0</v>
          </cell>
          <cell r="F1779">
            <v>0</v>
          </cell>
          <cell r="G1779">
            <v>0</v>
          </cell>
          <cell r="H1779">
            <v>-123.57</v>
          </cell>
          <cell r="I1779" t="str">
            <v>D</v>
          </cell>
          <cell r="J1779" t="e">
            <v>#N/A</v>
          </cell>
        </row>
        <row r="1780">
          <cell r="A1780">
            <v>54752</v>
          </cell>
          <cell r="B1780" t="str">
            <v>3.1.01.040.0062</v>
          </cell>
          <cell r="C1780" t="str">
            <v xml:space="preserve">( - ) RECURSO/ACEITE DE </v>
          </cell>
          <cell r="D1780">
            <v>-8.0299999999999994</v>
          </cell>
          <cell r="E1780">
            <v>0.02</v>
          </cell>
          <cell r="F1780">
            <v>0</v>
          </cell>
          <cell r="G1780">
            <v>-0.02</v>
          </cell>
          <cell r="H1780">
            <v>-8.0500000000000007</v>
          </cell>
          <cell r="I1780" t="str">
            <v>D</v>
          </cell>
          <cell r="J1780" t="e">
            <v>#N/A</v>
          </cell>
        </row>
        <row r="1781">
          <cell r="A1781">
            <v>55035</v>
          </cell>
          <cell r="B1781" t="str">
            <v>3.1.01.040.0063</v>
          </cell>
          <cell r="C1781" t="str">
            <v xml:space="preserve">( - ) RECURSO/ACEITE DE </v>
          </cell>
          <cell r="D1781">
            <v>-1090.26</v>
          </cell>
          <cell r="E1781">
            <v>2774.04</v>
          </cell>
          <cell r="F1781">
            <v>0</v>
          </cell>
          <cell r="G1781">
            <v>-2774.04</v>
          </cell>
          <cell r="H1781">
            <v>-3864.3</v>
          </cell>
          <cell r="I1781" t="str">
            <v>D</v>
          </cell>
          <cell r="J1781" t="e">
            <v>#N/A</v>
          </cell>
        </row>
        <row r="1782">
          <cell r="A1782">
            <v>40769</v>
          </cell>
          <cell r="B1782" t="str">
            <v>3.1.01.050</v>
          </cell>
          <cell r="C1782" t="str">
            <v>RECEITAS SUS</v>
          </cell>
          <cell r="D1782">
            <v>7695358.4100000001</v>
          </cell>
          <cell r="E1782">
            <v>1719075.18</v>
          </cell>
          <cell r="F1782">
            <v>5507475.3899999997</v>
          </cell>
          <cell r="G1782">
            <v>3788400.21</v>
          </cell>
          <cell r="H1782">
            <v>11483758.619999999</v>
          </cell>
          <cell r="I1782" t="str">
            <v>C</v>
          </cell>
          <cell r="J1782" t="e">
            <v>#N/A</v>
          </cell>
        </row>
        <row r="1783">
          <cell r="A1783">
            <v>4882</v>
          </cell>
          <cell r="B1783" t="str">
            <v>3.1.01.050.0001</v>
          </cell>
          <cell r="C1783" t="str">
            <v>SUS - HEMODIALISE</v>
          </cell>
          <cell r="D1783">
            <v>1810809.91</v>
          </cell>
          <cell r="E1783">
            <v>0</v>
          </cell>
          <cell r="F1783">
            <v>993366.22</v>
          </cell>
          <cell r="G1783">
            <v>993366.22</v>
          </cell>
          <cell r="H1783">
            <v>2804176.13</v>
          </cell>
          <cell r="I1783" t="str">
            <v>C</v>
          </cell>
          <cell r="J1783">
            <v>4882</v>
          </cell>
        </row>
        <row r="1784">
          <cell r="A1784">
            <v>4887</v>
          </cell>
          <cell r="B1784" t="str">
            <v>3.1.01.050.0002</v>
          </cell>
          <cell r="C1784" t="str">
            <v>SUS - AIH</v>
          </cell>
          <cell r="D1784">
            <v>2706389.9</v>
          </cell>
          <cell r="E1784">
            <v>454648.33</v>
          </cell>
          <cell r="F1784">
            <v>1573130.72</v>
          </cell>
          <cell r="G1784">
            <v>1118482.3899999999</v>
          </cell>
          <cell r="H1784">
            <v>3824872.29</v>
          </cell>
          <cell r="I1784" t="str">
            <v>C</v>
          </cell>
          <cell r="J1784">
            <v>4887</v>
          </cell>
        </row>
        <row r="1785">
          <cell r="A1785">
            <v>4888</v>
          </cell>
          <cell r="B1785" t="str">
            <v>3.1.01.050.0003</v>
          </cell>
          <cell r="C1785" t="str">
            <v>SUS - AMBULATORIO</v>
          </cell>
          <cell r="D1785">
            <v>1922156.55</v>
          </cell>
          <cell r="E1785">
            <v>989073.23</v>
          </cell>
          <cell r="F1785">
            <v>1947157.59</v>
          </cell>
          <cell r="G1785">
            <v>958084.36</v>
          </cell>
          <cell r="H1785">
            <v>2880240.91</v>
          </cell>
          <cell r="I1785" t="str">
            <v>C</v>
          </cell>
          <cell r="J1785">
            <v>4888</v>
          </cell>
        </row>
        <row r="1786">
          <cell r="A1786">
            <v>53295</v>
          </cell>
          <cell r="B1786" t="str">
            <v>3.1.01.050.0004</v>
          </cell>
          <cell r="C1786" t="str">
            <v>SUS - FAEC BARIATRICA</v>
          </cell>
          <cell r="D1786">
            <v>148836.62</v>
          </cell>
          <cell r="E1786">
            <v>39.979999999999997</v>
          </cell>
          <cell r="F1786">
            <v>110573.54</v>
          </cell>
          <cell r="G1786">
            <v>110533.56</v>
          </cell>
          <cell r="H1786">
            <v>259370.18</v>
          </cell>
          <cell r="I1786" t="str">
            <v>C</v>
          </cell>
          <cell r="J1786">
            <v>53295</v>
          </cell>
        </row>
        <row r="1787">
          <cell r="A1787">
            <v>53296</v>
          </cell>
          <cell r="B1787" t="str">
            <v>3.1.01.050.0005</v>
          </cell>
          <cell r="C1787" t="str">
            <v>SUS - FAEC TRANSPLANTE</v>
          </cell>
          <cell r="D1787">
            <v>306909.88</v>
          </cell>
          <cell r="E1787">
            <v>38198.949999999997</v>
          </cell>
          <cell r="F1787">
            <v>398293.52</v>
          </cell>
          <cell r="G1787">
            <v>360094.57</v>
          </cell>
          <cell r="H1787">
            <v>667004.44999999995</v>
          </cell>
          <cell r="I1787" t="str">
            <v>C</v>
          </cell>
          <cell r="J1787">
            <v>53296</v>
          </cell>
        </row>
        <row r="1788">
          <cell r="A1788">
            <v>53330</v>
          </cell>
          <cell r="B1788" t="str">
            <v>3.1.01.050.0006</v>
          </cell>
          <cell r="C1788" t="str">
            <v>SUS - COMPLEMENTO TETO</v>
          </cell>
          <cell r="D1788">
            <v>528221.52</v>
          </cell>
          <cell r="E1788">
            <v>0</v>
          </cell>
          <cell r="F1788">
            <v>458830.55</v>
          </cell>
          <cell r="G1788">
            <v>458830.55</v>
          </cell>
          <cell r="H1788">
            <v>987052.07</v>
          </cell>
          <cell r="I1788" t="str">
            <v>C</v>
          </cell>
          <cell r="J1788">
            <v>53330</v>
          </cell>
        </row>
        <row r="1789">
          <cell r="A1789">
            <v>54814</v>
          </cell>
          <cell r="B1789" t="str">
            <v>3.1.01.050.0008</v>
          </cell>
          <cell r="C1789" t="str">
            <v>SUS COMPL COVID</v>
          </cell>
          <cell r="D1789">
            <v>237114.69</v>
          </cell>
          <cell r="E1789">
            <v>237114.69</v>
          </cell>
          <cell r="F1789">
            <v>0</v>
          </cell>
          <cell r="G1789">
            <v>-237114.69</v>
          </cell>
          <cell r="H1789">
            <v>0</v>
          </cell>
          <cell r="I1789" t="str">
            <v>C</v>
          </cell>
          <cell r="J1789">
            <v>54814</v>
          </cell>
        </row>
        <row r="1790">
          <cell r="A1790">
            <v>55261</v>
          </cell>
          <cell r="B1790" t="str">
            <v>3.1.01.050.0009</v>
          </cell>
          <cell r="C1790" t="str">
            <v>SUS - FAEC EETIVA</v>
          </cell>
          <cell r="D1790">
            <v>3571.44</v>
          </cell>
          <cell r="E1790">
            <v>0</v>
          </cell>
          <cell r="F1790">
            <v>0</v>
          </cell>
          <cell r="G1790">
            <v>0</v>
          </cell>
          <cell r="H1790">
            <v>3571.44</v>
          </cell>
          <cell r="I1790" t="str">
            <v>C</v>
          </cell>
          <cell r="J1790">
            <v>55261</v>
          </cell>
        </row>
        <row r="1791">
          <cell r="A1791">
            <v>55265</v>
          </cell>
          <cell r="B1791" t="str">
            <v>3.1.01.050.0010</v>
          </cell>
          <cell r="C1791" t="str">
            <v>SUS - FAEC ONCOLOGIA</v>
          </cell>
          <cell r="D1791">
            <v>31347.9</v>
          </cell>
          <cell r="E1791">
            <v>0</v>
          </cell>
          <cell r="F1791">
            <v>26123.25</v>
          </cell>
          <cell r="G1791">
            <v>26123.25</v>
          </cell>
          <cell r="H1791">
            <v>57471.15</v>
          </cell>
          <cell r="I1791" t="str">
            <v>C</v>
          </cell>
          <cell r="J1791">
            <v>55265</v>
          </cell>
        </row>
        <row r="1792">
          <cell r="A1792">
            <v>4889</v>
          </cell>
          <cell r="B1792" t="str">
            <v>3.1.01.060</v>
          </cell>
          <cell r="C1792" t="str">
            <v xml:space="preserve">( - ) DEDUCAO DE RECEITAS </v>
          </cell>
          <cell r="D1792">
            <v>-1126552.69</v>
          </cell>
          <cell r="E1792">
            <v>512107.34</v>
          </cell>
          <cell r="F1792">
            <v>0</v>
          </cell>
          <cell r="G1792">
            <v>-512107.34</v>
          </cell>
          <cell r="H1792">
            <v>-1638660.03</v>
          </cell>
          <cell r="I1792" t="str">
            <v>D</v>
          </cell>
          <cell r="J1792">
            <v>4889</v>
          </cell>
        </row>
        <row r="1793">
          <cell r="A1793">
            <v>4893</v>
          </cell>
          <cell r="B1793" t="str">
            <v>3.1.01.060.0001</v>
          </cell>
          <cell r="C1793" t="str">
            <v>( - ) SUS TETO</v>
          </cell>
          <cell r="D1793">
            <v>-1126552.69</v>
          </cell>
          <cell r="E1793">
            <v>512107.34</v>
          </cell>
          <cell r="F1793">
            <v>0</v>
          </cell>
          <cell r="G1793">
            <v>-512107.34</v>
          </cell>
          <cell r="H1793">
            <v>-1638660.03</v>
          </cell>
          <cell r="I1793" t="str">
            <v>D</v>
          </cell>
          <cell r="J1793" t="e">
            <v>#N/A</v>
          </cell>
        </row>
        <row r="1794">
          <cell r="A1794">
            <v>40774</v>
          </cell>
          <cell r="B1794" t="str">
            <v>3.1.01.070</v>
          </cell>
          <cell r="C1794" t="str">
            <v>RECEITAS CONTRATUAIS</v>
          </cell>
          <cell r="D1794">
            <v>303403.57</v>
          </cell>
          <cell r="E1794">
            <v>0</v>
          </cell>
          <cell r="F1794">
            <v>335072.77</v>
          </cell>
          <cell r="G1794">
            <v>335072.77</v>
          </cell>
          <cell r="H1794">
            <v>638476.34</v>
          </cell>
          <cell r="I1794" t="str">
            <v>C</v>
          </cell>
          <cell r="J1794">
            <v>40774</v>
          </cell>
        </row>
        <row r="1795">
          <cell r="A1795">
            <v>5001</v>
          </cell>
          <cell r="B1795" t="str">
            <v>3.1.01.070.0001</v>
          </cell>
          <cell r="C1795" t="str">
            <v>RECEITAS CONTR. NEFROMED</v>
          </cell>
          <cell r="D1795">
            <v>303403.57</v>
          </cell>
          <cell r="E1795">
            <v>0</v>
          </cell>
          <cell r="F1795">
            <v>147090.93</v>
          </cell>
          <cell r="G1795">
            <v>147090.93</v>
          </cell>
          <cell r="H1795">
            <v>450494.5</v>
          </cell>
          <cell r="I1795" t="str">
            <v>C</v>
          </cell>
          <cell r="J1795" t="e">
            <v>#N/A</v>
          </cell>
        </row>
        <row r="1796">
          <cell r="A1796">
            <v>55278</v>
          </cell>
          <cell r="B1796" t="str">
            <v>3.1.01.070.0009</v>
          </cell>
          <cell r="C1796" t="str">
            <v xml:space="preserve">RECEITAS CONTRATUAIS </v>
          </cell>
          <cell r="D1796">
            <v>0</v>
          </cell>
          <cell r="E1796">
            <v>0</v>
          </cell>
          <cell r="F1796">
            <v>187981.84</v>
          </cell>
          <cell r="G1796">
            <v>187981.84</v>
          </cell>
          <cell r="H1796">
            <v>187981.84</v>
          </cell>
          <cell r="I1796" t="str">
            <v>C</v>
          </cell>
          <cell r="J1796" t="e">
            <v>#N/A</v>
          </cell>
        </row>
        <row r="1797">
          <cell r="A1797">
            <v>5137</v>
          </cell>
          <cell r="B1797" t="str">
            <v>3.5</v>
          </cell>
          <cell r="C1797" t="str">
            <v>RECEITAS FINANCEIRAS</v>
          </cell>
          <cell r="D1797">
            <v>562673.01</v>
          </cell>
          <cell r="E1797">
            <v>4446.67</v>
          </cell>
          <cell r="F1797">
            <v>295605.55</v>
          </cell>
          <cell r="G1797">
            <v>291158.88</v>
          </cell>
          <cell r="H1797">
            <v>853831.89</v>
          </cell>
          <cell r="I1797" t="str">
            <v>C</v>
          </cell>
          <cell r="J1797" t="e">
            <v>#N/A</v>
          </cell>
        </row>
        <row r="1798">
          <cell r="A1798">
            <v>5028</v>
          </cell>
          <cell r="B1798" t="str">
            <v>3.5.01</v>
          </cell>
          <cell r="C1798" t="str">
            <v>RECEITAS FINANCEIRAS</v>
          </cell>
          <cell r="D1798">
            <v>562673.01</v>
          </cell>
          <cell r="E1798">
            <v>4446.67</v>
          </cell>
          <cell r="F1798">
            <v>295605.55</v>
          </cell>
          <cell r="G1798">
            <v>291158.88</v>
          </cell>
          <cell r="H1798">
            <v>853831.89</v>
          </cell>
          <cell r="I1798" t="str">
            <v>C</v>
          </cell>
          <cell r="J1798" t="e">
            <v>#N/A</v>
          </cell>
        </row>
        <row r="1799">
          <cell r="A1799">
            <v>5130</v>
          </cell>
          <cell r="B1799" t="str">
            <v>3.5.01.020</v>
          </cell>
          <cell r="C1799" t="str">
            <v xml:space="preserve">OUTRAS RECEITAS </v>
          </cell>
          <cell r="D1799">
            <v>562673.01</v>
          </cell>
          <cell r="E1799">
            <v>4446.67</v>
          </cell>
          <cell r="F1799">
            <v>295605.55</v>
          </cell>
          <cell r="G1799">
            <v>291158.88</v>
          </cell>
          <cell r="H1799">
            <v>853831.89</v>
          </cell>
          <cell r="I1799" t="str">
            <v>C</v>
          </cell>
          <cell r="J1799" t="e">
            <v>#N/A</v>
          </cell>
        </row>
        <row r="1800">
          <cell r="A1800">
            <v>12258</v>
          </cell>
          <cell r="B1800" t="str">
            <v>3.5.01.020.0001</v>
          </cell>
          <cell r="C1800" t="str">
            <v xml:space="preserve">DESCONTO OBTIDO </v>
          </cell>
          <cell r="D1800">
            <v>40196.99</v>
          </cell>
          <cell r="E1800">
            <v>10.8</v>
          </cell>
          <cell r="F1800">
            <v>22362.74</v>
          </cell>
          <cell r="G1800">
            <v>22351.94</v>
          </cell>
          <cell r="H1800">
            <v>62548.93</v>
          </cell>
          <cell r="I1800" t="str">
            <v>C</v>
          </cell>
          <cell r="J1800">
            <v>12258</v>
          </cell>
        </row>
        <row r="1801">
          <cell r="A1801">
            <v>12474</v>
          </cell>
          <cell r="B1801" t="str">
            <v>3.5.01.020.0002</v>
          </cell>
          <cell r="C1801" t="str">
            <v xml:space="preserve">RENDIMENTOS SOBRE </v>
          </cell>
          <cell r="D1801">
            <v>522434.12</v>
          </cell>
          <cell r="E1801">
            <v>4435.87</v>
          </cell>
          <cell r="F1801">
            <v>272986.90999999997</v>
          </cell>
          <cell r="G1801">
            <v>268551.03999999998</v>
          </cell>
          <cell r="H1801">
            <v>790985.16</v>
          </cell>
          <cell r="I1801" t="str">
            <v>C</v>
          </cell>
          <cell r="J1801">
            <v>12474</v>
          </cell>
        </row>
        <row r="1802">
          <cell r="A1802">
            <v>32733</v>
          </cell>
          <cell r="B1802" t="str">
            <v>3.5.01.020.0004</v>
          </cell>
          <cell r="C1802" t="str">
            <v xml:space="preserve">JUROS ATIVOS - </v>
          </cell>
          <cell r="D1802">
            <v>41.9</v>
          </cell>
          <cell r="E1802">
            <v>0</v>
          </cell>
          <cell r="F1802">
            <v>255.9</v>
          </cell>
          <cell r="G1802">
            <v>255.9</v>
          </cell>
          <cell r="H1802">
            <v>297.8</v>
          </cell>
          <cell r="I1802" t="str">
            <v>C</v>
          </cell>
          <cell r="J1802">
            <v>32733</v>
          </cell>
        </row>
        <row r="1803">
          <cell r="A1803">
            <v>40784</v>
          </cell>
          <cell r="B1803" t="str">
            <v>3.6</v>
          </cell>
          <cell r="C1803" t="str">
            <v>RECEITAS PATRIMONIAIS</v>
          </cell>
          <cell r="D1803">
            <v>17832.439999999999</v>
          </cell>
          <cell r="E1803">
            <v>0</v>
          </cell>
          <cell r="F1803">
            <v>14938.63</v>
          </cell>
          <cell r="G1803">
            <v>14938.63</v>
          </cell>
          <cell r="H1803">
            <v>32771.07</v>
          </cell>
          <cell r="I1803" t="str">
            <v>C</v>
          </cell>
          <cell r="J1803" t="e">
            <v>#N/A</v>
          </cell>
        </row>
        <row r="1804">
          <cell r="A1804">
            <v>40785</v>
          </cell>
          <cell r="B1804" t="str">
            <v>3.6.01</v>
          </cell>
          <cell r="C1804" t="str">
            <v>RECEITAS PATRIMONIAIS</v>
          </cell>
          <cell r="D1804">
            <v>17832.439999999999</v>
          </cell>
          <cell r="E1804">
            <v>0</v>
          </cell>
          <cell r="F1804">
            <v>14938.63</v>
          </cell>
          <cell r="G1804">
            <v>14938.63</v>
          </cell>
          <cell r="H1804">
            <v>32771.07</v>
          </cell>
          <cell r="I1804" t="str">
            <v>C</v>
          </cell>
          <cell r="J1804" t="e">
            <v>#N/A</v>
          </cell>
        </row>
        <row r="1805">
          <cell r="A1805">
            <v>40786</v>
          </cell>
          <cell r="B1805" t="str">
            <v>3.6.01.010</v>
          </cell>
          <cell r="C1805" t="str">
            <v>RECEITAS ALUGUEIS</v>
          </cell>
          <cell r="D1805">
            <v>17832.439999999999</v>
          </cell>
          <cell r="E1805">
            <v>0</v>
          </cell>
          <cell r="F1805">
            <v>8916.2199999999993</v>
          </cell>
          <cell r="G1805">
            <v>8916.2199999999993</v>
          </cell>
          <cell r="H1805">
            <v>26748.66</v>
          </cell>
          <cell r="I1805" t="str">
            <v>C</v>
          </cell>
          <cell r="J1805">
            <v>40786</v>
          </cell>
        </row>
        <row r="1806">
          <cell r="A1806">
            <v>27432</v>
          </cell>
          <cell r="B1806" t="str">
            <v>3.6.01.010.0001</v>
          </cell>
          <cell r="C1806" t="str">
            <v>RECEITAS COM ALUGUEIS</v>
          </cell>
          <cell r="D1806">
            <v>17832.439999999999</v>
          </cell>
          <cell r="E1806">
            <v>0</v>
          </cell>
          <cell r="F1806">
            <v>8916.2199999999993</v>
          </cell>
          <cell r="G1806">
            <v>8916.2199999999993</v>
          </cell>
          <cell r="H1806">
            <v>26748.66</v>
          </cell>
          <cell r="I1806" t="str">
            <v>C</v>
          </cell>
          <cell r="J1806" t="e">
            <v>#N/A</v>
          </cell>
        </row>
        <row r="1807">
          <cell r="A1807">
            <v>40703</v>
          </cell>
          <cell r="B1807" t="str">
            <v>3.6.01.020</v>
          </cell>
          <cell r="C1807" t="str">
            <v xml:space="preserve">RECEITA NA ALIENACAO DE </v>
          </cell>
          <cell r="D1807">
            <v>0</v>
          </cell>
          <cell r="E1807">
            <v>0</v>
          </cell>
          <cell r="F1807">
            <v>6022.41</v>
          </cell>
          <cell r="G1807">
            <v>6022.41</v>
          </cell>
          <cell r="H1807">
            <v>6022.41</v>
          </cell>
          <cell r="I1807" t="str">
            <v>C</v>
          </cell>
          <cell r="J1807">
            <v>40703</v>
          </cell>
        </row>
        <row r="1808">
          <cell r="A1808">
            <v>27455</v>
          </cell>
          <cell r="B1808" t="str">
            <v>3.6.01.020.0001</v>
          </cell>
          <cell r="C1808" t="str">
            <v xml:space="preserve">INDENIZACAO DE SEGURO DE </v>
          </cell>
          <cell r="D1808">
            <v>0</v>
          </cell>
          <cell r="E1808">
            <v>0</v>
          </cell>
          <cell r="F1808">
            <v>6022.41</v>
          </cell>
          <cell r="G1808">
            <v>6022.41</v>
          </cell>
          <cell r="H1808">
            <v>6022.41</v>
          </cell>
          <cell r="I1808" t="str">
            <v>C</v>
          </cell>
          <cell r="J1808" t="e">
            <v>#N/A</v>
          </cell>
        </row>
        <row r="1809">
          <cell r="A1809">
            <v>53066</v>
          </cell>
          <cell r="B1809" t="str">
            <v>3.7</v>
          </cell>
          <cell r="C1809" t="str">
            <v>OUTRAS RECEITAS</v>
          </cell>
          <cell r="D1809">
            <v>3314585.89</v>
          </cell>
          <cell r="E1809">
            <v>490</v>
          </cell>
          <cell r="F1809">
            <v>1219031.49</v>
          </cell>
          <cell r="G1809">
            <v>1218541.49</v>
          </cell>
          <cell r="H1809">
            <v>4533127.38</v>
          </cell>
          <cell r="I1809" t="str">
            <v>C</v>
          </cell>
          <cell r="J1809" t="e">
            <v>#N/A</v>
          </cell>
        </row>
        <row r="1810">
          <cell r="A1810">
            <v>53067</v>
          </cell>
          <cell r="B1810" t="str">
            <v>3.7.01</v>
          </cell>
          <cell r="C1810" t="str">
            <v xml:space="preserve">OUTRAS RECEITAS </v>
          </cell>
          <cell r="D1810">
            <v>3314585.89</v>
          </cell>
          <cell r="E1810">
            <v>490</v>
          </cell>
          <cell r="F1810">
            <v>1219031.49</v>
          </cell>
          <cell r="G1810">
            <v>1218541.49</v>
          </cell>
          <cell r="H1810">
            <v>4533127.38</v>
          </cell>
          <cell r="I1810" t="str">
            <v>C</v>
          </cell>
          <cell r="J1810" t="e">
            <v>#N/A</v>
          </cell>
        </row>
        <row r="1811">
          <cell r="A1811">
            <v>53068</v>
          </cell>
          <cell r="B1811" t="str">
            <v>3.7.01.010</v>
          </cell>
          <cell r="C1811" t="str">
            <v xml:space="preserve">OUTRAS RECEITAS </v>
          </cell>
          <cell r="D1811">
            <v>433468.26</v>
          </cell>
          <cell r="E1811">
            <v>490</v>
          </cell>
          <cell r="F1811">
            <v>218305.09</v>
          </cell>
          <cell r="G1811">
            <v>217815.09</v>
          </cell>
          <cell r="H1811">
            <v>651283.35</v>
          </cell>
          <cell r="I1811" t="str">
            <v>C</v>
          </cell>
          <cell r="J1811" t="e">
            <v>#N/A</v>
          </cell>
        </row>
        <row r="1812">
          <cell r="A1812">
            <v>5193</v>
          </cell>
          <cell r="B1812" t="str">
            <v>3.7.01.010.0003</v>
          </cell>
          <cell r="C1812" t="str">
            <v>DONATIVOS - PF/PJ</v>
          </cell>
          <cell r="D1812">
            <v>37022.49</v>
          </cell>
          <cell r="E1812">
            <v>0</v>
          </cell>
          <cell r="F1812">
            <v>16551.48</v>
          </cell>
          <cell r="G1812">
            <v>16551.48</v>
          </cell>
          <cell r="H1812">
            <v>53573.97</v>
          </cell>
          <cell r="I1812" t="str">
            <v>C</v>
          </cell>
          <cell r="J1812">
            <v>5193</v>
          </cell>
        </row>
        <row r="1813">
          <cell r="A1813">
            <v>5194</v>
          </cell>
          <cell r="B1813" t="str">
            <v>3.7.01.010.0004</v>
          </cell>
          <cell r="C1813" t="str">
            <v xml:space="preserve">DONATIVOS DE DROGAS E </v>
          </cell>
          <cell r="D1813">
            <v>0.43</v>
          </cell>
          <cell r="E1813">
            <v>0</v>
          </cell>
          <cell r="F1813">
            <v>765.93</v>
          </cell>
          <cell r="G1813">
            <v>765.93</v>
          </cell>
          <cell r="H1813">
            <v>766.36</v>
          </cell>
          <cell r="I1813" t="str">
            <v>C</v>
          </cell>
          <cell r="J1813">
            <v>5194</v>
          </cell>
        </row>
        <row r="1814">
          <cell r="A1814">
            <v>5195</v>
          </cell>
          <cell r="B1814" t="str">
            <v>3.7.01.010.0005</v>
          </cell>
          <cell r="C1814" t="str">
            <v xml:space="preserve">DONATIVOS DE MATERIAIS DE </v>
          </cell>
          <cell r="D1814">
            <v>3170.01</v>
          </cell>
          <cell r="E1814">
            <v>0</v>
          </cell>
          <cell r="F1814">
            <v>6582.66</v>
          </cell>
          <cell r="G1814">
            <v>6582.66</v>
          </cell>
          <cell r="H1814">
            <v>9752.67</v>
          </cell>
          <cell r="I1814" t="str">
            <v>C</v>
          </cell>
          <cell r="J1814">
            <v>5195</v>
          </cell>
        </row>
        <row r="1815">
          <cell r="A1815">
            <v>5180</v>
          </cell>
          <cell r="B1815" t="str">
            <v>3.7.01.010.0011</v>
          </cell>
          <cell r="C1815" t="str">
            <v xml:space="preserve">RECEITAS DE CURSOS E </v>
          </cell>
          <cell r="D1815">
            <v>117880</v>
          </cell>
          <cell r="E1815">
            <v>0</v>
          </cell>
          <cell r="F1815">
            <v>47040</v>
          </cell>
          <cell r="G1815">
            <v>47040</v>
          </cell>
          <cell r="H1815">
            <v>164920</v>
          </cell>
          <cell r="I1815" t="str">
            <v>C</v>
          </cell>
          <cell r="J1815">
            <v>5180</v>
          </cell>
        </row>
        <row r="1816">
          <cell r="A1816">
            <v>5181</v>
          </cell>
          <cell r="B1816" t="str">
            <v>3.7.01.010.0012</v>
          </cell>
          <cell r="C1816" t="str">
            <v>RECEITAS DIVERSAS</v>
          </cell>
          <cell r="D1816">
            <v>5543.99</v>
          </cell>
          <cell r="E1816">
            <v>0</v>
          </cell>
          <cell r="F1816">
            <v>880.25</v>
          </cell>
          <cell r="G1816">
            <v>880.25</v>
          </cell>
          <cell r="H1816">
            <v>6424.24</v>
          </cell>
          <cell r="I1816" t="str">
            <v>C</v>
          </cell>
          <cell r="J1816">
            <v>5181</v>
          </cell>
        </row>
        <row r="1817">
          <cell r="A1817">
            <v>52302</v>
          </cell>
          <cell r="B1817" t="str">
            <v>3.7.01.010.0013</v>
          </cell>
          <cell r="C1817" t="str">
            <v xml:space="preserve">(IEP) RECEITAS DE CURSOS E </v>
          </cell>
          <cell r="D1817">
            <v>267191.34000000003</v>
          </cell>
          <cell r="E1817">
            <v>490</v>
          </cell>
          <cell r="F1817">
            <v>146484.76999999999</v>
          </cell>
          <cell r="G1817">
            <v>145994.76999999999</v>
          </cell>
          <cell r="H1817">
            <v>413186.11</v>
          </cell>
          <cell r="I1817" t="str">
            <v>C</v>
          </cell>
          <cell r="J1817">
            <v>52302</v>
          </cell>
        </row>
        <row r="1818">
          <cell r="A1818">
            <v>5177</v>
          </cell>
          <cell r="B1818" t="str">
            <v>3.7.01.010.0019</v>
          </cell>
          <cell r="C1818" t="str">
            <v>VENDA SUCATA</v>
          </cell>
          <cell r="D1818">
            <v>2660</v>
          </cell>
          <cell r="E1818">
            <v>0</v>
          </cell>
          <cell r="F1818">
            <v>0</v>
          </cell>
          <cell r="G1818">
            <v>0</v>
          </cell>
          <cell r="H1818">
            <v>2660</v>
          </cell>
          <cell r="I1818" t="str">
            <v>C</v>
          </cell>
          <cell r="J1818">
            <v>5177</v>
          </cell>
        </row>
        <row r="1819">
          <cell r="A1819">
            <v>55242</v>
          </cell>
          <cell r="B1819" t="str">
            <v>3.7.01.011</v>
          </cell>
          <cell r="C1819" t="str">
            <v xml:space="preserve">RECEITAS SUBVENCOES E </v>
          </cell>
          <cell r="D1819">
            <v>1191878.79</v>
          </cell>
          <cell r="E1819">
            <v>0</v>
          </cell>
          <cell r="F1819">
            <v>142218.09</v>
          </cell>
          <cell r="G1819">
            <v>142218.09</v>
          </cell>
          <cell r="H1819">
            <v>1334096.8799999999</v>
          </cell>
          <cell r="I1819" t="str">
            <v>C</v>
          </cell>
          <cell r="J1819" t="e">
            <v>#N/A</v>
          </cell>
        </row>
        <row r="1820">
          <cell r="A1820">
            <v>55244</v>
          </cell>
          <cell r="B1820" t="str">
            <v>3.7.01.011.0001</v>
          </cell>
          <cell r="C1820" t="str">
            <v xml:space="preserve">SUBVENCOES COM </v>
          </cell>
          <cell r="D1820">
            <v>85488.42</v>
          </cell>
          <cell r="E1820">
            <v>0</v>
          </cell>
          <cell r="F1820">
            <v>42727.89</v>
          </cell>
          <cell r="G1820">
            <v>42727.89</v>
          </cell>
          <cell r="H1820">
            <v>128216.31</v>
          </cell>
          <cell r="I1820" t="str">
            <v>C</v>
          </cell>
          <cell r="J1820">
            <v>55244</v>
          </cell>
        </row>
        <row r="1821">
          <cell r="A1821">
            <v>55245</v>
          </cell>
          <cell r="B1821" t="str">
            <v>3.7.01.011.0002</v>
          </cell>
          <cell r="C1821" t="str">
            <v>SUBVENCOES</v>
          </cell>
          <cell r="D1821">
            <v>-1609.63</v>
          </cell>
          <cell r="E1821">
            <v>0</v>
          </cell>
          <cell r="F1821">
            <v>99490.2</v>
          </cell>
          <cell r="G1821">
            <v>99490.2</v>
          </cell>
          <cell r="H1821">
            <v>97880.57</v>
          </cell>
          <cell r="I1821" t="str">
            <v>C</v>
          </cell>
          <cell r="J1821">
            <v>55245</v>
          </cell>
        </row>
        <row r="1822">
          <cell r="A1822">
            <v>55246</v>
          </cell>
          <cell r="B1822" t="str">
            <v>3.7.01.011.0003</v>
          </cell>
          <cell r="C1822" t="str">
            <v>EMENDA PARLAMENTAR</v>
          </cell>
          <cell r="D1822">
            <v>1108000</v>
          </cell>
          <cell r="E1822">
            <v>0</v>
          </cell>
          <cell r="F1822">
            <v>0</v>
          </cell>
          <cell r="G1822">
            <v>0</v>
          </cell>
          <cell r="H1822">
            <v>1108000</v>
          </cell>
          <cell r="I1822" t="str">
            <v>C</v>
          </cell>
          <cell r="J1822">
            <v>55246</v>
          </cell>
        </row>
        <row r="1823">
          <cell r="A1823">
            <v>55243</v>
          </cell>
          <cell r="B1823" t="str">
            <v>3.7.01.012</v>
          </cell>
          <cell r="C1823" t="str">
            <v>RECEITAS INCENTIVOS</v>
          </cell>
          <cell r="D1823">
            <v>1661461.06</v>
          </cell>
          <cell r="E1823">
            <v>0</v>
          </cell>
          <cell r="F1823">
            <v>830730.53</v>
          </cell>
          <cell r="G1823">
            <v>830730.53</v>
          </cell>
          <cell r="H1823">
            <v>2492191.59</v>
          </cell>
          <cell r="I1823" t="str">
            <v>C</v>
          </cell>
          <cell r="J1823" t="e">
            <v>#N/A</v>
          </cell>
        </row>
        <row r="1824">
          <cell r="A1824">
            <v>55247</v>
          </cell>
          <cell r="B1824" t="str">
            <v>3.7.01.012.0001</v>
          </cell>
          <cell r="C1824" t="str">
            <v xml:space="preserve">SUSTENTAVEL(SECRETARIA </v>
          </cell>
          <cell r="D1824">
            <v>1122650</v>
          </cell>
          <cell r="E1824">
            <v>0</v>
          </cell>
          <cell r="F1824">
            <v>561325</v>
          </cell>
          <cell r="G1824">
            <v>561325</v>
          </cell>
          <cell r="H1824">
            <v>1683975</v>
          </cell>
          <cell r="I1824" t="str">
            <v>C</v>
          </cell>
          <cell r="J1824">
            <v>55247</v>
          </cell>
        </row>
        <row r="1825">
          <cell r="A1825">
            <v>55248</v>
          </cell>
          <cell r="B1825" t="str">
            <v>3.7.01.012.0002</v>
          </cell>
          <cell r="C1825" t="str">
            <v>IAC</v>
          </cell>
          <cell r="D1825">
            <v>398090.42</v>
          </cell>
          <cell r="E1825">
            <v>0</v>
          </cell>
          <cell r="F1825">
            <v>199045.21</v>
          </cell>
          <cell r="G1825">
            <v>199045.21</v>
          </cell>
          <cell r="H1825">
            <v>597135.63</v>
          </cell>
          <cell r="I1825" t="str">
            <v>C</v>
          </cell>
          <cell r="J1825">
            <v>55248</v>
          </cell>
        </row>
        <row r="1826">
          <cell r="A1826">
            <v>55249</v>
          </cell>
          <cell r="B1826" t="str">
            <v>3.7.01.012.0003</v>
          </cell>
          <cell r="C1826" t="str">
            <v>REDE CEGONHA</v>
          </cell>
          <cell r="D1826">
            <v>140720.64000000001</v>
          </cell>
          <cell r="E1826">
            <v>0</v>
          </cell>
          <cell r="F1826">
            <v>70360.320000000007</v>
          </cell>
          <cell r="G1826">
            <v>70360.320000000007</v>
          </cell>
          <cell r="H1826">
            <v>211080.95999999999</v>
          </cell>
          <cell r="I1826" t="str">
            <v>C</v>
          </cell>
          <cell r="J1826">
            <v>55249</v>
          </cell>
        </row>
        <row r="1827">
          <cell r="A1827">
            <v>55290</v>
          </cell>
          <cell r="B1827" t="str">
            <v>3.7.01.013</v>
          </cell>
          <cell r="C1827" t="str">
            <v xml:space="preserve">RECEITA CONTRATO </v>
          </cell>
          <cell r="D1827">
            <v>27777.78</v>
          </cell>
          <cell r="E1827">
            <v>0</v>
          </cell>
          <cell r="F1827">
            <v>27777.78</v>
          </cell>
          <cell r="G1827">
            <v>27777.78</v>
          </cell>
          <cell r="H1827">
            <v>55555.56</v>
          </cell>
          <cell r="I1827" t="str">
            <v>C</v>
          </cell>
          <cell r="J1827">
            <v>55290</v>
          </cell>
        </row>
        <row r="1828">
          <cell r="A1828">
            <v>55291</v>
          </cell>
          <cell r="B1828" t="str">
            <v>3.7.01.013.0001</v>
          </cell>
          <cell r="C1828" t="str">
            <v xml:space="preserve">SANTANDER - CONTRATO </v>
          </cell>
          <cell r="D1828">
            <v>27777.78</v>
          </cell>
          <cell r="E1828">
            <v>0</v>
          </cell>
          <cell r="F1828">
            <v>27777.78</v>
          </cell>
          <cell r="G1828">
            <v>27777.78</v>
          </cell>
          <cell r="H1828">
            <v>55555.56</v>
          </cell>
          <cell r="I1828" t="str">
            <v>C</v>
          </cell>
          <cell r="J1828" t="e">
            <v>#N/A</v>
          </cell>
        </row>
        <row r="1829">
          <cell r="A1829">
            <v>5128</v>
          </cell>
          <cell r="B1829" t="str">
            <v>3.8</v>
          </cell>
          <cell r="C1829" t="str">
            <v>ACOES JUDICIAIS</v>
          </cell>
          <cell r="D1829">
            <v>17310.23</v>
          </cell>
          <cell r="E1829">
            <v>0</v>
          </cell>
          <cell r="F1829">
            <v>8707.09</v>
          </cell>
          <cell r="G1829">
            <v>8707.09</v>
          </cell>
          <cell r="H1829">
            <v>26017.32</v>
          </cell>
          <cell r="I1829" t="str">
            <v>C</v>
          </cell>
          <cell r="J1829" t="e">
            <v>#N/A</v>
          </cell>
        </row>
        <row r="1830">
          <cell r="A1830">
            <v>38580</v>
          </cell>
          <cell r="B1830" t="str">
            <v>3.8.01</v>
          </cell>
          <cell r="C1830" t="str">
            <v>ACOES JUDICIAIS</v>
          </cell>
          <cell r="D1830">
            <v>17310.23</v>
          </cell>
          <cell r="E1830">
            <v>0</v>
          </cell>
          <cell r="F1830">
            <v>8707.09</v>
          </cell>
          <cell r="G1830">
            <v>8707.09</v>
          </cell>
          <cell r="H1830">
            <v>26017.32</v>
          </cell>
          <cell r="I1830" t="str">
            <v>C</v>
          </cell>
          <cell r="J1830" t="e">
            <v>#N/A</v>
          </cell>
        </row>
        <row r="1831">
          <cell r="A1831">
            <v>38581</v>
          </cell>
          <cell r="B1831" t="str">
            <v>3.8.01.001</v>
          </cell>
          <cell r="C1831" t="str">
            <v>ACOES JUDICIAIS</v>
          </cell>
          <cell r="D1831">
            <v>17310.23</v>
          </cell>
          <cell r="E1831">
            <v>0</v>
          </cell>
          <cell r="F1831">
            <v>8707.09</v>
          </cell>
          <cell r="G1831">
            <v>8707.09</v>
          </cell>
          <cell r="H1831">
            <v>26017.32</v>
          </cell>
          <cell r="I1831" t="str">
            <v>C</v>
          </cell>
          <cell r="J1831">
            <v>38581</v>
          </cell>
        </row>
        <row r="1832">
          <cell r="A1832">
            <v>27379</v>
          </cell>
          <cell r="B1832" t="str">
            <v>3.8.01.001.0002</v>
          </cell>
          <cell r="C1832" t="str">
            <v xml:space="preserve">JUROS DEPOSITOS JUDICIAIS </v>
          </cell>
          <cell r="D1832">
            <v>17310.23</v>
          </cell>
          <cell r="E1832">
            <v>0</v>
          </cell>
          <cell r="F1832">
            <v>8707.09</v>
          </cell>
          <cell r="G1832">
            <v>8707.09</v>
          </cell>
          <cell r="H1832">
            <v>26017.32</v>
          </cell>
          <cell r="I1832" t="str">
            <v>C</v>
          </cell>
          <cell r="J1832" t="e">
            <v>#N/A</v>
          </cell>
        </row>
        <row r="1833">
          <cell r="A1833">
            <v>5200</v>
          </cell>
          <cell r="B1833">
            <v>4</v>
          </cell>
          <cell r="C1833" t="str">
            <v>DESPESAS</v>
          </cell>
          <cell r="D1833">
            <v>43306973.619999997</v>
          </cell>
          <cell r="E1833">
            <v>23739924.780000001</v>
          </cell>
          <cell r="F1833">
            <v>1630388.34</v>
          </cell>
          <cell r="G1833">
            <v>22109536.440000001</v>
          </cell>
          <cell r="H1833">
            <v>65416510.060000002</v>
          </cell>
          <cell r="I1833" t="str">
            <v>D</v>
          </cell>
          <cell r="J1833" t="e">
            <v>#N/A</v>
          </cell>
        </row>
        <row r="1834">
          <cell r="A1834">
            <v>40535</v>
          </cell>
          <cell r="B1834" t="str">
            <v>4.1</v>
          </cell>
          <cell r="C1834" t="str">
            <v>DESPESAS HOSPITALAR</v>
          </cell>
          <cell r="D1834">
            <v>38544506.07</v>
          </cell>
          <cell r="E1834">
            <v>20327352.84</v>
          </cell>
          <cell r="F1834">
            <v>940510.07</v>
          </cell>
          <cell r="G1834">
            <v>19386842.77</v>
          </cell>
          <cell r="H1834">
            <v>57931348.840000004</v>
          </cell>
          <cell r="I1834" t="str">
            <v>D</v>
          </cell>
          <cell r="J1834" t="e">
            <v>#N/A</v>
          </cell>
        </row>
        <row r="1835">
          <cell r="A1835">
            <v>10788</v>
          </cell>
          <cell r="B1835" t="str">
            <v>4.1.01</v>
          </cell>
          <cell r="C1835" t="str">
            <v>DESPESAS MAO-DE-OBRA</v>
          </cell>
          <cell r="D1835">
            <v>24936152.98</v>
          </cell>
          <cell r="E1835">
            <v>13011065.960000001</v>
          </cell>
          <cell r="F1835">
            <v>367114.84</v>
          </cell>
          <cell r="G1835">
            <v>12643951.119999999</v>
          </cell>
          <cell r="H1835">
            <v>37580104.100000001</v>
          </cell>
          <cell r="I1835" t="str">
            <v>D</v>
          </cell>
          <cell r="J1835" t="e">
            <v>#N/A</v>
          </cell>
        </row>
        <row r="1836">
          <cell r="A1836">
            <v>54169</v>
          </cell>
          <cell r="B1836" t="str">
            <v>4.1.01.007</v>
          </cell>
          <cell r="C1836" t="str">
            <v xml:space="preserve">SERVICOS DE TERCEIROS </v>
          </cell>
          <cell r="D1836">
            <v>1095015.49</v>
          </cell>
          <cell r="E1836">
            <v>258464.48</v>
          </cell>
          <cell r="F1836">
            <v>0</v>
          </cell>
          <cell r="G1836">
            <v>258464.48</v>
          </cell>
          <cell r="H1836">
            <v>1353479.97</v>
          </cell>
          <cell r="I1836" t="str">
            <v>D</v>
          </cell>
          <cell r="J1836">
            <v>54169</v>
          </cell>
        </row>
        <row r="1837">
          <cell r="A1837">
            <v>54170</v>
          </cell>
          <cell r="B1837" t="str">
            <v>4.1.01.007.0001</v>
          </cell>
          <cell r="C1837" t="str">
            <v>IAMSPE TERCEIROS</v>
          </cell>
          <cell r="D1837">
            <v>256807.05</v>
          </cell>
          <cell r="E1837">
            <v>60907.61</v>
          </cell>
          <cell r="F1837">
            <v>0</v>
          </cell>
          <cell r="G1837">
            <v>60907.61</v>
          </cell>
          <cell r="H1837">
            <v>317714.65999999997</v>
          </cell>
          <cell r="I1837" t="str">
            <v>D</v>
          </cell>
          <cell r="J1837" t="e">
            <v>#N/A</v>
          </cell>
        </row>
        <row r="1838">
          <cell r="A1838">
            <v>54171</v>
          </cell>
          <cell r="B1838" t="str">
            <v>4.1.01.007.0002</v>
          </cell>
          <cell r="C1838" t="str">
            <v>SUS AMB TERCEIROS</v>
          </cell>
          <cell r="D1838">
            <v>124664.62</v>
          </cell>
          <cell r="E1838">
            <v>31014.12</v>
          </cell>
          <cell r="F1838">
            <v>0</v>
          </cell>
          <cell r="G1838">
            <v>31014.12</v>
          </cell>
          <cell r="H1838">
            <v>155678.74</v>
          </cell>
          <cell r="I1838" t="str">
            <v>D</v>
          </cell>
          <cell r="J1838" t="e">
            <v>#N/A</v>
          </cell>
        </row>
        <row r="1839">
          <cell r="A1839">
            <v>54172</v>
          </cell>
          <cell r="B1839" t="str">
            <v>4.1.01.007.0003</v>
          </cell>
          <cell r="C1839" t="str">
            <v>SUL AMERICA TERCEIROS</v>
          </cell>
          <cell r="D1839">
            <v>49237.43</v>
          </cell>
          <cell r="E1839">
            <v>8584.3799999999992</v>
          </cell>
          <cell r="F1839">
            <v>0</v>
          </cell>
          <cell r="G1839">
            <v>8584.3799999999992</v>
          </cell>
          <cell r="H1839">
            <v>57821.81</v>
          </cell>
          <cell r="I1839" t="str">
            <v>D</v>
          </cell>
          <cell r="J1839" t="e">
            <v>#N/A</v>
          </cell>
        </row>
        <row r="1840">
          <cell r="A1840">
            <v>54174</v>
          </cell>
          <cell r="B1840" t="str">
            <v>4.1.01.007.0005</v>
          </cell>
          <cell r="C1840" t="str">
            <v>PORTO SEGURO TERCEIROS</v>
          </cell>
          <cell r="D1840">
            <v>12191.07</v>
          </cell>
          <cell r="E1840">
            <v>2823.02</v>
          </cell>
          <cell r="F1840">
            <v>0</v>
          </cell>
          <cell r="G1840">
            <v>2823.02</v>
          </cell>
          <cell r="H1840">
            <v>15014.09</v>
          </cell>
          <cell r="I1840" t="str">
            <v>D</v>
          </cell>
          <cell r="J1840" t="e">
            <v>#N/A</v>
          </cell>
        </row>
        <row r="1841">
          <cell r="A1841">
            <v>54175</v>
          </cell>
          <cell r="B1841" t="str">
            <v>4.1.01.007.0006</v>
          </cell>
          <cell r="C1841" t="str">
            <v>BRADESCO TERCEIROS</v>
          </cell>
          <cell r="D1841">
            <v>23014.51</v>
          </cell>
          <cell r="E1841">
            <v>3644.72</v>
          </cell>
          <cell r="F1841">
            <v>0</v>
          </cell>
          <cell r="G1841">
            <v>3644.72</v>
          </cell>
          <cell r="H1841">
            <v>26659.23</v>
          </cell>
          <cell r="I1841" t="str">
            <v>D</v>
          </cell>
          <cell r="J1841" t="e">
            <v>#N/A</v>
          </cell>
        </row>
        <row r="1842">
          <cell r="A1842">
            <v>54176</v>
          </cell>
          <cell r="B1842" t="str">
            <v>4.1.01.007.0007</v>
          </cell>
          <cell r="C1842" t="str">
            <v>MEDISERVICE TERCEIROS</v>
          </cell>
          <cell r="D1842">
            <v>1711.31</v>
          </cell>
          <cell r="E1842">
            <v>46.59</v>
          </cell>
          <cell r="F1842">
            <v>0</v>
          </cell>
          <cell r="G1842">
            <v>46.59</v>
          </cell>
          <cell r="H1842">
            <v>1757.9</v>
          </cell>
          <cell r="I1842" t="str">
            <v>D</v>
          </cell>
          <cell r="J1842" t="e">
            <v>#N/A</v>
          </cell>
        </row>
        <row r="1843">
          <cell r="A1843">
            <v>54177</v>
          </cell>
          <cell r="B1843" t="str">
            <v>4.1.01.007.0008</v>
          </cell>
          <cell r="C1843" t="str">
            <v>CASSI TERCEIROS</v>
          </cell>
          <cell r="D1843">
            <v>5741.09</v>
          </cell>
          <cell r="E1843">
            <v>534.34</v>
          </cell>
          <cell r="F1843">
            <v>0</v>
          </cell>
          <cell r="G1843">
            <v>534.34</v>
          </cell>
          <cell r="H1843">
            <v>6275.43</v>
          </cell>
          <cell r="I1843" t="str">
            <v>D</v>
          </cell>
          <cell r="J1843" t="e">
            <v>#N/A</v>
          </cell>
        </row>
        <row r="1844">
          <cell r="A1844">
            <v>54178</v>
          </cell>
          <cell r="B1844" t="str">
            <v>4.1.01.007.0009</v>
          </cell>
          <cell r="C1844" t="str">
            <v>POSTAL SAUDE TERCEIROS</v>
          </cell>
          <cell r="D1844">
            <v>5965.45</v>
          </cell>
          <cell r="E1844">
            <v>1138.7</v>
          </cell>
          <cell r="F1844">
            <v>0</v>
          </cell>
          <cell r="G1844">
            <v>1138.7</v>
          </cell>
          <cell r="H1844">
            <v>7104.15</v>
          </cell>
          <cell r="I1844" t="str">
            <v>D</v>
          </cell>
          <cell r="J1844" t="e">
            <v>#N/A</v>
          </cell>
        </row>
        <row r="1845">
          <cell r="A1845">
            <v>54179</v>
          </cell>
          <cell r="B1845" t="str">
            <v>4.1.01.007.0010</v>
          </cell>
          <cell r="C1845" t="str">
            <v>PETROBRAS TERCEIROS</v>
          </cell>
          <cell r="D1845">
            <v>1214.3399999999999</v>
          </cell>
          <cell r="E1845">
            <v>228.98</v>
          </cell>
          <cell r="F1845">
            <v>0</v>
          </cell>
          <cell r="G1845">
            <v>228.98</v>
          </cell>
          <cell r="H1845">
            <v>1443.32</v>
          </cell>
          <cell r="I1845" t="str">
            <v>D</v>
          </cell>
          <cell r="J1845" t="e">
            <v>#N/A</v>
          </cell>
        </row>
        <row r="1846">
          <cell r="A1846">
            <v>54180</v>
          </cell>
          <cell r="B1846" t="str">
            <v>4.1.01.007.0011</v>
          </cell>
          <cell r="C1846" t="str">
            <v>NOTRE DAME TERCEIROS</v>
          </cell>
          <cell r="D1846">
            <v>12673.09</v>
          </cell>
          <cell r="E1846">
            <v>2251.8200000000002</v>
          </cell>
          <cell r="F1846">
            <v>0</v>
          </cell>
          <cell r="G1846">
            <v>2251.8200000000002</v>
          </cell>
          <cell r="H1846">
            <v>14924.91</v>
          </cell>
          <cell r="I1846" t="str">
            <v>D</v>
          </cell>
          <cell r="J1846" t="e">
            <v>#N/A</v>
          </cell>
        </row>
        <row r="1847">
          <cell r="A1847">
            <v>54181</v>
          </cell>
          <cell r="B1847" t="str">
            <v>4.1.01.007.0012</v>
          </cell>
          <cell r="C1847" t="str">
            <v>AVAMP TERCEIROS</v>
          </cell>
          <cell r="D1847">
            <v>3379.95</v>
          </cell>
          <cell r="E1847">
            <v>2410.06</v>
          </cell>
          <cell r="F1847">
            <v>0</v>
          </cell>
          <cell r="G1847">
            <v>2410.06</v>
          </cell>
          <cell r="H1847">
            <v>5790.01</v>
          </cell>
          <cell r="I1847" t="str">
            <v>D</v>
          </cell>
          <cell r="J1847" t="e">
            <v>#N/A</v>
          </cell>
        </row>
        <row r="1848">
          <cell r="A1848">
            <v>54182</v>
          </cell>
          <cell r="B1848" t="str">
            <v>4.1.01.007.0013</v>
          </cell>
          <cell r="C1848" t="str">
            <v>FUNDACAO CESP TERCEIROS</v>
          </cell>
          <cell r="D1848">
            <v>1065.3</v>
          </cell>
          <cell r="E1848">
            <v>23.86</v>
          </cell>
          <cell r="F1848">
            <v>0</v>
          </cell>
          <cell r="G1848">
            <v>23.86</v>
          </cell>
          <cell r="H1848">
            <v>1089.1600000000001</v>
          </cell>
          <cell r="I1848" t="str">
            <v>D</v>
          </cell>
          <cell r="J1848" t="e">
            <v>#N/A</v>
          </cell>
        </row>
        <row r="1849">
          <cell r="A1849">
            <v>54183</v>
          </cell>
          <cell r="B1849" t="str">
            <v>4.1.01.007.0014</v>
          </cell>
          <cell r="C1849" t="str">
            <v>INTERMEDICA TERCEIROS</v>
          </cell>
          <cell r="D1849">
            <v>15185.35</v>
          </cell>
          <cell r="E1849">
            <v>4850.04</v>
          </cell>
          <cell r="F1849">
            <v>0</v>
          </cell>
          <cell r="G1849">
            <v>4850.04</v>
          </cell>
          <cell r="H1849">
            <v>20035.39</v>
          </cell>
          <cell r="I1849" t="str">
            <v>D</v>
          </cell>
          <cell r="J1849" t="e">
            <v>#N/A</v>
          </cell>
        </row>
        <row r="1850">
          <cell r="A1850">
            <v>54184</v>
          </cell>
          <cell r="B1850" t="str">
            <v>4.1.01.007.0015</v>
          </cell>
          <cell r="C1850" t="str">
            <v>SAUDE CAIXA TERCEIROS</v>
          </cell>
          <cell r="D1850">
            <v>1449.47</v>
          </cell>
          <cell r="E1850">
            <v>0</v>
          </cell>
          <cell r="F1850">
            <v>0</v>
          </cell>
          <cell r="G1850">
            <v>0</v>
          </cell>
          <cell r="H1850">
            <v>1449.47</v>
          </cell>
          <cell r="I1850" t="str">
            <v>D</v>
          </cell>
          <cell r="J1850" t="e">
            <v>#N/A</v>
          </cell>
        </row>
        <row r="1851">
          <cell r="A1851">
            <v>54185</v>
          </cell>
          <cell r="B1851" t="str">
            <v>4.1.01.007.0016</v>
          </cell>
          <cell r="C1851" t="str">
            <v>MARINHA TERCEIROS</v>
          </cell>
          <cell r="D1851">
            <v>7244.65</v>
          </cell>
          <cell r="E1851">
            <v>1013.33</v>
          </cell>
          <cell r="F1851">
            <v>0</v>
          </cell>
          <cell r="G1851">
            <v>1013.33</v>
          </cell>
          <cell r="H1851">
            <v>8257.98</v>
          </cell>
          <cell r="I1851" t="str">
            <v>D</v>
          </cell>
          <cell r="J1851" t="e">
            <v>#N/A</v>
          </cell>
        </row>
        <row r="1852">
          <cell r="A1852">
            <v>54186</v>
          </cell>
          <cell r="B1852" t="str">
            <v>4.1.01.007.0017</v>
          </cell>
          <cell r="C1852" t="str">
            <v>AMIL TERCEIROS</v>
          </cell>
          <cell r="D1852">
            <v>26374.99</v>
          </cell>
          <cell r="E1852">
            <v>4061.45</v>
          </cell>
          <cell r="F1852">
            <v>0</v>
          </cell>
          <cell r="G1852">
            <v>4061.45</v>
          </cell>
          <cell r="H1852">
            <v>30436.44</v>
          </cell>
          <cell r="I1852" t="str">
            <v>D</v>
          </cell>
          <cell r="J1852" t="e">
            <v>#N/A</v>
          </cell>
        </row>
        <row r="1853">
          <cell r="A1853">
            <v>54187</v>
          </cell>
          <cell r="B1853" t="str">
            <v>4.1.01.007.0018</v>
          </cell>
          <cell r="C1853" t="str">
            <v>CABESP TERCEIROS</v>
          </cell>
          <cell r="D1853">
            <v>300</v>
          </cell>
          <cell r="E1853">
            <v>0</v>
          </cell>
          <cell r="F1853">
            <v>0</v>
          </cell>
          <cell r="G1853">
            <v>0</v>
          </cell>
          <cell r="H1853">
            <v>300</v>
          </cell>
          <cell r="I1853" t="str">
            <v>D</v>
          </cell>
          <cell r="J1853" t="e">
            <v>#N/A</v>
          </cell>
        </row>
        <row r="1854">
          <cell r="A1854">
            <v>54189</v>
          </cell>
          <cell r="B1854" t="str">
            <v>4.1.01.007.0020</v>
          </cell>
          <cell r="C1854" t="str">
            <v>FUSEX TERCEIROS</v>
          </cell>
          <cell r="D1854">
            <v>10840.61</v>
          </cell>
          <cell r="E1854">
            <v>5311.63</v>
          </cell>
          <cell r="F1854">
            <v>0</v>
          </cell>
          <cell r="G1854">
            <v>5311.63</v>
          </cell>
          <cell r="H1854">
            <v>16152.24</v>
          </cell>
          <cell r="I1854" t="str">
            <v>D</v>
          </cell>
          <cell r="J1854" t="e">
            <v>#N/A</v>
          </cell>
        </row>
        <row r="1855">
          <cell r="A1855">
            <v>54190</v>
          </cell>
          <cell r="B1855" t="str">
            <v>4.1.01.007.0021</v>
          </cell>
          <cell r="C1855" t="str">
            <v xml:space="preserve">COMANDO DA AERONAUTICA </v>
          </cell>
          <cell r="D1855">
            <v>594.04999999999995</v>
          </cell>
          <cell r="E1855">
            <v>578.37</v>
          </cell>
          <cell r="F1855">
            <v>0</v>
          </cell>
          <cell r="G1855">
            <v>578.37</v>
          </cell>
          <cell r="H1855">
            <v>1172.42</v>
          </cell>
          <cell r="I1855" t="str">
            <v>D</v>
          </cell>
          <cell r="J1855" t="e">
            <v>#N/A</v>
          </cell>
        </row>
        <row r="1856">
          <cell r="A1856">
            <v>54191</v>
          </cell>
          <cell r="B1856" t="str">
            <v>4.1.01.007.0022</v>
          </cell>
          <cell r="C1856" t="str">
            <v xml:space="preserve">LIFE EMPRESARIAL </v>
          </cell>
          <cell r="D1856">
            <v>150</v>
          </cell>
          <cell r="E1856">
            <v>47</v>
          </cell>
          <cell r="F1856">
            <v>0</v>
          </cell>
          <cell r="G1856">
            <v>47</v>
          </cell>
          <cell r="H1856">
            <v>197</v>
          </cell>
          <cell r="I1856" t="str">
            <v>D</v>
          </cell>
          <cell r="J1856" t="e">
            <v>#N/A</v>
          </cell>
        </row>
        <row r="1857">
          <cell r="A1857">
            <v>54192</v>
          </cell>
          <cell r="B1857" t="str">
            <v>4.1.01.007.0023</v>
          </cell>
          <cell r="C1857" t="str">
            <v>SUS AIH TERCEIROS</v>
          </cell>
          <cell r="D1857">
            <v>71579.17</v>
          </cell>
          <cell r="E1857">
            <v>17766.98</v>
          </cell>
          <cell r="F1857">
            <v>0</v>
          </cell>
          <cell r="G1857">
            <v>17766.98</v>
          </cell>
          <cell r="H1857">
            <v>89346.15</v>
          </cell>
          <cell r="I1857" t="str">
            <v>D</v>
          </cell>
          <cell r="J1857" t="e">
            <v>#N/A</v>
          </cell>
        </row>
        <row r="1858">
          <cell r="A1858">
            <v>54193</v>
          </cell>
          <cell r="B1858" t="str">
            <v>4.1.01.007.0024</v>
          </cell>
          <cell r="C1858" t="str">
            <v>UNIMED TERCEIROS</v>
          </cell>
          <cell r="D1858">
            <v>21374.22</v>
          </cell>
          <cell r="E1858">
            <v>8895.24</v>
          </cell>
          <cell r="F1858">
            <v>0</v>
          </cell>
          <cell r="G1858">
            <v>8895.24</v>
          </cell>
          <cell r="H1858">
            <v>30269.46</v>
          </cell>
          <cell r="I1858" t="str">
            <v>D</v>
          </cell>
          <cell r="J1858" t="e">
            <v>#N/A</v>
          </cell>
        </row>
        <row r="1859">
          <cell r="A1859">
            <v>54410</v>
          </cell>
          <cell r="B1859" t="str">
            <v>4.1.01.007.0028</v>
          </cell>
          <cell r="C1859" t="str">
            <v xml:space="preserve">ASSOCIACAO SANTA CASA </v>
          </cell>
          <cell r="D1859">
            <v>398575.52</v>
          </cell>
          <cell r="E1859">
            <v>93041.61</v>
          </cell>
          <cell r="F1859">
            <v>0</v>
          </cell>
          <cell r="G1859">
            <v>93041.61</v>
          </cell>
          <cell r="H1859">
            <v>491617.13</v>
          </cell>
          <cell r="I1859" t="str">
            <v>D</v>
          </cell>
          <cell r="J1859" t="e">
            <v>#N/A</v>
          </cell>
        </row>
        <row r="1860">
          <cell r="A1860">
            <v>54447</v>
          </cell>
          <cell r="B1860" t="str">
            <v>4.1.01.007.0030</v>
          </cell>
          <cell r="C1860" t="str">
            <v>ABRANGE TERCEIROS</v>
          </cell>
          <cell r="D1860">
            <v>226.89</v>
          </cell>
          <cell r="E1860">
            <v>231.44</v>
          </cell>
          <cell r="F1860">
            <v>0</v>
          </cell>
          <cell r="G1860">
            <v>231.44</v>
          </cell>
          <cell r="H1860">
            <v>458.33</v>
          </cell>
          <cell r="I1860" t="str">
            <v>D</v>
          </cell>
          <cell r="J1860" t="e">
            <v>#N/A</v>
          </cell>
        </row>
        <row r="1861">
          <cell r="A1861">
            <v>54632</v>
          </cell>
          <cell r="B1861" t="str">
            <v>4.1.01.007.0032</v>
          </cell>
          <cell r="C1861" t="str">
            <v>ATIVIA TERCEIROS</v>
          </cell>
          <cell r="D1861">
            <v>17.079999999999998</v>
          </cell>
          <cell r="E1861">
            <v>0</v>
          </cell>
          <cell r="F1861">
            <v>0</v>
          </cell>
          <cell r="G1861">
            <v>0</v>
          </cell>
          <cell r="H1861">
            <v>17.079999999999998</v>
          </cell>
          <cell r="I1861" t="str">
            <v>D</v>
          </cell>
          <cell r="J1861" t="e">
            <v>#N/A</v>
          </cell>
        </row>
        <row r="1862">
          <cell r="A1862">
            <v>54633</v>
          </cell>
          <cell r="B1862" t="str">
            <v>4.1.01.007.0033</v>
          </cell>
          <cell r="C1862" t="str">
            <v xml:space="preserve">UNIMED INTERCAMBIO </v>
          </cell>
          <cell r="D1862">
            <v>12438.31</v>
          </cell>
          <cell r="E1862">
            <v>4801.1000000000004</v>
          </cell>
          <cell r="F1862">
            <v>0</v>
          </cell>
          <cell r="G1862">
            <v>4801.1000000000004</v>
          </cell>
          <cell r="H1862">
            <v>17239.41</v>
          </cell>
          <cell r="I1862" t="str">
            <v>D</v>
          </cell>
          <cell r="J1862" t="e">
            <v>#N/A</v>
          </cell>
        </row>
        <row r="1863">
          <cell r="A1863">
            <v>54634</v>
          </cell>
          <cell r="B1863" t="str">
            <v>4.1.01.007.0034</v>
          </cell>
          <cell r="C1863" t="str">
            <v>CARE PLUS TERCEIROS</v>
          </cell>
          <cell r="D1863">
            <v>150</v>
          </cell>
          <cell r="E1863">
            <v>150</v>
          </cell>
          <cell r="F1863">
            <v>0</v>
          </cell>
          <cell r="G1863">
            <v>150</v>
          </cell>
          <cell r="H1863">
            <v>300</v>
          </cell>
          <cell r="I1863" t="str">
            <v>D</v>
          </cell>
          <cell r="J1863" t="e">
            <v>#N/A</v>
          </cell>
        </row>
        <row r="1864">
          <cell r="A1864">
            <v>54906</v>
          </cell>
          <cell r="B1864" t="str">
            <v>4.1.01.007.0038</v>
          </cell>
          <cell r="C1864" t="str">
            <v>UNIMED FEDERAL TERCEIROS</v>
          </cell>
          <cell r="D1864">
            <v>472.24</v>
          </cell>
          <cell r="E1864">
            <v>0</v>
          </cell>
          <cell r="F1864">
            <v>0</v>
          </cell>
          <cell r="G1864">
            <v>0</v>
          </cell>
          <cell r="H1864">
            <v>472.24</v>
          </cell>
          <cell r="I1864" t="str">
            <v>D</v>
          </cell>
          <cell r="J1864" t="e">
            <v>#N/A</v>
          </cell>
        </row>
        <row r="1865">
          <cell r="A1865">
            <v>55010</v>
          </cell>
          <cell r="B1865" t="str">
            <v>4.1.01.007.0040</v>
          </cell>
          <cell r="C1865" t="str">
            <v xml:space="preserve">BRADESCO SAUDE </v>
          </cell>
          <cell r="D1865">
            <v>19097.650000000001</v>
          </cell>
          <cell r="E1865">
            <v>2559.34</v>
          </cell>
          <cell r="F1865">
            <v>0</v>
          </cell>
          <cell r="G1865">
            <v>2559.34</v>
          </cell>
          <cell r="H1865">
            <v>21656.99</v>
          </cell>
          <cell r="I1865" t="str">
            <v>D</v>
          </cell>
          <cell r="J1865" t="e">
            <v>#N/A</v>
          </cell>
        </row>
        <row r="1866">
          <cell r="A1866">
            <v>55257</v>
          </cell>
          <cell r="B1866" t="str">
            <v>4.1.01.007.0041</v>
          </cell>
          <cell r="C1866" t="str">
            <v>GO CARE TERCEIROS</v>
          </cell>
          <cell r="D1866">
            <v>11280.08</v>
          </cell>
          <cell r="E1866">
            <v>1548.75</v>
          </cell>
          <cell r="F1866">
            <v>0</v>
          </cell>
          <cell r="G1866">
            <v>1548.75</v>
          </cell>
          <cell r="H1866">
            <v>12828.83</v>
          </cell>
          <cell r="I1866" t="str">
            <v>D</v>
          </cell>
          <cell r="J1866" t="e">
            <v>#N/A</v>
          </cell>
        </row>
        <row r="1867">
          <cell r="A1867">
            <v>54128</v>
          </cell>
          <cell r="B1867" t="str">
            <v>4.1.01.008</v>
          </cell>
          <cell r="C1867" t="str">
            <v xml:space="preserve">SERVICOS MEDICOS </v>
          </cell>
          <cell r="D1867">
            <v>2716351.35</v>
          </cell>
          <cell r="E1867">
            <v>1486085.72</v>
          </cell>
          <cell r="F1867">
            <v>0</v>
          </cell>
          <cell r="G1867">
            <v>1486085.72</v>
          </cell>
          <cell r="H1867">
            <v>4202437.07</v>
          </cell>
          <cell r="I1867" t="str">
            <v>D</v>
          </cell>
          <cell r="J1867">
            <v>54128</v>
          </cell>
        </row>
        <row r="1868">
          <cell r="A1868">
            <v>54130</v>
          </cell>
          <cell r="B1868" t="str">
            <v>4.1.01.008.0002</v>
          </cell>
          <cell r="C1868" t="str">
            <v>ALIANZ SAUDE</v>
          </cell>
          <cell r="D1868">
            <v>98.54</v>
          </cell>
          <cell r="E1868">
            <v>0</v>
          </cell>
          <cell r="F1868">
            <v>0</v>
          </cell>
          <cell r="G1868">
            <v>0</v>
          </cell>
          <cell r="H1868">
            <v>98.54</v>
          </cell>
          <cell r="I1868" t="str">
            <v>D</v>
          </cell>
          <cell r="J1868" t="e">
            <v>#N/A</v>
          </cell>
        </row>
        <row r="1869">
          <cell r="A1869">
            <v>54131</v>
          </cell>
          <cell r="B1869" t="str">
            <v>4.1.01.008.0003</v>
          </cell>
          <cell r="C1869" t="str">
            <v>AMIL</v>
          </cell>
          <cell r="D1869">
            <v>45896.79</v>
          </cell>
          <cell r="E1869">
            <v>24480.61</v>
          </cell>
          <cell r="F1869">
            <v>0</v>
          </cell>
          <cell r="G1869">
            <v>24480.61</v>
          </cell>
          <cell r="H1869">
            <v>70377.399999999994</v>
          </cell>
          <cell r="I1869" t="str">
            <v>D</v>
          </cell>
          <cell r="J1869" t="e">
            <v>#N/A</v>
          </cell>
        </row>
        <row r="1870">
          <cell r="A1870">
            <v>54132</v>
          </cell>
          <cell r="B1870" t="str">
            <v>4.1.01.008.0004</v>
          </cell>
          <cell r="C1870" t="str">
            <v>ASSOCIACAO SANTA CASA</v>
          </cell>
          <cell r="D1870">
            <v>880206.93</v>
          </cell>
          <cell r="E1870">
            <v>532587.89</v>
          </cell>
          <cell r="F1870">
            <v>0</v>
          </cell>
          <cell r="G1870">
            <v>532587.89</v>
          </cell>
          <cell r="H1870">
            <v>1412794.82</v>
          </cell>
          <cell r="I1870" t="str">
            <v>D</v>
          </cell>
          <cell r="J1870" t="e">
            <v>#N/A</v>
          </cell>
        </row>
        <row r="1871">
          <cell r="A1871">
            <v>54133</v>
          </cell>
          <cell r="B1871" t="str">
            <v>4.1.01.008.0005</v>
          </cell>
          <cell r="C1871" t="str">
            <v>ATIVIA COOPERATIVA MEDICA</v>
          </cell>
          <cell r="D1871">
            <v>127.92</v>
          </cell>
          <cell r="E1871">
            <v>120</v>
          </cell>
          <cell r="F1871">
            <v>0</v>
          </cell>
          <cell r="G1871">
            <v>120</v>
          </cell>
          <cell r="H1871">
            <v>247.92</v>
          </cell>
          <cell r="I1871" t="str">
            <v>D</v>
          </cell>
          <cell r="J1871" t="e">
            <v>#N/A</v>
          </cell>
        </row>
        <row r="1872">
          <cell r="A1872">
            <v>54134</v>
          </cell>
          <cell r="B1872" t="str">
            <v>4.1.01.008.0006</v>
          </cell>
          <cell r="C1872" t="str">
            <v>AVAMP ASSOC.V.PARAIBANA</v>
          </cell>
          <cell r="D1872">
            <v>2142.6999999999998</v>
          </cell>
          <cell r="E1872">
            <v>4297.3500000000004</v>
          </cell>
          <cell r="F1872">
            <v>0</v>
          </cell>
          <cell r="G1872">
            <v>4297.3500000000004</v>
          </cell>
          <cell r="H1872">
            <v>6440.05</v>
          </cell>
          <cell r="I1872" t="str">
            <v>D</v>
          </cell>
          <cell r="J1872" t="e">
            <v>#N/A</v>
          </cell>
        </row>
        <row r="1873">
          <cell r="A1873">
            <v>54135</v>
          </cell>
          <cell r="B1873" t="str">
            <v>4.1.01.008.0007</v>
          </cell>
          <cell r="C1873" t="str">
            <v>BRADESCO SEGUROS</v>
          </cell>
          <cell r="D1873">
            <v>41934.379999999997</v>
          </cell>
          <cell r="E1873">
            <v>17737.75</v>
          </cell>
          <cell r="F1873">
            <v>0</v>
          </cell>
          <cell r="G1873">
            <v>17737.75</v>
          </cell>
          <cell r="H1873">
            <v>59672.13</v>
          </cell>
          <cell r="I1873" t="str">
            <v>D</v>
          </cell>
          <cell r="J1873" t="e">
            <v>#N/A</v>
          </cell>
        </row>
        <row r="1874">
          <cell r="A1874">
            <v>54136</v>
          </cell>
          <cell r="B1874" t="str">
            <v>4.1.01.008.0008</v>
          </cell>
          <cell r="C1874" t="str">
            <v>CABESP CXA BENEF FUNC</v>
          </cell>
          <cell r="D1874">
            <v>420</v>
          </cell>
          <cell r="E1874">
            <v>157.5</v>
          </cell>
          <cell r="F1874">
            <v>0</v>
          </cell>
          <cell r="G1874">
            <v>157.5</v>
          </cell>
          <cell r="H1874">
            <v>577.5</v>
          </cell>
          <cell r="I1874" t="str">
            <v>D</v>
          </cell>
          <cell r="J1874" t="e">
            <v>#N/A</v>
          </cell>
        </row>
        <row r="1875">
          <cell r="A1875">
            <v>54137</v>
          </cell>
          <cell r="B1875" t="str">
            <v>4.1.01.008.0009</v>
          </cell>
          <cell r="C1875" t="str">
            <v>CARE PLUS MEDIC</v>
          </cell>
          <cell r="D1875">
            <v>412.01</v>
          </cell>
          <cell r="E1875">
            <v>1079.01</v>
          </cell>
          <cell r="F1875">
            <v>0</v>
          </cell>
          <cell r="G1875">
            <v>1079.01</v>
          </cell>
          <cell r="H1875">
            <v>1491.02</v>
          </cell>
          <cell r="I1875" t="str">
            <v>D</v>
          </cell>
          <cell r="J1875" t="e">
            <v>#N/A</v>
          </cell>
        </row>
        <row r="1876">
          <cell r="A1876">
            <v>54138</v>
          </cell>
          <cell r="B1876" t="str">
            <v>4.1.01.008.0010</v>
          </cell>
          <cell r="C1876" t="str">
            <v>CASSI CXA ASSIST FUNC BCO</v>
          </cell>
          <cell r="D1876">
            <v>10256.76</v>
          </cell>
          <cell r="E1876">
            <v>2569.4299999999998</v>
          </cell>
          <cell r="F1876">
            <v>0</v>
          </cell>
          <cell r="G1876">
            <v>2569.4299999999998</v>
          </cell>
          <cell r="H1876">
            <v>12826.19</v>
          </cell>
          <cell r="I1876" t="str">
            <v>D</v>
          </cell>
          <cell r="J1876" t="e">
            <v>#N/A</v>
          </cell>
        </row>
        <row r="1877">
          <cell r="A1877">
            <v>54142</v>
          </cell>
          <cell r="B1877" t="str">
            <v>4.1.01.008.0014</v>
          </cell>
          <cell r="C1877" t="str">
            <v>FUSEX</v>
          </cell>
          <cell r="D1877">
            <v>38566.300000000003</v>
          </cell>
          <cell r="E1877">
            <v>22199.7</v>
          </cell>
          <cell r="F1877">
            <v>0</v>
          </cell>
          <cell r="G1877">
            <v>22199.7</v>
          </cell>
          <cell r="H1877">
            <v>60766</v>
          </cell>
          <cell r="I1877" t="str">
            <v>D</v>
          </cell>
          <cell r="J1877" t="e">
            <v>#N/A</v>
          </cell>
        </row>
        <row r="1878">
          <cell r="A1878">
            <v>54143</v>
          </cell>
          <cell r="B1878" t="str">
            <v>4.1.01.008.0015</v>
          </cell>
          <cell r="C1878" t="str">
            <v>COMANDO DA AERONAUTICA</v>
          </cell>
          <cell r="D1878">
            <v>12718.25</v>
          </cell>
          <cell r="E1878">
            <v>878.26</v>
          </cell>
          <cell r="F1878">
            <v>0</v>
          </cell>
          <cell r="G1878">
            <v>878.26</v>
          </cell>
          <cell r="H1878">
            <v>13596.51</v>
          </cell>
          <cell r="I1878" t="str">
            <v>D</v>
          </cell>
          <cell r="J1878" t="e">
            <v>#N/A</v>
          </cell>
        </row>
        <row r="1879">
          <cell r="A1879">
            <v>54144</v>
          </cell>
          <cell r="B1879" t="str">
            <v>4.1.01.008.0016</v>
          </cell>
          <cell r="C1879" t="str">
            <v>IAMSPE INSTIT DE ASSIST</v>
          </cell>
          <cell r="D1879">
            <v>386587.74</v>
          </cell>
          <cell r="E1879">
            <v>194885.78</v>
          </cell>
          <cell r="F1879">
            <v>0</v>
          </cell>
          <cell r="G1879">
            <v>194885.78</v>
          </cell>
          <cell r="H1879">
            <v>581473.52</v>
          </cell>
          <cell r="I1879" t="str">
            <v>D</v>
          </cell>
          <cell r="J1879" t="e">
            <v>#N/A</v>
          </cell>
        </row>
        <row r="1880">
          <cell r="A1880">
            <v>54145</v>
          </cell>
          <cell r="B1880" t="str">
            <v>4.1.01.008.0017</v>
          </cell>
          <cell r="C1880" t="str">
            <v>INTERMEDICA SISTEMAS</v>
          </cell>
          <cell r="D1880">
            <v>25603.41</v>
          </cell>
          <cell r="E1880">
            <v>14870.59</v>
          </cell>
          <cell r="F1880">
            <v>0</v>
          </cell>
          <cell r="G1880">
            <v>14870.59</v>
          </cell>
          <cell r="H1880">
            <v>40474</v>
          </cell>
          <cell r="I1880" t="str">
            <v>D</v>
          </cell>
          <cell r="J1880" t="e">
            <v>#N/A</v>
          </cell>
        </row>
        <row r="1881">
          <cell r="A1881">
            <v>54146</v>
          </cell>
          <cell r="B1881" t="str">
            <v>4.1.01.008.0018</v>
          </cell>
          <cell r="C1881" t="str">
            <v>LIFE EMPRESARIAL SAUDE</v>
          </cell>
          <cell r="D1881">
            <v>941.13</v>
          </cell>
          <cell r="E1881">
            <v>1309.67</v>
          </cell>
          <cell r="F1881">
            <v>0</v>
          </cell>
          <cell r="G1881">
            <v>1309.67</v>
          </cell>
          <cell r="H1881">
            <v>2250.8000000000002</v>
          </cell>
          <cell r="I1881" t="str">
            <v>D</v>
          </cell>
          <cell r="J1881" t="e">
            <v>#N/A</v>
          </cell>
        </row>
        <row r="1882">
          <cell r="A1882">
            <v>54147</v>
          </cell>
          <cell r="B1882" t="str">
            <v>4.1.01.008.0019</v>
          </cell>
          <cell r="C1882" t="str">
            <v>COMANDO DA MARINHA</v>
          </cell>
          <cell r="D1882">
            <v>9527.34</v>
          </cell>
          <cell r="E1882">
            <v>12994</v>
          </cell>
          <cell r="F1882">
            <v>0</v>
          </cell>
          <cell r="G1882">
            <v>12994</v>
          </cell>
          <cell r="H1882">
            <v>22521.34</v>
          </cell>
          <cell r="I1882" t="str">
            <v>D</v>
          </cell>
          <cell r="J1882" t="e">
            <v>#N/A</v>
          </cell>
        </row>
        <row r="1883">
          <cell r="A1883">
            <v>54148</v>
          </cell>
          <cell r="B1883" t="str">
            <v>4.1.01.008.0020</v>
          </cell>
          <cell r="C1883" t="str">
            <v>MARITIMA</v>
          </cell>
          <cell r="D1883">
            <v>56</v>
          </cell>
          <cell r="E1883">
            <v>280</v>
          </cell>
          <cell r="F1883">
            <v>0</v>
          </cell>
          <cell r="G1883">
            <v>280</v>
          </cell>
          <cell r="H1883">
            <v>336</v>
          </cell>
          <cell r="I1883" t="str">
            <v>D</v>
          </cell>
          <cell r="J1883" t="e">
            <v>#N/A</v>
          </cell>
        </row>
        <row r="1884">
          <cell r="A1884">
            <v>54149</v>
          </cell>
          <cell r="B1884" t="str">
            <v>4.1.01.008.0021</v>
          </cell>
          <cell r="C1884" t="str">
            <v>MEDISERVICE</v>
          </cell>
          <cell r="D1884">
            <v>3837.52</v>
          </cell>
          <cell r="E1884">
            <v>3976.78</v>
          </cell>
          <cell r="F1884">
            <v>0</v>
          </cell>
          <cell r="G1884">
            <v>3976.78</v>
          </cell>
          <cell r="H1884">
            <v>7814.3</v>
          </cell>
          <cell r="I1884" t="str">
            <v>D</v>
          </cell>
          <cell r="J1884" t="e">
            <v>#N/A</v>
          </cell>
        </row>
        <row r="1885">
          <cell r="A1885">
            <v>54150</v>
          </cell>
          <cell r="B1885" t="str">
            <v>4.1.01.008.0022</v>
          </cell>
          <cell r="C1885" t="str">
            <v>NOTRE DAME</v>
          </cell>
          <cell r="D1885">
            <v>20908.7</v>
          </cell>
          <cell r="E1885">
            <v>17446.810000000001</v>
          </cell>
          <cell r="F1885">
            <v>0</v>
          </cell>
          <cell r="G1885">
            <v>17446.810000000001</v>
          </cell>
          <cell r="H1885">
            <v>38355.51</v>
          </cell>
          <cell r="I1885" t="str">
            <v>D</v>
          </cell>
          <cell r="J1885" t="e">
            <v>#N/A</v>
          </cell>
        </row>
        <row r="1886">
          <cell r="A1886">
            <v>54151</v>
          </cell>
          <cell r="B1886" t="str">
            <v>4.1.01.008.0023</v>
          </cell>
          <cell r="C1886" t="str">
            <v>PETROBRAS PETROLEO</v>
          </cell>
          <cell r="D1886">
            <v>2018.55</v>
          </cell>
          <cell r="E1886">
            <v>1520.96</v>
          </cell>
          <cell r="F1886">
            <v>0</v>
          </cell>
          <cell r="G1886">
            <v>1520.96</v>
          </cell>
          <cell r="H1886">
            <v>3539.51</v>
          </cell>
          <cell r="I1886" t="str">
            <v>D</v>
          </cell>
          <cell r="J1886" t="e">
            <v>#N/A</v>
          </cell>
        </row>
        <row r="1887">
          <cell r="A1887">
            <v>54152</v>
          </cell>
          <cell r="B1887" t="str">
            <v>4.1.01.008.0024</v>
          </cell>
          <cell r="C1887" t="str">
            <v>PORTO SEGURO SAUDE SA</v>
          </cell>
          <cell r="D1887">
            <v>12062.06</v>
          </cell>
          <cell r="E1887">
            <v>4987.3999999999996</v>
          </cell>
          <cell r="F1887">
            <v>0</v>
          </cell>
          <cell r="G1887">
            <v>4987.3999999999996</v>
          </cell>
          <cell r="H1887">
            <v>17049.46</v>
          </cell>
          <cell r="I1887" t="str">
            <v>D</v>
          </cell>
          <cell r="J1887" t="e">
            <v>#N/A</v>
          </cell>
        </row>
        <row r="1888">
          <cell r="A1888">
            <v>54153</v>
          </cell>
          <cell r="B1888" t="str">
            <v>4.1.01.008.0025</v>
          </cell>
          <cell r="C1888" t="str">
            <v>PREFEITURA MUNICIPAL</v>
          </cell>
          <cell r="D1888">
            <v>106243</v>
          </cell>
          <cell r="E1888">
            <v>57590</v>
          </cell>
          <cell r="F1888">
            <v>0</v>
          </cell>
          <cell r="G1888">
            <v>57590</v>
          </cell>
          <cell r="H1888">
            <v>163833</v>
          </cell>
          <cell r="I1888" t="str">
            <v>D</v>
          </cell>
          <cell r="J1888" t="e">
            <v>#N/A</v>
          </cell>
        </row>
        <row r="1889">
          <cell r="A1889">
            <v>54154</v>
          </cell>
          <cell r="B1889" t="str">
            <v>4.1.01.008.0026</v>
          </cell>
          <cell r="C1889" t="str">
            <v>CAIXA ECONOMICA FEDERAL</v>
          </cell>
          <cell r="D1889">
            <v>2603.27</v>
          </cell>
          <cell r="E1889">
            <v>757.5</v>
          </cell>
          <cell r="F1889">
            <v>0</v>
          </cell>
          <cell r="G1889">
            <v>757.5</v>
          </cell>
          <cell r="H1889">
            <v>3360.77</v>
          </cell>
          <cell r="I1889" t="str">
            <v>D</v>
          </cell>
          <cell r="J1889" t="e">
            <v>#N/A</v>
          </cell>
        </row>
        <row r="1890">
          <cell r="A1890">
            <v>54155</v>
          </cell>
          <cell r="B1890" t="str">
            <v>4.1.01.008.0027</v>
          </cell>
          <cell r="C1890" t="str">
            <v>SPDM ASSOCIACAO PAULISTA</v>
          </cell>
          <cell r="D1890">
            <v>15840.08</v>
          </cell>
          <cell r="E1890">
            <v>5578.06</v>
          </cell>
          <cell r="F1890">
            <v>0</v>
          </cell>
          <cell r="G1890">
            <v>5578.06</v>
          </cell>
          <cell r="H1890">
            <v>21418.14</v>
          </cell>
          <cell r="I1890" t="str">
            <v>D</v>
          </cell>
          <cell r="J1890" t="e">
            <v>#N/A</v>
          </cell>
        </row>
        <row r="1891">
          <cell r="A1891">
            <v>54156</v>
          </cell>
          <cell r="B1891" t="str">
            <v>4.1.01.008.0028</v>
          </cell>
          <cell r="C1891" t="str">
            <v>CORREIO</v>
          </cell>
          <cell r="D1891">
            <v>6251.81</v>
          </cell>
          <cell r="E1891">
            <v>2945.68</v>
          </cell>
          <cell r="F1891">
            <v>0</v>
          </cell>
          <cell r="G1891">
            <v>2945.68</v>
          </cell>
          <cell r="H1891">
            <v>9197.49</v>
          </cell>
          <cell r="I1891" t="str">
            <v>D</v>
          </cell>
          <cell r="J1891" t="e">
            <v>#N/A</v>
          </cell>
        </row>
        <row r="1892">
          <cell r="A1892">
            <v>54157</v>
          </cell>
          <cell r="B1892" t="str">
            <v>4.1.01.008.0029</v>
          </cell>
          <cell r="C1892" t="str">
            <v>SUS AMBULATORIO</v>
          </cell>
          <cell r="D1892">
            <v>205333.44</v>
          </cell>
          <cell r="E1892">
            <v>177335.61</v>
          </cell>
          <cell r="F1892">
            <v>0</v>
          </cell>
          <cell r="G1892">
            <v>177335.61</v>
          </cell>
          <cell r="H1892">
            <v>382669.05</v>
          </cell>
          <cell r="I1892" t="str">
            <v>D</v>
          </cell>
          <cell r="J1892" t="e">
            <v>#N/A</v>
          </cell>
        </row>
        <row r="1893">
          <cell r="A1893">
            <v>54159</v>
          </cell>
          <cell r="B1893" t="str">
            <v>4.1.01.008.0031</v>
          </cell>
          <cell r="C1893" t="str">
            <v>SUL AMERICA</v>
          </cell>
          <cell r="D1893">
            <v>99081.68</v>
          </cell>
          <cell r="E1893">
            <v>28926.15</v>
          </cell>
          <cell r="F1893">
            <v>0</v>
          </cell>
          <cell r="G1893">
            <v>28926.15</v>
          </cell>
          <cell r="H1893">
            <v>128007.83</v>
          </cell>
          <cell r="I1893" t="str">
            <v>D</v>
          </cell>
          <cell r="J1893" t="e">
            <v>#N/A</v>
          </cell>
        </row>
        <row r="1894">
          <cell r="A1894">
            <v>54160</v>
          </cell>
          <cell r="B1894" t="str">
            <v>4.1.01.008.0032</v>
          </cell>
          <cell r="C1894" t="str">
            <v>UNIMED</v>
          </cell>
          <cell r="D1894">
            <v>47642.57</v>
          </cell>
          <cell r="E1894">
            <v>6907.38</v>
          </cell>
          <cell r="F1894">
            <v>0</v>
          </cell>
          <cell r="G1894">
            <v>6907.38</v>
          </cell>
          <cell r="H1894">
            <v>54549.95</v>
          </cell>
          <cell r="I1894" t="str">
            <v>D</v>
          </cell>
          <cell r="J1894" t="e">
            <v>#N/A</v>
          </cell>
        </row>
        <row r="1895">
          <cell r="A1895">
            <v>54161</v>
          </cell>
          <cell r="B1895" t="str">
            <v>4.1.01.008.0033</v>
          </cell>
          <cell r="C1895" t="str">
            <v>UNIMED INTERCAMBIO</v>
          </cell>
          <cell r="D1895">
            <v>12440.12</v>
          </cell>
          <cell r="E1895">
            <v>3141</v>
          </cell>
          <cell r="F1895">
            <v>0</v>
          </cell>
          <cell r="G1895">
            <v>3141</v>
          </cell>
          <cell r="H1895">
            <v>15581.12</v>
          </cell>
          <cell r="I1895" t="str">
            <v>D</v>
          </cell>
          <cell r="J1895" t="e">
            <v>#N/A</v>
          </cell>
        </row>
        <row r="1896">
          <cell r="A1896">
            <v>54163</v>
          </cell>
          <cell r="B1896" t="str">
            <v>4.1.01.008.0034</v>
          </cell>
          <cell r="C1896" t="str">
            <v>SUS AIH</v>
          </cell>
          <cell r="D1896">
            <v>552684.89</v>
          </cell>
          <cell r="E1896">
            <v>249279.34</v>
          </cell>
          <cell r="F1896">
            <v>0</v>
          </cell>
          <cell r="G1896">
            <v>249279.34</v>
          </cell>
          <cell r="H1896">
            <v>801964.23</v>
          </cell>
          <cell r="I1896" t="str">
            <v>D</v>
          </cell>
          <cell r="J1896" t="e">
            <v>#N/A</v>
          </cell>
        </row>
        <row r="1897">
          <cell r="A1897">
            <v>54196</v>
          </cell>
          <cell r="B1897" t="str">
            <v>4.1.01.008.0035</v>
          </cell>
          <cell r="C1897" t="str">
            <v>FUNDACAO CESP</v>
          </cell>
          <cell r="D1897">
            <v>1625.74</v>
          </cell>
          <cell r="E1897">
            <v>2705.45</v>
          </cell>
          <cell r="F1897">
            <v>0</v>
          </cell>
          <cell r="G1897">
            <v>2705.45</v>
          </cell>
          <cell r="H1897">
            <v>4331.1899999999996</v>
          </cell>
          <cell r="I1897" t="str">
            <v>D</v>
          </cell>
          <cell r="J1897" t="e">
            <v>#N/A</v>
          </cell>
        </row>
        <row r="1898">
          <cell r="A1898">
            <v>54197</v>
          </cell>
          <cell r="B1898" t="str">
            <v>4.1.01.008.0036</v>
          </cell>
          <cell r="C1898" t="str">
            <v>AFRESP</v>
          </cell>
          <cell r="D1898">
            <v>480</v>
          </cell>
          <cell r="E1898">
            <v>52.5</v>
          </cell>
          <cell r="F1898">
            <v>0</v>
          </cell>
          <cell r="G1898">
            <v>52.5</v>
          </cell>
          <cell r="H1898">
            <v>532.5</v>
          </cell>
          <cell r="I1898" t="str">
            <v>D</v>
          </cell>
          <cell r="J1898" t="e">
            <v>#N/A</v>
          </cell>
        </row>
        <row r="1899">
          <cell r="A1899">
            <v>54736</v>
          </cell>
          <cell r="B1899" t="str">
            <v>4.1.01.008.0041</v>
          </cell>
          <cell r="C1899" t="str">
            <v>IAMSPE CLINICA</v>
          </cell>
          <cell r="D1899">
            <v>130795.88</v>
          </cell>
          <cell r="E1899">
            <v>75058.600000000006</v>
          </cell>
          <cell r="F1899">
            <v>0</v>
          </cell>
          <cell r="G1899">
            <v>75058.600000000006</v>
          </cell>
          <cell r="H1899">
            <v>205854.48</v>
          </cell>
          <cell r="I1899" t="str">
            <v>D</v>
          </cell>
          <cell r="J1899" t="e">
            <v>#N/A</v>
          </cell>
        </row>
        <row r="1900">
          <cell r="A1900">
            <v>54907</v>
          </cell>
          <cell r="B1900" t="str">
            <v>4.1.01.008.0044</v>
          </cell>
          <cell r="C1900" t="str">
            <v>UNIMED FEDERAL</v>
          </cell>
          <cell r="D1900">
            <v>1209</v>
          </cell>
          <cell r="E1900">
            <v>0</v>
          </cell>
          <cell r="F1900">
            <v>0</v>
          </cell>
          <cell r="G1900">
            <v>0</v>
          </cell>
          <cell r="H1900">
            <v>1209</v>
          </cell>
          <cell r="I1900" t="str">
            <v>D</v>
          </cell>
          <cell r="J1900" t="e">
            <v>#N/A</v>
          </cell>
        </row>
        <row r="1901">
          <cell r="A1901">
            <v>55011</v>
          </cell>
          <cell r="B1901" t="str">
            <v>4.1.01.008.0045</v>
          </cell>
          <cell r="C1901" t="str">
            <v>BRADESCO SAUDE</v>
          </cell>
          <cell r="D1901">
            <v>27232.93</v>
          </cell>
          <cell r="E1901">
            <v>12908.88</v>
          </cell>
          <cell r="F1901">
            <v>0</v>
          </cell>
          <cell r="G1901">
            <v>12908.88</v>
          </cell>
          <cell r="H1901">
            <v>40141.81</v>
          </cell>
          <cell r="I1901" t="str">
            <v>D</v>
          </cell>
          <cell r="J1901" t="e">
            <v>#N/A</v>
          </cell>
        </row>
        <row r="1902">
          <cell r="A1902">
            <v>55173</v>
          </cell>
          <cell r="B1902" t="str">
            <v>4.1.01.008.0046</v>
          </cell>
          <cell r="C1902" t="str">
            <v>GO CARE</v>
          </cell>
          <cell r="D1902">
            <v>12563.91</v>
          </cell>
          <cell r="E1902">
            <v>3260.08</v>
          </cell>
          <cell r="F1902">
            <v>0</v>
          </cell>
          <cell r="G1902">
            <v>3260.08</v>
          </cell>
          <cell r="H1902">
            <v>15823.99</v>
          </cell>
          <cell r="I1902" t="str">
            <v>D</v>
          </cell>
          <cell r="J1902" t="e">
            <v>#N/A</v>
          </cell>
        </row>
        <row r="1903">
          <cell r="A1903">
            <v>55349</v>
          </cell>
          <cell r="B1903" t="str">
            <v>4.1.01.008.0050</v>
          </cell>
          <cell r="C1903" t="str">
            <v>PIO XII</v>
          </cell>
          <cell r="D1903">
            <v>0</v>
          </cell>
          <cell r="E1903">
            <v>1260</v>
          </cell>
          <cell r="F1903">
            <v>0</v>
          </cell>
          <cell r="G1903">
            <v>1260</v>
          </cell>
          <cell r="H1903">
            <v>1260</v>
          </cell>
          <cell r="I1903" t="str">
            <v>D</v>
          </cell>
          <cell r="J1903" t="e">
            <v>#N/A</v>
          </cell>
        </row>
        <row r="1904">
          <cell r="A1904">
            <v>10789</v>
          </cell>
          <cell r="B1904" t="str">
            <v>4.1.01.010</v>
          </cell>
          <cell r="C1904" t="str">
            <v xml:space="preserve"> SERVICOS  MEDICOS</v>
          </cell>
          <cell r="D1904">
            <v>6721512.8300000001</v>
          </cell>
          <cell r="E1904">
            <v>3544483.24</v>
          </cell>
          <cell r="F1904">
            <v>15967.67</v>
          </cell>
          <cell r="G1904">
            <v>3528515.57</v>
          </cell>
          <cell r="H1904">
            <v>10250028.4</v>
          </cell>
          <cell r="I1904" t="str">
            <v>D</v>
          </cell>
          <cell r="J1904" t="e">
            <v>#N/A</v>
          </cell>
        </row>
        <row r="1905">
          <cell r="A1905">
            <v>51288</v>
          </cell>
          <cell r="B1905" t="str">
            <v>4.1.01.010.0001</v>
          </cell>
          <cell r="C1905" t="str">
            <v>DESPESAS AMBULATORIAIS</v>
          </cell>
          <cell r="D1905">
            <v>1394509.81</v>
          </cell>
          <cell r="E1905">
            <v>815248</v>
          </cell>
          <cell r="F1905">
            <v>0</v>
          </cell>
          <cell r="G1905">
            <v>815248</v>
          </cell>
          <cell r="H1905">
            <v>2209757.81</v>
          </cell>
          <cell r="I1905" t="str">
            <v>D</v>
          </cell>
          <cell r="J1905">
            <v>51288</v>
          </cell>
        </row>
        <row r="1906">
          <cell r="A1906">
            <v>51761</v>
          </cell>
          <cell r="B1906" t="str">
            <v>4.1.01.010.0002</v>
          </cell>
          <cell r="C1906" t="str">
            <v xml:space="preserve">DESPESAS DE </v>
          </cell>
          <cell r="D1906">
            <v>27404</v>
          </cell>
          <cell r="E1906">
            <v>9302</v>
          </cell>
          <cell r="F1906">
            <v>0</v>
          </cell>
          <cell r="G1906">
            <v>9302</v>
          </cell>
          <cell r="H1906">
            <v>36706</v>
          </cell>
          <cell r="I1906" t="str">
            <v>D</v>
          </cell>
          <cell r="J1906">
            <v>51761</v>
          </cell>
        </row>
        <row r="1907">
          <cell r="A1907">
            <v>51014</v>
          </cell>
          <cell r="B1907" t="str">
            <v>4.1.01.010.0003</v>
          </cell>
          <cell r="C1907" t="str">
            <v>PLANTAO DISPONIBILIDADE</v>
          </cell>
          <cell r="D1907">
            <v>461427.29</v>
          </cell>
          <cell r="E1907">
            <v>241243.22</v>
          </cell>
          <cell r="F1907">
            <v>0</v>
          </cell>
          <cell r="G1907">
            <v>241243.22</v>
          </cell>
          <cell r="H1907">
            <v>702670.51</v>
          </cell>
          <cell r="I1907" t="str">
            <v>D</v>
          </cell>
          <cell r="J1907">
            <v>51014</v>
          </cell>
        </row>
        <row r="1908">
          <cell r="A1908">
            <v>51019</v>
          </cell>
          <cell r="B1908" t="str">
            <v>4.1.01.010.0004</v>
          </cell>
          <cell r="C1908" t="str">
            <v>PLANTAO INTERNISTAS</v>
          </cell>
          <cell r="D1908">
            <v>314121.59999999998</v>
          </cell>
          <cell r="E1908">
            <v>152222.39999999999</v>
          </cell>
          <cell r="F1908">
            <v>0</v>
          </cell>
          <cell r="G1908">
            <v>152222.39999999999</v>
          </cell>
          <cell r="H1908">
            <v>466344</v>
          </cell>
          <cell r="I1908" t="str">
            <v>D</v>
          </cell>
          <cell r="J1908">
            <v>51019</v>
          </cell>
        </row>
        <row r="1909">
          <cell r="A1909">
            <v>51020</v>
          </cell>
          <cell r="B1909" t="str">
            <v>4.1.01.010.0005</v>
          </cell>
          <cell r="C1909" t="str">
            <v>PLANTAO MATERNIDADE</v>
          </cell>
          <cell r="D1909">
            <v>286652</v>
          </cell>
          <cell r="E1909">
            <v>143563</v>
          </cell>
          <cell r="F1909">
            <v>0</v>
          </cell>
          <cell r="G1909">
            <v>143563</v>
          </cell>
          <cell r="H1909">
            <v>430215</v>
          </cell>
          <cell r="I1909" t="str">
            <v>D</v>
          </cell>
          <cell r="J1909">
            <v>51020</v>
          </cell>
        </row>
        <row r="1910">
          <cell r="A1910">
            <v>25044</v>
          </cell>
          <cell r="B1910" t="str">
            <v>4.1.01.010.0006</v>
          </cell>
          <cell r="C1910" t="str">
            <v xml:space="preserve">PLANTAO ORTOPEDIA </v>
          </cell>
          <cell r="D1910">
            <v>168514.88</v>
          </cell>
          <cell r="E1910">
            <v>93593.84</v>
          </cell>
          <cell r="F1910">
            <v>7000</v>
          </cell>
          <cell r="G1910">
            <v>86593.84</v>
          </cell>
          <cell r="H1910">
            <v>255108.72</v>
          </cell>
          <cell r="I1910" t="str">
            <v>D</v>
          </cell>
          <cell r="J1910">
            <v>25044</v>
          </cell>
        </row>
        <row r="1911">
          <cell r="A1911">
            <v>51012</v>
          </cell>
          <cell r="B1911" t="str">
            <v>4.1.01.010.0007</v>
          </cell>
          <cell r="C1911" t="str">
            <v>PLANTAO PA</v>
          </cell>
          <cell r="D1911">
            <v>887825.6</v>
          </cell>
          <cell r="E1911">
            <v>422488</v>
          </cell>
          <cell r="F1911">
            <v>0</v>
          </cell>
          <cell r="G1911">
            <v>422488</v>
          </cell>
          <cell r="H1911">
            <v>1310313.6000000001</v>
          </cell>
          <cell r="I1911" t="str">
            <v>D</v>
          </cell>
          <cell r="J1911">
            <v>51012</v>
          </cell>
        </row>
        <row r="1912">
          <cell r="A1912">
            <v>51010</v>
          </cell>
          <cell r="B1912" t="str">
            <v>4.1.01.010.0008</v>
          </cell>
          <cell r="C1912" t="str">
            <v>PLANTAO PEDIATRIA</v>
          </cell>
          <cell r="D1912">
            <v>362052</v>
          </cell>
          <cell r="E1912">
            <v>194050</v>
          </cell>
          <cell r="F1912">
            <v>0</v>
          </cell>
          <cell r="G1912">
            <v>194050</v>
          </cell>
          <cell r="H1912">
            <v>556102</v>
          </cell>
          <cell r="I1912" t="str">
            <v>D</v>
          </cell>
          <cell r="J1912">
            <v>51010</v>
          </cell>
        </row>
        <row r="1913">
          <cell r="A1913">
            <v>51011</v>
          </cell>
          <cell r="B1913" t="str">
            <v>4.1.01.010.0009</v>
          </cell>
          <cell r="C1913" t="str">
            <v>PLANTAO UTI NEO</v>
          </cell>
          <cell r="D1913">
            <v>588524</v>
          </cell>
          <cell r="E1913">
            <v>321545</v>
          </cell>
          <cell r="F1913">
            <v>0</v>
          </cell>
          <cell r="G1913">
            <v>321545</v>
          </cell>
          <cell r="H1913">
            <v>910069</v>
          </cell>
          <cell r="I1913" t="str">
            <v>D</v>
          </cell>
          <cell r="J1913">
            <v>51011</v>
          </cell>
        </row>
        <row r="1914">
          <cell r="A1914">
            <v>12202</v>
          </cell>
          <cell r="B1914" t="str">
            <v>4.1.01.010.0011</v>
          </cell>
          <cell r="C1914" t="str">
            <v xml:space="preserve">SERV PREST UNIDADE </v>
          </cell>
          <cell r="D1914">
            <v>220974.36</v>
          </cell>
          <cell r="E1914">
            <v>117440</v>
          </cell>
          <cell r="F1914">
            <v>0</v>
          </cell>
          <cell r="G1914">
            <v>117440</v>
          </cell>
          <cell r="H1914">
            <v>338414.36</v>
          </cell>
          <cell r="I1914" t="str">
            <v>D</v>
          </cell>
          <cell r="J1914">
            <v>12202</v>
          </cell>
        </row>
        <row r="1915">
          <cell r="A1915">
            <v>51819</v>
          </cell>
          <cell r="B1915" t="str">
            <v>4.1.01.010.0012</v>
          </cell>
          <cell r="C1915" t="str">
            <v>SERVICO DE DENSITOMETRIA</v>
          </cell>
          <cell r="D1915">
            <v>623.23</v>
          </cell>
          <cell r="E1915">
            <v>268.8</v>
          </cell>
          <cell r="F1915">
            <v>0</v>
          </cell>
          <cell r="G1915">
            <v>268.8</v>
          </cell>
          <cell r="H1915">
            <v>892.03</v>
          </cell>
          <cell r="I1915" t="str">
            <v>D</v>
          </cell>
          <cell r="J1915">
            <v>51819</v>
          </cell>
        </row>
        <row r="1916">
          <cell r="A1916">
            <v>51645</v>
          </cell>
          <cell r="B1916" t="str">
            <v>4.1.01.010.0013</v>
          </cell>
          <cell r="C1916" t="str">
            <v>SERVICOS DE IMAGEM</v>
          </cell>
          <cell r="D1916">
            <v>800</v>
          </cell>
          <cell r="E1916">
            <v>230</v>
          </cell>
          <cell r="F1916">
            <v>0</v>
          </cell>
          <cell r="G1916">
            <v>230</v>
          </cell>
          <cell r="H1916">
            <v>1030</v>
          </cell>
          <cell r="I1916" t="str">
            <v>D</v>
          </cell>
          <cell r="J1916">
            <v>51645</v>
          </cell>
        </row>
        <row r="1917">
          <cell r="A1917">
            <v>51820</v>
          </cell>
          <cell r="B1917" t="str">
            <v>4.1.01.010.0014</v>
          </cell>
          <cell r="C1917" t="str">
            <v>SERVICOS DE MAMOGRAFIA</v>
          </cell>
          <cell r="D1917">
            <v>2003.47</v>
          </cell>
          <cell r="E1917">
            <v>958.92</v>
          </cell>
          <cell r="F1917">
            <v>0</v>
          </cell>
          <cell r="G1917">
            <v>958.92</v>
          </cell>
          <cell r="H1917">
            <v>2962.39</v>
          </cell>
          <cell r="I1917" t="str">
            <v>D</v>
          </cell>
          <cell r="J1917">
            <v>51820</v>
          </cell>
        </row>
        <row r="1918">
          <cell r="A1918">
            <v>51822</v>
          </cell>
          <cell r="B1918" t="str">
            <v>4.1.01.010.0015</v>
          </cell>
          <cell r="C1918" t="str">
            <v xml:space="preserve">SERVICOS DE </v>
          </cell>
          <cell r="D1918">
            <v>192180.93</v>
          </cell>
          <cell r="E1918">
            <v>116718.87</v>
          </cell>
          <cell r="F1918">
            <v>0</v>
          </cell>
          <cell r="G1918">
            <v>116718.87</v>
          </cell>
          <cell r="H1918">
            <v>308899.8</v>
          </cell>
          <cell r="I1918" t="str">
            <v>D</v>
          </cell>
          <cell r="J1918">
            <v>51822</v>
          </cell>
        </row>
        <row r="1919">
          <cell r="A1919">
            <v>51821</v>
          </cell>
          <cell r="B1919" t="str">
            <v>4.1.01.010.0016</v>
          </cell>
          <cell r="C1919" t="str">
            <v xml:space="preserve">SERVICOS MEDICINA </v>
          </cell>
          <cell r="D1919">
            <v>6636.43</v>
          </cell>
          <cell r="E1919">
            <v>3275.41</v>
          </cell>
          <cell r="F1919">
            <v>0</v>
          </cell>
          <cell r="G1919">
            <v>3275.41</v>
          </cell>
          <cell r="H1919">
            <v>9911.84</v>
          </cell>
          <cell r="I1919" t="str">
            <v>D</v>
          </cell>
          <cell r="J1919">
            <v>51821</v>
          </cell>
        </row>
        <row r="1920">
          <cell r="A1920">
            <v>12229</v>
          </cell>
          <cell r="B1920" t="str">
            <v>4.1.01.010.0017</v>
          </cell>
          <cell r="C1920" t="str">
            <v xml:space="preserve">SERVICOS PRESTADOS NA </v>
          </cell>
          <cell r="D1920">
            <v>820300.05</v>
          </cell>
          <cell r="E1920">
            <v>420901.42</v>
          </cell>
          <cell r="F1920">
            <v>0</v>
          </cell>
          <cell r="G1920">
            <v>420901.42</v>
          </cell>
          <cell r="H1920">
            <v>1241201.47</v>
          </cell>
          <cell r="I1920" t="str">
            <v>D</v>
          </cell>
          <cell r="J1920">
            <v>12229</v>
          </cell>
        </row>
        <row r="1921">
          <cell r="A1921">
            <v>12230</v>
          </cell>
          <cell r="B1921" t="str">
            <v>4.1.01.010.0018</v>
          </cell>
          <cell r="C1921" t="str">
            <v xml:space="preserve">SERVICOS RADIOLOGICOS </v>
          </cell>
          <cell r="D1921">
            <v>35559.949999999997</v>
          </cell>
          <cell r="E1921">
            <v>17637.259999999998</v>
          </cell>
          <cell r="F1921">
            <v>0</v>
          </cell>
          <cell r="G1921">
            <v>17637.259999999998</v>
          </cell>
          <cell r="H1921">
            <v>53197.21</v>
          </cell>
          <cell r="I1921" t="str">
            <v>D</v>
          </cell>
          <cell r="J1921">
            <v>12230</v>
          </cell>
        </row>
        <row r="1922">
          <cell r="A1922">
            <v>33765</v>
          </cell>
          <cell r="B1922" t="str">
            <v>4.1.01.010.0019</v>
          </cell>
          <cell r="C1922" t="str">
            <v xml:space="preserve">SERVICOS REMOCAO DE </v>
          </cell>
          <cell r="D1922">
            <v>400</v>
          </cell>
          <cell r="E1922">
            <v>0</v>
          </cell>
          <cell r="F1922">
            <v>0</v>
          </cell>
          <cell r="G1922">
            <v>0</v>
          </cell>
          <cell r="H1922">
            <v>400</v>
          </cell>
          <cell r="I1922" t="str">
            <v>D</v>
          </cell>
          <cell r="J1922">
            <v>33765</v>
          </cell>
        </row>
        <row r="1923">
          <cell r="A1923">
            <v>51013</v>
          </cell>
          <cell r="B1923" t="str">
            <v>4.1.01.010.0021</v>
          </cell>
          <cell r="C1923" t="str">
            <v>TRANSPLANTE DE FIGADO</v>
          </cell>
          <cell r="D1923">
            <v>14648.9</v>
          </cell>
          <cell r="E1923">
            <v>7424.45</v>
          </cell>
          <cell r="F1923">
            <v>0</v>
          </cell>
          <cell r="G1923">
            <v>7424.45</v>
          </cell>
          <cell r="H1923">
            <v>22073.35</v>
          </cell>
          <cell r="I1923" t="str">
            <v>D</v>
          </cell>
          <cell r="J1923">
            <v>51013</v>
          </cell>
        </row>
        <row r="1924">
          <cell r="A1924">
            <v>12204</v>
          </cell>
          <cell r="B1924" t="str">
            <v>4.1.01.010.0022</v>
          </cell>
          <cell r="C1924" t="str">
            <v xml:space="preserve">SERVICO DE EXAMES </v>
          </cell>
          <cell r="D1924">
            <v>5388.21</v>
          </cell>
          <cell r="E1924">
            <v>3120.83</v>
          </cell>
          <cell r="F1924">
            <v>0</v>
          </cell>
          <cell r="G1924">
            <v>3120.83</v>
          </cell>
          <cell r="H1924">
            <v>8509.0400000000009</v>
          </cell>
          <cell r="I1924" t="str">
            <v>D</v>
          </cell>
          <cell r="J1924">
            <v>12204</v>
          </cell>
        </row>
        <row r="1925">
          <cell r="A1925">
            <v>12207</v>
          </cell>
          <cell r="B1925" t="str">
            <v>4.1.01.010.0023</v>
          </cell>
          <cell r="C1925" t="str">
            <v xml:space="preserve">SERVICO DE RESSONANCIA </v>
          </cell>
          <cell r="D1925">
            <v>25143.87</v>
          </cell>
          <cell r="E1925">
            <v>10631.02</v>
          </cell>
          <cell r="F1925">
            <v>0</v>
          </cell>
          <cell r="G1925">
            <v>10631.02</v>
          </cell>
          <cell r="H1925">
            <v>35774.89</v>
          </cell>
          <cell r="I1925" t="str">
            <v>D</v>
          </cell>
          <cell r="J1925">
            <v>12207</v>
          </cell>
        </row>
        <row r="1926">
          <cell r="A1926">
            <v>12222</v>
          </cell>
          <cell r="B1926" t="str">
            <v>4.1.01.010.0024</v>
          </cell>
          <cell r="C1926" t="str">
            <v xml:space="preserve">SERVICOS REMOCAO DE </v>
          </cell>
          <cell r="D1926">
            <v>6729.41</v>
          </cell>
          <cell r="E1926">
            <v>0</v>
          </cell>
          <cell r="F1926">
            <v>0</v>
          </cell>
          <cell r="G1926">
            <v>0</v>
          </cell>
          <cell r="H1926">
            <v>6729.41</v>
          </cell>
          <cell r="I1926" t="str">
            <v>D</v>
          </cell>
          <cell r="J1926">
            <v>12222</v>
          </cell>
        </row>
        <row r="1927">
          <cell r="A1927">
            <v>12231</v>
          </cell>
          <cell r="B1927" t="str">
            <v>4.1.01.010.0027</v>
          </cell>
          <cell r="C1927" t="str">
            <v xml:space="preserve">SERVICOS TOMOGRAFIA  - </v>
          </cell>
          <cell r="D1927">
            <v>84510.81</v>
          </cell>
          <cell r="E1927">
            <v>29037.01</v>
          </cell>
          <cell r="F1927">
            <v>8951.39</v>
          </cell>
          <cell r="G1927">
            <v>20085.62</v>
          </cell>
          <cell r="H1927">
            <v>104596.43</v>
          </cell>
          <cell r="I1927" t="str">
            <v>D</v>
          </cell>
          <cell r="J1927">
            <v>12231</v>
          </cell>
        </row>
        <row r="1928">
          <cell r="A1928">
            <v>52230</v>
          </cell>
          <cell r="B1928" t="str">
            <v>4.1.01.010.0028</v>
          </cell>
          <cell r="C1928" t="str">
            <v>SERVICOS DERMATOLOGICOS</v>
          </cell>
          <cell r="D1928">
            <v>136778</v>
          </cell>
          <cell r="E1928">
            <v>13120</v>
          </cell>
          <cell r="F1928">
            <v>0</v>
          </cell>
          <cell r="G1928">
            <v>13120</v>
          </cell>
          <cell r="H1928">
            <v>149898</v>
          </cell>
          <cell r="I1928" t="str">
            <v>D</v>
          </cell>
          <cell r="J1928">
            <v>52230</v>
          </cell>
        </row>
        <row r="1929">
          <cell r="A1929">
            <v>52563</v>
          </cell>
          <cell r="B1929" t="str">
            <v>4.1.01.010.0029</v>
          </cell>
          <cell r="C1929" t="str">
            <v xml:space="preserve">SERVICO DE  CIRURGIA </v>
          </cell>
          <cell r="D1929">
            <v>35812</v>
          </cell>
          <cell r="E1929">
            <v>18086</v>
          </cell>
          <cell r="F1929">
            <v>0</v>
          </cell>
          <cell r="G1929">
            <v>18086</v>
          </cell>
          <cell r="H1929">
            <v>53898</v>
          </cell>
          <cell r="I1929" t="str">
            <v>D</v>
          </cell>
          <cell r="J1929">
            <v>52563</v>
          </cell>
        </row>
        <row r="1930">
          <cell r="A1930">
            <v>51641</v>
          </cell>
          <cell r="B1930" t="str">
            <v>4.1.01.010.0030</v>
          </cell>
          <cell r="C1930" t="str">
            <v xml:space="preserve">SERVICOS MEDICOS </v>
          </cell>
          <cell r="D1930">
            <v>163975.39000000001</v>
          </cell>
          <cell r="E1930">
            <v>105659.65</v>
          </cell>
          <cell r="F1930">
            <v>0</v>
          </cell>
          <cell r="G1930">
            <v>105659.65</v>
          </cell>
          <cell r="H1930">
            <v>269635.03999999998</v>
          </cell>
          <cell r="I1930" t="str">
            <v>D</v>
          </cell>
          <cell r="J1930">
            <v>51641</v>
          </cell>
        </row>
        <row r="1931">
          <cell r="A1931">
            <v>12889</v>
          </cell>
          <cell r="B1931" t="str">
            <v>4.1.01.010.0032</v>
          </cell>
          <cell r="C1931" t="str">
            <v xml:space="preserve">SERVICOS MEDICOS  </v>
          </cell>
          <cell r="D1931">
            <v>1748.11</v>
          </cell>
          <cell r="E1931">
            <v>878.38</v>
          </cell>
          <cell r="F1931">
            <v>16.28</v>
          </cell>
          <cell r="G1931">
            <v>862.1</v>
          </cell>
          <cell r="H1931">
            <v>2610.21</v>
          </cell>
          <cell r="I1931" t="str">
            <v>D</v>
          </cell>
          <cell r="J1931">
            <v>12889</v>
          </cell>
        </row>
        <row r="1932">
          <cell r="A1932">
            <v>12193</v>
          </cell>
          <cell r="B1932" t="str">
            <v>4.1.01.010.0034</v>
          </cell>
          <cell r="C1932" t="str">
            <v xml:space="preserve">SERV DE </v>
          </cell>
          <cell r="D1932">
            <v>580</v>
          </cell>
          <cell r="E1932">
            <v>520</v>
          </cell>
          <cell r="F1932">
            <v>0</v>
          </cell>
          <cell r="G1932">
            <v>520</v>
          </cell>
          <cell r="H1932">
            <v>1100</v>
          </cell>
          <cell r="I1932" t="str">
            <v>D</v>
          </cell>
          <cell r="J1932">
            <v>12193</v>
          </cell>
        </row>
        <row r="1933">
          <cell r="A1933">
            <v>53920</v>
          </cell>
          <cell r="B1933" t="str">
            <v>4.1.01.010.0037</v>
          </cell>
          <cell r="C1933" t="str">
            <v xml:space="preserve">SERVICOS DE CIRURGIA </v>
          </cell>
          <cell r="D1933">
            <v>22000</v>
          </cell>
          <cell r="E1933">
            <v>11000</v>
          </cell>
          <cell r="F1933">
            <v>0</v>
          </cell>
          <cell r="G1933">
            <v>11000</v>
          </cell>
          <cell r="H1933">
            <v>33000</v>
          </cell>
          <cell r="I1933" t="str">
            <v>D</v>
          </cell>
          <cell r="J1933">
            <v>53920</v>
          </cell>
        </row>
        <row r="1934">
          <cell r="A1934">
            <v>53921</v>
          </cell>
          <cell r="B1934" t="str">
            <v>4.1.01.010.0038</v>
          </cell>
          <cell r="C1934" t="str">
            <v xml:space="preserve">SERVICOS DE CIRURGIA </v>
          </cell>
          <cell r="D1934">
            <v>18014</v>
          </cell>
          <cell r="E1934">
            <v>18016</v>
          </cell>
          <cell r="F1934">
            <v>0</v>
          </cell>
          <cell r="G1934">
            <v>18016</v>
          </cell>
          <cell r="H1934">
            <v>36030</v>
          </cell>
          <cell r="I1934" t="str">
            <v>D</v>
          </cell>
          <cell r="J1934">
            <v>53921</v>
          </cell>
        </row>
        <row r="1935">
          <cell r="A1935">
            <v>54162</v>
          </cell>
          <cell r="B1935" t="str">
            <v>4.1.01.010.0041</v>
          </cell>
          <cell r="C1935" t="str">
            <v xml:space="preserve">SERVIÇOS DE </v>
          </cell>
          <cell r="D1935">
            <v>39780.44</v>
          </cell>
          <cell r="E1935">
            <v>29577.599999999999</v>
          </cell>
          <cell r="F1935">
            <v>0</v>
          </cell>
          <cell r="G1935">
            <v>29577.599999999999</v>
          </cell>
          <cell r="H1935">
            <v>69358.039999999994</v>
          </cell>
          <cell r="I1935" t="str">
            <v>D</v>
          </cell>
          <cell r="J1935">
            <v>54162</v>
          </cell>
        </row>
        <row r="1936">
          <cell r="A1936">
            <v>54391</v>
          </cell>
          <cell r="B1936" t="str">
            <v>4.1.01.010.0042</v>
          </cell>
          <cell r="C1936" t="str">
            <v xml:space="preserve">SERVIÇOS DE RESIDENCIA </v>
          </cell>
          <cell r="D1936">
            <v>178274.08</v>
          </cell>
          <cell r="E1936">
            <v>94956.160000000003</v>
          </cell>
          <cell r="F1936">
            <v>0</v>
          </cell>
          <cell r="G1936">
            <v>94956.160000000003</v>
          </cell>
          <cell r="H1936">
            <v>273230.24</v>
          </cell>
          <cell r="I1936" t="str">
            <v>D</v>
          </cell>
          <cell r="J1936">
            <v>54391</v>
          </cell>
        </row>
        <row r="1937">
          <cell r="A1937">
            <v>54448</v>
          </cell>
          <cell r="B1937" t="str">
            <v>4.1.01.010.0043</v>
          </cell>
          <cell r="C1937" t="str">
            <v xml:space="preserve">SERVICOS ONCOLOGIA </v>
          </cell>
          <cell r="D1937">
            <v>9450</v>
          </cell>
          <cell r="E1937">
            <v>6500</v>
          </cell>
          <cell r="F1937">
            <v>0</v>
          </cell>
          <cell r="G1937">
            <v>6500</v>
          </cell>
          <cell r="H1937">
            <v>15950</v>
          </cell>
          <cell r="I1937" t="str">
            <v>D</v>
          </cell>
          <cell r="J1937">
            <v>54448</v>
          </cell>
        </row>
        <row r="1938">
          <cell r="A1938">
            <v>54956</v>
          </cell>
          <cell r="B1938" t="str">
            <v>4.1.01.010.0045</v>
          </cell>
          <cell r="C1938" t="str">
            <v xml:space="preserve">PLANTÃO INTERNISTAS - </v>
          </cell>
          <cell r="D1938">
            <v>19470</v>
          </cell>
          <cell r="E1938">
            <v>10230</v>
          </cell>
          <cell r="F1938">
            <v>0</v>
          </cell>
          <cell r="G1938">
            <v>10230</v>
          </cell>
          <cell r="H1938">
            <v>29700</v>
          </cell>
          <cell r="I1938" t="str">
            <v>D</v>
          </cell>
          <cell r="J1938">
            <v>54956</v>
          </cell>
        </row>
        <row r="1939">
          <cell r="A1939">
            <v>54957</v>
          </cell>
          <cell r="B1939" t="str">
            <v>4.1.01.010.0046</v>
          </cell>
          <cell r="C1939" t="str">
            <v>TRANSPLANTE DE RIM</v>
          </cell>
          <cell r="D1939">
            <v>22200.01</v>
          </cell>
          <cell r="E1939">
            <v>2000</v>
          </cell>
          <cell r="F1939">
            <v>0</v>
          </cell>
          <cell r="G1939">
            <v>2000</v>
          </cell>
          <cell r="H1939">
            <v>24200.01</v>
          </cell>
          <cell r="I1939" t="str">
            <v>D</v>
          </cell>
          <cell r="J1939">
            <v>54957</v>
          </cell>
        </row>
        <row r="1940">
          <cell r="A1940">
            <v>55229</v>
          </cell>
          <cell r="B1940" t="str">
            <v>4.1.01.010.0049</v>
          </cell>
          <cell r="C1940" t="str">
            <v xml:space="preserve">SERVIÇO DE INTERNATO </v>
          </cell>
          <cell r="D1940">
            <v>139920</v>
          </cell>
          <cell r="E1940">
            <v>106920</v>
          </cell>
          <cell r="F1940">
            <v>0</v>
          </cell>
          <cell r="G1940">
            <v>106920</v>
          </cell>
          <cell r="H1940">
            <v>246840</v>
          </cell>
          <cell r="I1940" t="str">
            <v>D</v>
          </cell>
          <cell r="J1940">
            <v>55229</v>
          </cell>
        </row>
        <row r="1941">
          <cell r="A1941">
            <v>55277</v>
          </cell>
          <cell r="B1941" t="str">
            <v>4.1.01.010.0050</v>
          </cell>
          <cell r="C1941" t="str">
            <v xml:space="preserve">SERVIÇOS CUIDADOS </v>
          </cell>
          <cell r="D1941">
            <v>26580</v>
          </cell>
          <cell r="E1941">
            <v>6120</v>
          </cell>
          <cell r="F1941">
            <v>0</v>
          </cell>
          <cell r="G1941">
            <v>6120</v>
          </cell>
          <cell r="H1941">
            <v>32700</v>
          </cell>
          <cell r="I1941" t="str">
            <v>D</v>
          </cell>
          <cell r="J1941">
            <v>55277</v>
          </cell>
        </row>
        <row r="1942">
          <cell r="A1942">
            <v>53069</v>
          </cell>
          <cell r="B1942" t="str">
            <v>4.1.01.011</v>
          </cell>
          <cell r="C1942" t="str">
            <v>SERVICOS DE TERCEIROS</v>
          </cell>
          <cell r="D1942">
            <v>1881323.36</v>
          </cell>
          <cell r="E1942">
            <v>1010763.43</v>
          </cell>
          <cell r="F1942">
            <v>64781.21</v>
          </cell>
          <cell r="G1942">
            <v>945982.22</v>
          </cell>
          <cell r="H1942">
            <v>2827305.58</v>
          </cell>
          <cell r="I1942" t="str">
            <v>D</v>
          </cell>
          <cell r="J1942" t="e">
            <v>#N/A</v>
          </cell>
        </row>
        <row r="1943">
          <cell r="A1943">
            <v>12899</v>
          </cell>
          <cell r="B1943" t="str">
            <v>4.1.01.011.0001</v>
          </cell>
          <cell r="C1943" t="str">
            <v xml:space="preserve">SERVICOS DE HEMODIALISE - </v>
          </cell>
          <cell r="D1943">
            <v>1811516.48</v>
          </cell>
          <cell r="E1943">
            <v>992807.99</v>
          </cell>
          <cell r="F1943">
            <v>64781.21</v>
          </cell>
          <cell r="G1943">
            <v>928026.78</v>
          </cell>
          <cell r="H1943">
            <v>2739543.26</v>
          </cell>
          <cell r="I1943" t="str">
            <v>D</v>
          </cell>
          <cell r="J1943">
            <v>12899</v>
          </cell>
        </row>
        <row r="1944">
          <cell r="A1944">
            <v>12226</v>
          </cell>
          <cell r="B1944" t="str">
            <v>4.1.01.011.0002</v>
          </cell>
          <cell r="C1944" t="str">
            <v xml:space="preserve">SERVICOS LABORATORIAIS - </v>
          </cell>
          <cell r="D1944">
            <v>69806.880000000005</v>
          </cell>
          <cell r="E1944">
            <v>17955.439999999999</v>
          </cell>
          <cell r="F1944">
            <v>0</v>
          </cell>
          <cell r="G1944">
            <v>17955.439999999999</v>
          </cell>
          <cell r="H1944">
            <v>87762.32</v>
          </cell>
          <cell r="I1944" t="str">
            <v>D</v>
          </cell>
          <cell r="J1944">
            <v>12226</v>
          </cell>
        </row>
        <row r="1945">
          <cell r="A1945">
            <v>38908</v>
          </cell>
          <cell r="B1945" t="str">
            <v>4.1.01.012</v>
          </cell>
          <cell r="C1945" t="str">
            <v xml:space="preserve">(-) RECUPERACAO DE </v>
          </cell>
          <cell r="D1945">
            <v>-161545.9</v>
          </cell>
          <cell r="E1945">
            <v>0</v>
          </cell>
          <cell r="F1945">
            <v>86684.56</v>
          </cell>
          <cell r="G1945">
            <v>-86684.56</v>
          </cell>
          <cell r="H1945">
            <v>-248230.46</v>
          </cell>
          <cell r="I1945" t="str">
            <v>C</v>
          </cell>
          <cell r="J1945" t="e">
            <v>#N/A</v>
          </cell>
        </row>
        <row r="1946">
          <cell r="A1946">
            <v>33248</v>
          </cell>
          <cell r="B1946" t="str">
            <v>4.1.01.012.0003</v>
          </cell>
          <cell r="C1946" t="str">
            <v xml:space="preserve">(-)RECUPERACAO DE </v>
          </cell>
          <cell r="D1946">
            <v>-161545.9</v>
          </cell>
          <cell r="E1946">
            <v>0</v>
          </cell>
          <cell r="F1946">
            <v>86684.56</v>
          </cell>
          <cell r="G1946">
            <v>-86684.56</v>
          </cell>
          <cell r="H1946">
            <v>-248230.46</v>
          </cell>
          <cell r="I1946" t="str">
            <v>C</v>
          </cell>
          <cell r="J1946">
            <v>33248</v>
          </cell>
        </row>
        <row r="1947">
          <cell r="A1947">
            <v>33261</v>
          </cell>
          <cell r="B1947" t="str">
            <v>4.1.01.013</v>
          </cell>
          <cell r="C1947" t="str">
            <v xml:space="preserve">PROVISOES PARA PERDAS </v>
          </cell>
          <cell r="D1947">
            <v>250000</v>
          </cell>
          <cell r="E1947">
            <v>250000</v>
          </cell>
          <cell r="F1947">
            <v>0</v>
          </cell>
          <cell r="G1947">
            <v>250000</v>
          </cell>
          <cell r="H1947">
            <v>500000</v>
          </cell>
          <cell r="I1947" t="str">
            <v>D</v>
          </cell>
          <cell r="J1947" t="e">
            <v>#N/A</v>
          </cell>
        </row>
        <row r="1948">
          <cell r="A1948">
            <v>33263</v>
          </cell>
          <cell r="B1948" t="str">
            <v>4.1.01.013.0001</v>
          </cell>
          <cell r="C1948" t="str">
            <v xml:space="preserve">PROVISOES PARA PERDAS </v>
          </cell>
          <cell r="D1948">
            <v>250000</v>
          </cell>
          <cell r="E1948">
            <v>250000</v>
          </cell>
          <cell r="F1948">
            <v>0</v>
          </cell>
          <cell r="G1948">
            <v>250000</v>
          </cell>
          <cell r="H1948">
            <v>500000</v>
          </cell>
          <cell r="I1948" t="str">
            <v>D</v>
          </cell>
          <cell r="J1948">
            <v>33263</v>
          </cell>
        </row>
        <row r="1949">
          <cell r="A1949">
            <v>54492</v>
          </cell>
          <cell r="B1949" t="str">
            <v>4.1.01.014</v>
          </cell>
          <cell r="C1949" t="str">
            <v>SERVICOS REPASSE</v>
          </cell>
          <cell r="D1949">
            <v>182707.22</v>
          </cell>
          <cell r="E1949">
            <v>102120.09</v>
          </cell>
          <cell r="F1949">
            <v>1304.98</v>
          </cell>
          <cell r="G1949">
            <v>100815.11</v>
          </cell>
          <cell r="H1949">
            <v>283522.33</v>
          </cell>
          <cell r="I1949" t="str">
            <v>D</v>
          </cell>
          <cell r="J1949" t="e">
            <v>#N/A</v>
          </cell>
        </row>
        <row r="1950">
          <cell r="A1950">
            <v>54493</v>
          </cell>
          <cell r="B1950" t="str">
            <v>4.1.01.014.0001</v>
          </cell>
          <cell r="C1950" t="str">
            <v>SERVICOS REPASSE</v>
          </cell>
          <cell r="D1950">
            <v>182707.22</v>
          </cell>
          <cell r="E1950">
            <v>102120.09</v>
          </cell>
          <cell r="F1950">
            <v>1304.98</v>
          </cell>
          <cell r="G1950">
            <v>100815.11</v>
          </cell>
          <cell r="H1950">
            <v>283522.33</v>
          </cell>
          <cell r="I1950" t="str">
            <v>D</v>
          </cell>
          <cell r="J1950">
            <v>54493</v>
          </cell>
        </row>
        <row r="1951">
          <cell r="A1951">
            <v>11281</v>
          </cell>
          <cell r="B1951" t="str">
            <v>4.1.01.020</v>
          </cell>
          <cell r="C1951" t="str">
            <v xml:space="preserve">SALARIOS </v>
          </cell>
          <cell r="D1951">
            <v>8228438.9900000002</v>
          </cell>
          <cell r="E1951">
            <v>4359945.5599999996</v>
          </cell>
          <cell r="F1951">
            <v>164211.04</v>
          </cell>
          <cell r="G1951">
            <v>4195734.5199999996</v>
          </cell>
          <cell r="H1951">
            <v>12424173.51</v>
          </cell>
          <cell r="I1951" t="str">
            <v>D</v>
          </cell>
          <cell r="J1951" t="e">
            <v>#N/A</v>
          </cell>
        </row>
        <row r="1952">
          <cell r="A1952">
            <v>11298</v>
          </cell>
          <cell r="B1952" t="str">
            <v>4.1.01.020.0001</v>
          </cell>
          <cell r="C1952" t="str">
            <v xml:space="preserve">SALARIOS E ORDENADOS </v>
          </cell>
          <cell r="D1952">
            <v>7156989.2699999996</v>
          </cell>
          <cell r="E1952">
            <v>3837414.45</v>
          </cell>
          <cell r="F1952">
            <v>149211.04</v>
          </cell>
          <cell r="G1952">
            <v>3688203.41</v>
          </cell>
          <cell r="H1952">
            <v>10845192.68</v>
          </cell>
          <cell r="I1952" t="str">
            <v>D</v>
          </cell>
          <cell r="J1952">
            <v>11298</v>
          </cell>
        </row>
        <row r="1953">
          <cell r="A1953">
            <v>11304</v>
          </cell>
          <cell r="B1953" t="str">
            <v>4.1.01.020.0002</v>
          </cell>
          <cell r="C1953" t="str">
            <v xml:space="preserve">SERVICOS EXTRAORDINARIOS </v>
          </cell>
          <cell r="D1953">
            <v>187270.49</v>
          </cell>
          <cell r="E1953">
            <v>52222.1</v>
          </cell>
          <cell r="F1953">
            <v>0</v>
          </cell>
          <cell r="G1953">
            <v>52222.1</v>
          </cell>
          <cell r="H1953">
            <v>239492.59</v>
          </cell>
          <cell r="I1953" t="str">
            <v>D</v>
          </cell>
          <cell r="J1953">
            <v>11304</v>
          </cell>
        </row>
        <row r="1954">
          <cell r="A1954">
            <v>11346</v>
          </cell>
          <cell r="B1954" t="str">
            <v>4.1.01.020.0003</v>
          </cell>
          <cell r="C1954" t="str">
            <v xml:space="preserve">ADICIONAL DE </v>
          </cell>
          <cell r="D1954">
            <v>776094.16</v>
          </cell>
          <cell r="E1954">
            <v>391729.81</v>
          </cell>
          <cell r="F1954">
            <v>0</v>
          </cell>
          <cell r="G1954">
            <v>391729.81</v>
          </cell>
          <cell r="H1954">
            <v>1167823.97</v>
          </cell>
          <cell r="I1954" t="str">
            <v>D</v>
          </cell>
          <cell r="J1954">
            <v>11346</v>
          </cell>
        </row>
        <row r="1955">
          <cell r="A1955">
            <v>12276</v>
          </cell>
          <cell r="B1955" t="str">
            <v>4.1.01.020.0004</v>
          </cell>
          <cell r="C1955" t="str">
            <v xml:space="preserve">DESPESA COM ESTAGIARIOS </v>
          </cell>
          <cell r="D1955">
            <v>10571.34</v>
          </cell>
          <cell r="E1955">
            <v>14048.72</v>
          </cell>
          <cell r="F1955">
            <v>0</v>
          </cell>
          <cell r="G1955">
            <v>14048.72</v>
          </cell>
          <cell r="H1955">
            <v>24620.06</v>
          </cell>
          <cell r="I1955" t="str">
            <v>D</v>
          </cell>
          <cell r="J1955">
            <v>12276</v>
          </cell>
        </row>
        <row r="1956">
          <cell r="A1956">
            <v>53468</v>
          </cell>
          <cell r="B1956" t="str">
            <v>4.1.01.020.0005</v>
          </cell>
          <cell r="C1956" t="str">
            <v>MERITOCRACIA - PGR</v>
          </cell>
          <cell r="D1956">
            <v>53783.34</v>
          </cell>
          <cell r="E1956">
            <v>49208.33</v>
          </cell>
          <cell r="F1956">
            <v>15000</v>
          </cell>
          <cell r="G1956">
            <v>34208.33</v>
          </cell>
          <cell r="H1956">
            <v>87991.67</v>
          </cell>
          <cell r="I1956" t="str">
            <v>D</v>
          </cell>
          <cell r="J1956">
            <v>53468</v>
          </cell>
        </row>
        <row r="1957">
          <cell r="A1957">
            <v>53469</v>
          </cell>
          <cell r="B1957" t="str">
            <v>4.1.01.020.0006</v>
          </cell>
          <cell r="C1957" t="str">
            <v>GRATIFICAÇÕES</v>
          </cell>
          <cell r="D1957">
            <v>43730.39</v>
          </cell>
          <cell r="E1957">
            <v>15322.15</v>
          </cell>
          <cell r="F1957">
            <v>0</v>
          </cell>
          <cell r="G1957">
            <v>15322.15</v>
          </cell>
          <cell r="H1957">
            <v>59052.54</v>
          </cell>
          <cell r="I1957" t="str">
            <v>D</v>
          </cell>
          <cell r="J1957">
            <v>53469</v>
          </cell>
        </row>
        <row r="1958">
          <cell r="A1958">
            <v>11348</v>
          </cell>
          <cell r="B1958" t="str">
            <v>4.1.01.030</v>
          </cell>
          <cell r="C1958" t="str">
            <v>INDENIZACOES</v>
          </cell>
          <cell r="D1958">
            <v>94227.98</v>
          </cell>
          <cell r="E1958">
            <v>24428.65</v>
          </cell>
          <cell r="F1958">
            <v>83</v>
          </cell>
          <cell r="G1958">
            <v>24345.65</v>
          </cell>
          <cell r="H1958">
            <v>118573.63</v>
          </cell>
          <cell r="I1958" t="str">
            <v>D</v>
          </cell>
          <cell r="J1958">
            <v>11348</v>
          </cell>
        </row>
        <row r="1959">
          <cell r="A1959">
            <v>11369</v>
          </cell>
          <cell r="B1959" t="str">
            <v>4.1.01.030.0003</v>
          </cell>
          <cell r="C1959" t="str">
            <v xml:space="preserve">INDENIZACOES </v>
          </cell>
          <cell r="D1959">
            <v>94227.98</v>
          </cell>
          <cell r="E1959">
            <v>24428.65</v>
          </cell>
          <cell r="F1959">
            <v>83</v>
          </cell>
          <cell r="G1959">
            <v>24345.65</v>
          </cell>
          <cell r="H1959">
            <v>118573.63</v>
          </cell>
          <cell r="I1959" t="str">
            <v>D</v>
          </cell>
          <cell r="J1959" t="e">
            <v>#N/A</v>
          </cell>
        </row>
        <row r="1960">
          <cell r="A1960">
            <v>38487</v>
          </cell>
          <cell r="B1960" t="str">
            <v>4.1.01.040</v>
          </cell>
          <cell r="C1960" t="str">
            <v>13º SALARIOS/FERIAS</v>
          </cell>
          <cell r="D1960">
            <v>1854004.54</v>
          </cell>
          <cell r="E1960">
            <v>908649.42</v>
          </cell>
          <cell r="F1960">
            <v>10030.44</v>
          </cell>
          <cell r="G1960">
            <v>898618.98</v>
          </cell>
          <cell r="H1960">
            <v>2752623.52</v>
          </cell>
          <cell r="I1960" t="str">
            <v>D</v>
          </cell>
          <cell r="J1960" t="e">
            <v>#N/A</v>
          </cell>
        </row>
        <row r="1961">
          <cell r="A1961">
            <v>11316</v>
          </cell>
          <cell r="B1961" t="str">
            <v>4.1.01.040.0001</v>
          </cell>
          <cell r="C1961" t="str">
            <v>13º SALARIO</v>
          </cell>
          <cell r="D1961">
            <v>920047.44</v>
          </cell>
          <cell r="E1961">
            <v>409467.57</v>
          </cell>
          <cell r="F1961">
            <v>0</v>
          </cell>
          <cell r="G1961">
            <v>409467.57</v>
          </cell>
          <cell r="H1961">
            <v>1329515.01</v>
          </cell>
          <cell r="I1961" t="str">
            <v>D</v>
          </cell>
          <cell r="J1961">
            <v>11316</v>
          </cell>
        </row>
        <row r="1962">
          <cell r="A1962">
            <v>11322</v>
          </cell>
          <cell r="B1962" t="str">
            <v>4.1.01.040.0002</v>
          </cell>
          <cell r="C1962" t="str">
            <v xml:space="preserve">FERIAS </v>
          </cell>
          <cell r="D1962">
            <v>933957.1</v>
          </cell>
          <cell r="E1962">
            <v>499181.85</v>
          </cell>
          <cell r="F1962">
            <v>10030.44</v>
          </cell>
          <cell r="G1962">
            <v>489151.41</v>
          </cell>
          <cell r="H1962">
            <v>1423108.51</v>
          </cell>
          <cell r="I1962" t="str">
            <v>D</v>
          </cell>
          <cell r="J1962">
            <v>11322</v>
          </cell>
        </row>
        <row r="1963">
          <cell r="A1963">
            <v>11377</v>
          </cell>
          <cell r="B1963" t="str">
            <v>4.1.01.050</v>
          </cell>
          <cell r="C1963" t="str">
            <v>ENCARGOS SOCIAIS</v>
          </cell>
          <cell r="D1963">
            <v>815704.08</v>
          </cell>
          <cell r="E1963">
            <v>402539.44</v>
          </cell>
          <cell r="F1963">
            <v>2602.83</v>
          </cell>
          <cell r="G1963">
            <v>399936.61</v>
          </cell>
          <cell r="H1963">
            <v>1215640.69</v>
          </cell>
          <cell r="I1963" t="str">
            <v>D</v>
          </cell>
          <cell r="J1963" t="e">
            <v>#N/A</v>
          </cell>
        </row>
        <row r="1964">
          <cell r="A1964">
            <v>11392</v>
          </cell>
          <cell r="B1964" t="str">
            <v>4.1.01.050.0002</v>
          </cell>
          <cell r="C1964" t="str">
            <v xml:space="preserve">FGTS </v>
          </cell>
          <cell r="D1964">
            <v>718838.04</v>
          </cell>
          <cell r="E1964">
            <v>387338.58</v>
          </cell>
          <cell r="F1964">
            <v>2602.83</v>
          </cell>
          <cell r="G1964">
            <v>384735.75</v>
          </cell>
          <cell r="H1964">
            <v>1103573.79</v>
          </cell>
          <cell r="I1964" t="str">
            <v>D</v>
          </cell>
          <cell r="J1964">
            <v>11392</v>
          </cell>
        </row>
        <row r="1965">
          <cell r="A1965">
            <v>36873</v>
          </cell>
          <cell r="B1965" t="str">
            <v>4.1.01.050.0003</v>
          </cell>
          <cell r="C1965" t="str">
            <v>FGTS - MULTA RESCISORIA</v>
          </cell>
          <cell r="D1965">
            <v>96866.04</v>
          </cell>
          <cell r="E1965">
            <v>15200.86</v>
          </cell>
          <cell r="F1965">
            <v>0</v>
          </cell>
          <cell r="G1965">
            <v>15200.86</v>
          </cell>
          <cell r="H1965">
            <v>112066.9</v>
          </cell>
          <cell r="I1965" t="str">
            <v>D</v>
          </cell>
          <cell r="J1965">
            <v>36873</v>
          </cell>
        </row>
        <row r="1966">
          <cell r="A1966">
            <v>11449</v>
          </cell>
          <cell r="B1966" t="str">
            <v>4.1.01.060</v>
          </cell>
          <cell r="C1966" t="str">
            <v>DESPESAS COM BENEFICIOS</v>
          </cell>
          <cell r="D1966">
            <v>1258413.04</v>
          </cell>
          <cell r="E1966">
            <v>663585.93000000005</v>
          </cell>
          <cell r="F1966">
            <v>21449.11</v>
          </cell>
          <cell r="G1966">
            <v>642136.81999999995</v>
          </cell>
          <cell r="H1966">
            <v>1900549.86</v>
          </cell>
          <cell r="I1966" t="str">
            <v>D</v>
          </cell>
          <cell r="J1966" t="e">
            <v>#N/A</v>
          </cell>
        </row>
        <row r="1967">
          <cell r="A1967">
            <v>11470</v>
          </cell>
          <cell r="B1967" t="str">
            <v>4.1.01.060.0001</v>
          </cell>
          <cell r="C1967" t="str">
            <v xml:space="preserve">ALIMENTACAO AO </v>
          </cell>
          <cell r="D1967">
            <v>756749.43</v>
          </cell>
          <cell r="E1967">
            <v>381027.97</v>
          </cell>
          <cell r="F1967">
            <v>12000</v>
          </cell>
          <cell r="G1967">
            <v>369027.97</v>
          </cell>
          <cell r="H1967">
            <v>1125777.3999999999</v>
          </cell>
          <cell r="I1967" t="str">
            <v>D</v>
          </cell>
          <cell r="J1967">
            <v>11470</v>
          </cell>
        </row>
        <row r="1968">
          <cell r="A1968">
            <v>11498</v>
          </cell>
          <cell r="B1968" t="str">
            <v>4.1.01.060.0002</v>
          </cell>
          <cell r="C1968" t="str">
            <v xml:space="preserve">AUXILIO CRECHE </v>
          </cell>
          <cell r="D1968">
            <v>27641.29</v>
          </cell>
          <cell r="E1968">
            <v>16048.26</v>
          </cell>
          <cell r="F1968">
            <v>2677.53</v>
          </cell>
          <cell r="G1968">
            <v>13370.73</v>
          </cell>
          <cell r="H1968">
            <v>41012.019999999997</v>
          </cell>
          <cell r="I1968" t="str">
            <v>D</v>
          </cell>
          <cell r="J1968">
            <v>11498</v>
          </cell>
        </row>
        <row r="1969">
          <cell r="A1969">
            <v>12320</v>
          </cell>
          <cell r="B1969" t="str">
            <v>4.1.01.060.0006</v>
          </cell>
          <cell r="C1969" t="str">
            <v>CURSOS/TREINAMENTOS/CON</v>
          </cell>
          <cell r="D1969">
            <v>14877.32</v>
          </cell>
          <cell r="E1969">
            <v>17992.66</v>
          </cell>
          <cell r="F1969">
            <v>0</v>
          </cell>
          <cell r="G1969">
            <v>17992.66</v>
          </cell>
          <cell r="H1969">
            <v>32869.980000000003</v>
          </cell>
          <cell r="I1969" t="str">
            <v>D</v>
          </cell>
          <cell r="J1969">
            <v>12320</v>
          </cell>
        </row>
        <row r="1970">
          <cell r="A1970">
            <v>11422</v>
          </cell>
          <cell r="B1970" t="str">
            <v>4.1.01.060.0009</v>
          </cell>
          <cell r="C1970" t="str">
            <v>SEGUROS</v>
          </cell>
          <cell r="D1970">
            <v>237.51</v>
          </cell>
          <cell r="E1970">
            <v>180.82</v>
          </cell>
          <cell r="F1970">
            <v>0</v>
          </cell>
          <cell r="G1970">
            <v>180.82</v>
          </cell>
          <cell r="H1970">
            <v>418.33</v>
          </cell>
          <cell r="I1970" t="str">
            <v>D</v>
          </cell>
          <cell r="J1970">
            <v>11422</v>
          </cell>
        </row>
        <row r="1971">
          <cell r="A1971">
            <v>11434</v>
          </cell>
          <cell r="B1971" t="str">
            <v>4.1.01.060.0010</v>
          </cell>
          <cell r="C1971" t="str">
            <v>UNIFORMES, EPI</v>
          </cell>
          <cell r="D1971">
            <v>94126</v>
          </cell>
          <cell r="E1971">
            <v>55953.52</v>
          </cell>
          <cell r="F1971">
            <v>6771.58</v>
          </cell>
          <cell r="G1971">
            <v>49181.94</v>
          </cell>
          <cell r="H1971">
            <v>143307.94</v>
          </cell>
          <cell r="I1971" t="str">
            <v>D</v>
          </cell>
          <cell r="J1971">
            <v>11434</v>
          </cell>
        </row>
        <row r="1972">
          <cell r="A1972">
            <v>11481</v>
          </cell>
          <cell r="B1972" t="str">
            <v>4.1.01.060.0011</v>
          </cell>
          <cell r="C1972" t="str">
            <v xml:space="preserve">VALE TRANSPORTE </v>
          </cell>
          <cell r="D1972">
            <v>322756.88</v>
          </cell>
          <cell r="E1972">
            <v>165260.21</v>
          </cell>
          <cell r="F1972">
            <v>0</v>
          </cell>
          <cell r="G1972">
            <v>165260.21</v>
          </cell>
          <cell r="H1972">
            <v>488017.09</v>
          </cell>
          <cell r="I1972" t="str">
            <v>D</v>
          </cell>
          <cell r="J1972">
            <v>11481</v>
          </cell>
        </row>
        <row r="1973">
          <cell r="A1973">
            <v>11416</v>
          </cell>
          <cell r="B1973" t="str">
            <v>4.1.01.060.0012</v>
          </cell>
          <cell r="C1973" t="str">
            <v xml:space="preserve">REFEICAO AO TRABALHADOR </v>
          </cell>
          <cell r="D1973">
            <v>27822.61</v>
          </cell>
          <cell r="E1973">
            <v>19760.490000000002</v>
          </cell>
          <cell r="F1973">
            <v>0</v>
          </cell>
          <cell r="G1973">
            <v>19760.490000000002</v>
          </cell>
          <cell r="H1973">
            <v>47583.1</v>
          </cell>
          <cell r="I1973" t="str">
            <v>D</v>
          </cell>
          <cell r="J1973">
            <v>11416</v>
          </cell>
        </row>
        <row r="1974">
          <cell r="A1974">
            <v>55262</v>
          </cell>
          <cell r="B1974" t="str">
            <v>4.1.01.060.0013</v>
          </cell>
          <cell r="C1974" t="str">
            <v>REFEICAO AO TRABALHADOR</v>
          </cell>
          <cell r="D1974">
            <v>14202</v>
          </cell>
          <cell r="E1974">
            <v>7362</v>
          </cell>
          <cell r="F1974">
            <v>0</v>
          </cell>
          <cell r="G1974">
            <v>7362</v>
          </cell>
          <cell r="H1974">
            <v>21564</v>
          </cell>
          <cell r="I1974" t="str">
            <v>D</v>
          </cell>
          <cell r="J1974">
            <v>55262</v>
          </cell>
        </row>
        <row r="1975">
          <cell r="A1975">
            <v>38465</v>
          </cell>
          <cell r="B1975" t="str">
            <v>4.1.02</v>
          </cell>
          <cell r="C1975" t="str">
            <v>INSUMOS</v>
          </cell>
          <cell r="D1975">
            <v>13608353.09</v>
          </cell>
          <cell r="E1975">
            <v>7316286.8799999999</v>
          </cell>
          <cell r="F1975">
            <v>573395.23</v>
          </cell>
          <cell r="G1975">
            <v>6742891.6500000004</v>
          </cell>
          <cell r="H1975">
            <v>20351244.739999998</v>
          </cell>
          <cell r="I1975" t="str">
            <v>D</v>
          </cell>
          <cell r="J1975" t="e">
            <v>#N/A</v>
          </cell>
        </row>
        <row r="1976">
          <cell r="A1976">
            <v>38466</v>
          </cell>
          <cell r="B1976" t="str">
            <v>4.1.02.010</v>
          </cell>
          <cell r="C1976" t="str">
            <v>INSUMOS</v>
          </cell>
          <cell r="D1976">
            <v>13608353.09</v>
          </cell>
          <cell r="E1976">
            <v>7316286.8799999999</v>
          </cell>
          <cell r="F1976">
            <v>573395.23</v>
          </cell>
          <cell r="G1976">
            <v>6742891.6500000004</v>
          </cell>
          <cell r="H1976">
            <v>20351244.739999998</v>
          </cell>
          <cell r="I1976" t="str">
            <v>D</v>
          </cell>
          <cell r="J1976" t="e">
            <v>#N/A</v>
          </cell>
        </row>
        <row r="1977">
          <cell r="A1977">
            <v>12328</v>
          </cell>
          <cell r="B1977" t="str">
            <v>4.1.02.010.0001</v>
          </cell>
          <cell r="C1977" t="str">
            <v xml:space="preserve">BAIXAS/PERDAS </v>
          </cell>
          <cell r="D1977">
            <v>13831.38</v>
          </cell>
          <cell r="E1977">
            <v>6022.73</v>
          </cell>
          <cell r="F1977">
            <v>0</v>
          </cell>
          <cell r="G1977">
            <v>6022.73</v>
          </cell>
          <cell r="H1977">
            <v>19854.11</v>
          </cell>
          <cell r="I1977" t="str">
            <v>D</v>
          </cell>
          <cell r="J1977">
            <v>12328</v>
          </cell>
        </row>
        <row r="1978">
          <cell r="A1978">
            <v>32497</v>
          </cell>
          <cell r="B1978" t="str">
            <v>4.1.02.010.0002</v>
          </cell>
          <cell r="C1978" t="str">
            <v xml:space="preserve">DIETA ENTERAL </v>
          </cell>
          <cell r="D1978">
            <v>213183.43</v>
          </cell>
          <cell r="E1978">
            <v>147745.85</v>
          </cell>
          <cell r="F1978">
            <v>27959.32</v>
          </cell>
          <cell r="G1978">
            <v>119786.53</v>
          </cell>
          <cell r="H1978">
            <v>332969.96000000002</v>
          </cell>
          <cell r="I1978" t="str">
            <v>D</v>
          </cell>
          <cell r="J1978">
            <v>32497</v>
          </cell>
        </row>
        <row r="1979">
          <cell r="A1979">
            <v>12869</v>
          </cell>
          <cell r="B1979" t="str">
            <v>4.1.02.010.0003</v>
          </cell>
          <cell r="C1979" t="str">
            <v xml:space="preserve">GASES MEDICINAIS </v>
          </cell>
          <cell r="D1979">
            <v>165395.01999999999</v>
          </cell>
          <cell r="E1979">
            <v>81577.100000000006</v>
          </cell>
          <cell r="F1979">
            <v>0</v>
          </cell>
          <cell r="G1979">
            <v>81577.100000000006</v>
          </cell>
          <cell r="H1979">
            <v>246972.12</v>
          </cell>
          <cell r="I1979" t="str">
            <v>D</v>
          </cell>
          <cell r="J1979">
            <v>12869</v>
          </cell>
        </row>
        <row r="1980">
          <cell r="A1980">
            <v>12338</v>
          </cell>
          <cell r="B1980" t="str">
            <v>4.1.02.010.0004</v>
          </cell>
          <cell r="C1980" t="str">
            <v xml:space="preserve">GENEROS ALIMENTICIOS </v>
          </cell>
          <cell r="D1980">
            <v>629447.80000000005</v>
          </cell>
          <cell r="E1980">
            <v>426272.62</v>
          </cell>
          <cell r="F1980">
            <v>1643.92</v>
          </cell>
          <cell r="G1980">
            <v>424628.7</v>
          </cell>
          <cell r="H1980">
            <v>1054076.5</v>
          </cell>
          <cell r="I1980" t="str">
            <v>D</v>
          </cell>
          <cell r="J1980">
            <v>12338</v>
          </cell>
        </row>
        <row r="1981">
          <cell r="A1981">
            <v>11605</v>
          </cell>
          <cell r="B1981" t="str">
            <v>4.1.02.010.0006</v>
          </cell>
          <cell r="C1981" t="str">
            <v xml:space="preserve">MAT EXPEDIENTE, IMPRES </v>
          </cell>
          <cell r="D1981">
            <v>174158.14</v>
          </cell>
          <cell r="E1981">
            <v>127369.88</v>
          </cell>
          <cell r="F1981">
            <v>0.05</v>
          </cell>
          <cell r="G1981">
            <v>127369.83</v>
          </cell>
          <cell r="H1981">
            <v>301527.96999999997</v>
          </cell>
          <cell r="I1981" t="str">
            <v>D</v>
          </cell>
          <cell r="J1981">
            <v>11605</v>
          </cell>
        </row>
        <row r="1982">
          <cell r="A1982">
            <v>12299</v>
          </cell>
          <cell r="B1982" t="str">
            <v>4.1.02.010.0007</v>
          </cell>
          <cell r="C1982" t="str">
            <v xml:space="preserve">MATERIAIS DE CONSUMO </v>
          </cell>
          <cell r="D1982">
            <v>1576176.7</v>
          </cell>
          <cell r="E1982">
            <v>1161801.95</v>
          </cell>
          <cell r="F1982">
            <v>258898.7</v>
          </cell>
          <cell r="G1982">
            <v>902903.25</v>
          </cell>
          <cell r="H1982">
            <v>2479079.9500000002</v>
          </cell>
          <cell r="I1982" t="str">
            <v>D</v>
          </cell>
          <cell r="J1982">
            <v>12299</v>
          </cell>
        </row>
        <row r="1983">
          <cell r="A1983">
            <v>12297</v>
          </cell>
          <cell r="B1983" t="str">
            <v>4.1.02.010.0008</v>
          </cell>
          <cell r="C1983" t="str">
            <v xml:space="preserve">MATERIAIS DESCARTAVEIS </v>
          </cell>
          <cell r="D1983">
            <v>112882.03</v>
          </cell>
          <cell r="E1983">
            <v>65569.259999999995</v>
          </cell>
          <cell r="F1983">
            <v>432.63</v>
          </cell>
          <cell r="G1983">
            <v>65136.63</v>
          </cell>
          <cell r="H1983">
            <v>178018.66</v>
          </cell>
          <cell r="I1983" t="str">
            <v>D</v>
          </cell>
          <cell r="J1983">
            <v>12297</v>
          </cell>
        </row>
        <row r="1984">
          <cell r="A1984">
            <v>12303</v>
          </cell>
          <cell r="B1984" t="str">
            <v>4.1.02.010.0009</v>
          </cell>
          <cell r="C1984" t="str">
            <v xml:space="preserve">MATERIAL DE INFORMATICA </v>
          </cell>
          <cell r="D1984">
            <v>16742.080000000002</v>
          </cell>
          <cell r="E1984">
            <v>5046.1000000000004</v>
          </cell>
          <cell r="F1984">
            <v>0</v>
          </cell>
          <cell r="G1984">
            <v>5046.1000000000004</v>
          </cell>
          <cell r="H1984">
            <v>21788.18</v>
          </cell>
          <cell r="I1984" t="str">
            <v>D</v>
          </cell>
          <cell r="J1984">
            <v>12303</v>
          </cell>
        </row>
        <row r="1985">
          <cell r="A1985">
            <v>12333</v>
          </cell>
          <cell r="B1985" t="str">
            <v>4.1.02.010.0010</v>
          </cell>
          <cell r="C1985" t="str">
            <v xml:space="preserve">MATERIAL DE LAVANDERIA </v>
          </cell>
          <cell r="D1985">
            <v>81788.210000000006</v>
          </cell>
          <cell r="E1985">
            <v>58786.67</v>
          </cell>
          <cell r="F1985">
            <v>0</v>
          </cell>
          <cell r="G1985">
            <v>58786.67</v>
          </cell>
          <cell r="H1985">
            <v>140574.88</v>
          </cell>
          <cell r="I1985" t="str">
            <v>D</v>
          </cell>
          <cell r="J1985">
            <v>12333</v>
          </cell>
        </row>
        <row r="1986">
          <cell r="A1986">
            <v>12331</v>
          </cell>
          <cell r="B1986" t="str">
            <v>4.1.02.010.0011</v>
          </cell>
          <cell r="C1986" t="str">
            <v xml:space="preserve">MATERIAL DE LIMPEZA E </v>
          </cell>
          <cell r="D1986">
            <v>319014.19</v>
          </cell>
          <cell r="E1986">
            <v>174222.92</v>
          </cell>
          <cell r="F1986">
            <v>64.75</v>
          </cell>
          <cell r="G1986">
            <v>174158.17</v>
          </cell>
          <cell r="H1986">
            <v>493172.36</v>
          </cell>
          <cell r="I1986" t="str">
            <v>D</v>
          </cell>
          <cell r="J1986">
            <v>12331</v>
          </cell>
        </row>
        <row r="1987">
          <cell r="A1987">
            <v>12301</v>
          </cell>
          <cell r="B1987" t="str">
            <v>4.1.02.010.0012</v>
          </cell>
          <cell r="C1987" t="str">
            <v>MEDICAMENTOS</v>
          </cell>
          <cell r="D1987">
            <v>4415065.78</v>
          </cell>
          <cell r="E1987">
            <v>2722588.23</v>
          </cell>
          <cell r="F1987">
            <v>245761.38</v>
          </cell>
          <cell r="G1987">
            <v>2476826.85</v>
          </cell>
          <cell r="H1987">
            <v>6891892.6299999999</v>
          </cell>
          <cell r="I1987" t="str">
            <v>D</v>
          </cell>
          <cell r="J1987">
            <v>12301</v>
          </cell>
        </row>
        <row r="1988">
          <cell r="A1988">
            <v>12329</v>
          </cell>
          <cell r="B1988" t="str">
            <v>4.1.02.010.0013</v>
          </cell>
          <cell r="C1988" t="str">
            <v xml:space="preserve">ORTESE E PROTESE </v>
          </cell>
          <cell r="D1988">
            <v>4926690.25</v>
          </cell>
          <cell r="E1988">
            <v>1956184.21</v>
          </cell>
          <cell r="F1988">
            <v>0</v>
          </cell>
          <cell r="G1988">
            <v>1956184.21</v>
          </cell>
          <cell r="H1988">
            <v>6882874.46</v>
          </cell>
          <cell r="I1988" t="str">
            <v>D</v>
          </cell>
          <cell r="J1988">
            <v>12329</v>
          </cell>
        </row>
        <row r="1989">
          <cell r="A1989">
            <v>51649</v>
          </cell>
          <cell r="B1989" t="str">
            <v>4.1.02.010.0014</v>
          </cell>
          <cell r="C1989" t="str">
            <v>RADIOFARMACOS</v>
          </cell>
          <cell r="D1989">
            <v>21885.03</v>
          </cell>
          <cell r="E1989">
            <v>15198.95</v>
          </cell>
          <cell r="F1989">
            <v>0</v>
          </cell>
          <cell r="G1989">
            <v>15198.95</v>
          </cell>
          <cell r="H1989">
            <v>37083.980000000003</v>
          </cell>
          <cell r="I1989" t="str">
            <v>D</v>
          </cell>
          <cell r="J1989">
            <v>51649</v>
          </cell>
        </row>
        <row r="1990">
          <cell r="A1990">
            <v>12332</v>
          </cell>
          <cell r="B1990" t="str">
            <v>4.1.02.010.0015</v>
          </cell>
          <cell r="C1990" t="str">
            <v xml:space="preserve">TECIDOS AVIAMENTOS </v>
          </cell>
          <cell r="D1990">
            <v>49665.05</v>
          </cell>
          <cell r="E1990">
            <v>28832.32</v>
          </cell>
          <cell r="F1990">
            <v>0</v>
          </cell>
          <cell r="G1990">
            <v>28832.32</v>
          </cell>
          <cell r="H1990">
            <v>78497.37</v>
          </cell>
          <cell r="I1990" t="str">
            <v>D</v>
          </cell>
          <cell r="J1990">
            <v>12332</v>
          </cell>
        </row>
        <row r="1991">
          <cell r="A1991">
            <v>12325</v>
          </cell>
          <cell r="B1991" t="str">
            <v>4.1.02.010.0018</v>
          </cell>
          <cell r="C1991" t="str">
            <v xml:space="preserve">INVENTARIO - CAF - </v>
          </cell>
          <cell r="D1991">
            <v>-36233.24</v>
          </cell>
          <cell r="E1991">
            <v>1630.41</v>
          </cell>
          <cell r="F1991">
            <v>38004.53</v>
          </cell>
          <cell r="G1991">
            <v>-36374.120000000003</v>
          </cell>
          <cell r="H1991">
            <v>-72607.360000000001</v>
          </cell>
          <cell r="I1991" t="str">
            <v>C</v>
          </cell>
          <cell r="J1991">
            <v>12325</v>
          </cell>
        </row>
        <row r="1992">
          <cell r="A1992">
            <v>54554</v>
          </cell>
          <cell r="B1992" t="str">
            <v>4.1.02.010.0020</v>
          </cell>
          <cell r="C1992" t="str">
            <v>MATERIAIS ESPECIAIS</v>
          </cell>
          <cell r="D1992">
            <v>928661.24</v>
          </cell>
          <cell r="E1992">
            <v>337437.68</v>
          </cell>
          <cell r="F1992">
            <v>629.95000000000005</v>
          </cell>
          <cell r="G1992">
            <v>336807.73</v>
          </cell>
          <cell r="H1992">
            <v>1265468.97</v>
          </cell>
          <cell r="I1992" t="str">
            <v>D</v>
          </cell>
          <cell r="J1992">
            <v>54554</v>
          </cell>
        </row>
        <row r="1993">
          <cell r="A1993">
            <v>11279</v>
          </cell>
          <cell r="B1993" t="str">
            <v>4.2</v>
          </cell>
          <cell r="C1993" t="str">
            <v>DESPESAS ADMINISTRATIVAS</v>
          </cell>
          <cell r="D1993">
            <v>3511793.04</v>
          </cell>
          <cell r="E1993">
            <v>2816330.98</v>
          </cell>
          <cell r="F1993">
            <v>688472.91</v>
          </cell>
          <cell r="G1993">
            <v>2127858.0699999998</v>
          </cell>
          <cell r="H1993">
            <v>5639651.1100000003</v>
          </cell>
          <cell r="I1993" t="str">
            <v>D</v>
          </cell>
          <cell r="J1993" t="e">
            <v>#N/A</v>
          </cell>
        </row>
        <row r="1994">
          <cell r="A1994">
            <v>11499</v>
          </cell>
          <cell r="B1994" t="str">
            <v>4.2.01</v>
          </cell>
          <cell r="C1994" t="str">
            <v xml:space="preserve">SERVICOS DE TERCEIROS  E </v>
          </cell>
          <cell r="D1994">
            <v>2772994.11</v>
          </cell>
          <cell r="E1994">
            <v>1784766.81</v>
          </cell>
          <cell r="F1994">
            <v>319148.87</v>
          </cell>
          <cell r="G1994">
            <v>1465617.94</v>
          </cell>
          <cell r="H1994">
            <v>4238612.05</v>
          </cell>
          <cell r="I1994" t="str">
            <v>D</v>
          </cell>
          <cell r="J1994" t="e">
            <v>#N/A</v>
          </cell>
        </row>
        <row r="1995">
          <cell r="A1995">
            <v>11500</v>
          </cell>
          <cell r="B1995" t="str">
            <v>4.2.01.010</v>
          </cell>
          <cell r="C1995" t="str">
            <v xml:space="preserve"> SERVICOS CONTRATADOS</v>
          </cell>
          <cell r="D1995">
            <v>1223767.51</v>
          </cell>
          <cell r="E1995">
            <v>644148.46</v>
          </cell>
          <cell r="F1995">
            <v>42090.96</v>
          </cell>
          <cell r="G1995">
            <v>602057.5</v>
          </cell>
          <cell r="H1995">
            <v>1825825.01</v>
          </cell>
          <cell r="I1995" t="str">
            <v>D</v>
          </cell>
          <cell r="J1995" t="e">
            <v>#N/A</v>
          </cell>
        </row>
        <row r="1996">
          <cell r="A1996">
            <v>12900</v>
          </cell>
          <cell r="B1996" t="str">
            <v>4.2.01.010.0002</v>
          </cell>
          <cell r="C1996" t="str">
            <v xml:space="preserve">LOCACAO DE CILINDRO </v>
          </cell>
          <cell r="D1996">
            <v>21032.87</v>
          </cell>
          <cell r="E1996">
            <v>8831.82</v>
          </cell>
          <cell r="F1996">
            <v>0</v>
          </cell>
          <cell r="G1996">
            <v>8831.82</v>
          </cell>
          <cell r="H1996">
            <v>29864.69</v>
          </cell>
          <cell r="I1996" t="str">
            <v>D</v>
          </cell>
          <cell r="J1996">
            <v>12900</v>
          </cell>
        </row>
        <row r="1997">
          <cell r="A1997">
            <v>12293</v>
          </cell>
          <cell r="B1997" t="str">
            <v>4.2.01.010.0003</v>
          </cell>
          <cell r="C1997" t="str">
            <v xml:space="preserve">SERV </v>
          </cell>
          <cell r="D1997">
            <v>64732.3</v>
          </cell>
          <cell r="E1997">
            <v>54610.55</v>
          </cell>
          <cell r="F1997">
            <v>23064.89</v>
          </cell>
          <cell r="G1997">
            <v>31545.66</v>
          </cell>
          <cell r="H1997">
            <v>96277.96</v>
          </cell>
          <cell r="I1997" t="str">
            <v>D</v>
          </cell>
          <cell r="J1997">
            <v>12293</v>
          </cell>
        </row>
        <row r="1998">
          <cell r="A1998">
            <v>12461</v>
          </cell>
          <cell r="B1998" t="str">
            <v>4.2.01.010.0004</v>
          </cell>
          <cell r="C1998" t="str">
            <v xml:space="preserve">SERVICO ACREDITACAO </v>
          </cell>
          <cell r="D1998">
            <v>17498.04</v>
          </cell>
          <cell r="E1998">
            <v>3322.49</v>
          </cell>
          <cell r="F1998">
            <v>3018.48</v>
          </cell>
          <cell r="G1998">
            <v>304.01</v>
          </cell>
          <cell r="H1998">
            <v>17802.05</v>
          </cell>
          <cell r="I1998" t="str">
            <v>D</v>
          </cell>
          <cell r="J1998">
            <v>12461</v>
          </cell>
        </row>
        <row r="1999">
          <cell r="A1999">
            <v>51665</v>
          </cell>
          <cell r="B1999" t="str">
            <v>4.2.01.010.0005</v>
          </cell>
          <cell r="C1999" t="str">
            <v xml:space="preserve">SERVICO DE ENGENHARIA </v>
          </cell>
          <cell r="D1999">
            <v>134830.62</v>
          </cell>
          <cell r="E1999">
            <v>79898.52</v>
          </cell>
          <cell r="F1999">
            <v>0</v>
          </cell>
          <cell r="G1999">
            <v>79898.52</v>
          </cell>
          <cell r="H1999">
            <v>214729.14</v>
          </cell>
          <cell r="I1999" t="str">
            <v>D</v>
          </cell>
          <cell r="J1999">
            <v>51665</v>
          </cell>
        </row>
        <row r="2000">
          <cell r="A2000">
            <v>51127</v>
          </cell>
          <cell r="B2000" t="str">
            <v>4.2.01.010.0006</v>
          </cell>
          <cell r="C2000" t="str">
            <v xml:space="preserve">SERVIÇO DE LICENCIAMENTO </v>
          </cell>
          <cell r="D2000">
            <v>65384.01</v>
          </cell>
          <cell r="E2000">
            <v>50671.839999999997</v>
          </cell>
          <cell r="F2000">
            <v>10629.92</v>
          </cell>
          <cell r="G2000">
            <v>40041.919999999998</v>
          </cell>
          <cell r="H2000">
            <v>105425.93</v>
          </cell>
          <cell r="I2000" t="str">
            <v>D</v>
          </cell>
          <cell r="J2000">
            <v>51127</v>
          </cell>
        </row>
        <row r="2001">
          <cell r="A2001">
            <v>51666</v>
          </cell>
          <cell r="B2001" t="str">
            <v>4.2.01.010.0007</v>
          </cell>
          <cell r="C2001" t="str">
            <v xml:space="preserve">SERVICO DE MANUTENCAO </v>
          </cell>
          <cell r="D2001">
            <v>35152.120000000003</v>
          </cell>
          <cell r="E2001">
            <v>34800.76</v>
          </cell>
          <cell r="F2001">
            <v>0</v>
          </cell>
          <cell r="G2001">
            <v>34800.76</v>
          </cell>
          <cell r="H2001">
            <v>69952.88</v>
          </cell>
          <cell r="I2001" t="str">
            <v>D</v>
          </cell>
          <cell r="J2001">
            <v>51666</v>
          </cell>
        </row>
        <row r="2002">
          <cell r="A2002">
            <v>51667</v>
          </cell>
          <cell r="B2002" t="str">
            <v>4.2.01.010.0008</v>
          </cell>
          <cell r="C2002" t="str">
            <v xml:space="preserve">SERVICO DE MANUTENCAO </v>
          </cell>
          <cell r="D2002">
            <v>6986</v>
          </cell>
          <cell r="E2002">
            <v>2620</v>
          </cell>
          <cell r="F2002">
            <v>0</v>
          </cell>
          <cell r="G2002">
            <v>2620</v>
          </cell>
          <cell r="H2002">
            <v>9606</v>
          </cell>
          <cell r="I2002" t="str">
            <v>D</v>
          </cell>
          <cell r="J2002">
            <v>51667</v>
          </cell>
        </row>
        <row r="2003">
          <cell r="A2003">
            <v>51673</v>
          </cell>
          <cell r="B2003" t="str">
            <v>4.2.01.010.0009</v>
          </cell>
          <cell r="C2003" t="str">
            <v xml:space="preserve">SERVICO DE TV POR </v>
          </cell>
          <cell r="D2003">
            <v>6502.8</v>
          </cell>
          <cell r="E2003">
            <v>6974.47</v>
          </cell>
          <cell r="F2003">
            <v>3251.4</v>
          </cell>
          <cell r="G2003">
            <v>3723.07</v>
          </cell>
          <cell r="H2003">
            <v>10225.870000000001</v>
          </cell>
          <cell r="I2003" t="str">
            <v>D</v>
          </cell>
          <cell r="J2003">
            <v>51673</v>
          </cell>
        </row>
        <row r="2004">
          <cell r="A2004">
            <v>12267</v>
          </cell>
          <cell r="B2004" t="str">
            <v>4.2.01.010.0010</v>
          </cell>
          <cell r="C2004" t="str">
            <v xml:space="preserve">SERVICO SEGURANCA </v>
          </cell>
          <cell r="D2004">
            <v>92249.5</v>
          </cell>
          <cell r="E2004">
            <v>22266.19</v>
          </cell>
          <cell r="F2004">
            <v>0</v>
          </cell>
          <cell r="G2004">
            <v>22266.19</v>
          </cell>
          <cell r="H2004">
            <v>114515.69</v>
          </cell>
          <cell r="I2004" t="str">
            <v>D</v>
          </cell>
          <cell r="J2004">
            <v>12267</v>
          </cell>
        </row>
        <row r="2005">
          <cell r="A2005">
            <v>11510</v>
          </cell>
          <cell r="B2005" t="str">
            <v>4.2.01.010.0011</v>
          </cell>
          <cell r="C2005" t="str">
            <v>SERVICOS ADVOCATICIOS</v>
          </cell>
          <cell r="D2005">
            <v>23199.55</v>
          </cell>
          <cell r="E2005">
            <v>11500</v>
          </cell>
          <cell r="F2005">
            <v>0</v>
          </cell>
          <cell r="G2005">
            <v>11500</v>
          </cell>
          <cell r="H2005">
            <v>34699.550000000003</v>
          </cell>
          <cell r="I2005" t="str">
            <v>D</v>
          </cell>
          <cell r="J2005">
            <v>11510</v>
          </cell>
        </row>
        <row r="2006">
          <cell r="A2006">
            <v>11516</v>
          </cell>
          <cell r="B2006" t="str">
            <v>4.2.01.010.0012</v>
          </cell>
          <cell r="C2006" t="str">
            <v>SERVICOS AUDITORIA</v>
          </cell>
          <cell r="D2006">
            <v>2626</v>
          </cell>
          <cell r="E2006">
            <v>1313</v>
          </cell>
          <cell r="F2006">
            <v>0</v>
          </cell>
          <cell r="G2006">
            <v>1313</v>
          </cell>
          <cell r="H2006">
            <v>3939</v>
          </cell>
          <cell r="I2006" t="str">
            <v>D</v>
          </cell>
          <cell r="J2006">
            <v>11516</v>
          </cell>
        </row>
        <row r="2007">
          <cell r="A2007">
            <v>37992</v>
          </cell>
          <cell r="B2007" t="str">
            <v>4.2.01.010.0013</v>
          </cell>
          <cell r="C2007" t="str">
            <v xml:space="preserve">SERVICOS CERTIFICADOS </v>
          </cell>
          <cell r="D2007">
            <v>0</v>
          </cell>
          <cell r="E2007">
            <v>499.8</v>
          </cell>
          <cell r="F2007">
            <v>0</v>
          </cell>
          <cell r="G2007">
            <v>499.8</v>
          </cell>
          <cell r="H2007">
            <v>499.8</v>
          </cell>
          <cell r="I2007" t="str">
            <v>D</v>
          </cell>
          <cell r="J2007">
            <v>37992</v>
          </cell>
        </row>
        <row r="2008">
          <cell r="A2008">
            <v>37259</v>
          </cell>
          <cell r="B2008" t="str">
            <v>4.2.01.010.0014</v>
          </cell>
          <cell r="C2008" t="str">
            <v>SERVICOS DE ANALISES</v>
          </cell>
          <cell r="D2008">
            <v>11990</v>
          </cell>
          <cell r="E2008">
            <v>6109</v>
          </cell>
          <cell r="F2008">
            <v>0</v>
          </cell>
          <cell r="G2008">
            <v>6109</v>
          </cell>
          <cell r="H2008">
            <v>18099</v>
          </cell>
          <cell r="I2008" t="str">
            <v>D</v>
          </cell>
          <cell r="J2008">
            <v>37259</v>
          </cell>
        </row>
        <row r="2009">
          <cell r="A2009">
            <v>12865</v>
          </cell>
          <cell r="B2009" t="str">
            <v>4.2.01.010.0015</v>
          </cell>
          <cell r="C2009" t="str">
            <v>SERVICOS DE DEDETIZACAO</v>
          </cell>
          <cell r="D2009">
            <v>5260.66</v>
          </cell>
          <cell r="E2009">
            <v>2505.33</v>
          </cell>
          <cell r="F2009">
            <v>0</v>
          </cell>
          <cell r="G2009">
            <v>2505.33</v>
          </cell>
          <cell r="H2009">
            <v>7765.99</v>
          </cell>
          <cell r="I2009" t="str">
            <v>D</v>
          </cell>
          <cell r="J2009">
            <v>12865</v>
          </cell>
        </row>
        <row r="2010">
          <cell r="A2010">
            <v>12878</v>
          </cell>
          <cell r="B2010" t="str">
            <v>4.2.01.010.0016</v>
          </cell>
          <cell r="C2010" t="str">
            <v xml:space="preserve">SERVICOS DE ESTERILIZACAO </v>
          </cell>
          <cell r="D2010">
            <v>1121.02</v>
          </cell>
          <cell r="E2010">
            <v>800.7</v>
          </cell>
          <cell r="F2010">
            <v>0</v>
          </cell>
          <cell r="G2010">
            <v>800.7</v>
          </cell>
          <cell r="H2010">
            <v>1921.72</v>
          </cell>
          <cell r="I2010" t="str">
            <v>D</v>
          </cell>
          <cell r="J2010">
            <v>12878</v>
          </cell>
        </row>
        <row r="2011">
          <cell r="A2011">
            <v>12272</v>
          </cell>
          <cell r="B2011" t="str">
            <v>4.2.01.010.0019</v>
          </cell>
          <cell r="C2011" t="str">
            <v xml:space="preserve">SERVICOS DE INTERNET </v>
          </cell>
          <cell r="D2011">
            <v>23734.44</v>
          </cell>
          <cell r="E2011">
            <v>11275.31</v>
          </cell>
          <cell r="F2011">
            <v>205.98</v>
          </cell>
          <cell r="G2011">
            <v>11069.33</v>
          </cell>
          <cell r="H2011">
            <v>34803.769999999997</v>
          </cell>
          <cell r="I2011" t="str">
            <v>D</v>
          </cell>
          <cell r="J2011">
            <v>12272</v>
          </cell>
        </row>
        <row r="2012">
          <cell r="A2012">
            <v>12888</v>
          </cell>
          <cell r="B2012" t="str">
            <v>4.2.01.010.0021</v>
          </cell>
          <cell r="C2012" t="str">
            <v xml:space="preserve">SERVICOS DE LOCACAO </v>
          </cell>
          <cell r="D2012">
            <v>54620.66</v>
          </cell>
          <cell r="E2012">
            <v>34375.129999999997</v>
          </cell>
          <cell r="F2012">
            <v>0</v>
          </cell>
          <cell r="G2012">
            <v>34375.129999999997</v>
          </cell>
          <cell r="H2012">
            <v>88995.79</v>
          </cell>
          <cell r="I2012" t="str">
            <v>D</v>
          </cell>
          <cell r="J2012">
            <v>12888</v>
          </cell>
        </row>
        <row r="2013">
          <cell r="A2013">
            <v>12282</v>
          </cell>
          <cell r="B2013" t="str">
            <v>4.2.01.010.0022</v>
          </cell>
          <cell r="C2013" t="str">
            <v xml:space="preserve">SERVICOS DE MANUTENCAO </v>
          </cell>
          <cell r="D2013">
            <v>45227.97</v>
          </cell>
          <cell r="E2013">
            <v>47886.05</v>
          </cell>
          <cell r="F2013">
            <v>0</v>
          </cell>
          <cell r="G2013">
            <v>47886.05</v>
          </cell>
          <cell r="H2013">
            <v>93114.02</v>
          </cell>
          <cell r="I2013" t="str">
            <v>D</v>
          </cell>
          <cell r="J2013">
            <v>12282</v>
          </cell>
        </row>
        <row r="2014">
          <cell r="A2014">
            <v>12284</v>
          </cell>
          <cell r="B2014" t="str">
            <v>4.2.01.010.0023</v>
          </cell>
          <cell r="C2014" t="str">
            <v xml:space="preserve">SERVICOS DE MANUTENCAO </v>
          </cell>
          <cell r="D2014">
            <v>18021.5</v>
          </cell>
          <cell r="E2014">
            <v>12837.01</v>
          </cell>
          <cell r="F2014">
            <v>0</v>
          </cell>
          <cell r="G2014">
            <v>12837.01</v>
          </cell>
          <cell r="H2014">
            <v>30858.51</v>
          </cell>
          <cell r="I2014" t="str">
            <v>D</v>
          </cell>
          <cell r="J2014">
            <v>12284</v>
          </cell>
        </row>
        <row r="2015">
          <cell r="A2015">
            <v>12280</v>
          </cell>
          <cell r="B2015" t="str">
            <v>4.2.01.010.0024</v>
          </cell>
          <cell r="C2015" t="str">
            <v xml:space="preserve">SERVICOS DE MANUTENCAO </v>
          </cell>
          <cell r="D2015">
            <v>38755.69</v>
          </cell>
          <cell r="E2015">
            <v>36936.53</v>
          </cell>
          <cell r="F2015">
            <v>0</v>
          </cell>
          <cell r="G2015">
            <v>36936.53</v>
          </cell>
          <cell r="H2015">
            <v>75692.22</v>
          </cell>
          <cell r="I2015" t="str">
            <v>D</v>
          </cell>
          <cell r="J2015">
            <v>12280</v>
          </cell>
        </row>
        <row r="2016">
          <cell r="A2016">
            <v>33097</v>
          </cell>
          <cell r="B2016" t="str">
            <v>4.2.01.010.0025</v>
          </cell>
          <cell r="C2016" t="str">
            <v xml:space="preserve">SERVICOS DE MOTOBOY </v>
          </cell>
          <cell r="D2016">
            <v>3370</v>
          </cell>
          <cell r="E2016">
            <v>1000</v>
          </cell>
          <cell r="F2016">
            <v>0</v>
          </cell>
          <cell r="G2016">
            <v>1000</v>
          </cell>
          <cell r="H2016">
            <v>4370</v>
          </cell>
          <cell r="I2016" t="str">
            <v>D</v>
          </cell>
          <cell r="J2016">
            <v>33097</v>
          </cell>
        </row>
        <row r="2017">
          <cell r="A2017">
            <v>37763</v>
          </cell>
          <cell r="B2017" t="str">
            <v>4.2.01.010.0027</v>
          </cell>
          <cell r="C2017" t="str">
            <v xml:space="preserve">SERVICOS DE REMOCAO DE </v>
          </cell>
          <cell r="D2017">
            <v>54410.73</v>
          </cell>
          <cell r="E2017">
            <v>27637.75</v>
          </cell>
          <cell r="F2017">
            <v>0</v>
          </cell>
          <cell r="G2017">
            <v>27637.75</v>
          </cell>
          <cell r="H2017">
            <v>82048.479999999996</v>
          </cell>
          <cell r="I2017" t="str">
            <v>D</v>
          </cell>
          <cell r="J2017">
            <v>37763</v>
          </cell>
        </row>
        <row r="2018">
          <cell r="A2018">
            <v>11534</v>
          </cell>
          <cell r="B2018" t="str">
            <v>4.2.01.010.0028</v>
          </cell>
          <cell r="C2018" t="str">
            <v xml:space="preserve">SERVICOS FRETES E </v>
          </cell>
          <cell r="D2018">
            <v>3872.01</v>
          </cell>
          <cell r="E2018">
            <v>2454.13</v>
          </cell>
          <cell r="F2018">
            <v>7.99</v>
          </cell>
          <cell r="G2018">
            <v>2446.14</v>
          </cell>
          <cell r="H2018">
            <v>6318.15</v>
          </cell>
          <cell r="I2018" t="str">
            <v>D</v>
          </cell>
          <cell r="J2018">
            <v>11534</v>
          </cell>
        </row>
        <row r="2019">
          <cell r="A2019">
            <v>11669</v>
          </cell>
          <cell r="B2019" t="str">
            <v>4.2.01.010.0029</v>
          </cell>
          <cell r="C2019" t="str">
            <v xml:space="preserve">SERVICOS MALOTES E </v>
          </cell>
          <cell r="D2019">
            <v>4168.8</v>
          </cell>
          <cell r="E2019">
            <v>2000</v>
          </cell>
          <cell r="F2019">
            <v>0</v>
          </cell>
          <cell r="G2019">
            <v>2000</v>
          </cell>
          <cell r="H2019">
            <v>6168.8</v>
          </cell>
          <cell r="I2019" t="str">
            <v>D</v>
          </cell>
          <cell r="J2019">
            <v>11669</v>
          </cell>
        </row>
        <row r="2020">
          <cell r="A2020">
            <v>11528</v>
          </cell>
          <cell r="B2020" t="str">
            <v>4.2.01.010.0031</v>
          </cell>
          <cell r="C2020" t="str">
            <v xml:space="preserve">SERVICOS TECNICOS ADM </v>
          </cell>
          <cell r="D2020">
            <v>12306</v>
          </cell>
          <cell r="E2020">
            <v>7110.44</v>
          </cell>
          <cell r="F2020">
            <v>957.44</v>
          </cell>
          <cell r="G2020">
            <v>6153</v>
          </cell>
          <cell r="H2020">
            <v>18459</v>
          </cell>
          <cell r="I2020" t="str">
            <v>D</v>
          </cell>
          <cell r="J2020">
            <v>11528</v>
          </cell>
        </row>
        <row r="2021">
          <cell r="A2021">
            <v>11522</v>
          </cell>
          <cell r="B2021" t="str">
            <v>4.2.01.010.0032</v>
          </cell>
          <cell r="C2021" t="str">
            <v xml:space="preserve">HONORARIOS DE </v>
          </cell>
          <cell r="D2021">
            <v>250873.17</v>
          </cell>
          <cell r="E2021">
            <v>87131.51</v>
          </cell>
          <cell r="F2021">
            <v>0</v>
          </cell>
          <cell r="G2021">
            <v>87131.51</v>
          </cell>
          <cell r="H2021">
            <v>338004.68</v>
          </cell>
          <cell r="I2021" t="str">
            <v>D</v>
          </cell>
          <cell r="J2021">
            <v>11522</v>
          </cell>
        </row>
        <row r="2022">
          <cell r="A2022">
            <v>11527</v>
          </cell>
          <cell r="B2022" t="str">
            <v>4.2.01.010.0033</v>
          </cell>
          <cell r="C2022" t="str">
            <v xml:space="preserve">HONORARIOS DE SERVICOS </v>
          </cell>
          <cell r="D2022">
            <v>20685.71</v>
          </cell>
          <cell r="E2022">
            <v>10963.88</v>
          </cell>
          <cell r="F2022">
            <v>0</v>
          </cell>
          <cell r="G2022">
            <v>10963.88</v>
          </cell>
          <cell r="H2022">
            <v>31649.59</v>
          </cell>
          <cell r="I2022" t="str">
            <v>D</v>
          </cell>
          <cell r="J2022">
            <v>11527</v>
          </cell>
        </row>
        <row r="2023">
          <cell r="A2023">
            <v>11540</v>
          </cell>
          <cell r="B2023" t="str">
            <v>4.2.01.010.0034</v>
          </cell>
          <cell r="C2023" t="str">
            <v xml:space="preserve">SERVICOS DIVERSOS - </v>
          </cell>
          <cell r="D2023">
            <v>51346.18</v>
          </cell>
          <cell r="E2023">
            <v>3202.06</v>
          </cell>
          <cell r="F2023">
            <v>429.86</v>
          </cell>
          <cell r="G2023">
            <v>2772.2</v>
          </cell>
          <cell r="H2023">
            <v>54118.38</v>
          </cell>
          <cell r="I2023" t="str">
            <v>D</v>
          </cell>
          <cell r="J2023">
            <v>11540</v>
          </cell>
        </row>
        <row r="2024">
          <cell r="A2024">
            <v>51090</v>
          </cell>
          <cell r="B2024" t="str">
            <v>4.2.01.010.0035</v>
          </cell>
          <cell r="C2024" t="str">
            <v xml:space="preserve">SERVICOS MANUTENCAO AR </v>
          </cell>
          <cell r="D2024">
            <v>30337</v>
          </cell>
          <cell r="E2024">
            <v>8089.75</v>
          </cell>
          <cell r="F2024">
            <v>0</v>
          </cell>
          <cell r="G2024">
            <v>8089.75</v>
          </cell>
          <cell r="H2024">
            <v>38426.75</v>
          </cell>
          <cell r="I2024" t="str">
            <v>D</v>
          </cell>
          <cell r="J2024">
            <v>51090</v>
          </cell>
        </row>
        <row r="2025">
          <cell r="A2025">
            <v>52206</v>
          </cell>
          <cell r="B2025" t="str">
            <v>4.2.01.010.0036</v>
          </cell>
          <cell r="C2025" t="str">
            <v xml:space="preserve">SERV ESPECIALIZADO EM </v>
          </cell>
          <cell r="D2025">
            <v>3776.9</v>
          </cell>
          <cell r="E2025">
            <v>1955.62</v>
          </cell>
          <cell r="F2025">
            <v>0</v>
          </cell>
          <cell r="G2025">
            <v>1955.62</v>
          </cell>
          <cell r="H2025">
            <v>5732.52</v>
          </cell>
          <cell r="I2025" t="str">
            <v>D</v>
          </cell>
          <cell r="J2025">
            <v>52206</v>
          </cell>
        </row>
        <row r="2026">
          <cell r="A2026">
            <v>27585</v>
          </cell>
          <cell r="B2026" t="str">
            <v>4.2.01.010.0038</v>
          </cell>
          <cell r="C2026" t="str">
            <v xml:space="preserve">SERVICOS AUTONOMOS </v>
          </cell>
          <cell r="D2026">
            <v>0</v>
          </cell>
          <cell r="E2026">
            <v>525</v>
          </cell>
          <cell r="F2026">
            <v>525</v>
          </cell>
          <cell r="G2026">
            <v>0</v>
          </cell>
          <cell r="H2026">
            <v>0</v>
          </cell>
          <cell r="I2026" t="str">
            <v>D</v>
          </cell>
          <cell r="J2026" t="e">
            <v>#N/A</v>
          </cell>
        </row>
        <row r="2027">
          <cell r="A2027">
            <v>52238</v>
          </cell>
          <cell r="B2027" t="str">
            <v>4.2.01.010.0040</v>
          </cell>
          <cell r="C2027" t="str">
            <v xml:space="preserve">SERVICO LAUDO DE </v>
          </cell>
          <cell r="D2027">
            <v>0</v>
          </cell>
          <cell r="E2027">
            <v>957.44</v>
          </cell>
          <cell r="F2027">
            <v>0</v>
          </cell>
          <cell r="G2027">
            <v>957.44</v>
          </cell>
          <cell r="H2027">
            <v>957.44</v>
          </cell>
          <cell r="I2027" t="str">
            <v>D</v>
          </cell>
          <cell r="J2027">
            <v>52238</v>
          </cell>
        </row>
        <row r="2028">
          <cell r="A2028">
            <v>53792</v>
          </cell>
          <cell r="B2028" t="str">
            <v>4.2.01.010.0041</v>
          </cell>
          <cell r="C2028" t="str">
            <v xml:space="preserve">SERVICO DE MANUTENÇÃO </v>
          </cell>
          <cell r="D2028">
            <v>95905.26</v>
          </cell>
          <cell r="E2028">
            <v>49191.38</v>
          </cell>
          <cell r="F2028">
            <v>0</v>
          </cell>
          <cell r="G2028">
            <v>49191.38</v>
          </cell>
          <cell r="H2028">
            <v>145096.64000000001</v>
          </cell>
          <cell r="I2028" t="str">
            <v>D</v>
          </cell>
          <cell r="J2028">
            <v>53792</v>
          </cell>
        </row>
        <row r="2029">
          <cell r="A2029">
            <v>54164</v>
          </cell>
          <cell r="B2029" t="str">
            <v>4.2.01.010.0042</v>
          </cell>
          <cell r="C2029" t="str">
            <v xml:space="preserve">LOCACAO DE EQUIPAMENTOS </v>
          </cell>
          <cell r="D2029">
            <v>23790</v>
          </cell>
          <cell r="E2029">
            <v>11895</v>
          </cell>
          <cell r="F2029">
            <v>0</v>
          </cell>
          <cell r="G2029">
            <v>11895</v>
          </cell>
          <cell r="H2029">
            <v>35685</v>
          </cell>
          <cell r="I2029" t="str">
            <v>D</v>
          </cell>
          <cell r="J2029">
            <v>54164</v>
          </cell>
        </row>
        <row r="2030">
          <cell r="A2030">
            <v>11554</v>
          </cell>
          <cell r="B2030" t="str">
            <v>4.2.01.030</v>
          </cell>
          <cell r="C2030" t="str">
            <v xml:space="preserve">ALUGUEIS </v>
          </cell>
          <cell r="D2030">
            <v>335704.85</v>
          </cell>
          <cell r="E2030">
            <v>249724.64</v>
          </cell>
          <cell r="F2030">
            <v>38580</v>
          </cell>
          <cell r="G2030">
            <v>211144.64</v>
          </cell>
          <cell r="H2030">
            <v>546849.49</v>
          </cell>
          <cell r="I2030" t="str">
            <v>D</v>
          </cell>
          <cell r="J2030" t="e">
            <v>#N/A</v>
          </cell>
        </row>
        <row r="2031">
          <cell r="A2031">
            <v>11563</v>
          </cell>
          <cell r="B2031" t="str">
            <v>4.2.01.030.0001</v>
          </cell>
          <cell r="C2031" t="str">
            <v>ALUGUEL</v>
          </cell>
          <cell r="D2031">
            <v>241589.41</v>
          </cell>
          <cell r="E2031">
            <v>192286.5</v>
          </cell>
          <cell r="F2031">
            <v>29250</v>
          </cell>
          <cell r="G2031">
            <v>163036.5</v>
          </cell>
          <cell r="H2031">
            <v>404625.91</v>
          </cell>
          <cell r="I2031" t="str">
            <v>D</v>
          </cell>
          <cell r="J2031">
            <v>11563</v>
          </cell>
        </row>
        <row r="2032">
          <cell r="A2032">
            <v>11634</v>
          </cell>
          <cell r="B2032" t="str">
            <v>4.2.01.030.0002</v>
          </cell>
          <cell r="C2032" t="str">
            <v xml:space="preserve"> EQUIPAMENTOS </v>
          </cell>
          <cell r="D2032">
            <v>42429.84</v>
          </cell>
          <cell r="E2032">
            <v>30374.76</v>
          </cell>
          <cell r="F2032">
            <v>9330</v>
          </cell>
          <cell r="G2032">
            <v>21044.76</v>
          </cell>
          <cell r="H2032">
            <v>63474.6</v>
          </cell>
          <cell r="I2032" t="str">
            <v>D</v>
          </cell>
          <cell r="J2032">
            <v>11634</v>
          </cell>
        </row>
        <row r="2033">
          <cell r="A2033">
            <v>11704</v>
          </cell>
          <cell r="B2033" t="str">
            <v>4.2.01.030.0003</v>
          </cell>
          <cell r="C2033" t="str">
            <v xml:space="preserve">ESTACIONAMENTO </v>
          </cell>
          <cell r="D2033">
            <v>12546</v>
          </cell>
          <cell r="E2033">
            <v>8157.5</v>
          </cell>
          <cell r="F2033">
            <v>0</v>
          </cell>
          <cell r="G2033">
            <v>8157.5</v>
          </cell>
          <cell r="H2033">
            <v>20703.5</v>
          </cell>
          <cell r="I2033" t="str">
            <v>D</v>
          </cell>
          <cell r="J2033">
            <v>11704</v>
          </cell>
        </row>
        <row r="2034">
          <cell r="A2034">
            <v>53791</v>
          </cell>
          <cell r="B2034" t="str">
            <v>4.2.01.030.0006</v>
          </cell>
          <cell r="C2034" t="str">
            <v>ALUGUEL PREDIAL IEP</v>
          </cell>
          <cell r="D2034">
            <v>39139.599999999999</v>
          </cell>
          <cell r="E2034">
            <v>18905.88</v>
          </cell>
          <cell r="F2034">
            <v>0</v>
          </cell>
          <cell r="G2034">
            <v>18905.88</v>
          </cell>
          <cell r="H2034">
            <v>58045.48</v>
          </cell>
          <cell r="I2034" t="str">
            <v>D</v>
          </cell>
          <cell r="J2034">
            <v>53791</v>
          </cell>
        </row>
        <row r="2035">
          <cell r="A2035">
            <v>11571</v>
          </cell>
          <cell r="B2035" t="str">
            <v>4.2.01.040</v>
          </cell>
          <cell r="C2035" t="str">
            <v>UTILIDADES</v>
          </cell>
          <cell r="D2035">
            <v>774280.37</v>
          </cell>
          <cell r="E2035">
            <v>640203.01</v>
          </cell>
          <cell r="F2035">
            <v>237617.78</v>
          </cell>
          <cell r="G2035">
            <v>402585.23</v>
          </cell>
          <cell r="H2035">
            <v>1176865.6000000001</v>
          </cell>
          <cell r="I2035" t="str">
            <v>D</v>
          </cell>
          <cell r="J2035" t="e">
            <v>#N/A</v>
          </cell>
        </row>
        <row r="2036">
          <cell r="A2036">
            <v>11576</v>
          </cell>
          <cell r="B2036" t="str">
            <v>4.2.01.040.0001</v>
          </cell>
          <cell r="C2036" t="str">
            <v xml:space="preserve">AGUA </v>
          </cell>
          <cell r="D2036">
            <v>71060.39</v>
          </cell>
          <cell r="E2036">
            <v>107.06</v>
          </cell>
          <cell r="F2036">
            <v>0</v>
          </cell>
          <cell r="G2036">
            <v>107.06</v>
          </cell>
          <cell r="H2036">
            <v>71167.45</v>
          </cell>
          <cell r="I2036" t="str">
            <v>D</v>
          </cell>
          <cell r="J2036">
            <v>11576</v>
          </cell>
        </row>
        <row r="2037">
          <cell r="A2037">
            <v>32935</v>
          </cell>
          <cell r="B2037" t="str">
            <v>4.2.01.040.0002</v>
          </cell>
          <cell r="C2037" t="str">
            <v xml:space="preserve">LUZ </v>
          </cell>
          <cell r="D2037">
            <v>489769.28</v>
          </cell>
          <cell r="E2037">
            <v>517429.73</v>
          </cell>
          <cell r="F2037">
            <v>237617.78</v>
          </cell>
          <cell r="G2037">
            <v>279811.95</v>
          </cell>
          <cell r="H2037">
            <v>769581.23</v>
          </cell>
          <cell r="I2037" t="str">
            <v>D</v>
          </cell>
          <cell r="J2037">
            <v>32935</v>
          </cell>
        </row>
        <row r="2038">
          <cell r="A2038">
            <v>32937</v>
          </cell>
          <cell r="B2038" t="str">
            <v>4.2.01.040.0003</v>
          </cell>
          <cell r="C2038" t="str">
            <v xml:space="preserve">GAS </v>
          </cell>
          <cell r="D2038">
            <v>64190.97</v>
          </cell>
          <cell r="E2038">
            <v>30980.37</v>
          </cell>
          <cell r="F2038">
            <v>0</v>
          </cell>
          <cell r="G2038">
            <v>30980.37</v>
          </cell>
          <cell r="H2038">
            <v>95171.34</v>
          </cell>
          <cell r="I2038" t="str">
            <v>D</v>
          </cell>
          <cell r="J2038">
            <v>32937</v>
          </cell>
        </row>
        <row r="2039">
          <cell r="A2039">
            <v>12305</v>
          </cell>
          <cell r="B2039" t="str">
            <v>4.2.01.040.0004</v>
          </cell>
          <cell r="C2039" t="str">
            <v>TELEFONIA MOVEL</v>
          </cell>
          <cell r="D2039">
            <v>12198.13</v>
          </cell>
          <cell r="E2039">
            <v>6256.07</v>
          </cell>
          <cell r="F2039">
            <v>0</v>
          </cell>
          <cell r="G2039">
            <v>6256.07</v>
          </cell>
          <cell r="H2039">
            <v>18454.2</v>
          </cell>
          <cell r="I2039" t="str">
            <v>D</v>
          </cell>
          <cell r="J2039">
            <v>12305</v>
          </cell>
        </row>
        <row r="2040">
          <cell r="A2040">
            <v>11675</v>
          </cell>
          <cell r="B2040" t="str">
            <v>4.2.01.040.0005</v>
          </cell>
          <cell r="C2040" t="str">
            <v>TELEFONIA FIXA</v>
          </cell>
          <cell r="D2040">
            <v>5348.75</v>
          </cell>
          <cell r="E2040">
            <v>3095.54</v>
          </cell>
          <cell r="F2040">
            <v>0</v>
          </cell>
          <cell r="G2040">
            <v>3095.54</v>
          </cell>
          <cell r="H2040">
            <v>8444.2900000000009</v>
          </cell>
          <cell r="I2040" t="str">
            <v>D</v>
          </cell>
          <cell r="J2040">
            <v>11675</v>
          </cell>
        </row>
        <row r="2041">
          <cell r="A2041">
            <v>33003</v>
          </cell>
          <cell r="B2041" t="str">
            <v>4.2.01.040.0006</v>
          </cell>
          <cell r="C2041" t="str">
            <v xml:space="preserve">AGUA - (DIRETO) - </v>
          </cell>
          <cell r="D2041">
            <v>56046.98</v>
          </cell>
          <cell r="E2041">
            <v>30506.59</v>
          </cell>
          <cell r="F2041">
            <v>0</v>
          </cell>
          <cell r="G2041">
            <v>30506.59</v>
          </cell>
          <cell r="H2041">
            <v>86553.57</v>
          </cell>
          <cell r="I2041" t="str">
            <v>D</v>
          </cell>
          <cell r="J2041">
            <v>33003</v>
          </cell>
        </row>
        <row r="2042">
          <cell r="A2042">
            <v>33005</v>
          </cell>
          <cell r="B2042" t="str">
            <v>4.2.01.040.0007</v>
          </cell>
          <cell r="C2042" t="str">
            <v xml:space="preserve">LUZ - (DIRETO) - </v>
          </cell>
          <cell r="D2042">
            <v>72069.87</v>
          </cell>
          <cell r="E2042">
            <v>49993.07</v>
          </cell>
          <cell r="F2042">
            <v>0</v>
          </cell>
          <cell r="G2042">
            <v>49993.07</v>
          </cell>
          <cell r="H2042">
            <v>122062.94</v>
          </cell>
          <cell r="I2042" t="str">
            <v>D</v>
          </cell>
          <cell r="J2042">
            <v>33005</v>
          </cell>
        </row>
        <row r="2043">
          <cell r="A2043">
            <v>33004</v>
          </cell>
          <cell r="B2043" t="str">
            <v>4.2.01.040.0008</v>
          </cell>
          <cell r="C2043" t="str">
            <v>TELEFONE - (DIRETO) - MANTE</v>
          </cell>
          <cell r="D2043">
            <v>3596</v>
          </cell>
          <cell r="E2043">
            <v>1834.58</v>
          </cell>
          <cell r="F2043">
            <v>0</v>
          </cell>
          <cell r="G2043">
            <v>1834.58</v>
          </cell>
          <cell r="H2043">
            <v>5430.58</v>
          </cell>
          <cell r="I2043" t="str">
            <v>D</v>
          </cell>
          <cell r="J2043">
            <v>33004</v>
          </cell>
        </row>
        <row r="2044">
          <cell r="A2044">
            <v>11585</v>
          </cell>
          <cell r="B2044" t="str">
            <v>4.2.01.050</v>
          </cell>
          <cell r="C2044" t="str">
            <v>MATERIAIS MANUTENCAO</v>
          </cell>
          <cell r="D2044">
            <v>223478.77</v>
          </cell>
          <cell r="E2044">
            <v>98913.36</v>
          </cell>
          <cell r="F2044">
            <v>449.51</v>
          </cell>
          <cell r="G2044">
            <v>98463.85</v>
          </cell>
          <cell r="H2044">
            <v>321942.62</v>
          </cell>
          <cell r="I2044" t="str">
            <v>D</v>
          </cell>
          <cell r="J2044" t="e">
            <v>#N/A</v>
          </cell>
        </row>
        <row r="2045">
          <cell r="A2045">
            <v>12330</v>
          </cell>
          <cell r="B2045" t="str">
            <v>4.2.01.050.0001</v>
          </cell>
          <cell r="C2045" t="str">
            <v xml:space="preserve">MANUTENCAO GERAL  </v>
          </cell>
          <cell r="D2045">
            <v>152640.18</v>
          </cell>
          <cell r="E2045">
            <v>67031.27</v>
          </cell>
          <cell r="F2045">
            <v>449.48</v>
          </cell>
          <cell r="G2045">
            <v>66581.789999999994</v>
          </cell>
          <cell r="H2045">
            <v>219221.97</v>
          </cell>
          <cell r="I2045" t="str">
            <v>D</v>
          </cell>
          <cell r="J2045">
            <v>12330</v>
          </cell>
        </row>
        <row r="2046">
          <cell r="A2046">
            <v>12893</v>
          </cell>
          <cell r="B2046" t="str">
            <v>4.2.01.050.0002</v>
          </cell>
          <cell r="C2046" t="str">
            <v xml:space="preserve">MANUTENCAO PREDIAL </v>
          </cell>
          <cell r="D2046">
            <v>10208.700000000001</v>
          </cell>
          <cell r="E2046">
            <v>6726.66</v>
          </cell>
          <cell r="F2046">
            <v>0</v>
          </cell>
          <cell r="G2046">
            <v>6726.66</v>
          </cell>
          <cell r="H2046">
            <v>16935.36</v>
          </cell>
          <cell r="I2046" t="str">
            <v>D</v>
          </cell>
          <cell r="J2046">
            <v>12893</v>
          </cell>
        </row>
        <row r="2047">
          <cell r="A2047">
            <v>12334</v>
          </cell>
          <cell r="B2047" t="str">
            <v>4.2.01.050.0003</v>
          </cell>
          <cell r="C2047" t="str">
            <v>MAQUINAS/EQUIPAMENTOS</v>
          </cell>
          <cell r="D2047">
            <v>60629.89</v>
          </cell>
          <cell r="E2047">
            <v>25155.43</v>
          </cell>
          <cell r="F2047">
            <v>0.03</v>
          </cell>
          <cell r="G2047">
            <v>25155.4</v>
          </cell>
          <cell r="H2047">
            <v>85785.29</v>
          </cell>
          <cell r="I2047" t="str">
            <v>D</v>
          </cell>
          <cell r="J2047">
            <v>12334</v>
          </cell>
        </row>
        <row r="2048">
          <cell r="A2048">
            <v>40541</v>
          </cell>
          <cell r="B2048" t="str">
            <v>4.2.01.060</v>
          </cell>
          <cell r="C2048" t="str">
            <v xml:space="preserve"> DESPESAS GERAIS</v>
          </cell>
          <cell r="D2048">
            <v>182312.4</v>
          </cell>
          <cell r="E2048">
            <v>133508.20000000001</v>
          </cell>
          <cell r="F2048">
            <v>280.45999999999998</v>
          </cell>
          <cell r="G2048">
            <v>133227.74</v>
          </cell>
          <cell r="H2048">
            <v>315540.14</v>
          </cell>
          <cell r="I2048" t="str">
            <v>D</v>
          </cell>
          <cell r="J2048" t="e">
            <v>#N/A</v>
          </cell>
        </row>
        <row r="2049">
          <cell r="A2049">
            <v>12881</v>
          </cell>
          <cell r="B2049" t="str">
            <v>4.2.01.060.0002</v>
          </cell>
          <cell r="C2049" t="str">
            <v xml:space="preserve">LANCHES E REFEICOES </v>
          </cell>
          <cell r="D2049">
            <v>887.93</v>
          </cell>
          <cell r="E2049">
            <v>1404.82</v>
          </cell>
          <cell r="F2049">
            <v>92.67</v>
          </cell>
          <cell r="G2049">
            <v>1312.15</v>
          </cell>
          <cell r="H2049">
            <v>2200.08</v>
          </cell>
          <cell r="I2049" t="str">
            <v>D</v>
          </cell>
          <cell r="J2049">
            <v>12881</v>
          </cell>
        </row>
        <row r="2050">
          <cell r="A2050">
            <v>12864</v>
          </cell>
          <cell r="B2050" t="str">
            <v>4.2.01.060.0003</v>
          </cell>
          <cell r="C2050" t="str">
            <v xml:space="preserve">CAMPANHAS E EVENTOS </v>
          </cell>
          <cell r="D2050">
            <v>170</v>
          </cell>
          <cell r="E2050">
            <v>7664</v>
          </cell>
          <cell r="F2050">
            <v>0</v>
          </cell>
          <cell r="G2050">
            <v>7664</v>
          </cell>
          <cell r="H2050">
            <v>7834</v>
          </cell>
          <cell r="I2050" t="str">
            <v>D</v>
          </cell>
          <cell r="J2050">
            <v>12864</v>
          </cell>
        </row>
        <row r="2051">
          <cell r="A2051">
            <v>11692</v>
          </cell>
          <cell r="B2051" t="str">
            <v>4.2.01.060.0004</v>
          </cell>
          <cell r="C2051" t="str">
            <v xml:space="preserve">VIAGENS E ESTADIAS </v>
          </cell>
          <cell r="D2051">
            <v>6624.66</v>
          </cell>
          <cell r="E2051">
            <v>3720.62</v>
          </cell>
          <cell r="F2051">
            <v>81.11</v>
          </cell>
          <cell r="G2051">
            <v>3639.51</v>
          </cell>
          <cell r="H2051">
            <v>10264.17</v>
          </cell>
          <cell r="I2051" t="str">
            <v>D</v>
          </cell>
          <cell r="J2051">
            <v>11692</v>
          </cell>
        </row>
        <row r="2052">
          <cell r="A2052">
            <v>11784</v>
          </cell>
          <cell r="B2052" t="str">
            <v>4.2.01.060.0005</v>
          </cell>
          <cell r="C2052" t="str">
            <v xml:space="preserve">PUBLICIDADE E PROPAGANDA </v>
          </cell>
          <cell r="D2052">
            <v>13641.44</v>
          </cell>
          <cell r="E2052">
            <v>6137.5</v>
          </cell>
          <cell r="F2052">
            <v>0</v>
          </cell>
          <cell r="G2052">
            <v>6137.5</v>
          </cell>
          <cell r="H2052">
            <v>19778.939999999999</v>
          </cell>
          <cell r="I2052" t="str">
            <v>D</v>
          </cell>
          <cell r="J2052">
            <v>11784</v>
          </cell>
        </row>
        <row r="2053">
          <cell r="A2053">
            <v>11983</v>
          </cell>
          <cell r="B2053" t="str">
            <v>4.2.01.060.0006</v>
          </cell>
          <cell r="C2053" t="str">
            <v>LIVROS/JORNAIS/REVISTAS/PE</v>
          </cell>
          <cell r="D2053">
            <v>5727.72</v>
          </cell>
          <cell r="E2053">
            <v>2086.36</v>
          </cell>
          <cell r="F2053">
            <v>0</v>
          </cell>
          <cell r="G2053">
            <v>2086.36</v>
          </cell>
          <cell r="H2053">
            <v>7814.08</v>
          </cell>
          <cell r="I2053" t="str">
            <v>D</v>
          </cell>
          <cell r="J2053">
            <v>11983</v>
          </cell>
        </row>
        <row r="2054">
          <cell r="A2054">
            <v>12316</v>
          </cell>
          <cell r="B2054" t="str">
            <v>4.2.01.060.0007</v>
          </cell>
          <cell r="C2054" t="str">
            <v xml:space="preserve">BENS DE PEQUENO VALOR </v>
          </cell>
          <cell r="D2054">
            <v>70636.12</v>
          </cell>
          <cell r="E2054">
            <v>58659.41</v>
          </cell>
          <cell r="F2054">
            <v>106.68</v>
          </cell>
          <cell r="G2054">
            <v>58552.73</v>
          </cell>
          <cell r="H2054">
            <v>129188.85</v>
          </cell>
          <cell r="I2054" t="str">
            <v>D</v>
          </cell>
          <cell r="J2054">
            <v>12316</v>
          </cell>
        </row>
        <row r="2055">
          <cell r="A2055">
            <v>11611</v>
          </cell>
          <cell r="B2055" t="str">
            <v>4.2.01.060.0008</v>
          </cell>
          <cell r="C2055" t="str">
            <v xml:space="preserve">DESPESAS LEGAIS - </v>
          </cell>
          <cell r="D2055">
            <v>0</v>
          </cell>
          <cell r="E2055">
            <v>432.15</v>
          </cell>
          <cell r="F2055">
            <v>0</v>
          </cell>
          <cell r="G2055">
            <v>432.15</v>
          </cell>
          <cell r="H2055">
            <v>432.15</v>
          </cell>
          <cell r="I2055" t="str">
            <v>D</v>
          </cell>
          <cell r="J2055">
            <v>11611</v>
          </cell>
        </row>
        <row r="2056">
          <cell r="A2056">
            <v>11698</v>
          </cell>
          <cell r="B2056" t="str">
            <v>4.2.01.060.0009</v>
          </cell>
          <cell r="C2056" t="str">
            <v xml:space="preserve">CONDUCOES E PASSAGENS - </v>
          </cell>
          <cell r="D2056">
            <v>81.11</v>
          </cell>
          <cell r="E2056">
            <v>0</v>
          </cell>
          <cell r="F2056">
            <v>0</v>
          </cell>
          <cell r="G2056">
            <v>0</v>
          </cell>
          <cell r="H2056">
            <v>81.11</v>
          </cell>
          <cell r="I2056" t="str">
            <v>D</v>
          </cell>
          <cell r="J2056">
            <v>11698</v>
          </cell>
        </row>
        <row r="2057">
          <cell r="A2057">
            <v>11926</v>
          </cell>
          <cell r="B2057" t="str">
            <v>4.2.01.060.0010</v>
          </cell>
          <cell r="C2057" t="str">
            <v xml:space="preserve">PUBLICACOES LEGAIS - </v>
          </cell>
          <cell r="D2057">
            <v>0</v>
          </cell>
          <cell r="E2057">
            <v>12904.8</v>
          </cell>
          <cell r="F2057">
            <v>0</v>
          </cell>
          <cell r="G2057">
            <v>12904.8</v>
          </cell>
          <cell r="H2057">
            <v>12904.8</v>
          </cell>
          <cell r="I2057" t="str">
            <v>D</v>
          </cell>
          <cell r="J2057">
            <v>11926</v>
          </cell>
        </row>
        <row r="2058">
          <cell r="A2058">
            <v>11623</v>
          </cell>
          <cell r="B2058" t="str">
            <v>4.2.01.060.0014</v>
          </cell>
          <cell r="C2058" t="str">
            <v xml:space="preserve">OUTRAS DESPESAS - </v>
          </cell>
          <cell r="D2058">
            <v>2655.75</v>
          </cell>
          <cell r="E2058">
            <v>475.2</v>
          </cell>
          <cell r="F2058">
            <v>0</v>
          </cell>
          <cell r="G2058">
            <v>475.2</v>
          </cell>
          <cell r="H2058">
            <v>3130.95</v>
          </cell>
          <cell r="I2058" t="str">
            <v>D</v>
          </cell>
          <cell r="J2058">
            <v>11623</v>
          </cell>
        </row>
        <row r="2059">
          <cell r="A2059">
            <v>53803</v>
          </cell>
          <cell r="B2059" t="str">
            <v>4.2.01.060.0018</v>
          </cell>
          <cell r="C2059" t="str">
            <v>DESPESAS IEP</v>
          </cell>
          <cell r="D2059">
            <v>81887.67</v>
          </cell>
          <cell r="E2059">
            <v>40023.339999999997</v>
          </cell>
          <cell r="F2059">
            <v>0</v>
          </cell>
          <cell r="G2059">
            <v>40023.339999999997</v>
          </cell>
          <cell r="H2059">
            <v>121911.01</v>
          </cell>
          <cell r="I2059" t="str">
            <v>D</v>
          </cell>
          <cell r="J2059">
            <v>53803</v>
          </cell>
        </row>
        <row r="2060">
          <cell r="A2060">
            <v>53070</v>
          </cell>
          <cell r="B2060" t="str">
            <v>4.2.01.070</v>
          </cell>
          <cell r="C2060" t="str">
            <v>CARTORIO</v>
          </cell>
          <cell r="D2060">
            <v>-28.86</v>
          </cell>
          <cell r="E2060">
            <v>125.76</v>
          </cell>
          <cell r="F2060">
            <v>0</v>
          </cell>
          <cell r="G2060">
            <v>125.76</v>
          </cell>
          <cell r="H2060">
            <v>96.9</v>
          </cell>
          <cell r="I2060" t="str">
            <v>D</v>
          </cell>
          <cell r="J2060" t="e">
            <v>#N/A</v>
          </cell>
        </row>
        <row r="2061">
          <cell r="A2061">
            <v>51091</v>
          </cell>
          <cell r="B2061" t="str">
            <v>4.2.01.070.0001</v>
          </cell>
          <cell r="C2061" t="str">
            <v>AUTENTICACOES E.</v>
          </cell>
          <cell r="D2061">
            <v>66.62</v>
          </cell>
          <cell r="E2061">
            <v>30.28</v>
          </cell>
          <cell r="F2061">
            <v>0</v>
          </cell>
          <cell r="G2061">
            <v>30.28</v>
          </cell>
          <cell r="H2061">
            <v>96.9</v>
          </cell>
          <cell r="I2061" t="str">
            <v>D</v>
          </cell>
          <cell r="J2061">
            <v>51091</v>
          </cell>
        </row>
        <row r="2062">
          <cell r="A2062">
            <v>12291</v>
          </cell>
          <cell r="B2062" t="str">
            <v>4.2.01.070.0003</v>
          </cell>
          <cell r="C2062" t="str">
            <v>PROTESTO</v>
          </cell>
          <cell r="D2062">
            <v>-95.48</v>
          </cell>
          <cell r="E2062">
            <v>95.48</v>
          </cell>
          <cell r="F2062">
            <v>0</v>
          </cell>
          <cell r="G2062">
            <v>95.48</v>
          </cell>
          <cell r="H2062">
            <v>0</v>
          </cell>
          <cell r="I2062" t="str">
            <v>D</v>
          </cell>
          <cell r="J2062">
            <v>12291</v>
          </cell>
        </row>
        <row r="2063">
          <cell r="A2063">
            <v>11641</v>
          </cell>
          <cell r="B2063" t="str">
            <v>4.2.01.080</v>
          </cell>
          <cell r="C2063" t="str">
            <v>VEICULOS</v>
          </cell>
          <cell r="D2063">
            <v>24453.89</v>
          </cell>
          <cell r="E2063">
            <v>13584.76</v>
          </cell>
          <cell r="F2063">
            <v>130.16</v>
          </cell>
          <cell r="G2063">
            <v>13454.6</v>
          </cell>
          <cell r="H2063">
            <v>37908.49</v>
          </cell>
          <cell r="I2063" t="str">
            <v>D</v>
          </cell>
          <cell r="J2063" t="e">
            <v>#N/A</v>
          </cell>
        </row>
        <row r="2064">
          <cell r="A2064">
            <v>38302</v>
          </cell>
          <cell r="B2064" t="str">
            <v>4.2.01.080.0001</v>
          </cell>
          <cell r="C2064" t="str">
            <v xml:space="preserve">MULTAS DE TRANSITO </v>
          </cell>
          <cell r="D2064">
            <v>-260.32</v>
          </cell>
          <cell r="E2064">
            <v>625.26</v>
          </cell>
          <cell r="F2064">
            <v>130.16</v>
          </cell>
          <cell r="G2064">
            <v>495.1</v>
          </cell>
          <cell r="H2064">
            <v>234.78</v>
          </cell>
          <cell r="I2064" t="str">
            <v>D</v>
          </cell>
          <cell r="J2064">
            <v>38302</v>
          </cell>
        </row>
        <row r="2065">
          <cell r="A2065">
            <v>11652</v>
          </cell>
          <cell r="B2065" t="str">
            <v>4.2.01.080.0003</v>
          </cell>
          <cell r="C2065" t="str">
            <v xml:space="preserve">COMBUSTIVEL E </v>
          </cell>
          <cell r="D2065">
            <v>19758.21</v>
          </cell>
          <cell r="E2065">
            <v>11119.05</v>
          </cell>
          <cell r="F2065">
            <v>0</v>
          </cell>
          <cell r="G2065">
            <v>11119.05</v>
          </cell>
          <cell r="H2065">
            <v>30877.26</v>
          </cell>
          <cell r="I2065" t="str">
            <v>D</v>
          </cell>
          <cell r="J2065">
            <v>11652</v>
          </cell>
        </row>
        <row r="2066">
          <cell r="A2066">
            <v>11646</v>
          </cell>
          <cell r="B2066" t="str">
            <v>4.2.01.080.0004</v>
          </cell>
          <cell r="C2066" t="str">
            <v xml:space="preserve">MANUTENCAO VEICULOS </v>
          </cell>
          <cell r="D2066">
            <v>4956</v>
          </cell>
          <cell r="E2066">
            <v>1840.45</v>
          </cell>
          <cell r="F2066">
            <v>0</v>
          </cell>
          <cell r="G2066">
            <v>1840.45</v>
          </cell>
          <cell r="H2066">
            <v>6796.45</v>
          </cell>
          <cell r="I2066" t="str">
            <v>D</v>
          </cell>
          <cell r="J2066">
            <v>11646</v>
          </cell>
        </row>
        <row r="2067">
          <cell r="A2067">
            <v>11653</v>
          </cell>
          <cell r="B2067" t="str">
            <v>4.2.01.090</v>
          </cell>
          <cell r="C2067" t="str">
            <v>SEGUROS DIVERSOS</v>
          </cell>
          <cell r="D2067">
            <v>9025.18</v>
          </cell>
          <cell r="E2067">
            <v>4558.62</v>
          </cell>
          <cell r="F2067">
            <v>0</v>
          </cell>
          <cell r="G2067">
            <v>4558.62</v>
          </cell>
          <cell r="H2067">
            <v>13583.8</v>
          </cell>
          <cell r="I2067" t="str">
            <v>D</v>
          </cell>
          <cell r="J2067" t="e">
            <v>#N/A</v>
          </cell>
        </row>
        <row r="2068">
          <cell r="A2068">
            <v>11715</v>
          </cell>
          <cell r="B2068" t="str">
            <v>4.2.01.090.0002</v>
          </cell>
          <cell r="C2068" t="str">
            <v xml:space="preserve">BENS IMOVEIS SEGUROS </v>
          </cell>
          <cell r="D2068">
            <v>7310.62</v>
          </cell>
          <cell r="E2068">
            <v>3957.52</v>
          </cell>
          <cell r="F2068">
            <v>0</v>
          </cell>
          <cell r="G2068">
            <v>3957.52</v>
          </cell>
          <cell r="H2068">
            <v>11268.14</v>
          </cell>
          <cell r="I2068" t="str">
            <v>D</v>
          </cell>
          <cell r="J2068">
            <v>11715</v>
          </cell>
        </row>
        <row r="2069">
          <cell r="A2069">
            <v>11721</v>
          </cell>
          <cell r="B2069" t="str">
            <v>4.2.01.090.0003</v>
          </cell>
          <cell r="C2069" t="str">
            <v>VEICULOS SEGUROS</v>
          </cell>
          <cell r="D2069">
            <v>1714.56</v>
          </cell>
          <cell r="E2069">
            <v>601.1</v>
          </cell>
          <cell r="F2069">
            <v>0</v>
          </cell>
          <cell r="G2069">
            <v>601.1</v>
          </cell>
          <cell r="H2069">
            <v>2315.66</v>
          </cell>
          <cell r="I2069" t="str">
            <v>D</v>
          </cell>
          <cell r="J2069">
            <v>11721</v>
          </cell>
        </row>
        <row r="2070">
          <cell r="A2070">
            <v>11740</v>
          </cell>
          <cell r="B2070" t="str">
            <v>4.2.02</v>
          </cell>
          <cell r="C2070" t="str">
            <v xml:space="preserve">DEPRECIACOES E </v>
          </cell>
          <cell r="D2070">
            <v>446320.41</v>
          </cell>
          <cell r="E2070">
            <v>236117.94</v>
          </cell>
          <cell r="F2070">
            <v>0</v>
          </cell>
          <cell r="G2070">
            <v>236117.94</v>
          </cell>
          <cell r="H2070">
            <v>682438.35</v>
          </cell>
          <cell r="I2070" t="str">
            <v>D</v>
          </cell>
          <cell r="J2070" t="e">
            <v>#N/A</v>
          </cell>
        </row>
        <row r="2071">
          <cell r="A2071">
            <v>11741</v>
          </cell>
          <cell r="B2071" t="str">
            <v>4.2.02.010</v>
          </cell>
          <cell r="C2071" t="str">
            <v xml:space="preserve">DEPRECIACOES E </v>
          </cell>
          <cell r="D2071">
            <v>360831.98</v>
          </cell>
          <cell r="E2071">
            <v>193390.05</v>
          </cell>
          <cell r="F2071">
            <v>0</v>
          </cell>
          <cell r="G2071">
            <v>193390.05</v>
          </cell>
          <cell r="H2071">
            <v>554222.03</v>
          </cell>
          <cell r="I2071" t="str">
            <v>D</v>
          </cell>
          <cell r="J2071" t="e">
            <v>#N/A</v>
          </cell>
        </row>
        <row r="2072">
          <cell r="A2072">
            <v>33736</v>
          </cell>
          <cell r="B2072" t="str">
            <v>4.2.02.010.0001</v>
          </cell>
          <cell r="C2072" t="str">
            <v xml:space="preserve">DEPRECIACOES EDIFICACOES </v>
          </cell>
          <cell r="D2072">
            <v>65421.86</v>
          </cell>
          <cell r="E2072">
            <v>32710.93</v>
          </cell>
          <cell r="F2072">
            <v>0</v>
          </cell>
          <cell r="G2072">
            <v>32710.93</v>
          </cell>
          <cell r="H2072">
            <v>98132.79</v>
          </cell>
          <cell r="I2072" t="str">
            <v>D</v>
          </cell>
          <cell r="J2072">
            <v>33736</v>
          </cell>
        </row>
        <row r="2073">
          <cell r="A2073">
            <v>11750</v>
          </cell>
          <cell r="B2073" t="str">
            <v>4.2.02.010.0002</v>
          </cell>
          <cell r="C2073" t="str">
            <v>DEPRECIACOES  GERAIS</v>
          </cell>
          <cell r="D2073">
            <v>281839.86</v>
          </cell>
          <cell r="E2073">
            <v>153893.99</v>
          </cell>
          <cell r="F2073">
            <v>0</v>
          </cell>
          <cell r="G2073">
            <v>153893.99</v>
          </cell>
          <cell r="H2073">
            <v>435733.85</v>
          </cell>
          <cell r="I2073" t="str">
            <v>D</v>
          </cell>
          <cell r="J2073">
            <v>11750</v>
          </cell>
        </row>
        <row r="2074">
          <cell r="A2074">
            <v>11761</v>
          </cell>
          <cell r="B2074" t="str">
            <v>4.2.02.010.0003</v>
          </cell>
          <cell r="C2074" t="str">
            <v xml:space="preserve">AMORTIZACOES </v>
          </cell>
          <cell r="D2074">
            <v>13570.26</v>
          </cell>
          <cell r="E2074">
            <v>6785.13</v>
          </cell>
          <cell r="F2074">
            <v>0</v>
          </cell>
          <cell r="G2074">
            <v>6785.13</v>
          </cell>
          <cell r="H2074">
            <v>20355.39</v>
          </cell>
          <cell r="I2074" t="str">
            <v>D</v>
          </cell>
          <cell r="J2074">
            <v>11761</v>
          </cell>
        </row>
        <row r="2075">
          <cell r="A2075">
            <v>53696</v>
          </cell>
          <cell r="B2075" t="str">
            <v>4.2.02.011</v>
          </cell>
          <cell r="C2075" t="str">
            <v xml:space="preserve">DEPRECIACAO E </v>
          </cell>
          <cell r="D2075">
            <v>85488.43</v>
          </cell>
          <cell r="E2075">
            <v>42727.89</v>
          </cell>
          <cell r="F2075">
            <v>0</v>
          </cell>
          <cell r="G2075">
            <v>42727.89</v>
          </cell>
          <cell r="H2075">
            <v>128216.32000000001</v>
          </cell>
          <cell r="I2075" t="str">
            <v>D</v>
          </cell>
          <cell r="J2075" t="e">
            <v>#N/A</v>
          </cell>
        </row>
        <row r="2076">
          <cell r="A2076">
            <v>51430</v>
          </cell>
          <cell r="B2076" t="str">
            <v>4.2.02.011.0001</v>
          </cell>
          <cell r="C2076" t="str">
            <v xml:space="preserve">DEPRECIACOES COM </v>
          </cell>
          <cell r="D2076">
            <v>85488.43</v>
          </cell>
          <cell r="E2076">
            <v>42727.89</v>
          </cell>
          <cell r="F2076">
            <v>0</v>
          </cell>
          <cell r="G2076">
            <v>42727.89</v>
          </cell>
          <cell r="H2076">
            <v>128216.32000000001</v>
          </cell>
          <cell r="I2076" t="str">
            <v>D</v>
          </cell>
          <cell r="J2076">
            <v>51430</v>
          </cell>
        </row>
        <row r="2077">
          <cell r="A2077">
            <v>11803</v>
          </cell>
          <cell r="B2077" t="str">
            <v>4.2.03</v>
          </cell>
          <cell r="C2077" t="str">
            <v xml:space="preserve">TAXAS </v>
          </cell>
          <cell r="D2077">
            <v>292478.52</v>
          </cell>
          <cell r="E2077">
            <v>795446.23</v>
          </cell>
          <cell r="F2077">
            <v>369324.04</v>
          </cell>
          <cell r="G2077">
            <v>426122.19</v>
          </cell>
          <cell r="H2077">
            <v>718600.71</v>
          </cell>
          <cell r="I2077" t="str">
            <v>D</v>
          </cell>
          <cell r="J2077" t="e">
            <v>#N/A</v>
          </cell>
        </row>
        <row r="2078">
          <cell r="A2078">
            <v>11804</v>
          </cell>
          <cell r="B2078" t="str">
            <v>4.2.03.010</v>
          </cell>
          <cell r="C2078" t="str">
            <v>TRIBUTOS</v>
          </cell>
          <cell r="D2078">
            <v>152706.51</v>
          </cell>
          <cell r="E2078">
            <v>381751.25</v>
          </cell>
          <cell r="F2078">
            <v>365710.6</v>
          </cell>
          <cell r="G2078">
            <v>16040.65</v>
          </cell>
          <cell r="H2078">
            <v>168747.16</v>
          </cell>
          <cell r="I2078" t="str">
            <v>D</v>
          </cell>
          <cell r="J2078" t="e">
            <v>#N/A</v>
          </cell>
        </row>
        <row r="2079">
          <cell r="A2079">
            <v>11820</v>
          </cell>
          <cell r="B2079" t="str">
            <v>4.2.03.010.0002</v>
          </cell>
          <cell r="C2079" t="str">
            <v xml:space="preserve">IMPOSTOS MUNICIPAIS </v>
          </cell>
          <cell r="D2079">
            <v>57231.12</v>
          </cell>
          <cell r="E2079">
            <v>209.67</v>
          </cell>
          <cell r="F2079">
            <v>661.78</v>
          </cell>
          <cell r="G2079">
            <v>-452.11</v>
          </cell>
          <cell r="H2079">
            <v>56779.01</v>
          </cell>
          <cell r="I2079" t="str">
            <v>D</v>
          </cell>
          <cell r="J2079">
            <v>11820</v>
          </cell>
        </row>
        <row r="2080">
          <cell r="A2080">
            <v>12314</v>
          </cell>
          <cell r="B2080" t="str">
            <v>4.2.03.010.0005</v>
          </cell>
          <cell r="C2080" t="str">
            <v>TAXAS E LICENCAS</v>
          </cell>
          <cell r="D2080">
            <v>46057.18</v>
          </cell>
          <cell r="E2080">
            <v>367965.36</v>
          </cell>
          <cell r="F2080">
            <v>365048.82</v>
          </cell>
          <cell r="G2080">
            <v>2916.54</v>
          </cell>
          <cell r="H2080">
            <v>48973.72</v>
          </cell>
          <cell r="I2080" t="str">
            <v>D</v>
          </cell>
          <cell r="J2080">
            <v>12314</v>
          </cell>
        </row>
        <row r="2081">
          <cell r="A2081">
            <v>12336</v>
          </cell>
          <cell r="B2081" t="str">
            <v>4.2.03.010.0006</v>
          </cell>
          <cell r="C2081" t="str">
            <v xml:space="preserve">CONTRIBUICAO E </v>
          </cell>
          <cell r="D2081">
            <v>49099.040000000001</v>
          </cell>
          <cell r="E2081">
            <v>13576.22</v>
          </cell>
          <cell r="F2081">
            <v>0</v>
          </cell>
          <cell r="G2081">
            <v>13576.22</v>
          </cell>
          <cell r="H2081">
            <v>62675.26</v>
          </cell>
          <cell r="I2081" t="str">
            <v>D</v>
          </cell>
          <cell r="J2081">
            <v>12336</v>
          </cell>
        </row>
        <row r="2082">
          <cell r="A2082">
            <v>11862</v>
          </cell>
          <cell r="B2082" t="str">
            <v>4.2.03.010.0007</v>
          </cell>
          <cell r="C2082" t="str">
            <v xml:space="preserve">OUTROS TRIBUTOS - </v>
          </cell>
          <cell r="D2082">
            <v>319.17</v>
          </cell>
          <cell r="E2082">
            <v>0</v>
          </cell>
          <cell r="F2082">
            <v>0</v>
          </cell>
          <cell r="G2082">
            <v>0</v>
          </cell>
          <cell r="H2082">
            <v>319.17</v>
          </cell>
          <cell r="I2082" t="str">
            <v>D</v>
          </cell>
          <cell r="J2082">
            <v>11862</v>
          </cell>
        </row>
        <row r="2083">
          <cell r="A2083">
            <v>11869</v>
          </cell>
          <cell r="B2083" t="str">
            <v>4.2.03.020</v>
          </cell>
          <cell r="C2083" t="str">
            <v>JUDICIAIS E CONTINGENCIAS</v>
          </cell>
          <cell r="D2083">
            <v>139772.01</v>
          </cell>
          <cell r="E2083">
            <v>413694.98</v>
          </cell>
          <cell r="F2083">
            <v>3613.44</v>
          </cell>
          <cell r="G2083">
            <v>410081.54</v>
          </cell>
          <cell r="H2083">
            <v>549853.55000000005</v>
          </cell>
          <cell r="I2083" t="str">
            <v>D</v>
          </cell>
          <cell r="J2083" t="e">
            <v>#N/A</v>
          </cell>
        </row>
        <row r="2084">
          <cell r="A2084">
            <v>11972</v>
          </cell>
          <cell r="B2084" t="str">
            <v>4.2.03.020.0004</v>
          </cell>
          <cell r="C2084" t="str">
            <v xml:space="preserve">JUDICIAIS </v>
          </cell>
          <cell r="D2084">
            <v>111583.1</v>
          </cell>
          <cell r="E2084">
            <v>399572.25</v>
          </cell>
          <cell r="F2084">
            <v>3613.44</v>
          </cell>
          <cell r="G2084">
            <v>395958.81</v>
          </cell>
          <cell r="H2084">
            <v>507541.91</v>
          </cell>
          <cell r="I2084" t="str">
            <v>D</v>
          </cell>
          <cell r="J2084">
            <v>11972</v>
          </cell>
        </row>
        <row r="2085">
          <cell r="A2085">
            <v>51514</v>
          </cell>
          <cell r="B2085" t="str">
            <v>4.2.03.020.0005</v>
          </cell>
          <cell r="C2085" t="str">
            <v>MULTA ADMINISTRATIVAS</v>
          </cell>
          <cell r="D2085">
            <v>16545.150000000001</v>
          </cell>
          <cell r="E2085">
            <v>8241.2099999999991</v>
          </cell>
          <cell r="F2085">
            <v>0</v>
          </cell>
          <cell r="G2085">
            <v>8241.2099999999991</v>
          </cell>
          <cell r="H2085">
            <v>24786.36</v>
          </cell>
          <cell r="I2085" t="str">
            <v>D</v>
          </cell>
          <cell r="J2085">
            <v>51514</v>
          </cell>
        </row>
        <row r="2086">
          <cell r="A2086">
            <v>52148</v>
          </cell>
          <cell r="B2086" t="str">
            <v>4.2.03.020.0006</v>
          </cell>
          <cell r="C2086" t="str">
            <v xml:space="preserve">MULTA CLT (AUTO DE </v>
          </cell>
          <cell r="D2086">
            <v>11643.76</v>
          </cell>
          <cell r="E2086">
            <v>5881.52</v>
          </cell>
          <cell r="F2086">
            <v>0</v>
          </cell>
          <cell r="G2086">
            <v>5881.52</v>
          </cell>
          <cell r="H2086">
            <v>17525.28</v>
          </cell>
          <cell r="I2086" t="str">
            <v>D</v>
          </cell>
          <cell r="J2086">
            <v>52148</v>
          </cell>
        </row>
        <row r="2087">
          <cell r="A2087">
            <v>11064</v>
          </cell>
          <cell r="B2087" t="str">
            <v>4.3</v>
          </cell>
          <cell r="C2087" t="str">
            <v>DESPESAS FINANCEIRAS</v>
          </cell>
          <cell r="D2087">
            <v>1250674.51</v>
          </cell>
          <cell r="E2087">
            <v>596240.96</v>
          </cell>
          <cell r="F2087">
            <v>1405.36</v>
          </cell>
          <cell r="G2087">
            <v>594835.6</v>
          </cell>
          <cell r="H2087">
            <v>1845510.11</v>
          </cell>
          <cell r="I2087" t="str">
            <v>D</v>
          </cell>
          <cell r="J2087" t="e">
            <v>#N/A</v>
          </cell>
        </row>
        <row r="2088">
          <cell r="A2088">
            <v>11065</v>
          </cell>
          <cell r="B2088" t="str">
            <v>4.3.01</v>
          </cell>
          <cell r="C2088" t="str">
            <v>DESPESAS FINANCEIRAS</v>
          </cell>
          <cell r="D2088">
            <v>1250674.51</v>
          </cell>
          <cell r="E2088">
            <v>596240.96</v>
          </cell>
          <cell r="F2088">
            <v>1405.36</v>
          </cell>
          <cell r="G2088">
            <v>594835.6</v>
          </cell>
          <cell r="H2088">
            <v>1845510.11</v>
          </cell>
          <cell r="I2088" t="str">
            <v>D</v>
          </cell>
          <cell r="J2088" t="e">
            <v>#N/A</v>
          </cell>
        </row>
        <row r="2089">
          <cell r="A2089">
            <v>11140</v>
          </cell>
          <cell r="B2089" t="str">
            <v>4.3.01.010</v>
          </cell>
          <cell r="C2089" t="str">
            <v xml:space="preserve">EMPRESTIMOS  BANCARIOS </v>
          </cell>
          <cell r="D2089">
            <v>1198860.08</v>
          </cell>
          <cell r="E2089">
            <v>549242.89</v>
          </cell>
          <cell r="F2089">
            <v>172.77</v>
          </cell>
          <cell r="G2089">
            <v>549070.12</v>
          </cell>
          <cell r="H2089">
            <v>1747930.2</v>
          </cell>
          <cell r="I2089" t="str">
            <v>D</v>
          </cell>
          <cell r="J2089" t="e">
            <v>#N/A</v>
          </cell>
        </row>
        <row r="2090">
          <cell r="A2090">
            <v>11159</v>
          </cell>
          <cell r="B2090" t="str">
            <v>4.3.01.010.0001</v>
          </cell>
          <cell r="C2090" t="str">
            <v xml:space="preserve">JUROS BANCARIOS </v>
          </cell>
          <cell r="D2090">
            <v>1179448.3600000001</v>
          </cell>
          <cell r="E2090">
            <v>546094.04</v>
          </cell>
          <cell r="F2090">
            <v>0</v>
          </cell>
          <cell r="G2090">
            <v>546094.04</v>
          </cell>
          <cell r="H2090">
            <v>1725542.3999999999</v>
          </cell>
          <cell r="I2090" t="str">
            <v>D</v>
          </cell>
          <cell r="J2090">
            <v>11159</v>
          </cell>
        </row>
        <row r="2091">
          <cell r="A2091">
            <v>11161</v>
          </cell>
          <cell r="B2091" t="str">
            <v>4.3.01.010.0003</v>
          </cell>
          <cell r="C2091" t="str">
            <v>TAXAS CARTOES</v>
          </cell>
          <cell r="D2091">
            <v>4048.71</v>
          </cell>
          <cell r="E2091">
            <v>2280.65</v>
          </cell>
          <cell r="F2091">
            <v>172.77</v>
          </cell>
          <cell r="G2091">
            <v>2107.88</v>
          </cell>
          <cell r="H2091">
            <v>6156.59</v>
          </cell>
          <cell r="I2091" t="str">
            <v>D</v>
          </cell>
          <cell r="J2091">
            <v>11161</v>
          </cell>
        </row>
        <row r="2092">
          <cell r="A2092">
            <v>11122</v>
          </cell>
          <cell r="B2092" t="str">
            <v>4.3.01.010.0004</v>
          </cell>
          <cell r="C2092" t="str">
            <v xml:space="preserve">DESCONTOS CONCEDIDOS </v>
          </cell>
          <cell r="D2092">
            <v>15363.01</v>
          </cell>
          <cell r="E2092">
            <v>868.2</v>
          </cell>
          <cell r="F2092">
            <v>0</v>
          </cell>
          <cell r="G2092">
            <v>868.2</v>
          </cell>
          <cell r="H2092">
            <v>16231.21</v>
          </cell>
          <cell r="I2092" t="str">
            <v>D</v>
          </cell>
          <cell r="J2092">
            <v>11122</v>
          </cell>
        </row>
        <row r="2093">
          <cell r="A2093">
            <v>11164</v>
          </cell>
          <cell r="B2093" t="str">
            <v>4.3.01.020</v>
          </cell>
          <cell r="C2093" t="str">
            <v xml:space="preserve">FINANCEIRA </v>
          </cell>
          <cell r="D2093">
            <v>819.35</v>
          </cell>
          <cell r="E2093">
            <v>1638.7</v>
          </cell>
          <cell r="F2093">
            <v>0</v>
          </cell>
          <cell r="G2093">
            <v>1638.7</v>
          </cell>
          <cell r="H2093">
            <v>2458.0500000000002</v>
          </cell>
          <cell r="I2093" t="str">
            <v>D</v>
          </cell>
          <cell r="J2093" t="e">
            <v>#N/A</v>
          </cell>
        </row>
        <row r="2094">
          <cell r="A2094">
            <v>11177</v>
          </cell>
          <cell r="B2094" t="str">
            <v>4.3.01.020.0001</v>
          </cell>
          <cell r="C2094" t="str">
            <v xml:space="preserve">JUROS SOBRE </v>
          </cell>
          <cell r="D2094">
            <v>819.35</v>
          </cell>
          <cell r="E2094">
            <v>1638.7</v>
          </cell>
          <cell r="F2094">
            <v>0</v>
          </cell>
          <cell r="G2094">
            <v>1638.7</v>
          </cell>
          <cell r="H2094">
            <v>2458.0500000000002</v>
          </cell>
          <cell r="I2094" t="str">
            <v>D</v>
          </cell>
          <cell r="J2094">
            <v>11177</v>
          </cell>
        </row>
        <row r="2095">
          <cell r="A2095">
            <v>11183</v>
          </cell>
          <cell r="B2095" t="str">
            <v>4.3.01.030</v>
          </cell>
          <cell r="C2095" t="str">
            <v xml:space="preserve"> FINANCEIRAS ENCARGOS DE </v>
          </cell>
          <cell r="D2095">
            <v>-364.11</v>
          </cell>
          <cell r="E2095">
            <v>12961.76</v>
          </cell>
          <cell r="F2095">
            <v>1232.5899999999999</v>
          </cell>
          <cell r="G2095">
            <v>11729.17</v>
          </cell>
          <cell r="H2095">
            <v>11365.06</v>
          </cell>
          <cell r="I2095" t="str">
            <v>D</v>
          </cell>
          <cell r="J2095" t="e">
            <v>#N/A</v>
          </cell>
        </row>
        <row r="2096">
          <cell r="A2096">
            <v>11195</v>
          </cell>
          <cell r="B2096" t="str">
            <v>4.3.01.030.0001</v>
          </cell>
          <cell r="C2096" t="str">
            <v xml:space="preserve">JUROS (IRRF/CSRF) </v>
          </cell>
          <cell r="D2096">
            <v>-52.14</v>
          </cell>
          <cell r="E2096">
            <v>682.32</v>
          </cell>
          <cell r="F2096">
            <v>233.95</v>
          </cell>
          <cell r="G2096">
            <v>448.37</v>
          </cell>
          <cell r="H2096">
            <v>396.23</v>
          </cell>
          <cell r="I2096" t="str">
            <v>D</v>
          </cell>
          <cell r="J2096">
            <v>11195</v>
          </cell>
        </row>
        <row r="2097">
          <cell r="A2097">
            <v>32896</v>
          </cell>
          <cell r="B2097" t="str">
            <v>4.3.01.030.0002</v>
          </cell>
          <cell r="C2097" t="str">
            <v xml:space="preserve">JUROS (INSS/FGTS) </v>
          </cell>
          <cell r="D2097">
            <v>509.02</v>
          </cell>
          <cell r="E2097">
            <v>10738.47</v>
          </cell>
          <cell r="F2097">
            <v>199.23</v>
          </cell>
          <cell r="G2097">
            <v>10539.24</v>
          </cell>
          <cell r="H2097">
            <v>11048.26</v>
          </cell>
          <cell r="I2097" t="str">
            <v>D</v>
          </cell>
          <cell r="J2097">
            <v>32896</v>
          </cell>
        </row>
        <row r="2098">
          <cell r="A2098">
            <v>11196</v>
          </cell>
          <cell r="B2098" t="str">
            <v>4.3.01.030.0003</v>
          </cell>
          <cell r="C2098" t="str">
            <v>MULTAS (IRRF/CSRF)</v>
          </cell>
          <cell r="D2098">
            <v>-628.82000000000005</v>
          </cell>
          <cell r="E2098">
            <v>1518.49</v>
          </cell>
          <cell r="F2098">
            <v>799.41</v>
          </cell>
          <cell r="G2098">
            <v>719.08</v>
          </cell>
          <cell r="H2098">
            <v>90.26</v>
          </cell>
          <cell r="I2098" t="str">
            <v>D</v>
          </cell>
          <cell r="J2098">
            <v>11196</v>
          </cell>
        </row>
        <row r="2099">
          <cell r="A2099">
            <v>32897</v>
          </cell>
          <cell r="B2099" t="str">
            <v>4.3.01.030.0004</v>
          </cell>
          <cell r="C2099" t="str">
            <v xml:space="preserve">MULTAS (INSS/FGTS) </v>
          </cell>
          <cell r="D2099">
            <v>-192.17</v>
          </cell>
          <cell r="E2099">
            <v>22.48</v>
          </cell>
          <cell r="F2099">
            <v>0</v>
          </cell>
          <cell r="G2099">
            <v>22.48</v>
          </cell>
          <cell r="H2099">
            <v>-169.69</v>
          </cell>
          <cell r="I2099" t="str">
            <v>C</v>
          </cell>
          <cell r="J2099">
            <v>32897</v>
          </cell>
        </row>
        <row r="2100">
          <cell r="A2100">
            <v>11218</v>
          </cell>
          <cell r="B2100" t="str">
            <v>4.3.01.040</v>
          </cell>
          <cell r="C2100" t="str">
            <v>PAGAMENTOS EM ATRASO</v>
          </cell>
          <cell r="D2100">
            <v>12951.9</v>
          </cell>
          <cell r="E2100">
            <v>8192.34</v>
          </cell>
          <cell r="F2100">
            <v>0</v>
          </cell>
          <cell r="G2100">
            <v>8192.34</v>
          </cell>
          <cell r="H2100">
            <v>21144.240000000002</v>
          </cell>
          <cell r="I2100" t="str">
            <v>D</v>
          </cell>
          <cell r="J2100" t="e">
            <v>#N/A</v>
          </cell>
        </row>
        <row r="2101">
          <cell r="A2101">
            <v>11231</v>
          </cell>
          <cell r="B2101" t="str">
            <v>4.3.01.040.0001</v>
          </cell>
          <cell r="C2101" t="str">
            <v xml:space="preserve">JUROS PASSIVOS </v>
          </cell>
          <cell r="D2101">
            <v>12951.9</v>
          </cell>
          <cell r="E2101">
            <v>8192.34</v>
          </cell>
          <cell r="F2101">
            <v>0</v>
          </cell>
          <cell r="G2101">
            <v>8192.34</v>
          </cell>
          <cell r="H2101">
            <v>21144.240000000002</v>
          </cell>
          <cell r="I2101" t="str">
            <v>D</v>
          </cell>
          <cell r="J2101">
            <v>11231</v>
          </cell>
        </row>
        <row r="2102">
          <cell r="A2102">
            <v>11274</v>
          </cell>
          <cell r="B2102" t="str">
            <v>4.3.01.050</v>
          </cell>
          <cell r="C2102" t="str">
            <v xml:space="preserve">BANCARIAS </v>
          </cell>
          <cell r="D2102">
            <v>38407.29</v>
          </cell>
          <cell r="E2102">
            <v>24205.27</v>
          </cell>
          <cell r="F2102">
            <v>0</v>
          </cell>
          <cell r="G2102">
            <v>24205.27</v>
          </cell>
          <cell r="H2102">
            <v>62612.56</v>
          </cell>
          <cell r="I2102" t="str">
            <v>D</v>
          </cell>
          <cell r="J2102" t="e">
            <v>#N/A</v>
          </cell>
        </row>
        <row r="2103">
          <cell r="A2103">
            <v>11259</v>
          </cell>
          <cell r="B2103" t="str">
            <v>4.3.01.050.0001</v>
          </cell>
          <cell r="C2103" t="str">
            <v xml:space="preserve">IMPOSTO SOBRE OPERACOES </v>
          </cell>
          <cell r="D2103">
            <v>0.19</v>
          </cell>
          <cell r="E2103">
            <v>220.41</v>
          </cell>
          <cell r="F2103">
            <v>0</v>
          </cell>
          <cell r="G2103">
            <v>220.41</v>
          </cell>
          <cell r="H2103">
            <v>220.6</v>
          </cell>
          <cell r="I2103" t="str">
            <v>D</v>
          </cell>
          <cell r="J2103">
            <v>11259</v>
          </cell>
        </row>
        <row r="2104">
          <cell r="A2104">
            <v>12867</v>
          </cell>
          <cell r="B2104" t="str">
            <v>4.3.01.050.0002</v>
          </cell>
          <cell r="C2104" t="str">
            <v>TARIFAS BANCARIAS</v>
          </cell>
          <cell r="D2104">
            <v>38407.1</v>
          </cell>
          <cell r="E2104">
            <v>23984.86</v>
          </cell>
          <cell r="F2104">
            <v>0</v>
          </cell>
          <cell r="G2104">
            <v>23984.86</v>
          </cell>
          <cell r="H2104">
            <v>62391.96</v>
          </cell>
          <cell r="I2104" t="str">
            <v>D</v>
          </cell>
          <cell r="J2104">
            <v>12867</v>
          </cell>
        </row>
        <row r="2105">
          <cell r="B2105">
            <v>0</v>
          </cell>
          <cell r="C2105">
            <v>205060848.46000001</v>
          </cell>
          <cell r="D2105">
            <v>205060848.46000001</v>
          </cell>
        </row>
        <row r="2106">
          <cell r="A2106" t="str">
            <v>Total :</v>
          </cell>
          <cell r="B2106">
            <v>2103</v>
          </cell>
          <cell r="C2106" t="str">
            <v>Contas</v>
          </cell>
        </row>
        <row r="2107">
          <cell r="A2107" t="str">
            <v>Resultado :</v>
          </cell>
          <cell r="B2107">
            <v>3185443.62</v>
          </cell>
        </row>
        <row r="2108">
          <cell r="B2108" t="str">
            <v>IVA MOLINA</v>
          </cell>
          <cell r="K2108" t="str">
            <v>ALANA CARMO SIMÕES RIBEIRO</v>
          </cell>
        </row>
        <row r="2109">
          <cell r="L2109" t="str">
            <v>CRC:</v>
          </cell>
          <cell r="M2109" t="str">
            <v>1SP330055/O</v>
          </cell>
          <cell r="P2109" t="str">
            <v>CPF:</v>
          </cell>
          <cell r="Q2109" t="str">
            <v>408.655.788-69</v>
          </cell>
        </row>
        <row r="2110">
          <cell r="B2110" t="str">
            <v>Responsável</v>
          </cell>
          <cell r="K2110" t="str">
            <v>Contador</v>
          </cell>
        </row>
      </sheetData>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3" Type="http://schemas.openxmlformats.org/officeDocument/2006/relationships/hyperlink" Target="../../../../../Rafaela%20Garcia/2022/3.%20Mar&#231;o/Or&#231;amento/Lucimara/55248.pdf" TargetMode="External"/><Relationship Id="rId18" Type="http://schemas.openxmlformats.org/officeDocument/2006/relationships/hyperlink" Target="../../../../../Rafaela%20Garcia/2022/3.%20Mar&#231;o/Or&#231;amento/Lucimara/5193.pdf" TargetMode="External"/><Relationship Id="rId26" Type="http://schemas.openxmlformats.org/officeDocument/2006/relationships/hyperlink" Target="../../../../../Rafaela%20Garcia/2022/3.%20Mar&#231;o/Or&#231;amento/Lucimara/55246.pdf" TargetMode="External"/><Relationship Id="rId3" Type="http://schemas.openxmlformats.org/officeDocument/2006/relationships/hyperlink" Target="../../../../../Rafaela%20Garcia/2022/3.%20Mar&#231;o/Or&#231;amento/4882.pdf" TargetMode="External"/><Relationship Id="rId21" Type="http://schemas.openxmlformats.org/officeDocument/2006/relationships/hyperlink" Target="../../../../../Rafaela%20Garcia/2022/3.%20Mar&#231;o/Or&#231;amento/Lucimara/12258.pdf" TargetMode="External"/><Relationship Id="rId7" Type="http://schemas.openxmlformats.org/officeDocument/2006/relationships/hyperlink" Target="../../../../../Rafaela%20Garcia/2022/3.%20Mar&#231;o/Or&#231;amento/Lucimara/4893.pdf" TargetMode="External"/><Relationship Id="rId12" Type="http://schemas.openxmlformats.org/officeDocument/2006/relationships/hyperlink" Target="../../../../../Rafaela%20Garcia/2022/3.%20Mar&#231;o/Or&#231;amento/Lucimara/55265.pdf" TargetMode="External"/><Relationship Id="rId17" Type="http://schemas.openxmlformats.org/officeDocument/2006/relationships/hyperlink" Target="../../../../../Rafaela%20Garcia/2022/3.%20Mar&#231;o/Or&#231;amento/Lucimara/5180.pdf" TargetMode="External"/><Relationship Id="rId25" Type="http://schemas.openxmlformats.org/officeDocument/2006/relationships/hyperlink" Target="../../../../../Rafaela%20Garcia/2022/3.%20Mar&#231;o/Or&#231;amento/Lucimara/5181.pdf" TargetMode="External"/><Relationship Id="rId33" Type="http://schemas.openxmlformats.org/officeDocument/2006/relationships/drawing" Target="../drawings/drawing8.xml"/><Relationship Id="rId2" Type="http://schemas.openxmlformats.org/officeDocument/2006/relationships/hyperlink" Target="../../../../../Rafaela%20Garcia/2022/3.%20Mar&#231;o/Or&#231;amento/4904.pdf" TargetMode="External"/><Relationship Id="rId16" Type="http://schemas.openxmlformats.org/officeDocument/2006/relationships/hyperlink" Target="../../../../../Rafaela%20Garcia/2022/3.%20Mar&#231;o/Or&#231;amento/Lucimara/27432.pdf" TargetMode="External"/><Relationship Id="rId20" Type="http://schemas.openxmlformats.org/officeDocument/2006/relationships/hyperlink" Target="../../../../../Rafaela%20Garcia/2022/3.%20Mar&#231;o/Or&#231;amento/Lucimara/27379.pdf" TargetMode="External"/><Relationship Id="rId29" Type="http://schemas.openxmlformats.org/officeDocument/2006/relationships/hyperlink" Target="../../../../../Rafaela%20Garcia/2022/3.%20Mar&#231;o/Or&#231;amento/Lucimara/5177.pdf" TargetMode="External"/><Relationship Id="rId1" Type="http://schemas.openxmlformats.org/officeDocument/2006/relationships/hyperlink" Target="../../../../../Rafaela%20Garcia/2022/3.%20Mar&#231;o/Or&#231;amento/51150.pdf" TargetMode="External"/><Relationship Id="rId6" Type="http://schemas.openxmlformats.org/officeDocument/2006/relationships/hyperlink" Target="../../../../../Rafaela%20Garcia/2022/3.%20Mar&#231;o/Or&#231;amento/Lucimara/53330.pdf" TargetMode="External"/><Relationship Id="rId11" Type="http://schemas.openxmlformats.org/officeDocument/2006/relationships/hyperlink" Target="../../../../../Rafaela%20Garcia/2022/3.%20Mar&#231;o/Or&#231;amento/Lucimara/55261.pdf" TargetMode="External"/><Relationship Id="rId24" Type="http://schemas.openxmlformats.org/officeDocument/2006/relationships/hyperlink" Target="../../../../../Rafaela%20Garcia/2022/3.%20Mar&#231;o/Or&#231;amento/Lucimara/55244.pdf" TargetMode="External"/><Relationship Id="rId32" Type="http://schemas.openxmlformats.org/officeDocument/2006/relationships/printerSettings" Target="../printerSettings/printerSettings9.bin"/><Relationship Id="rId5" Type="http://schemas.openxmlformats.org/officeDocument/2006/relationships/hyperlink" Target="../../../../../Rafaela%20Garcia/2022/3.%20Mar&#231;o/Or&#231;amento/Lucimara/4888.pdf" TargetMode="External"/><Relationship Id="rId15" Type="http://schemas.openxmlformats.org/officeDocument/2006/relationships/hyperlink" Target="../../../../../Rafaela%20Garcia/2022/3.%20Mar&#231;o/Or&#231;amento/Lucimara/55247.pdf" TargetMode="External"/><Relationship Id="rId23" Type="http://schemas.openxmlformats.org/officeDocument/2006/relationships/hyperlink" Target="../../../../../Rafaela%20Garcia/2022/3.%20Mar&#231;o/Or&#231;amento/Lucimara/5001.pdf" TargetMode="External"/><Relationship Id="rId28" Type="http://schemas.openxmlformats.org/officeDocument/2006/relationships/hyperlink" Target="../../../../../Rafaela%20Garcia/2022/3.%20Mar&#231;o/Or&#231;amento/Lucimara/32733.pdf" TargetMode="External"/><Relationship Id="rId10" Type="http://schemas.openxmlformats.org/officeDocument/2006/relationships/hyperlink" Target="../../../../../Rafaela%20Garcia/2022/3.%20Mar&#231;o/Or&#231;amento/Lucimara/53296.pdf" TargetMode="External"/><Relationship Id="rId19" Type="http://schemas.openxmlformats.org/officeDocument/2006/relationships/hyperlink" Target="../../../../../Rafaela%20Garcia/2022/3.%20Mar&#231;o/Or&#231;amento/Lucimara/5194.pdf" TargetMode="External"/><Relationship Id="rId31" Type="http://schemas.openxmlformats.org/officeDocument/2006/relationships/hyperlink" Target="../../../../../Rafaela%20Garcia/2022/3.%20Mar&#231;o/Or&#231;amento/Lucimara/55291.pdf" TargetMode="External"/><Relationship Id="rId4" Type="http://schemas.openxmlformats.org/officeDocument/2006/relationships/hyperlink" Target="../../../../../Rafaela%20Garcia/2022/3.%20Mar&#231;o/Or&#231;amento/4887.pdf" TargetMode="External"/><Relationship Id="rId9" Type="http://schemas.openxmlformats.org/officeDocument/2006/relationships/hyperlink" Target="../../../../../Rafaela%20Garcia/2022/3.%20Mar&#231;o/Or&#231;amento/Lucimara/53295.pdf" TargetMode="External"/><Relationship Id="rId14" Type="http://schemas.openxmlformats.org/officeDocument/2006/relationships/hyperlink" Target="../../../../../Rafaela%20Garcia/2022/3.%20Mar&#231;o/Or&#231;amento/Lucimara/55249.pdf" TargetMode="External"/><Relationship Id="rId22" Type="http://schemas.openxmlformats.org/officeDocument/2006/relationships/hyperlink" Target="../../../../../Rafaela%20Garcia/2022/3.%20Mar&#231;o/Or&#231;amento/Lucimara/12474.pdf" TargetMode="External"/><Relationship Id="rId27" Type="http://schemas.openxmlformats.org/officeDocument/2006/relationships/hyperlink" Target="../../../../../Rafaela%20Garcia/2022/3.%20Mar&#231;o/Or&#231;amento/Lucimara/5195.pdf" TargetMode="External"/><Relationship Id="rId30" Type="http://schemas.openxmlformats.org/officeDocument/2006/relationships/hyperlink" Target="../../../../../Rafaela%20Garcia/2022/3.%20Mar&#231;o/Or&#231;amento/Lucimara/55245.pdf" TargetMode="External"/><Relationship Id="rId8" Type="http://schemas.openxmlformats.org/officeDocument/2006/relationships/hyperlink" Target="../../../../../Rafaela%20Garcia/2022/3.%20Mar&#231;o/Or&#231;amento/Lucimara/54814.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8" Type="http://schemas.openxmlformats.org/officeDocument/2006/relationships/hyperlink" Target="../../../../../Rafaela%20Garcia/2022/3.%20Mar&#231;o/Or&#231;amento/Anderson/37763.pdf" TargetMode="External"/><Relationship Id="rId13" Type="http://schemas.openxmlformats.org/officeDocument/2006/relationships/drawing" Target="../drawings/drawing11.xml"/><Relationship Id="rId3" Type="http://schemas.openxmlformats.org/officeDocument/2006/relationships/hyperlink" Target="../../../../../Rafaela%20Garcia/2022/3.%20Mar&#231;o/Or&#231;amento/Anderson/12338.pdf" TargetMode="External"/><Relationship Id="rId7" Type="http://schemas.openxmlformats.org/officeDocument/2006/relationships/hyperlink" Target="../../../../../Rafaela%20Garcia/2022/3.%20Mar&#231;o/Or&#231;amento/Anderson/12331.pdf" TargetMode="External"/><Relationship Id="rId12" Type="http://schemas.openxmlformats.org/officeDocument/2006/relationships/printerSettings" Target="../printerSettings/printerSettings10.bin"/><Relationship Id="rId2" Type="http://schemas.openxmlformats.org/officeDocument/2006/relationships/hyperlink" Target="../../../../../Rafaela%20Garcia/2022/3.%20Mar&#231;o/Or&#231;amento/Anderson/32497.pdf" TargetMode="External"/><Relationship Id="rId1" Type="http://schemas.openxmlformats.org/officeDocument/2006/relationships/hyperlink" Target="../../../../../Rafaela%20Garcia/2022/3.%20Mar&#231;o/Or&#231;amento/Anderson/11416.pdf" TargetMode="External"/><Relationship Id="rId6" Type="http://schemas.openxmlformats.org/officeDocument/2006/relationships/hyperlink" Target="../../../../../Rafaela%20Garcia/2022/3.%20Mar&#231;o/Or&#231;amento/Anderson/12333.pdf" TargetMode="External"/><Relationship Id="rId11" Type="http://schemas.openxmlformats.org/officeDocument/2006/relationships/hyperlink" Target="../../../../../Rafaela%20Garcia/2022/3.%20Mar&#231;o/Or&#231;amento/Anderson/12865.pdf" TargetMode="External"/><Relationship Id="rId5" Type="http://schemas.openxmlformats.org/officeDocument/2006/relationships/hyperlink" Target="../../../../../Rafaela%20Garcia/2022/3.%20Mar&#231;o/Or&#231;amento/Anderson/54164.pdf" TargetMode="External"/><Relationship Id="rId10" Type="http://schemas.openxmlformats.org/officeDocument/2006/relationships/hyperlink" Target="../../../../../Rafaela%20Garcia/2022/3.%20Mar&#231;o/Or&#231;amento/Anderson/12332.pdf" TargetMode="External"/><Relationship Id="rId4" Type="http://schemas.openxmlformats.org/officeDocument/2006/relationships/hyperlink" Target="../../../../../Rafaela%20Garcia/2022/3.%20Mar&#231;o/Or&#231;amento/Anderson/12881.pdf" TargetMode="External"/><Relationship Id="rId9" Type="http://schemas.openxmlformats.org/officeDocument/2006/relationships/hyperlink" Target="../../../../../Rafaela%20Garcia/2022/3.%20Mar&#231;o/Or&#231;amento/Anderson/37259.pdf"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Rafaela%20Garcia/2022/3.%20Mar&#231;o/Or&#231;amento/M&#225;rcia/11721.pdf" TargetMode="External"/><Relationship Id="rId13" Type="http://schemas.openxmlformats.org/officeDocument/2006/relationships/hyperlink" Target="../../../../../Rafaela%20Garcia/2022/3.%20Mar&#231;o/Or&#231;amento/M&#225;rcia/36873.pdf" TargetMode="External"/><Relationship Id="rId18" Type="http://schemas.openxmlformats.org/officeDocument/2006/relationships/hyperlink" Target="../../../../../Rafaela%20Garcia/2022/3.%20Mar&#231;o/Or&#231;amento/M&#225;rcia/11369.pdf" TargetMode="External"/><Relationship Id="rId26" Type="http://schemas.openxmlformats.org/officeDocument/2006/relationships/hyperlink" Target="../../../../../Rafaela%20Garcia/2022/3.%20Mar&#231;o/Or&#231;amento/M&#225;rcia/12204.pdf" TargetMode="External"/><Relationship Id="rId3" Type="http://schemas.openxmlformats.org/officeDocument/2006/relationships/hyperlink" Target="../../../../../Rafaela%20Garcia/2022/3.%20Mar&#231;o/Or&#231;amento/M&#225;rcia/11470.pdf" TargetMode="External"/><Relationship Id="rId21" Type="http://schemas.openxmlformats.org/officeDocument/2006/relationships/hyperlink" Target="../../../../../Rafaela%20Garcia/2022/3.%20Mar&#231;o/Or&#231;amento/M&#225;rcia/11715.pdf" TargetMode="External"/><Relationship Id="rId7" Type="http://schemas.openxmlformats.org/officeDocument/2006/relationships/hyperlink" Target="../../../../../Rafaela%20Garcia/2022/3.%20Mar&#231;o/Or&#231;amento/M&#225;rcia/11646.pdf" TargetMode="External"/><Relationship Id="rId12" Type="http://schemas.openxmlformats.org/officeDocument/2006/relationships/hyperlink" Target="../../../../../Rafaela%20Garcia/2022/3.%20Mar&#231;o/Or&#231;amento/M&#225;rcia/11392.pdf" TargetMode="External"/><Relationship Id="rId17" Type="http://schemas.openxmlformats.org/officeDocument/2006/relationships/hyperlink" Target="../../../../../Rafaela%20Garcia/2022/3.%20Mar&#231;o/Or&#231;amento/M&#225;rcia/53468.pdf" TargetMode="External"/><Relationship Id="rId25" Type="http://schemas.openxmlformats.org/officeDocument/2006/relationships/hyperlink" Target="../../../../../Rafaela%20Garcia/2022/3.%20Mar&#231;o/Or&#231;amento/M&#225;rcia/11304.pdf" TargetMode="External"/><Relationship Id="rId2" Type="http://schemas.openxmlformats.org/officeDocument/2006/relationships/hyperlink" Target="../../../../../Rafaela%20Garcia/2022/3.%20Mar&#231;o/Or&#231;amento/M&#225;rcia/11498.pdf" TargetMode="External"/><Relationship Id="rId16" Type="http://schemas.openxmlformats.org/officeDocument/2006/relationships/hyperlink" Target="../../../../../Rafaela%20Garcia/2022/3.%20Mar&#231;o/Or&#231;amento/M&#225;rcia/53469.pdf" TargetMode="External"/><Relationship Id="rId20" Type="http://schemas.openxmlformats.org/officeDocument/2006/relationships/hyperlink" Target="../../../../../Rafaela%20Garcia/2022/3.%20Mar&#231;o/Or&#231;amento/M&#225;rcia/11346.pdf" TargetMode="External"/><Relationship Id="rId29" Type="http://schemas.openxmlformats.org/officeDocument/2006/relationships/drawing" Target="../drawings/drawing12.xml"/><Relationship Id="rId1" Type="http://schemas.openxmlformats.org/officeDocument/2006/relationships/hyperlink" Target="../../../../../Rafaela%20Garcia/2022/3.%20Mar&#231;o/Or&#231;amento/M&#225;rcia/11316.pdf" TargetMode="External"/><Relationship Id="rId6" Type="http://schemas.openxmlformats.org/officeDocument/2006/relationships/hyperlink" Target="../../../../../Rafaela%20Garcia/2022/3.%20Mar&#231;o/Or&#231;amento/M&#225;rcia/12320.pdf" TargetMode="External"/><Relationship Id="rId11" Type="http://schemas.openxmlformats.org/officeDocument/2006/relationships/hyperlink" Target="../../../../../Rafaela%20Garcia/2022/3.%20Mar&#231;o/Or&#231;amento/M&#225;rcia/11623.pdf" TargetMode="External"/><Relationship Id="rId24" Type="http://schemas.openxmlformats.org/officeDocument/2006/relationships/hyperlink" Target="../../../../../Rafaela%20Garcia/2022/3.%20Mar&#231;o/Or&#231;amento/M&#225;rcia/12267.pdf" TargetMode="External"/><Relationship Id="rId5" Type="http://schemas.openxmlformats.org/officeDocument/2006/relationships/hyperlink" Target="../../../../../Rafaela%20Garcia/2022/3.%20Mar&#231;o/Or&#231;amento/M&#225;rcia/12336.pdf" TargetMode="External"/><Relationship Id="rId15" Type="http://schemas.openxmlformats.org/officeDocument/2006/relationships/hyperlink" Target="../../../../../Rafaela%20Garcia/2022/3.%20Mar&#231;o/Or&#231;amento/M&#225;rcia/11322.pdf" TargetMode="External"/><Relationship Id="rId23" Type="http://schemas.openxmlformats.org/officeDocument/2006/relationships/hyperlink" Target="../../../../../Rafaela%20Garcia/2022/3.%20Mar&#231;o/Or&#231;amento/M&#225;rcia/11540.pdf" TargetMode="External"/><Relationship Id="rId28" Type="http://schemas.openxmlformats.org/officeDocument/2006/relationships/hyperlink" Target="../../../../../Rafaela%20Garcia/2022/3.%20Mar&#231;o/Or&#231;amento/M&#225;rcia/11481.pdf" TargetMode="External"/><Relationship Id="rId10" Type="http://schemas.openxmlformats.org/officeDocument/2006/relationships/hyperlink" Target="../../../../../Rafaela%20Garcia/2022/3.%20Mar&#231;o/Or&#231;amento/M&#225;rcia/52206.pdf" TargetMode="External"/><Relationship Id="rId19" Type="http://schemas.openxmlformats.org/officeDocument/2006/relationships/hyperlink" Target="../../../../../Rafaela%20Garcia/2022/3.%20Mar&#231;o/Or&#231;amento/M&#225;rcia/11298.pdf" TargetMode="External"/><Relationship Id="rId31" Type="http://schemas.openxmlformats.org/officeDocument/2006/relationships/comments" Target="../comments2.xml"/><Relationship Id="rId4" Type="http://schemas.openxmlformats.org/officeDocument/2006/relationships/hyperlink" Target="../../../../../Rafaela%20Garcia/2022/3.%20Mar&#231;o/Or&#231;amento/M&#225;rcia/11652.pdf" TargetMode="External"/><Relationship Id="rId9" Type="http://schemas.openxmlformats.org/officeDocument/2006/relationships/hyperlink" Target="../../../../../Rafaela%20Garcia/2022/3.%20Mar&#231;o/Or&#231;amento/M&#225;rcia/38302.pdf" TargetMode="External"/><Relationship Id="rId14" Type="http://schemas.openxmlformats.org/officeDocument/2006/relationships/hyperlink" Target="../../../../../Rafaela%20Garcia/2022/3.%20Mar&#231;o/Or&#231;amento/M&#225;rcia/12276.pdf" TargetMode="External"/><Relationship Id="rId22" Type="http://schemas.openxmlformats.org/officeDocument/2006/relationships/hyperlink" Target="../../../../../Rafaela%20Garcia/2022/3.%20Mar&#231;o/Or&#231;amento/M&#225;rcia/11422.pdf" TargetMode="External"/><Relationship Id="rId27" Type="http://schemas.openxmlformats.org/officeDocument/2006/relationships/hyperlink" Target="../../../../../Rafaela%20Garcia/2022/3.%20Mar&#231;o/Or&#231;amento/M&#225;rcia/11434.pdf" TargetMode="External"/><Relationship Id="rId30" Type="http://schemas.openxmlformats.org/officeDocument/2006/relationships/vmlDrawing" Target="../drawings/vmlDrawing2.vml"/></Relationships>
</file>

<file path=xl/worksheets/_rels/sheet16.xml.rels><?xml version="1.0" encoding="UTF-8" standalone="yes"?>
<Relationships xmlns="http://schemas.openxmlformats.org/package/2006/relationships"><Relationship Id="rId8" Type="http://schemas.openxmlformats.org/officeDocument/2006/relationships/hyperlink" Target="../../../../../Rafaela%20Garcia/2022/3.%20Mar&#231;o/Or&#231;amento/Fernando/12329.pdf" TargetMode="External"/><Relationship Id="rId3" Type="http://schemas.openxmlformats.org/officeDocument/2006/relationships/hyperlink" Target="../../../../../Rafaela%20Garcia/2022/3.%20Mar&#231;o/Or&#231;amento/Fernando/54554.pdf" TargetMode="External"/><Relationship Id="rId7" Type="http://schemas.openxmlformats.org/officeDocument/2006/relationships/hyperlink" Target="../../../../../Rafaela%20Garcia/2022/3.%20Mar&#231;o/Or&#231;amento/Fernando/12301.pdf" TargetMode="External"/><Relationship Id="rId2" Type="http://schemas.openxmlformats.org/officeDocument/2006/relationships/hyperlink" Target="../../../../../Rafaela%20Garcia/2022/3.%20Mar&#231;o/Or&#231;amento/Fernando/12325.pdf" TargetMode="External"/><Relationship Id="rId1" Type="http://schemas.openxmlformats.org/officeDocument/2006/relationships/hyperlink" Target="../../../../../Rafaela%20Garcia/2022/3.%20Mar&#231;o/Or&#231;amento/Fernando/12328.pdf" TargetMode="External"/><Relationship Id="rId6" Type="http://schemas.openxmlformats.org/officeDocument/2006/relationships/hyperlink" Target="../../../../../Rafaela%20Garcia/2022/3.%20Mar&#231;o/Or&#231;amento/Fernando/12297.pdf" TargetMode="External"/><Relationship Id="rId11" Type="http://schemas.openxmlformats.org/officeDocument/2006/relationships/drawing" Target="../drawings/drawing13.xml"/><Relationship Id="rId5" Type="http://schemas.openxmlformats.org/officeDocument/2006/relationships/hyperlink" Target="../../../../../Rafaela%20Garcia/2022/3.%20Mar&#231;o/Or&#231;amento/Fernando/11605.pdf" TargetMode="External"/><Relationship Id="rId10" Type="http://schemas.openxmlformats.org/officeDocument/2006/relationships/hyperlink" Target="../../../../../Rafaela%20Garcia/2022/3.%20Mar&#231;o/Or&#231;amento/Fernando/12316.pdf" TargetMode="External"/><Relationship Id="rId4" Type="http://schemas.openxmlformats.org/officeDocument/2006/relationships/hyperlink" Target="../../../../../Rafaela%20Garcia/2022/3.%20Mar&#231;o/Or&#231;amento/Fernando/12299.pdf" TargetMode="External"/><Relationship Id="rId9" Type="http://schemas.openxmlformats.org/officeDocument/2006/relationships/hyperlink" Target="../../../../../Rafaela%20Garcia/2022/3.%20Mar&#231;o/Or&#231;amento/Fernando/51649.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Rafaela%20Garcia/2022/3.%20Mar&#231;o/Or&#231;amento/N&#237;via/11972.pdf" TargetMode="External"/><Relationship Id="rId18" Type="http://schemas.openxmlformats.org/officeDocument/2006/relationships/hyperlink" Target="../../../../../Rafaela%20Garcia/2022/3.%20Mar&#231;o/Or&#231;amento/N&#237;via/11534.pdf" TargetMode="External"/><Relationship Id="rId26" Type="http://schemas.openxmlformats.org/officeDocument/2006/relationships/hyperlink" Target="../../../../../Rafaela%20Garcia/2022/3.%20Mar&#231;o/Or&#231;amento/N&#237;via/11159.pdf" TargetMode="External"/><Relationship Id="rId39" Type="http://schemas.openxmlformats.org/officeDocument/2006/relationships/hyperlink" Target="../../../../../Rafaela%20Garcia/2022/3.%20Mar&#231;o/Or&#231;amento/N&#237;via/12291.pdf" TargetMode="External"/><Relationship Id="rId21" Type="http://schemas.openxmlformats.org/officeDocument/2006/relationships/hyperlink" Target="../../../../../Rafaela%20Garcia/2022/3.%20Mar&#231;o/Or&#231;amento/N&#237;via/11522.pdf" TargetMode="External"/><Relationship Id="rId34" Type="http://schemas.openxmlformats.org/officeDocument/2006/relationships/hyperlink" Target="../../../../../Rafaela%20Garcia/2022/3.%20Mar&#231;o/Or&#231;amento/N&#237;via/37992.pdf" TargetMode="External"/><Relationship Id="rId42" Type="http://schemas.openxmlformats.org/officeDocument/2006/relationships/hyperlink" Target="../../../../../Rafaela%20Garcia/2022/3.%20Mar&#231;o/Or&#231;amento/N&#237;via/11692.pdf" TargetMode="External"/><Relationship Id="rId7" Type="http://schemas.openxmlformats.org/officeDocument/2006/relationships/hyperlink" Target="../../../../../Rafaela%20Garcia/2022/3.%20Mar&#231;o/Or&#231;amento/N&#237;via/32897.pdf" TargetMode="External"/><Relationship Id="rId2" Type="http://schemas.openxmlformats.org/officeDocument/2006/relationships/hyperlink" Target="../../../../../Rafaela%20Garcia/2022/3.%20Mar&#231;o/Or&#231;amento/N&#237;via/11563.pdf" TargetMode="External"/><Relationship Id="rId16" Type="http://schemas.openxmlformats.org/officeDocument/2006/relationships/hyperlink" Target="../../../../../Rafaela%20Garcia/2022/3.%20Mar&#231;o/Or&#231;amento/N&#237;via/12864.pdf" TargetMode="External"/><Relationship Id="rId20" Type="http://schemas.openxmlformats.org/officeDocument/2006/relationships/hyperlink" Target="../../../../../Rafaela%20Garcia/2022/3.%20Mar&#231;o/Or&#231;amento/N&#237;via/11516.pdf" TargetMode="External"/><Relationship Id="rId29" Type="http://schemas.openxmlformats.org/officeDocument/2006/relationships/hyperlink" Target="../../../../../Rafaela%20Garcia/2022/3.%20Mar&#231;o/Or&#231;amento/N&#237;via/11669.pdf" TargetMode="External"/><Relationship Id="rId41" Type="http://schemas.openxmlformats.org/officeDocument/2006/relationships/hyperlink" Target="../../../../../Rafaela%20Garcia/2022/3.%20Mar&#231;o/Or&#231;amento/N&#237;via/11926.pdf" TargetMode="External"/><Relationship Id="rId1" Type="http://schemas.openxmlformats.org/officeDocument/2006/relationships/hyperlink" Target="../../../../../Rafaela%20Garcia/2022/3.%20Mar&#231;o/Or&#231;amento/N&#237;via/33248.pdf" TargetMode="External"/><Relationship Id="rId6" Type="http://schemas.openxmlformats.org/officeDocument/2006/relationships/hyperlink" Target="../../../../../Rafaela%20Garcia/2022/3.%20Mar&#231;o/Or&#231;amento/N&#237;via/32896.pdf" TargetMode="External"/><Relationship Id="rId11" Type="http://schemas.openxmlformats.org/officeDocument/2006/relationships/hyperlink" Target="../../../../../Rafaela%20Garcia/2022/3.%20Mar&#231;o/Or&#231;amento/N&#237;via/51430.pdf" TargetMode="External"/><Relationship Id="rId24" Type="http://schemas.openxmlformats.org/officeDocument/2006/relationships/hyperlink" Target="../../../../../Rafaela%20Garcia/2022/3.%20Mar&#231;o/Or&#231;amento/N&#237;via/11122.pdf" TargetMode="External"/><Relationship Id="rId32" Type="http://schemas.openxmlformats.org/officeDocument/2006/relationships/hyperlink" Target="../../../../../Rafaela%20Garcia/2022/3.%20Mar&#231;o/Or&#231;amento/N&#237;via/33263.pdf" TargetMode="External"/><Relationship Id="rId37" Type="http://schemas.openxmlformats.org/officeDocument/2006/relationships/hyperlink" Target="../../../../../Rafaela%20Garcia/2022/3.%20Mar&#231;o/Or&#231;amento/N&#237;via/11161.pdf" TargetMode="External"/><Relationship Id="rId40" Type="http://schemas.openxmlformats.org/officeDocument/2006/relationships/hyperlink" Target="../../../../../Rafaela%20Garcia/2022/3.%20Mar&#231;o/Or&#231;amento/N&#237;via/11698.pdf" TargetMode="External"/><Relationship Id="rId5" Type="http://schemas.openxmlformats.org/officeDocument/2006/relationships/hyperlink" Target="../../../../../Rafaela%20Garcia/2022/3.%20Mar&#231;o/Or&#231;amento/N&#237;via/11196.pdf" TargetMode="External"/><Relationship Id="rId15" Type="http://schemas.openxmlformats.org/officeDocument/2006/relationships/hyperlink" Target="../../../../../Rafaela%20Garcia/2022/3.%20Mar&#231;o/Or&#231;amento/N&#237;via/11704.pdf" TargetMode="External"/><Relationship Id="rId23" Type="http://schemas.openxmlformats.org/officeDocument/2006/relationships/hyperlink" Target="../../../../../Rafaela%20Garcia/2022/3.%20Mar&#231;o/Or&#231;amento/N&#237;via/11820.pdf" TargetMode="External"/><Relationship Id="rId28" Type="http://schemas.openxmlformats.org/officeDocument/2006/relationships/hyperlink" Target="../../../../../Rafaela%20Garcia/2022/3.%20Mar&#231;o/Or&#231;amento/N&#237;via/11983.pdf" TargetMode="External"/><Relationship Id="rId36" Type="http://schemas.openxmlformats.org/officeDocument/2006/relationships/hyperlink" Target="../../../../../Rafaela%20Garcia/2022/3.%20Mar&#231;o/Or&#231;amento/N&#237;via/11259.pdf" TargetMode="External"/><Relationship Id="rId10" Type="http://schemas.openxmlformats.org/officeDocument/2006/relationships/hyperlink" Target="../../../../../Rafaela%20Garcia/2022/3.%20Mar&#231;o/Or&#231;amento/N&#237;via/11750.pdf" TargetMode="External"/><Relationship Id="rId19" Type="http://schemas.openxmlformats.org/officeDocument/2006/relationships/hyperlink" Target="../../../../../Rafaela%20Garcia/2022/3.%20Mar&#231;o/Or&#231;amento/N&#237;via/11510.pdf" TargetMode="External"/><Relationship Id="rId31" Type="http://schemas.openxmlformats.org/officeDocument/2006/relationships/hyperlink" Target="../../../../../Rafaela%20Garcia/2022/3.%20Mar&#231;o/Or&#231;amento/N&#237;via/52148.pdf" TargetMode="External"/><Relationship Id="rId44" Type="http://schemas.openxmlformats.org/officeDocument/2006/relationships/drawing" Target="../drawings/drawing14.xml"/><Relationship Id="rId4" Type="http://schemas.openxmlformats.org/officeDocument/2006/relationships/hyperlink" Target="../../../../../Rafaela%20Garcia/2022/3.%20Mar&#231;o/Or&#231;amento/N&#237;via/11195.pdf" TargetMode="External"/><Relationship Id="rId9" Type="http://schemas.openxmlformats.org/officeDocument/2006/relationships/hyperlink" Target="../../../../../Rafaela%20Garcia/2022/3.%20Mar&#231;o/Or&#231;amento/N&#237;via/51091.pdf" TargetMode="External"/><Relationship Id="rId14" Type="http://schemas.openxmlformats.org/officeDocument/2006/relationships/hyperlink" Target="../../../../../Rafaela%20Garcia/2022/3.%20Mar&#231;o/Or&#231;amento/N&#237;via/11611.pdf" TargetMode="External"/><Relationship Id="rId22" Type="http://schemas.openxmlformats.org/officeDocument/2006/relationships/hyperlink" Target="../../../../../Rafaela%20Garcia/2022/3.%20Mar&#231;o/Or&#231;amento/N&#237;via/11527.pdf" TargetMode="External"/><Relationship Id="rId27" Type="http://schemas.openxmlformats.org/officeDocument/2006/relationships/hyperlink" Target="../../../../../Rafaela%20Garcia/2022/3.%20Mar&#231;o/Or&#231;amento/N&#237;via/11231.pdf" TargetMode="External"/><Relationship Id="rId30" Type="http://schemas.openxmlformats.org/officeDocument/2006/relationships/hyperlink" Target="../../../../../Rafaela%20Garcia/2022/3.%20Mar&#231;o/Or&#231;amento/N&#237;via/51514.pdf" TargetMode="External"/><Relationship Id="rId35" Type="http://schemas.openxmlformats.org/officeDocument/2006/relationships/hyperlink" Target="../../../../../Rafaela%20Garcia/2022/3.%20Mar&#231;o/Or&#231;amento/N&#237;via/12867.pdf" TargetMode="External"/><Relationship Id="rId43" Type="http://schemas.openxmlformats.org/officeDocument/2006/relationships/printerSettings" Target="../printerSettings/printerSettings11.bin"/><Relationship Id="rId8" Type="http://schemas.openxmlformats.org/officeDocument/2006/relationships/hyperlink" Target="../../../../../Rafaela%20Garcia/2022/3.%20Mar&#231;o/Or&#231;amento/N&#237;via/11862.pdf" TargetMode="External"/><Relationship Id="rId3" Type="http://schemas.openxmlformats.org/officeDocument/2006/relationships/hyperlink" Target="../../../../../Rafaela%20Garcia/2022/3.%20Mar&#231;o/Or&#231;amento/N&#237;via/11761.pdf" TargetMode="External"/><Relationship Id="rId12" Type="http://schemas.openxmlformats.org/officeDocument/2006/relationships/hyperlink" Target="../../../../../Rafaela%20Garcia/2022/3.%20Mar&#231;o/Or&#231;amento/N&#237;via/33736.pdf" TargetMode="External"/><Relationship Id="rId17" Type="http://schemas.openxmlformats.org/officeDocument/2006/relationships/hyperlink" Target="../../../../../Rafaela%20Garcia/2022/3.%20Mar&#231;o/Or&#231;amento/N&#237;via/11784.pdf" TargetMode="External"/><Relationship Id="rId25" Type="http://schemas.openxmlformats.org/officeDocument/2006/relationships/hyperlink" Target="../../../../../Rafaela%20Garcia/2022/3.%20Mar&#231;o/Or&#231;amento/N&#237;via/11177.pdf" TargetMode="External"/><Relationship Id="rId33" Type="http://schemas.openxmlformats.org/officeDocument/2006/relationships/hyperlink" Target="../../../../../Rafaela%20Garcia/2022/3.%20Mar&#231;o/Or&#231;amento/N&#237;via/33097.pdf" TargetMode="External"/><Relationship Id="rId38" Type="http://schemas.openxmlformats.org/officeDocument/2006/relationships/hyperlink" Target="../../../../../Rafaela%20Garcia/2022/3.%20Mar&#231;o/Or&#231;amento/N&#237;via/12314.pdf"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Rafaela%20Garcia/2022/3.%20Mar&#231;o/Or&#231;amento/Segato/12272.pdf" TargetMode="External"/><Relationship Id="rId13" Type="http://schemas.openxmlformats.org/officeDocument/2006/relationships/drawing" Target="../drawings/drawing15.xml"/><Relationship Id="rId3" Type="http://schemas.openxmlformats.org/officeDocument/2006/relationships/hyperlink" Target="../../../../../Rafaela%20Garcia/2022/3.%20Mar&#231;o/Or&#231;amento/Segato/11528.pdf" TargetMode="External"/><Relationship Id="rId7" Type="http://schemas.openxmlformats.org/officeDocument/2006/relationships/hyperlink" Target="../../../../../Rafaela%20Garcia/2022/3.%20Mar&#231;o/Or&#231;amento/Segato/51673.pdf" TargetMode="External"/><Relationship Id="rId12" Type="http://schemas.openxmlformats.org/officeDocument/2006/relationships/printerSettings" Target="../printerSettings/printerSettings12.bin"/><Relationship Id="rId2" Type="http://schemas.openxmlformats.org/officeDocument/2006/relationships/hyperlink" Target="../../../../../Rafaela%20Garcia/2022/3.%20Mar&#231;o/Or&#231;amento/Segato/12293.pdf" TargetMode="External"/><Relationship Id="rId1" Type="http://schemas.openxmlformats.org/officeDocument/2006/relationships/hyperlink" Target="../../../../../Rafaela%20Garcia/2022/3.%20Mar&#231;o/Or&#231;amento/Segato/11634.pdf" TargetMode="External"/><Relationship Id="rId6" Type="http://schemas.openxmlformats.org/officeDocument/2006/relationships/hyperlink" Target="../../../../../Rafaela%20Garcia/2022/3.%20Mar&#231;o/Or&#231;amento/Segato/53792.pdf" TargetMode="External"/><Relationship Id="rId11" Type="http://schemas.openxmlformats.org/officeDocument/2006/relationships/hyperlink" Target="../../../../../Rafaela%20Garcia/2022/3.%20Mar&#231;o/Or&#231;amento/Segato/11675.pdf" TargetMode="External"/><Relationship Id="rId5" Type="http://schemas.openxmlformats.org/officeDocument/2006/relationships/hyperlink" Target="../../../../../Rafaela%20Garcia/2022/3.%20Mar&#231;o/Or&#231;amento/Segato/51127.pdf" TargetMode="External"/><Relationship Id="rId15" Type="http://schemas.openxmlformats.org/officeDocument/2006/relationships/comments" Target="../comments3.xml"/><Relationship Id="rId10" Type="http://schemas.openxmlformats.org/officeDocument/2006/relationships/hyperlink" Target="../../../../../Rafaela%20Garcia/2022/3.%20Mar&#231;o/Or&#231;amento/Segato/12305.pdf" TargetMode="External"/><Relationship Id="rId4" Type="http://schemas.openxmlformats.org/officeDocument/2006/relationships/hyperlink" Target="../../../../../Rafaela%20Garcia/2022/3.%20Mar&#231;o/Or&#231;amento/Segato/12303.pdf" TargetMode="External"/><Relationship Id="rId9" Type="http://schemas.openxmlformats.org/officeDocument/2006/relationships/hyperlink" Target="../../../../../Rafaela%20Garcia/2022/3.%20Mar&#231;o/Or&#231;amento/Segato/33004.pdf" TargetMode="External"/><Relationship Id="rId1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458"/>
  <sheetViews>
    <sheetView workbookViewId="0">
      <pane xSplit="10" ySplit="3" topLeftCell="K4" activePane="bottomRight" state="frozen"/>
      <selection activeCell="A9" sqref="A9"/>
      <selection pane="topRight" activeCell="A9" sqref="A9"/>
      <selection pane="bottomLeft" activeCell="A9" sqref="A9"/>
      <selection pane="bottomRight" activeCell="A9" sqref="A9"/>
    </sheetView>
  </sheetViews>
  <sheetFormatPr defaultRowHeight="15.75" customHeight="1" x14ac:dyDescent="0.25"/>
  <cols>
    <col min="1" max="1" width="9.140625" style="264"/>
    <col min="2" max="2" width="17.5703125" style="264" customWidth="1"/>
    <col min="3" max="3" width="16.85546875" style="271" hidden="1" customWidth="1"/>
    <col min="4" max="4" width="16.85546875" style="272" hidden="1" customWidth="1"/>
    <col min="5" max="5" width="16.85546875" style="267" hidden="1" customWidth="1"/>
    <col min="6" max="8" width="16.85546875" style="273" hidden="1" customWidth="1"/>
    <col min="9" max="10" width="16.85546875" style="267" hidden="1" customWidth="1"/>
    <col min="11" max="14" width="16.85546875" style="267" bestFit="1" customWidth="1"/>
    <col min="15" max="15" width="18" style="312" bestFit="1" customWidth="1"/>
    <col min="16" max="18" width="14.7109375" style="268" customWidth="1"/>
    <col min="19" max="19" width="18.28515625" style="264" customWidth="1"/>
    <col min="20" max="20" width="13" style="264" customWidth="1"/>
    <col min="21" max="21" width="12.7109375" style="264" customWidth="1"/>
    <col min="22" max="22" width="13.7109375" style="264" customWidth="1"/>
    <col min="23" max="34" width="16.85546875" style="267" bestFit="1" customWidth="1"/>
    <col min="35" max="35" width="18" style="264" bestFit="1" customWidth="1"/>
    <col min="36" max="16384" width="9.140625" style="264"/>
  </cols>
  <sheetData>
    <row r="1" spans="1:35" ht="21" x14ac:dyDescent="0.35">
      <c r="B1" s="265"/>
      <c r="C1" s="265"/>
      <c r="D1" s="265"/>
      <c r="E1" s="265"/>
      <c r="F1" s="266" t="s">
        <v>301</v>
      </c>
      <c r="G1" s="265"/>
      <c r="H1" s="265"/>
      <c r="I1" s="265"/>
      <c r="K1" s="265"/>
      <c r="L1" s="265"/>
      <c r="M1" s="265"/>
      <c r="N1" s="265"/>
      <c r="O1" s="265"/>
      <c r="T1" s="269"/>
      <c r="U1" s="270"/>
      <c r="W1" s="265"/>
      <c r="X1" s="265"/>
      <c r="Y1" s="265"/>
      <c r="Z1" s="265"/>
      <c r="AA1" s="265"/>
      <c r="AB1" s="265"/>
      <c r="AC1" s="265"/>
      <c r="AD1" s="265"/>
      <c r="AE1" s="265"/>
      <c r="AF1" s="265"/>
      <c r="AG1" s="265"/>
      <c r="AH1" s="265"/>
    </row>
    <row r="2" spans="1:35" ht="15.75" customHeight="1" x14ac:dyDescent="0.25">
      <c r="O2" s="274"/>
    </row>
    <row r="3" spans="1:35" s="279" customFormat="1" ht="33.75" customHeight="1" x14ac:dyDescent="0.25">
      <c r="A3" s="2654" t="s">
        <v>226</v>
      </c>
      <c r="B3" s="2655"/>
      <c r="C3" s="275" t="s">
        <v>302</v>
      </c>
      <c r="D3" s="275" t="s">
        <v>303</v>
      </c>
      <c r="E3" s="275" t="s">
        <v>304</v>
      </c>
      <c r="F3" s="275" t="s">
        <v>305</v>
      </c>
      <c r="G3" s="275" t="s">
        <v>306</v>
      </c>
      <c r="H3" s="275" t="s">
        <v>307</v>
      </c>
      <c r="I3" s="275" t="s">
        <v>308</v>
      </c>
      <c r="J3" s="275" t="s">
        <v>309</v>
      </c>
      <c r="K3" s="275" t="s">
        <v>310</v>
      </c>
      <c r="L3" s="275" t="s">
        <v>311</v>
      </c>
      <c r="M3" s="275" t="s">
        <v>312</v>
      </c>
      <c r="N3" s="275" t="s">
        <v>313</v>
      </c>
      <c r="O3" s="275" t="s">
        <v>314</v>
      </c>
      <c r="P3" s="276" t="s">
        <v>223</v>
      </c>
      <c r="Q3" s="276"/>
      <c r="R3" s="276" t="s">
        <v>339</v>
      </c>
      <c r="S3" s="277" t="s">
        <v>227</v>
      </c>
      <c r="T3" s="277" t="s">
        <v>228</v>
      </c>
      <c r="U3" s="278" t="s">
        <v>229</v>
      </c>
      <c r="V3" s="278" t="s">
        <v>315</v>
      </c>
      <c r="W3" s="275" t="s">
        <v>302</v>
      </c>
      <c r="X3" s="275" t="s">
        <v>303</v>
      </c>
      <c r="Y3" s="275" t="s">
        <v>304</v>
      </c>
      <c r="Z3" s="275" t="s">
        <v>305</v>
      </c>
      <c r="AA3" s="275" t="s">
        <v>306</v>
      </c>
      <c r="AB3" s="275" t="s">
        <v>307</v>
      </c>
      <c r="AC3" s="275" t="s">
        <v>308</v>
      </c>
      <c r="AD3" s="275" t="s">
        <v>309</v>
      </c>
      <c r="AE3" s="275" t="s">
        <v>310</v>
      </c>
      <c r="AF3" s="275" t="s">
        <v>311</v>
      </c>
      <c r="AG3" s="275" t="s">
        <v>312</v>
      </c>
      <c r="AH3" s="275" t="s">
        <v>313</v>
      </c>
      <c r="AI3" s="275" t="s">
        <v>3</v>
      </c>
    </row>
    <row r="4" spans="1:35" s="289" customFormat="1" ht="24.75" customHeight="1" x14ac:dyDescent="0.25">
      <c r="A4" s="280" t="s">
        <v>230</v>
      </c>
      <c r="B4" s="281"/>
      <c r="C4" s="282">
        <v>890.74</v>
      </c>
      <c r="D4" s="282">
        <v>406.6</v>
      </c>
      <c r="E4" s="282">
        <v>668.97</v>
      </c>
      <c r="F4" s="282">
        <v>116.21</v>
      </c>
      <c r="G4" s="282">
        <v>218.03</v>
      </c>
      <c r="H4" s="282">
        <v>295.27999999999997</v>
      </c>
      <c r="I4" s="282">
        <v>306.8</v>
      </c>
      <c r="J4" s="282">
        <v>804.17</v>
      </c>
      <c r="K4" s="282">
        <v>5636.04</v>
      </c>
      <c r="L4" s="282">
        <v>1458.98</v>
      </c>
      <c r="M4" s="282">
        <v>74.099999999999994</v>
      </c>
      <c r="N4" s="282">
        <v>2703.82</v>
      </c>
      <c r="O4" s="283">
        <f t="shared" ref="O4:O61" si="0">SUM(C4:N4)</f>
        <v>13579.74</v>
      </c>
      <c r="P4" s="284">
        <f t="shared" ref="P4:P63" si="1">O4/12</f>
        <v>1131.645</v>
      </c>
      <c r="Q4" s="284">
        <f>(R4/P4)-1</f>
        <v>0.41330770651621807</v>
      </c>
      <c r="R4" s="284">
        <f>STDEV(C4:N4)</f>
        <v>1599.3625995405455</v>
      </c>
      <c r="S4" s="285" t="s">
        <v>316</v>
      </c>
      <c r="T4" s="286">
        <v>4.2500000000000003E-2</v>
      </c>
      <c r="U4" s="285" t="s">
        <v>243</v>
      </c>
      <c r="V4" s="287">
        <f>(P4+(P4*T4))</f>
        <v>1179.7399124999999</v>
      </c>
      <c r="W4" s="288">
        <f>$P$4</f>
        <v>1131.645</v>
      </c>
      <c r="X4" s="288">
        <f>$P$4</f>
        <v>1131.645</v>
      </c>
      <c r="Y4" s="288">
        <f>$P$4</f>
        <v>1131.645</v>
      </c>
      <c r="Z4" s="288">
        <f>$P$4</f>
        <v>1131.645</v>
      </c>
      <c r="AA4" s="288">
        <f>$P$4</f>
        <v>1131.645</v>
      </c>
      <c r="AB4" s="288">
        <f>$V$4</f>
        <v>1179.7399124999999</v>
      </c>
      <c r="AC4" s="288">
        <f t="shared" ref="AC4:AH4" si="2">$V$4</f>
        <v>1179.7399124999999</v>
      </c>
      <c r="AD4" s="288">
        <f t="shared" si="2"/>
        <v>1179.7399124999999</v>
      </c>
      <c r="AE4" s="288">
        <f t="shared" si="2"/>
        <v>1179.7399124999999</v>
      </c>
      <c r="AF4" s="288">
        <f t="shared" si="2"/>
        <v>1179.7399124999999</v>
      </c>
      <c r="AG4" s="288">
        <f t="shared" si="2"/>
        <v>1179.7399124999999</v>
      </c>
      <c r="AH4" s="288">
        <f t="shared" si="2"/>
        <v>1179.7399124999999</v>
      </c>
      <c r="AI4" s="288">
        <f>SUM(W4:AH4)</f>
        <v>13916.404387499997</v>
      </c>
    </row>
    <row r="5" spans="1:35" s="289" customFormat="1" ht="24.75" customHeight="1" x14ac:dyDescent="0.25">
      <c r="A5" s="280" t="s">
        <v>231</v>
      </c>
      <c r="B5" s="290"/>
      <c r="C5" s="282">
        <v>1276.9000000000001</v>
      </c>
      <c r="D5" s="282">
        <v>288.19</v>
      </c>
      <c r="E5" s="282">
        <v>403.75</v>
      </c>
      <c r="F5" s="282">
        <v>574.22</v>
      </c>
      <c r="G5" s="282">
        <v>578.14</v>
      </c>
      <c r="H5" s="282">
        <v>2610.08</v>
      </c>
      <c r="I5" s="282">
        <v>653.71</v>
      </c>
      <c r="J5" s="282">
        <v>7045.91</v>
      </c>
      <c r="K5" s="282">
        <v>311.23</v>
      </c>
      <c r="L5" s="282">
        <v>60</v>
      </c>
      <c r="M5" s="282">
        <v>382.13</v>
      </c>
      <c r="N5" s="282">
        <v>2791.67</v>
      </c>
      <c r="O5" s="283">
        <f t="shared" si="0"/>
        <v>16975.93</v>
      </c>
      <c r="P5" s="284">
        <f t="shared" si="1"/>
        <v>1414.6608333333334</v>
      </c>
      <c r="Q5" s="284">
        <f t="shared" ref="Q5:Q63" si="3">(R5/P5)-1</f>
        <v>0.40490168896444545</v>
      </c>
      <c r="R5" s="284">
        <f t="shared" ref="R5:R63" si="4">STDEV(C5:N5)</f>
        <v>1987.4593940618499</v>
      </c>
      <c r="S5" s="291"/>
      <c r="T5" s="291" t="s">
        <v>132</v>
      </c>
      <c r="U5" s="291" t="s">
        <v>132</v>
      </c>
      <c r="V5" s="292"/>
      <c r="W5" s="288">
        <f>$P$5</f>
        <v>1414.6608333333334</v>
      </c>
      <c r="X5" s="288">
        <f t="shared" ref="X5:AH5" si="5">$P$5</f>
        <v>1414.6608333333334</v>
      </c>
      <c r="Y5" s="288">
        <f t="shared" si="5"/>
        <v>1414.6608333333334</v>
      </c>
      <c r="Z5" s="288">
        <f t="shared" si="5"/>
        <v>1414.6608333333334</v>
      </c>
      <c r="AA5" s="288">
        <f t="shared" si="5"/>
        <v>1414.6608333333334</v>
      </c>
      <c r="AB5" s="288">
        <f t="shared" si="5"/>
        <v>1414.6608333333334</v>
      </c>
      <c r="AC5" s="288">
        <f t="shared" si="5"/>
        <v>1414.6608333333334</v>
      </c>
      <c r="AD5" s="288">
        <f t="shared" si="5"/>
        <v>1414.6608333333334</v>
      </c>
      <c r="AE5" s="288">
        <f t="shared" si="5"/>
        <v>1414.6608333333334</v>
      </c>
      <c r="AF5" s="288">
        <f t="shared" si="5"/>
        <v>1414.6608333333334</v>
      </c>
      <c r="AG5" s="288">
        <f t="shared" si="5"/>
        <v>1414.6608333333334</v>
      </c>
      <c r="AH5" s="288">
        <f t="shared" si="5"/>
        <v>1414.6608333333334</v>
      </c>
      <c r="AI5" s="288">
        <f t="shared" ref="AI5:AI62" si="6">SUM(W5:AH5)</f>
        <v>16975.93</v>
      </c>
    </row>
    <row r="6" spans="1:35" s="289" customFormat="1" ht="24.75" customHeight="1" x14ac:dyDescent="0.25">
      <c r="A6" s="280" t="s">
        <v>233</v>
      </c>
      <c r="B6" s="281"/>
      <c r="C6" s="282">
        <v>1424.53</v>
      </c>
      <c r="D6" s="282">
        <v>654.99</v>
      </c>
      <c r="E6" s="282">
        <v>1181.6199999999999</v>
      </c>
      <c r="F6" s="282">
        <v>585.04</v>
      </c>
      <c r="G6" s="282">
        <v>3226.27</v>
      </c>
      <c r="H6" s="282">
        <v>6298.4</v>
      </c>
      <c r="I6" s="282">
        <v>723.21</v>
      </c>
      <c r="J6" s="282">
        <v>6977.26</v>
      </c>
      <c r="K6" s="282">
        <v>4145.96</v>
      </c>
      <c r="L6" s="282">
        <v>446.98</v>
      </c>
      <c r="M6" s="282">
        <v>270.17</v>
      </c>
      <c r="N6" s="282">
        <v>35467.58</v>
      </c>
      <c r="O6" s="283">
        <f t="shared" si="0"/>
        <v>61402.009999999995</v>
      </c>
      <c r="P6" s="284">
        <f t="shared" si="1"/>
        <v>5116.8341666666665</v>
      </c>
      <c r="Q6" s="284">
        <f t="shared" si="3"/>
        <v>0.92272654122060538</v>
      </c>
      <c r="R6" s="284">
        <f t="shared" si="4"/>
        <v>9838.2728592744188</v>
      </c>
      <c r="S6" s="293" t="s">
        <v>234</v>
      </c>
      <c r="T6" s="293">
        <v>0.05</v>
      </c>
      <c r="U6" s="294" t="s">
        <v>235</v>
      </c>
      <c r="V6" s="295">
        <f>(P6+(P6*T6))</f>
        <v>5372.6758749999999</v>
      </c>
      <c r="W6" s="288">
        <f>$P$6</f>
        <v>5116.8341666666665</v>
      </c>
      <c r="X6" s="288">
        <f t="shared" ref="X6:AG6" si="7">$P$6</f>
        <v>5116.8341666666665</v>
      </c>
      <c r="Y6" s="288">
        <f t="shared" si="7"/>
        <v>5116.8341666666665</v>
      </c>
      <c r="Z6" s="288">
        <f t="shared" si="7"/>
        <v>5116.8341666666665</v>
      </c>
      <c r="AA6" s="288">
        <f t="shared" si="7"/>
        <v>5116.8341666666665</v>
      </c>
      <c r="AB6" s="288">
        <f t="shared" si="7"/>
        <v>5116.8341666666665</v>
      </c>
      <c r="AC6" s="288">
        <f t="shared" si="7"/>
        <v>5116.8341666666665</v>
      </c>
      <c r="AD6" s="288">
        <f t="shared" si="7"/>
        <v>5116.8341666666665</v>
      </c>
      <c r="AE6" s="288">
        <f t="shared" si="7"/>
        <v>5116.8341666666665</v>
      </c>
      <c r="AF6" s="288">
        <f t="shared" si="7"/>
        <v>5116.8341666666665</v>
      </c>
      <c r="AG6" s="288">
        <f t="shared" si="7"/>
        <v>5116.8341666666665</v>
      </c>
      <c r="AH6" s="288">
        <f>$V$6</f>
        <v>5372.6758749999999</v>
      </c>
      <c r="AI6" s="288">
        <f t="shared" si="6"/>
        <v>61657.851708333335</v>
      </c>
    </row>
    <row r="7" spans="1:35" s="289" customFormat="1" ht="24.75" customHeight="1" x14ac:dyDescent="0.25">
      <c r="A7" s="280" t="s">
        <v>236</v>
      </c>
      <c r="B7" s="281"/>
      <c r="C7" s="282">
        <v>295.38</v>
      </c>
      <c r="D7" s="282">
        <v>917.27</v>
      </c>
      <c r="E7" s="282">
        <v>95.63</v>
      </c>
      <c r="F7" s="282">
        <v>630.83000000000004</v>
      </c>
      <c r="G7" s="282">
        <v>0</v>
      </c>
      <c r="H7" s="282">
        <v>0</v>
      </c>
      <c r="I7" s="282">
        <v>0</v>
      </c>
      <c r="J7" s="282">
        <v>0</v>
      </c>
      <c r="K7" s="282">
        <v>0</v>
      </c>
      <c r="L7" s="282">
        <v>285.38</v>
      </c>
      <c r="M7" s="282">
        <v>0</v>
      </c>
      <c r="N7" s="282">
        <v>0</v>
      </c>
      <c r="O7" s="283">
        <f t="shared" si="0"/>
        <v>2224.4900000000002</v>
      </c>
      <c r="P7" s="284">
        <f t="shared" si="1"/>
        <v>185.3741666666667</v>
      </c>
      <c r="Q7" s="284">
        <f t="shared" si="3"/>
        <v>0.63040354892816808</v>
      </c>
      <c r="R7" s="284">
        <f t="shared" si="4"/>
        <v>302.23469921293508</v>
      </c>
      <c r="S7" s="294" t="s">
        <v>238</v>
      </c>
      <c r="T7" s="296">
        <v>4.02E-2</v>
      </c>
      <c r="U7" s="294" t="s">
        <v>248</v>
      </c>
      <c r="V7" s="295">
        <f>(P7+(P7*T7))</f>
        <v>192.8262081666667</v>
      </c>
      <c r="W7" s="288">
        <f>$V$7</f>
        <v>192.8262081666667</v>
      </c>
      <c r="X7" s="288">
        <f t="shared" ref="X7:AH7" si="8">$V$7</f>
        <v>192.8262081666667</v>
      </c>
      <c r="Y7" s="288">
        <f t="shared" si="8"/>
        <v>192.8262081666667</v>
      </c>
      <c r="Z7" s="288">
        <f t="shared" si="8"/>
        <v>192.8262081666667</v>
      </c>
      <c r="AA7" s="288">
        <f t="shared" si="8"/>
        <v>192.8262081666667</v>
      </c>
      <c r="AB7" s="288">
        <f t="shared" si="8"/>
        <v>192.8262081666667</v>
      </c>
      <c r="AC7" s="288">
        <f t="shared" si="8"/>
        <v>192.8262081666667</v>
      </c>
      <c r="AD7" s="288">
        <f t="shared" si="8"/>
        <v>192.8262081666667</v>
      </c>
      <c r="AE7" s="288">
        <f t="shared" si="8"/>
        <v>192.8262081666667</v>
      </c>
      <c r="AF7" s="288">
        <f t="shared" si="8"/>
        <v>192.8262081666667</v>
      </c>
      <c r="AG7" s="288">
        <f t="shared" si="8"/>
        <v>192.8262081666667</v>
      </c>
      <c r="AH7" s="288">
        <f t="shared" si="8"/>
        <v>192.8262081666667</v>
      </c>
      <c r="AI7" s="288">
        <f t="shared" si="6"/>
        <v>2313.9144980000005</v>
      </c>
    </row>
    <row r="8" spans="1:35" s="289" customFormat="1" ht="24.75" customHeight="1" x14ac:dyDescent="0.25">
      <c r="A8" s="280" t="s">
        <v>237</v>
      </c>
      <c r="B8" s="281"/>
      <c r="C8" s="282">
        <v>261804.65</v>
      </c>
      <c r="D8" s="282">
        <v>165489.57</v>
      </c>
      <c r="E8" s="282">
        <v>105745.77</v>
      </c>
      <c r="F8" s="282">
        <v>133176.82999999999</v>
      </c>
      <c r="G8" s="282">
        <v>126676.87</v>
      </c>
      <c r="H8" s="282">
        <v>264790.95</v>
      </c>
      <c r="I8" s="282">
        <v>104986.92</v>
      </c>
      <c r="J8" s="282">
        <v>218345.87</v>
      </c>
      <c r="K8" s="282">
        <v>120033.56</v>
      </c>
      <c r="L8" s="282">
        <v>164777.74</v>
      </c>
      <c r="M8" s="282">
        <v>198971.86</v>
      </c>
      <c r="N8" s="282">
        <v>195328.66</v>
      </c>
      <c r="O8" s="283">
        <f t="shared" si="0"/>
        <v>2060129.2499999998</v>
      </c>
      <c r="P8" s="284">
        <f t="shared" si="1"/>
        <v>171677.43749999997</v>
      </c>
      <c r="Q8" s="284">
        <f t="shared" si="3"/>
        <v>-0.66988591773452322</v>
      </c>
      <c r="R8" s="284">
        <f t="shared" si="4"/>
        <v>56673.139726001238</v>
      </c>
      <c r="S8" s="294" t="s">
        <v>238</v>
      </c>
      <c r="T8" s="296">
        <v>4.02E-2</v>
      </c>
      <c r="U8" s="294" t="s">
        <v>239</v>
      </c>
      <c r="V8" s="295">
        <f>(P8+(P8*T8))</f>
        <v>178578.87048749998</v>
      </c>
      <c r="W8" s="288">
        <f t="shared" ref="W8:AB8" si="9">$P$8</f>
        <v>171677.43749999997</v>
      </c>
      <c r="X8" s="288">
        <f t="shared" si="9"/>
        <v>171677.43749999997</v>
      </c>
      <c r="Y8" s="288">
        <f t="shared" si="9"/>
        <v>171677.43749999997</v>
      </c>
      <c r="Z8" s="288">
        <f t="shared" si="9"/>
        <v>171677.43749999997</v>
      </c>
      <c r="AA8" s="288">
        <f t="shared" si="9"/>
        <v>171677.43749999997</v>
      </c>
      <c r="AB8" s="288">
        <f t="shared" si="9"/>
        <v>171677.43749999997</v>
      </c>
      <c r="AC8" s="288">
        <f t="shared" ref="AC8:AH8" si="10">$V$8</f>
        <v>178578.87048749998</v>
      </c>
      <c r="AD8" s="288">
        <f t="shared" si="10"/>
        <v>178578.87048749998</v>
      </c>
      <c r="AE8" s="288">
        <f t="shared" si="10"/>
        <v>178578.87048749998</v>
      </c>
      <c r="AF8" s="288">
        <f t="shared" si="10"/>
        <v>178578.87048749998</v>
      </c>
      <c r="AG8" s="288">
        <f t="shared" si="10"/>
        <v>178578.87048749998</v>
      </c>
      <c r="AH8" s="288">
        <f t="shared" si="10"/>
        <v>178578.87048749998</v>
      </c>
      <c r="AI8" s="288">
        <f t="shared" si="6"/>
        <v>2101537.8479249999</v>
      </c>
    </row>
    <row r="9" spans="1:35" s="289" customFormat="1" ht="24.75" customHeight="1" x14ac:dyDescent="0.25">
      <c r="A9" s="280" t="s">
        <v>240</v>
      </c>
      <c r="B9" s="281"/>
      <c r="C9" s="282">
        <v>97.5</v>
      </c>
      <c r="D9" s="282">
        <v>146.06</v>
      </c>
      <c r="E9" s="282">
        <v>150</v>
      </c>
      <c r="F9" s="282">
        <v>2917.3</v>
      </c>
      <c r="G9" s="282">
        <v>75</v>
      </c>
      <c r="H9" s="282">
        <v>0</v>
      </c>
      <c r="I9" s="282">
        <v>0</v>
      </c>
      <c r="J9" s="282">
        <v>0</v>
      </c>
      <c r="K9" s="282">
        <v>0</v>
      </c>
      <c r="L9" s="282">
        <v>0</v>
      </c>
      <c r="M9" s="282">
        <v>0</v>
      </c>
      <c r="N9" s="282">
        <v>0</v>
      </c>
      <c r="O9" s="283">
        <f t="shared" si="0"/>
        <v>3385.86</v>
      </c>
      <c r="P9" s="284">
        <f t="shared" si="1"/>
        <v>282.15500000000003</v>
      </c>
      <c r="Q9" s="284">
        <f t="shared" si="3"/>
        <v>1.9486956559127226</v>
      </c>
      <c r="R9" s="284">
        <f t="shared" si="4"/>
        <v>831.9892227940544</v>
      </c>
      <c r="S9" s="294" t="s">
        <v>232</v>
      </c>
      <c r="T9" s="294" t="s">
        <v>132</v>
      </c>
      <c r="U9" s="294" t="s">
        <v>132</v>
      </c>
      <c r="V9" s="295">
        <v>0</v>
      </c>
      <c r="W9" s="288"/>
      <c r="X9" s="288"/>
      <c r="Y9" s="288"/>
      <c r="Z9" s="288"/>
      <c r="AA9" s="288"/>
      <c r="AB9" s="288"/>
      <c r="AC9" s="288"/>
      <c r="AD9" s="288"/>
      <c r="AE9" s="288"/>
      <c r="AF9" s="288"/>
      <c r="AG9" s="288"/>
      <c r="AH9" s="288"/>
      <c r="AI9" s="288">
        <f t="shared" si="6"/>
        <v>0</v>
      </c>
    </row>
    <row r="10" spans="1:35" s="289" customFormat="1" ht="24.75" customHeight="1" x14ac:dyDescent="0.25">
      <c r="A10" s="280" t="s">
        <v>241</v>
      </c>
      <c r="B10" s="281"/>
      <c r="C10" s="282">
        <v>4822823.63</v>
      </c>
      <c r="D10" s="282">
        <v>4892053.63</v>
      </c>
      <c r="E10" s="282">
        <v>4878471.32</v>
      </c>
      <c r="F10" s="282">
        <v>4606657.7699999996</v>
      </c>
      <c r="G10" s="282">
        <v>4562046.1100000003</v>
      </c>
      <c r="H10" s="282">
        <v>4618114.95</v>
      </c>
      <c r="I10" s="282">
        <v>5357036.5999999996</v>
      </c>
      <c r="J10" s="282">
        <v>5735281.7800000003</v>
      </c>
      <c r="K10" s="282">
        <v>4726116.8099999996</v>
      </c>
      <c r="L10" s="282">
        <v>6520472.2800000003</v>
      </c>
      <c r="M10" s="282">
        <v>5430910.2699999996</v>
      </c>
      <c r="N10" s="282">
        <v>5327082.97</v>
      </c>
      <c r="O10" s="283">
        <f t="shared" si="0"/>
        <v>61477068.120000005</v>
      </c>
      <c r="P10" s="284">
        <f t="shared" si="1"/>
        <v>5123089.0100000007</v>
      </c>
      <c r="Q10" s="284">
        <f t="shared" si="3"/>
        <v>-0.88654882614528707</v>
      </c>
      <c r="R10" s="284">
        <f t="shared" si="4"/>
        <v>581220.4619466794</v>
      </c>
      <c r="S10" s="294" t="s">
        <v>242</v>
      </c>
      <c r="T10" s="296">
        <v>4.2500000000000003E-2</v>
      </c>
      <c r="U10" s="294" t="s">
        <v>243</v>
      </c>
      <c r="V10" s="295">
        <f>(P10+(P10*T10))</f>
        <v>5340820.2929250011</v>
      </c>
      <c r="W10" s="288">
        <f>$P$10</f>
        <v>5123089.0100000007</v>
      </c>
      <c r="X10" s="288">
        <f>$P$10</f>
        <v>5123089.0100000007</v>
      </c>
      <c r="Y10" s="288">
        <f>$P$10</f>
        <v>5123089.0100000007</v>
      </c>
      <c r="Z10" s="288">
        <f>$P$10</f>
        <v>5123089.0100000007</v>
      </c>
      <c r="AA10" s="288">
        <f>$P$10</f>
        <v>5123089.0100000007</v>
      </c>
      <c r="AB10" s="288">
        <f>$V$10</f>
        <v>5340820.2929250011</v>
      </c>
      <c r="AC10" s="288">
        <f t="shared" ref="AC10:AH10" si="11">$V$10</f>
        <v>5340820.2929250011</v>
      </c>
      <c r="AD10" s="288">
        <f t="shared" si="11"/>
        <v>5340820.2929250011</v>
      </c>
      <c r="AE10" s="288">
        <f t="shared" si="11"/>
        <v>5340820.2929250011</v>
      </c>
      <c r="AF10" s="288">
        <f t="shared" si="11"/>
        <v>5340820.2929250011</v>
      </c>
      <c r="AG10" s="288">
        <f t="shared" si="11"/>
        <v>5340820.2929250011</v>
      </c>
      <c r="AH10" s="288">
        <f t="shared" si="11"/>
        <v>5340820.2929250011</v>
      </c>
      <c r="AI10" s="288">
        <f t="shared" si="6"/>
        <v>63001187.100475006</v>
      </c>
    </row>
    <row r="11" spans="1:35" s="289" customFormat="1" ht="24.75" customHeight="1" x14ac:dyDescent="0.25">
      <c r="A11" s="280" t="s">
        <v>244</v>
      </c>
      <c r="B11" s="281"/>
      <c r="C11" s="282">
        <v>0</v>
      </c>
      <c r="D11" s="282">
        <v>284</v>
      </c>
      <c r="E11" s="282">
        <v>0</v>
      </c>
      <c r="F11" s="282">
        <v>0</v>
      </c>
      <c r="G11" s="282">
        <v>0</v>
      </c>
      <c r="H11" s="282">
        <v>0</v>
      </c>
      <c r="I11" s="282">
        <v>0</v>
      </c>
      <c r="J11" s="282">
        <v>0</v>
      </c>
      <c r="K11" s="282">
        <v>320</v>
      </c>
      <c r="L11" s="282">
        <v>320</v>
      </c>
      <c r="M11" s="282">
        <v>0</v>
      </c>
      <c r="N11" s="282">
        <v>0</v>
      </c>
      <c r="O11" s="283">
        <f t="shared" si="0"/>
        <v>924</v>
      </c>
      <c r="P11" s="284">
        <f t="shared" si="1"/>
        <v>77</v>
      </c>
      <c r="Q11" s="284">
        <f t="shared" si="3"/>
        <v>0.81272583308986168</v>
      </c>
      <c r="R11" s="284">
        <f t="shared" si="4"/>
        <v>139.57988914791935</v>
      </c>
      <c r="S11" s="294"/>
      <c r="T11" s="294"/>
      <c r="U11" s="294"/>
      <c r="V11" s="295"/>
      <c r="W11" s="288"/>
      <c r="X11" s="288"/>
      <c r="Y11" s="288"/>
      <c r="Z11" s="288"/>
      <c r="AA11" s="288"/>
      <c r="AB11" s="288"/>
      <c r="AC11" s="288"/>
      <c r="AD11" s="288"/>
      <c r="AE11" s="288"/>
      <c r="AF11" s="288"/>
      <c r="AG11" s="288"/>
      <c r="AH11" s="288"/>
      <c r="AI11" s="288">
        <f t="shared" si="6"/>
        <v>0</v>
      </c>
    </row>
    <row r="12" spans="1:35" s="289" customFormat="1" ht="24.75" customHeight="1" x14ac:dyDescent="0.25">
      <c r="A12" s="280" t="s">
        <v>245</v>
      </c>
      <c r="B12" s="281"/>
      <c r="C12" s="282">
        <v>167954.41</v>
      </c>
      <c r="D12" s="282">
        <v>154891.66</v>
      </c>
      <c r="E12" s="282">
        <v>171260.18</v>
      </c>
      <c r="F12" s="282">
        <v>122772.55</v>
      </c>
      <c r="G12" s="282">
        <v>139639.72</v>
      </c>
      <c r="H12" s="282">
        <v>388699.78</v>
      </c>
      <c r="I12" s="282">
        <v>134460.54999999999</v>
      </c>
      <c r="J12" s="282">
        <v>120364.5</v>
      </c>
      <c r="K12" s="282">
        <v>79875.27</v>
      </c>
      <c r="L12" s="282">
        <v>363351.46</v>
      </c>
      <c r="M12" s="282">
        <v>232332.43</v>
      </c>
      <c r="N12" s="282">
        <v>127818.41</v>
      </c>
      <c r="O12" s="283">
        <f t="shared" si="0"/>
        <v>2203420.92</v>
      </c>
      <c r="P12" s="284">
        <f t="shared" si="1"/>
        <v>183618.41</v>
      </c>
      <c r="Q12" s="284">
        <f t="shared" si="3"/>
        <v>-0.47073646845375261</v>
      </c>
      <c r="R12" s="284">
        <f t="shared" si="4"/>
        <v>97182.528133506785</v>
      </c>
      <c r="S12" s="294" t="s">
        <v>246</v>
      </c>
      <c r="T12" s="296">
        <v>4.2500000000000003E-2</v>
      </c>
      <c r="U12" s="294" t="s">
        <v>235</v>
      </c>
      <c r="V12" s="295">
        <f>(P12+(P12*T12))</f>
        <v>191422.19242500002</v>
      </c>
      <c r="W12" s="288">
        <f>$P$12</f>
        <v>183618.41</v>
      </c>
      <c r="X12" s="288">
        <f t="shared" ref="X12:AG12" si="12">$P$12</f>
        <v>183618.41</v>
      </c>
      <c r="Y12" s="288">
        <f t="shared" si="12"/>
        <v>183618.41</v>
      </c>
      <c r="Z12" s="288">
        <f t="shared" si="12"/>
        <v>183618.41</v>
      </c>
      <c r="AA12" s="288">
        <f t="shared" si="12"/>
        <v>183618.41</v>
      </c>
      <c r="AB12" s="288">
        <f t="shared" si="12"/>
        <v>183618.41</v>
      </c>
      <c r="AC12" s="288">
        <f t="shared" si="12"/>
        <v>183618.41</v>
      </c>
      <c r="AD12" s="288">
        <f t="shared" si="12"/>
        <v>183618.41</v>
      </c>
      <c r="AE12" s="288">
        <f t="shared" si="12"/>
        <v>183618.41</v>
      </c>
      <c r="AF12" s="288">
        <f t="shared" si="12"/>
        <v>183618.41</v>
      </c>
      <c r="AG12" s="288">
        <f t="shared" si="12"/>
        <v>183618.41</v>
      </c>
      <c r="AH12" s="288">
        <f>$V$12</f>
        <v>191422.19242500002</v>
      </c>
      <c r="AI12" s="288">
        <f t="shared" si="6"/>
        <v>2211224.7024249993</v>
      </c>
    </row>
    <row r="13" spans="1:35" s="289" customFormat="1" ht="24.75" customHeight="1" x14ac:dyDescent="0.25">
      <c r="A13" s="280" t="s">
        <v>247</v>
      </c>
      <c r="B13" s="281"/>
      <c r="C13" s="282">
        <v>8920</v>
      </c>
      <c r="D13" s="282">
        <v>5079</v>
      </c>
      <c r="E13" s="282">
        <v>5057</v>
      </c>
      <c r="F13" s="282">
        <v>5960</v>
      </c>
      <c r="G13" s="282">
        <v>3626</v>
      </c>
      <c r="H13" s="282">
        <v>1440</v>
      </c>
      <c r="I13" s="282">
        <v>2466</v>
      </c>
      <c r="J13" s="282">
        <v>1661</v>
      </c>
      <c r="K13" s="282">
        <v>2674</v>
      </c>
      <c r="L13" s="282">
        <v>5328</v>
      </c>
      <c r="M13" s="282">
        <v>1192</v>
      </c>
      <c r="N13" s="282">
        <v>1632</v>
      </c>
      <c r="O13" s="283">
        <f t="shared" si="0"/>
        <v>45035</v>
      </c>
      <c r="P13" s="284">
        <f t="shared" si="1"/>
        <v>3752.9166666666665</v>
      </c>
      <c r="Q13" s="284">
        <f t="shared" si="3"/>
        <v>-0.37185931796321914</v>
      </c>
      <c r="R13" s="284">
        <f t="shared" si="4"/>
        <v>2357.359634627202</v>
      </c>
      <c r="S13" s="294" t="s">
        <v>238</v>
      </c>
      <c r="T13" s="296">
        <v>4.02E-2</v>
      </c>
      <c r="U13" s="294" t="s">
        <v>248</v>
      </c>
      <c r="V13" s="295">
        <f>(P13+(P13*T13))</f>
        <v>3903.7839166666663</v>
      </c>
      <c r="W13" s="288">
        <f>$V$13</f>
        <v>3903.7839166666663</v>
      </c>
      <c r="X13" s="288">
        <f t="shared" ref="X13:AH13" si="13">$V$13</f>
        <v>3903.7839166666663</v>
      </c>
      <c r="Y13" s="288">
        <f t="shared" si="13"/>
        <v>3903.7839166666663</v>
      </c>
      <c r="Z13" s="288">
        <f t="shared" si="13"/>
        <v>3903.7839166666663</v>
      </c>
      <c r="AA13" s="288">
        <f t="shared" si="13"/>
        <v>3903.7839166666663</v>
      </c>
      <c r="AB13" s="288">
        <f t="shared" si="13"/>
        <v>3903.7839166666663</v>
      </c>
      <c r="AC13" s="288">
        <f t="shared" si="13"/>
        <v>3903.7839166666663</v>
      </c>
      <c r="AD13" s="288">
        <f t="shared" si="13"/>
        <v>3903.7839166666663</v>
      </c>
      <c r="AE13" s="288">
        <f t="shared" si="13"/>
        <v>3903.7839166666663</v>
      </c>
      <c r="AF13" s="288">
        <f t="shared" si="13"/>
        <v>3903.7839166666663</v>
      </c>
      <c r="AG13" s="288">
        <f t="shared" si="13"/>
        <v>3903.7839166666663</v>
      </c>
      <c r="AH13" s="288">
        <f t="shared" si="13"/>
        <v>3903.7839166666663</v>
      </c>
      <c r="AI13" s="288">
        <f t="shared" si="6"/>
        <v>46845.406999999999</v>
      </c>
    </row>
    <row r="14" spans="1:35" s="289" customFormat="1" ht="24.75" customHeight="1" x14ac:dyDescent="0.25">
      <c r="A14" s="280" t="s">
        <v>249</v>
      </c>
      <c r="B14" s="281"/>
      <c r="C14" s="282">
        <v>25805.66</v>
      </c>
      <c r="D14" s="282">
        <v>5166.4799999999996</v>
      </c>
      <c r="E14" s="282">
        <v>30605.68</v>
      </c>
      <c r="F14" s="282">
        <v>16498.53</v>
      </c>
      <c r="G14" s="282">
        <v>6078.08</v>
      </c>
      <c r="H14" s="282">
        <v>15253.13</v>
      </c>
      <c r="I14" s="282">
        <v>24026.57</v>
      </c>
      <c r="J14" s="282">
        <v>1006.18</v>
      </c>
      <c r="K14" s="282">
        <v>38035.1</v>
      </c>
      <c r="L14" s="282">
        <v>14391.18</v>
      </c>
      <c r="M14" s="282">
        <v>16599.55</v>
      </c>
      <c r="N14" s="282">
        <v>11755.78</v>
      </c>
      <c r="O14" s="283">
        <f t="shared" si="0"/>
        <v>205221.91999999998</v>
      </c>
      <c r="P14" s="284">
        <f t="shared" si="1"/>
        <v>17101.826666666664</v>
      </c>
      <c r="Q14" s="284">
        <f t="shared" si="3"/>
        <v>-0.36255295496854245</v>
      </c>
      <c r="R14" s="284">
        <f t="shared" si="4"/>
        <v>10901.508873306846</v>
      </c>
      <c r="S14" s="294" t="s">
        <v>246</v>
      </c>
      <c r="T14" s="296">
        <v>4.2500000000000003E-2</v>
      </c>
      <c r="U14" s="294" t="s">
        <v>235</v>
      </c>
      <c r="V14" s="295">
        <f>(P14+(P14*T14))</f>
        <v>17828.654299999998</v>
      </c>
      <c r="W14" s="288">
        <f>$P$14</f>
        <v>17101.826666666664</v>
      </c>
      <c r="X14" s="288">
        <f t="shared" ref="X14:AG14" si="14">$P$14</f>
        <v>17101.826666666664</v>
      </c>
      <c r="Y14" s="288">
        <f t="shared" si="14"/>
        <v>17101.826666666664</v>
      </c>
      <c r="Z14" s="288">
        <f t="shared" si="14"/>
        <v>17101.826666666664</v>
      </c>
      <c r="AA14" s="288">
        <f t="shared" si="14"/>
        <v>17101.826666666664</v>
      </c>
      <c r="AB14" s="288">
        <f t="shared" si="14"/>
        <v>17101.826666666664</v>
      </c>
      <c r="AC14" s="288">
        <f t="shared" si="14"/>
        <v>17101.826666666664</v>
      </c>
      <c r="AD14" s="288">
        <f t="shared" si="14"/>
        <v>17101.826666666664</v>
      </c>
      <c r="AE14" s="288">
        <f t="shared" si="14"/>
        <v>17101.826666666664</v>
      </c>
      <c r="AF14" s="288">
        <f t="shared" si="14"/>
        <v>17101.826666666664</v>
      </c>
      <c r="AG14" s="288">
        <f t="shared" si="14"/>
        <v>17101.826666666664</v>
      </c>
      <c r="AH14" s="288">
        <f>$V$14</f>
        <v>17828.654299999998</v>
      </c>
      <c r="AI14" s="288">
        <f t="shared" si="6"/>
        <v>205948.74763333329</v>
      </c>
    </row>
    <row r="15" spans="1:35" s="289" customFormat="1" ht="24.75" customHeight="1" x14ac:dyDescent="0.25">
      <c r="A15" s="280" t="s">
        <v>250</v>
      </c>
      <c r="B15" s="281"/>
      <c r="C15" s="282">
        <v>104.52</v>
      </c>
      <c r="D15" s="282">
        <v>236.43</v>
      </c>
      <c r="E15" s="282">
        <v>405.72</v>
      </c>
      <c r="F15" s="282">
        <v>169.29</v>
      </c>
      <c r="G15" s="282">
        <v>63.66</v>
      </c>
      <c r="H15" s="282">
        <v>180.78</v>
      </c>
      <c r="I15" s="282">
        <v>922.47</v>
      </c>
      <c r="J15" s="282">
        <v>373.08</v>
      </c>
      <c r="K15" s="282">
        <v>2857.36</v>
      </c>
      <c r="L15" s="282">
        <v>2386.17</v>
      </c>
      <c r="M15" s="282">
        <v>620.25</v>
      </c>
      <c r="N15" s="282">
        <v>770.85</v>
      </c>
      <c r="O15" s="283">
        <f t="shared" si="0"/>
        <v>9090.58</v>
      </c>
      <c r="P15" s="284">
        <f t="shared" si="1"/>
        <v>757.54833333333329</v>
      </c>
      <c r="Q15" s="284">
        <f t="shared" si="3"/>
        <v>0.20968955971897429</v>
      </c>
      <c r="R15" s="284">
        <f t="shared" si="4"/>
        <v>916.39830981584271</v>
      </c>
      <c r="S15" s="294"/>
      <c r="T15" s="294"/>
      <c r="U15" s="294"/>
      <c r="V15" s="295"/>
      <c r="W15" s="288">
        <f>$P$15</f>
        <v>757.54833333333329</v>
      </c>
      <c r="X15" s="288">
        <f t="shared" ref="X15:AH15" si="15">$P$15</f>
        <v>757.54833333333329</v>
      </c>
      <c r="Y15" s="288">
        <f t="shared" si="15"/>
        <v>757.54833333333329</v>
      </c>
      <c r="Z15" s="288">
        <f t="shared" si="15"/>
        <v>757.54833333333329</v>
      </c>
      <c r="AA15" s="288">
        <f t="shared" si="15"/>
        <v>757.54833333333329</v>
      </c>
      <c r="AB15" s="288">
        <f t="shared" si="15"/>
        <v>757.54833333333329</v>
      </c>
      <c r="AC15" s="288">
        <f t="shared" si="15"/>
        <v>757.54833333333329</v>
      </c>
      <c r="AD15" s="288">
        <f t="shared" si="15"/>
        <v>757.54833333333329</v>
      </c>
      <c r="AE15" s="288">
        <f t="shared" si="15"/>
        <v>757.54833333333329</v>
      </c>
      <c r="AF15" s="288">
        <f t="shared" si="15"/>
        <v>757.54833333333329</v>
      </c>
      <c r="AG15" s="288">
        <f t="shared" si="15"/>
        <v>757.54833333333329</v>
      </c>
      <c r="AH15" s="288">
        <f t="shared" si="15"/>
        <v>757.54833333333329</v>
      </c>
      <c r="AI15" s="288">
        <f t="shared" si="6"/>
        <v>9090.58</v>
      </c>
    </row>
    <row r="16" spans="1:35" s="289" customFormat="1" ht="24.75" customHeight="1" x14ac:dyDescent="0.25">
      <c r="A16" s="280" t="s">
        <v>251</v>
      </c>
      <c r="B16" s="281"/>
      <c r="C16" s="282">
        <v>247598.39</v>
      </c>
      <c r="D16" s="282">
        <v>217342.56</v>
      </c>
      <c r="E16" s="282">
        <v>196614.59</v>
      </c>
      <c r="F16" s="282">
        <v>281262.33</v>
      </c>
      <c r="G16" s="282">
        <v>365484.21</v>
      </c>
      <c r="H16" s="282">
        <v>339974.69</v>
      </c>
      <c r="I16" s="282">
        <v>518627.85</v>
      </c>
      <c r="J16" s="282">
        <v>366980.52</v>
      </c>
      <c r="K16" s="282">
        <v>376683.42</v>
      </c>
      <c r="L16" s="282">
        <v>271867.49</v>
      </c>
      <c r="M16" s="282">
        <v>353334.14</v>
      </c>
      <c r="N16" s="282">
        <v>644075.22</v>
      </c>
      <c r="O16" s="283">
        <f t="shared" si="0"/>
        <v>4179845.41</v>
      </c>
      <c r="P16" s="284">
        <f t="shared" si="1"/>
        <v>348320.45083333337</v>
      </c>
      <c r="Q16" s="284">
        <f t="shared" si="3"/>
        <v>-0.63410574186498558</v>
      </c>
      <c r="R16" s="284">
        <f t="shared" si="4"/>
        <v>127448.45295091628</v>
      </c>
      <c r="S16" s="294" t="s">
        <v>234</v>
      </c>
      <c r="T16" s="293">
        <v>0.05</v>
      </c>
      <c r="U16" s="294" t="s">
        <v>243</v>
      </c>
      <c r="V16" s="295">
        <f t="shared" ref="V16:V30" si="16">(P16+(P16*T16))</f>
        <v>365736.47337500006</v>
      </c>
      <c r="W16" s="288">
        <f>$P$16</f>
        <v>348320.45083333337</v>
      </c>
      <c r="X16" s="288">
        <f>$P$16</f>
        <v>348320.45083333337</v>
      </c>
      <c r="Y16" s="288">
        <f>$P$16</f>
        <v>348320.45083333337</v>
      </c>
      <c r="Z16" s="288">
        <f>$P$16</f>
        <v>348320.45083333337</v>
      </c>
      <c r="AA16" s="288">
        <f>$P$16</f>
        <v>348320.45083333337</v>
      </c>
      <c r="AB16" s="288">
        <f>$V$16</f>
        <v>365736.47337500006</v>
      </c>
      <c r="AC16" s="288">
        <f t="shared" ref="AC16:AH16" si="17">$V$16</f>
        <v>365736.47337500006</v>
      </c>
      <c r="AD16" s="288">
        <f t="shared" si="17"/>
        <v>365736.47337500006</v>
      </c>
      <c r="AE16" s="288">
        <f t="shared" si="17"/>
        <v>365736.47337500006</v>
      </c>
      <c r="AF16" s="288">
        <f t="shared" si="17"/>
        <v>365736.47337500006</v>
      </c>
      <c r="AG16" s="288">
        <f t="shared" si="17"/>
        <v>365736.47337500006</v>
      </c>
      <c r="AH16" s="288">
        <f t="shared" si="17"/>
        <v>365736.47337500006</v>
      </c>
      <c r="AI16" s="288">
        <f t="shared" si="6"/>
        <v>4301757.5677916668</v>
      </c>
    </row>
    <row r="17" spans="1:35" s="289" customFormat="1" ht="24.75" customHeight="1" x14ac:dyDescent="0.25">
      <c r="A17" s="280" t="s">
        <v>252</v>
      </c>
      <c r="B17" s="281"/>
      <c r="C17" s="282">
        <v>421.49</v>
      </c>
      <c r="D17" s="282">
        <v>303.14999999999998</v>
      </c>
      <c r="E17" s="282">
        <v>46151.76</v>
      </c>
      <c r="F17" s="282">
        <v>7656.58</v>
      </c>
      <c r="G17" s="282">
        <v>7479.81</v>
      </c>
      <c r="H17" s="282">
        <v>2148.88</v>
      </c>
      <c r="I17" s="282">
        <v>1180.45</v>
      </c>
      <c r="J17" s="282">
        <v>3420.7</v>
      </c>
      <c r="K17" s="282">
        <v>95677.53</v>
      </c>
      <c r="L17" s="282">
        <v>127.92</v>
      </c>
      <c r="M17" s="282">
        <v>491.45</v>
      </c>
      <c r="N17" s="282">
        <v>952.66</v>
      </c>
      <c r="O17" s="283">
        <f t="shared" si="0"/>
        <v>166012.38</v>
      </c>
      <c r="P17" s="284">
        <f t="shared" si="1"/>
        <v>13834.365</v>
      </c>
      <c r="Q17" s="284">
        <f t="shared" si="3"/>
        <v>1.0814731857250606</v>
      </c>
      <c r="R17" s="284">
        <f t="shared" si="4"/>
        <v>28795.859789033279</v>
      </c>
      <c r="S17" s="294" t="s">
        <v>234</v>
      </c>
      <c r="T17" s="293">
        <v>0.05</v>
      </c>
      <c r="U17" s="294" t="s">
        <v>253</v>
      </c>
      <c r="V17" s="295">
        <f t="shared" si="16"/>
        <v>14526.08325</v>
      </c>
      <c r="W17" s="288">
        <f>$P$17</f>
        <v>13834.365</v>
      </c>
      <c r="X17" s="288">
        <f>$P$17</f>
        <v>13834.365</v>
      </c>
      <c r="Y17" s="288">
        <f>$P$17</f>
        <v>13834.365</v>
      </c>
      <c r="Z17" s="288">
        <f>$P$17</f>
        <v>13834.365</v>
      </c>
      <c r="AA17" s="288">
        <f>$V$17</f>
        <v>14526.08325</v>
      </c>
      <c r="AB17" s="288">
        <f t="shared" ref="AB17:AH17" si="18">$V$17</f>
        <v>14526.08325</v>
      </c>
      <c r="AC17" s="288">
        <f t="shared" si="18"/>
        <v>14526.08325</v>
      </c>
      <c r="AD17" s="288">
        <f t="shared" si="18"/>
        <v>14526.08325</v>
      </c>
      <c r="AE17" s="288">
        <f t="shared" si="18"/>
        <v>14526.08325</v>
      </c>
      <c r="AF17" s="288">
        <f t="shared" si="18"/>
        <v>14526.08325</v>
      </c>
      <c r="AG17" s="288">
        <f t="shared" si="18"/>
        <v>14526.08325</v>
      </c>
      <c r="AH17" s="288">
        <f t="shared" si="18"/>
        <v>14526.08325</v>
      </c>
      <c r="AI17" s="288">
        <f t="shared" si="6"/>
        <v>171546.12599999999</v>
      </c>
    </row>
    <row r="18" spans="1:35" s="289" customFormat="1" ht="24.75" customHeight="1" x14ac:dyDescent="0.25">
      <c r="A18" s="280" t="s">
        <v>254</v>
      </c>
      <c r="B18" s="281"/>
      <c r="C18" s="282">
        <v>463.01</v>
      </c>
      <c r="D18" s="282">
        <v>79.73</v>
      </c>
      <c r="E18" s="282">
        <v>73.59</v>
      </c>
      <c r="F18" s="282">
        <v>73.59</v>
      </c>
      <c r="G18" s="282">
        <v>79.73</v>
      </c>
      <c r="H18" s="282">
        <v>0</v>
      </c>
      <c r="I18" s="282">
        <v>0</v>
      </c>
      <c r="J18" s="282"/>
      <c r="K18" s="282">
        <v>73.59</v>
      </c>
      <c r="L18" s="282">
        <v>0</v>
      </c>
      <c r="M18" s="282">
        <v>8018.27</v>
      </c>
      <c r="N18" s="282">
        <v>15468.98</v>
      </c>
      <c r="O18" s="283">
        <f t="shared" si="0"/>
        <v>24330.489999999998</v>
      </c>
      <c r="P18" s="284">
        <f t="shared" si="1"/>
        <v>2027.5408333333332</v>
      </c>
      <c r="Q18" s="284">
        <f t="shared" si="3"/>
        <v>1.4660890780751532</v>
      </c>
      <c r="R18" s="284">
        <f t="shared" si="4"/>
        <v>5000.0963044347272</v>
      </c>
      <c r="S18" s="294" t="s">
        <v>255</v>
      </c>
      <c r="T18" s="296">
        <v>4.2099999999999999E-2</v>
      </c>
      <c r="U18" s="294" t="s">
        <v>239</v>
      </c>
      <c r="V18" s="295">
        <f t="shared" si="16"/>
        <v>2112.9003024166664</v>
      </c>
      <c r="W18" s="288">
        <f t="shared" ref="W18:AB18" si="19">$P$18</f>
        <v>2027.5408333333332</v>
      </c>
      <c r="X18" s="288">
        <f t="shared" si="19"/>
        <v>2027.5408333333332</v>
      </c>
      <c r="Y18" s="288">
        <f t="shared" si="19"/>
        <v>2027.5408333333332</v>
      </c>
      <c r="Z18" s="288">
        <f t="shared" si="19"/>
        <v>2027.5408333333332</v>
      </c>
      <c r="AA18" s="288">
        <f t="shared" si="19"/>
        <v>2027.5408333333332</v>
      </c>
      <c r="AB18" s="288">
        <f t="shared" si="19"/>
        <v>2027.5408333333332</v>
      </c>
      <c r="AC18" s="288">
        <f t="shared" ref="AC18:AH18" si="20">$V$18</f>
        <v>2112.9003024166664</v>
      </c>
      <c r="AD18" s="288">
        <f t="shared" si="20"/>
        <v>2112.9003024166664</v>
      </c>
      <c r="AE18" s="288">
        <f t="shared" si="20"/>
        <v>2112.9003024166664</v>
      </c>
      <c r="AF18" s="288">
        <f t="shared" si="20"/>
        <v>2112.9003024166664</v>
      </c>
      <c r="AG18" s="288">
        <f t="shared" si="20"/>
        <v>2112.9003024166664</v>
      </c>
      <c r="AH18" s="288">
        <f t="shared" si="20"/>
        <v>2112.9003024166664</v>
      </c>
      <c r="AI18" s="288">
        <f t="shared" si="6"/>
        <v>24842.6468145</v>
      </c>
    </row>
    <row r="19" spans="1:35" s="289" customFormat="1" ht="24.75" customHeight="1" x14ac:dyDescent="0.25">
      <c r="A19" s="280" t="s">
        <v>256</v>
      </c>
      <c r="B19" s="281"/>
      <c r="C19" s="282">
        <v>17706.64</v>
      </c>
      <c r="D19" s="282">
        <v>21204.31</v>
      </c>
      <c r="E19" s="282">
        <v>19771.53</v>
      </c>
      <c r="F19" s="282">
        <v>10380.049999999999</v>
      </c>
      <c r="G19" s="282">
        <v>26852.53</v>
      </c>
      <c r="H19" s="282">
        <v>37823.31</v>
      </c>
      <c r="I19" s="282">
        <v>32910.69</v>
      </c>
      <c r="J19" s="282">
        <v>48825.71</v>
      </c>
      <c r="K19" s="282">
        <v>36275.17</v>
      </c>
      <c r="L19" s="282">
        <v>63826.25</v>
      </c>
      <c r="M19" s="282">
        <v>36251.160000000003</v>
      </c>
      <c r="N19" s="282">
        <v>16708.2</v>
      </c>
      <c r="O19" s="283">
        <f t="shared" si="0"/>
        <v>368535.55</v>
      </c>
      <c r="P19" s="284">
        <f t="shared" si="1"/>
        <v>30711.295833333334</v>
      </c>
      <c r="Q19" s="284">
        <f t="shared" si="3"/>
        <v>-0.50469085636005517</v>
      </c>
      <c r="R19" s="284">
        <f t="shared" si="4"/>
        <v>15211.585639281337</v>
      </c>
      <c r="S19" s="294" t="s">
        <v>234</v>
      </c>
      <c r="T19" s="293">
        <v>0.05</v>
      </c>
      <c r="U19" s="294" t="s">
        <v>235</v>
      </c>
      <c r="V19" s="295">
        <f t="shared" si="16"/>
        <v>32246.860625000001</v>
      </c>
      <c r="W19" s="288">
        <f>$P$19</f>
        <v>30711.295833333334</v>
      </c>
      <c r="X19" s="288">
        <f t="shared" ref="X19:AG19" si="21">$P$19</f>
        <v>30711.295833333334</v>
      </c>
      <c r="Y19" s="288">
        <f t="shared" si="21"/>
        <v>30711.295833333334</v>
      </c>
      <c r="Z19" s="288">
        <f t="shared" si="21"/>
        <v>30711.295833333334</v>
      </c>
      <c r="AA19" s="288">
        <f t="shared" si="21"/>
        <v>30711.295833333334</v>
      </c>
      <c r="AB19" s="288">
        <f t="shared" si="21"/>
        <v>30711.295833333334</v>
      </c>
      <c r="AC19" s="288">
        <f t="shared" si="21"/>
        <v>30711.295833333334</v>
      </c>
      <c r="AD19" s="288">
        <f t="shared" si="21"/>
        <v>30711.295833333334</v>
      </c>
      <c r="AE19" s="288">
        <f t="shared" si="21"/>
        <v>30711.295833333334</v>
      </c>
      <c r="AF19" s="288">
        <f t="shared" si="21"/>
        <v>30711.295833333334</v>
      </c>
      <c r="AG19" s="288">
        <f t="shared" si="21"/>
        <v>30711.295833333334</v>
      </c>
      <c r="AH19" s="288">
        <f>$V$19</f>
        <v>32246.860625000001</v>
      </c>
      <c r="AI19" s="288">
        <f t="shared" si="6"/>
        <v>370071.11479166662</v>
      </c>
    </row>
    <row r="20" spans="1:35" s="289" customFormat="1" ht="24.75" customHeight="1" x14ac:dyDescent="0.25">
      <c r="A20" s="280" t="s">
        <v>257</v>
      </c>
      <c r="B20" s="281"/>
      <c r="C20" s="282">
        <v>4100</v>
      </c>
      <c r="D20" s="282">
        <v>0</v>
      </c>
      <c r="E20" s="282">
        <v>3200</v>
      </c>
      <c r="F20" s="282">
        <v>116300</v>
      </c>
      <c r="G20" s="282">
        <v>88345.18</v>
      </c>
      <c r="H20" s="282">
        <v>54740</v>
      </c>
      <c r="I20" s="282">
        <v>32709.48</v>
      </c>
      <c r="J20" s="282">
        <v>53105.68</v>
      </c>
      <c r="K20" s="282">
        <v>20650.009999999998</v>
      </c>
      <c r="L20" s="282">
        <v>46666.9</v>
      </c>
      <c r="M20" s="282">
        <v>65898.990000000005</v>
      </c>
      <c r="N20" s="282">
        <v>16929.009999999998</v>
      </c>
      <c r="O20" s="283">
        <f t="shared" si="0"/>
        <v>502645.25</v>
      </c>
      <c r="P20" s="284">
        <f t="shared" si="1"/>
        <v>41887.104166666664</v>
      </c>
      <c r="Q20" s="284">
        <f t="shared" si="3"/>
        <v>-0.13551747370457934</v>
      </c>
      <c r="R20" s="284">
        <f t="shared" si="4"/>
        <v>36210.669629199438</v>
      </c>
      <c r="S20" s="294" t="s">
        <v>234</v>
      </c>
      <c r="T20" s="293">
        <v>0.05</v>
      </c>
      <c r="U20" s="294" t="s">
        <v>239</v>
      </c>
      <c r="V20" s="295">
        <f t="shared" si="16"/>
        <v>43981.459374999999</v>
      </c>
      <c r="W20" s="288">
        <f t="shared" ref="W20:AB20" si="22">$P$20</f>
        <v>41887.104166666664</v>
      </c>
      <c r="X20" s="288">
        <f t="shared" si="22"/>
        <v>41887.104166666664</v>
      </c>
      <c r="Y20" s="288">
        <f t="shared" si="22"/>
        <v>41887.104166666664</v>
      </c>
      <c r="Z20" s="288">
        <f t="shared" si="22"/>
        <v>41887.104166666664</v>
      </c>
      <c r="AA20" s="288">
        <f t="shared" si="22"/>
        <v>41887.104166666664</v>
      </c>
      <c r="AB20" s="288">
        <f t="shared" si="22"/>
        <v>41887.104166666664</v>
      </c>
      <c r="AC20" s="288">
        <f t="shared" ref="AC20:AH20" si="23">$V$20</f>
        <v>43981.459374999999</v>
      </c>
      <c r="AD20" s="288">
        <f t="shared" si="23"/>
        <v>43981.459374999999</v>
      </c>
      <c r="AE20" s="288">
        <f t="shared" si="23"/>
        <v>43981.459374999999</v>
      </c>
      <c r="AF20" s="288">
        <f t="shared" si="23"/>
        <v>43981.459374999999</v>
      </c>
      <c r="AG20" s="288">
        <f t="shared" si="23"/>
        <v>43981.459374999999</v>
      </c>
      <c r="AH20" s="288">
        <f t="shared" si="23"/>
        <v>43981.459374999999</v>
      </c>
      <c r="AI20" s="288">
        <f t="shared" si="6"/>
        <v>515211.38124999986</v>
      </c>
    </row>
    <row r="21" spans="1:35" s="289" customFormat="1" ht="24.75" customHeight="1" x14ac:dyDescent="0.25">
      <c r="A21" s="280" t="s">
        <v>258</v>
      </c>
      <c r="B21" s="281"/>
      <c r="C21" s="282">
        <v>179357</v>
      </c>
      <c r="D21" s="282">
        <v>312726.8</v>
      </c>
      <c r="E21" s="282">
        <v>224059.93</v>
      </c>
      <c r="F21" s="282">
        <v>240085.82</v>
      </c>
      <c r="G21" s="282">
        <v>245470.74</v>
      </c>
      <c r="H21" s="282">
        <v>132606.43</v>
      </c>
      <c r="I21" s="282">
        <v>201754.86</v>
      </c>
      <c r="J21" s="282">
        <v>142929.49</v>
      </c>
      <c r="K21" s="282">
        <v>89625.79</v>
      </c>
      <c r="L21" s="282">
        <v>42871.78</v>
      </c>
      <c r="M21" s="282">
        <v>70464.740000000005</v>
      </c>
      <c r="N21" s="282">
        <v>209432.15</v>
      </c>
      <c r="O21" s="283">
        <f t="shared" si="0"/>
        <v>2091385.53</v>
      </c>
      <c r="P21" s="284">
        <f t="shared" si="1"/>
        <v>174282.1275</v>
      </c>
      <c r="Q21" s="284">
        <f t="shared" si="3"/>
        <v>-0.53904818120855635</v>
      </c>
      <c r="R21" s="284">
        <f t="shared" si="4"/>
        <v>80335.663653967291</v>
      </c>
      <c r="S21" s="294" t="s">
        <v>234</v>
      </c>
      <c r="T21" s="293">
        <v>0.05</v>
      </c>
      <c r="U21" s="294" t="s">
        <v>235</v>
      </c>
      <c r="V21" s="295">
        <f t="shared" si="16"/>
        <v>182996.23387500001</v>
      </c>
      <c r="W21" s="288">
        <f>$P$21</f>
        <v>174282.1275</v>
      </c>
      <c r="X21" s="288">
        <f t="shared" ref="X21:AG21" si="24">$P$21</f>
        <v>174282.1275</v>
      </c>
      <c r="Y21" s="288">
        <f t="shared" si="24"/>
        <v>174282.1275</v>
      </c>
      <c r="Z21" s="288">
        <f t="shared" si="24"/>
        <v>174282.1275</v>
      </c>
      <c r="AA21" s="288">
        <f t="shared" si="24"/>
        <v>174282.1275</v>
      </c>
      <c r="AB21" s="288">
        <f t="shared" si="24"/>
        <v>174282.1275</v>
      </c>
      <c r="AC21" s="288">
        <f t="shared" si="24"/>
        <v>174282.1275</v>
      </c>
      <c r="AD21" s="288">
        <f t="shared" si="24"/>
        <v>174282.1275</v>
      </c>
      <c r="AE21" s="288">
        <f t="shared" si="24"/>
        <v>174282.1275</v>
      </c>
      <c r="AF21" s="288">
        <f t="shared" si="24"/>
        <v>174282.1275</v>
      </c>
      <c r="AG21" s="288">
        <f t="shared" si="24"/>
        <v>174282.1275</v>
      </c>
      <c r="AH21" s="288">
        <f>$V$21</f>
        <v>182996.23387500001</v>
      </c>
      <c r="AI21" s="288">
        <f t="shared" si="6"/>
        <v>2100099.6363749998</v>
      </c>
    </row>
    <row r="22" spans="1:35" s="289" customFormat="1" ht="24.75" customHeight="1" x14ac:dyDescent="0.25">
      <c r="A22" s="280" t="s">
        <v>259</v>
      </c>
      <c r="B22" s="281"/>
      <c r="C22" s="282">
        <v>492</v>
      </c>
      <c r="D22" s="282">
        <v>0</v>
      </c>
      <c r="E22" s="282">
        <v>6888.11</v>
      </c>
      <c r="F22" s="282">
        <v>82</v>
      </c>
      <c r="G22" s="282">
        <v>38527.67</v>
      </c>
      <c r="H22" s="282">
        <v>82</v>
      </c>
      <c r="I22" s="282">
        <v>25165.35</v>
      </c>
      <c r="J22" s="282">
        <v>82</v>
      </c>
      <c r="K22" s="282">
        <v>164</v>
      </c>
      <c r="L22" s="282">
        <v>0</v>
      </c>
      <c r="M22" s="282">
        <v>0</v>
      </c>
      <c r="N22" s="282">
        <v>0</v>
      </c>
      <c r="O22" s="283">
        <f t="shared" si="0"/>
        <v>71483.13</v>
      </c>
      <c r="P22" s="284">
        <f t="shared" si="1"/>
        <v>5956.9275000000007</v>
      </c>
      <c r="Q22" s="284">
        <f t="shared" si="3"/>
        <v>1.1110814494211456</v>
      </c>
      <c r="R22" s="284">
        <f t="shared" si="4"/>
        <v>12575.559140796682</v>
      </c>
      <c r="S22" s="294" t="s">
        <v>246</v>
      </c>
      <c r="T22" s="296">
        <v>4.2500000000000003E-2</v>
      </c>
      <c r="U22" s="294" t="s">
        <v>260</v>
      </c>
      <c r="V22" s="295">
        <f t="shared" si="16"/>
        <v>6210.0969187500004</v>
      </c>
      <c r="W22" s="288">
        <f>$P$22</f>
        <v>5956.9275000000007</v>
      </c>
      <c r="X22" s="288">
        <f>$P$22</f>
        <v>5956.9275000000007</v>
      </c>
      <c r="Y22" s="288">
        <f>$V$22</f>
        <v>6210.0969187500004</v>
      </c>
      <c r="Z22" s="288">
        <f t="shared" ref="Z22:AH22" si="25">$V$22</f>
        <v>6210.0969187500004</v>
      </c>
      <c r="AA22" s="288">
        <f t="shared" si="25"/>
        <v>6210.0969187500004</v>
      </c>
      <c r="AB22" s="288">
        <f t="shared" si="25"/>
        <v>6210.0969187500004</v>
      </c>
      <c r="AC22" s="288">
        <f t="shared" si="25"/>
        <v>6210.0969187500004</v>
      </c>
      <c r="AD22" s="288">
        <f t="shared" si="25"/>
        <v>6210.0969187500004</v>
      </c>
      <c r="AE22" s="288">
        <f t="shared" si="25"/>
        <v>6210.0969187500004</v>
      </c>
      <c r="AF22" s="288">
        <f t="shared" si="25"/>
        <v>6210.0969187500004</v>
      </c>
      <c r="AG22" s="288">
        <f t="shared" si="25"/>
        <v>6210.0969187500004</v>
      </c>
      <c r="AH22" s="288">
        <f t="shared" si="25"/>
        <v>6210.0969187500004</v>
      </c>
      <c r="AI22" s="288">
        <f t="shared" si="6"/>
        <v>74014.824187500009</v>
      </c>
    </row>
    <row r="23" spans="1:35" s="289" customFormat="1" ht="24.75" customHeight="1" x14ac:dyDescent="0.25">
      <c r="A23" s="280" t="s">
        <v>261</v>
      </c>
      <c r="B23" s="281"/>
      <c r="C23" s="282">
        <v>0</v>
      </c>
      <c r="D23" s="282">
        <v>0</v>
      </c>
      <c r="E23" s="282">
        <v>755.27</v>
      </c>
      <c r="F23" s="282">
        <v>300.37</v>
      </c>
      <c r="G23" s="282">
        <v>0</v>
      </c>
      <c r="H23" s="282">
        <v>1990.42</v>
      </c>
      <c r="I23" s="282">
        <v>0</v>
      </c>
      <c r="J23" s="282">
        <v>0</v>
      </c>
      <c r="K23" s="282">
        <v>0</v>
      </c>
      <c r="L23" s="282">
        <v>0</v>
      </c>
      <c r="M23" s="282">
        <v>0</v>
      </c>
      <c r="N23" s="282">
        <v>3101.2</v>
      </c>
      <c r="O23" s="283">
        <f t="shared" si="0"/>
        <v>6147.26</v>
      </c>
      <c r="P23" s="284">
        <f t="shared" si="1"/>
        <v>512.27166666666665</v>
      </c>
      <c r="Q23" s="284">
        <f t="shared" si="3"/>
        <v>0.96012955847656656</v>
      </c>
      <c r="R23" s="284">
        <f t="shared" si="4"/>
        <v>1004.1188358033882</v>
      </c>
      <c r="S23" s="294" t="s">
        <v>234</v>
      </c>
      <c r="T23" s="293">
        <v>0.05</v>
      </c>
      <c r="U23" s="294" t="s">
        <v>248</v>
      </c>
      <c r="V23" s="295">
        <f t="shared" si="16"/>
        <v>537.88524999999993</v>
      </c>
      <c r="W23" s="288"/>
      <c r="X23" s="288"/>
      <c r="Y23" s="288"/>
      <c r="Z23" s="288"/>
      <c r="AA23" s="288"/>
      <c r="AB23" s="288"/>
      <c r="AC23" s="288"/>
      <c r="AD23" s="288"/>
      <c r="AE23" s="288"/>
      <c r="AF23" s="288"/>
      <c r="AG23" s="288"/>
      <c r="AH23" s="288"/>
      <c r="AI23" s="288">
        <f t="shared" si="6"/>
        <v>0</v>
      </c>
    </row>
    <row r="24" spans="1:35" s="289" customFormat="1" ht="24.75" customHeight="1" x14ac:dyDescent="0.25">
      <c r="A24" s="280" t="s">
        <v>262</v>
      </c>
      <c r="B24" s="281"/>
      <c r="C24" s="282">
        <v>6331.38</v>
      </c>
      <c r="D24" s="282">
        <v>1349.81</v>
      </c>
      <c r="E24" s="282">
        <v>2003.49</v>
      </c>
      <c r="F24" s="282">
        <v>8572.5400000000009</v>
      </c>
      <c r="G24" s="282">
        <v>3517.25</v>
      </c>
      <c r="H24" s="282">
        <v>1464.55</v>
      </c>
      <c r="I24" s="282">
        <v>1146.54</v>
      </c>
      <c r="J24" s="282">
        <v>7243.72</v>
      </c>
      <c r="K24" s="282">
        <v>1334.52</v>
      </c>
      <c r="L24" s="282">
        <v>1620.77</v>
      </c>
      <c r="M24" s="282">
        <v>1753.39</v>
      </c>
      <c r="N24" s="282">
        <v>1850.36</v>
      </c>
      <c r="O24" s="283">
        <f t="shared" si="0"/>
        <v>38188.32</v>
      </c>
      <c r="P24" s="284">
        <f t="shared" si="1"/>
        <v>3182.36</v>
      </c>
      <c r="Q24" s="284">
        <f t="shared" si="3"/>
        <v>-0.16813493389137357</v>
      </c>
      <c r="R24" s="284">
        <f t="shared" si="4"/>
        <v>2647.2941117814485</v>
      </c>
      <c r="S24" s="294" t="s">
        <v>234</v>
      </c>
      <c r="T24" s="293">
        <v>0.05</v>
      </c>
      <c r="U24" s="294" t="s">
        <v>263</v>
      </c>
      <c r="V24" s="295">
        <f t="shared" si="16"/>
        <v>3341.4780000000001</v>
      </c>
      <c r="W24" s="288">
        <f>$P$24</f>
        <v>3182.36</v>
      </c>
      <c r="X24" s="288">
        <f t="shared" ref="X24:AC24" si="26">$P$24</f>
        <v>3182.36</v>
      </c>
      <c r="Y24" s="288">
        <f t="shared" si="26"/>
        <v>3182.36</v>
      </c>
      <c r="Z24" s="288">
        <f t="shared" si="26"/>
        <v>3182.36</v>
      </c>
      <c r="AA24" s="288">
        <f t="shared" si="26"/>
        <v>3182.36</v>
      </c>
      <c r="AB24" s="288">
        <f t="shared" si="26"/>
        <v>3182.36</v>
      </c>
      <c r="AC24" s="288">
        <f t="shared" si="26"/>
        <v>3182.36</v>
      </c>
      <c r="AD24" s="288">
        <f>$V$24</f>
        <v>3341.4780000000001</v>
      </c>
      <c r="AE24" s="288">
        <f>$V$24</f>
        <v>3341.4780000000001</v>
      </c>
      <c r="AF24" s="288">
        <f>$V$24</f>
        <v>3341.4780000000001</v>
      </c>
      <c r="AG24" s="288">
        <f>$V$24</f>
        <v>3341.4780000000001</v>
      </c>
      <c r="AH24" s="288">
        <f>$V$24</f>
        <v>3341.4780000000001</v>
      </c>
      <c r="AI24" s="288">
        <f t="shared" si="6"/>
        <v>38983.910000000003</v>
      </c>
    </row>
    <row r="25" spans="1:35" s="289" customFormat="1" ht="24.75" customHeight="1" x14ac:dyDescent="0.25">
      <c r="A25" s="280" t="s">
        <v>264</v>
      </c>
      <c r="B25" s="281"/>
      <c r="C25" s="282">
        <v>86</v>
      </c>
      <c r="D25" s="282">
        <v>86</v>
      </c>
      <c r="E25" s="282">
        <v>3915.99</v>
      </c>
      <c r="F25" s="282">
        <v>0</v>
      </c>
      <c r="G25" s="282">
        <v>172</v>
      </c>
      <c r="H25" s="282">
        <v>0</v>
      </c>
      <c r="I25" s="282">
        <v>0</v>
      </c>
      <c r="J25" s="282">
        <v>0</v>
      </c>
      <c r="K25" s="282">
        <v>2251.13</v>
      </c>
      <c r="L25" s="282">
        <v>1206.72</v>
      </c>
      <c r="M25" s="282">
        <v>1204.9100000000001</v>
      </c>
      <c r="N25" s="282">
        <v>363.95</v>
      </c>
      <c r="O25" s="283">
        <f t="shared" si="0"/>
        <v>9286.7000000000007</v>
      </c>
      <c r="P25" s="284">
        <f t="shared" si="1"/>
        <v>773.89166666666677</v>
      </c>
      <c r="Q25" s="284">
        <f t="shared" si="3"/>
        <v>0.57298180232372742</v>
      </c>
      <c r="R25" s="284">
        <f t="shared" si="4"/>
        <v>1217.3175086366468</v>
      </c>
      <c r="S25" s="294" t="s">
        <v>234</v>
      </c>
      <c r="T25" s="293">
        <v>0.05</v>
      </c>
      <c r="U25" s="294" t="s">
        <v>263</v>
      </c>
      <c r="V25" s="295">
        <f t="shared" si="16"/>
        <v>812.58625000000006</v>
      </c>
      <c r="W25" s="288">
        <f>$P$25</f>
        <v>773.89166666666677</v>
      </c>
      <c r="X25" s="288">
        <f t="shared" ref="X25:AC25" si="27">$P$25</f>
        <v>773.89166666666677</v>
      </c>
      <c r="Y25" s="288">
        <f t="shared" si="27"/>
        <v>773.89166666666677</v>
      </c>
      <c r="Z25" s="288">
        <f t="shared" si="27"/>
        <v>773.89166666666677</v>
      </c>
      <c r="AA25" s="288">
        <f t="shared" si="27"/>
        <v>773.89166666666677</v>
      </c>
      <c r="AB25" s="288">
        <f t="shared" si="27"/>
        <v>773.89166666666677</v>
      </c>
      <c r="AC25" s="288">
        <f t="shared" si="27"/>
        <v>773.89166666666677</v>
      </c>
      <c r="AD25" s="288">
        <f>$V$25</f>
        <v>812.58625000000006</v>
      </c>
      <c r="AE25" s="288">
        <f>$V$25</f>
        <v>812.58625000000006</v>
      </c>
      <c r="AF25" s="288">
        <f>$V$25</f>
        <v>812.58625000000006</v>
      </c>
      <c r="AG25" s="288">
        <f>$V$25</f>
        <v>812.58625000000006</v>
      </c>
      <c r="AH25" s="288">
        <f>$V$25</f>
        <v>812.58625000000006</v>
      </c>
      <c r="AI25" s="288">
        <f t="shared" si="6"/>
        <v>9480.1729166666682</v>
      </c>
    </row>
    <row r="26" spans="1:35" s="289" customFormat="1" ht="24.75" customHeight="1" x14ac:dyDescent="0.25">
      <c r="A26" s="280" t="s">
        <v>265</v>
      </c>
      <c r="B26" s="281"/>
      <c r="C26" s="282">
        <v>1865.78</v>
      </c>
      <c r="D26" s="282">
        <v>20410.11</v>
      </c>
      <c r="E26" s="282">
        <v>11060.2</v>
      </c>
      <c r="F26" s="282">
        <v>46699.81</v>
      </c>
      <c r="G26" s="282">
        <v>12162.92</v>
      </c>
      <c r="H26" s="282">
        <v>3215.72</v>
      </c>
      <c r="I26" s="282">
        <v>16782.060000000001</v>
      </c>
      <c r="J26" s="282">
        <v>132057.29999999999</v>
      </c>
      <c r="K26" s="282">
        <v>69918.899999999994</v>
      </c>
      <c r="L26" s="282">
        <v>12142.63</v>
      </c>
      <c r="M26" s="282">
        <v>1647.01</v>
      </c>
      <c r="N26" s="282">
        <v>785.5</v>
      </c>
      <c r="O26" s="283">
        <f t="shared" si="0"/>
        <v>328747.93999999994</v>
      </c>
      <c r="P26" s="284">
        <f t="shared" si="1"/>
        <v>27395.661666666663</v>
      </c>
      <c r="Q26" s="284">
        <f t="shared" si="3"/>
        <v>0.4195125697989619</v>
      </c>
      <c r="R26" s="284">
        <f t="shared" si="4"/>
        <v>38888.486093792904</v>
      </c>
      <c r="S26" s="294" t="s">
        <v>234</v>
      </c>
      <c r="T26" s="293">
        <v>0.05</v>
      </c>
      <c r="U26" s="294" t="s">
        <v>248</v>
      </c>
      <c r="V26" s="295">
        <f t="shared" si="16"/>
        <v>28765.444749999995</v>
      </c>
      <c r="W26" s="288">
        <f>$V$26</f>
        <v>28765.444749999995</v>
      </c>
      <c r="X26" s="288">
        <f t="shared" ref="X26:AH26" si="28">$V$26</f>
        <v>28765.444749999995</v>
      </c>
      <c r="Y26" s="288">
        <f t="shared" si="28"/>
        <v>28765.444749999995</v>
      </c>
      <c r="Z26" s="288">
        <f t="shared" si="28"/>
        <v>28765.444749999995</v>
      </c>
      <c r="AA26" s="288">
        <f t="shared" si="28"/>
        <v>28765.444749999995</v>
      </c>
      <c r="AB26" s="288">
        <f t="shared" si="28"/>
        <v>28765.444749999995</v>
      </c>
      <c r="AC26" s="288">
        <f t="shared" si="28"/>
        <v>28765.444749999995</v>
      </c>
      <c r="AD26" s="288">
        <f t="shared" si="28"/>
        <v>28765.444749999995</v>
      </c>
      <c r="AE26" s="288">
        <f t="shared" si="28"/>
        <v>28765.444749999995</v>
      </c>
      <c r="AF26" s="288">
        <f t="shared" si="28"/>
        <v>28765.444749999995</v>
      </c>
      <c r="AG26" s="288">
        <f t="shared" si="28"/>
        <v>28765.444749999995</v>
      </c>
      <c r="AH26" s="288">
        <f t="shared" si="28"/>
        <v>28765.444749999995</v>
      </c>
      <c r="AI26" s="288">
        <f t="shared" si="6"/>
        <v>345185.33699999994</v>
      </c>
    </row>
    <row r="27" spans="1:35" s="289" customFormat="1" ht="24.75" customHeight="1" x14ac:dyDescent="0.25">
      <c r="A27" s="280" t="s">
        <v>266</v>
      </c>
      <c r="B27" s="281"/>
      <c r="C27" s="282">
        <v>19376.060000000001</v>
      </c>
      <c r="D27" s="282">
        <v>46785.7</v>
      </c>
      <c r="E27" s="282">
        <v>84730.87</v>
      </c>
      <c r="F27" s="282">
        <v>58665.83</v>
      </c>
      <c r="G27" s="282">
        <v>87923.21</v>
      </c>
      <c r="H27" s="282">
        <v>95891.29</v>
      </c>
      <c r="I27" s="282">
        <v>95598.11</v>
      </c>
      <c r="J27" s="282">
        <v>85037.759999999995</v>
      </c>
      <c r="K27" s="282">
        <v>86788.63</v>
      </c>
      <c r="L27" s="282">
        <v>200184.63</v>
      </c>
      <c r="M27" s="282">
        <v>121534.73</v>
      </c>
      <c r="N27" s="282">
        <v>295329.65999999997</v>
      </c>
      <c r="O27" s="283">
        <f t="shared" si="0"/>
        <v>1277846.48</v>
      </c>
      <c r="P27" s="284">
        <f t="shared" si="1"/>
        <v>106487.20666666667</v>
      </c>
      <c r="Q27" s="284">
        <f t="shared" si="3"/>
        <v>-0.30642308534503282</v>
      </c>
      <c r="R27" s="284">
        <f t="shared" si="4"/>
        <v>73857.068250092518</v>
      </c>
      <c r="S27" s="294" t="s">
        <v>234</v>
      </c>
      <c r="T27" s="293">
        <v>0.05</v>
      </c>
      <c r="U27" s="294" t="s">
        <v>248</v>
      </c>
      <c r="V27" s="295">
        <f t="shared" si="16"/>
        <v>111811.567</v>
      </c>
      <c r="W27" s="288">
        <f>$V$27</f>
        <v>111811.567</v>
      </c>
      <c r="X27" s="288">
        <f t="shared" ref="X27:AH27" si="29">$V$27</f>
        <v>111811.567</v>
      </c>
      <c r="Y27" s="288">
        <f t="shared" si="29"/>
        <v>111811.567</v>
      </c>
      <c r="Z27" s="288">
        <f t="shared" si="29"/>
        <v>111811.567</v>
      </c>
      <c r="AA27" s="288">
        <f t="shared" si="29"/>
        <v>111811.567</v>
      </c>
      <c r="AB27" s="288">
        <f t="shared" si="29"/>
        <v>111811.567</v>
      </c>
      <c r="AC27" s="288">
        <f t="shared" si="29"/>
        <v>111811.567</v>
      </c>
      <c r="AD27" s="288">
        <f t="shared" si="29"/>
        <v>111811.567</v>
      </c>
      <c r="AE27" s="288">
        <f t="shared" si="29"/>
        <v>111811.567</v>
      </c>
      <c r="AF27" s="288">
        <f t="shared" si="29"/>
        <v>111811.567</v>
      </c>
      <c r="AG27" s="288">
        <f t="shared" si="29"/>
        <v>111811.567</v>
      </c>
      <c r="AH27" s="288">
        <f t="shared" si="29"/>
        <v>111811.567</v>
      </c>
      <c r="AI27" s="288">
        <f t="shared" si="6"/>
        <v>1341738.8040000002</v>
      </c>
    </row>
    <row r="28" spans="1:35" s="289" customFormat="1" ht="24.75" customHeight="1" x14ac:dyDescent="0.25">
      <c r="A28" s="280" t="s">
        <v>267</v>
      </c>
      <c r="B28" s="281"/>
      <c r="C28" s="282">
        <v>79566.39</v>
      </c>
      <c r="D28" s="282">
        <v>1714.23</v>
      </c>
      <c r="E28" s="282">
        <v>2034.15</v>
      </c>
      <c r="F28" s="282">
        <v>2578.12</v>
      </c>
      <c r="G28" s="282">
        <v>3355.32</v>
      </c>
      <c r="H28" s="282">
        <v>7457.88</v>
      </c>
      <c r="I28" s="282">
        <v>10301.450000000001</v>
      </c>
      <c r="J28" s="282">
        <v>7035.26</v>
      </c>
      <c r="K28" s="282">
        <v>22817.16</v>
      </c>
      <c r="L28" s="282">
        <v>2804.74</v>
      </c>
      <c r="M28" s="282">
        <v>6419.35</v>
      </c>
      <c r="N28" s="282">
        <v>3017.2</v>
      </c>
      <c r="O28" s="283">
        <f t="shared" si="0"/>
        <v>149101.25</v>
      </c>
      <c r="P28" s="284">
        <f t="shared" si="1"/>
        <v>12425.104166666666</v>
      </c>
      <c r="Q28" s="284">
        <f t="shared" si="3"/>
        <v>0.76548466271675197</v>
      </c>
      <c r="R28" s="284">
        <f t="shared" si="4"/>
        <v>21936.330838908008</v>
      </c>
      <c r="S28" s="294" t="s">
        <v>234</v>
      </c>
      <c r="T28" s="293">
        <v>0.05</v>
      </c>
      <c r="U28" s="294" t="s">
        <v>248</v>
      </c>
      <c r="V28" s="295">
        <f t="shared" si="16"/>
        <v>13046.359375</v>
      </c>
      <c r="W28" s="288">
        <f>$V$28</f>
        <v>13046.359375</v>
      </c>
      <c r="X28" s="288">
        <f t="shared" ref="X28:AH28" si="30">$V$28</f>
        <v>13046.359375</v>
      </c>
      <c r="Y28" s="288">
        <f t="shared" si="30"/>
        <v>13046.359375</v>
      </c>
      <c r="Z28" s="288">
        <f t="shared" si="30"/>
        <v>13046.359375</v>
      </c>
      <c r="AA28" s="288">
        <f t="shared" si="30"/>
        <v>13046.359375</v>
      </c>
      <c r="AB28" s="288">
        <f t="shared" si="30"/>
        <v>13046.359375</v>
      </c>
      <c r="AC28" s="288">
        <f t="shared" si="30"/>
        <v>13046.359375</v>
      </c>
      <c r="AD28" s="288">
        <f t="shared" si="30"/>
        <v>13046.359375</v>
      </c>
      <c r="AE28" s="288">
        <f t="shared" si="30"/>
        <v>13046.359375</v>
      </c>
      <c r="AF28" s="288">
        <f t="shared" si="30"/>
        <v>13046.359375</v>
      </c>
      <c r="AG28" s="288">
        <f t="shared" si="30"/>
        <v>13046.359375</v>
      </c>
      <c r="AH28" s="288">
        <f t="shared" si="30"/>
        <v>13046.359375</v>
      </c>
      <c r="AI28" s="288">
        <f t="shared" si="6"/>
        <v>156556.3125</v>
      </c>
    </row>
    <row r="29" spans="1:35" s="289" customFormat="1" ht="24.75" customHeight="1" x14ac:dyDescent="0.25">
      <c r="A29" s="280" t="s">
        <v>268</v>
      </c>
      <c r="B29" s="281"/>
      <c r="C29" s="282">
        <v>611.9</v>
      </c>
      <c r="D29" s="282">
        <v>709.79</v>
      </c>
      <c r="E29" s="282">
        <v>410.97</v>
      </c>
      <c r="F29" s="282">
        <v>6624.35</v>
      </c>
      <c r="G29" s="282">
        <v>712.36</v>
      </c>
      <c r="H29" s="282">
        <v>2258.5</v>
      </c>
      <c r="I29" s="282">
        <v>2838.25</v>
      </c>
      <c r="J29" s="282">
        <v>11938.24</v>
      </c>
      <c r="K29" s="282">
        <v>2903.37</v>
      </c>
      <c r="L29" s="282">
        <v>16331.29</v>
      </c>
      <c r="M29" s="282">
        <v>10069.59</v>
      </c>
      <c r="N29" s="282">
        <v>11554.14</v>
      </c>
      <c r="O29" s="283">
        <f t="shared" si="0"/>
        <v>66962.75</v>
      </c>
      <c r="P29" s="284">
        <f t="shared" si="1"/>
        <v>5580.229166666667</v>
      </c>
      <c r="Q29" s="284">
        <f t="shared" si="3"/>
        <v>-7.3931246855289956E-3</v>
      </c>
      <c r="R29" s="284">
        <f t="shared" si="4"/>
        <v>5538.9738366636748</v>
      </c>
      <c r="S29" s="294" t="s">
        <v>246</v>
      </c>
      <c r="T29" s="296">
        <v>4.2500000000000003E-2</v>
      </c>
      <c r="U29" s="294" t="s">
        <v>260</v>
      </c>
      <c r="V29" s="295">
        <f t="shared" si="16"/>
        <v>5817.3889062500002</v>
      </c>
      <c r="W29" s="288">
        <f>$P$29</f>
        <v>5580.229166666667</v>
      </c>
      <c r="X29" s="288">
        <f>$P$29</f>
        <v>5580.229166666667</v>
      </c>
      <c r="Y29" s="288">
        <f>$V$29</f>
        <v>5817.3889062500002</v>
      </c>
      <c r="Z29" s="288">
        <f t="shared" ref="Z29:AH29" si="31">$V$29</f>
        <v>5817.3889062500002</v>
      </c>
      <c r="AA29" s="288">
        <f t="shared" si="31"/>
        <v>5817.3889062500002</v>
      </c>
      <c r="AB29" s="288">
        <f t="shared" si="31"/>
        <v>5817.3889062500002</v>
      </c>
      <c r="AC29" s="288">
        <f t="shared" si="31"/>
        <v>5817.3889062500002</v>
      </c>
      <c r="AD29" s="288">
        <f t="shared" si="31"/>
        <v>5817.3889062500002</v>
      </c>
      <c r="AE29" s="288">
        <f t="shared" si="31"/>
        <v>5817.3889062500002</v>
      </c>
      <c r="AF29" s="288">
        <f t="shared" si="31"/>
        <v>5817.3889062500002</v>
      </c>
      <c r="AG29" s="288">
        <f t="shared" si="31"/>
        <v>5817.3889062500002</v>
      </c>
      <c r="AH29" s="288">
        <f t="shared" si="31"/>
        <v>5817.3889062500002</v>
      </c>
      <c r="AI29" s="288">
        <f t="shared" si="6"/>
        <v>69334.347395833349</v>
      </c>
    </row>
    <row r="30" spans="1:35" s="289" customFormat="1" ht="24.75" customHeight="1" x14ac:dyDescent="0.25">
      <c r="A30" s="280" t="s">
        <v>317</v>
      </c>
      <c r="B30" s="281"/>
      <c r="C30" s="282">
        <v>14305.84</v>
      </c>
      <c r="D30" s="282">
        <v>22427.16</v>
      </c>
      <c r="E30" s="282">
        <v>43541.7</v>
      </c>
      <c r="F30" s="282">
        <v>38758.21</v>
      </c>
      <c r="G30" s="282">
        <v>8836.7900000000009</v>
      </c>
      <c r="H30" s="282">
        <v>10395.94</v>
      </c>
      <c r="I30" s="282">
        <v>8450.33</v>
      </c>
      <c r="J30" s="282">
        <v>17354.29</v>
      </c>
      <c r="K30" s="282">
        <v>10841.26</v>
      </c>
      <c r="L30" s="282">
        <v>8928.61</v>
      </c>
      <c r="M30" s="282">
        <v>14745.7</v>
      </c>
      <c r="N30" s="282">
        <v>10094.959999999999</v>
      </c>
      <c r="O30" s="283">
        <f t="shared" si="0"/>
        <v>208680.79</v>
      </c>
      <c r="P30" s="284">
        <f t="shared" si="1"/>
        <v>17390.065833333334</v>
      </c>
      <c r="Q30" s="284">
        <f t="shared" si="3"/>
        <v>-0.31693876137885635</v>
      </c>
      <c r="R30" s="284">
        <f t="shared" si="4"/>
        <v>11878.479907819898</v>
      </c>
      <c r="S30" s="294" t="s">
        <v>234</v>
      </c>
      <c r="T30" s="293">
        <v>0.05</v>
      </c>
      <c r="U30" s="294" t="s">
        <v>248</v>
      </c>
      <c r="V30" s="295">
        <f t="shared" si="16"/>
        <v>18259.569125000002</v>
      </c>
      <c r="W30" s="288">
        <f>$V$30</f>
        <v>18259.569125000002</v>
      </c>
      <c r="X30" s="288">
        <f t="shared" ref="X30:AH30" si="32">$V$30</f>
        <v>18259.569125000002</v>
      </c>
      <c r="Y30" s="288">
        <f t="shared" si="32"/>
        <v>18259.569125000002</v>
      </c>
      <c r="Z30" s="288">
        <f t="shared" si="32"/>
        <v>18259.569125000002</v>
      </c>
      <c r="AA30" s="288">
        <f t="shared" si="32"/>
        <v>18259.569125000002</v>
      </c>
      <c r="AB30" s="288">
        <f t="shared" si="32"/>
        <v>18259.569125000002</v>
      </c>
      <c r="AC30" s="288">
        <f t="shared" si="32"/>
        <v>18259.569125000002</v>
      </c>
      <c r="AD30" s="288">
        <f t="shared" si="32"/>
        <v>18259.569125000002</v>
      </c>
      <c r="AE30" s="288">
        <f t="shared" si="32"/>
        <v>18259.569125000002</v>
      </c>
      <c r="AF30" s="288">
        <f t="shared" si="32"/>
        <v>18259.569125000002</v>
      </c>
      <c r="AG30" s="288">
        <f t="shared" si="32"/>
        <v>18259.569125000002</v>
      </c>
      <c r="AH30" s="288">
        <f t="shared" si="32"/>
        <v>18259.569125000002</v>
      </c>
      <c r="AI30" s="288">
        <f t="shared" si="6"/>
        <v>219114.82950000008</v>
      </c>
    </row>
    <row r="31" spans="1:35" s="289" customFormat="1" ht="24.75" customHeight="1" x14ac:dyDescent="0.25">
      <c r="A31" s="280" t="s">
        <v>300</v>
      </c>
      <c r="B31" s="281"/>
      <c r="C31" s="282">
        <v>68.650000000000006</v>
      </c>
      <c r="D31" s="282">
        <v>0</v>
      </c>
      <c r="E31" s="282">
        <v>223.14</v>
      </c>
      <c r="F31" s="282">
        <v>243.94</v>
      </c>
      <c r="G31" s="282">
        <v>0</v>
      </c>
      <c r="H31" s="282">
        <v>205.95</v>
      </c>
      <c r="I31" s="282">
        <v>65</v>
      </c>
      <c r="J31" s="282">
        <v>68.650000000000006</v>
      </c>
      <c r="K31" s="282">
        <v>0</v>
      </c>
      <c r="L31" s="282">
        <v>0</v>
      </c>
      <c r="M31" s="282">
        <v>0</v>
      </c>
      <c r="N31" s="282">
        <v>0</v>
      </c>
      <c r="O31" s="283">
        <f t="shared" si="0"/>
        <v>875.33</v>
      </c>
      <c r="P31" s="284">
        <f t="shared" si="1"/>
        <v>72.944166666666675</v>
      </c>
      <c r="Q31" s="284">
        <f t="shared" si="3"/>
        <v>0.31697062790077779</v>
      </c>
      <c r="R31" s="284">
        <f t="shared" si="4"/>
        <v>96.065324976698989</v>
      </c>
      <c r="S31" s="294"/>
      <c r="T31" s="294"/>
      <c r="U31" s="294"/>
      <c r="V31" s="295"/>
      <c r="W31" s="288"/>
      <c r="X31" s="288"/>
      <c r="Y31" s="288"/>
      <c r="Z31" s="288"/>
      <c r="AA31" s="288"/>
      <c r="AB31" s="288"/>
      <c r="AC31" s="288"/>
      <c r="AD31" s="288"/>
      <c r="AE31" s="288"/>
      <c r="AF31" s="288"/>
      <c r="AG31" s="288"/>
      <c r="AH31" s="288"/>
      <c r="AI31" s="288">
        <f t="shared" si="6"/>
        <v>0</v>
      </c>
    </row>
    <row r="32" spans="1:35" s="289" customFormat="1" ht="24.75" customHeight="1" x14ac:dyDescent="0.25">
      <c r="A32" s="280" t="s">
        <v>269</v>
      </c>
      <c r="B32" s="281"/>
      <c r="C32" s="282">
        <v>780821.21</v>
      </c>
      <c r="D32" s="282">
        <v>795829.03</v>
      </c>
      <c r="E32" s="282">
        <v>900723.25</v>
      </c>
      <c r="F32" s="282">
        <v>934801.76</v>
      </c>
      <c r="G32" s="282">
        <v>1066176.8</v>
      </c>
      <c r="H32" s="282">
        <v>903552.68</v>
      </c>
      <c r="I32" s="282">
        <v>969560.22</v>
      </c>
      <c r="J32" s="282">
        <v>1015186.53</v>
      </c>
      <c r="K32" s="282">
        <v>881198.73</v>
      </c>
      <c r="L32" s="282">
        <v>655984.18000000005</v>
      </c>
      <c r="M32" s="282">
        <v>664225.55000000005</v>
      </c>
      <c r="N32" s="282">
        <v>560891.03</v>
      </c>
      <c r="O32" s="283">
        <f t="shared" si="0"/>
        <v>10128950.969999999</v>
      </c>
      <c r="P32" s="284">
        <f t="shared" si="1"/>
        <v>844079.24749999994</v>
      </c>
      <c r="Q32" s="284">
        <f t="shared" si="3"/>
        <v>-0.81613119650556509</v>
      </c>
      <c r="R32" s="284">
        <f t="shared" si="4"/>
        <v>155199.84129230797</v>
      </c>
      <c r="S32" s="294"/>
      <c r="T32" s="294"/>
      <c r="U32" s="294"/>
      <c r="V32" s="295">
        <v>650000</v>
      </c>
      <c r="W32" s="288">
        <v>600000</v>
      </c>
      <c r="X32" s="288">
        <v>700000</v>
      </c>
      <c r="Y32" s="288">
        <v>800000</v>
      </c>
      <c r="Z32" s="288">
        <f>$P$32</f>
        <v>844079.24749999994</v>
      </c>
      <c r="AA32" s="288">
        <f t="shared" ref="AA32:AH32" si="33">$P$32</f>
        <v>844079.24749999994</v>
      </c>
      <c r="AB32" s="288">
        <f t="shared" si="33"/>
        <v>844079.24749999994</v>
      </c>
      <c r="AC32" s="288">
        <f t="shared" si="33"/>
        <v>844079.24749999994</v>
      </c>
      <c r="AD32" s="288">
        <f t="shared" si="33"/>
        <v>844079.24749999994</v>
      </c>
      <c r="AE32" s="288">
        <f t="shared" si="33"/>
        <v>844079.24749999994</v>
      </c>
      <c r="AF32" s="288">
        <f t="shared" si="33"/>
        <v>844079.24749999994</v>
      </c>
      <c r="AG32" s="288">
        <f t="shared" si="33"/>
        <v>844079.24749999994</v>
      </c>
      <c r="AH32" s="288">
        <f t="shared" si="33"/>
        <v>844079.24749999994</v>
      </c>
      <c r="AI32" s="288">
        <f t="shared" si="6"/>
        <v>9696713.2274999991</v>
      </c>
    </row>
    <row r="33" spans="1:35" s="289" customFormat="1" ht="24.75" customHeight="1" x14ac:dyDescent="0.25">
      <c r="A33" s="280" t="s">
        <v>270</v>
      </c>
      <c r="B33" s="281"/>
      <c r="C33" s="282">
        <v>123066</v>
      </c>
      <c r="D33" s="282">
        <v>99375</v>
      </c>
      <c r="E33" s="282">
        <v>116971</v>
      </c>
      <c r="F33" s="282">
        <v>137111</v>
      </c>
      <c r="G33" s="282">
        <v>143153</v>
      </c>
      <c r="H33" s="282">
        <v>144584</v>
      </c>
      <c r="I33" s="282">
        <v>140768</v>
      </c>
      <c r="J33" s="282">
        <v>159954</v>
      </c>
      <c r="K33" s="282">
        <v>131652</v>
      </c>
      <c r="L33" s="282">
        <v>162180</v>
      </c>
      <c r="M33" s="282">
        <v>137641</v>
      </c>
      <c r="N33" s="282">
        <v>105894</v>
      </c>
      <c r="O33" s="283">
        <f t="shared" si="0"/>
        <v>1602349</v>
      </c>
      <c r="P33" s="284">
        <f t="shared" si="1"/>
        <v>133529.08333333334</v>
      </c>
      <c r="Q33" s="284">
        <f t="shared" si="3"/>
        <v>-0.85482685380113099</v>
      </c>
      <c r="R33" s="284">
        <f t="shared" si="4"/>
        <v>19384.837136550956</v>
      </c>
      <c r="S33" s="294"/>
      <c r="T33" s="294"/>
      <c r="U33" s="294"/>
      <c r="V33" s="295"/>
      <c r="W33" s="288">
        <f>$P$33</f>
        <v>133529.08333333334</v>
      </c>
      <c r="X33" s="288">
        <f t="shared" ref="X33:AH33" si="34">$P$33</f>
        <v>133529.08333333334</v>
      </c>
      <c r="Y33" s="288">
        <f t="shared" si="34"/>
        <v>133529.08333333334</v>
      </c>
      <c r="Z33" s="288">
        <f t="shared" si="34"/>
        <v>133529.08333333334</v>
      </c>
      <c r="AA33" s="288">
        <f t="shared" si="34"/>
        <v>133529.08333333334</v>
      </c>
      <c r="AB33" s="288">
        <f t="shared" si="34"/>
        <v>133529.08333333334</v>
      </c>
      <c r="AC33" s="288">
        <f t="shared" si="34"/>
        <v>133529.08333333334</v>
      </c>
      <c r="AD33" s="288">
        <f t="shared" si="34"/>
        <v>133529.08333333334</v>
      </c>
      <c r="AE33" s="288">
        <f t="shared" si="34"/>
        <v>133529.08333333334</v>
      </c>
      <c r="AF33" s="288">
        <f t="shared" si="34"/>
        <v>133529.08333333334</v>
      </c>
      <c r="AG33" s="288">
        <f t="shared" si="34"/>
        <v>133529.08333333334</v>
      </c>
      <c r="AH33" s="288">
        <f t="shared" si="34"/>
        <v>133529.08333333334</v>
      </c>
      <c r="AI33" s="288">
        <f t="shared" si="6"/>
        <v>1602348.9999999998</v>
      </c>
    </row>
    <row r="34" spans="1:35" s="289" customFormat="1" ht="24.75" customHeight="1" x14ac:dyDescent="0.25">
      <c r="A34" s="280" t="s">
        <v>271</v>
      </c>
      <c r="B34" s="281"/>
      <c r="C34" s="282">
        <v>599.16999999999996</v>
      </c>
      <c r="D34" s="282">
        <v>480</v>
      </c>
      <c r="E34" s="282">
        <v>803.16</v>
      </c>
      <c r="F34" s="282">
        <v>519.96</v>
      </c>
      <c r="G34" s="282">
        <v>581.08000000000004</v>
      </c>
      <c r="H34" s="282">
        <v>379.65</v>
      </c>
      <c r="I34" s="282">
        <v>0</v>
      </c>
      <c r="J34" s="282">
        <v>0</v>
      </c>
      <c r="K34" s="282">
        <v>360</v>
      </c>
      <c r="L34" s="282">
        <v>0</v>
      </c>
      <c r="M34" s="282">
        <v>0</v>
      </c>
      <c r="N34" s="282">
        <v>0</v>
      </c>
      <c r="O34" s="283">
        <f t="shared" si="0"/>
        <v>3723.02</v>
      </c>
      <c r="P34" s="284">
        <f t="shared" si="1"/>
        <v>310.25166666666667</v>
      </c>
      <c r="Q34" s="284">
        <f t="shared" si="3"/>
        <v>-4.7239453332231895E-2</v>
      </c>
      <c r="R34" s="284">
        <f t="shared" si="4"/>
        <v>295.59554753791951</v>
      </c>
      <c r="S34" s="294" t="s">
        <v>238</v>
      </c>
      <c r="T34" s="296">
        <v>4.02E-2</v>
      </c>
      <c r="U34" s="294" t="s">
        <v>260</v>
      </c>
      <c r="V34" s="295">
        <f t="shared" ref="V34:V61" si="35">(P34+(P34*T34))</f>
        <v>322.72378366666669</v>
      </c>
      <c r="W34" s="288">
        <f>$P$34</f>
        <v>310.25166666666667</v>
      </c>
      <c r="X34" s="288">
        <f>$P$34</f>
        <v>310.25166666666667</v>
      </c>
      <c r="Y34" s="288">
        <f>$V$34</f>
        <v>322.72378366666669</v>
      </c>
      <c r="Z34" s="288">
        <f t="shared" ref="Z34:AH34" si="36">$V$34</f>
        <v>322.72378366666669</v>
      </c>
      <c r="AA34" s="288">
        <f t="shared" si="36"/>
        <v>322.72378366666669</v>
      </c>
      <c r="AB34" s="288">
        <f t="shared" si="36"/>
        <v>322.72378366666669</v>
      </c>
      <c r="AC34" s="288">
        <f t="shared" si="36"/>
        <v>322.72378366666669</v>
      </c>
      <c r="AD34" s="288">
        <f t="shared" si="36"/>
        <v>322.72378366666669</v>
      </c>
      <c r="AE34" s="288">
        <f t="shared" si="36"/>
        <v>322.72378366666669</v>
      </c>
      <c r="AF34" s="288">
        <f t="shared" si="36"/>
        <v>322.72378366666669</v>
      </c>
      <c r="AG34" s="288">
        <f t="shared" si="36"/>
        <v>322.72378366666669</v>
      </c>
      <c r="AH34" s="288">
        <f t="shared" si="36"/>
        <v>322.72378366666669</v>
      </c>
      <c r="AI34" s="288">
        <f t="shared" si="6"/>
        <v>3847.7411700000011</v>
      </c>
    </row>
    <row r="35" spans="1:35" s="289" customFormat="1" ht="30.75" customHeight="1" x14ac:dyDescent="0.25">
      <c r="A35" s="280" t="s">
        <v>272</v>
      </c>
      <c r="B35" s="281"/>
      <c r="C35" s="282">
        <v>58140.01</v>
      </c>
      <c r="D35" s="282">
        <v>49327.7</v>
      </c>
      <c r="E35" s="282">
        <v>29633.38</v>
      </c>
      <c r="F35" s="282">
        <v>33855.800000000003</v>
      </c>
      <c r="G35" s="282">
        <v>42480.36</v>
      </c>
      <c r="H35" s="282">
        <v>28124.85</v>
      </c>
      <c r="I35" s="282">
        <v>34338</v>
      </c>
      <c r="J35" s="282">
        <v>76568.36</v>
      </c>
      <c r="K35" s="282">
        <v>78222.27</v>
      </c>
      <c r="L35" s="282">
        <v>85691.28</v>
      </c>
      <c r="M35" s="282">
        <v>75225.34</v>
      </c>
      <c r="N35" s="282">
        <v>70503.27</v>
      </c>
      <c r="O35" s="283">
        <f t="shared" si="0"/>
        <v>662110.62</v>
      </c>
      <c r="P35" s="284">
        <f t="shared" si="1"/>
        <v>55175.885000000002</v>
      </c>
      <c r="Q35" s="284">
        <f t="shared" si="3"/>
        <v>-0.61228732829919252</v>
      </c>
      <c r="R35" s="284">
        <f t="shared" si="4"/>
        <v>21392.389786806507</v>
      </c>
      <c r="S35" s="297" t="s">
        <v>273</v>
      </c>
      <c r="T35" s="296">
        <v>4.02E-2</v>
      </c>
      <c r="U35" s="294" t="s">
        <v>253</v>
      </c>
      <c r="V35" s="295">
        <f t="shared" si="35"/>
        <v>57393.955577000001</v>
      </c>
      <c r="W35" s="288">
        <f>$P$35</f>
        <v>55175.885000000002</v>
      </c>
      <c r="X35" s="288">
        <f>$P$35</f>
        <v>55175.885000000002</v>
      </c>
      <c r="Y35" s="288">
        <f>$P$35</f>
        <v>55175.885000000002</v>
      </c>
      <c r="Z35" s="288">
        <f>$P$35</f>
        <v>55175.885000000002</v>
      </c>
      <c r="AA35" s="288">
        <f>$V$35</f>
        <v>57393.955577000001</v>
      </c>
      <c r="AB35" s="288">
        <f t="shared" ref="AB35:AH35" si="37">$V$35</f>
        <v>57393.955577000001</v>
      </c>
      <c r="AC35" s="288">
        <f t="shared" si="37"/>
        <v>57393.955577000001</v>
      </c>
      <c r="AD35" s="288">
        <f t="shared" si="37"/>
        <v>57393.955577000001</v>
      </c>
      <c r="AE35" s="288">
        <f t="shared" si="37"/>
        <v>57393.955577000001</v>
      </c>
      <c r="AF35" s="288">
        <f t="shared" si="37"/>
        <v>57393.955577000001</v>
      </c>
      <c r="AG35" s="288">
        <f t="shared" si="37"/>
        <v>57393.955577000001</v>
      </c>
      <c r="AH35" s="288">
        <f t="shared" si="37"/>
        <v>57393.955577000001</v>
      </c>
      <c r="AI35" s="288">
        <f t="shared" si="6"/>
        <v>679855.18461600004</v>
      </c>
    </row>
    <row r="36" spans="1:35" s="289" customFormat="1" ht="24" customHeight="1" x14ac:dyDescent="0.25">
      <c r="A36" s="280" t="s">
        <v>274</v>
      </c>
      <c r="B36" s="281"/>
      <c r="C36" s="282">
        <v>1146.33</v>
      </c>
      <c r="D36" s="282">
        <v>955.59</v>
      </c>
      <c r="E36" s="282">
        <v>1418.61</v>
      </c>
      <c r="F36" s="282">
        <v>1909.34</v>
      </c>
      <c r="G36" s="282">
        <v>1052.4000000000001</v>
      </c>
      <c r="H36" s="282">
        <v>2541.0100000000002</v>
      </c>
      <c r="I36" s="282">
        <v>1408.25</v>
      </c>
      <c r="J36" s="282">
        <v>3935.22</v>
      </c>
      <c r="K36" s="282">
        <v>1839.51</v>
      </c>
      <c r="L36" s="282">
        <v>1115.22</v>
      </c>
      <c r="M36" s="282">
        <v>1229.6400000000001</v>
      </c>
      <c r="N36" s="282">
        <v>909.54</v>
      </c>
      <c r="O36" s="283">
        <f t="shared" si="0"/>
        <v>19460.66</v>
      </c>
      <c r="P36" s="284">
        <f t="shared" si="1"/>
        <v>1621.7216666666666</v>
      </c>
      <c r="Q36" s="284">
        <f t="shared" si="3"/>
        <v>-0.46354029314580947</v>
      </c>
      <c r="R36" s="284">
        <f t="shared" si="4"/>
        <v>869.98832989908931</v>
      </c>
      <c r="S36" s="294" t="s">
        <v>255</v>
      </c>
      <c r="T36" s="296">
        <v>4.2099999999999999E-2</v>
      </c>
      <c r="U36" s="294" t="s">
        <v>275</v>
      </c>
      <c r="V36" s="295">
        <f t="shared" si="35"/>
        <v>1689.9961488333333</v>
      </c>
      <c r="W36" s="288">
        <f>$P$36</f>
        <v>1621.7216666666666</v>
      </c>
      <c r="X36" s="288">
        <f t="shared" ref="X36:AD36" si="38">$P$36</f>
        <v>1621.7216666666666</v>
      </c>
      <c r="Y36" s="288">
        <f t="shared" si="38"/>
        <v>1621.7216666666666</v>
      </c>
      <c r="Z36" s="288">
        <f t="shared" si="38"/>
        <v>1621.7216666666666</v>
      </c>
      <c r="AA36" s="288">
        <f t="shared" si="38"/>
        <v>1621.7216666666666</v>
      </c>
      <c r="AB36" s="288">
        <f t="shared" si="38"/>
        <v>1621.7216666666666</v>
      </c>
      <c r="AC36" s="288">
        <f t="shared" si="38"/>
        <v>1621.7216666666666</v>
      </c>
      <c r="AD36" s="288">
        <f t="shared" si="38"/>
        <v>1621.7216666666666</v>
      </c>
      <c r="AE36" s="288">
        <f>$V$36</f>
        <v>1689.9961488333333</v>
      </c>
      <c r="AF36" s="288">
        <f>$V$36</f>
        <v>1689.9961488333333</v>
      </c>
      <c r="AG36" s="288">
        <f>$V$36</f>
        <v>1689.9961488333333</v>
      </c>
      <c r="AH36" s="288">
        <f>$V$36</f>
        <v>1689.9961488333333</v>
      </c>
      <c r="AI36" s="288">
        <f t="shared" si="6"/>
        <v>19733.757928666666</v>
      </c>
    </row>
    <row r="37" spans="1:35" s="289" customFormat="1" ht="24" customHeight="1" x14ac:dyDescent="0.25">
      <c r="A37" s="280" t="s">
        <v>276</v>
      </c>
      <c r="B37" s="281"/>
      <c r="C37" s="282">
        <v>24902.68</v>
      </c>
      <c r="D37" s="282">
        <v>43995.8</v>
      </c>
      <c r="E37" s="282">
        <v>13302.26</v>
      </c>
      <c r="F37" s="282">
        <v>24110.94</v>
      </c>
      <c r="G37" s="282">
        <v>18356.810000000001</v>
      </c>
      <c r="H37" s="282">
        <v>20535.830000000002</v>
      </c>
      <c r="I37" s="282">
        <v>101046.76</v>
      </c>
      <c r="J37" s="282">
        <v>12105.5</v>
      </c>
      <c r="K37" s="282">
        <v>29577.53</v>
      </c>
      <c r="L37" s="282">
        <v>8424.08</v>
      </c>
      <c r="M37" s="282">
        <v>32934.69</v>
      </c>
      <c r="N37" s="282">
        <v>12251.62</v>
      </c>
      <c r="O37" s="283">
        <f t="shared" si="0"/>
        <v>341544.5</v>
      </c>
      <c r="P37" s="284">
        <f t="shared" si="1"/>
        <v>28462.041666666668</v>
      </c>
      <c r="Q37" s="284">
        <f t="shared" si="3"/>
        <v>-0.12072523403263968</v>
      </c>
      <c r="R37" s="284">
        <f t="shared" si="4"/>
        <v>25025.955025411593</v>
      </c>
      <c r="S37" s="294" t="s">
        <v>234</v>
      </c>
      <c r="T37" s="293">
        <v>0.05</v>
      </c>
      <c r="U37" s="294" t="s">
        <v>253</v>
      </c>
      <c r="V37" s="295">
        <f t="shared" si="35"/>
        <v>29885.143750000003</v>
      </c>
      <c r="W37" s="288">
        <f>$P$37</f>
        <v>28462.041666666668</v>
      </c>
      <c r="X37" s="288">
        <f>$P$37</f>
        <v>28462.041666666668</v>
      </c>
      <c r="Y37" s="288">
        <f>$P$37</f>
        <v>28462.041666666668</v>
      </c>
      <c r="Z37" s="288">
        <f>$P$37</f>
        <v>28462.041666666668</v>
      </c>
      <c r="AA37" s="288">
        <f>$V$37</f>
        <v>29885.143750000003</v>
      </c>
      <c r="AB37" s="288">
        <f t="shared" ref="AB37:AH37" si="39">$V$37</f>
        <v>29885.143750000003</v>
      </c>
      <c r="AC37" s="288">
        <f t="shared" si="39"/>
        <v>29885.143750000003</v>
      </c>
      <c r="AD37" s="288">
        <f t="shared" si="39"/>
        <v>29885.143750000003</v>
      </c>
      <c r="AE37" s="288">
        <f t="shared" si="39"/>
        <v>29885.143750000003</v>
      </c>
      <c r="AF37" s="288">
        <f t="shared" si="39"/>
        <v>29885.143750000003</v>
      </c>
      <c r="AG37" s="288">
        <f t="shared" si="39"/>
        <v>29885.143750000003</v>
      </c>
      <c r="AH37" s="288">
        <f t="shared" si="39"/>
        <v>29885.143750000003</v>
      </c>
      <c r="AI37" s="288">
        <f t="shared" si="6"/>
        <v>352929.31666666659</v>
      </c>
    </row>
    <row r="38" spans="1:35" s="289" customFormat="1" ht="24" customHeight="1" x14ac:dyDescent="0.25">
      <c r="A38" s="280" t="s">
        <v>277</v>
      </c>
      <c r="B38" s="281"/>
      <c r="C38" s="282">
        <v>45962.95</v>
      </c>
      <c r="D38" s="282">
        <v>13903.79</v>
      </c>
      <c r="E38" s="282">
        <v>0</v>
      </c>
      <c r="F38" s="282">
        <v>279.44</v>
      </c>
      <c r="G38" s="282">
        <v>1163.53</v>
      </c>
      <c r="H38" s="282">
        <v>807.43</v>
      </c>
      <c r="I38" s="282">
        <v>236.93</v>
      </c>
      <c r="J38" s="282">
        <v>2371.75</v>
      </c>
      <c r="K38" s="282">
        <v>613.1</v>
      </c>
      <c r="L38" s="282">
        <v>257.29000000000002</v>
      </c>
      <c r="M38" s="282">
        <v>869.5</v>
      </c>
      <c r="N38" s="282">
        <v>901.45</v>
      </c>
      <c r="O38" s="283">
        <f t="shared" si="0"/>
        <v>67367.159999999989</v>
      </c>
      <c r="P38" s="284">
        <f t="shared" si="1"/>
        <v>5613.9299999999994</v>
      </c>
      <c r="Q38" s="284">
        <f t="shared" si="3"/>
        <v>1.3640483036113755</v>
      </c>
      <c r="R38" s="284">
        <f t="shared" si="4"/>
        <v>13271.601693093007</v>
      </c>
      <c r="S38" s="294" t="s">
        <v>234</v>
      </c>
      <c r="T38" s="293">
        <v>0.05</v>
      </c>
      <c r="U38" s="294" t="s">
        <v>253</v>
      </c>
      <c r="V38" s="295">
        <f t="shared" si="35"/>
        <v>5894.6264999999994</v>
      </c>
      <c r="W38" s="288">
        <f>$P$38</f>
        <v>5613.9299999999994</v>
      </c>
      <c r="X38" s="288">
        <f>$P$38</f>
        <v>5613.9299999999994</v>
      </c>
      <c r="Y38" s="288">
        <f>$P$38</f>
        <v>5613.9299999999994</v>
      </c>
      <c r="Z38" s="288">
        <f>$P$38</f>
        <v>5613.9299999999994</v>
      </c>
      <c r="AA38" s="288">
        <f>$V$38</f>
        <v>5894.6264999999994</v>
      </c>
      <c r="AB38" s="288">
        <f t="shared" ref="AB38:AH38" si="40">$V$38</f>
        <v>5894.6264999999994</v>
      </c>
      <c r="AC38" s="288">
        <f t="shared" si="40"/>
        <v>5894.6264999999994</v>
      </c>
      <c r="AD38" s="288">
        <f t="shared" si="40"/>
        <v>5894.6264999999994</v>
      </c>
      <c r="AE38" s="288">
        <f t="shared" si="40"/>
        <v>5894.6264999999994</v>
      </c>
      <c r="AF38" s="288">
        <f t="shared" si="40"/>
        <v>5894.6264999999994</v>
      </c>
      <c r="AG38" s="288">
        <f t="shared" si="40"/>
        <v>5894.6264999999994</v>
      </c>
      <c r="AH38" s="288">
        <f t="shared" si="40"/>
        <v>5894.6264999999994</v>
      </c>
      <c r="AI38" s="288">
        <f t="shared" si="6"/>
        <v>69612.731999999989</v>
      </c>
    </row>
    <row r="39" spans="1:35" s="289" customFormat="1" ht="24" customHeight="1" x14ac:dyDescent="0.25">
      <c r="A39" s="280" t="s">
        <v>278</v>
      </c>
      <c r="B39" s="281"/>
      <c r="C39" s="282">
        <v>17289.25</v>
      </c>
      <c r="D39" s="282">
        <v>11233.52</v>
      </c>
      <c r="E39" s="282">
        <v>28368.04</v>
      </c>
      <c r="F39" s="282">
        <v>12772.61</v>
      </c>
      <c r="G39" s="282">
        <v>15583.43</v>
      </c>
      <c r="H39" s="282">
        <v>17009.5</v>
      </c>
      <c r="I39" s="282">
        <v>105163.81</v>
      </c>
      <c r="J39" s="282">
        <v>20377.02</v>
      </c>
      <c r="K39" s="282">
        <v>57933.51</v>
      </c>
      <c r="L39" s="282">
        <v>12571.92</v>
      </c>
      <c r="M39" s="282">
        <v>24241.88</v>
      </c>
      <c r="N39" s="282">
        <v>27953.47</v>
      </c>
      <c r="O39" s="283">
        <f t="shared" si="0"/>
        <v>350497.95999999996</v>
      </c>
      <c r="P39" s="284">
        <f t="shared" si="1"/>
        <v>29208.16333333333</v>
      </c>
      <c r="Q39" s="284">
        <f t="shared" si="3"/>
        <v>-7.4056335675081186E-2</v>
      </c>
      <c r="R39" s="284">
        <f t="shared" si="4"/>
        <v>27045.113785067399</v>
      </c>
      <c r="S39" s="294" t="s">
        <v>234</v>
      </c>
      <c r="T39" s="293">
        <v>0.05</v>
      </c>
      <c r="U39" s="294" t="s">
        <v>243</v>
      </c>
      <c r="V39" s="295">
        <f t="shared" si="35"/>
        <v>30668.571499999998</v>
      </c>
      <c r="W39" s="288">
        <f>$P$39</f>
        <v>29208.16333333333</v>
      </c>
      <c r="X39" s="288">
        <f>$P$39</f>
        <v>29208.16333333333</v>
      </c>
      <c r="Y39" s="288">
        <f>$P$39</f>
        <v>29208.16333333333</v>
      </c>
      <c r="Z39" s="288">
        <f>$P$39</f>
        <v>29208.16333333333</v>
      </c>
      <c r="AA39" s="288">
        <f>$P$39</f>
        <v>29208.16333333333</v>
      </c>
      <c r="AB39" s="288">
        <f>$V$39</f>
        <v>30668.571499999998</v>
      </c>
      <c r="AC39" s="288">
        <f t="shared" ref="AC39:AH39" si="41">$V$39</f>
        <v>30668.571499999998</v>
      </c>
      <c r="AD39" s="288">
        <f t="shared" si="41"/>
        <v>30668.571499999998</v>
      </c>
      <c r="AE39" s="288">
        <f t="shared" si="41"/>
        <v>30668.571499999998</v>
      </c>
      <c r="AF39" s="288">
        <f t="shared" si="41"/>
        <v>30668.571499999998</v>
      </c>
      <c r="AG39" s="288">
        <f t="shared" si="41"/>
        <v>30668.571499999998</v>
      </c>
      <c r="AH39" s="288">
        <f t="shared" si="41"/>
        <v>30668.571499999998</v>
      </c>
      <c r="AI39" s="288">
        <f t="shared" si="6"/>
        <v>360720.81716666667</v>
      </c>
    </row>
    <row r="40" spans="1:35" s="289" customFormat="1" ht="24" customHeight="1" x14ac:dyDescent="0.25">
      <c r="A40" s="280" t="s">
        <v>279</v>
      </c>
      <c r="B40" s="281"/>
      <c r="C40" s="282">
        <v>39200.44</v>
      </c>
      <c r="D40" s="282">
        <v>26323.48</v>
      </c>
      <c r="E40" s="282">
        <v>40448.49</v>
      </c>
      <c r="F40" s="282">
        <v>52029.96</v>
      </c>
      <c r="G40" s="282">
        <v>35312.199999999997</v>
      </c>
      <c r="H40" s="282">
        <v>40493.46</v>
      </c>
      <c r="I40" s="282">
        <v>41730.480000000003</v>
      </c>
      <c r="J40" s="282">
        <v>50875.11</v>
      </c>
      <c r="K40" s="282">
        <v>36198.51</v>
      </c>
      <c r="L40" s="282">
        <v>51429.45</v>
      </c>
      <c r="M40" s="282">
        <v>56454.29</v>
      </c>
      <c r="N40" s="282">
        <v>35425.660000000003</v>
      </c>
      <c r="O40" s="283">
        <f t="shared" si="0"/>
        <v>505921.53</v>
      </c>
      <c r="P40" s="284">
        <f t="shared" si="1"/>
        <v>42160.127500000002</v>
      </c>
      <c r="Q40" s="284">
        <f t="shared" si="3"/>
        <v>-0.79065941336730461</v>
      </c>
      <c r="R40" s="284">
        <f t="shared" si="4"/>
        <v>8825.8258233592314</v>
      </c>
      <c r="S40" s="294"/>
      <c r="T40" s="294"/>
      <c r="U40" s="294"/>
      <c r="V40" s="295"/>
      <c r="W40" s="288">
        <f>$P$40</f>
        <v>42160.127500000002</v>
      </c>
      <c r="X40" s="288">
        <f t="shared" ref="X40:AH40" si="42">$P$40</f>
        <v>42160.127500000002</v>
      </c>
      <c r="Y40" s="288">
        <f t="shared" si="42"/>
        <v>42160.127500000002</v>
      </c>
      <c r="Z40" s="288">
        <f t="shared" si="42"/>
        <v>42160.127500000002</v>
      </c>
      <c r="AA40" s="288">
        <f t="shared" si="42"/>
        <v>42160.127500000002</v>
      </c>
      <c r="AB40" s="288">
        <f t="shared" si="42"/>
        <v>42160.127500000002</v>
      </c>
      <c r="AC40" s="288">
        <f t="shared" si="42"/>
        <v>42160.127500000002</v>
      </c>
      <c r="AD40" s="288">
        <f t="shared" si="42"/>
        <v>42160.127500000002</v>
      </c>
      <c r="AE40" s="288">
        <f t="shared" si="42"/>
        <v>42160.127500000002</v>
      </c>
      <c r="AF40" s="288">
        <f t="shared" si="42"/>
        <v>42160.127500000002</v>
      </c>
      <c r="AG40" s="288">
        <f t="shared" si="42"/>
        <v>42160.127500000002</v>
      </c>
      <c r="AH40" s="288">
        <f t="shared" si="42"/>
        <v>42160.127500000002</v>
      </c>
      <c r="AI40" s="288">
        <f t="shared" si="6"/>
        <v>505921.53</v>
      </c>
    </row>
    <row r="41" spans="1:35" s="289" customFormat="1" ht="30" customHeight="1" x14ac:dyDescent="0.25">
      <c r="A41" s="280" t="s">
        <v>280</v>
      </c>
      <c r="B41" s="281"/>
      <c r="C41" s="282">
        <v>51462.720000000001</v>
      </c>
      <c r="D41" s="282">
        <v>85479.33</v>
      </c>
      <c r="E41" s="282">
        <v>95406.25</v>
      </c>
      <c r="F41" s="282">
        <v>84164.800000000003</v>
      </c>
      <c r="G41" s="282">
        <v>162799.44</v>
      </c>
      <c r="H41" s="282">
        <v>55872.38</v>
      </c>
      <c r="I41" s="282">
        <v>118515.73</v>
      </c>
      <c r="J41" s="282">
        <v>78727.23</v>
      </c>
      <c r="K41" s="282">
        <v>67708.88</v>
      </c>
      <c r="L41" s="282">
        <v>79209.960000000006</v>
      </c>
      <c r="M41" s="282">
        <v>114409.66</v>
      </c>
      <c r="N41" s="282">
        <v>91764.66</v>
      </c>
      <c r="O41" s="283">
        <f t="shared" si="0"/>
        <v>1085521.0399999998</v>
      </c>
      <c r="P41" s="284">
        <f t="shared" si="1"/>
        <v>90460.086666666655</v>
      </c>
      <c r="Q41" s="284">
        <f t="shared" si="3"/>
        <v>-0.66365146485594817</v>
      </c>
      <c r="R41" s="284">
        <f t="shared" si="4"/>
        <v>30426.117639337306</v>
      </c>
      <c r="S41" s="297" t="s">
        <v>273</v>
      </c>
      <c r="T41" s="296">
        <v>4.02E-2</v>
      </c>
      <c r="U41" s="294" t="s">
        <v>253</v>
      </c>
      <c r="V41" s="295">
        <f t="shared" si="35"/>
        <v>94096.582150666654</v>
      </c>
      <c r="W41" s="288">
        <f>$P$41</f>
        <v>90460.086666666655</v>
      </c>
      <c r="X41" s="288">
        <f>$P$41</f>
        <v>90460.086666666655</v>
      </c>
      <c r="Y41" s="288">
        <f>$P$41</f>
        <v>90460.086666666655</v>
      </c>
      <c r="Z41" s="288">
        <f>$P$41</f>
        <v>90460.086666666655</v>
      </c>
      <c r="AA41" s="288">
        <f>$V$41</f>
        <v>94096.582150666654</v>
      </c>
      <c r="AB41" s="288">
        <f t="shared" ref="AB41:AH41" si="43">$V$41</f>
        <v>94096.582150666654</v>
      </c>
      <c r="AC41" s="288">
        <f t="shared" si="43"/>
        <v>94096.582150666654</v>
      </c>
      <c r="AD41" s="288">
        <f t="shared" si="43"/>
        <v>94096.582150666654</v>
      </c>
      <c r="AE41" s="288">
        <f t="shared" si="43"/>
        <v>94096.582150666654</v>
      </c>
      <c r="AF41" s="288">
        <f t="shared" si="43"/>
        <v>94096.582150666654</v>
      </c>
      <c r="AG41" s="288">
        <f t="shared" si="43"/>
        <v>94096.582150666654</v>
      </c>
      <c r="AH41" s="288">
        <f t="shared" si="43"/>
        <v>94096.582150666654</v>
      </c>
      <c r="AI41" s="288">
        <f t="shared" si="6"/>
        <v>1114613.0038719997</v>
      </c>
    </row>
    <row r="42" spans="1:35" s="289" customFormat="1" ht="24" customHeight="1" x14ac:dyDescent="0.25">
      <c r="A42" s="280" t="s">
        <v>281</v>
      </c>
      <c r="B42" s="281"/>
      <c r="C42" s="282">
        <v>409.52</v>
      </c>
      <c r="D42" s="282">
        <v>110.02</v>
      </c>
      <c r="E42" s="282">
        <v>169.26</v>
      </c>
      <c r="F42" s="282">
        <v>176.4</v>
      </c>
      <c r="G42" s="282">
        <v>872.87</v>
      </c>
      <c r="H42" s="282">
        <v>0</v>
      </c>
      <c r="I42" s="282">
        <v>0</v>
      </c>
      <c r="J42" s="282">
        <v>0</v>
      </c>
      <c r="K42" s="282">
        <v>0</v>
      </c>
      <c r="L42" s="282">
        <v>0</v>
      </c>
      <c r="M42" s="282">
        <v>0</v>
      </c>
      <c r="N42" s="282">
        <v>0</v>
      </c>
      <c r="O42" s="283">
        <f t="shared" si="0"/>
        <v>1738.07</v>
      </c>
      <c r="P42" s="284">
        <f t="shared" si="1"/>
        <v>144.83916666666667</v>
      </c>
      <c r="Q42" s="284">
        <f t="shared" si="3"/>
        <v>0.80248851980256863</v>
      </c>
      <c r="R42" s="284">
        <f t="shared" si="4"/>
        <v>261.07093513443755</v>
      </c>
      <c r="S42" s="294" t="s">
        <v>234</v>
      </c>
      <c r="T42" s="293">
        <v>0.05</v>
      </c>
      <c r="U42" s="294" t="s">
        <v>248</v>
      </c>
      <c r="V42" s="295">
        <f t="shared" si="35"/>
        <v>152.08112500000001</v>
      </c>
      <c r="W42" s="288">
        <f>$V$42</f>
        <v>152.08112500000001</v>
      </c>
      <c r="X42" s="288">
        <f t="shared" ref="X42:AH42" si="44">$V$42</f>
        <v>152.08112500000001</v>
      </c>
      <c r="Y42" s="288">
        <f t="shared" si="44"/>
        <v>152.08112500000001</v>
      </c>
      <c r="Z42" s="288">
        <f t="shared" si="44"/>
        <v>152.08112500000001</v>
      </c>
      <c r="AA42" s="288">
        <f t="shared" si="44"/>
        <v>152.08112500000001</v>
      </c>
      <c r="AB42" s="288">
        <f t="shared" si="44"/>
        <v>152.08112500000001</v>
      </c>
      <c r="AC42" s="288">
        <f t="shared" si="44"/>
        <v>152.08112500000001</v>
      </c>
      <c r="AD42" s="288">
        <f t="shared" si="44"/>
        <v>152.08112500000001</v>
      </c>
      <c r="AE42" s="288">
        <f t="shared" si="44"/>
        <v>152.08112500000001</v>
      </c>
      <c r="AF42" s="288">
        <f t="shared" si="44"/>
        <v>152.08112500000001</v>
      </c>
      <c r="AG42" s="288">
        <f t="shared" si="44"/>
        <v>152.08112500000001</v>
      </c>
      <c r="AH42" s="288">
        <f t="shared" si="44"/>
        <v>152.08112500000001</v>
      </c>
      <c r="AI42" s="288">
        <f t="shared" si="6"/>
        <v>1824.9734999999998</v>
      </c>
    </row>
    <row r="43" spans="1:35" s="289" customFormat="1" ht="24" customHeight="1" x14ac:dyDescent="0.25">
      <c r="A43" s="280" t="s">
        <v>282</v>
      </c>
      <c r="B43" s="281"/>
      <c r="C43" s="282">
        <v>32726.240000000002</v>
      </c>
      <c r="D43" s="282">
        <v>40177.33</v>
      </c>
      <c r="E43" s="282">
        <v>7036.94</v>
      </c>
      <c r="F43" s="282">
        <v>9523</v>
      </c>
      <c r="G43" s="282">
        <v>15100.61</v>
      </c>
      <c r="H43" s="282">
        <v>23234.92</v>
      </c>
      <c r="I43" s="282">
        <v>14824.26</v>
      </c>
      <c r="J43" s="282">
        <v>261917.12</v>
      </c>
      <c r="K43" s="282">
        <v>92668.56</v>
      </c>
      <c r="L43" s="282">
        <v>59170.29</v>
      </c>
      <c r="M43" s="282">
        <v>38340.32</v>
      </c>
      <c r="N43" s="282">
        <v>7887.59</v>
      </c>
      <c r="O43" s="283">
        <f t="shared" si="0"/>
        <v>602607.17999999993</v>
      </c>
      <c r="P43" s="284">
        <f t="shared" si="1"/>
        <v>50217.264999999992</v>
      </c>
      <c r="Q43" s="284">
        <f t="shared" si="3"/>
        <v>0.4179574419512937</v>
      </c>
      <c r="R43" s="284">
        <f t="shared" si="4"/>
        <v>71205.944621190225</v>
      </c>
      <c r="S43" s="294" t="s">
        <v>238</v>
      </c>
      <c r="T43" s="296">
        <v>4.02E-2</v>
      </c>
      <c r="U43" s="294" t="s">
        <v>248</v>
      </c>
      <c r="V43" s="295">
        <f t="shared" si="35"/>
        <v>52235.999052999992</v>
      </c>
      <c r="W43" s="288">
        <f>$V$43</f>
        <v>52235.999052999992</v>
      </c>
      <c r="X43" s="288">
        <f t="shared" ref="X43:AH43" si="45">$V$43</f>
        <v>52235.999052999992</v>
      </c>
      <c r="Y43" s="288">
        <f t="shared" si="45"/>
        <v>52235.999052999992</v>
      </c>
      <c r="Z43" s="288">
        <f t="shared" si="45"/>
        <v>52235.999052999992</v>
      </c>
      <c r="AA43" s="288">
        <f t="shared" si="45"/>
        <v>52235.999052999992</v>
      </c>
      <c r="AB43" s="288">
        <f t="shared" si="45"/>
        <v>52235.999052999992</v>
      </c>
      <c r="AC43" s="288">
        <f t="shared" si="45"/>
        <v>52235.999052999992</v>
      </c>
      <c r="AD43" s="288">
        <f t="shared" si="45"/>
        <v>52235.999052999992</v>
      </c>
      <c r="AE43" s="288">
        <f t="shared" si="45"/>
        <v>52235.999052999992</v>
      </c>
      <c r="AF43" s="288">
        <f t="shared" si="45"/>
        <v>52235.999052999992</v>
      </c>
      <c r="AG43" s="288">
        <f t="shared" si="45"/>
        <v>52235.999052999992</v>
      </c>
      <c r="AH43" s="288">
        <f t="shared" si="45"/>
        <v>52235.999052999992</v>
      </c>
      <c r="AI43" s="288">
        <f t="shared" si="6"/>
        <v>626831.98863599997</v>
      </c>
    </row>
    <row r="44" spans="1:35" s="289" customFormat="1" ht="24" customHeight="1" x14ac:dyDescent="0.25">
      <c r="A44" s="280" t="s">
        <v>283</v>
      </c>
      <c r="B44" s="281"/>
      <c r="C44" s="282">
        <v>0</v>
      </c>
      <c r="D44" s="282">
        <v>0</v>
      </c>
      <c r="E44" s="282">
        <v>0</v>
      </c>
      <c r="F44" s="282">
        <v>357</v>
      </c>
      <c r="G44" s="282">
        <v>503.83</v>
      </c>
      <c r="H44" s="282">
        <v>0</v>
      </c>
      <c r="I44" s="282">
        <v>0</v>
      </c>
      <c r="J44" s="282">
        <v>390.01</v>
      </c>
      <c r="K44" s="282">
        <v>419.33</v>
      </c>
      <c r="L44" s="282">
        <v>2560.08</v>
      </c>
      <c r="M44" s="282">
        <v>130</v>
      </c>
      <c r="N44" s="282">
        <v>2171.19</v>
      </c>
      <c r="O44" s="283">
        <f t="shared" si="0"/>
        <v>6531.4400000000005</v>
      </c>
      <c r="P44" s="284">
        <f t="shared" si="1"/>
        <v>544.28666666666675</v>
      </c>
      <c r="Q44" s="284">
        <f t="shared" si="3"/>
        <v>0.60926514818346988</v>
      </c>
      <c r="R44" s="284">
        <f t="shared" si="4"/>
        <v>875.90156328762032</v>
      </c>
      <c r="S44" s="294" t="s">
        <v>238</v>
      </c>
      <c r="T44" s="296">
        <v>4.02E-2</v>
      </c>
      <c r="U44" s="294" t="s">
        <v>248</v>
      </c>
      <c r="V44" s="295">
        <f t="shared" si="35"/>
        <v>566.16699066666672</v>
      </c>
      <c r="W44" s="288">
        <f>$V$44</f>
        <v>566.16699066666672</v>
      </c>
      <c r="X44" s="288">
        <f t="shared" ref="X44:AH44" si="46">$V$44</f>
        <v>566.16699066666672</v>
      </c>
      <c r="Y44" s="288">
        <f t="shared" si="46"/>
        <v>566.16699066666672</v>
      </c>
      <c r="Z44" s="288">
        <f t="shared" si="46"/>
        <v>566.16699066666672</v>
      </c>
      <c r="AA44" s="288">
        <f t="shared" si="46"/>
        <v>566.16699066666672</v>
      </c>
      <c r="AB44" s="288">
        <f t="shared" si="46"/>
        <v>566.16699066666672</v>
      </c>
      <c r="AC44" s="288">
        <f t="shared" si="46"/>
        <v>566.16699066666672</v>
      </c>
      <c r="AD44" s="288">
        <f t="shared" si="46"/>
        <v>566.16699066666672</v>
      </c>
      <c r="AE44" s="288">
        <f t="shared" si="46"/>
        <v>566.16699066666672</v>
      </c>
      <c r="AF44" s="288">
        <f t="shared" si="46"/>
        <v>566.16699066666672</v>
      </c>
      <c r="AG44" s="288">
        <f t="shared" si="46"/>
        <v>566.16699066666672</v>
      </c>
      <c r="AH44" s="288">
        <f t="shared" si="46"/>
        <v>566.16699066666672</v>
      </c>
      <c r="AI44" s="288">
        <f t="shared" si="6"/>
        <v>6794.0038880000002</v>
      </c>
    </row>
    <row r="45" spans="1:35" s="289" customFormat="1" ht="24" customHeight="1" x14ac:dyDescent="0.25">
      <c r="A45" s="280" t="s">
        <v>284</v>
      </c>
      <c r="B45" s="281"/>
      <c r="C45" s="282">
        <v>535.73</v>
      </c>
      <c r="D45" s="282">
        <v>541.03</v>
      </c>
      <c r="E45" s="282">
        <v>345.35</v>
      </c>
      <c r="F45" s="282">
        <v>144</v>
      </c>
      <c r="G45" s="282">
        <v>72</v>
      </c>
      <c r="H45" s="282">
        <v>0</v>
      </c>
      <c r="I45" s="282">
        <v>0</v>
      </c>
      <c r="J45" s="282">
        <v>0</v>
      </c>
      <c r="K45" s="282">
        <v>0</v>
      </c>
      <c r="L45" s="282">
        <v>0</v>
      </c>
      <c r="M45" s="282">
        <v>0</v>
      </c>
      <c r="N45" s="282">
        <v>0</v>
      </c>
      <c r="O45" s="283">
        <f t="shared" si="0"/>
        <v>1638.1100000000001</v>
      </c>
      <c r="P45" s="284">
        <f t="shared" si="1"/>
        <v>136.50916666666669</v>
      </c>
      <c r="Q45" s="284">
        <f t="shared" si="3"/>
        <v>0.56381806670997725</v>
      </c>
      <c r="R45" s="284">
        <f t="shared" si="4"/>
        <v>213.47550110485676</v>
      </c>
      <c r="S45" s="294" t="s">
        <v>234</v>
      </c>
      <c r="T45" s="293">
        <v>0.05</v>
      </c>
      <c r="U45" s="294" t="s">
        <v>239</v>
      </c>
      <c r="V45" s="295">
        <f t="shared" si="35"/>
        <v>143.33462500000002</v>
      </c>
      <c r="W45" s="298"/>
      <c r="X45" s="298"/>
      <c r="Y45" s="298"/>
      <c r="Z45" s="298"/>
      <c r="AA45" s="298"/>
      <c r="AB45" s="298"/>
      <c r="AC45" s="298"/>
      <c r="AD45" s="298"/>
      <c r="AE45" s="298"/>
      <c r="AF45" s="298"/>
      <c r="AG45" s="298"/>
      <c r="AH45" s="298"/>
      <c r="AI45" s="288">
        <f t="shared" si="6"/>
        <v>0</v>
      </c>
    </row>
    <row r="46" spans="1:35" s="289" customFormat="1" ht="24" customHeight="1" x14ac:dyDescent="0.25">
      <c r="A46" s="280" t="s">
        <v>285</v>
      </c>
      <c r="B46" s="281"/>
      <c r="C46" s="282">
        <v>23198.1</v>
      </c>
      <c r="D46" s="282">
        <v>57282.14</v>
      </c>
      <c r="E46" s="282">
        <v>11179.38</v>
      </c>
      <c r="F46" s="282">
        <v>16913.18</v>
      </c>
      <c r="G46" s="282">
        <v>18380.71</v>
      </c>
      <c r="H46" s="282">
        <v>12296</v>
      </c>
      <c r="I46" s="282">
        <v>32692.87</v>
      </c>
      <c r="J46" s="282">
        <v>39786.11</v>
      </c>
      <c r="K46" s="282">
        <v>27379.72</v>
      </c>
      <c r="L46" s="282">
        <v>202206.07999999999</v>
      </c>
      <c r="M46" s="282">
        <v>34263.1</v>
      </c>
      <c r="N46" s="282">
        <v>17529.73</v>
      </c>
      <c r="O46" s="283">
        <f t="shared" si="0"/>
        <v>493107.11999999994</v>
      </c>
      <c r="P46" s="284">
        <f t="shared" si="1"/>
        <v>41092.259999999995</v>
      </c>
      <c r="Q46" s="284">
        <f t="shared" si="3"/>
        <v>0.27566862001585402</v>
      </c>
      <c r="R46" s="284">
        <f t="shared" si="4"/>
        <v>52420.106607532674</v>
      </c>
      <c r="S46" s="294" t="s">
        <v>238</v>
      </c>
      <c r="T46" s="296">
        <v>4.02E-2</v>
      </c>
      <c r="U46" s="294" t="s">
        <v>275</v>
      </c>
      <c r="V46" s="295">
        <f t="shared" si="35"/>
        <v>42744.168851999995</v>
      </c>
      <c r="W46" s="298">
        <f>$P$46</f>
        <v>41092.259999999995</v>
      </c>
      <c r="X46" s="298">
        <f t="shared" ref="X46:AD46" si="47">$P$46</f>
        <v>41092.259999999995</v>
      </c>
      <c r="Y46" s="298">
        <f t="shared" si="47"/>
        <v>41092.259999999995</v>
      </c>
      <c r="Z46" s="298">
        <f t="shared" si="47"/>
        <v>41092.259999999995</v>
      </c>
      <c r="AA46" s="298">
        <f t="shared" si="47"/>
        <v>41092.259999999995</v>
      </c>
      <c r="AB46" s="298">
        <f t="shared" si="47"/>
        <v>41092.259999999995</v>
      </c>
      <c r="AC46" s="298">
        <f t="shared" si="47"/>
        <v>41092.259999999995</v>
      </c>
      <c r="AD46" s="298">
        <f t="shared" si="47"/>
        <v>41092.259999999995</v>
      </c>
      <c r="AE46" s="298">
        <f>$V$46</f>
        <v>42744.168851999995</v>
      </c>
      <c r="AF46" s="298">
        <f>$V$46</f>
        <v>42744.168851999995</v>
      </c>
      <c r="AG46" s="298">
        <f>$V$46</f>
        <v>42744.168851999995</v>
      </c>
      <c r="AH46" s="298">
        <f>$V$46</f>
        <v>42744.168851999995</v>
      </c>
      <c r="AI46" s="288">
        <f t="shared" si="6"/>
        <v>499714.75540799991</v>
      </c>
    </row>
    <row r="47" spans="1:35" s="289" customFormat="1" ht="24" customHeight="1" x14ac:dyDescent="0.25">
      <c r="A47" s="280" t="s">
        <v>286</v>
      </c>
      <c r="B47" s="281"/>
      <c r="C47" s="282">
        <v>118595.49</v>
      </c>
      <c r="D47" s="282">
        <v>30231.5</v>
      </c>
      <c r="E47" s="282">
        <v>32774.14</v>
      </c>
      <c r="F47" s="282">
        <v>18733.11</v>
      </c>
      <c r="G47" s="282">
        <v>14227.78</v>
      </c>
      <c r="H47" s="282">
        <v>55883.6</v>
      </c>
      <c r="I47" s="282">
        <v>12511.61</v>
      </c>
      <c r="J47" s="282">
        <v>15324.96</v>
      </c>
      <c r="K47" s="282">
        <v>35720.81</v>
      </c>
      <c r="L47" s="282">
        <v>19833.34</v>
      </c>
      <c r="M47" s="282">
        <v>20922.79</v>
      </c>
      <c r="N47" s="282">
        <v>40926.15</v>
      </c>
      <c r="O47" s="283">
        <f t="shared" si="0"/>
        <v>415685.28</v>
      </c>
      <c r="P47" s="284">
        <f t="shared" si="1"/>
        <v>34640.44</v>
      </c>
      <c r="Q47" s="284">
        <f t="shared" si="3"/>
        <v>-0.15149175367482648</v>
      </c>
      <c r="R47" s="284">
        <f t="shared" si="4"/>
        <v>29392.698996332398</v>
      </c>
      <c r="S47" s="294" t="s">
        <v>238</v>
      </c>
      <c r="T47" s="296">
        <v>4.02E-2</v>
      </c>
      <c r="U47" s="294" t="s">
        <v>287</v>
      </c>
      <c r="V47" s="295">
        <f t="shared" si="35"/>
        <v>36032.985688000001</v>
      </c>
      <c r="W47" s="298">
        <f>$P$47</f>
        <v>34640.44</v>
      </c>
      <c r="X47" s="298">
        <f t="shared" ref="X47:AF47" si="48">$P$47</f>
        <v>34640.44</v>
      </c>
      <c r="Y47" s="298">
        <f t="shared" si="48"/>
        <v>34640.44</v>
      </c>
      <c r="Z47" s="298">
        <f t="shared" si="48"/>
        <v>34640.44</v>
      </c>
      <c r="AA47" s="298">
        <f t="shared" si="48"/>
        <v>34640.44</v>
      </c>
      <c r="AB47" s="298">
        <f t="shared" si="48"/>
        <v>34640.44</v>
      </c>
      <c r="AC47" s="298">
        <f t="shared" si="48"/>
        <v>34640.44</v>
      </c>
      <c r="AD47" s="298">
        <f t="shared" si="48"/>
        <v>34640.44</v>
      </c>
      <c r="AE47" s="298">
        <f t="shared" si="48"/>
        <v>34640.44</v>
      </c>
      <c r="AF47" s="298">
        <f t="shared" si="48"/>
        <v>34640.44</v>
      </c>
      <c r="AG47" s="298">
        <f>$V$47</f>
        <v>36032.985688000001</v>
      </c>
      <c r="AH47" s="298">
        <f>$V$47</f>
        <v>36032.985688000001</v>
      </c>
      <c r="AI47" s="288">
        <f t="shared" si="6"/>
        <v>418470.371376</v>
      </c>
    </row>
    <row r="48" spans="1:35" s="289" customFormat="1" ht="24" customHeight="1" x14ac:dyDescent="0.25">
      <c r="A48" s="280" t="s">
        <v>318</v>
      </c>
      <c r="B48" s="281"/>
      <c r="C48" s="282">
        <v>0</v>
      </c>
      <c r="D48" s="282">
        <v>0</v>
      </c>
      <c r="E48" s="282">
        <v>0</v>
      </c>
      <c r="F48" s="282">
        <v>0</v>
      </c>
      <c r="G48" s="282">
        <v>11202.14</v>
      </c>
      <c r="H48" s="282">
        <v>0</v>
      </c>
      <c r="I48" s="282">
        <v>0</v>
      </c>
      <c r="J48" s="282">
        <v>0</v>
      </c>
      <c r="K48" s="282">
        <v>0</v>
      </c>
      <c r="L48" s="282">
        <v>0</v>
      </c>
      <c r="M48" s="282">
        <v>0</v>
      </c>
      <c r="N48" s="282">
        <v>0</v>
      </c>
      <c r="O48" s="283">
        <f t="shared" si="0"/>
        <v>11202.14</v>
      </c>
      <c r="P48" s="284">
        <f t="shared" si="1"/>
        <v>933.51166666666666</v>
      </c>
      <c r="Q48" s="284">
        <f t="shared" si="3"/>
        <v>2.4641016151377544</v>
      </c>
      <c r="R48" s="284">
        <f t="shared" si="4"/>
        <v>3233.7792722499371</v>
      </c>
      <c r="S48" s="294"/>
      <c r="T48" s="294"/>
      <c r="U48" s="294"/>
      <c r="V48" s="295"/>
      <c r="W48" s="298"/>
      <c r="X48" s="298"/>
      <c r="Y48" s="298"/>
      <c r="Z48" s="298"/>
      <c r="AA48" s="298"/>
      <c r="AB48" s="298"/>
      <c r="AC48" s="298"/>
      <c r="AD48" s="298"/>
      <c r="AE48" s="298"/>
      <c r="AF48" s="298"/>
      <c r="AG48" s="298"/>
      <c r="AH48" s="298"/>
      <c r="AI48" s="288">
        <f t="shared" si="6"/>
        <v>0</v>
      </c>
    </row>
    <row r="49" spans="1:35" s="289" customFormat="1" ht="24" customHeight="1" x14ac:dyDescent="0.25">
      <c r="A49" s="280" t="s">
        <v>288</v>
      </c>
      <c r="B49" s="281"/>
      <c r="C49" s="282">
        <v>7677.38</v>
      </c>
      <c r="D49" s="282">
        <v>798.6</v>
      </c>
      <c r="E49" s="282">
        <v>6844.37</v>
      </c>
      <c r="F49" s="282">
        <v>6134.83</v>
      </c>
      <c r="G49" s="282">
        <v>8793.9500000000007</v>
      </c>
      <c r="H49" s="282">
        <v>14335.72</v>
      </c>
      <c r="I49" s="282">
        <v>4624.72</v>
      </c>
      <c r="J49" s="282">
        <v>11632.87</v>
      </c>
      <c r="K49" s="282">
        <v>33762.080000000002</v>
      </c>
      <c r="L49" s="282">
        <v>33117.83</v>
      </c>
      <c r="M49" s="282">
        <v>27620.89</v>
      </c>
      <c r="N49" s="282">
        <v>17455.73</v>
      </c>
      <c r="O49" s="283">
        <f t="shared" si="0"/>
        <v>172798.97</v>
      </c>
      <c r="P49" s="284">
        <f t="shared" si="1"/>
        <v>14399.914166666667</v>
      </c>
      <c r="Q49" s="284">
        <f t="shared" si="3"/>
        <v>-0.21666433763366633</v>
      </c>
      <c r="R49" s="284">
        <f t="shared" si="4"/>
        <v>11279.966301764185</v>
      </c>
      <c r="S49" s="294" t="s">
        <v>234</v>
      </c>
      <c r="T49" s="293">
        <v>0.05</v>
      </c>
      <c r="U49" s="294" t="s">
        <v>275</v>
      </c>
      <c r="V49" s="295">
        <f t="shared" si="35"/>
        <v>15119.909875000001</v>
      </c>
      <c r="W49" s="298">
        <f>$P$49</f>
        <v>14399.914166666667</v>
      </c>
      <c r="X49" s="298">
        <f t="shared" ref="X49:AD49" si="49">$P$49</f>
        <v>14399.914166666667</v>
      </c>
      <c r="Y49" s="298">
        <f t="shared" si="49"/>
        <v>14399.914166666667</v>
      </c>
      <c r="Z49" s="298">
        <f t="shared" si="49"/>
        <v>14399.914166666667</v>
      </c>
      <c r="AA49" s="298">
        <f t="shared" si="49"/>
        <v>14399.914166666667</v>
      </c>
      <c r="AB49" s="298">
        <f t="shared" si="49"/>
        <v>14399.914166666667</v>
      </c>
      <c r="AC49" s="298">
        <f t="shared" si="49"/>
        <v>14399.914166666667</v>
      </c>
      <c r="AD49" s="298">
        <f t="shared" si="49"/>
        <v>14399.914166666667</v>
      </c>
      <c r="AE49" s="298">
        <f>$V$49</f>
        <v>15119.909875000001</v>
      </c>
      <c r="AF49" s="298">
        <f>$V$49</f>
        <v>15119.909875000001</v>
      </c>
      <c r="AG49" s="298">
        <f>$V$49</f>
        <v>15119.909875000001</v>
      </c>
      <c r="AH49" s="298">
        <f>$V$49</f>
        <v>15119.909875000001</v>
      </c>
      <c r="AI49" s="288">
        <f t="shared" si="6"/>
        <v>175678.95283333337</v>
      </c>
    </row>
    <row r="50" spans="1:35" s="289" customFormat="1" ht="24" customHeight="1" x14ac:dyDescent="0.25">
      <c r="A50" s="280" t="s">
        <v>289</v>
      </c>
      <c r="B50" s="290"/>
      <c r="C50" s="282">
        <v>0</v>
      </c>
      <c r="D50" s="282">
        <v>157.49</v>
      </c>
      <c r="E50" s="282">
        <v>55</v>
      </c>
      <c r="F50" s="282">
        <v>0</v>
      </c>
      <c r="G50" s="282">
        <v>3454.46</v>
      </c>
      <c r="H50" s="282">
        <v>985.44</v>
      </c>
      <c r="I50" s="282">
        <v>239.46</v>
      </c>
      <c r="J50" s="282">
        <v>0</v>
      </c>
      <c r="K50" s="282">
        <v>0</v>
      </c>
      <c r="L50" s="282">
        <v>354.93</v>
      </c>
      <c r="M50" s="282">
        <v>0</v>
      </c>
      <c r="N50" s="282">
        <v>0</v>
      </c>
      <c r="O50" s="283">
        <f t="shared" si="0"/>
        <v>5246.78</v>
      </c>
      <c r="P50" s="284">
        <f t="shared" si="1"/>
        <v>437.23166666666663</v>
      </c>
      <c r="Q50" s="284">
        <f t="shared" si="3"/>
        <v>1.2684813830576229</v>
      </c>
      <c r="R50" s="284">
        <f t="shared" si="4"/>
        <v>991.85189591658957</v>
      </c>
      <c r="S50" s="294" t="s">
        <v>316</v>
      </c>
      <c r="T50" s="296">
        <v>4.2500000000000003E-2</v>
      </c>
      <c r="U50" s="294" t="s">
        <v>243</v>
      </c>
      <c r="V50" s="295">
        <f t="shared" si="35"/>
        <v>455.81401249999993</v>
      </c>
      <c r="W50" s="298">
        <f>$P$50</f>
        <v>437.23166666666663</v>
      </c>
      <c r="X50" s="298">
        <f>$P$50</f>
        <v>437.23166666666663</v>
      </c>
      <c r="Y50" s="298">
        <f>$P$50</f>
        <v>437.23166666666663</v>
      </c>
      <c r="Z50" s="298">
        <f>$P$50</f>
        <v>437.23166666666663</v>
      </c>
      <c r="AA50" s="298">
        <f>$P$50</f>
        <v>437.23166666666663</v>
      </c>
      <c r="AB50" s="298">
        <f>$V$50</f>
        <v>455.81401249999993</v>
      </c>
      <c r="AC50" s="298">
        <f t="shared" ref="AC50:AH50" si="50">$V$50</f>
        <v>455.81401249999993</v>
      </c>
      <c r="AD50" s="298">
        <f t="shared" si="50"/>
        <v>455.81401249999993</v>
      </c>
      <c r="AE50" s="298">
        <f t="shared" si="50"/>
        <v>455.81401249999993</v>
      </c>
      <c r="AF50" s="298">
        <f t="shared" si="50"/>
        <v>455.81401249999993</v>
      </c>
      <c r="AG50" s="298">
        <f t="shared" si="50"/>
        <v>455.81401249999993</v>
      </c>
      <c r="AH50" s="298">
        <f t="shared" si="50"/>
        <v>455.81401249999993</v>
      </c>
      <c r="AI50" s="288">
        <f t="shared" si="6"/>
        <v>5376.8564208333328</v>
      </c>
    </row>
    <row r="51" spans="1:35" s="289" customFormat="1" ht="24" customHeight="1" x14ac:dyDescent="0.25">
      <c r="A51" s="280" t="s">
        <v>290</v>
      </c>
      <c r="B51" s="281"/>
      <c r="C51" s="282">
        <v>2360.4899999999998</v>
      </c>
      <c r="D51" s="282">
        <v>417.21</v>
      </c>
      <c r="E51" s="282">
        <v>2405.42</v>
      </c>
      <c r="F51" s="282">
        <v>195</v>
      </c>
      <c r="G51" s="282">
        <v>455</v>
      </c>
      <c r="H51" s="282">
        <v>195</v>
      </c>
      <c r="I51" s="282">
        <v>984.76</v>
      </c>
      <c r="J51" s="282">
        <v>123979.46</v>
      </c>
      <c r="K51" s="282">
        <v>101162.41</v>
      </c>
      <c r="L51" s="282">
        <v>3015.01</v>
      </c>
      <c r="M51" s="282">
        <v>65</v>
      </c>
      <c r="N51" s="282">
        <v>455</v>
      </c>
      <c r="O51" s="283">
        <f t="shared" si="0"/>
        <v>235689.76</v>
      </c>
      <c r="P51" s="284">
        <f t="shared" si="1"/>
        <v>19640.813333333335</v>
      </c>
      <c r="Q51" s="284">
        <f t="shared" si="3"/>
        <v>1.2244872626830703</v>
      </c>
      <c r="R51" s="284">
        <f t="shared" si="4"/>
        <v>43690.73908873582</v>
      </c>
      <c r="S51" s="294" t="s">
        <v>246</v>
      </c>
      <c r="T51" s="296">
        <v>4.2500000000000003E-2</v>
      </c>
      <c r="U51" s="294" t="s">
        <v>293</v>
      </c>
      <c r="V51" s="295">
        <f t="shared" si="35"/>
        <v>20475.547900000001</v>
      </c>
      <c r="W51" s="298">
        <f>$P$51</f>
        <v>19640.813333333335</v>
      </c>
      <c r="X51" s="298">
        <f>$V$51</f>
        <v>20475.547900000001</v>
      </c>
      <c r="Y51" s="298">
        <f t="shared" ref="Y51:AH51" si="51">$V$51</f>
        <v>20475.547900000001</v>
      </c>
      <c r="Z51" s="298">
        <f t="shared" si="51"/>
        <v>20475.547900000001</v>
      </c>
      <c r="AA51" s="298">
        <f t="shared" si="51"/>
        <v>20475.547900000001</v>
      </c>
      <c r="AB51" s="298">
        <f t="shared" si="51"/>
        <v>20475.547900000001</v>
      </c>
      <c r="AC51" s="298">
        <f t="shared" si="51"/>
        <v>20475.547900000001</v>
      </c>
      <c r="AD51" s="298">
        <f t="shared" si="51"/>
        <v>20475.547900000001</v>
      </c>
      <c r="AE51" s="298">
        <f t="shared" si="51"/>
        <v>20475.547900000001</v>
      </c>
      <c r="AF51" s="298">
        <f t="shared" si="51"/>
        <v>20475.547900000001</v>
      </c>
      <c r="AG51" s="298">
        <f t="shared" si="51"/>
        <v>20475.547900000001</v>
      </c>
      <c r="AH51" s="298">
        <f t="shared" si="51"/>
        <v>20475.547900000001</v>
      </c>
      <c r="AI51" s="288">
        <f t="shared" si="6"/>
        <v>244871.84023333338</v>
      </c>
    </row>
    <row r="52" spans="1:35" s="289" customFormat="1" ht="24" customHeight="1" x14ac:dyDescent="0.25">
      <c r="A52" s="280" t="s">
        <v>319</v>
      </c>
      <c r="B52" s="281"/>
      <c r="C52" s="282">
        <v>3696.41</v>
      </c>
      <c r="D52" s="282">
        <v>839.07</v>
      </c>
      <c r="E52" s="282">
        <v>5464.38</v>
      </c>
      <c r="F52" s="282">
        <v>5884.15</v>
      </c>
      <c r="G52" s="282">
        <v>6927.82</v>
      </c>
      <c r="H52" s="282">
        <v>7712.56</v>
      </c>
      <c r="I52" s="282">
        <v>441.22</v>
      </c>
      <c r="J52" s="282">
        <v>3280.96</v>
      </c>
      <c r="K52" s="282">
        <v>0</v>
      </c>
      <c r="L52" s="282">
        <v>0</v>
      </c>
      <c r="M52" s="282">
        <v>0</v>
      </c>
      <c r="N52" s="282">
        <v>0</v>
      </c>
      <c r="O52" s="283">
        <f t="shared" si="0"/>
        <v>34246.570000000007</v>
      </c>
      <c r="P52" s="284">
        <f t="shared" si="1"/>
        <v>2853.8808333333341</v>
      </c>
      <c r="Q52" s="284">
        <f t="shared" si="3"/>
        <v>5.4127613915952111E-2</v>
      </c>
      <c r="R52" s="284">
        <f t="shared" si="4"/>
        <v>3008.3545932421362</v>
      </c>
      <c r="S52" s="294" t="s">
        <v>234</v>
      </c>
      <c r="T52" s="293">
        <v>0.05</v>
      </c>
      <c r="U52" s="294" t="s">
        <v>293</v>
      </c>
      <c r="V52" s="295">
        <f t="shared" si="35"/>
        <v>2996.5748750000007</v>
      </c>
      <c r="W52" s="298">
        <f>$P$52</f>
        <v>2853.8808333333341</v>
      </c>
      <c r="X52" s="298">
        <f>$V$52</f>
        <v>2996.5748750000007</v>
      </c>
      <c r="Y52" s="298">
        <f t="shared" ref="Y52:AH52" si="52">$V$52</f>
        <v>2996.5748750000007</v>
      </c>
      <c r="Z52" s="298">
        <f t="shared" si="52"/>
        <v>2996.5748750000007</v>
      </c>
      <c r="AA52" s="298">
        <f t="shared" si="52"/>
        <v>2996.5748750000007</v>
      </c>
      <c r="AB52" s="298">
        <f t="shared" si="52"/>
        <v>2996.5748750000007</v>
      </c>
      <c r="AC52" s="298">
        <f t="shared" si="52"/>
        <v>2996.5748750000007</v>
      </c>
      <c r="AD52" s="298">
        <f t="shared" si="52"/>
        <v>2996.5748750000007</v>
      </c>
      <c r="AE52" s="298">
        <f t="shared" si="52"/>
        <v>2996.5748750000007</v>
      </c>
      <c r="AF52" s="298">
        <f t="shared" si="52"/>
        <v>2996.5748750000007</v>
      </c>
      <c r="AG52" s="298">
        <f t="shared" si="52"/>
        <v>2996.5748750000007</v>
      </c>
      <c r="AH52" s="298">
        <f t="shared" si="52"/>
        <v>2996.5748750000007</v>
      </c>
      <c r="AI52" s="288">
        <f t="shared" si="6"/>
        <v>35816.204458333341</v>
      </c>
    </row>
    <row r="53" spans="1:35" s="289" customFormat="1" ht="24" customHeight="1" x14ac:dyDescent="0.25">
      <c r="A53" s="280" t="s">
        <v>291</v>
      </c>
      <c r="B53" s="281"/>
      <c r="C53" s="282">
        <v>25850.240000000002</v>
      </c>
      <c r="D53" s="282">
        <v>9917.4699999999993</v>
      </c>
      <c r="E53" s="282">
        <v>2903.52</v>
      </c>
      <c r="F53" s="282">
        <v>7226.54</v>
      </c>
      <c r="G53" s="282">
        <v>29798.11</v>
      </c>
      <c r="H53" s="282">
        <v>19311.45</v>
      </c>
      <c r="I53" s="282">
        <v>8943.5300000000007</v>
      </c>
      <c r="J53" s="282">
        <v>25463.87</v>
      </c>
      <c r="K53" s="282">
        <v>20446.68</v>
      </c>
      <c r="L53" s="282">
        <v>4440.6400000000003</v>
      </c>
      <c r="M53" s="282">
        <v>12984.51</v>
      </c>
      <c r="N53" s="282">
        <v>12009.94</v>
      </c>
      <c r="O53" s="283">
        <f t="shared" si="0"/>
        <v>179296.50000000003</v>
      </c>
      <c r="P53" s="284">
        <f t="shared" si="1"/>
        <v>14941.375000000002</v>
      </c>
      <c r="Q53" s="284">
        <f t="shared" si="3"/>
        <v>-0.39859800909241005</v>
      </c>
      <c r="R53" s="284">
        <f t="shared" si="4"/>
        <v>8985.7726718968934</v>
      </c>
      <c r="S53" s="294" t="s">
        <v>246</v>
      </c>
      <c r="T53" s="296">
        <v>4.2500000000000003E-2</v>
      </c>
      <c r="U53" s="294" t="s">
        <v>235</v>
      </c>
      <c r="V53" s="295">
        <f t="shared" si="35"/>
        <v>15576.383437500002</v>
      </c>
      <c r="W53" s="298">
        <f>$P$53</f>
        <v>14941.375000000002</v>
      </c>
      <c r="X53" s="298">
        <f t="shared" ref="X53:AG53" si="53">$P$53</f>
        <v>14941.375000000002</v>
      </c>
      <c r="Y53" s="298">
        <f t="shared" si="53"/>
        <v>14941.375000000002</v>
      </c>
      <c r="Z53" s="298">
        <f t="shared" si="53"/>
        <v>14941.375000000002</v>
      </c>
      <c r="AA53" s="298">
        <f t="shared" si="53"/>
        <v>14941.375000000002</v>
      </c>
      <c r="AB53" s="298">
        <f t="shared" si="53"/>
        <v>14941.375000000002</v>
      </c>
      <c r="AC53" s="298">
        <f t="shared" si="53"/>
        <v>14941.375000000002</v>
      </c>
      <c r="AD53" s="298">
        <f t="shared" si="53"/>
        <v>14941.375000000002</v>
      </c>
      <c r="AE53" s="298">
        <f t="shared" si="53"/>
        <v>14941.375000000002</v>
      </c>
      <c r="AF53" s="298">
        <f t="shared" si="53"/>
        <v>14941.375000000002</v>
      </c>
      <c r="AG53" s="298">
        <f t="shared" si="53"/>
        <v>14941.375000000002</v>
      </c>
      <c r="AH53" s="298">
        <f>$V$53</f>
        <v>15576.383437500002</v>
      </c>
      <c r="AI53" s="288">
        <f t="shared" si="6"/>
        <v>179931.50843750004</v>
      </c>
    </row>
    <row r="54" spans="1:35" s="289" customFormat="1" ht="24" customHeight="1" x14ac:dyDescent="0.25">
      <c r="A54" s="280" t="s">
        <v>292</v>
      </c>
      <c r="B54" s="281"/>
      <c r="C54" s="282">
        <v>50622</v>
      </c>
      <c r="D54" s="282">
        <v>10654</v>
      </c>
      <c r="E54" s="282">
        <v>17327</v>
      </c>
      <c r="F54" s="282">
        <v>64444</v>
      </c>
      <c r="G54" s="282">
        <v>27256</v>
      </c>
      <c r="H54" s="282">
        <v>22070</v>
      </c>
      <c r="I54" s="282">
        <v>30006</v>
      </c>
      <c r="J54" s="282">
        <v>148391</v>
      </c>
      <c r="K54" s="282">
        <v>51132</v>
      </c>
      <c r="L54" s="282">
        <v>24353</v>
      </c>
      <c r="M54" s="282">
        <v>28665</v>
      </c>
      <c r="N54" s="282">
        <v>24666</v>
      </c>
      <c r="O54" s="283">
        <f t="shared" si="0"/>
        <v>499586</v>
      </c>
      <c r="P54" s="284">
        <f t="shared" si="1"/>
        <v>41632.166666666664</v>
      </c>
      <c r="Q54" s="284">
        <f t="shared" si="3"/>
        <v>-0.10951398516329613</v>
      </c>
      <c r="R54" s="284">
        <f t="shared" si="4"/>
        <v>37072.86218401746</v>
      </c>
      <c r="S54" s="294" t="s">
        <v>246</v>
      </c>
      <c r="T54" s="296">
        <v>4.2500000000000003E-2</v>
      </c>
      <c r="U54" s="294" t="s">
        <v>293</v>
      </c>
      <c r="V54" s="295">
        <f t="shared" si="35"/>
        <v>43401.533749999995</v>
      </c>
      <c r="W54" s="298">
        <f>$P$54</f>
        <v>41632.166666666664</v>
      </c>
      <c r="X54" s="298">
        <f>$V$54</f>
        <v>43401.533749999995</v>
      </c>
      <c r="Y54" s="298">
        <f t="shared" ref="Y54:AH54" si="54">$V$54</f>
        <v>43401.533749999995</v>
      </c>
      <c r="Z54" s="298">
        <f t="shared" si="54"/>
        <v>43401.533749999995</v>
      </c>
      <c r="AA54" s="298">
        <f t="shared" si="54"/>
        <v>43401.533749999995</v>
      </c>
      <c r="AB54" s="298">
        <f t="shared" si="54"/>
        <v>43401.533749999995</v>
      </c>
      <c r="AC54" s="298">
        <f t="shared" si="54"/>
        <v>43401.533749999995</v>
      </c>
      <c r="AD54" s="298">
        <f t="shared" si="54"/>
        <v>43401.533749999995</v>
      </c>
      <c r="AE54" s="298">
        <f t="shared" si="54"/>
        <v>43401.533749999995</v>
      </c>
      <c r="AF54" s="298">
        <f t="shared" si="54"/>
        <v>43401.533749999995</v>
      </c>
      <c r="AG54" s="298">
        <f t="shared" si="54"/>
        <v>43401.533749999995</v>
      </c>
      <c r="AH54" s="298">
        <f t="shared" si="54"/>
        <v>43401.533749999995</v>
      </c>
      <c r="AI54" s="288">
        <f t="shared" si="6"/>
        <v>519049.03791666665</v>
      </c>
    </row>
    <row r="55" spans="1:35" s="289" customFormat="1" ht="24" customHeight="1" x14ac:dyDescent="0.25">
      <c r="A55" s="280" t="s">
        <v>294</v>
      </c>
      <c r="B55" s="281"/>
      <c r="C55" s="282">
        <v>276491.42</v>
      </c>
      <c r="D55" s="282">
        <v>233789.5</v>
      </c>
      <c r="E55" s="282">
        <v>371873</v>
      </c>
      <c r="F55" s="282">
        <v>431306.83</v>
      </c>
      <c r="G55" s="282">
        <v>508288.91</v>
      </c>
      <c r="H55" s="282">
        <v>378659.23</v>
      </c>
      <c r="I55" s="282">
        <v>480339.09</v>
      </c>
      <c r="J55" s="282">
        <v>431603.68</v>
      </c>
      <c r="K55" s="282">
        <v>555138.76</v>
      </c>
      <c r="L55" s="282">
        <v>675235.47</v>
      </c>
      <c r="M55" s="282">
        <v>530159.72</v>
      </c>
      <c r="N55" s="282">
        <v>360679.85</v>
      </c>
      <c r="O55" s="283">
        <f t="shared" si="0"/>
        <v>5233565.459999999</v>
      </c>
      <c r="P55" s="284">
        <f t="shared" si="1"/>
        <v>436130.4549999999</v>
      </c>
      <c r="Q55" s="284">
        <f t="shared" si="3"/>
        <v>-0.71754000112988514</v>
      </c>
      <c r="R55" s="284">
        <f t="shared" si="4"/>
        <v>123189.40782652267</v>
      </c>
      <c r="S55" s="294" t="s">
        <v>234</v>
      </c>
      <c r="T55" s="293">
        <v>0.05</v>
      </c>
      <c r="U55" s="294" t="s">
        <v>263</v>
      </c>
      <c r="V55" s="295">
        <f t="shared" si="35"/>
        <v>457936.9777499999</v>
      </c>
      <c r="W55" s="298">
        <f>$P$55</f>
        <v>436130.4549999999</v>
      </c>
      <c r="X55" s="298">
        <f t="shared" ref="X55:AC55" si="55">$P$55</f>
        <v>436130.4549999999</v>
      </c>
      <c r="Y55" s="298">
        <f t="shared" si="55"/>
        <v>436130.4549999999</v>
      </c>
      <c r="Z55" s="298">
        <f t="shared" si="55"/>
        <v>436130.4549999999</v>
      </c>
      <c r="AA55" s="298">
        <f t="shared" si="55"/>
        <v>436130.4549999999</v>
      </c>
      <c r="AB55" s="298">
        <f t="shared" si="55"/>
        <v>436130.4549999999</v>
      </c>
      <c r="AC55" s="298">
        <f t="shared" si="55"/>
        <v>436130.4549999999</v>
      </c>
      <c r="AD55" s="298">
        <f>$V$55</f>
        <v>457936.9777499999</v>
      </c>
      <c r="AE55" s="298">
        <f>$V$55</f>
        <v>457936.9777499999</v>
      </c>
      <c r="AF55" s="298">
        <f>$V$55</f>
        <v>457936.9777499999</v>
      </c>
      <c r="AG55" s="298">
        <f>$V$55</f>
        <v>457936.9777499999</v>
      </c>
      <c r="AH55" s="298">
        <f>$V$55</f>
        <v>457936.9777499999</v>
      </c>
      <c r="AI55" s="288">
        <f t="shared" si="6"/>
        <v>5342598.0737499986</v>
      </c>
    </row>
    <row r="56" spans="1:35" s="289" customFormat="1" ht="24" customHeight="1" x14ac:dyDescent="0.25">
      <c r="A56" s="280" t="s">
        <v>295</v>
      </c>
      <c r="B56" s="281"/>
      <c r="C56" s="282">
        <v>0</v>
      </c>
      <c r="D56" s="282">
        <v>0</v>
      </c>
      <c r="E56" s="282">
        <v>0</v>
      </c>
      <c r="F56" s="282">
        <v>0</v>
      </c>
      <c r="G56" s="282">
        <v>100</v>
      </c>
      <c r="H56" s="282">
        <v>0</v>
      </c>
      <c r="I56" s="282">
        <v>0</v>
      </c>
      <c r="J56" s="282">
        <v>0</v>
      </c>
      <c r="K56" s="282">
        <v>0</v>
      </c>
      <c r="L56" s="282">
        <v>0</v>
      </c>
      <c r="M56" s="282">
        <v>100</v>
      </c>
      <c r="N56" s="282">
        <v>0</v>
      </c>
      <c r="O56" s="283">
        <f t="shared" si="0"/>
        <v>200</v>
      </c>
      <c r="P56" s="284">
        <f t="shared" si="1"/>
        <v>16.666666666666668</v>
      </c>
      <c r="Q56" s="284">
        <f t="shared" si="3"/>
        <v>1.3354968324845689</v>
      </c>
      <c r="R56" s="284">
        <f t="shared" si="4"/>
        <v>38.924947208076148</v>
      </c>
      <c r="S56" s="294"/>
      <c r="T56" s="294"/>
      <c r="U56" s="294"/>
      <c r="V56" s="295"/>
      <c r="W56" s="298"/>
      <c r="X56" s="298"/>
      <c r="Y56" s="298"/>
      <c r="Z56" s="298"/>
      <c r="AA56" s="298"/>
      <c r="AB56" s="298"/>
      <c r="AC56" s="298"/>
      <c r="AD56" s="298"/>
      <c r="AE56" s="298"/>
      <c r="AF56" s="298"/>
      <c r="AG56" s="298"/>
      <c r="AH56" s="298"/>
      <c r="AI56" s="288">
        <f t="shared" si="6"/>
        <v>0</v>
      </c>
    </row>
    <row r="57" spans="1:35" s="289" customFormat="1" ht="29.25" customHeight="1" x14ac:dyDescent="0.25">
      <c r="A57" s="280" t="s">
        <v>320</v>
      </c>
      <c r="B57" s="281"/>
      <c r="C57" s="282">
        <v>234409.04</v>
      </c>
      <c r="D57" s="282">
        <v>325150.64</v>
      </c>
      <c r="E57" s="282">
        <v>315684.28000000003</v>
      </c>
      <c r="F57" s="282">
        <v>426646.7</v>
      </c>
      <c r="G57" s="282">
        <v>635419.47</v>
      </c>
      <c r="H57" s="282">
        <v>373128.81</v>
      </c>
      <c r="I57" s="282">
        <v>218991.68</v>
      </c>
      <c r="J57" s="282">
        <v>311305.42</v>
      </c>
      <c r="K57" s="282">
        <v>276685.92</v>
      </c>
      <c r="L57" s="282">
        <v>528531.48</v>
      </c>
      <c r="M57" s="282">
        <v>448748.54</v>
      </c>
      <c r="N57" s="282">
        <v>423043.54</v>
      </c>
      <c r="O57" s="283">
        <f t="shared" si="0"/>
        <v>4517745.5199999996</v>
      </c>
      <c r="P57" s="284">
        <f t="shared" si="1"/>
        <v>376478.79333333328</v>
      </c>
      <c r="Q57" s="284">
        <f t="shared" si="3"/>
        <v>-0.67408121285518141</v>
      </c>
      <c r="R57" s="284">
        <f t="shared" si="4"/>
        <v>122701.51170894477</v>
      </c>
      <c r="S57" s="297" t="s">
        <v>321</v>
      </c>
      <c r="T57" s="296">
        <v>4.02E-2</v>
      </c>
      <c r="U57" s="294" t="s">
        <v>263</v>
      </c>
      <c r="V57" s="295">
        <f t="shared" si="35"/>
        <v>391613.24082533328</v>
      </c>
      <c r="W57" s="298">
        <f>$P$57</f>
        <v>376478.79333333328</v>
      </c>
      <c r="X57" s="298">
        <f t="shared" ref="X57:AC57" si="56">$P$57</f>
        <v>376478.79333333328</v>
      </c>
      <c r="Y57" s="298">
        <f t="shared" si="56"/>
        <v>376478.79333333328</v>
      </c>
      <c r="Z57" s="298">
        <f t="shared" si="56"/>
        <v>376478.79333333328</v>
      </c>
      <c r="AA57" s="298">
        <f t="shared" si="56"/>
        <v>376478.79333333328</v>
      </c>
      <c r="AB57" s="298">
        <f t="shared" si="56"/>
        <v>376478.79333333328</v>
      </c>
      <c r="AC57" s="298">
        <f t="shared" si="56"/>
        <v>376478.79333333328</v>
      </c>
      <c r="AD57" s="298">
        <f>$V$57</f>
        <v>391613.24082533328</v>
      </c>
      <c r="AE57" s="298">
        <f>$V$57</f>
        <v>391613.24082533328</v>
      </c>
      <c r="AF57" s="298">
        <f>$V$57</f>
        <v>391613.24082533328</v>
      </c>
      <c r="AG57" s="298">
        <f>$V$57</f>
        <v>391613.24082533328</v>
      </c>
      <c r="AH57" s="298">
        <f>$V$57</f>
        <v>391613.24082533328</v>
      </c>
      <c r="AI57" s="288">
        <f t="shared" si="6"/>
        <v>4593417.75746</v>
      </c>
    </row>
    <row r="58" spans="1:35" s="289" customFormat="1" ht="30" customHeight="1" x14ac:dyDescent="0.25">
      <c r="A58" s="280" t="s">
        <v>322</v>
      </c>
      <c r="B58" s="281"/>
      <c r="C58" s="282">
        <v>693807.45</v>
      </c>
      <c r="D58" s="282">
        <v>793110.4</v>
      </c>
      <c r="E58" s="282">
        <v>800650.3</v>
      </c>
      <c r="F58" s="282">
        <v>873535.48</v>
      </c>
      <c r="G58" s="282">
        <v>934345.58</v>
      </c>
      <c r="H58" s="282">
        <v>871086.36</v>
      </c>
      <c r="I58" s="282">
        <v>825061.52</v>
      </c>
      <c r="J58" s="282">
        <v>1058217.3899999999</v>
      </c>
      <c r="K58" s="282">
        <v>657419.85</v>
      </c>
      <c r="L58" s="282">
        <v>616937.35</v>
      </c>
      <c r="M58" s="282">
        <v>511726.12</v>
      </c>
      <c r="N58" s="282">
        <v>342874.16</v>
      </c>
      <c r="O58" s="283">
        <f t="shared" si="0"/>
        <v>8978771.959999999</v>
      </c>
      <c r="P58" s="284">
        <f t="shared" si="1"/>
        <v>748230.99666666659</v>
      </c>
      <c r="Q58" s="284">
        <f t="shared" si="3"/>
        <v>-0.73857343490586247</v>
      </c>
      <c r="R58" s="284">
        <f t="shared" si="4"/>
        <v>195607.45935552972</v>
      </c>
      <c r="S58" s="297" t="s">
        <v>321</v>
      </c>
      <c r="T58" s="296">
        <v>4.02E-2</v>
      </c>
      <c r="U58" s="294" t="s">
        <v>263</v>
      </c>
      <c r="V58" s="295">
        <f t="shared" si="35"/>
        <v>778309.88273266656</v>
      </c>
      <c r="W58" s="298">
        <f>$P$58</f>
        <v>748230.99666666659</v>
      </c>
      <c r="X58" s="298">
        <f t="shared" ref="X58:AC58" si="57">$P$58</f>
        <v>748230.99666666659</v>
      </c>
      <c r="Y58" s="298">
        <f t="shared" si="57"/>
        <v>748230.99666666659</v>
      </c>
      <c r="Z58" s="298">
        <f t="shared" si="57"/>
        <v>748230.99666666659</v>
      </c>
      <c r="AA58" s="298">
        <f t="shared" si="57"/>
        <v>748230.99666666659</v>
      </c>
      <c r="AB58" s="298">
        <f t="shared" si="57"/>
        <v>748230.99666666659</v>
      </c>
      <c r="AC58" s="298">
        <f t="shared" si="57"/>
        <v>748230.99666666659</v>
      </c>
      <c r="AD58" s="298">
        <f>$V$58</f>
        <v>778309.88273266656</v>
      </c>
      <c r="AE58" s="298">
        <f>$V$58</f>
        <v>778309.88273266656</v>
      </c>
      <c r="AF58" s="298">
        <f>$V$58</f>
        <v>778309.88273266656</v>
      </c>
      <c r="AG58" s="298">
        <f>$V$58</f>
        <v>778309.88273266656</v>
      </c>
      <c r="AH58" s="298">
        <f>$V$58</f>
        <v>778309.88273266656</v>
      </c>
      <c r="AI58" s="288">
        <f t="shared" si="6"/>
        <v>9129166.3903300017</v>
      </c>
    </row>
    <row r="59" spans="1:35" s="289" customFormat="1" ht="24" customHeight="1" x14ac:dyDescent="0.25">
      <c r="A59" s="280" t="s">
        <v>296</v>
      </c>
      <c r="B59" s="281"/>
      <c r="C59" s="282">
        <v>0</v>
      </c>
      <c r="D59" s="282">
        <v>0</v>
      </c>
      <c r="E59" s="282">
        <v>0</v>
      </c>
      <c r="F59" s="282">
        <v>0</v>
      </c>
      <c r="G59" s="282">
        <v>0</v>
      </c>
      <c r="H59" s="282">
        <v>0</v>
      </c>
      <c r="I59" s="282">
        <v>2196.09</v>
      </c>
      <c r="J59" s="282">
        <v>0</v>
      </c>
      <c r="K59" s="282">
        <v>0</v>
      </c>
      <c r="L59" s="282">
        <v>0</v>
      </c>
      <c r="M59" s="282">
        <v>0</v>
      </c>
      <c r="N59" s="282">
        <v>0</v>
      </c>
      <c r="O59" s="283">
        <f t="shared" si="0"/>
        <v>2196.09</v>
      </c>
      <c r="P59" s="284">
        <f t="shared" si="1"/>
        <v>183.00750000000002</v>
      </c>
      <c r="Q59" s="284">
        <f t="shared" si="3"/>
        <v>2.4641016151377544</v>
      </c>
      <c r="R59" s="284">
        <f t="shared" si="4"/>
        <v>633.9565763323227</v>
      </c>
      <c r="S59" s="294" t="s">
        <v>297</v>
      </c>
      <c r="T59" s="296">
        <v>8.5000000000000006E-2</v>
      </c>
      <c r="U59" s="294" t="s">
        <v>239</v>
      </c>
      <c r="V59" s="295">
        <f t="shared" si="35"/>
        <v>198.56313750000004</v>
      </c>
      <c r="W59" s="298"/>
      <c r="X59" s="298"/>
      <c r="Y59" s="298"/>
      <c r="Z59" s="298"/>
      <c r="AA59" s="298"/>
      <c r="AB59" s="298"/>
      <c r="AC59" s="298"/>
      <c r="AD59" s="298"/>
      <c r="AE59" s="298"/>
      <c r="AF59" s="298"/>
      <c r="AG59" s="298"/>
      <c r="AH59" s="298"/>
      <c r="AI59" s="288">
        <f t="shared" si="6"/>
        <v>0</v>
      </c>
    </row>
    <row r="60" spans="1:35" s="289" customFormat="1" ht="24" customHeight="1" x14ac:dyDescent="0.25">
      <c r="A60" s="280" t="s">
        <v>298</v>
      </c>
      <c r="B60" s="281"/>
      <c r="C60" s="282">
        <v>0</v>
      </c>
      <c r="D60" s="282">
        <v>0</v>
      </c>
      <c r="E60" s="282">
        <v>0</v>
      </c>
      <c r="F60" s="282">
        <v>0</v>
      </c>
      <c r="G60" s="282">
        <v>0</v>
      </c>
      <c r="H60" s="282">
        <v>2560</v>
      </c>
      <c r="I60" s="282">
        <v>0</v>
      </c>
      <c r="J60" s="282">
        <v>1280</v>
      </c>
      <c r="K60" s="282">
        <v>0</v>
      </c>
      <c r="L60" s="282">
        <v>1280</v>
      </c>
      <c r="M60" s="282">
        <v>10183.299999999999</v>
      </c>
      <c r="N60" s="282">
        <v>0</v>
      </c>
      <c r="O60" s="283">
        <f t="shared" si="0"/>
        <v>15303.3</v>
      </c>
      <c r="P60" s="284">
        <f t="shared" si="1"/>
        <v>1275.2749999999999</v>
      </c>
      <c r="Q60" s="284">
        <f t="shared" si="3"/>
        <v>1.2924309780590852</v>
      </c>
      <c r="R60" s="284">
        <f t="shared" si="4"/>
        <v>2923.4799155442997</v>
      </c>
      <c r="S60" s="294" t="s">
        <v>255</v>
      </c>
      <c r="T60" s="296">
        <v>4.2099999999999999E-2</v>
      </c>
      <c r="U60" s="294" t="s">
        <v>248</v>
      </c>
      <c r="V60" s="295">
        <f t="shared" si="35"/>
        <v>1328.9640774999998</v>
      </c>
      <c r="W60" s="298">
        <f>$V$60</f>
        <v>1328.9640774999998</v>
      </c>
      <c r="X60" s="298">
        <f t="shared" ref="X60:AH60" si="58">$V$60</f>
        <v>1328.9640774999998</v>
      </c>
      <c r="Y60" s="298">
        <f t="shared" si="58"/>
        <v>1328.9640774999998</v>
      </c>
      <c r="Z60" s="298">
        <f t="shared" si="58"/>
        <v>1328.9640774999998</v>
      </c>
      <c r="AA60" s="298">
        <f t="shared" si="58"/>
        <v>1328.9640774999998</v>
      </c>
      <c r="AB60" s="298">
        <f t="shared" si="58"/>
        <v>1328.9640774999998</v>
      </c>
      <c r="AC60" s="298">
        <f t="shared" si="58"/>
        <v>1328.9640774999998</v>
      </c>
      <c r="AD60" s="298">
        <f t="shared" si="58"/>
        <v>1328.9640774999998</v>
      </c>
      <c r="AE60" s="298">
        <f t="shared" si="58"/>
        <v>1328.9640774999998</v>
      </c>
      <c r="AF60" s="298">
        <f t="shared" si="58"/>
        <v>1328.9640774999998</v>
      </c>
      <c r="AG60" s="298">
        <f t="shared" si="58"/>
        <v>1328.9640774999998</v>
      </c>
      <c r="AH60" s="298">
        <f t="shared" si="58"/>
        <v>1328.9640774999998</v>
      </c>
      <c r="AI60" s="288">
        <f t="shared" si="6"/>
        <v>15947.568930000001</v>
      </c>
    </row>
    <row r="61" spans="1:35" s="289" customFormat="1" ht="24" customHeight="1" x14ac:dyDescent="0.25">
      <c r="A61" s="280" t="s">
        <v>299</v>
      </c>
      <c r="B61" s="281"/>
      <c r="C61" s="282">
        <v>2033.99</v>
      </c>
      <c r="D61" s="282">
        <v>353.51</v>
      </c>
      <c r="E61" s="282">
        <v>0</v>
      </c>
      <c r="F61" s="282">
        <v>0</v>
      </c>
      <c r="G61" s="282">
        <v>0</v>
      </c>
      <c r="H61" s="282">
        <v>0</v>
      </c>
      <c r="I61" s="282">
        <v>13035.76</v>
      </c>
      <c r="J61" s="282">
        <v>437.59</v>
      </c>
      <c r="K61" s="282">
        <v>0</v>
      </c>
      <c r="L61" s="282">
        <v>0</v>
      </c>
      <c r="M61" s="282">
        <v>0</v>
      </c>
      <c r="N61" s="282">
        <v>0</v>
      </c>
      <c r="O61" s="283">
        <f t="shared" si="0"/>
        <v>15860.85</v>
      </c>
      <c r="P61" s="284">
        <f t="shared" si="1"/>
        <v>1321.7375</v>
      </c>
      <c r="Q61" s="284">
        <f t="shared" si="3"/>
        <v>1.8255335305883298</v>
      </c>
      <c r="R61" s="284">
        <f t="shared" si="4"/>
        <v>3734.6136248859925</v>
      </c>
      <c r="S61" s="294" t="s">
        <v>234</v>
      </c>
      <c r="T61" s="293">
        <v>0.05</v>
      </c>
      <c r="U61" s="294" t="s">
        <v>243</v>
      </c>
      <c r="V61" s="295">
        <f t="shared" si="35"/>
        <v>1387.8243749999999</v>
      </c>
      <c r="W61" s="298">
        <f>$P$61</f>
        <v>1321.7375</v>
      </c>
      <c r="X61" s="298">
        <f>$P$61</f>
        <v>1321.7375</v>
      </c>
      <c r="Y61" s="298">
        <f>$P$61</f>
        <v>1321.7375</v>
      </c>
      <c r="Z61" s="298">
        <f>$P$61</f>
        <v>1321.7375</v>
      </c>
      <c r="AA61" s="298">
        <f>$P$61</f>
        <v>1321.7375</v>
      </c>
      <c r="AB61" s="298">
        <f>$V$61</f>
        <v>1387.8243749999999</v>
      </c>
      <c r="AC61" s="298">
        <f t="shared" ref="AC61:AH61" si="59">$V$61</f>
        <v>1387.8243749999999</v>
      </c>
      <c r="AD61" s="298">
        <f t="shared" si="59"/>
        <v>1387.8243749999999</v>
      </c>
      <c r="AE61" s="298">
        <f t="shared" si="59"/>
        <v>1387.8243749999999</v>
      </c>
      <c r="AF61" s="298">
        <f t="shared" si="59"/>
        <v>1387.8243749999999</v>
      </c>
      <c r="AG61" s="298">
        <f t="shared" si="59"/>
        <v>1387.8243749999999</v>
      </c>
      <c r="AH61" s="298">
        <f t="shared" si="59"/>
        <v>1387.8243749999999</v>
      </c>
      <c r="AI61" s="288">
        <f t="shared" si="6"/>
        <v>16323.458125000001</v>
      </c>
    </row>
    <row r="62" spans="1:35" ht="24" customHeight="1" x14ac:dyDescent="0.25">
      <c r="A62" s="2656" t="s">
        <v>323</v>
      </c>
      <c r="B62" s="2657"/>
      <c r="C62" s="299">
        <v>91839.48</v>
      </c>
      <c r="D62" s="299">
        <v>127178.82</v>
      </c>
      <c r="E62" s="299">
        <v>141024.34</v>
      </c>
      <c r="F62" s="299">
        <v>128055.85</v>
      </c>
      <c r="G62" s="299">
        <v>123530.96</v>
      </c>
      <c r="H62" s="299">
        <v>139697.79</v>
      </c>
      <c r="I62" s="299">
        <v>80656.13</v>
      </c>
      <c r="J62" s="299">
        <v>174986.04</v>
      </c>
      <c r="K62" s="299">
        <v>130048.4</v>
      </c>
      <c r="L62" s="299">
        <v>142664.34</v>
      </c>
      <c r="M62" s="299">
        <v>118788.11</v>
      </c>
      <c r="N62" s="299">
        <v>98768.1</v>
      </c>
      <c r="O62" s="300">
        <f>SUM(C62:N62)</f>
        <v>1497238.3600000003</v>
      </c>
      <c r="P62" s="268">
        <f t="shared" si="1"/>
        <v>124769.86333333336</v>
      </c>
      <c r="Q62" s="284">
        <f t="shared" si="3"/>
        <v>-0.79613179984255833</v>
      </c>
      <c r="R62" s="284">
        <f t="shared" si="4"/>
        <v>25436.607471656655</v>
      </c>
      <c r="S62" s="301"/>
      <c r="T62" s="302"/>
      <c r="U62" s="301"/>
      <c r="V62" s="303"/>
      <c r="W62" s="304">
        <f>$P$62</f>
        <v>124769.86333333336</v>
      </c>
      <c r="X62" s="304">
        <f t="shared" ref="X62:AH62" si="60">$P$62</f>
        <v>124769.86333333336</v>
      </c>
      <c r="Y62" s="304">
        <f t="shared" si="60"/>
        <v>124769.86333333336</v>
      </c>
      <c r="Z62" s="304">
        <f t="shared" si="60"/>
        <v>124769.86333333336</v>
      </c>
      <c r="AA62" s="304">
        <f t="shared" si="60"/>
        <v>124769.86333333336</v>
      </c>
      <c r="AB62" s="304">
        <f t="shared" si="60"/>
        <v>124769.86333333336</v>
      </c>
      <c r="AC62" s="304">
        <f t="shared" si="60"/>
        <v>124769.86333333336</v>
      </c>
      <c r="AD62" s="304">
        <f t="shared" si="60"/>
        <v>124769.86333333336</v>
      </c>
      <c r="AE62" s="304">
        <f t="shared" si="60"/>
        <v>124769.86333333336</v>
      </c>
      <c r="AF62" s="304">
        <f t="shared" si="60"/>
        <v>124769.86333333336</v>
      </c>
      <c r="AG62" s="304">
        <f t="shared" si="60"/>
        <v>124769.86333333336</v>
      </c>
      <c r="AH62" s="304">
        <f t="shared" si="60"/>
        <v>124769.86333333336</v>
      </c>
      <c r="AI62" s="288">
        <f t="shared" si="6"/>
        <v>1497238.36</v>
      </c>
    </row>
    <row r="63" spans="1:35" ht="29.1" customHeight="1" x14ac:dyDescent="0.25">
      <c r="A63" s="2658" t="s">
        <v>324</v>
      </c>
      <c r="B63" s="2659"/>
      <c r="C63" s="305">
        <f>SUM(C4:C62)</f>
        <v>8570592.1899999995</v>
      </c>
      <c r="D63" s="305">
        <f t="shared" ref="D63:N63" si="61">SUM(D4:D62)</f>
        <v>8628365.1999999993</v>
      </c>
      <c r="E63" s="305">
        <f t="shared" si="61"/>
        <v>8782292.0499999989</v>
      </c>
      <c r="F63" s="305">
        <f t="shared" si="61"/>
        <v>8979173.790000001</v>
      </c>
      <c r="G63" s="305">
        <f t="shared" si="61"/>
        <v>9556536.8500000034</v>
      </c>
      <c r="H63" s="305">
        <f t="shared" si="61"/>
        <v>9122996.5799999982</v>
      </c>
      <c r="I63" s="305">
        <f t="shared" si="61"/>
        <v>9811430.129999999</v>
      </c>
      <c r="J63" s="305">
        <f t="shared" si="61"/>
        <v>10996036.27</v>
      </c>
      <c r="K63" s="305">
        <f t="shared" si="61"/>
        <v>9063298.3699999973</v>
      </c>
      <c r="L63" s="305">
        <f t="shared" si="61"/>
        <v>11112421.119999999</v>
      </c>
      <c r="M63" s="305">
        <f t="shared" si="61"/>
        <v>9463115.1399999969</v>
      </c>
      <c r="N63" s="305">
        <f t="shared" si="61"/>
        <v>9189976.6100000031</v>
      </c>
      <c r="O63" s="305">
        <f>SUM(O4:O62)</f>
        <v>113276234.29999997</v>
      </c>
      <c r="P63" s="306">
        <f t="shared" si="1"/>
        <v>9439686.1916666646</v>
      </c>
      <c r="Q63" s="284">
        <f t="shared" si="3"/>
        <v>-0.91116784494220704</v>
      </c>
      <c r="R63" s="284">
        <f t="shared" si="4"/>
        <v>838547.66747503995</v>
      </c>
      <c r="S63" s="307"/>
      <c r="T63" s="308"/>
      <c r="U63" s="308"/>
      <c r="V63" s="309"/>
      <c r="W63" s="310">
        <f>SUM(W4:W62)</f>
        <v>9203837.6449543368</v>
      </c>
      <c r="X63" s="313">
        <f t="shared" ref="X63:AH63" si="62">SUM(X4:X62)</f>
        <v>9306584.4406460039</v>
      </c>
      <c r="Y63" s="313">
        <f t="shared" si="62"/>
        <v>9407087.2419213355</v>
      </c>
      <c r="Z63" s="313">
        <f t="shared" si="62"/>
        <v>9451166.4894213341</v>
      </c>
      <c r="AA63" s="313">
        <f t="shared" si="62"/>
        <v>9459416.5723156687</v>
      </c>
      <c r="AB63" s="313">
        <f t="shared" si="62"/>
        <v>9696157.0500823334</v>
      </c>
      <c r="AC63" s="313">
        <f t="shared" si="62"/>
        <v>9705238.1977472492</v>
      </c>
      <c r="AD63" s="313">
        <f t="shared" si="62"/>
        <v>9772455.8666385841</v>
      </c>
      <c r="AE63" s="313">
        <f t="shared" si="62"/>
        <v>9774896.0456810836</v>
      </c>
      <c r="AF63" s="313">
        <f t="shared" si="62"/>
        <v>9774896.0456810836</v>
      </c>
      <c r="AG63" s="313">
        <f t="shared" si="62"/>
        <v>9776288.5913690832</v>
      </c>
      <c r="AH63" s="313">
        <f t="shared" si="62"/>
        <v>9795959.7227399144</v>
      </c>
      <c r="AI63" s="311">
        <f>SUM(W63:AH63)</f>
        <v>115123983.90919802</v>
      </c>
    </row>
    <row r="64" spans="1:35" ht="15.75" customHeight="1" x14ac:dyDescent="0.25">
      <c r="O64" s="274"/>
    </row>
    <row r="65" spans="3:35" ht="15" x14ac:dyDescent="0.25">
      <c r="C65" s="324"/>
      <c r="D65" s="324"/>
      <c r="E65" s="324"/>
      <c r="F65" s="324"/>
      <c r="G65" s="324"/>
      <c r="H65" s="324"/>
      <c r="I65" s="324"/>
      <c r="J65" s="324"/>
      <c r="K65" s="324"/>
      <c r="L65" s="324"/>
      <c r="M65" s="324"/>
      <c r="N65" s="324"/>
      <c r="O65" s="274">
        <v>9072000</v>
      </c>
      <c r="W65" s="322">
        <f>W63/$AI$63</f>
        <v>7.9947178098125057E-2</v>
      </c>
      <c r="X65" s="322">
        <f t="shared" ref="X65:AI65" si="63">X63/$AI$63</f>
        <v>8.0839666285232148E-2</v>
      </c>
      <c r="Y65" s="322">
        <f t="shared" si="63"/>
        <v>8.1712662492126817E-2</v>
      </c>
      <c r="Z65" s="322">
        <f t="shared" si="63"/>
        <v>8.2095547500126237E-2</v>
      </c>
      <c r="AA65" s="322">
        <f t="shared" si="63"/>
        <v>8.2167210090441395E-2</v>
      </c>
      <c r="AB65" s="322">
        <f t="shared" si="63"/>
        <v>8.4223605897186499E-2</v>
      </c>
      <c r="AC65" s="322">
        <f t="shared" si="63"/>
        <v>8.4302487354868491E-2</v>
      </c>
      <c r="AD65" s="322">
        <f t="shared" si="63"/>
        <v>8.4886359338870981E-2</v>
      </c>
      <c r="AE65" s="322">
        <f t="shared" si="63"/>
        <v>8.4907555435111234E-2</v>
      </c>
      <c r="AF65" s="322">
        <f t="shared" si="63"/>
        <v>8.4907555435111234E-2</v>
      </c>
      <c r="AG65" s="322">
        <f t="shared" si="63"/>
        <v>8.4919651487043363E-2</v>
      </c>
      <c r="AH65" s="322">
        <f t="shared" si="63"/>
        <v>8.5090520585756502E-2</v>
      </c>
      <c r="AI65" s="322">
        <f t="shared" si="63"/>
        <v>1</v>
      </c>
    </row>
    <row r="66" spans="3:35" ht="15" x14ac:dyDescent="0.25">
      <c r="C66" s="325"/>
      <c r="D66" s="325"/>
      <c r="E66" s="325"/>
      <c r="F66" s="325"/>
      <c r="G66" s="325"/>
      <c r="H66" s="325"/>
      <c r="I66" s="325"/>
      <c r="J66" s="325"/>
      <c r="K66" s="325"/>
      <c r="L66" s="325"/>
      <c r="M66" s="325"/>
      <c r="N66" s="325"/>
      <c r="O66" s="274">
        <v>9072000</v>
      </c>
    </row>
    <row r="67" spans="3:35" ht="15" x14ac:dyDescent="0.25">
      <c r="O67" s="274">
        <v>9072000</v>
      </c>
      <c r="W67" s="267">
        <f>W63*7.99%</f>
        <v>735386.62783185148</v>
      </c>
      <c r="X67" s="267">
        <f t="shared" ref="X67:AH67" si="64">X63*7.99%</f>
        <v>743596.09680761572</v>
      </c>
      <c r="Y67" s="267">
        <f t="shared" si="64"/>
        <v>751626.27062951471</v>
      </c>
      <c r="Z67" s="267">
        <f t="shared" si="64"/>
        <v>755148.20250476454</v>
      </c>
      <c r="AA67" s="267">
        <f t="shared" si="64"/>
        <v>755807.38412802189</v>
      </c>
      <c r="AB67" s="267">
        <f t="shared" si="64"/>
        <v>774722.94830157841</v>
      </c>
      <c r="AC67" s="267">
        <f t="shared" si="64"/>
        <v>775448.53200000525</v>
      </c>
      <c r="AD67" s="267">
        <f t="shared" si="64"/>
        <v>780819.2237444229</v>
      </c>
      <c r="AE67" s="267">
        <f t="shared" si="64"/>
        <v>781014.19404991856</v>
      </c>
      <c r="AF67" s="267">
        <f t="shared" si="64"/>
        <v>781014.19404991856</v>
      </c>
      <c r="AG67" s="267">
        <f t="shared" si="64"/>
        <v>781125.45845038968</v>
      </c>
      <c r="AH67" s="267">
        <f t="shared" si="64"/>
        <v>782697.18184691912</v>
      </c>
      <c r="AI67" s="323">
        <f>SUM(W67:AH67)</f>
        <v>9198406.3143449202</v>
      </c>
    </row>
    <row r="68" spans="3:35" ht="15" x14ac:dyDescent="0.25">
      <c r="O68" s="274">
        <v>9927000</v>
      </c>
      <c r="W68" s="267">
        <f>W63-W67</f>
        <v>8468451.0171224847</v>
      </c>
      <c r="X68" s="267">
        <f t="shared" ref="X68:AH68" si="65">X63-X67</f>
        <v>8562988.3438383881</v>
      </c>
      <c r="Y68" s="267">
        <f t="shared" si="65"/>
        <v>8655460.9712918214</v>
      </c>
      <c r="Z68" s="267">
        <f t="shared" si="65"/>
        <v>8696018.2869165689</v>
      </c>
      <c r="AA68" s="267">
        <f t="shared" si="65"/>
        <v>8703609.1881876476</v>
      </c>
      <c r="AB68" s="267">
        <f t="shared" si="65"/>
        <v>8921434.1017807554</v>
      </c>
      <c r="AC68" s="267">
        <f t="shared" si="65"/>
        <v>8929789.6657472439</v>
      </c>
      <c r="AD68" s="267">
        <f t="shared" si="65"/>
        <v>8991636.6428941619</v>
      </c>
      <c r="AE68" s="267">
        <f t="shared" si="65"/>
        <v>8993881.8516311646</v>
      </c>
      <c r="AF68" s="267">
        <f t="shared" si="65"/>
        <v>8993881.8516311646</v>
      </c>
      <c r="AG68" s="267">
        <f t="shared" si="65"/>
        <v>8995163.1329186931</v>
      </c>
      <c r="AH68" s="267">
        <f t="shared" si="65"/>
        <v>9013262.5408929959</v>
      </c>
      <c r="AI68" s="323">
        <f>SUM(W68:AH68)</f>
        <v>105925577.59485307</v>
      </c>
    </row>
    <row r="69" spans="3:35" ht="15" x14ac:dyDescent="0.25">
      <c r="O69" s="274">
        <v>9927000</v>
      </c>
      <c r="AB69" s="267">
        <f>((AB68*2.8%)-AB68)</f>
        <v>-8671633.9469308946</v>
      </c>
      <c r="AC69" s="267">
        <f>AC68*2.5%+AC68</f>
        <v>9153034.4073909242</v>
      </c>
      <c r="AD69" s="267">
        <f>AC69*1%+AC69</f>
        <v>9244564.7514648326</v>
      </c>
      <c r="AE69" s="267">
        <f>AE68*1%-AE68</f>
        <v>-8903943.0331148524</v>
      </c>
      <c r="AF69" s="267">
        <f>AE69*2%+AE69</f>
        <v>-9082021.8937771488</v>
      </c>
      <c r="AG69" s="267">
        <f>AF69*1%-AF69</f>
        <v>8991201.6748393774</v>
      </c>
      <c r="AH69" s="267">
        <f>AG69*1%-AG69</f>
        <v>-8901289.6580909844</v>
      </c>
    </row>
    <row r="70" spans="3:35" ht="15" x14ac:dyDescent="0.25">
      <c r="O70" s="274">
        <v>9927000</v>
      </c>
      <c r="W70" s="326">
        <v>8468451.0171224847</v>
      </c>
      <c r="X70" s="326">
        <v>8562988.3438383881</v>
      </c>
      <c r="Y70" s="326">
        <v>8655460.9712918214</v>
      </c>
      <c r="Z70" s="326">
        <v>8696018.2869165689</v>
      </c>
      <c r="AA70" s="326">
        <v>8703609.1881876476</v>
      </c>
      <c r="AB70" s="326">
        <v>8671633.9499999993</v>
      </c>
      <c r="AC70" s="326">
        <v>9153034.4073909242</v>
      </c>
      <c r="AD70" s="326">
        <v>9244564.7514648326</v>
      </c>
      <c r="AE70" s="326">
        <v>8903943.0299999993</v>
      </c>
      <c r="AF70" s="326">
        <v>9082021.8900000006</v>
      </c>
      <c r="AG70" s="326">
        <v>8991201.6748393774</v>
      </c>
      <c r="AH70" s="326">
        <v>8901289.6600000001</v>
      </c>
      <c r="AI70" s="323">
        <f>SUM(W70:AH70)</f>
        <v>106034217.17105204</v>
      </c>
    </row>
    <row r="71" spans="3:35" ht="15" x14ac:dyDescent="0.25">
      <c r="O71" s="274">
        <v>9927000</v>
      </c>
      <c r="W71" s="324" t="s">
        <v>332</v>
      </c>
      <c r="X71" s="324" t="s">
        <v>332</v>
      </c>
      <c r="Y71" s="324" t="s">
        <v>332</v>
      </c>
      <c r="Z71" s="324" t="s">
        <v>332</v>
      </c>
      <c r="AA71" s="324" t="s">
        <v>332</v>
      </c>
      <c r="AB71" s="324" t="s">
        <v>132</v>
      </c>
      <c r="AC71" s="324" t="s">
        <v>332</v>
      </c>
      <c r="AD71" s="324" t="s">
        <v>332</v>
      </c>
      <c r="AE71" s="324" t="s">
        <v>132</v>
      </c>
      <c r="AF71" s="324" t="s">
        <v>332</v>
      </c>
      <c r="AG71" s="324" t="s">
        <v>132</v>
      </c>
      <c r="AH71" s="324" t="s">
        <v>132</v>
      </c>
    </row>
    <row r="72" spans="3:35" ht="15" x14ac:dyDescent="0.25">
      <c r="O72" s="274">
        <v>9927000</v>
      </c>
      <c r="W72" s="325" t="s">
        <v>146</v>
      </c>
      <c r="X72" s="325" t="s">
        <v>147</v>
      </c>
      <c r="Y72" s="325" t="s">
        <v>148</v>
      </c>
      <c r="Z72" s="325" t="s">
        <v>149</v>
      </c>
      <c r="AA72" s="325" t="s">
        <v>150</v>
      </c>
      <c r="AB72" s="325" t="s">
        <v>151</v>
      </c>
      <c r="AC72" s="325" t="s">
        <v>152</v>
      </c>
      <c r="AD72" s="325" t="s">
        <v>153</v>
      </c>
      <c r="AE72" s="325" t="s">
        <v>154</v>
      </c>
      <c r="AF72" s="325" t="s">
        <v>155</v>
      </c>
      <c r="AG72" s="325" t="s">
        <v>156</v>
      </c>
      <c r="AH72" s="325" t="s">
        <v>157</v>
      </c>
    </row>
    <row r="73" spans="3:35" ht="15" x14ac:dyDescent="0.25">
      <c r="O73" s="274">
        <v>9927000</v>
      </c>
    </row>
    <row r="74" spans="3:35" ht="15" x14ac:dyDescent="0.25">
      <c r="O74" s="274">
        <v>9072000</v>
      </c>
      <c r="AI74" s="269">
        <f>AI70-AI68</f>
        <v>108639.57619896531</v>
      </c>
    </row>
    <row r="75" spans="3:35" ht="15" x14ac:dyDescent="0.25">
      <c r="O75" s="274">
        <v>9072000</v>
      </c>
    </row>
    <row r="76" spans="3:35" ht="15" x14ac:dyDescent="0.25">
      <c r="O76" s="274">
        <v>9072000</v>
      </c>
    </row>
    <row r="77" spans="3:35" ht="15" x14ac:dyDescent="0.25">
      <c r="O77" s="274">
        <f>SUM(O65:O76)</f>
        <v>113994000</v>
      </c>
    </row>
    <row r="78" spans="3:35" ht="15" x14ac:dyDescent="0.25">
      <c r="O78" s="274"/>
    </row>
    <row r="79" spans="3:35" ht="15" x14ac:dyDescent="0.25">
      <c r="O79" s="274"/>
    </row>
    <row r="80" spans="3:35" ht="15" x14ac:dyDescent="0.25">
      <c r="O80" s="274"/>
    </row>
    <row r="81" spans="15:15" ht="15" x14ac:dyDescent="0.25">
      <c r="O81" s="274"/>
    </row>
    <row r="82" spans="15:15" ht="15" x14ac:dyDescent="0.25">
      <c r="O82" s="274"/>
    </row>
    <row r="83" spans="15:15" ht="15" x14ac:dyDescent="0.25">
      <c r="O83" s="274"/>
    </row>
    <row r="84" spans="15:15" ht="15" x14ac:dyDescent="0.25">
      <c r="O84" s="274"/>
    </row>
    <row r="85" spans="15:15" ht="15" x14ac:dyDescent="0.25">
      <c r="O85" s="274"/>
    </row>
    <row r="86" spans="15:15" ht="15" x14ac:dyDescent="0.25">
      <c r="O86" s="274"/>
    </row>
    <row r="87" spans="15:15" ht="15" x14ac:dyDescent="0.25">
      <c r="O87" s="274"/>
    </row>
    <row r="88" spans="15:15" ht="15" x14ac:dyDescent="0.25">
      <c r="O88" s="274"/>
    </row>
    <row r="89" spans="15:15" ht="15" x14ac:dyDescent="0.25">
      <c r="O89" s="274"/>
    </row>
    <row r="90" spans="15:15" ht="15" x14ac:dyDescent="0.25">
      <c r="O90" s="274"/>
    </row>
    <row r="91" spans="15:15" ht="15" x14ac:dyDescent="0.25">
      <c r="O91" s="274"/>
    </row>
    <row r="92" spans="15:15" ht="15" x14ac:dyDescent="0.25">
      <c r="O92" s="274"/>
    </row>
    <row r="93" spans="15:15" ht="15" x14ac:dyDescent="0.25">
      <c r="O93" s="274"/>
    </row>
    <row r="94" spans="15:15" ht="15" x14ac:dyDescent="0.25">
      <c r="O94" s="274"/>
    </row>
    <row r="95" spans="15:15" ht="15" x14ac:dyDescent="0.25">
      <c r="O95" s="274"/>
    </row>
    <row r="96" spans="15:15" ht="15" x14ac:dyDescent="0.25">
      <c r="O96" s="274"/>
    </row>
    <row r="97" spans="15:15" ht="15" x14ac:dyDescent="0.25">
      <c r="O97" s="274"/>
    </row>
    <row r="98" spans="15:15" ht="15" x14ac:dyDescent="0.25">
      <c r="O98" s="274"/>
    </row>
    <row r="99" spans="15:15" ht="15" x14ac:dyDescent="0.25">
      <c r="O99" s="274"/>
    </row>
    <row r="100" spans="15:15" ht="15" x14ac:dyDescent="0.25">
      <c r="O100" s="274"/>
    </row>
    <row r="101" spans="15:15" ht="15" x14ac:dyDescent="0.25">
      <c r="O101" s="274"/>
    </row>
    <row r="102" spans="15:15" ht="15" x14ac:dyDescent="0.25">
      <c r="O102" s="274"/>
    </row>
    <row r="103" spans="15:15" ht="15" x14ac:dyDescent="0.25">
      <c r="O103" s="274"/>
    </row>
    <row r="104" spans="15:15" ht="15" x14ac:dyDescent="0.25">
      <c r="O104" s="274"/>
    </row>
    <row r="105" spans="15:15" ht="15" x14ac:dyDescent="0.25">
      <c r="O105" s="274"/>
    </row>
    <row r="106" spans="15:15" ht="15" x14ac:dyDescent="0.25">
      <c r="O106" s="274"/>
    </row>
    <row r="107" spans="15:15" ht="15" x14ac:dyDescent="0.25">
      <c r="O107" s="274"/>
    </row>
    <row r="108" spans="15:15" ht="15" x14ac:dyDescent="0.25">
      <c r="O108" s="274"/>
    </row>
    <row r="109" spans="15:15" ht="15" x14ac:dyDescent="0.25">
      <c r="O109" s="274"/>
    </row>
    <row r="110" spans="15:15" ht="15" x14ac:dyDescent="0.25">
      <c r="O110" s="274"/>
    </row>
    <row r="111" spans="15:15" ht="15" x14ac:dyDescent="0.25">
      <c r="O111" s="274"/>
    </row>
    <row r="112" spans="15:15" ht="15" x14ac:dyDescent="0.25">
      <c r="O112" s="274"/>
    </row>
    <row r="113" spans="15:15" ht="15" x14ac:dyDescent="0.25">
      <c r="O113" s="274"/>
    </row>
    <row r="114" spans="15:15" ht="15" x14ac:dyDescent="0.25">
      <c r="O114" s="274"/>
    </row>
    <row r="115" spans="15:15" ht="15" x14ac:dyDescent="0.25">
      <c r="O115" s="274"/>
    </row>
    <row r="116" spans="15:15" ht="15" x14ac:dyDescent="0.25">
      <c r="O116" s="274"/>
    </row>
    <row r="117" spans="15:15" ht="15" x14ac:dyDescent="0.25">
      <c r="O117" s="274"/>
    </row>
    <row r="118" spans="15:15" ht="15" x14ac:dyDescent="0.25">
      <c r="O118" s="274"/>
    </row>
    <row r="119" spans="15:15" ht="15" x14ac:dyDescent="0.25">
      <c r="O119" s="274"/>
    </row>
    <row r="120" spans="15:15" ht="15" x14ac:dyDescent="0.25">
      <c r="O120" s="274"/>
    </row>
    <row r="121" spans="15:15" ht="15" x14ac:dyDescent="0.25">
      <c r="O121" s="274"/>
    </row>
    <row r="122" spans="15:15" ht="15" x14ac:dyDescent="0.25">
      <c r="O122" s="274"/>
    </row>
    <row r="123" spans="15:15" ht="15" x14ac:dyDescent="0.25">
      <c r="O123" s="274"/>
    </row>
    <row r="124" spans="15:15" ht="15" x14ac:dyDescent="0.25">
      <c r="O124" s="274"/>
    </row>
    <row r="125" spans="15:15" ht="15" x14ac:dyDescent="0.25">
      <c r="O125" s="274"/>
    </row>
    <row r="126" spans="15:15" ht="15" x14ac:dyDescent="0.25">
      <c r="O126" s="274"/>
    </row>
    <row r="127" spans="15:15" ht="15" x14ac:dyDescent="0.25">
      <c r="O127" s="274"/>
    </row>
    <row r="128" spans="15:15" ht="15" x14ac:dyDescent="0.25">
      <c r="O128" s="274"/>
    </row>
    <row r="129" spans="15:15" ht="15" x14ac:dyDescent="0.25">
      <c r="O129" s="274"/>
    </row>
    <row r="130" spans="15:15" ht="15" x14ac:dyDescent="0.25">
      <c r="O130" s="274"/>
    </row>
    <row r="131" spans="15:15" ht="15" x14ac:dyDescent="0.25">
      <c r="O131" s="274"/>
    </row>
    <row r="132" spans="15:15" ht="15" x14ac:dyDescent="0.25">
      <c r="O132" s="274"/>
    </row>
    <row r="133" spans="15:15" ht="15" x14ac:dyDescent="0.25">
      <c r="O133" s="274"/>
    </row>
    <row r="134" spans="15:15" ht="15" x14ac:dyDescent="0.25">
      <c r="O134" s="274"/>
    </row>
    <row r="135" spans="15:15" ht="15" x14ac:dyDescent="0.25">
      <c r="O135" s="274"/>
    </row>
    <row r="136" spans="15:15" ht="15" x14ac:dyDescent="0.25">
      <c r="O136" s="274"/>
    </row>
    <row r="137" spans="15:15" ht="15" x14ac:dyDescent="0.25">
      <c r="O137" s="274"/>
    </row>
    <row r="138" spans="15:15" ht="15" x14ac:dyDescent="0.25">
      <c r="O138" s="274"/>
    </row>
    <row r="139" spans="15:15" ht="15" x14ac:dyDescent="0.25">
      <c r="O139" s="274"/>
    </row>
    <row r="140" spans="15:15" ht="15" x14ac:dyDescent="0.25">
      <c r="O140" s="274"/>
    </row>
    <row r="141" spans="15:15" ht="15" x14ac:dyDescent="0.25">
      <c r="O141" s="274"/>
    </row>
    <row r="142" spans="15:15" ht="15" x14ac:dyDescent="0.25">
      <c r="O142" s="274"/>
    </row>
    <row r="143" spans="15:15" ht="15" x14ac:dyDescent="0.25">
      <c r="O143" s="274"/>
    </row>
    <row r="144" spans="15:15" ht="15" x14ac:dyDescent="0.25">
      <c r="O144" s="274"/>
    </row>
    <row r="145" spans="15:15" ht="15" x14ac:dyDescent="0.25">
      <c r="O145" s="274"/>
    </row>
    <row r="146" spans="15:15" ht="15" x14ac:dyDescent="0.25">
      <c r="O146" s="274"/>
    </row>
    <row r="147" spans="15:15" ht="15" x14ac:dyDescent="0.25">
      <c r="O147" s="274"/>
    </row>
    <row r="148" spans="15:15" ht="15" x14ac:dyDescent="0.25">
      <c r="O148" s="274"/>
    </row>
    <row r="149" spans="15:15" ht="15" x14ac:dyDescent="0.25">
      <c r="O149" s="274"/>
    </row>
    <row r="150" spans="15:15" ht="15" x14ac:dyDescent="0.25">
      <c r="O150" s="274"/>
    </row>
    <row r="151" spans="15:15" ht="15" x14ac:dyDescent="0.25">
      <c r="O151" s="274"/>
    </row>
    <row r="152" spans="15:15" ht="15" x14ac:dyDescent="0.25">
      <c r="O152" s="274"/>
    </row>
    <row r="153" spans="15:15" ht="15" x14ac:dyDescent="0.25">
      <c r="O153" s="274"/>
    </row>
    <row r="154" spans="15:15" ht="15" x14ac:dyDescent="0.25">
      <c r="O154" s="274"/>
    </row>
    <row r="155" spans="15:15" ht="15" x14ac:dyDescent="0.25">
      <c r="O155" s="274"/>
    </row>
    <row r="156" spans="15:15" ht="15" x14ac:dyDescent="0.25">
      <c r="O156" s="274"/>
    </row>
    <row r="157" spans="15:15" ht="15" x14ac:dyDescent="0.25">
      <c r="O157" s="274"/>
    </row>
    <row r="158" spans="15:15" ht="15" x14ac:dyDescent="0.25">
      <c r="O158" s="274"/>
    </row>
    <row r="159" spans="15:15" ht="15" x14ac:dyDescent="0.25">
      <c r="O159" s="274"/>
    </row>
    <row r="160" spans="15:15" ht="15" x14ac:dyDescent="0.25">
      <c r="O160" s="274"/>
    </row>
    <row r="161" spans="15:15" ht="15" x14ac:dyDescent="0.25">
      <c r="O161" s="274"/>
    </row>
    <row r="162" spans="15:15" ht="15" x14ac:dyDescent="0.25">
      <c r="O162" s="274"/>
    </row>
    <row r="163" spans="15:15" ht="15" x14ac:dyDescent="0.25">
      <c r="O163" s="274"/>
    </row>
    <row r="164" spans="15:15" ht="15" x14ac:dyDescent="0.25">
      <c r="O164" s="274"/>
    </row>
    <row r="165" spans="15:15" ht="15" x14ac:dyDescent="0.25">
      <c r="O165" s="274"/>
    </row>
    <row r="166" spans="15:15" ht="15" x14ac:dyDescent="0.25">
      <c r="O166" s="274"/>
    </row>
    <row r="167" spans="15:15" ht="15" x14ac:dyDescent="0.25">
      <c r="O167" s="274"/>
    </row>
    <row r="168" spans="15:15" ht="15" x14ac:dyDescent="0.25">
      <c r="O168" s="274"/>
    </row>
    <row r="169" spans="15:15" ht="15" x14ac:dyDescent="0.25">
      <c r="O169" s="274"/>
    </row>
    <row r="170" spans="15:15" ht="15" x14ac:dyDescent="0.25">
      <c r="O170" s="274"/>
    </row>
    <row r="171" spans="15:15" ht="15" x14ac:dyDescent="0.25">
      <c r="O171" s="274"/>
    </row>
    <row r="172" spans="15:15" ht="15" x14ac:dyDescent="0.25">
      <c r="O172" s="274"/>
    </row>
    <row r="173" spans="15:15" ht="15" x14ac:dyDescent="0.25">
      <c r="O173" s="274"/>
    </row>
    <row r="174" spans="15:15" ht="15" x14ac:dyDescent="0.25">
      <c r="O174" s="274"/>
    </row>
    <row r="175" spans="15:15" ht="15" x14ac:dyDescent="0.25">
      <c r="O175" s="274"/>
    </row>
    <row r="176" spans="15:15" ht="15" x14ac:dyDescent="0.25">
      <c r="O176" s="274"/>
    </row>
    <row r="177" spans="15:15" ht="15" x14ac:dyDescent="0.25">
      <c r="O177" s="274"/>
    </row>
    <row r="178" spans="15:15" ht="15" x14ac:dyDescent="0.25">
      <c r="O178" s="274"/>
    </row>
    <row r="179" spans="15:15" ht="15" x14ac:dyDescent="0.25">
      <c r="O179" s="274"/>
    </row>
    <row r="180" spans="15:15" ht="15" x14ac:dyDescent="0.25">
      <c r="O180" s="274"/>
    </row>
    <row r="181" spans="15:15" ht="15" x14ac:dyDescent="0.25">
      <c r="O181" s="274"/>
    </row>
    <row r="182" spans="15:15" ht="15" x14ac:dyDescent="0.25">
      <c r="O182" s="274"/>
    </row>
    <row r="183" spans="15:15" ht="15" x14ac:dyDescent="0.25">
      <c r="O183" s="274"/>
    </row>
    <row r="184" spans="15:15" ht="15" x14ac:dyDescent="0.25">
      <c r="O184" s="274"/>
    </row>
    <row r="185" spans="15:15" ht="15" x14ac:dyDescent="0.25">
      <c r="O185" s="274"/>
    </row>
    <row r="186" spans="15:15" ht="15" x14ac:dyDescent="0.25">
      <c r="O186" s="274"/>
    </row>
    <row r="187" spans="15:15" ht="15" x14ac:dyDescent="0.25">
      <c r="O187" s="274"/>
    </row>
    <row r="188" spans="15:15" ht="15" x14ac:dyDescent="0.25">
      <c r="O188" s="274"/>
    </row>
    <row r="189" spans="15:15" ht="15" x14ac:dyDescent="0.25">
      <c r="O189" s="274"/>
    </row>
    <row r="190" spans="15:15" ht="15" x14ac:dyDescent="0.25">
      <c r="O190" s="274"/>
    </row>
    <row r="191" spans="15:15" ht="15" x14ac:dyDescent="0.25">
      <c r="O191" s="274"/>
    </row>
    <row r="192" spans="15:15" ht="15" x14ac:dyDescent="0.25">
      <c r="O192" s="274"/>
    </row>
    <row r="193" spans="15:15" ht="15" x14ac:dyDescent="0.25">
      <c r="O193" s="274"/>
    </row>
    <row r="194" spans="15:15" ht="15" x14ac:dyDescent="0.25">
      <c r="O194" s="274"/>
    </row>
    <row r="195" spans="15:15" ht="15" x14ac:dyDescent="0.25">
      <c r="O195" s="274"/>
    </row>
    <row r="196" spans="15:15" ht="15" x14ac:dyDescent="0.25">
      <c r="O196" s="274"/>
    </row>
    <row r="197" spans="15:15" ht="15" x14ac:dyDescent="0.25">
      <c r="O197" s="274"/>
    </row>
    <row r="198" spans="15:15" ht="15" x14ac:dyDescent="0.25">
      <c r="O198" s="274"/>
    </row>
    <row r="199" spans="15:15" ht="15" x14ac:dyDescent="0.25">
      <c r="O199" s="274"/>
    </row>
    <row r="200" spans="15:15" ht="15" x14ac:dyDescent="0.25">
      <c r="O200" s="274"/>
    </row>
    <row r="201" spans="15:15" ht="15" x14ac:dyDescent="0.25">
      <c r="O201" s="274"/>
    </row>
    <row r="202" spans="15:15" ht="15" x14ac:dyDescent="0.25">
      <c r="O202" s="274"/>
    </row>
    <row r="203" spans="15:15" ht="15" x14ac:dyDescent="0.25">
      <c r="O203" s="274"/>
    </row>
    <row r="204" spans="15:15" ht="15" x14ac:dyDescent="0.25">
      <c r="O204" s="274"/>
    </row>
    <row r="205" spans="15:15" ht="15" x14ac:dyDescent="0.25">
      <c r="O205" s="274"/>
    </row>
    <row r="206" spans="15:15" ht="15" x14ac:dyDescent="0.25">
      <c r="O206" s="274"/>
    </row>
    <row r="207" spans="15:15" ht="15" x14ac:dyDescent="0.25">
      <c r="O207" s="274"/>
    </row>
    <row r="208" spans="15:15" ht="15" x14ac:dyDescent="0.25">
      <c r="O208" s="274"/>
    </row>
    <row r="209" spans="15:15" ht="15" x14ac:dyDescent="0.25">
      <c r="O209" s="274"/>
    </row>
    <row r="210" spans="15:15" ht="15" x14ac:dyDescent="0.25">
      <c r="O210" s="274"/>
    </row>
    <row r="211" spans="15:15" ht="15" x14ac:dyDescent="0.25">
      <c r="O211" s="274"/>
    </row>
    <row r="212" spans="15:15" ht="15" x14ac:dyDescent="0.25">
      <c r="O212" s="274"/>
    </row>
    <row r="213" spans="15:15" ht="15" x14ac:dyDescent="0.25">
      <c r="O213" s="274"/>
    </row>
    <row r="214" spans="15:15" ht="15" x14ac:dyDescent="0.25">
      <c r="O214" s="274"/>
    </row>
    <row r="215" spans="15:15" ht="15" x14ac:dyDescent="0.25">
      <c r="O215" s="274"/>
    </row>
    <row r="216" spans="15:15" ht="15" x14ac:dyDescent="0.25">
      <c r="O216" s="274"/>
    </row>
    <row r="217" spans="15:15" ht="15" x14ac:dyDescent="0.25">
      <c r="O217" s="274"/>
    </row>
    <row r="218" spans="15:15" ht="15" x14ac:dyDescent="0.25">
      <c r="O218" s="274"/>
    </row>
    <row r="219" spans="15:15" ht="15" x14ac:dyDescent="0.25">
      <c r="O219" s="274"/>
    </row>
    <row r="220" spans="15:15" ht="15" x14ac:dyDescent="0.25">
      <c r="O220" s="274"/>
    </row>
    <row r="221" spans="15:15" ht="15" x14ac:dyDescent="0.25">
      <c r="O221" s="274"/>
    </row>
    <row r="222" spans="15:15" ht="15" x14ac:dyDescent="0.25">
      <c r="O222" s="274"/>
    </row>
    <row r="223" spans="15:15" ht="15" x14ac:dyDescent="0.25">
      <c r="O223" s="274"/>
    </row>
    <row r="224" spans="15:15" ht="15" x14ac:dyDescent="0.25">
      <c r="O224" s="274"/>
    </row>
    <row r="225" spans="15:15" ht="15" x14ac:dyDescent="0.25">
      <c r="O225" s="274"/>
    </row>
    <row r="226" spans="15:15" ht="15" x14ac:dyDescent="0.25">
      <c r="O226" s="274"/>
    </row>
    <row r="227" spans="15:15" ht="15" x14ac:dyDescent="0.25">
      <c r="O227" s="274"/>
    </row>
    <row r="228" spans="15:15" ht="15" x14ac:dyDescent="0.25">
      <c r="O228" s="274"/>
    </row>
    <row r="229" spans="15:15" ht="15" x14ac:dyDescent="0.25">
      <c r="O229" s="274"/>
    </row>
    <row r="230" spans="15:15" ht="15" x14ac:dyDescent="0.25">
      <c r="O230" s="274"/>
    </row>
    <row r="231" spans="15:15" ht="15" x14ac:dyDescent="0.25">
      <c r="O231" s="274"/>
    </row>
    <row r="232" spans="15:15" ht="15" x14ac:dyDescent="0.25">
      <c r="O232" s="274"/>
    </row>
    <row r="233" spans="15:15" ht="15" x14ac:dyDescent="0.25">
      <c r="O233" s="274"/>
    </row>
    <row r="234" spans="15:15" ht="15" x14ac:dyDescent="0.25">
      <c r="O234" s="274"/>
    </row>
    <row r="235" spans="15:15" ht="15" x14ac:dyDescent="0.25">
      <c r="O235" s="274"/>
    </row>
    <row r="236" spans="15:15" ht="15" x14ac:dyDescent="0.25">
      <c r="O236" s="274"/>
    </row>
    <row r="237" spans="15:15" ht="15" x14ac:dyDescent="0.25">
      <c r="O237" s="274"/>
    </row>
    <row r="238" spans="15:15" ht="15" x14ac:dyDescent="0.25">
      <c r="O238" s="274"/>
    </row>
    <row r="239" spans="15:15" ht="15" x14ac:dyDescent="0.25">
      <c r="O239" s="274"/>
    </row>
    <row r="240" spans="15:15" ht="15" x14ac:dyDescent="0.25">
      <c r="O240" s="274"/>
    </row>
    <row r="241" spans="15:15" ht="15" x14ac:dyDescent="0.25">
      <c r="O241" s="274"/>
    </row>
    <row r="242" spans="15:15" ht="15" x14ac:dyDescent="0.25">
      <c r="O242" s="274"/>
    </row>
    <row r="243" spans="15:15" ht="15" x14ac:dyDescent="0.25">
      <c r="O243" s="274"/>
    </row>
    <row r="244" spans="15:15" ht="15" x14ac:dyDescent="0.25">
      <c r="O244" s="274"/>
    </row>
    <row r="245" spans="15:15" ht="15" x14ac:dyDescent="0.25">
      <c r="O245" s="274"/>
    </row>
    <row r="246" spans="15:15" ht="15" x14ac:dyDescent="0.25">
      <c r="O246" s="274"/>
    </row>
    <row r="247" spans="15:15" ht="15" x14ac:dyDescent="0.25">
      <c r="O247" s="274"/>
    </row>
    <row r="248" spans="15:15" ht="15" x14ac:dyDescent="0.25">
      <c r="O248" s="274"/>
    </row>
    <row r="249" spans="15:15" ht="15" x14ac:dyDescent="0.25">
      <c r="O249" s="274"/>
    </row>
    <row r="250" spans="15:15" ht="15" x14ac:dyDescent="0.25">
      <c r="O250" s="274"/>
    </row>
    <row r="251" spans="15:15" ht="15" x14ac:dyDescent="0.25">
      <c r="O251" s="274"/>
    </row>
    <row r="252" spans="15:15" ht="15" x14ac:dyDescent="0.25">
      <c r="O252" s="274"/>
    </row>
    <row r="253" spans="15:15" ht="15" x14ac:dyDescent="0.25">
      <c r="O253" s="274"/>
    </row>
    <row r="254" spans="15:15" ht="15" x14ac:dyDescent="0.25">
      <c r="O254" s="274"/>
    </row>
    <row r="255" spans="15:15" ht="15" x14ac:dyDescent="0.25">
      <c r="O255" s="274"/>
    </row>
    <row r="256" spans="15:15" ht="15" x14ac:dyDescent="0.25">
      <c r="O256" s="274"/>
    </row>
    <row r="257" spans="15:15" ht="15" x14ac:dyDescent="0.25">
      <c r="O257" s="274"/>
    </row>
    <row r="258" spans="15:15" ht="15" x14ac:dyDescent="0.25">
      <c r="O258" s="274"/>
    </row>
    <row r="259" spans="15:15" ht="15" x14ac:dyDescent="0.25">
      <c r="O259" s="274"/>
    </row>
    <row r="260" spans="15:15" ht="15" x14ac:dyDescent="0.25">
      <c r="O260" s="274"/>
    </row>
    <row r="261" spans="15:15" ht="15" x14ac:dyDescent="0.25">
      <c r="O261" s="274"/>
    </row>
    <row r="262" spans="15:15" ht="15" x14ac:dyDescent="0.25">
      <c r="O262" s="274"/>
    </row>
    <row r="263" spans="15:15" ht="15" x14ac:dyDescent="0.25">
      <c r="O263" s="274"/>
    </row>
    <row r="264" spans="15:15" ht="15" x14ac:dyDescent="0.25">
      <c r="O264" s="274"/>
    </row>
    <row r="265" spans="15:15" ht="15" x14ac:dyDescent="0.25">
      <c r="O265" s="274"/>
    </row>
    <row r="266" spans="15:15" ht="15" x14ac:dyDescent="0.25">
      <c r="O266" s="274"/>
    </row>
    <row r="267" spans="15:15" ht="15" x14ac:dyDescent="0.25">
      <c r="O267" s="274"/>
    </row>
    <row r="268" spans="15:15" ht="15" x14ac:dyDescent="0.25">
      <c r="O268" s="274"/>
    </row>
    <row r="269" spans="15:15" ht="15" x14ac:dyDescent="0.25">
      <c r="O269" s="274"/>
    </row>
    <row r="270" spans="15:15" ht="15" x14ac:dyDescent="0.25">
      <c r="O270" s="274"/>
    </row>
    <row r="271" spans="15:15" ht="15" x14ac:dyDescent="0.25">
      <c r="O271" s="274"/>
    </row>
    <row r="272" spans="15:15" ht="15" x14ac:dyDescent="0.25">
      <c r="O272" s="274"/>
    </row>
    <row r="273" spans="15:15" ht="15" x14ac:dyDescent="0.25">
      <c r="O273" s="274"/>
    </row>
    <row r="274" spans="15:15" ht="15" x14ac:dyDescent="0.25">
      <c r="O274" s="274"/>
    </row>
    <row r="275" spans="15:15" ht="15" x14ac:dyDescent="0.25">
      <c r="O275" s="274"/>
    </row>
    <row r="276" spans="15:15" ht="15" x14ac:dyDescent="0.25">
      <c r="O276" s="274"/>
    </row>
    <row r="277" spans="15:15" ht="15" x14ac:dyDescent="0.25">
      <c r="O277" s="274"/>
    </row>
    <row r="278" spans="15:15" ht="15" x14ac:dyDescent="0.25">
      <c r="O278" s="274"/>
    </row>
    <row r="279" spans="15:15" ht="15" x14ac:dyDescent="0.25">
      <c r="O279" s="274"/>
    </row>
    <row r="280" spans="15:15" ht="15" x14ac:dyDescent="0.25">
      <c r="O280" s="274"/>
    </row>
    <row r="281" spans="15:15" ht="15" x14ac:dyDescent="0.25">
      <c r="O281" s="274"/>
    </row>
    <row r="282" spans="15:15" ht="15" x14ac:dyDescent="0.25">
      <c r="O282" s="274"/>
    </row>
    <row r="283" spans="15:15" ht="15" x14ac:dyDescent="0.25">
      <c r="O283" s="274"/>
    </row>
    <row r="284" spans="15:15" ht="15" x14ac:dyDescent="0.25">
      <c r="O284" s="274"/>
    </row>
    <row r="285" spans="15:15" ht="15" x14ac:dyDescent="0.25">
      <c r="O285" s="274"/>
    </row>
    <row r="286" spans="15:15" ht="15" x14ac:dyDescent="0.25">
      <c r="O286" s="274"/>
    </row>
    <row r="287" spans="15:15" ht="15" x14ac:dyDescent="0.25">
      <c r="O287" s="274"/>
    </row>
    <row r="288" spans="15:15" ht="15" x14ac:dyDescent="0.25">
      <c r="O288" s="274"/>
    </row>
    <row r="289" spans="15:15" ht="15" x14ac:dyDescent="0.25">
      <c r="O289" s="274"/>
    </row>
    <row r="290" spans="15:15" ht="15" x14ac:dyDescent="0.25">
      <c r="O290" s="274"/>
    </row>
    <row r="291" spans="15:15" ht="15" x14ac:dyDescent="0.25">
      <c r="O291" s="274"/>
    </row>
    <row r="292" spans="15:15" ht="15" x14ac:dyDescent="0.25">
      <c r="O292" s="274"/>
    </row>
    <row r="293" spans="15:15" ht="15" x14ac:dyDescent="0.25">
      <c r="O293" s="274"/>
    </row>
    <row r="294" spans="15:15" ht="15" x14ac:dyDescent="0.25">
      <c r="O294" s="274"/>
    </row>
    <row r="295" spans="15:15" ht="15" x14ac:dyDescent="0.25">
      <c r="O295" s="274"/>
    </row>
    <row r="296" spans="15:15" ht="15" x14ac:dyDescent="0.25">
      <c r="O296" s="274"/>
    </row>
    <row r="297" spans="15:15" ht="15" x14ac:dyDescent="0.25">
      <c r="O297" s="274"/>
    </row>
    <row r="298" spans="15:15" ht="15" x14ac:dyDescent="0.25">
      <c r="O298" s="274"/>
    </row>
    <row r="299" spans="15:15" ht="15" x14ac:dyDescent="0.25">
      <c r="O299" s="274"/>
    </row>
    <row r="300" spans="15:15" ht="15" x14ac:dyDescent="0.25">
      <c r="O300" s="274"/>
    </row>
    <row r="301" spans="15:15" ht="15" x14ac:dyDescent="0.25">
      <c r="O301" s="274"/>
    </row>
    <row r="302" spans="15:15" ht="15" x14ac:dyDescent="0.25">
      <c r="O302" s="274"/>
    </row>
    <row r="303" spans="15:15" ht="15" x14ac:dyDescent="0.25">
      <c r="O303" s="274"/>
    </row>
    <row r="304" spans="15:15" ht="15" x14ac:dyDescent="0.25">
      <c r="O304" s="274"/>
    </row>
    <row r="305" spans="15:15" ht="15" x14ac:dyDescent="0.25">
      <c r="O305" s="274"/>
    </row>
    <row r="306" spans="15:15" ht="15" x14ac:dyDescent="0.25">
      <c r="O306" s="274"/>
    </row>
    <row r="307" spans="15:15" ht="15" x14ac:dyDescent="0.25">
      <c r="O307" s="274"/>
    </row>
    <row r="308" spans="15:15" ht="15" x14ac:dyDescent="0.25">
      <c r="O308" s="274"/>
    </row>
    <row r="309" spans="15:15" ht="15" x14ac:dyDescent="0.25">
      <c r="O309" s="274"/>
    </row>
    <row r="310" spans="15:15" ht="15" x14ac:dyDescent="0.25">
      <c r="O310" s="274"/>
    </row>
    <row r="311" spans="15:15" ht="15" x14ac:dyDescent="0.25">
      <c r="O311" s="274"/>
    </row>
    <row r="312" spans="15:15" ht="15" x14ac:dyDescent="0.25">
      <c r="O312" s="274"/>
    </row>
    <row r="313" spans="15:15" ht="15" x14ac:dyDescent="0.25">
      <c r="O313" s="274"/>
    </row>
    <row r="314" spans="15:15" ht="15" x14ac:dyDescent="0.25">
      <c r="O314" s="274"/>
    </row>
    <row r="315" spans="15:15" ht="15" x14ac:dyDescent="0.25">
      <c r="O315" s="274"/>
    </row>
    <row r="316" spans="15:15" ht="15" x14ac:dyDescent="0.25">
      <c r="O316" s="274"/>
    </row>
    <row r="317" spans="15:15" ht="15" x14ac:dyDescent="0.25">
      <c r="O317" s="274"/>
    </row>
    <row r="318" spans="15:15" ht="15" x14ac:dyDescent="0.25">
      <c r="O318" s="274"/>
    </row>
    <row r="319" spans="15:15" ht="15" x14ac:dyDescent="0.25">
      <c r="O319" s="274"/>
    </row>
    <row r="320" spans="15:15" ht="15" x14ac:dyDescent="0.25">
      <c r="O320" s="274"/>
    </row>
    <row r="321" spans="15:15" ht="15" x14ac:dyDescent="0.25">
      <c r="O321" s="274"/>
    </row>
    <row r="322" spans="15:15" ht="15" x14ac:dyDescent="0.25">
      <c r="O322" s="274"/>
    </row>
    <row r="323" spans="15:15" ht="15" x14ac:dyDescent="0.25">
      <c r="O323" s="274"/>
    </row>
    <row r="324" spans="15:15" ht="15" x14ac:dyDescent="0.25">
      <c r="O324" s="274"/>
    </row>
    <row r="325" spans="15:15" ht="15" x14ac:dyDescent="0.25">
      <c r="O325" s="274"/>
    </row>
    <row r="326" spans="15:15" ht="15" x14ac:dyDescent="0.25">
      <c r="O326" s="274"/>
    </row>
    <row r="327" spans="15:15" ht="15" x14ac:dyDescent="0.25">
      <c r="O327" s="274"/>
    </row>
    <row r="328" spans="15:15" ht="15" x14ac:dyDescent="0.25">
      <c r="O328" s="274"/>
    </row>
    <row r="329" spans="15:15" ht="15" x14ac:dyDescent="0.25">
      <c r="O329" s="274"/>
    </row>
    <row r="330" spans="15:15" ht="15" x14ac:dyDescent="0.25">
      <c r="O330" s="274"/>
    </row>
    <row r="331" spans="15:15" ht="15" x14ac:dyDescent="0.25">
      <c r="O331" s="274"/>
    </row>
    <row r="332" spans="15:15" ht="15" x14ac:dyDescent="0.25">
      <c r="O332" s="274"/>
    </row>
    <row r="333" spans="15:15" ht="15" x14ac:dyDescent="0.25">
      <c r="O333" s="274"/>
    </row>
    <row r="334" spans="15:15" ht="15" x14ac:dyDescent="0.25">
      <c r="O334" s="274"/>
    </row>
    <row r="335" spans="15:15" ht="15" x14ac:dyDescent="0.25">
      <c r="O335" s="274"/>
    </row>
    <row r="336" spans="15:15" ht="15" x14ac:dyDescent="0.25">
      <c r="O336" s="274"/>
    </row>
    <row r="337" spans="15:15" ht="15" x14ac:dyDescent="0.25">
      <c r="O337" s="274"/>
    </row>
    <row r="338" spans="15:15" ht="15" x14ac:dyDescent="0.25">
      <c r="O338" s="274"/>
    </row>
    <row r="339" spans="15:15" ht="15" x14ac:dyDescent="0.25">
      <c r="O339" s="274"/>
    </row>
    <row r="340" spans="15:15" ht="15" x14ac:dyDescent="0.25">
      <c r="O340" s="274"/>
    </row>
    <row r="341" spans="15:15" ht="15" x14ac:dyDescent="0.25">
      <c r="O341" s="274"/>
    </row>
    <row r="342" spans="15:15" ht="15" x14ac:dyDescent="0.25">
      <c r="O342" s="274"/>
    </row>
    <row r="343" spans="15:15" ht="15" x14ac:dyDescent="0.25">
      <c r="O343" s="274"/>
    </row>
    <row r="344" spans="15:15" ht="15" x14ac:dyDescent="0.25">
      <c r="O344" s="274"/>
    </row>
    <row r="345" spans="15:15" ht="15" x14ac:dyDescent="0.25">
      <c r="O345" s="274"/>
    </row>
    <row r="346" spans="15:15" ht="15" x14ac:dyDescent="0.25">
      <c r="O346" s="274"/>
    </row>
    <row r="347" spans="15:15" ht="15" x14ac:dyDescent="0.25">
      <c r="O347" s="274"/>
    </row>
    <row r="348" spans="15:15" ht="15" x14ac:dyDescent="0.25">
      <c r="O348" s="274"/>
    </row>
    <row r="349" spans="15:15" ht="15" x14ac:dyDescent="0.25">
      <c r="O349" s="274"/>
    </row>
    <row r="350" spans="15:15" ht="15" x14ac:dyDescent="0.25">
      <c r="O350" s="274"/>
    </row>
    <row r="351" spans="15:15" ht="15" x14ac:dyDescent="0.25">
      <c r="O351" s="274"/>
    </row>
    <row r="352" spans="15:15" ht="15" x14ac:dyDescent="0.25">
      <c r="O352" s="274"/>
    </row>
    <row r="353" spans="15:15" ht="15" x14ac:dyDescent="0.25">
      <c r="O353" s="274"/>
    </row>
    <row r="354" spans="15:15" ht="15" x14ac:dyDescent="0.25">
      <c r="O354" s="274"/>
    </row>
    <row r="355" spans="15:15" ht="15" x14ac:dyDescent="0.25">
      <c r="O355" s="274"/>
    </row>
    <row r="356" spans="15:15" ht="15" x14ac:dyDescent="0.25">
      <c r="O356" s="274"/>
    </row>
    <row r="357" spans="15:15" ht="15" x14ac:dyDescent="0.25">
      <c r="O357" s="274"/>
    </row>
    <row r="358" spans="15:15" ht="15" x14ac:dyDescent="0.25">
      <c r="O358" s="274"/>
    </row>
    <row r="359" spans="15:15" ht="15" x14ac:dyDescent="0.25">
      <c r="O359" s="274"/>
    </row>
    <row r="360" spans="15:15" ht="15" x14ac:dyDescent="0.25">
      <c r="O360" s="274"/>
    </row>
    <row r="361" spans="15:15" ht="15" x14ac:dyDescent="0.25">
      <c r="O361" s="274"/>
    </row>
    <row r="362" spans="15:15" ht="15" x14ac:dyDescent="0.25">
      <c r="O362" s="274"/>
    </row>
    <row r="363" spans="15:15" ht="15" x14ac:dyDescent="0.25">
      <c r="O363" s="274"/>
    </row>
    <row r="364" spans="15:15" ht="15" x14ac:dyDescent="0.25">
      <c r="O364" s="274"/>
    </row>
    <row r="365" spans="15:15" ht="15" x14ac:dyDescent="0.25">
      <c r="O365" s="274"/>
    </row>
    <row r="366" spans="15:15" ht="15" x14ac:dyDescent="0.25">
      <c r="O366" s="274"/>
    </row>
    <row r="367" spans="15:15" ht="15" x14ac:dyDescent="0.25">
      <c r="O367" s="274"/>
    </row>
    <row r="368" spans="15:15" ht="15" x14ac:dyDescent="0.25">
      <c r="O368" s="274"/>
    </row>
    <row r="369" spans="15:15" ht="15" x14ac:dyDescent="0.25">
      <c r="O369" s="274"/>
    </row>
    <row r="370" spans="15:15" ht="15" x14ac:dyDescent="0.25">
      <c r="O370" s="274"/>
    </row>
    <row r="371" spans="15:15" ht="15" x14ac:dyDescent="0.25">
      <c r="O371" s="274"/>
    </row>
    <row r="372" spans="15:15" ht="15" x14ac:dyDescent="0.25">
      <c r="O372" s="274"/>
    </row>
    <row r="373" spans="15:15" ht="15" x14ac:dyDescent="0.25">
      <c r="O373" s="274"/>
    </row>
    <row r="374" spans="15:15" ht="15" x14ac:dyDescent="0.25">
      <c r="O374" s="274"/>
    </row>
    <row r="375" spans="15:15" ht="15" x14ac:dyDescent="0.25">
      <c r="O375" s="274"/>
    </row>
    <row r="376" spans="15:15" ht="15" x14ac:dyDescent="0.25">
      <c r="O376" s="274"/>
    </row>
    <row r="377" spans="15:15" ht="15" x14ac:dyDescent="0.25">
      <c r="O377" s="274"/>
    </row>
    <row r="378" spans="15:15" ht="15" x14ac:dyDescent="0.25">
      <c r="O378" s="274"/>
    </row>
    <row r="379" spans="15:15" ht="15" x14ac:dyDescent="0.25">
      <c r="O379" s="274"/>
    </row>
    <row r="380" spans="15:15" ht="15" x14ac:dyDescent="0.25">
      <c r="O380" s="274"/>
    </row>
    <row r="381" spans="15:15" ht="15" x14ac:dyDescent="0.25">
      <c r="O381" s="274"/>
    </row>
    <row r="382" spans="15:15" ht="15" x14ac:dyDescent="0.25">
      <c r="O382" s="274"/>
    </row>
    <row r="383" spans="15:15" ht="15" x14ac:dyDescent="0.25">
      <c r="O383" s="274"/>
    </row>
    <row r="384" spans="15:15" ht="15" x14ac:dyDescent="0.25">
      <c r="O384" s="274"/>
    </row>
    <row r="385" spans="15:15" ht="15" x14ac:dyDescent="0.25">
      <c r="O385" s="274"/>
    </row>
    <row r="386" spans="15:15" ht="15" x14ac:dyDescent="0.25">
      <c r="O386" s="274"/>
    </row>
    <row r="387" spans="15:15" ht="15" x14ac:dyDescent="0.25">
      <c r="O387" s="274"/>
    </row>
    <row r="388" spans="15:15" ht="15" x14ac:dyDescent="0.25">
      <c r="O388" s="274"/>
    </row>
    <row r="389" spans="15:15" ht="15" x14ac:dyDescent="0.25">
      <c r="O389" s="274"/>
    </row>
    <row r="390" spans="15:15" ht="15" x14ac:dyDescent="0.25">
      <c r="O390" s="274"/>
    </row>
    <row r="391" spans="15:15" ht="15" x14ac:dyDescent="0.25">
      <c r="O391" s="274"/>
    </row>
    <row r="392" spans="15:15" ht="15" x14ac:dyDescent="0.25">
      <c r="O392" s="274"/>
    </row>
    <row r="393" spans="15:15" ht="15" x14ac:dyDescent="0.25">
      <c r="O393" s="274"/>
    </row>
    <row r="394" spans="15:15" ht="15" x14ac:dyDescent="0.25">
      <c r="O394" s="274"/>
    </row>
    <row r="395" spans="15:15" ht="15" x14ac:dyDescent="0.25">
      <c r="O395" s="274"/>
    </row>
    <row r="396" spans="15:15" ht="15" x14ac:dyDescent="0.25">
      <c r="O396" s="274"/>
    </row>
    <row r="397" spans="15:15" ht="15" x14ac:dyDescent="0.25">
      <c r="O397" s="274"/>
    </row>
    <row r="398" spans="15:15" ht="15" x14ac:dyDescent="0.25">
      <c r="O398" s="274"/>
    </row>
    <row r="399" spans="15:15" ht="15" x14ac:dyDescent="0.25">
      <c r="O399" s="274"/>
    </row>
    <row r="400" spans="15:15" ht="15" x14ac:dyDescent="0.25">
      <c r="O400" s="274"/>
    </row>
    <row r="401" spans="15:15" ht="15" x14ac:dyDescent="0.25">
      <c r="O401" s="274"/>
    </row>
    <row r="402" spans="15:15" ht="15" x14ac:dyDescent="0.25">
      <c r="O402" s="274"/>
    </row>
    <row r="403" spans="15:15" ht="15" x14ac:dyDescent="0.25">
      <c r="O403" s="274"/>
    </row>
    <row r="404" spans="15:15" ht="15" x14ac:dyDescent="0.25">
      <c r="O404" s="274"/>
    </row>
    <row r="405" spans="15:15" ht="15" x14ac:dyDescent="0.25">
      <c r="O405" s="274"/>
    </row>
    <row r="406" spans="15:15" ht="15" x14ac:dyDescent="0.25">
      <c r="O406" s="274"/>
    </row>
    <row r="407" spans="15:15" ht="15" x14ac:dyDescent="0.25">
      <c r="O407" s="274"/>
    </row>
    <row r="408" spans="15:15" ht="15" x14ac:dyDescent="0.25">
      <c r="O408" s="274"/>
    </row>
    <row r="409" spans="15:15" ht="15" x14ac:dyDescent="0.25">
      <c r="O409" s="274"/>
    </row>
    <row r="410" spans="15:15" ht="15" x14ac:dyDescent="0.25">
      <c r="O410" s="274"/>
    </row>
    <row r="411" spans="15:15" ht="15" x14ac:dyDescent="0.25">
      <c r="O411" s="274"/>
    </row>
    <row r="412" spans="15:15" ht="15" x14ac:dyDescent="0.25">
      <c r="O412" s="274"/>
    </row>
    <row r="413" spans="15:15" ht="15" x14ac:dyDescent="0.25">
      <c r="O413" s="274"/>
    </row>
    <row r="414" spans="15:15" ht="15" x14ac:dyDescent="0.25">
      <c r="O414" s="274"/>
    </row>
    <row r="415" spans="15:15" ht="15" x14ac:dyDescent="0.25">
      <c r="O415" s="274"/>
    </row>
    <row r="416" spans="15:15" ht="15" x14ac:dyDescent="0.25">
      <c r="O416" s="274"/>
    </row>
    <row r="417" spans="15:15" ht="15" x14ac:dyDescent="0.25">
      <c r="O417" s="274"/>
    </row>
    <row r="418" spans="15:15" ht="15" x14ac:dyDescent="0.25">
      <c r="O418" s="274"/>
    </row>
    <row r="419" spans="15:15" ht="15" x14ac:dyDescent="0.25">
      <c r="O419" s="274"/>
    </row>
    <row r="420" spans="15:15" ht="15" x14ac:dyDescent="0.25">
      <c r="O420" s="274"/>
    </row>
    <row r="421" spans="15:15" ht="15" x14ac:dyDescent="0.25">
      <c r="O421" s="274"/>
    </row>
    <row r="422" spans="15:15" ht="15" x14ac:dyDescent="0.25">
      <c r="O422" s="274"/>
    </row>
    <row r="423" spans="15:15" ht="15" x14ac:dyDescent="0.25">
      <c r="O423" s="274"/>
    </row>
    <row r="424" spans="15:15" ht="15" x14ac:dyDescent="0.25">
      <c r="O424" s="274"/>
    </row>
    <row r="425" spans="15:15" ht="15" x14ac:dyDescent="0.25">
      <c r="O425" s="274"/>
    </row>
    <row r="426" spans="15:15" ht="15" x14ac:dyDescent="0.25">
      <c r="O426" s="274"/>
    </row>
    <row r="427" spans="15:15" ht="15" x14ac:dyDescent="0.25">
      <c r="O427" s="274"/>
    </row>
    <row r="428" spans="15:15" ht="15" x14ac:dyDescent="0.25">
      <c r="O428" s="274"/>
    </row>
    <row r="429" spans="15:15" ht="15" x14ac:dyDescent="0.25">
      <c r="O429" s="274"/>
    </row>
    <row r="430" spans="15:15" ht="15" x14ac:dyDescent="0.25">
      <c r="O430" s="274"/>
    </row>
    <row r="431" spans="15:15" ht="15" x14ac:dyDescent="0.25">
      <c r="O431" s="274"/>
    </row>
    <row r="432" spans="15:15" ht="15" x14ac:dyDescent="0.25">
      <c r="O432" s="274"/>
    </row>
    <row r="433" spans="15:15" ht="15" x14ac:dyDescent="0.25">
      <c r="O433" s="274"/>
    </row>
    <row r="434" spans="15:15" ht="15" x14ac:dyDescent="0.25">
      <c r="O434" s="274"/>
    </row>
    <row r="435" spans="15:15" ht="15" x14ac:dyDescent="0.25">
      <c r="O435" s="274"/>
    </row>
    <row r="436" spans="15:15" ht="15" x14ac:dyDescent="0.25">
      <c r="O436" s="274"/>
    </row>
    <row r="437" spans="15:15" ht="15" x14ac:dyDescent="0.25">
      <c r="O437" s="274"/>
    </row>
    <row r="438" spans="15:15" ht="15" x14ac:dyDescent="0.25">
      <c r="O438" s="274"/>
    </row>
    <row r="439" spans="15:15" ht="15" x14ac:dyDescent="0.25">
      <c r="O439" s="274"/>
    </row>
    <row r="440" spans="15:15" ht="15" x14ac:dyDescent="0.25">
      <c r="O440" s="274"/>
    </row>
    <row r="441" spans="15:15" ht="15" x14ac:dyDescent="0.25">
      <c r="O441" s="274"/>
    </row>
    <row r="442" spans="15:15" ht="15" x14ac:dyDescent="0.25">
      <c r="O442" s="274"/>
    </row>
    <row r="443" spans="15:15" ht="15" x14ac:dyDescent="0.25">
      <c r="O443" s="274"/>
    </row>
    <row r="444" spans="15:15" ht="15" x14ac:dyDescent="0.25">
      <c r="O444" s="274"/>
    </row>
    <row r="445" spans="15:15" ht="15" x14ac:dyDescent="0.25">
      <c r="O445" s="274"/>
    </row>
    <row r="446" spans="15:15" ht="15" x14ac:dyDescent="0.25">
      <c r="O446" s="274"/>
    </row>
    <row r="447" spans="15:15" ht="15" x14ac:dyDescent="0.25">
      <c r="O447" s="274"/>
    </row>
    <row r="448" spans="15:15" ht="15" x14ac:dyDescent="0.25">
      <c r="O448" s="274"/>
    </row>
    <row r="449" spans="15:15" ht="15" x14ac:dyDescent="0.25">
      <c r="O449" s="274"/>
    </row>
    <row r="450" spans="15:15" ht="15" x14ac:dyDescent="0.25">
      <c r="O450" s="274"/>
    </row>
    <row r="451" spans="15:15" ht="15" x14ac:dyDescent="0.25">
      <c r="O451" s="274"/>
    </row>
    <row r="452" spans="15:15" ht="15" x14ac:dyDescent="0.25">
      <c r="O452" s="274"/>
    </row>
    <row r="453" spans="15:15" ht="15" x14ac:dyDescent="0.25">
      <c r="O453" s="274"/>
    </row>
    <row r="454" spans="15:15" ht="15" x14ac:dyDescent="0.25">
      <c r="O454" s="274"/>
    </row>
    <row r="455" spans="15:15" ht="15" x14ac:dyDescent="0.25">
      <c r="O455" s="274"/>
    </row>
    <row r="456" spans="15:15" ht="15" x14ac:dyDescent="0.25">
      <c r="O456" s="274"/>
    </row>
    <row r="457" spans="15:15" ht="15" x14ac:dyDescent="0.25">
      <c r="O457" s="274"/>
    </row>
    <row r="458" spans="15:15" ht="15" x14ac:dyDescent="0.25">
      <c r="O458" s="274"/>
    </row>
    <row r="459" spans="15:15" ht="15" x14ac:dyDescent="0.25">
      <c r="O459" s="274"/>
    </row>
    <row r="460" spans="15:15" ht="15" x14ac:dyDescent="0.25">
      <c r="O460" s="274"/>
    </row>
    <row r="461" spans="15:15" ht="15" x14ac:dyDescent="0.25">
      <c r="O461" s="274"/>
    </row>
    <row r="462" spans="15:15" ht="15" x14ac:dyDescent="0.25">
      <c r="O462" s="274"/>
    </row>
    <row r="463" spans="15:15" ht="15" x14ac:dyDescent="0.25">
      <c r="O463" s="274"/>
    </row>
    <row r="464" spans="15:15" ht="15" x14ac:dyDescent="0.25">
      <c r="O464" s="274"/>
    </row>
    <row r="465" spans="15:15" ht="15" x14ac:dyDescent="0.25">
      <c r="O465" s="274"/>
    </row>
    <row r="466" spans="15:15" ht="15" x14ac:dyDescent="0.25">
      <c r="O466" s="274"/>
    </row>
    <row r="467" spans="15:15" ht="15" x14ac:dyDescent="0.25">
      <c r="O467" s="274"/>
    </row>
    <row r="468" spans="15:15" ht="15" x14ac:dyDescent="0.25">
      <c r="O468" s="274"/>
    </row>
    <row r="469" spans="15:15" ht="15" x14ac:dyDescent="0.25">
      <c r="O469" s="274"/>
    </row>
    <row r="470" spans="15:15" ht="15" x14ac:dyDescent="0.25">
      <c r="O470" s="274"/>
    </row>
    <row r="471" spans="15:15" ht="15" x14ac:dyDescent="0.25">
      <c r="O471" s="274"/>
    </row>
    <row r="472" spans="15:15" ht="15" x14ac:dyDescent="0.25">
      <c r="O472" s="274"/>
    </row>
    <row r="473" spans="15:15" ht="15" x14ac:dyDescent="0.25">
      <c r="O473" s="274"/>
    </row>
    <row r="474" spans="15:15" ht="15" x14ac:dyDescent="0.25">
      <c r="O474" s="274"/>
    </row>
    <row r="475" spans="15:15" ht="15" x14ac:dyDescent="0.25">
      <c r="O475" s="274"/>
    </row>
    <row r="476" spans="15:15" ht="15" x14ac:dyDescent="0.25">
      <c r="O476" s="274"/>
    </row>
    <row r="477" spans="15:15" ht="15" x14ac:dyDescent="0.25">
      <c r="O477" s="274"/>
    </row>
    <row r="478" spans="15:15" ht="15" x14ac:dyDescent="0.25">
      <c r="O478" s="274"/>
    </row>
    <row r="479" spans="15:15" ht="15" x14ac:dyDescent="0.25">
      <c r="O479" s="274"/>
    </row>
    <row r="480" spans="15:15" ht="15" x14ac:dyDescent="0.25">
      <c r="O480" s="274"/>
    </row>
    <row r="481" spans="15:15" ht="15" x14ac:dyDescent="0.25">
      <c r="O481" s="274"/>
    </row>
    <row r="482" spans="15:15" ht="15" x14ac:dyDescent="0.25">
      <c r="O482" s="274"/>
    </row>
    <row r="483" spans="15:15" ht="15" x14ac:dyDescent="0.25">
      <c r="O483" s="274"/>
    </row>
    <row r="484" spans="15:15" ht="15" x14ac:dyDescent="0.25">
      <c r="O484" s="274"/>
    </row>
    <row r="485" spans="15:15" ht="15" x14ac:dyDescent="0.25">
      <c r="O485" s="274"/>
    </row>
    <row r="486" spans="15:15" ht="15" x14ac:dyDescent="0.25">
      <c r="O486" s="274"/>
    </row>
    <row r="487" spans="15:15" ht="15" x14ac:dyDescent="0.25">
      <c r="O487" s="274"/>
    </row>
    <row r="488" spans="15:15" ht="15" x14ac:dyDescent="0.25">
      <c r="O488" s="274"/>
    </row>
    <row r="489" spans="15:15" ht="15" x14ac:dyDescent="0.25">
      <c r="O489" s="274"/>
    </row>
    <row r="490" spans="15:15" ht="15" x14ac:dyDescent="0.25">
      <c r="O490" s="274"/>
    </row>
    <row r="491" spans="15:15" ht="15" x14ac:dyDescent="0.25">
      <c r="O491" s="274"/>
    </row>
    <row r="492" spans="15:15" ht="15" x14ac:dyDescent="0.25">
      <c r="O492" s="274"/>
    </row>
    <row r="493" spans="15:15" ht="15" x14ac:dyDescent="0.25">
      <c r="O493" s="274"/>
    </row>
    <row r="494" spans="15:15" ht="15" x14ac:dyDescent="0.25">
      <c r="O494" s="274"/>
    </row>
    <row r="495" spans="15:15" ht="15" x14ac:dyDescent="0.25">
      <c r="O495" s="274"/>
    </row>
    <row r="496" spans="15:15" ht="15" x14ac:dyDescent="0.25">
      <c r="O496" s="274"/>
    </row>
    <row r="497" spans="15:15" ht="15" x14ac:dyDescent="0.25">
      <c r="O497" s="274"/>
    </row>
    <row r="498" spans="15:15" ht="15" x14ac:dyDescent="0.25">
      <c r="O498" s="274"/>
    </row>
    <row r="499" spans="15:15" ht="15" x14ac:dyDescent="0.25">
      <c r="O499" s="274"/>
    </row>
    <row r="500" spans="15:15" ht="15" x14ac:dyDescent="0.25">
      <c r="O500" s="274"/>
    </row>
    <row r="501" spans="15:15" ht="15" x14ac:dyDescent="0.25">
      <c r="O501" s="274"/>
    </row>
    <row r="502" spans="15:15" ht="15" x14ac:dyDescent="0.25">
      <c r="O502" s="274"/>
    </row>
    <row r="503" spans="15:15" ht="15" x14ac:dyDescent="0.25">
      <c r="O503" s="274"/>
    </row>
    <row r="504" spans="15:15" ht="15" x14ac:dyDescent="0.25">
      <c r="O504" s="274"/>
    </row>
    <row r="505" spans="15:15" ht="15" x14ac:dyDescent="0.25">
      <c r="O505" s="274"/>
    </row>
    <row r="506" spans="15:15" ht="15" x14ac:dyDescent="0.25">
      <c r="O506" s="274"/>
    </row>
    <row r="507" spans="15:15" ht="15" x14ac:dyDescent="0.25">
      <c r="O507" s="274"/>
    </row>
    <row r="508" spans="15:15" ht="15" x14ac:dyDescent="0.25">
      <c r="O508" s="274"/>
    </row>
    <row r="509" spans="15:15" ht="15" x14ac:dyDescent="0.25">
      <c r="O509" s="274"/>
    </row>
    <row r="510" spans="15:15" ht="15" x14ac:dyDescent="0.25">
      <c r="O510" s="274"/>
    </row>
    <row r="511" spans="15:15" ht="15" x14ac:dyDescent="0.25">
      <c r="O511" s="274"/>
    </row>
    <row r="512" spans="15:15" ht="15" x14ac:dyDescent="0.25">
      <c r="O512" s="274"/>
    </row>
    <row r="513" spans="15:15" ht="15" x14ac:dyDescent="0.25">
      <c r="O513" s="274"/>
    </row>
    <row r="514" spans="15:15" ht="15" x14ac:dyDescent="0.25">
      <c r="O514" s="274"/>
    </row>
    <row r="515" spans="15:15" ht="15" x14ac:dyDescent="0.25">
      <c r="O515" s="274"/>
    </row>
    <row r="516" spans="15:15" ht="15" x14ac:dyDescent="0.25">
      <c r="O516" s="274"/>
    </row>
    <row r="517" spans="15:15" ht="15" x14ac:dyDescent="0.25">
      <c r="O517" s="274"/>
    </row>
    <row r="518" spans="15:15" ht="15" x14ac:dyDescent="0.25">
      <c r="O518" s="274"/>
    </row>
    <row r="519" spans="15:15" ht="15" x14ac:dyDescent="0.25">
      <c r="O519" s="274"/>
    </row>
    <row r="520" spans="15:15" ht="15" x14ac:dyDescent="0.25">
      <c r="O520" s="274"/>
    </row>
    <row r="521" spans="15:15" ht="15" x14ac:dyDescent="0.25">
      <c r="O521" s="274"/>
    </row>
    <row r="522" spans="15:15" ht="15" x14ac:dyDescent="0.25">
      <c r="O522" s="274"/>
    </row>
    <row r="523" spans="15:15" ht="15" x14ac:dyDescent="0.25">
      <c r="O523" s="274"/>
    </row>
    <row r="524" spans="15:15" ht="15" x14ac:dyDescent="0.25">
      <c r="O524" s="274"/>
    </row>
    <row r="525" spans="15:15" ht="15" x14ac:dyDescent="0.25">
      <c r="O525" s="274"/>
    </row>
    <row r="526" spans="15:15" ht="15" x14ac:dyDescent="0.25">
      <c r="O526" s="274"/>
    </row>
    <row r="527" spans="15:15" ht="15" x14ac:dyDescent="0.25">
      <c r="O527" s="274"/>
    </row>
    <row r="528" spans="15:15" ht="15" x14ac:dyDescent="0.25">
      <c r="O528" s="274"/>
    </row>
    <row r="529" spans="15:15" ht="15" x14ac:dyDescent="0.25">
      <c r="O529" s="274"/>
    </row>
    <row r="530" spans="15:15" ht="15" x14ac:dyDescent="0.25">
      <c r="O530" s="274"/>
    </row>
    <row r="531" spans="15:15" ht="15" x14ac:dyDescent="0.25">
      <c r="O531" s="274"/>
    </row>
    <row r="532" spans="15:15" ht="15" x14ac:dyDescent="0.25">
      <c r="O532" s="274"/>
    </row>
    <row r="533" spans="15:15" ht="15" x14ac:dyDescent="0.25">
      <c r="O533" s="274"/>
    </row>
    <row r="534" spans="15:15" ht="15" x14ac:dyDescent="0.25">
      <c r="O534" s="274"/>
    </row>
    <row r="535" spans="15:15" ht="15" x14ac:dyDescent="0.25">
      <c r="O535" s="274"/>
    </row>
    <row r="536" spans="15:15" ht="15" x14ac:dyDescent="0.25">
      <c r="O536" s="274"/>
    </row>
    <row r="537" spans="15:15" ht="15" x14ac:dyDescent="0.25">
      <c r="O537" s="274"/>
    </row>
    <row r="538" spans="15:15" ht="15" x14ac:dyDescent="0.25">
      <c r="O538" s="274"/>
    </row>
    <row r="539" spans="15:15" ht="15" x14ac:dyDescent="0.25">
      <c r="O539" s="274"/>
    </row>
    <row r="540" spans="15:15" ht="15" x14ac:dyDescent="0.25">
      <c r="O540" s="274"/>
    </row>
    <row r="541" spans="15:15" ht="15" x14ac:dyDescent="0.25">
      <c r="O541" s="274"/>
    </row>
    <row r="542" spans="15:15" ht="15" x14ac:dyDescent="0.25">
      <c r="O542" s="274"/>
    </row>
    <row r="543" spans="15:15" ht="15" x14ac:dyDescent="0.25">
      <c r="O543" s="274"/>
    </row>
    <row r="544" spans="15:15" ht="15" x14ac:dyDescent="0.25">
      <c r="O544" s="274"/>
    </row>
    <row r="545" spans="15:15" ht="15" x14ac:dyDescent="0.25">
      <c r="O545" s="274"/>
    </row>
    <row r="546" spans="15:15" ht="15" x14ac:dyDescent="0.25">
      <c r="O546" s="274"/>
    </row>
    <row r="547" spans="15:15" ht="15" x14ac:dyDescent="0.25">
      <c r="O547" s="274"/>
    </row>
    <row r="548" spans="15:15" ht="15" x14ac:dyDescent="0.25">
      <c r="O548" s="274"/>
    </row>
    <row r="549" spans="15:15" ht="15" x14ac:dyDescent="0.25">
      <c r="O549" s="274"/>
    </row>
    <row r="550" spans="15:15" ht="15" x14ac:dyDescent="0.25">
      <c r="O550" s="274"/>
    </row>
    <row r="551" spans="15:15" ht="15" x14ac:dyDescent="0.25">
      <c r="O551" s="274"/>
    </row>
    <row r="552" spans="15:15" ht="15" x14ac:dyDescent="0.25">
      <c r="O552" s="274"/>
    </row>
    <row r="553" spans="15:15" ht="15" x14ac:dyDescent="0.25">
      <c r="O553" s="274"/>
    </row>
    <row r="554" spans="15:15" ht="15" x14ac:dyDescent="0.25">
      <c r="O554" s="274"/>
    </row>
    <row r="555" spans="15:15" ht="15" x14ac:dyDescent="0.25">
      <c r="O555" s="274"/>
    </row>
    <row r="556" spans="15:15" ht="15" x14ac:dyDescent="0.25">
      <c r="O556" s="274"/>
    </row>
    <row r="557" spans="15:15" ht="15" x14ac:dyDescent="0.25">
      <c r="O557" s="274"/>
    </row>
    <row r="558" spans="15:15" ht="15" x14ac:dyDescent="0.25">
      <c r="O558" s="274"/>
    </row>
    <row r="559" spans="15:15" ht="15" x14ac:dyDescent="0.25">
      <c r="O559" s="274"/>
    </row>
    <row r="560" spans="15:15" ht="15" x14ac:dyDescent="0.25">
      <c r="O560" s="274"/>
    </row>
    <row r="561" spans="15:15" ht="15" x14ac:dyDescent="0.25">
      <c r="O561" s="274"/>
    </row>
    <row r="562" spans="15:15" ht="15" x14ac:dyDescent="0.25">
      <c r="O562" s="274"/>
    </row>
    <row r="563" spans="15:15" ht="15" x14ac:dyDescent="0.25">
      <c r="O563" s="274"/>
    </row>
    <row r="564" spans="15:15" ht="15" x14ac:dyDescent="0.25">
      <c r="O564" s="274"/>
    </row>
    <row r="565" spans="15:15" ht="15" x14ac:dyDescent="0.25">
      <c r="O565" s="274"/>
    </row>
    <row r="566" spans="15:15" ht="15" x14ac:dyDescent="0.25">
      <c r="O566" s="274"/>
    </row>
    <row r="567" spans="15:15" ht="15" x14ac:dyDescent="0.25">
      <c r="O567" s="274"/>
    </row>
    <row r="568" spans="15:15" ht="15" x14ac:dyDescent="0.25">
      <c r="O568" s="274"/>
    </row>
    <row r="569" spans="15:15" ht="15" x14ac:dyDescent="0.25">
      <c r="O569" s="274"/>
    </row>
    <row r="570" spans="15:15" ht="15" x14ac:dyDescent="0.25">
      <c r="O570" s="274"/>
    </row>
    <row r="571" spans="15:15" ht="15" x14ac:dyDescent="0.25">
      <c r="O571" s="274"/>
    </row>
    <row r="572" spans="15:15" ht="15" x14ac:dyDescent="0.25">
      <c r="O572" s="274"/>
    </row>
    <row r="573" spans="15:15" ht="15" x14ac:dyDescent="0.25">
      <c r="O573" s="274"/>
    </row>
    <row r="574" spans="15:15" ht="15" x14ac:dyDescent="0.25">
      <c r="O574" s="274"/>
    </row>
    <row r="575" spans="15:15" ht="15" x14ac:dyDescent="0.25">
      <c r="O575" s="274"/>
    </row>
    <row r="576" spans="15:15" ht="15" x14ac:dyDescent="0.25">
      <c r="O576" s="274"/>
    </row>
    <row r="577" spans="15:15" ht="15" x14ac:dyDescent="0.25">
      <c r="O577" s="274"/>
    </row>
    <row r="578" spans="15:15" ht="15" x14ac:dyDescent="0.25">
      <c r="O578" s="274"/>
    </row>
    <row r="579" spans="15:15" ht="15" x14ac:dyDescent="0.25">
      <c r="O579" s="274"/>
    </row>
    <row r="580" spans="15:15" ht="15" x14ac:dyDescent="0.25">
      <c r="O580" s="274"/>
    </row>
    <row r="581" spans="15:15" ht="15" x14ac:dyDescent="0.25">
      <c r="O581" s="274"/>
    </row>
    <row r="582" spans="15:15" ht="15" x14ac:dyDescent="0.25">
      <c r="O582" s="274"/>
    </row>
    <row r="583" spans="15:15" ht="15" x14ac:dyDescent="0.25">
      <c r="O583" s="274"/>
    </row>
    <row r="584" spans="15:15" ht="15" x14ac:dyDescent="0.25">
      <c r="O584" s="274"/>
    </row>
    <row r="585" spans="15:15" ht="15" x14ac:dyDescent="0.25">
      <c r="O585" s="274"/>
    </row>
    <row r="586" spans="15:15" ht="15" x14ac:dyDescent="0.25">
      <c r="O586" s="274"/>
    </row>
    <row r="587" spans="15:15" ht="15" x14ac:dyDescent="0.25">
      <c r="O587" s="274"/>
    </row>
    <row r="588" spans="15:15" ht="15" x14ac:dyDescent="0.25">
      <c r="O588" s="274"/>
    </row>
    <row r="589" spans="15:15" ht="15" x14ac:dyDescent="0.25">
      <c r="O589" s="274"/>
    </row>
    <row r="590" spans="15:15" ht="15" x14ac:dyDescent="0.25">
      <c r="O590" s="274"/>
    </row>
    <row r="591" spans="15:15" ht="15" x14ac:dyDescent="0.25">
      <c r="O591" s="274"/>
    </row>
    <row r="592" spans="15:15" ht="15" x14ac:dyDescent="0.25">
      <c r="O592" s="274"/>
    </row>
    <row r="593" spans="15:15" ht="15" x14ac:dyDescent="0.25">
      <c r="O593" s="274"/>
    </row>
    <row r="594" spans="15:15" ht="15" x14ac:dyDescent="0.25">
      <c r="O594" s="274"/>
    </row>
    <row r="595" spans="15:15" ht="15" x14ac:dyDescent="0.25">
      <c r="O595" s="274"/>
    </row>
    <row r="596" spans="15:15" ht="15" x14ac:dyDescent="0.25">
      <c r="O596" s="274"/>
    </row>
    <row r="597" spans="15:15" ht="15" x14ac:dyDescent="0.25">
      <c r="O597" s="274"/>
    </row>
    <row r="598" spans="15:15" ht="15" x14ac:dyDescent="0.25">
      <c r="O598" s="274"/>
    </row>
    <row r="599" spans="15:15" ht="15" x14ac:dyDescent="0.25">
      <c r="O599" s="274"/>
    </row>
    <row r="600" spans="15:15" ht="15" x14ac:dyDescent="0.25">
      <c r="O600" s="274"/>
    </row>
    <row r="601" spans="15:15" ht="15" x14ac:dyDescent="0.25">
      <c r="O601" s="274"/>
    </row>
    <row r="602" spans="15:15" ht="15" x14ac:dyDescent="0.25">
      <c r="O602" s="274"/>
    </row>
    <row r="603" spans="15:15" ht="15" x14ac:dyDescent="0.25">
      <c r="O603" s="274"/>
    </row>
    <row r="604" spans="15:15" ht="15" x14ac:dyDescent="0.25">
      <c r="O604" s="274"/>
    </row>
    <row r="605" spans="15:15" ht="15" x14ac:dyDescent="0.25">
      <c r="O605" s="274"/>
    </row>
    <row r="606" spans="15:15" ht="15" x14ac:dyDescent="0.25">
      <c r="O606" s="274"/>
    </row>
    <row r="607" spans="15:15" ht="15" x14ac:dyDescent="0.25">
      <c r="O607" s="274"/>
    </row>
    <row r="608" spans="15:15" ht="15" x14ac:dyDescent="0.25">
      <c r="O608" s="274"/>
    </row>
    <row r="609" spans="15:15" ht="15" x14ac:dyDescent="0.25">
      <c r="O609" s="274"/>
    </row>
    <row r="610" spans="15:15" ht="15" x14ac:dyDescent="0.25">
      <c r="O610" s="274"/>
    </row>
    <row r="611" spans="15:15" ht="15" x14ac:dyDescent="0.25">
      <c r="O611" s="274"/>
    </row>
    <row r="612" spans="15:15" ht="15" x14ac:dyDescent="0.25">
      <c r="O612" s="274"/>
    </row>
    <row r="613" spans="15:15" ht="15" x14ac:dyDescent="0.25">
      <c r="O613" s="274"/>
    </row>
    <row r="614" spans="15:15" ht="15" x14ac:dyDescent="0.25">
      <c r="O614" s="274"/>
    </row>
    <row r="615" spans="15:15" ht="15" x14ac:dyDescent="0.25">
      <c r="O615" s="274"/>
    </row>
    <row r="616" spans="15:15" ht="15" x14ac:dyDescent="0.25">
      <c r="O616" s="274"/>
    </row>
    <row r="617" spans="15:15" ht="15" x14ac:dyDescent="0.25">
      <c r="O617" s="274"/>
    </row>
    <row r="618" spans="15:15" ht="15" x14ac:dyDescent="0.25">
      <c r="O618" s="274"/>
    </row>
    <row r="619" spans="15:15" ht="15" x14ac:dyDescent="0.25">
      <c r="O619" s="274"/>
    </row>
    <row r="620" spans="15:15" ht="15" x14ac:dyDescent="0.25">
      <c r="O620" s="274"/>
    </row>
    <row r="621" spans="15:15" ht="15" x14ac:dyDescent="0.25">
      <c r="O621" s="274"/>
    </row>
    <row r="622" spans="15:15" ht="15" x14ac:dyDescent="0.25">
      <c r="O622" s="274"/>
    </row>
    <row r="623" spans="15:15" ht="15" x14ac:dyDescent="0.25">
      <c r="O623" s="274"/>
    </row>
    <row r="624" spans="15:15" ht="15" x14ac:dyDescent="0.25">
      <c r="O624" s="274"/>
    </row>
    <row r="625" spans="15:15" ht="15" x14ac:dyDescent="0.25">
      <c r="O625" s="274"/>
    </row>
    <row r="626" spans="15:15" ht="15" x14ac:dyDescent="0.25">
      <c r="O626" s="274"/>
    </row>
    <row r="627" spans="15:15" ht="15" x14ac:dyDescent="0.25">
      <c r="O627" s="274"/>
    </row>
    <row r="628" spans="15:15" ht="15" x14ac:dyDescent="0.25">
      <c r="O628" s="274"/>
    </row>
    <row r="629" spans="15:15" ht="15" x14ac:dyDescent="0.25">
      <c r="O629" s="274"/>
    </row>
    <row r="630" spans="15:15" ht="15" x14ac:dyDescent="0.25">
      <c r="O630" s="274"/>
    </row>
    <row r="631" spans="15:15" ht="15" x14ac:dyDescent="0.25">
      <c r="O631" s="274"/>
    </row>
    <row r="632" spans="15:15" ht="15" x14ac:dyDescent="0.25">
      <c r="O632" s="274"/>
    </row>
    <row r="633" spans="15:15" ht="15" x14ac:dyDescent="0.25">
      <c r="O633" s="274"/>
    </row>
    <row r="634" spans="15:15" ht="15" x14ac:dyDescent="0.25">
      <c r="O634" s="274"/>
    </row>
    <row r="635" spans="15:15" ht="15" x14ac:dyDescent="0.25">
      <c r="O635" s="274"/>
    </row>
    <row r="636" spans="15:15" ht="15" x14ac:dyDescent="0.25">
      <c r="O636" s="274"/>
    </row>
    <row r="637" spans="15:15" ht="15" x14ac:dyDescent="0.25">
      <c r="O637" s="274"/>
    </row>
    <row r="638" spans="15:15" ht="15" x14ac:dyDescent="0.25">
      <c r="O638" s="274"/>
    </row>
    <row r="639" spans="15:15" ht="15" x14ac:dyDescent="0.25">
      <c r="O639" s="274"/>
    </row>
    <row r="640" spans="15:15" ht="15" x14ac:dyDescent="0.25">
      <c r="O640" s="274"/>
    </row>
    <row r="641" spans="15:15" ht="15" x14ac:dyDescent="0.25">
      <c r="O641" s="274"/>
    </row>
    <row r="642" spans="15:15" ht="15" x14ac:dyDescent="0.25">
      <c r="O642" s="274"/>
    </row>
    <row r="643" spans="15:15" ht="15" x14ac:dyDescent="0.25">
      <c r="O643" s="274"/>
    </row>
    <row r="644" spans="15:15" ht="15" x14ac:dyDescent="0.25">
      <c r="O644" s="274"/>
    </row>
    <row r="645" spans="15:15" ht="15" x14ac:dyDescent="0.25">
      <c r="O645" s="274"/>
    </row>
    <row r="646" spans="15:15" ht="15" x14ac:dyDescent="0.25">
      <c r="O646" s="274"/>
    </row>
    <row r="647" spans="15:15" ht="15" x14ac:dyDescent="0.25">
      <c r="O647" s="274"/>
    </row>
    <row r="648" spans="15:15" ht="15" x14ac:dyDescent="0.25">
      <c r="O648" s="274"/>
    </row>
    <row r="649" spans="15:15" ht="15" x14ac:dyDescent="0.25">
      <c r="O649" s="274"/>
    </row>
    <row r="650" spans="15:15" ht="15" x14ac:dyDescent="0.25">
      <c r="O650" s="274"/>
    </row>
    <row r="651" spans="15:15" ht="15" x14ac:dyDescent="0.25">
      <c r="O651" s="274"/>
    </row>
    <row r="652" spans="15:15" ht="15" x14ac:dyDescent="0.25">
      <c r="O652" s="274"/>
    </row>
    <row r="653" spans="15:15" ht="15" x14ac:dyDescent="0.25">
      <c r="O653" s="274"/>
    </row>
    <row r="654" spans="15:15" ht="15" x14ac:dyDescent="0.25">
      <c r="O654" s="274"/>
    </row>
    <row r="655" spans="15:15" ht="15" x14ac:dyDescent="0.25">
      <c r="O655" s="274"/>
    </row>
    <row r="656" spans="15:15" ht="15" x14ac:dyDescent="0.25">
      <c r="O656" s="274"/>
    </row>
    <row r="657" spans="15:15" ht="15" x14ac:dyDescent="0.25">
      <c r="O657" s="274"/>
    </row>
    <row r="658" spans="15:15" ht="15" x14ac:dyDescent="0.25">
      <c r="O658" s="274"/>
    </row>
    <row r="659" spans="15:15" ht="15" x14ac:dyDescent="0.25">
      <c r="O659" s="274"/>
    </row>
    <row r="660" spans="15:15" ht="15" x14ac:dyDescent="0.25">
      <c r="O660" s="274"/>
    </row>
    <row r="661" spans="15:15" ht="15" x14ac:dyDescent="0.25">
      <c r="O661" s="274"/>
    </row>
    <row r="662" spans="15:15" ht="15" x14ac:dyDescent="0.25">
      <c r="O662" s="274"/>
    </row>
    <row r="663" spans="15:15" ht="15" x14ac:dyDescent="0.25">
      <c r="O663" s="274"/>
    </row>
    <row r="664" spans="15:15" ht="15" x14ac:dyDescent="0.25">
      <c r="O664" s="274"/>
    </row>
    <row r="665" spans="15:15" ht="15" x14ac:dyDescent="0.25">
      <c r="O665" s="274"/>
    </row>
    <row r="666" spans="15:15" ht="15" x14ac:dyDescent="0.25">
      <c r="O666" s="274"/>
    </row>
    <row r="667" spans="15:15" ht="15" x14ac:dyDescent="0.25">
      <c r="O667" s="274"/>
    </row>
    <row r="668" spans="15:15" ht="15" x14ac:dyDescent="0.25">
      <c r="O668" s="274"/>
    </row>
    <row r="669" spans="15:15" ht="15" x14ac:dyDescent="0.25">
      <c r="O669" s="274"/>
    </row>
    <row r="670" spans="15:15" ht="15" x14ac:dyDescent="0.25">
      <c r="O670" s="274"/>
    </row>
    <row r="671" spans="15:15" ht="15" x14ac:dyDescent="0.25">
      <c r="O671" s="274"/>
    </row>
    <row r="672" spans="15:15" ht="15" x14ac:dyDescent="0.25">
      <c r="O672" s="274"/>
    </row>
    <row r="673" spans="15:15" ht="15" x14ac:dyDescent="0.25">
      <c r="O673" s="274"/>
    </row>
    <row r="674" spans="15:15" ht="15" x14ac:dyDescent="0.25">
      <c r="O674" s="274"/>
    </row>
    <row r="675" spans="15:15" ht="15" x14ac:dyDescent="0.25">
      <c r="O675" s="274"/>
    </row>
    <row r="676" spans="15:15" ht="15" x14ac:dyDescent="0.25">
      <c r="O676" s="274"/>
    </row>
    <row r="677" spans="15:15" ht="15" x14ac:dyDescent="0.25">
      <c r="O677" s="274"/>
    </row>
    <row r="678" spans="15:15" ht="15" x14ac:dyDescent="0.25">
      <c r="O678" s="274"/>
    </row>
    <row r="679" spans="15:15" ht="15" x14ac:dyDescent="0.25">
      <c r="O679" s="274"/>
    </row>
    <row r="680" spans="15:15" ht="15" x14ac:dyDescent="0.25">
      <c r="O680" s="274"/>
    </row>
    <row r="681" spans="15:15" ht="15" x14ac:dyDescent="0.25">
      <c r="O681" s="274"/>
    </row>
    <row r="682" spans="15:15" ht="15" x14ac:dyDescent="0.25">
      <c r="O682" s="274"/>
    </row>
    <row r="683" spans="15:15" ht="15" x14ac:dyDescent="0.25">
      <c r="O683" s="274"/>
    </row>
    <row r="684" spans="15:15" ht="15" x14ac:dyDescent="0.25">
      <c r="O684" s="274"/>
    </row>
    <row r="685" spans="15:15" ht="15" x14ac:dyDescent="0.25">
      <c r="O685" s="274"/>
    </row>
    <row r="686" spans="15:15" ht="15" x14ac:dyDescent="0.25">
      <c r="O686" s="274"/>
    </row>
    <row r="687" spans="15:15" ht="15" x14ac:dyDescent="0.25">
      <c r="O687" s="274"/>
    </row>
    <row r="688" spans="15:15" ht="15" x14ac:dyDescent="0.25">
      <c r="O688" s="274"/>
    </row>
    <row r="689" spans="15:15" ht="15" x14ac:dyDescent="0.25">
      <c r="O689" s="274"/>
    </row>
    <row r="690" spans="15:15" ht="15" x14ac:dyDescent="0.25">
      <c r="O690" s="274"/>
    </row>
    <row r="691" spans="15:15" ht="15" x14ac:dyDescent="0.25">
      <c r="O691" s="274"/>
    </row>
    <row r="692" spans="15:15" ht="15" x14ac:dyDescent="0.25">
      <c r="O692" s="274"/>
    </row>
    <row r="693" spans="15:15" ht="15" x14ac:dyDescent="0.25">
      <c r="O693" s="274"/>
    </row>
    <row r="694" spans="15:15" ht="15" x14ac:dyDescent="0.25">
      <c r="O694" s="274"/>
    </row>
    <row r="695" spans="15:15" ht="15" x14ac:dyDescent="0.25">
      <c r="O695" s="274"/>
    </row>
    <row r="696" spans="15:15" ht="15" x14ac:dyDescent="0.25">
      <c r="O696" s="274"/>
    </row>
    <row r="697" spans="15:15" ht="15" x14ac:dyDescent="0.25">
      <c r="O697" s="274"/>
    </row>
    <row r="698" spans="15:15" ht="15" x14ac:dyDescent="0.25">
      <c r="O698" s="274"/>
    </row>
    <row r="699" spans="15:15" ht="15" x14ac:dyDescent="0.25">
      <c r="O699" s="274"/>
    </row>
    <row r="700" spans="15:15" ht="15" x14ac:dyDescent="0.25">
      <c r="O700" s="274"/>
    </row>
    <row r="701" spans="15:15" ht="15" x14ac:dyDescent="0.25">
      <c r="O701" s="274"/>
    </row>
    <row r="702" spans="15:15" ht="15" x14ac:dyDescent="0.25">
      <c r="O702" s="274"/>
    </row>
    <row r="703" spans="15:15" ht="15" x14ac:dyDescent="0.25">
      <c r="O703" s="274"/>
    </row>
    <row r="704" spans="15:15" ht="15" x14ac:dyDescent="0.25">
      <c r="O704" s="274"/>
    </row>
    <row r="705" spans="15:15" ht="15" x14ac:dyDescent="0.25">
      <c r="O705" s="274"/>
    </row>
    <row r="706" spans="15:15" ht="15" x14ac:dyDescent="0.25">
      <c r="O706" s="274"/>
    </row>
    <row r="707" spans="15:15" ht="15" x14ac:dyDescent="0.25">
      <c r="O707" s="274"/>
    </row>
    <row r="708" spans="15:15" ht="15" x14ac:dyDescent="0.25">
      <c r="O708" s="274"/>
    </row>
    <row r="709" spans="15:15" ht="15" x14ac:dyDescent="0.25">
      <c r="O709" s="274"/>
    </row>
    <row r="710" spans="15:15" ht="15" x14ac:dyDescent="0.25">
      <c r="O710" s="274"/>
    </row>
    <row r="711" spans="15:15" ht="15" x14ac:dyDescent="0.25">
      <c r="O711" s="274"/>
    </row>
    <row r="712" spans="15:15" ht="15" x14ac:dyDescent="0.25">
      <c r="O712" s="274"/>
    </row>
    <row r="713" spans="15:15" ht="15" x14ac:dyDescent="0.25">
      <c r="O713" s="274"/>
    </row>
    <row r="714" spans="15:15" ht="15" x14ac:dyDescent="0.25">
      <c r="O714" s="274"/>
    </row>
    <row r="715" spans="15:15" ht="15" x14ac:dyDescent="0.25">
      <c r="O715" s="274"/>
    </row>
    <row r="716" spans="15:15" ht="15" x14ac:dyDescent="0.25">
      <c r="O716" s="274"/>
    </row>
    <row r="717" spans="15:15" ht="15" x14ac:dyDescent="0.25">
      <c r="O717" s="274"/>
    </row>
    <row r="718" spans="15:15" ht="15" x14ac:dyDescent="0.25">
      <c r="O718" s="274"/>
    </row>
    <row r="719" spans="15:15" ht="15" x14ac:dyDescent="0.25">
      <c r="O719" s="274"/>
    </row>
    <row r="720" spans="15:15" ht="15" x14ac:dyDescent="0.25">
      <c r="O720" s="274"/>
    </row>
    <row r="721" spans="15:15" ht="15" x14ac:dyDescent="0.25">
      <c r="O721" s="274"/>
    </row>
    <row r="722" spans="15:15" ht="15" x14ac:dyDescent="0.25">
      <c r="O722" s="274"/>
    </row>
    <row r="723" spans="15:15" ht="15" x14ac:dyDescent="0.25">
      <c r="O723" s="274"/>
    </row>
    <row r="724" spans="15:15" ht="15" x14ac:dyDescent="0.25">
      <c r="O724" s="274"/>
    </row>
    <row r="725" spans="15:15" ht="15" x14ac:dyDescent="0.25">
      <c r="O725" s="274"/>
    </row>
    <row r="726" spans="15:15" ht="15" x14ac:dyDescent="0.25">
      <c r="O726" s="274"/>
    </row>
    <row r="727" spans="15:15" ht="15" x14ac:dyDescent="0.25">
      <c r="O727" s="274"/>
    </row>
    <row r="728" spans="15:15" ht="15" x14ac:dyDescent="0.25">
      <c r="O728" s="274"/>
    </row>
    <row r="729" spans="15:15" ht="15" x14ac:dyDescent="0.25">
      <c r="O729" s="274"/>
    </row>
    <row r="730" spans="15:15" ht="15" x14ac:dyDescent="0.25">
      <c r="O730" s="274"/>
    </row>
    <row r="731" spans="15:15" ht="15" x14ac:dyDescent="0.25">
      <c r="O731" s="274"/>
    </row>
    <row r="732" spans="15:15" ht="15" x14ac:dyDescent="0.25">
      <c r="O732" s="274"/>
    </row>
    <row r="733" spans="15:15" ht="15" x14ac:dyDescent="0.25">
      <c r="O733" s="274"/>
    </row>
    <row r="734" spans="15:15" ht="15" x14ac:dyDescent="0.25">
      <c r="O734" s="274"/>
    </row>
    <row r="735" spans="15:15" ht="15" x14ac:dyDescent="0.25">
      <c r="O735" s="274"/>
    </row>
    <row r="736" spans="15:15" ht="15" x14ac:dyDescent="0.25">
      <c r="O736" s="274"/>
    </row>
    <row r="737" spans="15:15" ht="15" x14ac:dyDescent="0.25">
      <c r="O737" s="274"/>
    </row>
    <row r="738" spans="15:15" ht="15" x14ac:dyDescent="0.25">
      <c r="O738" s="274"/>
    </row>
    <row r="739" spans="15:15" ht="15" x14ac:dyDescent="0.25">
      <c r="O739" s="274"/>
    </row>
    <row r="740" spans="15:15" ht="15" x14ac:dyDescent="0.25">
      <c r="O740" s="274"/>
    </row>
    <row r="741" spans="15:15" ht="15" x14ac:dyDescent="0.25">
      <c r="O741" s="274"/>
    </row>
    <row r="742" spans="15:15" ht="15" x14ac:dyDescent="0.25">
      <c r="O742" s="274"/>
    </row>
    <row r="743" spans="15:15" ht="15" x14ac:dyDescent="0.25">
      <c r="O743" s="274"/>
    </row>
    <row r="744" spans="15:15" ht="15" x14ac:dyDescent="0.25">
      <c r="O744" s="274"/>
    </row>
    <row r="745" spans="15:15" ht="15" x14ac:dyDescent="0.25">
      <c r="O745" s="274"/>
    </row>
    <row r="746" spans="15:15" ht="15" x14ac:dyDescent="0.25">
      <c r="O746" s="274"/>
    </row>
    <row r="747" spans="15:15" ht="15" x14ac:dyDescent="0.25">
      <c r="O747" s="274"/>
    </row>
    <row r="748" spans="15:15" ht="15" x14ac:dyDescent="0.25">
      <c r="O748" s="274"/>
    </row>
    <row r="749" spans="15:15" ht="15" x14ac:dyDescent="0.25">
      <c r="O749" s="274"/>
    </row>
    <row r="750" spans="15:15" ht="15" x14ac:dyDescent="0.25">
      <c r="O750" s="274"/>
    </row>
    <row r="751" spans="15:15" ht="15" x14ac:dyDescent="0.25">
      <c r="O751" s="274"/>
    </row>
    <row r="752" spans="15:15" ht="15" x14ac:dyDescent="0.25">
      <c r="O752" s="274"/>
    </row>
    <row r="753" spans="15:15" ht="15" x14ac:dyDescent="0.25">
      <c r="O753" s="274"/>
    </row>
    <row r="754" spans="15:15" ht="15" x14ac:dyDescent="0.25">
      <c r="O754" s="274"/>
    </row>
    <row r="755" spans="15:15" ht="15" x14ac:dyDescent="0.25">
      <c r="O755" s="274"/>
    </row>
    <row r="756" spans="15:15" ht="15" x14ac:dyDescent="0.25">
      <c r="O756" s="274"/>
    </row>
    <row r="757" spans="15:15" ht="15" x14ac:dyDescent="0.25">
      <c r="O757" s="274"/>
    </row>
    <row r="758" spans="15:15" ht="15" x14ac:dyDescent="0.25">
      <c r="O758" s="274"/>
    </row>
    <row r="759" spans="15:15" ht="15" x14ac:dyDescent="0.25">
      <c r="O759" s="274"/>
    </row>
    <row r="760" spans="15:15" ht="15" x14ac:dyDescent="0.25">
      <c r="O760" s="274"/>
    </row>
    <row r="761" spans="15:15" ht="15" x14ac:dyDescent="0.25">
      <c r="O761" s="274"/>
    </row>
    <row r="762" spans="15:15" ht="15" x14ac:dyDescent="0.25">
      <c r="O762" s="274"/>
    </row>
    <row r="763" spans="15:15" ht="15" x14ac:dyDescent="0.25">
      <c r="O763" s="274"/>
    </row>
    <row r="764" spans="15:15" ht="15" x14ac:dyDescent="0.25">
      <c r="O764" s="274"/>
    </row>
    <row r="765" spans="15:15" ht="15" x14ac:dyDescent="0.25">
      <c r="O765" s="274"/>
    </row>
    <row r="766" spans="15:15" ht="15" x14ac:dyDescent="0.25">
      <c r="O766" s="274"/>
    </row>
    <row r="767" spans="15:15" ht="15" x14ac:dyDescent="0.25">
      <c r="O767" s="274"/>
    </row>
    <row r="768" spans="15:15" ht="15" x14ac:dyDescent="0.25">
      <c r="O768" s="274"/>
    </row>
    <row r="769" spans="15:15" ht="15" x14ac:dyDescent="0.25">
      <c r="O769" s="274"/>
    </row>
    <row r="770" spans="15:15" ht="15" x14ac:dyDescent="0.25">
      <c r="O770" s="274"/>
    </row>
    <row r="771" spans="15:15" ht="15" x14ac:dyDescent="0.25">
      <c r="O771" s="274"/>
    </row>
    <row r="772" spans="15:15" ht="15" x14ac:dyDescent="0.25">
      <c r="O772" s="274"/>
    </row>
    <row r="773" spans="15:15" ht="15" x14ac:dyDescent="0.25">
      <c r="O773" s="274"/>
    </row>
    <row r="774" spans="15:15" ht="15" x14ac:dyDescent="0.25">
      <c r="O774" s="274"/>
    </row>
    <row r="775" spans="15:15" ht="15" x14ac:dyDescent="0.25">
      <c r="O775" s="274"/>
    </row>
    <row r="776" spans="15:15" ht="15" x14ac:dyDescent="0.25">
      <c r="O776" s="274"/>
    </row>
    <row r="777" spans="15:15" ht="15" x14ac:dyDescent="0.25">
      <c r="O777" s="274"/>
    </row>
    <row r="778" spans="15:15" ht="15" x14ac:dyDescent="0.25">
      <c r="O778" s="274"/>
    </row>
    <row r="779" spans="15:15" ht="15" x14ac:dyDescent="0.25">
      <c r="O779" s="274"/>
    </row>
    <row r="780" spans="15:15" ht="15" x14ac:dyDescent="0.25">
      <c r="O780" s="274"/>
    </row>
    <row r="781" spans="15:15" ht="15" x14ac:dyDescent="0.25">
      <c r="O781" s="274"/>
    </row>
    <row r="782" spans="15:15" ht="15" x14ac:dyDescent="0.25">
      <c r="O782" s="274"/>
    </row>
    <row r="783" spans="15:15" ht="15" x14ac:dyDescent="0.25">
      <c r="O783" s="274"/>
    </row>
    <row r="784" spans="15:15" ht="15" x14ac:dyDescent="0.25">
      <c r="O784" s="274"/>
    </row>
    <row r="785" spans="15:15" ht="15" x14ac:dyDescent="0.25">
      <c r="O785" s="274"/>
    </row>
    <row r="786" spans="15:15" ht="15" x14ac:dyDescent="0.25">
      <c r="O786" s="274"/>
    </row>
    <row r="787" spans="15:15" ht="15" x14ac:dyDescent="0.25">
      <c r="O787" s="274"/>
    </row>
    <row r="788" spans="15:15" ht="15" x14ac:dyDescent="0.25">
      <c r="O788" s="274"/>
    </row>
    <row r="789" spans="15:15" ht="15" x14ac:dyDescent="0.25">
      <c r="O789" s="274"/>
    </row>
    <row r="790" spans="15:15" ht="15" x14ac:dyDescent="0.25">
      <c r="O790" s="274"/>
    </row>
    <row r="791" spans="15:15" ht="15" x14ac:dyDescent="0.25">
      <c r="O791" s="274"/>
    </row>
    <row r="792" spans="15:15" ht="15" x14ac:dyDescent="0.25">
      <c r="O792" s="274"/>
    </row>
    <row r="793" spans="15:15" ht="15" x14ac:dyDescent="0.25">
      <c r="O793" s="274"/>
    </row>
    <row r="794" spans="15:15" ht="15" x14ac:dyDescent="0.25">
      <c r="O794" s="274"/>
    </row>
    <row r="795" spans="15:15" ht="15" x14ac:dyDescent="0.25">
      <c r="O795" s="274"/>
    </row>
    <row r="796" spans="15:15" ht="15" x14ac:dyDescent="0.25">
      <c r="O796" s="274"/>
    </row>
    <row r="797" spans="15:15" ht="15" x14ac:dyDescent="0.25">
      <c r="O797" s="274"/>
    </row>
    <row r="798" spans="15:15" ht="15" x14ac:dyDescent="0.25">
      <c r="O798" s="274"/>
    </row>
    <row r="799" spans="15:15" ht="15" x14ac:dyDescent="0.25">
      <c r="O799" s="274"/>
    </row>
    <row r="800" spans="15:15" ht="15" x14ac:dyDescent="0.25">
      <c r="O800" s="274"/>
    </row>
    <row r="801" spans="15:15" ht="15" x14ac:dyDescent="0.25">
      <c r="O801" s="274"/>
    </row>
    <row r="802" spans="15:15" ht="15" x14ac:dyDescent="0.25">
      <c r="O802" s="274"/>
    </row>
    <row r="803" spans="15:15" ht="15" x14ac:dyDescent="0.25">
      <c r="O803" s="274"/>
    </row>
    <row r="804" spans="15:15" ht="15" x14ac:dyDescent="0.25">
      <c r="O804" s="274"/>
    </row>
    <row r="805" spans="15:15" ht="15" x14ac:dyDescent="0.25">
      <c r="O805" s="274"/>
    </row>
    <row r="806" spans="15:15" ht="15" x14ac:dyDescent="0.25">
      <c r="O806" s="274"/>
    </row>
    <row r="807" spans="15:15" ht="15" x14ac:dyDescent="0.25">
      <c r="O807" s="274"/>
    </row>
    <row r="808" spans="15:15" ht="15" x14ac:dyDescent="0.25">
      <c r="O808" s="274"/>
    </row>
    <row r="809" spans="15:15" ht="15" x14ac:dyDescent="0.25">
      <c r="O809" s="274"/>
    </row>
    <row r="810" spans="15:15" ht="15" x14ac:dyDescent="0.25">
      <c r="O810" s="274"/>
    </row>
    <row r="811" spans="15:15" ht="15" x14ac:dyDescent="0.25">
      <c r="O811" s="274"/>
    </row>
    <row r="812" spans="15:15" ht="15" x14ac:dyDescent="0.25">
      <c r="O812" s="274"/>
    </row>
    <row r="813" spans="15:15" ht="15" x14ac:dyDescent="0.25">
      <c r="O813" s="274"/>
    </row>
    <row r="814" spans="15:15" ht="15" x14ac:dyDescent="0.25">
      <c r="O814" s="274"/>
    </row>
    <row r="815" spans="15:15" ht="15" x14ac:dyDescent="0.25">
      <c r="O815" s="274"/>
    </row>
    <row r="816" spans="15:15" ht="15" x14ac:dyDescent="0.25">
      <c r="O816" s="274"/>
    </row>
    <row r="817" spans="15:15" ht="15" x14ac:dyDescent="0.25">
      <c r="O817" s="274"/>
    </row>
    <row r="818" spans="15:15" ht="15" x14ac:dyDescent="0.25">
      <c r="O818" s="274"/>
    </row>
    <row r="819" spans="15:15" ht="15" x14ac:dyDescent="0.25">
      <c r="O819" s="274"/>
    </row>
    <row r="820" spans="15:15" ht="15" x14ac:dyDescent="0.25">
      <c r="O820" s="274"/>
    </row>
    <row r="821" spans="15:15" ht="15" x14ac:dyDescent="0.25">
      <c r="O821" s="274"/>
    </row>
    <row r="822" spans="15:15" ht="15" x14ac:dyDescent="0.25">
      <c r="O822" s="274"/>
    </row>
    <row r="823" spans="15:15" ht="15" x14ac:dyDescent="0.25">
      <c r="O823" s="274"/>
    </row>
    <row r="824" spans="15:15" ht="15" x14ac:dyDescent="0.25">
      <c r="O824" s="274"/>
    </row>
    <row r="825" spans="15:15" ht="15" x14ac:dyDescent="0.25">
      <c r="O825" s="274"/>
    </row>
    <row r="826" spans="15:15" ht="15" x14ac:dyDescent="0.25">
      <c r="O826" s="274"/>
    </row>
    <row r="827" spans="15:15" ht="15" x14ac:dyDescent="0.25">
      <c r="O827" s="274"/>
    </row>
    <row r="828" spans="15:15" ht="15" x14ac:dyDescent="0.25">
      <c r="O828" s="274"/>
    </row>
    <row r="829" spans="15:15" ht="15" x14ac:dyDescent="0.25">
      <c r="O829" s="274"/>
    </row>
    <row r="830" spans="15:15" ht="15" x14ac:dyDescent="0.25">
      <c r="O830" s="274"/>
    </row>
    <row r="831" spans="15:15" ht="15" x14ac:dyDescent="0.25">
      <c r="O831" s="274"/>
    </row>
    <row r="832" spans="15:15" ht="15" x14ac:dyDescent="0.25">
      <c r="O832" s="274"/>
    </row>
    <row r="833" spans="15:15" ht="15" x14ac:dyDescent="0.25">
      <c r="O833" s="274"/>
    </row>
    <row r="834" spans="15:15" ht="15" x14ac:dyDescent="0.25">
      <c r="O834" s="274"/>
    </row>
    <row r="835" spans="15:15" ht="15" x14ac:dyDescent="0.25">
      <c r="O835" s="274"/>
    </row>
    <row r="836" spans="15:15" ht="15" x14ac:dyDescent="0.25">
      <c r="O836" s="274"/>
    </row>
    <row r="837" spans="15:15" ht="15" x14ac:dyDescent="0.25">
      <c r="O837" s="274"/>
    </row>
    <row r="838" spans="15:15" ht="15" x14ac:dyDescent="0.25">
      <c r="O838" s="274"/>
    </row>
    <row r="839" spans="15:15" ht="15" x14ac:dyDescent="0.25">
      <c r="O839" s="274"/>
    </row>
    <row r="840" spans="15:15" ht="15" x14ac:dyDescent="0.25">
      <c r="O840" s="274"/>
    </row>
    <row r="841" spans="15:15" ht="15" x14ac:dyDescent="0.25">
      <c r="O841" s="274"/>
    </row>
    <row r="842" spans="15:15" ht="15" x14ac:dyDescent="0.25">
      <c r="O842" s="274"/>
    </row>
    <row r="843" spans="15:15" ht="15" x14ac:dyDescent="0.25">
      <c r="O843" s="274"/>
    </row>
    <row r="844" spans="15:15" ht="15" x14ac:dyDescent="0.25">
      <c r="O844" s="274"/>
    </row>
    <row r="845" spans="15:15" ht="15" x14ac:dyDescent="0.25">
      <c r="O845" s="274"/>
    </row>
    <row r="846" spans="15:15" ht="15" x14ac:dyDescent="0.25">
      <c r="O846" s="274"/>
    </row>
    <row r="847" spans="15:15" ht="15" x14ac:dyDescent="0.25">
      <c r="O847" s="274"/>
    </row>
    <row r="848" spans="15:15" ht="15" x14ac:dyDescent="0.25">
      <c r="O848" s="274"/>
    </row>
    <row r="849" spans="15:15" ht="15" x14ac:dyDescent="0.25">
      <c r="O849" s="274"/>
    </row>
    <row r="850" spans="15:15" ht="15" x14ac:dyDescent="0.25">
      <c r="O850" s="274"/>
    </row>
    <row r="851" spans="15:15" ht="15" x14ac:dyDescent="0.25">
      <c r="O851" s="274"/>
    </row>
    <row r="852" spans="15:15" ht="15" x14ac:dyDescent="0.25">
      <c r="O852" s="274"/>
    </row>
    <row r="853" spans="15:15" ht="15" x14ac:dyDescent="0.25">
      <c r="O853" s="274"/>
    </row>
    <row r="854" spans="15:15" ht="15" x14ac:dyDescent="0.25">
      <c r="O854" s="274"/>
    </row>
    <row r="855" spans="15:15" ht="15" x14ac:dyDescent="0.25">
      <c r="O855" s="274"/>
    </row>
    <row r="856" spans="15:15" ht="15" x14ac:dyDescent="0.25">
      <c r="O856" s="274"/>
    </row>
    <row r="857" spans="15:15" ht="15" x14ac:dyDescent="0.25">
      <c r="O857" s="274"/>
    </row>
    <row r="858" spans="15:15" ht="15" x14ac:dyDescent="0.25">
      <c r="O858" s="274"/>
    </row>
    <row r="859" spans="15:15" ht="15" x14ac:dyDescent="0.25">
      <c r="O859" s="274"/>
    </row>
    <row r="860" spans="15:15" ht="15" x14ac:dyDescent="0.25">
      <c r="O860" s="274"/>
    </row>
    <row r="861" spans="15:15" ht="15" x14ac:dyDescent="0.25">
      <c r="O861" s="274"/>
    </row>
    <row r="862" spans="15:15" ht="15" x14ac:dyDescent="0.25">
      <c r="O862" s="274"/>
    </row>
    <row r="863" spans="15:15" ht="15" x14ac:dyDescent="0.25">
      <c r="O863" s="274"/>
    </row>
    <row r="864" spans="15:15" ht="15" x14ac:dyDescent="0.25">
      <c r="O864" s="274"/>
    </row>
    <row r="865" spans="15:15" ht="15" x14ac:dyDescent="0.25">
      <c r="O865" s="274"/>
    </row>
    <row r="866" spans="15:15" ht="15" x14ac:dyDescent="0.25">
      <c r="O866" s="274"/>
    </row>
    <row r="867" spans="15:15" ht="15" x14ac:dyDescent="0.25">
      <c r="O867" s="274"/>
    </row>
    <row r="868" spans="15:15" ht="15" x14ac:dyDescent="0.25">
      <c r="O868" s="274"/>
    </row>
    <row r="869" spans="15:15" ht="15" x14ac:dyDescent="0.25">
      <c r="O869" s="274"/>
    </row>
    <row r="870" spans="15:15" ht="15" x14ac:dyDescent="0.25">
      <c r="O870" s="274"/>
    </row>
    <row r="871" spans="15:15" ht="15" x14ac:dyDescent="0.25">
      <c r="O871" s="274"/>
    </row>
    <row r="872" spans="15:15" ht="15" x14ac:dyDescent="0.25">
      <c r="O872" s="274"/>
    </row>
    <row r="873" spans="15:15" ht="15" x14ac:dyDescent="0.25">
      <c r="O873" s="274"/>
    </row>
    <row r="874" spans="15:15" ht="15" x14ac:dyDescent="0.25">
      <c r="O874" s="274"/>
    </row>
    <row r="875" spans="15:15" ht="15" x14ac:dyDescent="0.25">
      <c r="O875" s="274"/>
    </row>
    <row r="876" spans="15:15" ht="15" x14ac:dyDescent="0.25">
      <c r="O876" s="274"/>
    </row>
    <row r="877" spans="15:15" ht="15" x14ac:dyDescent="0.25">
      <c r="O877" s="274"/>
    </row>
    <row r="878" spans="15:15" ht="15" x14ac:dyDescent="0.25">
      <c r="O878" s="274"/>
    </row>
    <row r="879" spans="15:15" ht="15" x14ac:dyDescent="0.25">
      <c r="O879" s="274"/>
    </row>
    <row r="880" spans="15:15" ht="15" x14ac:dyDescent="0.25">
      <c r="O880" s="274"/>
    </row>
    <row r="881" spans="15:15" ht="15" x14ac:dyDescent="0.25">
      <c r="O881" s="274"/>
    </row>
    <row r="882" spans="15:15" ht="15" x14ac:dyDescent="0.25">
      <c r="O882" s="274"/>
    </row>
    <row r="883" spans="15:15" ht="15" x14ac:dyDescent="0.25">
      <c r="O883" s="274"/>
    </row>
    <row r="884" spans="15:15" ht="15" x14ac:dyDescent="0.25">
      <c r="O884" s="274"/>
    </row>
    <row r="885" spans="15:15" ht="15" x14ac:dyDescent="0.25">
      <c r="O885" s="274"/>
    </row>
    <row r="886" spans="15:15" ht="15" x14ac:dyDescent="0.25">
      <c r="O886" s="274"/>
    </row>
    <row r="887" spans="15:15" ht="15" x14ac:dyDescent="0.25">
      <c r="O887" s="274"/>
    </row>
    <row r="888" spans="15:15" ht="15" x14ac:dyDescent="0.25">
      <c r="O888" s="274"/>
    </row>
    <row r="889" spans="15:15" ht="15" x14ac:dyDescent="0.25">
      <c r="O889" s="274"/>
    </row>
    <row r="890" spans="15:15" ht="15" x14ac:dyDescent="0.25">
      <c r="O890" s="274"/>
    </row>
    <row r="891" spans="15:15" ht="15" x14ac:dyDescent="0.25">
      <c r="O891" s="274"/>
    </row>
    <row r="892" spans="15:15" ht="15" x14ac:dyDescent="0.25">
      <c r="O892" s="274"/>
    </row>
    <row r="893" spans="15:15" ht="15" x14ac:dyDescent="0.25">
      <c r="O893" s="274"/>
    </row>
    <row r="894" spans="15:15" ht="15" x14ac:dyDescent="0.25">
      <c r="O894" s="274"/>
    </row>
    <row r="895" spans="15:15" ht="15" x14ac:dyDescent="0.25">
      <c r="O895" s="274"/>
    </row>
    <row r="896" spans="15:15" ht="15" x14ac:dyDescent="0.25">
      <c r="O896" s="274"/>
    </row>
    <row r="897" spans="15:15" ht="15" x14ac:dyDescent="0.25">
      <c r="O897" s="274"/>
    </row>
    <row r="898" spans="15:15" ht="15" x14ac:dyDescent="0.25">
      <c r="O898" s="274"/>
    </row>
    <row r="899" spans="15:15" ht="15" x14ac:dyDescent="0.25">
      <c r="O899" s="274"/>
    </row>
    <row r="900" spans="15:15" ht="15" x14ac:dyDescent="0.25">
      <c r="O900" s="274"/>
    </row>
    <row r="901" spans="15:15" ht="15" x14ac:dyDescent="0.25">
      <c r="O901" s="274"/>
    </row>
    <row r="902" spans="15:15" ht="15" x14ac:dyDescent="0.25">
      <c r="O902" s="274"/>
    </row>
    <row r="903" spans="15:15" ht="15" x14ac:dyDescent="0.25">
      <c r="O903" s="274"/>
    </row>
    <row r="904" spans="15:15" ht="15" x14ac:dyDescent="0.25">
      <c r="O904" s="274"/>
    </row>
    <row r="905" spans="15:15" ht="15" x14ac:dyDescent="0.25">
      <c r="O905" s="274"/>
    </row>
    <row r="906" spans="15:15" ht="15" x14ac:dyDescent="0.25">
      <c r="O906" s="274"/>
    </row>
    <row r="907" spans="15:15" ht="15" x14ac:dyDescent="0.25">
      <c r="O907" s="274"/>
    </row>
    <row r="908" spans="15:15" ht="15" x14ac:dyDescent="0.25">
      <c r="O908" s="274"/>
    </row>
    <row r="909" spans="15:15" ht="15" x14ac:dyDescent="0.25">
      <c r="O909" s="274"/>
    </row>
    <row r="910" spans="15:15" ht="15" x14ac:dyDescent="0.25">
      <c r="O910" s="274"/>
    </row>
    <row r="911" spans="15:15" ht="15" x14ac:dyDescent="0.25">
      <c r="O911" s="274"/>
    </row>
    <row r="912" spans="15:15" ht="15" x14ac:dyDescent="0.25">
      <c r="O912" s="274"/>
    </row>
    <row r="913" spans="15:15" ht="15" x14ac:dyDescent="0.25">
      <c r="O913" s="274"/>
    </row>
    <row r="914" spans="15:15" ht="15" x14ac:dyDescent="0.25">
      <c r="O914" s="274"/>
    </row>
    <row r="915" spans="15:15" ht="15" x14ac:dyDescent="0.25">
      <c r="O915" s="274"/>
    </row>
    <row r="916" spans="15:15" ht="15" x14ac:dyDescent="0.25">
      <c r="O916" s="274"/>
    </row>
    <row r="917" spans="15:15" ht="15" x14ac:dyDescent="0.25">
      <c r="O917" s="274"/>
    </row>
    <row r="918" spans="15:15" ht="15" x14ac:dyDescent="0.25">
      <c r="O918" s="274"/>
    </row>
    <row r="919" spans="15:15" ht="15" x14ac:dyDescent="0.25">
      <c r="O919" s="274"/>
    </row>
    <row r="920" spans="15:15" ht="15" x14ac:dyDescent="0.25">
      <c r="O920" s="274"/>
    </row>
    <row r="921" spans="15:15" ht="15" x14ac:dyDescent="0.25">
      <c r="O921" s="274"/>
    </row>
    <row r="922" spans="15:15" ht="15" x14ac:dyDescent="0.25">
      <c r="O922" s="274"/>
    </row>
    <row r="923" spans="15:15" ht="15" x14ac:dyDescent="0.25">
      <c r="O923" s="274"/>
    </row>
    <row r="924" spans="15:15" ht="15" x14ac:dyDescent="0.25">
      <c r="O924" s="274"/>
    </row>
    <row r="925" spans="15:15" ht="15" x14ac:dyDescent="0.25">
      <c r="O925" s="274"/>
    </row>
    <row r="926" spans="15:15" ht="15" x14ac:dyDescent="0.25">
      <c r="O926" s="274"/>
    </row>
    <row r="927" spans="15:15" ht="15" x14ac:dyDescent="0.25">
      <c r="O927" s="274"/>
    </row>
    <row r="928" spans="15:15" ht="15" x14ac:dyDescent="0.25">
      <c r="O928" s="274"/>
    </row>
    <row r="929" spans="15:15" ht="15" x14ac:dyDescent="0.25">
      <c r="O929" s="274"/>
    </row>
    <row r="930" spans="15:15" ht="15" x14ac:dyDescent="0.25">
      <c r="O930" s="274"/>
    </row>
    <row r="931" spans="15:15" ht="15" x14ac:dyDescent="0.25">
      <c r="O931" s="274"/>
    </row>
    <row r="932" spans="15:15" ht="15" x14ac:dyDescent="0.25">
      <c r="O932" s="274"/>
    </row>
    <row r="933" spans="15:15" ht="15" x14ac:dyDescent="0.25">
      <c r="O933" s="274"/>
    </row>
    <row r="934" spans="15:15" ht="15" x14ac:dyDescent="0.25">
      <c r="O934" s="274"/>
    </row>
    <row r="935" spans="15:15" ht="15" x14ac:dyDescent="0.25">
      <c r="O935" s="274"/>
    </row>
    <row r="936" spans="15:15" ht="15" x14ac:dyDescent="0.25">
      <c r="O936" s="274"/>
    </row>
    <row r="937" spans="15:15" ht="15" x14ac:dyDescent="0.25">
      <c r="O937" s="274"/>
    </row>
    <row r="938" spans="15:15" ht="15" x14ac:dyDescent="0.25">
      <c r="O938" s="274"/>
    </row>
    <row r="939" spans="15:15" ht="15" x14ac:dyDescent="0.25">
      <c r="O939" s="274"/>
    </row>
    <row r="940" spans="15:15" ht="15" x14ac:dyDescent="0.25">
      <c r="O940" s="274"/>
    </row>
    <row r="941" spans="15:15" ht="15" x14ac:dyDescent="0.25">
      <c r="O941" s="274"/>
    </row>
    <row r="942" spans="15:15" ht="15" x14ac:dyDescent="0.25">
      <c r="O942" s="274"/>
    </row>
    <row r="943" spans="15:15" ht="15" x14ac:dyDescent="0.25">
      <c r="O943" s="274"/>
    </row>
    <row r="944" spans="15:15" ht="15" x14ac:dyDescent="0.25">
      <c r="O944" s="274"/>
    </row>
    <row r="945" spans="15:15" ht="15" x14ac:dyDescent="0.25">
      <c r="O945" s="274"/>
    </row>
    <row r="946" spans="15:15" ht="15" x14ac:dyDescent="0.25">
      <c r="O946" s="274"/>
    </row>
    <row r="947" spans="15:15" ht="15" x14ac:dyDescent="0.25">
      <c r="O947" s="274"/>
    </row>
    <row r="948" spans="15:15" ht="15" x14ac:dyDescent="0.25">
      <c r="O948" s="274"/>
    </row>
    <row r="949" spans="15:15" ht="15" x14ac:dyDescent="0.25">
      <c r="O949" s="274"/>
    </row>
    <row r="950" spans="15:15" ht="15" x14ac:dyDescent="0.25">
      <c r="O950" s="274"/>
    </row>
    <row r="951" spans="15:15" ht="15" x14ac:dyDescent="0.25">
      <c r="O951" s="274"/>
    </row>
    <row r="952" spans="15:15" ht="15" x14ac:dyDescent="0.25">
      <c r="O952" s="274"/>
    </row>
    <row r="953" spans="15:15" ht="15" x14ac:dyDescent="0.25">
      <c r="O953" s="274"/>
    </row>
    <row r="954" spans="15:15" ht="15" x14ac:dyDescent="0.25">
      <c r="O954" s="274"/>
    </row>
    <row r="955" spans="15:15" ht="15" x14ac:dyDescent="0.25">
      <c r="O955" s="274"/>
    </row>
    <row r="956" spans="15:15" ht="15" x14ac:dyDescent="0.25">
      <c r="O956" s="274"/>
    </row>
    <row r="957" spans="15:15" ht="15" x14ac:dyDescent="0.25">
      <c r="O957" s="274"/>
    </row>
    <row r="958" spans="15:15" ht="15" x14ac:dyDescent="0.25">
      <c r="O958" s="274"/>
    </row>
    <row r="959" spans="15:15" ht="15" x14ac:dyDescent="0.25">
      <c r="O959" s="274"/>
    </row>
    <row r="960" spans="15:15" ht="15" x14ac:dyDescent="0.25">
      <c r="O960" s="274"/>
    </row>
    <row r="961" spans="15:15" ht="15" x14ac:dyDescent="0.25">
      <c r="O961" s="274"/>
    </row>
    <row r="962" spans="15:15" ht="15" x14ac:dyDescent="0.25">
      <c r="O962" s="274"/>
    </row>
    <row r="963" spans="15:15" ht="15" x14ac:dyDescent="0.25">
      <c r="O963" s="274"/>
    </row>
    <row r="964" spans="15:15" ht="15" x14ac:dyDescent="0.25">
      <c r="O964" s="274"/>
    </row>
    <row r="965" spans="15:15" ht="15" x14ac:dyDescent="0.25">
      <c r="O965" s="274"/>
    </row>
    <row r="966" spans="15:15" ht="15" x14ac:dyDescent="0.25">
      <c r="O966" s="274"/>
    </row>
    <row r="967" spans="15:15" ht="15" x14ac:dyDescent="0.25">
      <c r="O967" s="274"/>
    </row>
    <row r="968" spans="15:15" ht="15" x14ac:dyDescent="0.25">
      <c r="O968" s="274"/>
    </row>
    <row r="969" spans="15:15" ht="15" x14ac:dyDescent="0.25">
      <c r="O969" s="274"/>
    </row>
    <row r="970" spans="15:15" ht="15" x14ac:dyDescent="0.25">
      <c r="O970" s="274"/>
    </row>
    <row r="971" spans="15:15" ht="15" x14ac:dyDescent="0.25">
      <c r="O971" s="274"/>
    </row>
    <row r="972" spans="15:15" ht="15" x14ac:dyDescent="0.25">
      <c r="O972" s="274"/>
    </row>
    <row r="973" spans="15:15" ht="15" x14ac:dyDescent="0.25">
      <c r="O973" s="274"/>
    </row>
    <row r="974" spans="15:15" ht="15" x14ac:dyDescent="0.25">
      <c r="O974" s="274"/>
    </row>
    <row r="975" spans="15:15" ht="15" x14ac:dyDescent="0.25">
      <c r="O975" s="274"/>
    </row>
    <row r="976" spans="15:15" ht="15" x14ac:dyDescent="0.25">
      <c r="O976" s="274"/>
    </row>
    <row r="977" spans="15:15" ht="15" x14ac:dyDescent="0.25">
      <c r="O977" s="274"/>
    </row>
    <row r="978" spans="15:15" ht="15" x14ac:dyDescent="0.25">
      <c r="O978" s="274"/>
    </row>
    <row r="979" spans="15:15" ht="15" x14ac:dyDescent="0.25">
      <c r="O979" s="274"/>
    </row>
    <row r="980" spans="15:15" ht="15" x14ac:dyDescent="0.25">
      <c r="O980" s="274"/>
    </row>
    <row r="981" spans="15:15" ht="15" x14ac:dyDescent="0.25">
      <c r="O981" s="274"/>
    </row>
    <row r="982" spans="15:15" ht="15" x14ac:dyDescent="0.25">
      <c r="O982" s="274"/>
    </row>
    <row r="983" spans="15:15" ht="15" x14ac:dyDescent="0.25">
      <c r="O983" s="274"/>
    </row>
    <row r="984" spans="15:15" ht="15" x14ac:dyDescent="0.25">
      <c r="O984" s="274"/>
    </row>
    <row r="985" spans="15:15" ht="15" x14ac:dyDescent="0.25">
      <c r="O985" s="274"/>
    </row>
    <row r="986" spans="15:15" ht="15" x14ac:dyDescent="0.25">
      <c r="O986" s="274"/>
    </row>
    <row r="987" spans="15:15" ht="15" x14ac:dyDescent="0.25">
      <c r="O987" s="274"/>
    </row>
    <row r="988" spans="15:15" ht="15" x14ac:dyDescent="0.25">
      <c r="O988" s="274"/>
    </row>
    <row r="989" spans="15:15" ht="15" x14ac:dyDescent="0.25">
      <c r="O989" s="274"/>
    </row>
    <row r="990" spans="15:15" ht="15" x14ac:dyDescent="0.25">
      <c r="O990" s="274"/>
    </row>
    <row r="991" spans="15:15" ht="15" x14ac:dyDescent="0.25">
      <c r="O991" s="274"/>
    </row>
    <row r="992" spans="15:15" ht="15" x14ac:dyDescent="0.25">
      <c r="O992" s="274"/>
    </row>
    <row r="993" spans="15:15" ht="15" x14ac:dyDescent="0.25">
      <c r="O993" s="274"/>
    </row>
    <row r="994" spans="15:15" ht="15" x14ac:dyDescent="0.25">
      <c r="O994" s="274"/>
    </row>
    <row r="995" spans="15:15" ht="15" x14ac:dyDescent="0.25">
      <c r="O995" s="274"/>
    </row>
    <row r="996" spans="15:15" ht="15" x14ac:dyDescent="0.25">
      <c r="O996" s="274"/>
    </row>
    <row r="997" spans="15:15" ht="15" x14ac:dyDescent="0.25">
      <c r="O997" s="274"/>
    </row>
    <row r="998" spans="15:15" ht="15" x14ac:dyDescent="0.25">
      <c r="O998" s="274"/>
    </row>
    <row r="999" spans="15:15" ht="15" x14ac:dyDescent="0.25">
      <c r="O999" s="274"/>
    </row>
    <row r="1000" spans="15:15" ht="15" x14ac:dyDescent="0.25">
      <c r="O1000" s="274"/>
    </row>
    <row r="1001" spans="15:15" ht="15" x14ac:dyDescent="0.25">
      <c r="O1001" s="274"/>
    </row>
    <row r="1002" spans="15:15" ht="15" x14ac:dyDescent="0.25">
      <c r="O1002" s="274"/>
    </row>
    <row r="1003" spans="15:15" ht="15" x14ac:dyDescent="0.25">
      <c r="O1003" s="274"/>
    </row>
    <row r="1004" spans="15:15" ht="15" x14ac:dyDescent="0.25">
      <c r="O1004" s="274"/>
    </row>
    <row r="1005" spans="15:15" ht="15" x14ac:dyDescent="0.25">
      <c r="O1005" s="274"/>
    </row>
    <row r="1006" spans="15:15" ht="15" x14ac:dyDescent="0.25">
      <c r="O1006" s="274"/>
    </row>
    <row r="1007" spans="15:15" ht="15" x14ac:dyDescent="0.25">
      <c r="O1007" s="274"/>
    </row>
    <row r="1008" spans="15:15" ht="15" x14ac:dyDescent="0.25">
      <c r="O1008" s="274"/>
    </row>
    <row r="1009" spans="15:15" ht="15" x14ac:dyDescent="0.25">
      <c r="O1009" s="274"/>
    </row>
    <row r="1010" spans="15:15" ht="15" x14ac:dyDescent="0.25">
      <c r="O1010" s="274"/>
    </row>
    <row r="1011" spans="15:15" ht="15" x14ac:dyDescent="0.25">
      <c r="O1011" s="274"/>
    </row>
    <row r="1012" spans="15:15" ht="15" x14ac:dyDescent="0.25">
      <c r="O1012" s="274"/>
    </row>
    <row r="1013" spans="15:15" ht="15" x14ac:dyDescent="0.25">
      <c r="O1013" s="274"/>
    </row>
    <row r="1014" spans="15:15" ht="15" x14ac:dyDescent="0.25">
      <c r="O1014" s="274"/>
    </row>
    <row r="1015" spans="15:15" ht="15" x14ac:dyDescent="0.25">
      <c r="O1015" s="274"/>
    </row>
    <row r="1016" spans="15:15" ht="15" x14ac:dyDescent="0.25">
      <c r="O1016" s="274"/>
    </row>
    <row r="1017" spans="15:15" ht="15" x14ac:dyDescent="0.25">
      <c r="O1017" s="274"/>
    </row>
    <row r="1018" spans="15:15" ht="15" x14ac:dyDescent="0.25">
      <c r="O1018" s="274"/>
    </row>
    <row r="1019" spans="15:15" ht="15" x14ac:dyDescent="0.25">
      <c r="O1019" s="274"/>
    </row>
    <row r="1020" spans="15:15" ht="15" x14ac:dyDescent="0.25">
      <c r="O1020" s="274"/>
    </row>
    <row r="1021" spans="15:15" ht="15" x14ac:dyDescent="0.25">
      <c r="O1021" s="274"/>
    </row>
    <row r="1022" spans="15:15" ht="15" x14ac:dyDescent="0.25">
      <c r="O1022" s="274"/>
    </row>
    <row r="1023" spans="15:15" ht="15" x14ac:dyDescent="0.25">
      <c r="O1023" s="274"/>
    </row>
    <row r="1024" spans="15:15" ht="15" x14ac:dyDescent="0.25">
      <c r="O1024" s="274"/>
    </row>
    <row r="1025" spans="15:15" ht="15" x14ac:dyDescent="0.25">
      <c r="O1025" s="274"/>
    </row>
    <row r="1026" spans="15:15" ht="15" x14ac:dyDescent="0.25">
      <c r="O1026" s="274"/>
    </row>
    <row r="1027" spans="15:15" ht="15" x14ac:dyDescent="0.25">
      <c r="O1027" s="274"/>
    </row>
    <row r="1028" spans="15:15" ht="15" x14ac:dyDescent="0.25">
      <c r="O1028" s="274"/>
    </row>
    <row r="1029" spans="15:15" ht="15" x14ac:dyDescent="0.25">
      <c r="O1029" s="274"/>
    </row>
    <row r="1030" spans="15:15" ht="15" x14ac:dyDescent="0.25">
      <c r="O1030" s="274"/>
    </row>
    <row r="1031" spans="15:15" ht="15" x14ac:dyDescent="0.25">
      <c r="O1031" s="274"/>
    </row>
    <row r="1032" spans="15:15" ht="15" x14ac:dyDescent="0.25">
      <c r="O1032" s="274"/>
    </row>
    <row r="1033" spans="15:15" ht="15" x14ac:dyDescent="0.25">
      <c r="O1033" s="274"/>
    </row>
    <row r="1034" spans="15:15" ht="15" x14ac:dyDescent="0.25">
      <c r="O1034" s="274"/>
    </row>
    <row r="1035" spans="15:15" ht="15" x14ac:dyDescent="0.25">
      <c r="O1035" s="274"/>
    </row>
    <row r="1036" spans="15:15" ht="15" x14ac:dyDescent="0.25">
      <c r="O1036" s="274"/>
    </row>
    <row r="1037" spans="15:15" ht="15" x14ac:dyDescent="0.25">
      <c r="O1037" s="274"/>
    </row>
    <row r="1038" spans="15:15" ht="15" x14ac:dyDescent="0.25">
      <c r="O1038" s="274"/>
    </row>
    <row r="1039" spans="15:15" ht="15" x14ac:dyDescent="0.25">
      <c r="O1039" s="274"/>
    </row>
    <row r="1040" spans="15:15" ht="15" x14ac:dyDescent="0.25">
      <c r="O1040" s="274"/>
    </row>
    <row r="1041" spans="15:15" ht="15" x14ac:dyDescent="0.25">
      <c r="O1041" s="274"/>
    </row>
    <row r="1042" spans="15:15" ht="15" x14ac:dyDescent="0.25">
      <c r="O1042" s="274"/>
    </row>
    <row r="1043" spans="15:15" ht="15" x14ac:dyDescent="0.25">
      <c r="O1043" s="274"/>
    </row>
    <row r="1044" spans="15:15" ht="15" x14ac:dyDescent="0.25">
      <c r="O1044" s="274"/>
    </row>
    <row r="1045" spans="15:15" ht="15" x14ac:dyDescent="0.25">
      <c r="O1045" s="274"/>
    </row>
    <row r="1046" spans="15:15" ht="15" x14ac:dyDescent="0.25">
      <c r="O1046" s="274"/>
    </row>
    <row r="1047" spans="15:15" ht="15" x14ac:dyDescent="0.25">
      <c r="O1047" s="274"/>
    </row>
    <row r="1048" spans="15:15" ht="15" x14ac:dyDescent="0.25">
      <c r="O1048" s="274"/>
    </row>
    <row r="1049" spans="15:15" ht="15" x14ac:dyDescent="0.25">
      <c r="O1049" s="274"/>
    </row>
    <row r="1050" spans="15:15" ht="15" x14ac:dyDescent="0.25">
      <c r="O1050" s="274"/>
    </row>
    <row r="1051" spans="15:15" ht="15" x14ac:dyDescent="0.25">
      <c r="O1051" s="274"/>
    </row>
    <row r="1052" spans="15:15" ht="15" x14ac:dyDescent="0.25">
      <c r="O1052" s="274"/>
    </row>
    <row r="1053" spans="15:15" ht="15" x14ac:dyDescent="0.25">
      <c r="O1053" s="274"/>
    </row>
    <row r="1054" spans="15:15" ht="15" x14ac:dyDescent="0.25">
      <c r="O1054" s="274"/>
    </row>
    <row r="1055" spans="15:15" ht="15" x14ac:dyDescent="0.25">
      <c r="O1055" s="274"/>
    </row>
    <row r="1056" spans="15:15" ht="15" x14ac:dyDescent="0.25">
      <c r="O1056" s="274"/>
    </row>
    <row r="1057" spans="15:15" ht="15" x14ac:dyDescent="0.25">
      <c r="O1057" s="274"/>
    </row>
    <row r="1058" spans="15:15" ht="15" x14ac:dyDescent="0.25">
      <c r="O1058" s="274"/>
    </row>
    <row r="1059" spans="15:15" ht="15" x14ac:dyDescent="0.25">
      <c r="O1059" s="274"/>
    </row>
    <row r="1060" spans="15:15" ht="15" x14ac:dyDescent="0.25">
      <c r="O1060" s="274"/>
    </row>
    <row r="1061" spans="15:15" ht="15" x14ac:dyDescent="0.25">
      <c r="O1061" s="274"/>
    </row>
    <row r="1062" spans="15:15" ht="15" x14ac:dyDescent="0.25">
      <c r="O1062" s="274"/>
    </row>
    <row r="1063" spans="15:15" ht="15" x14ac:dyDescent="0.25">
      <c r="O1063" s="274"/>
    </row>
    <row r="1064" spans="15:15" ht="15" x14ac:dyDescent="0.25">
      <c r="O1064" s="274"/>
    </row>
    <row r="1065" spans="15:15" ht="15" x14ac:dyDescent="0.25">
      <c r="O1065" s="274"/>
    </row>
    <row r="1066" spans="15:15" ht="15" x14ac:dyDescent="0.25">
      <c r="O1066" s="274"/>
    </row>
    <row r="1067" spans="15:15" ht="15" x14ac:dyDescent="0.25">
      <c r="O1067" s="274"/>
    </row>
    <row r="1068" spans="15:15" ht="15" x14ac:dyDescent="0.25">
      <c r="O1068" s="274"/>
    </row>
    <row r="1069" spans="15:15" ht="15" x14ac:dyDescent="0.25">
      <c r="O1069" s="274"/>
    </row>
    <row r="1070" spans="15:15" ht="15" x14ac:dyDescent="0.25">
      <c r="O1070" s="274"/>
    </row>
    <row r="1071" spans="15:15" ht="15" x14ac:dyDescent="0.25">
      <c r="O1071" s="274"/>
    </row>
    <row r="1072" spans="15:15" ht="15" x14ac:dyDescent="0.25">
      <c r="O1072" s="274"/>
    </row>
    <row r="1073" spans="15:15" ht="15" x14ac:dyDescent="0.25">
      <c r="O1073" s="274"/>
    </row>
    <row r="1074" spans="15:15" ht="15" x14ac:dyDescent="0.25">
      <c r="O1074" s="274"/>
    </row>
    <row r="1075" spans="15:15" ht="15" x14ac:dyDescent="0.25">
      <c r="O1075" s="274"/>
    </row>
    <row r="1076" spans="15:15" ht="15" x14ac:dyDescent="0.25">
      <c r="O1076" s="274"/>
    </row>
    <row r="1077" spans="15:15" ht="15" x14ac:dyDescent="0.25">
      <c r="O1077" s="274"/>
    </row>
    <row r="1078" spans="15:15" ht="15" x14ac:dyDescent="0.25">
      <c r="O1078" s="274"/>
    </row>
    <row r="1079" spans="15:15" ht="15" x14ac:dyDescent="0.25">
      <c r="O1079" s="274"/>
    </row>
    <row r="1080" spans="15:15" ht="15" x14ac:dyDescent="0.25">
      <c r="O1080" s="274"/>
    </row>
    <row r="1081" spans="15:15" ht="15" x14ac:dyDescent="0.25">
      <c r="O1081" s="274"/>
    </row>
    <row r="1082" spans="15:15" ht="15" x14ac:dyDescent="0.25">
      <c r="O1082" s="274"/>
    </row>
    <row r="1083" spans="15:15" ht="15" x14ac:dyDescent="0.25">
      <c r="O1083" s="274"/>
    </row>
    <row r="1084" spans="15:15" ht="15" x14ac:dyDescent="0.25">
      <c r="O1084" s="274"/>
    </row>
    <row r="1085" spans="15:15" ht="15" x14ac:dyDescent="0.25">
      <c r="O1085" s="274"/>
    </row>
    <row r="1086" spans="15:15" ht="15" x14ac:dyDescent="0.25">
      <c r="O1086" s="274"/>
    </row>
    <row r="1087" spans="15:15" ht="15" x14ac:dyDescent="0.25">
      <c r="O1087" s="274"/>
    </row>
    <row r="1088" spans="15:15" ht="15" x14ac:dyDescent="0.25">
      <c r="O1088" s="274"/>
    </row>
    <row r="1089" spans="15:15" ht="15" x14ac:dyDescent="0.25">
      <c r="O1089" s="274"/>
    </row>
    <row r="1090" spans="15:15" ht="15" x14ac:dyDescent="0.25">
      <c r="O1090" s="274"/>
    </row>
    <row r="1091" spans="15:15" ht="15" x14ac:dyDescent="0.25">
      <c r="O1091" s="274"/>
    </row>
    <row r="1092" spans="15:15" ht="15" x14ac:dyDescent="0.25">
      <c r="O1092" s="274"/>
    </row>
    <row r="1093" spans="15:15" ht="15" x14ac:dyDescent="0.25">
      <c r="O1093" s="274"/>
    </row>
    <row r="1094" spans="15:15" ht="15" x14ac:dyDescent="0.25">
      <c r="O1094" s="274"/>
    </row>
    <row r="1095" spans="15:15" ht="15" x14ac:dyDescent="0.25">
      <c r="O1095" s="274"/>
    </row>
    <row r="1096" spans="15:15" ht="15" x14ac:dyDescent="0.25">
      <c r="O1096" s="274"/>
    </row>
    <row r="1097" spans="15:15" ht="15" x14ac:dyDescent="0.25">
      <c r="O1097" s="274"/>
    </row>
    <row r="1098" spans="15:15" ht="15" x14ac:dyDescent="0.25">
      <c r="O1098" s="274"/>
    </row>
    <row r="1099" spans="15:15" ht="15" x14ac:dyDescent="0.25">
      <c r="O1099" s="274"/>
    </row>
    <row r="1100" spans="15:15" ht="15" x14ac:dyDescent="0.25">
      <c r="O1100" s="274"/>
    </row>
    <row r="1101" spans="15:15" ht="15" x14ac:dyDescent="0.25">
      <c r="O1101" s="274"/>
    </row>
    <row r="1102" spans="15:15" ht="15" x14ac:dyDescent="0.25">
      <c r="O1102" s="274"/>
    </row>
    <row r="1103" spans="15:15" ht="15" x14ac:dyDescent="0.25">
      <c r="O1103" s="274"/>
    </row>
    <row r="1104" spans="15:15" ht="15" x14ac:dyDescent="0.25">
      <c r="O1104" s="274"/>
    </row>
    <row r="1105" spans="15:15" ht="15" x14ac:dyDescent="0.25">
      <c r="O1105" s="274"/>
    </row>
    <row r="1106" spans="15:15" ht="15" x14ac:dyDescent="0.25">
      <c r="O1106" s="274"/>
    </row>
    <row r="1107" spans="15:15" ht="15" x14ac:dyDescent="0.25">
      <c r="O1107" s="274"/>
    </row>
    <row r="1108" spans="15:15" ht="15" x14ac:dyDescent="0.25">
      <c r="O1108" s="274"/>
    </row>
    <row r="1109" spans="15:15" ht="15" x14ac:dyDescent="0.25">
      <c r="O1109" s="274"/>
    </row>
    <row r="1110" spans="15:15" ht="15" x14ac:dyDescent="0.25">
      <c r="O1110" s="274"/>
    </row>
    <row r="1111" spans="15:15" ht="15" x14ac:dyDescent="0.25">
      <c r="O1111" s="274"/>
    </row>
    <row r="1112" spans="15:15" ht="15" x14ac:dyDescent="0.25">
      <c r="O1112" s="274"/>
    </row>
    <row r="1113" spans="15:15" ht="15" x14ac:dyDescent="0.25">
      <c r="O1113" s="274"/>
    </row>
    <row r="1114" spans="15:15" ht="15" x14ac:dyDescent="0.25">
      <c r="O1114" s="274"/>
    </row>
    <row r="1115" spans="15:15" ht="15" x14ac:dyDescent="0.25">
      <c r="O1115" s="274"/>
    </row>
    <row r="1116" spans="15:15" ht="15" x14ac:dyDescent="0.25">
      <c r="O1116" s="274"/>
    </row>
    <row r="1117" spans="15:15" ht="15" x14ac:dyDescent="0.25">
      <c r="O1117" s="274"/>
    </row>
    <row r="1118" spans="15:15" ht="15" x14ac:dyDescent="0.25">
      <c r="O1118" s="274"/>
    </row>
    <row r="1119" spans="15:15" ht="15" x14ac:dyDescent="0.25">
      <c r="O1119" s="274"/>
    </row>
    <row r="1120" spans="15:15" ht="15" x14ac:dyDescent="0.25">
      <c r="O1120" s="274"/>
    </row>
    <row r="1121" spans="15:15" ht="15" x14ac:dyDescent="0.25">
      <c r="O1121" s="274"/>
    </row>
    <row r="1122" spans="15:15" ht="15" x14ac:dyDescent="0.25">
      <c r="O1122" s="274"/>
    </row>
    <row r="1123" spans="15:15" ht="15" x14ac:dyDescent="0.25">
      <c r="O1123" s="274"/>
    </row>
    <row r="1124" spans="15:15" ht="15" x14ac:dyDescent="0.25">
      <c r="O1124" s="274"/>
    </row>
    <row r="1125" spans="15:15" ht="15" x14ac:dyDescent="0.25">
      <c r="O1125" s="274"/>
    </row>
    <row r="1126" spans="15:15" ht="15" x14ac:dyDescent="0.25">
      <c r="O1126" s="274"/>
    </row>
    <row r="1127" spans="15:15" ht="15" x14ac:dyDescent="0.25">
      <c r="O1127" s="274"/>
    </row>
    <row r="1128" spans="15:15" ht="15" x14ac:dyDescent="0.25">
      <c r="O1128" s="274"/>
    </row>
    <row r="1129" spans="15:15" ht="15" x14ac:dyDescent="0.25">
      <c r="O1129" s="274"/>
    </row>
    <row r="1130" spans="15:15" ht="15" x14ac:dyDescent="0.25">
      <c r="O1130" s="274"/>
    </row>
    <row r="1131" spans="15:15" ht="15" x14ac:dyDescent="0.25">
      <c r="O1131" s="274"/>
    </row>
    <row r="1132" spans="15:15" ht="15" x14ac:dyDescent="0.25">
      <c r="O1132" s="274"/>
    </row>
    <row r="1133" spans="15:15" ht="15" x14ac:dyDescent="0.25">
      <c r="O1133" s="274"/>
    </row>
    <row r="1134" spans="15:15" ht="15" x14ac:dyDescent="0.25">
      <c r="O1134" s="274"/>
    </row>
    <row r="1135" spans="15:15" ht="15" x14ac:dyDescent="0.25">
      <c r="O1135" s="274"/>
    </row>
    <row r="1136" spans="15:15" ht="15" x14ac:dyDescent="0.25">
      <c r="O1136" s="274"/>
    </row>
    <row r="1137" spans="15:15" ht="15" x14ac:dyDescent="0.25">
      <c r="O1137" s="274"/>
    </row>
    <row r="1138" spans="15:15" ht="15" x14ac:dyDescent="0.25">
      <c r="O1138" s="274"/>
    </row>
    <row r="1139" spans="15:15" ht="15" x14ac:dyDescent="0.25">
      <c r="O1139" s="274"/>
    </row>
    <row r="1140" spans="15:15" ht="15" x14ac:dyDescent="0.25">
      <c r="O1140" s="274"/>
    </row>
    <row r="1141" spans="15:15" ht="15" x14ac:dyDescent="0.25">
      <c r="O1141" s="274"/>
    </row>
    <row r="1142" spans="15:15" ht="15" x14ac:dyDescent="0.25">
      <c r="O1142" s="274"/>
    </row>
    <row r="1143" spans="15:15" ht="15" x14ac:dyDescent="0.25">
      <c r="O1143" s="274"/>
    </row>
    <row r="1144" spans="15:15" ht="15" x14ac:dyDescent="0.25">
      <c r="O1144" s="274"/>
    </row>
    <row r="1145" spans="15:15" ht="15" x14ac:dyDescent="0.25">
      <c r="O1145" s="274"/>
    </row>
    <row r="1146" spans="15:15" ht="15" x14ac:dyDescent="0.25">
      <c r="O1146" s="274"/>
    </row>
    <row r="1147" spans="15:15" ht="15" x14ac:dyDescent="0.25">
      <c r="O1147" s="274"/>
    </row>
    <row r="1148" spans="15:15" ht="15" x14ac:dyDescent="0.25">
      <c r="O1148" s="274"/>
    </row>
    <row r="1149" spans="15:15" ht="15" x14ac:dyDescent="0.25">
      <c r="O1149" s="274"/>
    </row>
    <row r="1150" spans="15:15" ht="15" x14ac:dyDescent="0.25">
      <c r="O1150" s="274"/>
    </row>
    <row r="1151" spans="15:15" ht="15" x14ac:dyDescent="0.25">
      <c r="O1151" s="274"/>
    </row>
    <row r="1152" spans="15:15" ht="15" x14ac:dyDescent="0.25">
      <c r="O1152" s="274"/>
    </row>
    <row r="1153" spans="15:15" ht="15" x14ac:dyDescent="0.25">
      <c r="O1153" s="274"/>
    </row>
    <row r="1154" spans="15:15" ht="15" x14ac:dyDescent="0.25">
      <c r="O1154" s="274"/>
    </row>
    <row r="1155" spans="15:15" ht="15" x14ac:dyDescent="0.25">
      <c r="O1155" s="274"/>
    </row>
    <row r="1156" spans="15:15" ht="15" x14ac:dyDescent="0.25">
      <c r="O1156" s="274"/>
    </row>
    <row r="1157" spans="15:15" ht="15" x14ac:dyDescent="0.25">
      <c r="O1157" s="274"/>
    </row>
    <row r="1158" spans="15:15" ht="15" x14ac:dyDescent="0.25">
      <c r="O1158" s="274"/>
    </row>
    <row r="1159" spans="15:15" ht="15" x14ac:dyDescent="0.25">
      <c r="O1159" s="274"/>
    </row>
    <row r="1160" spans="15:15" ht="15" x14ac:dyDescent="0.25">
      <c r="O1160" s="274"/>
    </row>
    <row r="1161" spans="15:15" ht="15" x14ac:dyDescent="0.25">
      <c r="O1161" s="274"/>
    </row>
    <row r="1162" spans="15:15" ht="15" x14ac:dyDescent="0.25">
      <c r="O1162" s="274"/>
    </row>
    <row r="1163" spans="15:15" ht="15" x14ac:dyDescent="0.25">
      <c r="O1163" s="274"/>
    </row>
    <row r="1164" spans="15:15" ht="15" x14ac:dyDescent="0.25">
      <c r="O1164" s="274"/>
    </row>
    <row r="1165" spans="15:15" ht="15" x14ac:dyDescent="0.25">
      <c r="O1165" s="274"/>
    </row>
    <row r="1166" spans="15:15" ht="15" x14ac:dyDescent="0.25">
      <c r="O1166" s="274"/>
    </row>
    <row r="1167" spans="15:15" ht="15" x14ac:dyDescent="0.25">
      <c r="O1167" s="274"/>
    </row>
    <row r="1168" spans="15:15" ht="15" x14ac:dyDescent="0.25">
      <c r="O1168" s="274"/>
    </row>
    <row r="1169" spans="15:15" ht="15" x14ac:dyDescent="0.25">
      <c r="O1169" s="274"/>
    </row>
    <row r="1170" spans="15:15" ht="15" x14ac:dyDescent="0.25">
      <c r="O1170" s="274"/>
    </row>
    <row r="1171" spans="15:15" ht="15" x14ac:dyDescent="0.25">
      <c r="O1171" s="274"/>
    </row>
    <row r="1172" spans="15:15" ht="15" x14ac:dyDescent="0.25">
      <c r="O1172" s="274"/>
    </row>
    <row r="1173" spans="15:15" ht="15" x14ac:dyDescent="0.25">
      <c r="O1173" s="274"/>
    </row>
    <row r="1174" spans="15:15" ht="15" x14ac:dyDescent="0.25">
      <c r="O1174" s="274"/>
    </row>
    <row r="1175" spans="15:15" ht="15" x14ac:dyDescent="0.25">
      <c r="O1175" s="274"/>
    </row>
    <row r="1176" spans="15:15" ht="15" x14ac:dyDescent="0.25">
      <c r="O1176" s="274"/>
    </row>
    <row r="1177" spans="15:15" ht="15" x14ac:dyDescent="0.25">
      <c r="O1177" s="274"/>
    </row>
    <row r="1178" spans="15:15" ht="15" x14ac:dyDescent="0.25">
      <c r="O1178" s="274"/>
    </row>
    <row r="1179" spans="15:15" ht="15" x14ac:dyDescent="0.25">
      <c r="O1179" s="274"/>
    </row>
    <row r="1180" spans="15:15" ht="15" x14ac:dyDescent="0.25">
      <c r="O1180" s="274"/>
    </row>
    <row r="1181" spans="15:15" ht="15" x14ac:dyDescent="0.25">
      <c r="O1181" s="274"/>
    </row>
    <row r="1182" spans="15:15" ht="15" x14ac:dyDescent="0.25">
      <c r="O1182" s="274"/>
    </row>
    <row r="1183" spans="15:15" ht="15" x14ac:dyDescent="0.25">
      <c r="O1183" s="274"/>
    </row>
    <row r="1184" spans="15:15" ht="15" x14ac:dyDescent="0.25">
      <c r="O1184" s="274"/>
    </row>
    <row r="1185" spans="15:15" ht="15" x14ac:dyDescent="0.25">
      <c r="O1185" s="274"/>
    </row>
    <row r="1186" spans="15:15" ht="15" x14ac:dyDescent="0.25">
      <c r="O1186" s="274"/>
    </row>
    <row r="1187" spans="15:15" ht="15" x14ac:dyDescent="0.25">
      <c r="O1187" s="274"/>
    </row>
    <row r="1188" spans="15:15" ht="15" x14ac:dyDescent="0.25">
      <c r="O1188" s="274"/>
    </row>
    <row r="1189" spans="15:15" ht="15" x14ac:dyDescent="0.25">
      <c r="O1189" s="274"/>
    </row>
    <row r="1190" spans="15:15" ht="15" x14ac:dyDescent="0.25">
      <c r="O1190" s="274"/>
    </row>
    <row r="1191" spans="15:15" ht="15" x14ac:dyDescent="0.25">
      <c r="O1191" s="274"/>
    </row>
    <row r="1192" spans="15:15" ht="15" x14ac:dyDescent="0.25">
      <c r="O1192" s="274"/>
    </row>
    <row r="1193" spans="15:15" ht="15" x14ac:dyDescent="0.25">
      <c r="O1193" s="274"/>
    </row>
    <row r="1194" spans="15:15" ht="15" x14ac:dyDescent="0.25">
      <c r="O1194" s="274"/>
    </row>
    <row r="1195" spans="15:15" ht="15" x14ac:dyDescent="0.25">
      <c r="O1195" s="274"/>
    </row>
    <row r="1196" spans="15:15" ht="15" x14ac:dyDescent="0.25">
      <c r="O1196" s="274"/>
    </row>
    <row r="1197" spans="15:15" ht="15" x14ac:dyDescent="0.25">
      <c r="O1197" s="274"/>
    </row>
    <row r="1198" spans="15:15" ht="15" x14ac:dyDescent="0.25">
      <c r="O1198" s="274"/>
    </row>
    <row r="1199" spans="15:15" ht="15" x14ac:dyDescent="0.25">
      <c r="O1199" s="274"/>
    </row>
    <row r="1200" spans="15:15" ht="15" x14ac:dyDescent="0.25">
      <c r="O1200" s="274"/>
    </row>
    <row r="1201" spans="15:15" ht="15" x14ac:dyDescent="0.25">
      <c r="O1201" s="274"/>
    </row>
    <row r="1202" spans="15:15" ht="15" x14ac:dyDescent="0.25">
      <c r="O1202" s="274"/>
    </row>
    <row r="1203" spans="15:15" ht="15" x14ac:dyDescent="0.25">
      <c r="O1203" s="274"/>
    </row>
    <row r="1204" spans="15:15" ht="15" x14ac:dyDescent="0.25">
      <c r="O1204" s="274"/>
    </row>
    <row r="1205" spans="15:15" ht="15" x14ac:dyDescent="0.25">
      <c r="O1205" s="274"/>
    </row>
    <row r="1206" spans="15:15" ht="15" x14ac:dyDescent="0.25">
      <c r="O1206" s="274"/>
    </row>
    <row r="1207" spans="15:15" ht="15" x14ac:dyDescent="0.25">
      <c r="O1207" s="274"/>
    </row>
    <row r="1208" spans="15:15" ht="15" x14ac:dyDescent="0.25">
      <c r="O1208" s="274"/>
    </row>
    <row r="1209" spans="15:15" ht="15" x14ac:dyDescent="0.25">
      <c r="O1209" s="274"/>
    </row>
    <row r="1210" spans="15:15" ht="15" x14ac:dyDescent="0.25">
      <c r="O1210" s="274"/>
    </row>
    <row r="1211" spans="15:15" ht="15" x14ac:dyDescent="0.25">
      <c r="O1211" s="274"/>
    </row>
    <row r="1212" spans="15:15" ht="15" x14ac:dyDescent="0.25">
      <c r="O1212" s="274"/>
    </row>
    <row r="1213" spans="15:15" ht="15" x14ac:dyDescent="0.25">
      <c r="O1213" s="274"/>
    </row>
    <row r="1214" spans="15:15" ht="15" x14ac:dyDescent="0.25">
      <c r="O1214" s="274"/>
    </row>
    <row r="1215" spans="15:15" ht="15" x14ac:dyDescent="0.25">
      <c r="O1215" s="274"/>
    </row>
    <row r="1216" spans="15:15" ht="15" x14ac:dyDescent="0.25">
      <c r="O1216" s="274"/>
    </row>
    <row r="1217" spans="15:15" ht="15" x14ac:dyDescent="0.25">
      <c r="O1217" s="274"/>
    </row>
    <row r="1218" spans="15:15" ht="15" x14ac:dyDescent="0.25">
      <c r="O1218" s="274"/>
    </row>
    <row r="1219" spans="15:15" ht="15" x14ac:dyDescent="0.25">
      <c r="O1219" s="274"/>
    </row>
    <row r="1220" spans="15:15" ht="15" x14ac:dyDescent="0.25">
      <c r="O1220" s="274"/>
    </row>
    <row r="1221" spans="15:15" ht="15" x14ac:dyDescent="0.25">
      <c r="O1221" s="274"/>
    </row>
    <row r="1222" spans="15:15" ht="15" x14ac:dyDescent="0.25">
      <c r="O1222" s="274"/>
    </row>
    <row r="1223" spans="15:15" ht="15" x14ac:dyDescent="0.25">
      <c r="O1223" s="274"/>
    </row>
    <row r="1224" spans="15:15" ht="15" x14ac:dyDescent="0.25">
      <c r="O1224" s="274"/>
    </row>
    <row r="1225" spans="15:15" ht="15" x14ac:dyDescent="0.25">
      <c r="O1225" s="274"/>
    </row>
    <row r="1226" spans="15:15" ht="15" x14ac:dyDescent="0.25">
      <c r="O1226" s="274"/>
    </row>
    <row r="1227" spans="15:15" ht="15" x14ac:dyDescent="0.25">
      <c r="O1227" s="274"/>
    </row>
    <row r="1228" spans="15:15" ht="15" x14ac:dyDescent="0.25">
      <c r="O1228" s="274"/>
    </row>
    <row r="1229" spans="15:15" ht="15" x14ac:dyDescent="0.25">
      <c r="O1229" s="274"/>
    </row>
    <row r="1230" spans="15:15" ht="15" x14ac:dyDescent="0.25">
      <c r="O1230" s="274"/>
    </row>
    <row r="1231" spans="15:15" ht="15" x14ac:dyDescent="0.25">
      <c r="O1231" s="274"/>
    </row>
    <row r="1232" spans="15:15" ht="15" x14ac:dyDescent="0.25">
      <c r="O1232" s="274"/>
    </row>
    <row r="1233" spans="15:15" ht="15" x14ac:dyDescent="0.25">
      <c r="O1233" s="274"/>
    </row>
    <row r="1234" spans="15:15" ht="15" x14ac:dyDescent="0.25">
      <c r="O1234" s="274"/>
    </row>
    <row r="1235" spans="15:15" ht="15" x14ac:dyDescent="0.25">
      <c r="O1235" s="274"/>
    </row>
    <row r="1236" spans="15:15" ht="15" x14ac:dyDescent="0.25">
      <c r="O1236" s="274"/>
    </row>
    <row r="1237" spans="15:15" ht="15" x14ac:dyDescent="0.25">
      <c r="O1237" s="274"/>
    </row>
    <row r="1238" spans="15:15" ht="15" x14ac:dyDescent="0.25">
      <c r="O1238" s="274"/>
    </row>
    <row r="1239" spans="15:15" ht="15" x14ac:dyDescent="0.25">
      <c r="O1239" s="274"/>
    </row>
    <row r="1240" spans="15:15" ht="15" x14ac:dyDescent="0.25">
      <c r="O1240" s="274"/>
    </row>
    <row r="1241" spans="15:15" ht="15" x14ac:dyDescent="0.25">
      <c r="O1241" s="274"/>
    </row>
    <row r="1242" spans="15:15" ht="15" x14ac:dyDescent="0.25">
      <c r="O1242" s="274"/>
    </row>
    <row r="1243" spans="15:15" ht="15" x14ac:dyDescent="0.25">
      <c r="O1243" s="274"/>
    </row>
    <row r="1244" spans="15:15" ht="15" x14ac:dyDescent="0.25">
      <c r="O1244" s="274"/>
    </row>
    <row r="1245" spans="15:15" ht="15" x14ac:dyDescent="0.25">
      <c r="O1245" s="274"/>
    </row>
    <row r="1246" spans="15:15" ht="15" x14ac:dyDescent="0.25">
      <c r="O1246" s="274"/>
    </row>
    <row r="1247" spans="15:15" ht="15" x14ac:dyDescent="0.25">
      <c r="O1247" s="274"/>
    </row>
    <row r="1248" spans="15:15" ht="15" x14ac:dyDescent="0.25">
      <c r="O1248" s="274"/>
    </row>
    <row r="1249" spans="15:15" ht="15" x14ac:dyDescent="0.25">
      <c r="O1249" s="274"/>
    </row>
    <row r="1250" spans="15:15" ht="15" x14ac:dyDescent="0.25">
      <c r="O1250" s="274"/>
    </row>
    <row r="1251" spans="15:15" ht="15" x14ac:dyDescent="0.25">
      <c r="O1251" s="274"/>
    </row>
    <row r="1252" spans="15:15" ht="15" x14ac:dyDescent="0.25">
      <c r="O1252" s="274"/>
    </row>
    <row r="1253" spans="15:15" ht="15" x14ac:dyDescent="0.25">
      <c r="O1253" s="274"/>
    </row>
    <row r="1254" spans="15:15" ht="15" x14ac:dyDescent="0.25">
      <c r="O1254" s="274"/>
    </row>
    <row r="1255" spans="15:15" ht="15" x14ac:dyDescent="0.25">
      <c r="O1255" s="274"/>
    </row>
    <row r="1256" spans="15:15" ht="15" x14ac:dyDescent="0.25">
      <c r="O1256" s="274"/>
    </row>
    <row r="1257" spans="15:15" ht="15" x14ac:dyDescent="0.25">
      <c r="O1257" s="274"/>
    </row>
    <row r="1258" spans="15:15" ht="15" x14ac:dyDescent="0.25">
      <c r="O1258" s="274"/>
    </row>
    <row r="1259" spans="15:15" ht="15" x14ac:dyDescent="0.25">
      <c r="O1259" s="274"/>
    </row>
    <row r="1260" spans="15:15" ht="15" x14ac:dyDescent="0.25">
      <c r="O1260" s="274"/>
    </row>
    <row r="1261" spans="15:15" ht="15" x14ac:dyDescent="0.25">
      <c r="O1261" s="274"/>
    </row>
    <row r="1262" spans="15:15" ht="15" x14ac:dyDescent="0.25">
      <c r="O1262" s="274"/>
    </row>
    <row r="1263" spans="15:15" ht="15" x14ac:dyDescent="0.25">
      <c r="O1263" s="274"/>
    </row>
    <row r="1264" spans="15:15" ht="15" x14ac:dyDescent="0.25">
      <c r="O1264" s="274"/>
    </row>
    <row r="1265" spans="15:15" ht="15" x14ac:dyDescent="0.25">
      <c r="O1265" s="274"/>
    </row>
    <row r="1266" spans="15:15" ht="15" x14ac:dyDescent="0.25">
      <c r="O1266" s="274"/>
    </row>
    <row r="1267" spans="15:15" ht="15" x14ac:dyDescent="0.25">
      <c r="O1267" s="274"/>
    </row>
    <row r="1268" spans="15:15" ht="15" x14ac:dyDescent="0.25">
      <c r="O1268" s="274"/>
    </row>
    <row r="1269" spans="15:15" ht="15" x14ac:dyDescent="0.25">
      <c r="O1269" s="274"/>
    </row>
    <row r="1270" spans="15:15" ht="15" x14ac:dyDescent="0.25">
      <c r="O1270" s="274"/>
    </row>
    <row r="1271" spans="15:15" ht="15" x14ac:dyDescent="0.25">
      <c r="O1271" s="274"/>
    </row>
    <row r="1272" spans="15:15" ht="15" x14ac:dyDescent="0.25">
      <c r="O1272" s="274"/>
    </row>
    <row r="1273" spans="15:15" ht="15" x14ac:dyDescent="0.25">
      <c r="O1273" s="274"/>
    </row>
    <row r="1274" spans="15:15" ht="15" x14ac:dyDescent="0.25">
      <c r="O1274" s="274"/>
    </row>
    <row r="1275" spans="15:15" ht="15" x14ac:dyDescent="0.25">
      <c r="O1275" s="274"/>
    </row>
    <row r="1276" spans="15:15" ht="15" x14ac:dyDescent="0.25">
      <c r="O1276" s="274"/>
    </row>
    <row r="1277" spans="15:15" ht="15" x14ac:dyDescent="0.25">
      <c r="O1277" s="274"/>
    </row>
    <row r="1278" spans="15:15" ht="15" x14ac:dyDescent="0.25">
      <c r="O1278" s="274"/>
    </row>
    <row r="1279" spans="15:15" ht="15" x14ac:dyDescent="0.25">
      <c r="O1279" s="274"/>
    </row>
    <row r="1280" spans="15:15" ht="15" x14ac:dyDescent="0.25">
      <c r="O1280" s="274"/>
    </row>
    <row r="1281" spans="15:15" ht="15" x14ac:dyDescent="0.25">
      <c r="O1281" s="274"/>
    </row>
    <row r="1282" spans="15:15" ht="15" x14ac:dyDescent="0.25">
      <c r="O1282" s="274"/>
    </row>
    <row r="1283" spans="15:15" ht="15" x14ac:dyDescent="0.25">
      <c r="O1283" s="274"/>
    </row>
    <row r="1284" spans="15:15" ht="15" x14ac:dyDescent="0.25">
      <c r="O1284" s="274"/>
    </row>
    <row r="1285" spans="15:15" ht="15" x14ac:dyDescent="0.25">
      <c r="O1285" s="274"/>
    </row>
    <row r="1286" spans="15:15" ht="15" x14ac:dyDescent="0.25">
      <c r="O1286" s="274"/>
    </row>
    <row r="1287" spans="15:15" ht="15" x14ac:dyDescent="0.25">
      <c r="O1287" s="274"/>
    </row>
    <row r="1288" spans="15:15" ht="15" x14ac:dyDescent="0.25">
      <c r="O1288" s="274"/>
    </row>
    <row r="1289" spans="15:15" ht="15" x14ac:dyDescent="0.25">
      <c r="O1289" s="274"/>
    </row>
    <row r="1290" spans="15:15" ht="15" x14ac:dyDescent="0.25">
      <c r="O1290" s="274"/>
    </row>
    <row r="1291" spans="15:15" ht="15" x14ac:dyDescent="0.25">
      <c r="O1291" s="274"/>
    </row>
    <row r="1292" spans="15:15" ht="15" x14ac:dyDescent="0.25">
      <c r="O1292" s="274"/>
    </row>
    <row r="1293" spans="15:15" ht="15" x14ac:dyDescent="0.25">
      <c r="O1293" s="274"/>
    </row>
    <row r="1294" spans="15:15" ht="15" x14ac:dyDescent="0.25">
      <c r="O1294" s="274"/>
    </row>
    <row r="1295" spans="15:15" ht="15" x14ac:dyDescent="0.25">
      <c r="O1295" s="274"/>
    </row>
    <row r="1296" spans="15:15" ht="15" x14ac:dyDescent="0.25">
      <c r="O1296" s="274"/>
    </row>
    <row r="1297" spans="15:15" ht="15" x14ac:dyDescent="0.25">
      <c r="O1297" s="274"/>
    </row>
    <row r="1298" spans="15:15" ht="15" x14ac:dyDescent="0.25">
      <c r="O1298" s="274"/>
    </row>
    <row r="1299" spans="15:15" ht="15" x14ac:dyDescent="0.25">
      <c r="O1299" s="274"/>
    </row>
    <row r="1300" spans="15:15" ht="15" x14ac:dyDescent="0.25">
      <c r="O1300" s="274"/>
    </row>
    <row r="1301" spans="15:15" ht="15" x14ac:dyDescent="0.25">
      <c r="O1301" s="274"/>
    </row>
    <row r="1302" spans="15:15" ht="15" x14ac:dyDescent="0.25">
      <c r="O1302" s="274"/>
    </row>
    <row r="1303" spans="15:15" ht="15" x14ac:dyDescent="0.25">
      <c r="O1303" s="274"/>
    </row>
    <row r="1304" spans="15:15" ht="15" x14ac:dyDescent="0.25">
      <c r="O1304" s="274"/>
    </row>
    <row r="1305" spans="15:15" ht="15" x14ac:dyDescent="0.25">
      <c r="O1305" s="274"/>
    </row>
    <row r="1306" spans="15:15" ht="15" x14ac:dyDescent="0.25">
      <c r="O1306" s="274"/>
    </row>
    <row r="1307" spans="15:15" ht="15" x14ac:dyDescent="0.25">
      <c r="O1307" s="274"/>
    </row>
    <row r="1308" spans="15:15" ht="15" x14ac:dyDescent="0.25">
      <c r="O1308" s="274"/>
    </row>
    <row r="1309" spans="15:15" ht="15" x14ac:dyDescent="0.25">
      <c r="O1309" s="274"/>
    </row>
    <row r="1310" spans="15:15" ht="15" x14ac:dyDescent="0.25">
      <c r="O1310" s="274"/>
    </row>
    <row r="1311" spans="15:15" ht="15" x14ac:dyDescent="0.25">
      <c r="O1311" s="274"/>
    </row>
    <row r="1312" spans="15:15" ht="15" x14ac:dyDescent="0.25">
      <c r="O1312" s="274"/>
    </row>
    <row r="1313" spans="15:15" ht="15" x14ac:dyDescent="0.25">
      <c r="O1313" s="274"/>
    </row>
    <row r="1314" spans="15:15" ht="15" x14ac:dyDescent="0.25">
      <c r="O1314" s="274"/>
    </row>
    <row r="1315" spans="15:15" ht="15" x14ac:dyDescent="0.25">
      <c r="O1315" s="274"/>
    </row>
    <row r="1316" spans="15:15" ht="15" x14ac:dyDescent="0.25">
      <c r="O1316" s="274"/>
    </row>
    <row r="1317" spans="15:15" ht="15" x14ac:dyDescent="0.25">
      <c r="O1317" s="274"/>
    </row>
    <row r="1318" spans="15:15" ht="15" x14ac:dyDescent="0.25">
      <c r="O1318" s="274"/>
    </row>
    <row r="1319" spans="15:15" ht="15" x14ac:dyDescent="0.25">
      <c r="O1319" s="274"/>
    </row>
    <row r="1320" spans="15:15" ht="15" x14ac:dyDescent="0.25">
      <c r="O1320" s="274"/>
    </row>
    <row r="1321" spans="15:15" ht="15" x14ac:dyDescent="0.25">
      <c r="O1321" s="274"/>
    </row>
    <row r="1322" spans="15:15" ht="15" x14ac:dyDescent="0.25">
      <c r="O1322" s="274"/>
    </row>
    <row r="1323" spans="15:15" ht="15" x14ac:dyDescent="0.25">
      <c r="O1323" s="274"/>
    </row>
    <row r="1324" spans="15:15" ht="15" x14ac:dyDescent="0.25">
      <c r="O1324" s="274"/>
    </row>
    <row r="1325" spans="15:15" ht="15" x14ac:dyDescent="0.25">
      <c r="O1325" s="274"/>
    </row>
    <row r="1326" spans="15:15" ht="15" x14ac:dyDescent="0.25">
      <c r="O1326" s="274"/>
    </row>
    <row r="1327" spans="15:15" ht="15" x14ac:dyDescent="0.25">
      <c r="O1327" s="274"/>
    </row>
    <row r="1328" spans="15:15" ht="15" x14ac:dyDescent="0.25">
      <c r="O1328" s="274"/>
    </row>
    <row r="1329" spans="15:15" ht="15" x14ac:dyDescent="0.25">
      <c r="O1329" s="274"/>
    </row>
    <row r="1330" spans="15:15" ht="15" x14ac:dyDescent="0.25">
      <c r="O1330" s="274"/>
    </row>
    <row r="1331" spans="15:15" ht="15" x14ac:dyDescent="0.25">
      <c r="O1331" s="274"/>
    </row>
    <row r="1332" spans="15:15" ht="15" x14ac:dyDescent="0.25">
      <c r="O1332" s="274"/>
    </row>
    <row r="1333" spans="15:15" ht="15" x14ac:dyDescent="0.25">
      <c r="O1333" s="274"/>
    </row>
    <row r="1334" spans="15:15" ht="15" x14ac:dyDescent="0.25">
      <c r="O1334" s="274"/>
    </row>
    <row r="1335" spans="15:15" ht="15" x14ac:dyDescent="0.25">
      <c r="O1335" s="274"/>
    </row>
    <row r="1336" spans="15:15" ht="15" x14ac:dyDescent="0.25">
      <c r="O1336" s="274"/>
    </row>
    <row r="1337" spans="15:15" ht="15" x14ac:dyDescent="0.25">
      <c r="O1337" s="274"/>
    </row>
    <row r="1338" spans="15:15" ht="15" x14ac:dyDescent="0.25">
      <c r="O1338" s="274"/>
    </row>
    <row r="1339" spans="15:15" ht="15" x14ac:dyDescent="0.25">
      <c r="O1339" s="274"/>
    </row>
    <row r="1340" spans="15:15" ht="15" x14ac:dyDescent="0.25">
      <c r="O1340" s="274"/>
    </row>
    <row r="1341" spans="15:15" ht="15" x14ac:dyDescent="0.25">
      <c r="O1341" s="274"/>
    </row>
    <row r="1342" spans="15:15" ht="15" x14ac:dyDescent="0.25">
      <c r="O1342" s="274"/>
    </row>
    <row r="1343" spans="15:15" ht="15" x14ac:dyDescent="0.25">
      <c r="O1343" s="274"/>
    </row>
    <row r="1344" spans="15:15" ht="15" x14ac:dyDescent="0.25">
      <c r="O1344" s="274"/>
    </row>
    <row r="1345" spans="15:15" ht="15" x14ac:dyDescent="0.25">
      <c r="O1345" s="274"/>
    </row>
    <row r="1346" spans="15:15" ht="15" x14ac:dyDescent="0.25">
      <c r="O1346" s="274"/>
    </row>
    <row r="1347" spans="15:15" ht="15" x14ac:dyDescent="0.25">
      <c r="O1347" s="274"/>
    </row>
    <row r="1348" spans="15:15" ht="15" x14ac:dyDescent="0.25">
      <c r="O1348" s="274"/>
    </row>
    <row r="1349" spans="15:15" ht="15" x14ac:dyDescent="0.25">
      <c r="O1349" s="274"/>
    </row>
    <row r="1350" spans="15:15" ht="15" x14ac:dyDescent="0.25">
      <c r="O1350" s="274"/>
    </row>
    <row r="1351" spans="15:15" ht="15" x14ac:dyDescent="0.25">
      <c r="O1351" s="274"/>
    </row>
    <row r="1352" spans="15:15" ht="15" x14ac:dyDescent="0.25">
      <c r="O1352" s="274"/>
    </row>
    <row r="1353" spans="15:15" ht="15" x14ac:dyDescent="0.25">
      <c r="O1353" s="274"/>
    </row>
    <row r="1354" spans="15:15" ht="15" x14ac:dyDescent="0.25">
      <c r="O1354" s="274"/>
    </row>
    <row r="1355" spans="15:15" ht="15" x14ac:dyDescent="0.25">
      <c r="O1355" s="274"/>
    </row>
    <row r="1356" spans="15:15" ht="15" x14ac:dyDescent="0.25">
      <c r="O1356" s="274"/>
    </row>
    <row r="1357" spans="15:15" ht="15" x14ac:dyDescent="0.25">
      <c r="O1357" s="274"/>
    </row>
    <row r="1358" spans="15:15" ht="15" x14ac:dyDescent="0.25">
      <c r="O1358" s="274"/>
    </row>
    <row r="1359" spans="15:15" ht="15" x14ac:dyDescent="0.25">
      <c r="O1359" s="274"/>
    </row>
    <row r="1360" spans="15:15" ht="15" x14ac:dyDescent="0.25">
      <c r="O1360" s="274"/>
    </row>
    <row r="1361" spans="15:15" ht="15" x14ac:dyDescent="0.25">
      <c r="O1361" s="274"/>
    </row>
    <row r="1362" spans="15:15" ht="15" x14ac:dyDescent="0.25">
      <c r="O1362" s="274"/>
    </row>
    <row r="1363" spans="15:15" ht="15" x14ac:dyDescent="0.25">
      <c r="O1363" s="274"/>
    </row>
    <row r="1364" spans="15:15" ht="15" x14ac:dyDescent="0.25">
      <c r="O1364" s="274"/>
    </row>
    <row r="1365" spans="15:15" ht="15" x14ac:dyDescent="0.25">
      <c r="O1365" s="274"/>
    </row>
    <row r="1366" spans="15:15" ht="15" x14ac:dyDescent="0.25">
      <c r="O1366" s="274"/>
    </row>
    <row r="1367" spans="15:15" ht="15" x14ac:dyDescent="0.25">
      <c r="O1367" s="274"/>
    </row>
    <row r="1368" spans="15:15" ht="15" x14ac:dyDescent="0.25">
      <c r="O1368" s="274"/>
    </row>
    <row r="1369" spans="15:15" ht="15" x14ac:dyDescent="0.25">
      <c r="O1369" s="274"/>
    </row>
    <row r="1370" spans="15:15" ht="15" x14ac:dyDescent="0.25">
      <c r="O1370" s="274"/>
    </row>
    <row r="1371" spans="15:15" ht="15" x14ac:dyDescent="0.25">
      <c r="O1371" s="274"/>
    </row>
    <row r="1372" spans="15:15" ht="15" x14ac:dyDescent="0.25">
      <c r="O1372" s="274"/>
    </row>
    <row r="1373" spans="15:15" ht="15" x14ac:dyDescent="0.25">
      <c r="O1373" s="274"/>
    </row>
    <row r="1374" spans="15:15" ht="15" x14ac:dyDescent="0.25">
      <c r="O1374" s="274"/>
    </row>
    <row r="1375" spans="15:15" ht="15" x14ac:dyDescent="0.25">
      <c r="O1375" s="274"/>
    </row>
    <row r="1376" spans="15:15" ht="15" x14ac:dyDescent="0.25">
      <c r="O1376" s="274"/>
    </row>
    <row r="1377" spans="15:15" ht="15" x14ac:dyDescent="0.25">
      <c r="O1377" s="274"/>
    </row>
    <row r="1378" spans="15:15" ht="15" x14ac:dyDescent="0.25">
      <c r="O1378" s="274"/>
    </row>
    <row r="1379" spans="15:15" ht="15" x14ac:dyDescent="0.25">
      <c r="O1379" s="274"/>
    </row>
    <row r="1380" spans="15:15" ht="15" x14ac:dyDescent="0.25">
      <c r="O1380" s="274"/>
    </row>
    <row r="1381" spans="15:15" ht="15" x14ac:dyDescent="0.25">
      <c r="O1381" s="274"/>
    </row>
    <row r="1382" spans="15:15" ht="15" x14ac:dyDescent="0.25">
      <c r="O1382" s="274"/>
    </row>
    <row r="1383" spans="15:15" ht="15" x14ac:dyDescent="0.25">
      <c r="O1383" s="274"/>
    </row>
    <row r="1384" spans="15:15" ht="15" x14ac:dyDescent="0.25">
      <c r="O1384" s="274"/>
    </row>
    <row r="1385" spans="15:15" ht="15" x14ac:dyDescent="0.25">
      <c r="O1385" s="274"/>
    </row>
    <row r="1386" spans="15:15" ht="15" x14ac:dyDescent="0.25">
      <c r="O1386" s="274"/>
    </row>
    <row r="1387" spans="15:15" ht="15" x14ac:dyDescent="0.25">
      <c r="O1387" s="274"/>
    </row>
    <row r="1388" spans="15:15" ht="15" x14ac:dyDescent="0.25">
      <c r="O1388" s="274"/>
    </row>
    <row r="1389" spans="15:15" ht="15" x14ac:dyDescent="0.25">
      <c r="O1389" s="274"/>
    </row>
    <row r="1390" spans="15:15" ht="15" x14ac:dyDescent="0.25">
      <c r="O1390" s="274"/>
    </row>
    <row r="1391" spans="15:15" ht="15" x14ac:dyDescent="0.25">
      <c r="O1391" s="274"/>
    </row>
    <row r="1392" spans="15:15" ht="15" x14ac:dyDescent="0.25">
      <c r="O1392" s="274"/>
    </row>
    <row r="1393" spans="15:15" ht="15" x14ac:dyDescent="0.25">
      <c r="O1393" s="274"/>
    </row>
    <row r="1394" spans="15:15" ht="15" x14ac:dyDescent="0.25">
      <c r="O1394" s="274"/>
    </row>
    <row r="1395" spans="15:15" ht="15" x14ac:dyDescent="0.25">
      <c r="O1395" s="274"/>
    </row>
    <row r="1396" spans="15:15" ht="15" x14ac:dyDescent="0.25">
      <c r="O1396" s="274"/>
    </row>
    <row r="1397" spans="15:15" ht="15" x14ac:dyDescent="0.25">
      <c r="O1397" s="274"/>
    </row>
    <row r="1398" spans="15:15" ht="15" x14ac:dyDescent="0.25">
      <c r="O1398" s="274"/>
    </row>
    <row r="1399" spans="15:15" ht="15" x14ac:dyDescent="0.25">
      <c r="O1399" s="274"/>
    </row>
    <row r="1400" spans="15:15" ht="15" x14ac:dyDescent="0.25">
      <c r="O1400" s="274"/>
    </row>
    <row r="1401" spans="15:15" ht="15" x14ac:dyDescent="0.25">
      <c r="O1401" s="274"/>
    </row>
    <row r="1402" spans="15:15" ht="15" x14ac:dyDescent="0.25">
      <c r="O1402" s="274"/>
    </row>
    <row r="1403" spans="15:15" ht="15" x14ac:dyDescent="0.25">
      <c r="O1403" s="274"/>
    </row>
    <row r="1404" spans="15:15" ht="15" x14ac:dyDescent="0.25">
      <c r="O1404" s="274"/>
    </row>
    <row r="1405" spans="15:15" ht="15" x14ac:dyDescent="0.25">
      <c r="O1405" s="274"/>
    </row>
    <row r="1406" spans="15:15" ht="15" x14ac:dyDescent="0.25">
      <c r="O1406" s="274"/>
    </row>
    <row r="1407" spans="15:15" ht="15" x14ac:dyDescent="0.25">
      <c r="O1407" s="274"/>
    </row>
    <row r="1408" spans="15:15" ht="15" x14ac:dyDescent="0.25">
      <c r="O1408" s="274"/>
    </row>
    <row r="1409" spans="15:15" ht="15" x14ac:dyDescent="0.25">
      <c r="O1409" s="274"/>
    </row>
    <row r="1410" spans="15:15" ht="15" x14ac:dyDescent="0.25">
      <c r="O1410" s="274"/>
    </row>
    <row r="1411" spans="15:15" ht="15" x14ac:dyDescent="0.25">
      <c r="O1411" s="274"/>
    </row>
    <row r="1412" spans="15:15" ht="15" x14ac:dyDescent="0.25">
      <c r="O1412" s="274"/>
    </row>
    <row r="1413" spans="15:15" ht="15" x14ac:dyDescent="0.25">
      <c r="O1413" s="274"/>
    </row>
    <row r="1414" spans="15:15" ht="15" x14ac:dyDescent="0.25">
      <c r="O1414" s="274"/>
    </row>
    <row r="1415" spans="15:15" ht="15" x14ac:dyDescent="0.25">
      <c r="O1415" s="274"/>
    </row>
    <row r="1416" spans="15:15" ht="15" x14ac:dyDescent="0.25">
      <c r="O1416" s="274"/>
    </row>
    <row r="1417" spans="15:15" ht="15" x14ac:dyDescent="0.25">
      <c r="O1417" s="274"/>
    </row>
    <row r="1418" spans="15:15" ht="15" x14ac:dyDescent="0.25">
      <c r="O1418" s="274"/>
    </row>
    <row r="1419" spans="15:15" ht="15" x14ac:dyDescent="0.25">
      <c r="O1419" s="274"/>
    </row>
    <row r="1420" spans="15:15" ht="15" x14ac:dyDescent="0.25">
      <c r="O1420" s="274"/>
    </row>
    <row r="1421" spans="15:15" ht="15" x14ac:dyDescent="0.25">
      <c r="O1421" s="274"/>
    </row>
    <row r="1422" spans="15:15" ht="15" x14ac:dyDescent="0.25">
      <c r="O1422" s="274"/>
    </row>
    <row r="1423" spans="15:15" ht="15" x14ac:dyDescent="0.25">
      <c r="O1423" s="274"/>
    </row>
    <row r="1424" spans="15:15" ht="15" x14ac:dyDescent="0.25">
      <c r="O1424" s="274"/>
    </row>
    <row r="1425" spans="15:15" ht="15" x14ac:dyDescent="0.25">
      <c r="O1425" s="274"/>
    </row>
    <row r="1426" spans="15:15" ht="15" x14ac:dyDescent="0.25">
      <c r="O1426" s="274"/>
    </row>
    <row r="1427" spans="15:15" ht="15" x14ac:dyDescent="0.25">
      <c r="O1427" s="274"/>
    </row>
    <row r="1428" spans="15:15" ht="15" x14ac:dyDescent="0.25">
      <c r="O1428" s="274"/>
    </row>
    <row r="1429" spans="15:15" ht="15" x14ac:dyDescent="0.25">
      <c r="O1429" s="274"/>
    </row>
    <row r="1430" spans="15:15" ht="15" x14ac:dyDescent="0.25">
      <c r="O1430" s="274"/>
    </row>
    <row r="1431" spans="15:15" ht="15" x14ac:dyDescent="0.25">
      <c r="O1431" s="274"/>
    </row>
    <row r="1432" spans="15:15" ht="15" x14ac:dyDescent="0.25">
      <c r="O1432" s="274"/>
    </row>
    <row r="1433" spans="15:15" ht="15" x14ac:dyDescent="0.25">
      <c r="O1433" s="274"/>
    </row>
    <row r="1434" spans="15:15" ht="15" x14ac:dyDescent="0.25">
      <c r="O1434" s="274"/>
    </row>
    <row r="1435" spans="15:15" ht="15" x14ac:dyDescent="0.25">
      <c r="O1435" s="274"/>
    </row>
    <row r="1436" spans="15:15" ht="15" x14ac:dyDescent="0.25">
      <c r="O1436" s="274"/>
    </row>
    <row r="1437" spans="15:15" ht="15" x14ac:dyDescent="0.25">
      <c r="O1437" s="274"/>
    </row>
    <row r="1438" spans="15:15" ht="15" x14ac:dyDescent="0.25">
      <c r="O1438" s="274"/>
    </row>
    <row r="1439" spans="15:15" ht="15" x14ac:dyDescent="0.25">
      <c r="O1439" s="274"/>
    </row>
    <row r="1440" spans="15:15" ht="15" x14ac:dyDescent="0.25">
      <c r="O1440" s="274"/>
    </row>
    <row r="1441" spans="15:15" ht="15" x14ac:dyDescent="0.25">
      <c r="O1441" s="274"/>
    </row>
    <row r="1442" spans="15:15" ht="15" x14ac:dyDescent="0.25">
      <c r="O1442" s="274"/>
    </row>
    <row r="1443" spans="15:15" ht="15" x14ac:dyDescent="0.25">
      <c r="O1443" s="274"/>
    </row>
    <row r="1444" spans="15:15" ht="15" x14ac:dyDescent="0.25">
      <c r="O1444" s="274"/>
    </row>
    <row r="1445" spans="15:15" ht="15" x14ac:dyDescent="0.25">
      <c r="O1445" s="274"/>
    </row>
    <row r="1446" spans="15:15" ht="15" x14ac:dyDescent="0.25">
      <c r="O1446" s="274"/>
    </row>
    <row r="1447" spans="15:15" ht="15" x14ac:dyDescent="0.25">
      <c r="O1447" s="274"/>
    </row>
    <row r="1448" spans="15:15" ht="15" x14ac:dyDescent="0.25">
      <c r="O1448" s="274"/>
    </row>
    <row r="1449" spans="15:15" ht="15" x14ac:dyDescent="0.25">
      <c r="O1449" s="274"/>
    </row>
    <row r="1450" spans="15:15" ht="15" x14ac:dyDescent="0.25">
      <c r="O1450" s="274"/>
    </row>
    <row r="1451" spans="15:15" ht="15" x14ac:dyDescent="0.25">
      <c r="O1451" s="274"/>
    </row>
    <row r="1452" spans="15:15" ht="15" x14ac:dyDescent="0.25">
      <c r="O1452" s="274"/>
    </row>
    <row r="1453" spans="15:15" ht="15" x14ac:dyDescent="0.25">
      <c r="O1453" s="274"/>
    </row>
    <row r="1454" spans="15:15" ht="15" x14ac:dyDescent="0.25">
      <c r="O1454" s="274"/>
    </row>
    <row r="1455" spans="15:15" ht="15" x14ac:dyDescent="0.25">
      <c r="O1455" s="274"/>
    </row>
    <row r="1456" spans="15:15" ht="15" x14ac:dyDescent="0.25">
      <c r="O1456" s="274"/>
    </row>
    <row r="1457" spans="15:15" ht="15" x14ac:dyDescent="0.25">
      <c r="O1457" s="274"/>
    </row>
    <row r="1458" spans="15:15" ht="15" x14ac:dyDescent="0.25">
      <c r="O1458" s="274"/>
    </row>
    <row r="1459" spans="15:15" ht="15" x14ac:dyDescent="0.25">
      <c r="O1459" s="274"/>
    </row>
    <row r="1460" spans="15:15" ht="15" x14ac:dyDescent="0.25">
      <c r="O1460" s="274"/>
    </row>
    <row r="1461" spans="15:15" ht="15" x14ac:dyDescent="0.25">
      <c r="O1461" s="274"/>
    </row>
    <row r="1462" spans="15:15" ht="15" x14ac:dyDescent="0.25">
      <c r="O1462" s="274"/>
    </row>
    <row r="1463" spans="15:15" ht="15" x14ac:dyDescent="0.25">
      <c r="O1463" s="274"/>
    </row>
    <row r="1464" spans="15:15" ht="15" x14ac:dyDescent="0.25">
      <c r="O1464" s="274"/>
    </row>
    <row r="1465" spans="15:15" ht="15" x14ac:dyDescent="0.25">
      <c r="O1465" s="274"/>
    </row>
    <row r="1466" spans="15:15" ht="15" x14ac:dyDescent="0.25">
      <c r="O1466" s="274"/>
    </row>
    <row r="1467" spans="15:15" ht="15" x14ac:dyDescent="0.25">
      <c r="O1467" s="274"/>
    </row>
    <row r="1468" spans="15:15" ht="15" x14ac:dyDescent="0.25">
      <c r="O1468" s="274"/>
    </row>
    <row r="1469" spans="15:15" ht="15" x14ac:dyDescent="0.25">
      <c r="O1469" s="274"/>
    </row>
    <row r="1470" spans="15:15" ht="15" x14ac:dyDescent="0.25">
      <c r="O1470" s="274"/>
    </row>
    <row r="1471" spans="15:15" ht="15" x14ac:dyDescent="0.25">
      <c r="O1471" s="274"/>
    </row>
    <row r="1472" spans="15:15" ht="15" x14ac:dyDescent="0.25">
      <c r="O1472" s="274"/>
    </row>
    <row r="1473" spans="15:15" ht="15" x14ac:dyDescent="0.25">
      <c r="O1473" s="274"/>
    </row>
    <row r="1474" spans="15:15" ht="15" x14ac:dyDescent="0.25">
      <c r="O1474" s="274"/>
    </row>
    <row r="1475" spans="15:15" ht="15" x14ac:dyDescent="0.25">
      <c r="O1475" s="274"/>
    </row>
    <row r="1476" spans="15:15" ht="15" x14ac:dyDescent="0.25">
      <c r="O1476" s="274"/>
    </row>
    <row r="1477" spans="15:15" ht="15" x14ac:dyDescent="0.25">
      <c r="O1477" s="274"/>
    </row>
    <row r="1478" spans="15:15" ht="15" x14ac:dyDescent="0.25">
      <c r="O1478" s="274"/>
    </row>
    <row r="1479" spans="15:15" ht="15" x14ac:dyDescent="0.25">
      <c r="O1479" s="274"/>
    </row>
    <row r="1480" spans="15:15" ht="15" x14ac:dyDescent="0.25">
      <c r="O1480" s="274"/>
    </row>
    <row r="1481" spans="15:15" ht="15" x14ac:dyDescent="0.25">
      <c r="O1481" s="274"/>
    </row>
    <row r="1482" spans="15:15" ht="15" x14ac:dyDescent="0.25">
      <c r="O1482" s="274"/>
    </row>
    <row r="1483" spans="15:15" ht="15" x14ac:dyDescent="0.25">
      <c r="O1483" s="274"/>
    </row>
    <row r="1484" spans="15:15" ht="15" x14ac:dyDescent="0.25">
      <c r="O1484" s="274"/>
    </row>
    <row r="1485" spans="15:15" ht="15" x14ac:dyDescent="0.25">
      <c r="O1485" s="274"/>
    </row>
    <row r="1486" spans="15:15" ht="15" x14ac:dyDescent="0.25">
      <c r="O1486" s="274"/>
    </row>
    <row r="1487" spans="15:15" ht="15" x14ac:dyDescent="0.25">
      <c r="O1487" s="274"/>
    </row>
    <row r="1488" spans="15:15" ht="15" x14ac:dyDescent="0.25">
      <c r="O1488" s="274"/>
    </row>
    <row r="1489" spans="15:15" ht="15" x14ac:dyDescent="0.25">
      <c r="O1489" s="274"/>
    </row>
    <row r="1490" spans="15:15" ht="15" x14ac:dyDescent="0.25">
      <c r="O1490" s="274"/>
    </row>
    <row r="1491" spans="15:15" ht="15" x14ac:dyDescent="0.25">
      <c r="O1491" s="274"/>
    </row>
    <row r="1492" spans="15:15" ht="15" x14ac:dyDescent="0.25">
      <c r="O1492" s="274"/>
    </row>
    <row r="1493" spans="15:15" ht="15" x14ac:dyDescent="0.25">
      <c r="O1493" s="274"/>
    </row>
    <row r="1494" spans="15:15" ht="15" x14ac:dyDescent="0.25">
      <c r="O1494" s="274"/>
    </row>
    <row r="1495" spans="15:15" ht="15" x14ac:dyDescent="0.25">
      <c r="O1495" s="274"/>
    </row>
    <row r="1496" spans="15:15" ht="15" x14ac:dyDescent="0.25">
      <c r="O1496" s="274"/>
    </row>
    <row r="1497" spans="15:15" ht="15" x14ac:dyDescent="0.25">
      <c r="O1497" s="274"/>
    </row>
    <row r="1498" spans="15:15" ht="15" x14ac:dyDescent="0.25">
      <c r="O1498" s="274"/>
    </row>
    <row r="1499" spans="15:15" ht="15" x14ac:dyDescent="0.25">
      <c r="O1499" s="274"/>
    </row>
    <row r="1500" spans="15:15" ht="15" x14ac:dyDescent="0.25">
      <c r="O1500" s="274"/>
    </row>
    <row r="1501" spans="15:15" ht="15" x14ac:dyDescent="0.25">
      <c r="O1501" s="274"/>
    </row>
    <row r="1502" spans="15:15" ht="15" x14ac:dyDescent="0.25">
      <c r="O1502" s="274"/>
    </row>
    <row r="1503" spans="15:15" ht="15" x14ac:dyDescent="0.25">
      <c r="O1503" s="274"/>
    </row>
    <row r="1504" spans="15:15" ht="15" x14ac:dyDescent="0.25">
      <c r="O1504" s="274"/>
    </row>
    <row r="1505" spans="15:15" ht="15" x14ac:dyDescent="0.25">
      <c r="O1505" s="274"/>
    </row>
    <row r="1506" spans="15:15" ht="15" x14ac:dyDescent="0.25">
      <c r="O1506" s="274"/>
    </row>
    <row r="1507" spans="15:15" ht="15" x14ac:dyDescent="0.25">
      <c r="O1507" s="274"/>
    </row>
    <row r="1508" spans="15:15" ht="15" x14ac:dyDescent="0.25">
      <c r="O1508" s="274"/>
    </row>
    <row r="1509" spans="15:15" ht="15" x14ac:dyDescent="0.25">
      <c r="O1509" s="274"/>
    </row>
    <row r="1510" spans="15:15" ht="15" x14ac:dyDescent="0.25">
      <c r="O1510" s="274"/>
    </row>
    <row r="1511" spans="15:15" ht="15" x14ac:dyDescent="0.25">
      <c r="O1511" s="274"/>
    </row>
    <row r="1512" spans="15:15" ht="15" x14ac:dyDescent="0.25">
      <c r="O1512" s="274"/>
    </row>
    <row r="1513" spans="15:15" ht="15" x14ac:dyDescent="0.25">
      <c r="O1513" s="274"/>
    </row>
    <row r="1514" spans="15:15" ht="15" x14ac:dyDescent="0.25">
      <c r="O1514" s="274"/>
    </row>
    <row r="1515" spans="15:15" ht="15" x14ac:dyDescent="0.25">
      <c r="O1515" s="274"/>
    </row>
    <row r="1516" spans="15:15" ht="15" x14ac:dyDescent="0.25">
      <c r="O1516" s="274"/>
    </row>
    <row r="1517" spans="15:15" ht="15" x14ac:dyDescent="0.25">
      <c r="O1517" s="274"/>
    </row>
    <row r="1518" spans="15:15" ht="15" x14ac:dyDescent="0.25">
      <c r="O1518" s="274"/>
    </row>
    <row r="1519" spans="15:15" ht="15" x14ac:dyDescent="0.25">
      <c r="O1519" s="274"/>
    </row>
    <row r="1520" spans="15:15" ht="15" x14ac:dyDescent="0.25">
      <c r="O1520" s="274"/>
    </row>
    <row r="1521" spans="15:15" ht="15" x14ac:dyDescent="0.25">
      <c r="O1521" s="274"/>
    </row>
    <row r="1522" spans="15:15" ht="15" x14ac:dyDescent="0.25">
      <c r="O1522" s="274"/>
    </row>
    <row r="1523" spans="15:15" ht="15" x14ac:dyDescent="0.25">
      <c r="O1523" s="274"/>
    </row>
    <row r="1524" spans="15:15" ht="15" x14ac:dyDescent="0.25">
      <c r="O1524" s="274"/>
    </row>
    <row r="1525" spans="15:15" ht="15" x14ac:dyDescent="0.25">
      <c r="O1525" s="274"/>
    </row>
    <row r="1526" spans="15:15" ht="15" x14ac:dyDescent="0.25">
      <c r="O1526" s="274"/>
    </row>
    <row r="1527" spans="15:15" ht="15" x14ac:dyDescent="0.25">
      <c r="O1527" s="274"/>
    </row>
    <row r="1528" spans="15:15" ht="15" x14ac:dyDescent="0.25">
      <c r="O1528" s="274"/>
    </row>
    <row r="1529" spans="15:15" ht="15" x14ac:dyDescent="0.25">
      <c r="O1529" s="274"/>
    </row>
    <row r="1530" spans="15:15" ht="15" x14ac:dyDescent="0.25">
      <c r="O1530" s="274"/>
    </row>
    <row r="1531" spans="15:15" ht="15" x14ac:dyDescent="0.25">
      <c r="O1531" s="274"/>
    </row>
    <row r="1532" spans="15:15" ht="15" x14ac:dyDescent="0.25">
      <c r="O1532" s="274"/>
    </row>
    <row r="1533" spans="15:15" ht="15" x14ac:dyDescent="0.25">
      <c r="O1533" s="274"/>
    </row>
    <row r="1534" spans="15:15" ht="15" x14ac:dyDescent="0.25">
      <c r="O1534" s="274"/>
    </row>
    <row r="1535" spans="15:15" ht="15" x14ac:dyDescent="0.25">
      <c r="O1535" s="274"/>
    </row>
    <row r="1536" spans="15:15" ht="15" x14ac:dyDescent="0.25">
      <c r="O1536" s="274"/>
    </row>
    <row r="1537" spans="15:15" ht="15" x14ac:dyDescent="0.25">
      <c r="O1537" s="274"/>
    </row>
    <row r="1538" spans="15:15" ht="15" x14ac:dyDescent="0.25">
      <c r="O1538" s="274"/>
    </row>
    <row r="1539" spans="15:15" ht="15" x14ac:dyDescent="0.25">
      <c r="O1539" s="274"/>
    </row>
    <row r="1540" spans="15:15" ht="15" x14ac:dyDescent="0.25">
      <c r="O1540" s="274"/>
    </row>
    <row r="1541" spans="15:15" ht="15" x14ac:dyDescent="0.25">
      <c r="O1541" s="274"/>
    </row>
    <row r="1542" spans="15:15" ht="15" x14ac:dyDescent="0.25">
      <c r="O1542" s="274"/>
    </row>
    <row r="1543" spans="15:15" ht="15" x14ac:dyDescent="0.25">
      <c r="O1543" s="274"/>
    </row>
    <row r="1544" spans="15:15" ht="15" x14ac:dyDescent="0.25">
      <c r="O1544" s="274"/>
    </row>
    <row r="1545" spans="15:15" ht="15" x14ac:dyDescent="0.25">
      <c r="O1545" s="274"/>
    </row>
    <row r="1546" spans="15:15" ht="15" x14ac:dyDescent="0.25">
      <c r="O1546" s="274"/>
    </row>
    <row r="1547" spans="15:15" ht="15" x14ac:dyDescent="0.25">
      <c r="O1547" s="274"/>
    </row>
    <row r="1548" spans="15:15" ht="15" x14ac:dyDescent="0.25">
      <c r="O1548" s="274"/>
    </row>
    <row r="1549" spans="15:15" ht="15" x14ac:dyDescent="0.25">
      <c r="O1549" s="274"/>
    </row>
    <row r="1550" spans="15:15" ht="15" x14ac:dyDescent="0.25">
      <c r="O1550" s="274"/>
    </row>
    <row r="1551" spans="15:15" ht="15" x14ac:dyDescent="0.25">
      <c r="O1551" s="274"/>
    </row>
    <row r="1552" spans="15:15" ht="15" x14ac:dyDescent="0.25">
      <c r="O1552" s="274"/>
    </row>
    <row r="1553" spans="15:15" ht="15" x14ac:dyDescent="0.25">
      <c r="O1553" s="274"/>
    </row>
    <row r="1554" spans="15:15" ht="15" x14ac:dyDescent="0.25">
      <c r="O1554" s="274"/>
    </row>
    <row r="1555" spans="15:15" ht="15" x14ac:dyDescent="0.25">
      <c r="O1555" s="274"/>
    </row>
    <row r="1556" spans="15:15" ht="15" x14ac:dyDescent="0.25">
      <c r="O1556" s="274"/>
    </row>
    <row r="1557" spans="15:15" ht="15" x14ac:dyDescent="0.25">
      <c r="O1557" s="274"/>
    </row>
    <row r="1558" spans="15:15" ht="15" x14ac:dyDescent="0.25">
      <c r="O1558" s="274"/>
    </row>
    <row r="1559" spans="15:15" ht="15" x14ac:dyDescent="0.25">
      <c r="O1559" s="274"/>
    </row>
    <row r="1560" spans="15:15" ht="15" x14ac:dyDescent="0.25">
      <c r="O1560" s="274"/>
    </row>
    <row r="1561" spans="15:15" ht="15" x14ac:dyDescent="0.25">
      <c r="O1561" s="274"/>
    </row>
    <row r="1562" spans="15:15" ht="15" x14ac:dyDescent="0.25">
      <c r="O1562" s="274"/>
    </row>
    <row r="1563" spans="15:15" ht="15" x14ac:dyDescent="0.25">
      <c r="O1563" s="274"/>
    </row>
    <row r="1564" spans="15:15" ht="15" x14ac:dyDescent="0.25">
      <c r="O1564" s="274"/>
    </row>
    <row r="1565" spans="15:15" ht="15" x14ac:dyDescent="0.25">
      <c r="O1565" s="274"/>
    </row>
    <row r="1566" spans="15:15" ht="15" x14ac:dyDescent="0.25">
      <c r="O1566" s="274"/>
    </row>
    <row r="1567" spans="15:15" ht="15" x14ac:dyDescent="0.25">
      <c r="O1567" s="274"/>
    </row>
    <row r="1568" spans="15:15" ht="15" x14ac:dyDescent="0.25">
      <c r="O1568" s="274"/>
    </row>
    <row r="1569" spans="15:15" ht="15" x14ac:dyDescent="0.25">
      <c r="O1569" s="274"/>
    </row>
    <row r="1570" spans="15:15" ht="15" x14ac:dyDescent="0.25">
      <c r="O1570" s="274"/>
    </row>
    <row r="1571" spans="15:15" ht="15" x14ac:dyDescent="0.25">
      <c r="O1571" s="274"/>
    </row>
    <row r="1572" spans="15:15" ht="15" x14ac:dyDescent="0.25">
      <c r="O1572" s="274"/>
    </row>
    <row r="1573" spans="15:15" ht="15" x14ac:dyDescent="0.25">
      <c r="O1573" s="274"/>
    </row>
    <row r="1574" spans="15:15" ht="15" x14ac:dyDescent="0.25">
      <c r="O1574" s="274"/>
    </row>
    <row r="1575" spans="15:15" ht="15" x14ac:dyDescent="0.25">
      <c r="O1575" s="274"/>
    </row>
    <row r="1576" spans="15:15" ht="15" x14ac:dyDescent="0.25">
      <c r="O1576" s="274"/>
    </row>
    <row r="1577" spans="15:15" ht="15" x14ac:dyDescent="0.25">
      <c r="O1577" s="274"/>
    </row>
    <row r="1578" spans="15:15" ht="15" x14ac:dyDescent="0.25">
      <c r="O1578" s="274"/>
    </row>
    <row r="1579" spans="15:15" ht="15" x14ac:dyDescent="0.25">
      <c r="O1579" s="274"/>
    </row>
    <row r="1580" spans="15:15" ht="15" x14ac:dyDescent="0.25">
      <c r="O1580" s="274"/>
    </row>
    <row r="1581" spans="15:15" ht="15" x14ac:dyDescent="0.25">
      <c r="O1581" s="274"/>
    </row>
    <row r="1582" spans="15:15" ht="15" x14ac:dyDescent="0.25">
      <c r="O1582" s="274"/>
    </row>
    <row r="1583" spans="15:15" ht="15" x14ac:dyDescent="0.25">
      <c r="O1583" s="274"/>
    </row>
    <row r="1584" spans="15:15" ht="15" x14ac:dyDescent="0.25">
      <c r="O1584" s="274"/>
    </row>
    <row r="1585" spans="15:15" ht="15" x14ac:dyDescent="0.25">
      <c r="O1585" s="274"/>
    </row>
    <row r="1586" spans="15:15" ht="15" x14ac:dyDescent="0.25">
      <c r="O1586" s="274"/>
    </row>
    <row r="1587" spans="15:15" ht="15" x14ac:dyDescent="0.25">
      <c r="O1587" s="274"/>
    </row>
    <row r="1588" spans="15:15" ht="15" x14ac:dyDescent="0.25">
      <c r="O1588" s="274"/>
    </row>
    <row r="1589" spans="15:15" ht="15" x14ac:dyDescent="0.25">
      <c r="O1589" s="274"/>
    </row>
    <row r="1590" spans="15:15" ht="15" x14ac:dyDescent="0.25">
      <c r="O1590" s="274"/>
    </row>
    <row r="1591" spans="15:15" ht="15" x14ac:dyDescent="0.25">
      <c r="O1591" s="274"/>
    </row>
    <row r="1592" spans="15:15" ht="15" x14ac:dyDescent="0.25">
      <c r="O1592" s="274"/>
    </row>
    <row r="1593" spans="15:15" ht="15" x14ac:dyDescent="0.25">
      <c r="O1593" s="274"/>
    </row>
    <row r="1594" spans="15:15" ht="15" x14ac:dyDescent="0.25">
      <c r="O1594" s="274"/>
    </row>
    <row r="1595" spans="15:15" ht="15" x14ac:dyDescent="0.25">
      <c r="O1595" s="274"/>
    </row>
    <row r="1596" spans="15:15" ht="15" x14ac:dyDescent="0.25">
      <c r="O1596" s="274"/>
    </row>
    <row r="1597" spans="15:15" ht="15" x14ac:dyDescent="0.25">
      <c r="O1597" s="274"/>
    </row>
    <row r="1598" spans="15:15" ht="15" x14ac:dyDescent="0.25">
      <c r="O1598" s="274"/>
    </row>
    <row r="1599" spans="15:15" ht="15" x14ac:dyDescent="0.25">
      <c r="O1599" s="274"/>
    </row>
    <row r="1600" spans="15:15" ht="15" x14ac:dyDescent="0.25">
      <c r="O1600" s="274"/>
    </row>
    <row r="1601" spans="15:15" ht="15" x14ac:dyDescent="0.25">
      <c r="O1601" s="274"/>
    </row>
    <row r="1602" spans="15:15" ht="15" x14ac:dyDescent="0.25">
      <c r="O1602" s="274"/>
    </row>
    <row r="1603" spans="15:15" ht="15" x14ac:dyDescent="0.25">
      <c r="O1603" s="274"/>
    </row>
    <row r="1604" spans="15:15" ht="15" x14ac:dyDescent="0.25">
      <c r="O1604" s="274"/>
    </row>
    <row r="1605" spans="15:15" ht="15" x14ac:dyDescent="0.25">
      <c r="O1605" s="274"/>
    </row>
    <row r="1606" spans="15:15" ht="15" x14ac:dyDescent="0.25">
      <c r="O1606" s="274"/>
    </row>
    <row r="1607" spans="15:15" ht="15" x14ac:dyDescent="0.25">
      <c r="O1607" s="274"/>
    </row>
    <row r="1608" spans="15:15" ht="15" x14ac:dyDescent="0.25">
      <c r="O1608" s="274"/>
    </row>
    <row r="1609" spans="15:15" ht="15" x14ac:dyDescent="0.25">
      <c r="O1609" s="274"/>
    </row>
    <row r="1610" spans="15:15" ht="15" x14ac:dyDescent="0.25">
      <c r="O1610" s="274"/>
    </row>
    <row r="1611" spans="15:15" ht="15" x14ac:dyDescent="0.25">
      <c r="O1611" s="274"/>
    </row>
    <row r="1612" spans="15:15" ht="15" x14ac:dyDescent="0.25">
      <c r="O1612" s="274"/>
    </row>
    <row r="1613" spans="15:15" ht="15" x14ac:dyDescent="0.25">
      <c r="O1613" s="274"/>
    </row>
    <row r="1614" spans="15:15" ht="15" x14ac:dyDescent="0.25">
      <c r="O1614" s="274"/>
    </row>
    <row r="1615" spans="15:15" ht="15" x14ac:dyDescent="0.25">
      <c r="O1615" s="274"/>
    </row>
    <row r="1616" spans="15:15" ht="15" x14ac:dyDescent="0.25">
      <c r="O1616" s="274"/>
    </row>
    <row r="1617" spans="15:15" ht="15" x14ac:dyDescent="0.25">
      <c r="O1617" s="274"/>
    </row>
    <row r="1618" spans="15:15" ht="15" x14ac:dyDescent="0.25">
      <c r="O1618" s="274"/>
    </row>
    <row r="1619" spans="15:15" ht="15" x14ac:dyDescent="0.25">
      <c r="O1619" s="274"/>
    </row>
    <row r="1620" spans="15:15" ht="15" x14ac:dyDescent="0.25">
      <c r="O1620" s="274"/>
    </row>
    <row r="1621" spans="15:15" ht="15" x14ac:dyDescent="0.25">
      <c r="O1621" s="274"/>
    </row>
    <row r="1622" spans="15:15" ht="15" x14ac:dyDescent="0.25">
      <c r="O1622" s="274"/>
    </row>
    <row r="1623" spans="15:15" ht="15" x14ac:dyDescent="0.25">
      <c r="O1623" s="274"/>
    </row>
    <row r="1624" spans="15:15" ht="15" x14ac:dyDescent="0.25">
      <c r="O1624" s="274"/>
    </row>
    <row r="1625" spans="15:15" ht="15" x14ac:dyDescent="0.25">
      <c r="O1625" s="274"/>
    </row>
    <row r="1626" spans="15:15" ht="15" x14ac:dyDescent="0.25">
      <c r="O1626" s="274"/>
    </row>
    <row r="1627" spans="15:15" ht="15" x14ac:dyDescent="0.25">
      <c r="O1627" s="274"/>
    </row>
    <row r="1628" spans="15:15" ht="15" x14ac:dyDescent="0.25">
      <c r="O1628" s="274"/>
    </row>
    <row r="1629" spans="15:15" ht="15" x14ac:dyDescent="0.25">
      <c r="O1629" s="274"/>
    </row>
    <row r="1630" spans="15:15" ht="15" x14ac:dyDescent="0.25">
      <c r="O1630" s="274"/>
    </row>
    <row r="1631" spans="15:15" ht="15" x14ac:dyDescent="0.25">
      <c r="O1631" s="274"/>
    </row>
    <row r="1632" spans="15:15" ht="15" x14ac:dyDescent="0.25">
      <c r="O1632" s="274"/>
    </row>
    <row r="1633" spans="15:15" ht="15" x14ac:dyDescent="0.25">
      <c r="O1633" s="274"/>
    </row>
    <row r="1634" spans="15:15" ht="15" x14ac:dyDescent="0.25">
      <c r="O1634" s="274"/>
    </row>
    <row r="1635" spans="15:15" ht="15" x14ac:dyDescent="0.25">
      <c r="O1635" s="274"/>
    </row>
    <row r="1636" spans="15:15" ht="15" x14ac:dyDescent="0.25">
      <c r="O1636" s="274"/>
    </row>
    <row r="1637" spans="15:15" ht="15" x14ac:dyDescent="0.25">
      <c r="O1637" s="274"/>
    </row>
    <row r="1638" spans="15:15" ht="15" x14ac:dyDescent="0.25">
      <c r="O1638" s="274"/>
    </row>
    <row r="1639" spans="15:15" ht="15" x14ac:dyDescent="0.25">
      <c r="O1639" s="274"/>
    </row>
    <row r="1640" spans="15:15" ht="15" x14ac:dyDescent="0.25">
      <c r="O1640" s="274"/>
    </row>
    <row r="1641" spans="15:15" ht="15" x14ac:dyDescent="0.25">
      <c r="O1641" s="274"/>
    </row>
    <row r="1642" spans="15:15" ht="15" x14ac:dyDescent="0.25">
      <c r="O1642" s="274"/>
    </row>
    <row r="1643" spans="15:15" ht="15" x14ac:dyDescent="0.25">
      <c r="O1643" s="274"/>
    </row>
    <row r="1644" spans="15:15" ht="15" x14ac:dyDescent="0.25">
      <c r="O1644" s="274"/>
    </row>
    <row r="1645" spans="15:15" ht="15" x14ac:dyDescent="0.25">
      <c r="O1645" s="274"/>
    </row>
    <row r="1646" spans="15:15" ht="15" x14ac:dyDescent="0.25">
      <c r="O1646" s="274"/>
    </row>
    <row r="1647" spans="15:15" ht="15" x14ac:dyDescent="0.25">
      <c r="O1647" s="274"/>
    </row>
    <row r="1648" spans="15:15" ht="15" x14ac:dyDescent="0.25">
      <c r="O1648" s="274"/>
    </row>
    <row r="1649" spans="15:15" ht="15" x14ac:dyDescent="0.25">
      <c r="O1649" s="274"/>
    </row>
    <row r="1650" spans="15:15" ht="15" x14ac:dyDescent="0.25">
      <c r="O1650" s="274"/>
    </row>
    <row r="1651" spans="15:15" ht="15" x14ac:dyDescent="0.25">
      <c r="O1651" s="274"/>
    </row>
    <row r="1652" spans="15:15" ht="15" x14ac:dyDescent="0.25">
      <c r="O1652" s="274"/>
    </row>
    <row r="1653" spans="15:15" ht="15" x14ac:dyDescent="0.25">
      <c r="O1653" s="274"/>
    </row>
    <row r="1654" spans="15:15" ht="15" x14ac:dyDescent="0.25">
      <c r="O1654" s="274"/>
    </row>
    <row r="1655" spans="15:15" ht="15" x14ac:dyDescent="0.25">
      <c r="O1655" s="274"/>
    </row>
    <row r="1656" spans="15:15" ht="15" x14ac:dyDescent="0.25">
      <c r="O1656" s="274"/>
    </row>
    <row r="1657" spans="15:15" ht="15" x14ac:dyDescent="0.25">
      <c r="O1657" s="274"/>
    </row>
    <row r="1658" spans="15:15" ht="15" x14ac:dyDescent="0.25">
      <c r="O1658" s="274"/>
    </row>
    <row r="1659" spans="15:15" ht="15" x14ac:dyDescent="0.25">
      <c r="O1659" s="274"/>
    </row>
    <row r="1660" spans="15:15" ht="15" x14ac:dyDescent="0.25">
      <c r="O1660" s="274"/>
    </row>
    <row r="1661" spans="15:15" ht="15" x14ac:dyDescent="0.25">
      <c r="O1661" s="274"/>
    </row>
    <row r="1662" spans="15:15" ht="15" x14ac:dyDescent="0.25">
      <c r="O1662" s="274"/>
    </row>
    <row r="1663" spans="15:15" ht="15" x14ac:dyDescent="0.25">
      <c r="O1663" s="274"/>
    </row>
    <row r="1664" spans="15:15" ht="15" x14ac:dyDescent="0.25">
      <c r="O1664" s="274"/>
    </row>
    <row r="1665" spans="15:15" ht="15" x14ac:dyDescent="0.25">
      <c r="O1665" s="274"/>
    </row>
    <row r="1666" spans="15:15" ht="15" x14ac:dyDescent="0.25">
      <c r="O1666" s="274"/>
    </row>
    <row r="1667" spans="15:15" ht="15" x14ac:dyDescent="0.25">
      <c r="O1667" s="274"/>
    </row>
    <row r="1668" spans="15:15" ht="15" x14ac:dyDescent="0.25">
      <c r="O1668" s="274"/>
    </row>
    <row r="1669" spans="15:15" ht="15" x14ac:dyDescent="0.25">
      <c r="O1669" s="274"/>
    </row>
    <row r="1670" spans="15:15" ht="15" x14ac:dyDescent="0.25">
      <c r="O1670" s="274"/>
    </row>
    <row r="1671" spans="15:15" ht="15" x14ac:dyDescent="0.25">
      <c r="O1671" s="274"/>
    </row>
    <row r="1672" spans="15:15" ht="15" x14ac:dyDescent="0.25">
      <c r="O1672" s="274"/>
    </row>
    <row r="1673" spans="15:15" ht="15" x14ac:dyDescent="0.25">
      <c r="O1673" s="274"/>
    </row>
    <row r="1674" spans="15:15" ht="15" x14ac:dyDescent="0.25">
      <c r="O1674" s="274"/>
    </row>
    <row r="1675" spans="15:15" ht="15" x14ac:dyDescent="0.25">
      <c r="O1675" s="274"/>
    </row>
    <row r="1676" spans="15:15" ht="15" x14ac:dyDescent="0.25">
      <c r="O1676" s="274"/>
    </row>
    <row r="1677" spans="15:15" ht="15" x14ac:dyDescent="0.25">
      <c r="O1677" s="274"/>
    </row>
    <row r="1678" spans="15:15" ht="15" x14ac:dyDescent="0.25">
      <c r="O1678" s="274"/>
    </row>
    <row r="1679" spans="15:15" ht="15" x14ac:dyDescent="0.25">
      <c r="O1679" s="274"/>
    </row>
    <row r="1680" spans="15:15" ht="15" x14ac:dyDescent="0.25">
      <c r="O1680" s="274"/>
    </row>
    <row r="1681" spans="15:15" ht="15" x14ac:dyDescent="0.25">
      <c r="O1681" s="274"/>
    </row>
    <row r="1682" spans="15:15" ht="15" x14ac:dyDescent="0.25">
      <c r="O1682" s="274"/>
    </row>
    <row r="1683" spans="15:15" ht="15" x14ac:dyDescent="0.25">
      <c r="O1683" s="274"/>
    </row>
    <row r="1684" spans="15:15" ht="15" x14ac:dyDescent="0.25">
      <c r="O1684" s="274"/>
    </row>
    <row r="1685" spans="15:15" ht="15" x14ac:dyDescent="0.25">
      <c r="O1685" s="274"/>
    </row>
    <row r="1686" spans="15:15" ht="15" x14ac:dyDescent="0.25">
      <c r="O1686" s="274"/>
    </row>
    <row r="1687" spans="15:15" ht="15" x14ac:dyDescent="0.25">
      <c r="O1687" s="274"/>
    </row>
    <row r="1688" spans="15:15" ht="15" x14ac:dyDescent="0.25">
      <c r="O1688" s="274"/>
    </row>
    <row r="1689" spans="15:15" ht="15" x14ac:dyDescent="0.25">
      <c r="O1689" s="274"/>
    </row>
    <row r="1690" spans="15:15" ht="15" x14ac:dyDescent="0.25">
      <c r="O1690" s="274"/>
    </row>
    <row r="1691" spans="15:15" ht="15" x14ac:dyDescent="0.25">
      <c r="O1691" s="274"/>
    </row>
    <row r="1692" spans="15:15" ht="15" x14ac:dyDescent="0.25">
      <c r="O1692" s="274"/>
    </row>
    <row r="1693" spans="15:15" ht="15" x14ac:dyDescent="0.25">
      <c r="O1693" s="274"/>
    </row>
    <row r="1694" spans="15:15" ht="15" x14ac:dyDescent="0.25">
      <c r="O1694" s="274"/>
    </row>
    <row r="1695" spans="15:15" ht="15" x14ac:dyDescent="0.25">
      <c r="O1695" s="274"/>
    </row>
    <row r="1696" spans="15:15" ht="15" x14ac:dyDescent="0.25">
      <c r="O1696" s="274"/>
    </row>
    <row r="1697" spans="15:15" ht="15" x14ac:dyDescent="0.25">
      <c r="O1697" s="274"/>
    </row>
    <row r="1698" spans="15:15" ht="15" x14ac:dyDescent="0.25">
      <c r="O1698" s="274"/>
    </row>
    <row r="1699" spans="15:15" ht="15" x14ac:dyDescent="0.25">
      <c r="O1699" s="274"/>
    </row>
    <row r="1700" spans="15:15" ht="15" x14ac:dyDescent="0.25">
      <c r="O1700" s="274"/>
    </row>
    <row r="1701" spans="15:15" ht="15" x14ac:dyDescent="0.25">
      <c r="O1701" s="274"/>
    </row>
    <row r="1702" spans="15:15" ht="15" x14ac:dyDescent="0.25">
      <c r="O1702" s="274"/>
    </row>
    <row r="1703" spans="15:15" ht="15" x14ac:dyDescent="0.25">
      <c r="O1703" s="274"/>
    </row>
    <row r="1704" spans="15:15" ht="15" x14ac:dyDescent="0.25">
      <c r="O1704" s="274"/>
    </row>
    <row r="1705" spans="15:15" ht="15" x14ac:dyDescent="0.25">
      <c r="O1705" s="274"/>
    </row>
    <row r="1706" spans="15:15" ht="15" x14ac:dyDescent="0.25">
      <c r="O1706" s="274"/>
    </row>
    <row r="1707" spans="15:15" ht="15" x14ac:dyDescent="0.25">
      <c r="O1707" s="274"/>
    </row>
    <row r="1708" spans="15:15" ht="15" x14ac:dyDescent="0.25">
      <c r="O1708" s="274"/>
    </row>
    <row r="1709" spans="15:15" ht="15" x14ac:dyDescent="0.25">
      <c r="O1709" s="274"/>
    </row>
    <row r="1710" spans="15:15" ht="15" x14ac:dyDescent="0.25">
      <c r="O1710" s="274"/>
    </row>
    <row r="1711" spans="15:15" ht="15" x14ac:dyDescent="0.25">
      <c r="O1711" s="274"/>
    </row>
    <row r="1712" spans="15:15" ht="15" x14ac:dyDescent="0.25">
      <c r="O1712" s="274"/>
    </row>
    <row r="1713" spans="15:15" ht="15" x14ac:dyDescent="0.25">
      <c r="O1713" s="274"/>
    </row>
    <row r="1714" spans="15:15" ht="15" x14ac:dyDescent="0.25">
      <c r="O1714" s="274"/>
    </row>
    <row r="1715" spans="15:15" ht="15" x14ac:dyDescent="0.25">
      <c r="O1715" s="274"/>
    </row>
    <row r="1716" spans="15:15" ht="15" x14ac:dyDescent="0.25">
      <c r="O1716" s="274"/>
    </row>
    <row r="1717" spans="15:15" ht="15" x14ac:dyDescent="0.25">
      <c r="O1717" s="274"/>
    </row>
    <row r="1718" spans="15:15" ht="15" x14ac:dyDescent="0.25">
      <c r="O1718" s="274"/>
    </row>
    <row r="1719" spans="15:15" ht="15" x14ac:dyDescent="0.25">
      <c r="O1719" s="274"/>
    </row>
    <row r="1720" spans="15:15" ht="15" x14ac:dyDescent="0.25">
      <c r="O1720" s="274"/>
    </row>
    <row r="1721" spans="15:15" ht="15" x14ac:dyDescent="0.25">
      <c r="O1721" s="274"/>
    </row>
    <row r="1722" spans="15:15" ht="15" x14ac:dyDescent="0.25">
      <c r="O1722" s="274"/>
    </row>
    <row r="1723" spans="15:15" ht="15" x14ac:dyDescent="0.25">
      <c r="O1723" s="274"/>
    </row>
    <row r="1724" spans="15:15" ht="15" x14ac:dyDescent="0.25">
      <c r="O1724" s="274"/>
    </row>
    <row r="1725" spans="15:15" ht="15" x14ac:dyDescent="0.25">
      <c r="O1725" s="274"/>
    </row>
    <row r="1726" spans="15:15" ht="15" x14ac:dyDescent="0.25">
      <c r="O1726" s="274"/>
    </row>
    <row r="1727" spans="15:15" ht="15" x14ac:dyDescent="0.25">
      <c r="O1727" s="274"/>
    </row>
    <row r="1728" spans="15:15" ht="15" x14ac:dyDescent="0.25">
      <c r="O1728" s="274"/>
    </row>
    <row r="1729" spans="15:15" ht="15" x14ac:dyDescent="0.25">
      <c r="O1729" s="274"/>
    </row>
    <row r="1730" spans="15:15" ht="15" x14ac:dyDescent="0.25">
      <c r="O1730" s="274"/>
    </row>
    <row r="1731" spans="15:15" ht="15" x14ac:dyDescent="0.25">
      <c r="O1731" s="274"/>
    </row>
    <row r="1732" spans="15:15" ht="15" x14ac:dyDescent="0.25">
      <c r="O1732" s="274"/>
    </row>
    <row r="1733" spans="15:15" ht="15" x14ac:dyDescent="0.25">
      <c r="O1733" s="274"/>
    </row>
    <row r="1734" spans="15:15" ht="15" x14ac:dyDescent="0.25">
      <c r="O1734" s="274"/>
    </row>
    <row r="1735" spans="15:15" ht="15" x14ac:dyDescent="0.25">
      <c r="O1735" s="274"/>
    </row>
    <row r="1736" spans="15:15" ht="15" x14ac:dyDescent="0.25">
      <c r="O1736" s="274"/>
    </row>
    <row r="1737" spans="15:15" ht="15" x14ac:dyDescent="0.25">
      <c r="O1737" s="274"/>
    </row>
    <row r="1738" spans="15:15" ht="15" x14ac:dyDescent="0.25">
      <c r="O1738" s="274"/>
    </row>
    <row r="1739" spans="15:15" ht="15" x14ac:dyDescent="0.25">
      <c r="O1739" s="274"/>
    </row>
    <row r="1740" spans="15:15" ht="15" x14ac:dyDescent="0.25">
      <c r="O1740" s="274"/>
    </row>
    <row r="1741" spans="15:15" ht="15" x14ac:dyDescent="0.25">
      <c r="O1741" s="274"/>
    </row>
    <row r="1742" spans="15:15" ht="15" x14ac:dyDescent="0.25">
      <c r="O1742" s="274"/>
    </row>
    <row r="1743" spans="15:15" ht="15" x14ac:dyDescent="0.25">
      <c r="O1743" s="274"/>
    </row>
    <row r="1744" spans="15:15" ht="15" x14ac:dyDescent="0.25">
      <c r="O1744" s="274"/>
    </row>
    <row r="1745" spans="15:15" ht="15" x14ac:dyDescent="0.25">
      <c r="O1745" s="274"/>
    </row>
    <row r="1746" spans="15:15" ht="15" x14ac:dyDescent="0.25">
      <c r="O1746" s="274"/>
    </row>
    <row r="1747" spans="15:15" ht="15" x14ac:dyDescent="0.25">
      <c r="O1747" s="274"/>
    </row>
    <row r="1748" spans="15:15" ht="15" x14ac:dyDescent="0.25">
      <c r="O1748" s="274"/>
    </row>
    <row r="1749" spans="15:15" ht="15" x14ac:dyDescent="0.25">
      <c r="O1749" s="274"/>
    </row>
    <row r="1750" spans="15:15" ht="15" x14ac:dyDescent="0.25">
      <c r="O1750" s="274"/>
    </row>
    <row r="1751" spans="15:15" ht="15" x14ac:dyDescent="0.25">
      <c r="O1751" s="274"/>
    </row>
    <row r="1752" spans="15:15" ht="15" x14ac:dyDescent="0.25">
      <c r="O1752" s="274"/>
    </row>
    <row r="1753" spans="15:15" ht="15" x14ac:dyDescent="0.25">
      <c r="O1753" s="274"/>
    </row>
    <row r="1754" spans="15:15" ht="15" x14ac:dyDescent="0.25">
      <c r="O1754" s="274"/>
    </row>
    <row r="1755" spans="15:15" ht="15" x14ac:dyDescent="0.25">
      <c r="O1755" s="274"/>
    </row>
    <row r="1756" spans="15:15" ht="15" x14ac:dyDescent="0.25">
      <c r="O1756" s="274"/>
    </row>
    <row r="1757" spans="15:15" ht="15" x14ac:dyDescent="0.25">
      <c r="O1757" s="274"/>
    </row>
    <row r="1758" spans="15:15" ht="15" x14ac:dyDescent="0.25">
      <c r="O1758" s="274"/>
    </row>
    <row r="1759" spans="15:15" ht="15" x14ac:dyDescent="0.25">
      <c r="O1759" s="274"/>
    </row>
    <row r="1760" spans="15:15" ht="15" x14ac:dyDescent="0.25">
      <c r="O1760" s="274"/>
    </row>
    <row r="1761" spans="15:15" ht="15" x14ac:dyDescent="0.25">
      <c r="O1761" s="274"/>
    </row>
    <row r="1762" spans="15:15" ht="15" x14ac:dyDescent="0.25">
      <c r="O1762" s="274"/>
    </row>
    <row r="1763" spans="15:15" ht="15" x14ac:dyDescent="0.25">
      <c r="O1763" s="274"/>
    </row>
    <row r="1764" spans="15:15" ht="15" x14ac:dyDescent="0.25">
      <c r="O1764" s="274"/>
    </row>
    <row r="1765" spans="15:15" ht="15" x14ac:dyDescent="0.25">
      <c r="O1765" s="274"/>
    </row>
    <row r="1766" spans="15:15" ht="15" x14ac:dyDescent="0.25">
      <c r="O1766" s="274"/>
    </row>
    <row r="1767" spans="15:15" ht="15" x14ac:dyDescent="0.25">
      <c r="O1767" s="274"/>
    </row>
    <row r="1768" spans="15:15" ht="15" x14ac:dyDescent="0.25">
      <c r="O1768" s="274"/>
    </row>
    <row r="1769" spans="15:15" ht="15" x14ac:dyDescent="0.25">
      <c r="O1769" s="274"/>
    </row>
    <row r="1770" spans="15:15" ht="15" x14ac:dyDescent="0.25">
      <c r="O1770" s="274"/>
    </row>
    <row r="1771" spans="15:15" ht="15" x14ac:dyDescent="0.25">
      <c r="O1771" s="274"/>
    </row>
    <row r="1772" spans="15:15" ht="15" x14ac:dyDescent="0.25">
      <c r="O1772" s="274"/>
    </row>
    <row r="1773" spans="15:15" ht="15" x14ac:dyDescent="0.25">
      <c r="O1773" s="274"/>
    </row>
    <row r="1774" spans="15:15" ht="15" x14ac:dyDescent="0.25">
      <c r="O1774" s="274"/>
    </row>
    <row r="1775" spans="15:15" ht="15" x14ac:dyDescent="0.25">
      <c r="O1775" s="274"/>
    </row>
    <row r="1776" spans="15:15" ht="15" x14ac:dyDescent="0.25">
      <c r="O1776" s="274"/>
    </row>
    <row r="1777" spans="15:15" ht="15" x14ac:dyDescent="0.25">
      <c r="O1777" s="274"/>
    </row>
    <row r="1778" spans="15:15" ht="15" x14ac:dyDescent="0.25">
      <c r="O1778" s="274"/>
    </row>
    <row r="1779" spans="15:15" ht="15" x14ac:dyDescent="0.25">
      <c r="O1779" s="274"/>
    </row>
    <row r="1780" spans="15:15" ht="15" x14ac:dyDescent="0.25">
      <c r="O1780" s="274"/>
    </row>
    <row r="1781" spans="15:15" ht="15" x14ac:dyDescent="0.25">
      <c r="O1781" s="274"/>
    </row>
    <row r="1782" spans="15:15" ht="15" x14ac:dyDescent="0.25">
      <c r="O1782" s="274"/>
    </row>
    <row r="1783" spans="15:15" ht="15" x14ac:dyDescent="0.25">
      <c r="O1783" s="274"/>
    </row>
    <row r="1784" spans="15:15" ht="15" x14ac:dyDescent="0.25">
      <c r="O1784" s="274"/>
    </row>
    <row r="1785" spans="15:15" ht="15" x14ac:dyDescent="0.25">
      <c r="O1785" s="274"/>
    </row>
    <row r="1786" spans="15:15" ht="15" x14ac:dyDescent="0.25">
      <c r="O1786" s="274"/>
    </row>
    <row r="1787" spans="15:15" ht="15" x14ac:dyDescent="0.25">
      <c r="O1787" s="274"/>
    </row>
    <row r="1788" spans="15:15" ht="15" x14ac:dyDescent="0.25">
      <c r="O1788" s="274"/>
    </row>
    <row r="1789" spans="15:15" ht="15" x14ac:dyDescent="0.25">
      <c r="O1789" s="274"/>
    </row>
    <row r="1790" spans="15:15" ht="15" x14ac:dyDescent="0.25">
      <c r="O1790" s="274"/>
    </row>
    <row r="1791" spans="15:15" ht="15" x14ac:dyDescent="0.25">
      <c r="O1791" s="274"/>
    </row>
    <row r="1792" spans="15:15" ht="15" x14ac:dyDescent="0.25">
      <c r="O1792" s="274"/>
    </row>
    <row r="1793" spans="15:15" ht="15" x14ac:dyDescent="0.25">
      <c r="O1793" s="274"/>
    </row>
    <row r="1794" spans="15:15" ht="15" x14ac:dyDescent="0.25">
      <c r="O1794" s="274"/>
    </row>
    <row r="1795" spans="15:15" ht="15" x14ac:dyDescent="0.25">
      <c r="O1795" s="274"/>
    </row>
    <row r="1796" spans="15:15" ht="15" x14ac:dyDescent="0.25">
      <c r="O1796" s="274"/>
    </row>
    <row r="1797" spans="15:15" ht="15" x14ac:dyDescent="0.25">
      <c r="O1797" s="274"/>
    </row>
    <row r="1798" spans="15:15" ht="15" x14ac:dyDescent="0.25">
      <c r="O1798" s="274"/>
    </row>
    <row r="1799" spans="15:15" ht="15" x14ac:dyDescent="0.25">
      <c r="O1799" s="274"/>
    </row>
    <row r="1800" spans="15:15" ht="15" x14ac:dyDescent="0.25">
      <c r="O1800" s="274"/>
    </row>
    <row r="1801" spans="15:15" ht="15" x14ac:dyDescent="0.25">
      <c r="O1801" s="274"/>
    </row>
    <row r="1802" spans="15:15" ht="15" x14ac:dyDescent="0.25">
      <c r="O1802" s="274"/>
    </row>
    <row r="1803" spans="15:15" ht="15" x14ac:dyDescent="0.25">
      <c r="O1803" s="274"/>
    </row>
    <row r="1804" spans="15:15" ht="15" x14ac:dyDescent="0.25">
      <c r="O1804" s="274"/>
    </row>
    <row r="1805" spans="15:15" ht="15" x14ac:dyDescent="0.25">
      <c r="O1805" s="274"/>
    </row>
    <row r="1806" spans="15:15" ht="15" x14ac:dyDescent="0.25">
      <c r="O1806" s="274"/>
    </row>
    <row r="1807" spans="15:15" ht="15" x14ac:dyDescent="0.25">
      <c r="O1807" s="274"/>
    </row>
    <row r="1808" spans="15:15" ht="15" x14ac:dyDescent="0.25">
      <c r="O1808" s="274"/>
    </row>
    <row r="1809" spans="15:15" ht="15" x14ac:dyDescent="0.25">
      <c r="O1809" s="274"/>
    </row>
    <row r="1810" spans="15:15" ht="15" x14ac:dyDescent="0.25">
      <c r="O1810" s="274"/>
    </row>
    <row r="1811" spans="15:15" ht="15" x14ac:dyDescent="0.25">
      <c r="O1811" s="274"/>
    </row>
    <row r="1812" spans="15:15" ht="15" x14ac:dyDescent="0.25">
      <c r="O1812" s="274"/>
    </row>
    <row r="1813" spans="15:15" ht="15" x14ac:dyDescent="0.25">
      <c r="O1813" s="274"/>
    </row>
    <row r="1814" spans="15:15" ht="15" x14ac:dyDescent="0.25">
      <c r="O1814" s="274"/>
    </row>
    <row r="1815" spans="15:15" ht="15" x14ac:dyDescent="0.25">
      <c r="O1815" s="274"/>
    </row>
    <row r="1816" spans="15:15" ht="15" x14ac:dyDescent="0.25">
      <c r="O1816" s="274"/>
    </row>
    <row r="1817" spans="15:15" ht="15" x14ac:dyDescent="0.25">
      <c r="O1817" s="274"/>
    </row>
    <row r="1818" spans="15:15" ht="15" x14ac:dyDescent="0.25">
      <c r="O1818" s="274"/>
    </row>
    <row r="1819" spans="15:15" ht="15" x14ac:dyDescent="0.25">
      <c r="O1819" s="274"/>
    </row>
    <row r="1820" spans="15:15" ht="15" x14ac:dyDescent="0.25">
      <c r="O1820" s="274"/>
    </row>
    <row r="1821" spans="15:15" ht="15" x14ac:dyDescent="0.25">
      <c r="O1821" s="274"/>
    </row>
    <row r="1822" spans="15:15" ht="15" x14ac:dyDescent="0.25">
      <c r="O1822" s="274"/>
    </row>
    <row r="1823" spans="15:15" ht="15" x14ac:dyDescent="0.25">
      <c r="O1823" s="274"/>
    </row>
    <row r="1824" spans="15:15" ht="15" x14ac:dyDescent="0.25">
      <c r="O1824" s="274"/>
    </row>
    <row r="1825" spans="15:15" ht="15" x14ac:dyDescent="0.25">
      <c r="O1825" s="274"/>
    </row>
    <row r="1826" spans="15:15" ht="15" x14ac:dyDescent="0.25">
      <c r="O1826" s="274"/>
    </row>
    <row r="1827" spans="15:15" ht="15" x14ac:dyDescent="0.25">
      <c r="O1827" s="274"/>
    </row>
    <row r="1828" spans="15:15" ht="15" x14ac:dyDescent="0.25">
      <c r="O1828" s="274"/>
    </row>
    <row r="1829" spans="15:15" ht="15" x14ac:dyDescent="0.25">
      <c r="O1829" s="274"/>
    </row>
    <row r="1830" spans="15:15" ht="15" x14ac:dyDescent="0.25">
      <c r="O1830" s="274"/>
    </row>
    <row r="1831" spans="15:15" ht="15" x14ac:dyDescent="0.25">
      <c r="O1831" s="274"/>
    </row>
    <row r="1832" spans="15:15" ht="15" x14ac:dyDescent="0.25">
      <c r="O1832" s="274"/>
    </row>
    <row r="1833" spans="15:15" ht="15" x14ac:dyDescent="0.25">
      <c r="O1833" s="274"/>
    </row>
    <row r="1834" spans="15:15" ht="15" x14ac:dyDescent="0.25">
      <c r="O1834" s="274"/>
    </row>
    <row r="1835" spans="15:15" ht="15" x14ac:dyDescent="0.25">
      <c r="O1835" s="274"/>
    </row>
    <row r="1836" spans="15:15" ht="15" x14ac:dyDescent="0.25">
      <c r="O1836" s="274"/>
    </row>
    <row r="1837" spans="15:15" ht="15" x14ac:dyDescent="0.25">
      <c r="O1837" s="274"/>
    </row>
    <row r="1838" spans="15:15" ht="15" x14ac:dyDescent="0.25">
      <c r="O1838" s="274"/>
    </row>
    <row r="1839" spans="15:15" ht="15" x14ac:dyDescent="0.25">
      <c r="O1839" s="274"/>
    </row>
    <row r="1840" spans="15:15" ht="15" x14ac:dyDescent="0.25">
      <c r="O1840" s="274"/>
    </row>
    <row r="1841" spans="15:15" ht="15" x14ac:dyDescent="0.25">
      <c r="O1841" s="274"/>
    </row>
    <row r="1842" spans="15:15" ht="15" x14ac:dyDescent="0.25">
      <c r="O1842" s="274"/>
    </row>
    <row r="1843" spans="15:15" ht="15" x14ac:dyDescent="0.25">
      <c r="O1843" s="274"/>
    </row>
    <row r="1844" spans="15:15" ht="15" x14ac:dyDescent="0.25">
      <c r="O1844" s="274"/>
    </row>
    <row r="1845" spans="15:15" ht="15" x14ac:dyDescent="0.25">
      <c r="O1845" s="274"/>
    </row>
    <row r="1846" spans="15:15" ht="15" x14ac:dyDescent="0.25">
      <c r="O1846" s="274"/>
    </row>
    <row r="1847" spans="15:15" ht="15" x14ac:dyDescent="0.25">
      <c r="O1847" s="274"/>
    </row>
    <row r="1848" spans="15:15" ht="15" x14ac:dyDescent="0.25">
      <c r="O1848" s="274"/>
    </row>
    <row r="1849" spans="15:15" ht="15" x14ac:dyDescent="0.25">
      <c r="O1849" s="274"/>
    </row>
    <row r="1850" spans="15:15" ht="15" x14ac:dyDescent="0.25">
      <c r="O1850" s="274"/>
    </row>
    <row r="1851" spans="15:15" ht="15" x14ac:dyDescent="0.25">
      <c r="O1851" s="274"/>
    </row>
    <row r="1852" spans="15:15" ht="15" x14ac:dyDescent="0.25">
      <c r="O1852" s="274"/>
    </row>
    <row r="1853" spans="15:15" ht="15" x14ac:dyDescent="0.25">
      <c r="O1853" s="274"/>
    </row>
    <row r="1854" spans="15:15" ht="15" x14ac:dyDescent="0.25">
      <c r="O1854" s="274"/>
    </row>
    <row r="1855" spans="15:15" ht="15" x14ac:dyDescent="0.25">
      <c r="O1855" s="274"/>
    </row>
    <row r="1856" spans="15:15" ht="15" x14ac:dyDescent="0.25">
      <c r="O1856" s="274"/>
    </row>
    <row r="1857" spans="15:15" ht="15" x14ac:dyDescent="0.25">
      <c r="O1857" s="274"/>
    </row>
    <row r="1858" spans="15:15" ht="15" x14ac:dyDescent="0.25">
      <c r="O1858" s="274"/>
    </row>
    <row r="1859" spans="15:15" ht="15" x14ac:dyDescent="0.25">
      <c r="O1859" s="274"/>
    </row>
    <row r="1860" spans="15:15" ht="15" x14ac:dyDescent="0.25">
      <c r="O1860" s="274"/>
    </row>
    <row r="1861" spans="15:15" ht="15" x14ac:dyDescent="0.25">
      <c r="O1861" s="274"/>
    </row>
    <row r="1862" spans="15:15" ht="15" x14ac:dyDescent="0.25">
      <c r="O1862" s="274"/>
    </row>
    <row r="1863" spans="15:15" ht="15" x14ac:dyDescent="0.25">
      <c r="O1863" s="274"/>
    </row>
    <row r="1864" spans="15:15" ht="15" x14ac:dyDescent="0.25">
      <c r="O1864" s="274"/>
    </row>
    <row r="1865" spans="15:15" ht="15" x14ac:dyDescent="0.25">
      <c r="O1865" s="274"/>
    </row>
    <row r="1866" spans="15:15" ht="15" x14ac:dyDescent="0.25">
      <c r="O1866" s="274"/>
    </row>
    <row r="1867" spans="15:15" ht="15" x14ac:dyDescent="0.25">
      <c r="O1867" s="274"/>
    </row>
    <row r="1868" spans="15:15" ht="15" x14ac:dyDescent="0.25">
      <c r="O1868" s="274"/>
    </row>
    <row r="1869" spans="15:15" ht="15" x14ac:dyDescent="0.25">
      <c r="O1869" s="274"/>
    </row>
    <row r="1870" spans="15:15" ht="15" x14ac:dyDescent="0.25">
      <c r="O1870" s="274"/>
    </row>
    <row r="1871" spans="15:15" ht="15" x14ac:dyDescent="0.25">
      <c r="O1871" s="274"/>
    </row>
    <row r="1872" spans="15:15" ht="15" x14ac:dyDescent="0.25">
      <c r="O1872" s="274"/>
    </row>
    <row r="1873" spans="15:15" ht="15" x14ac:dyDescent="0.25">
      <c r="O1873" s="274"/>
    </row>
    <row r="1874" spans="15:15" ht="15" x14ac:dyDescent="0.25">
      <c r="O1874" s="274"/>
    </row>
    <row r="1875" spans="15:15" ht="15" x14ac:dyDescent="0.25">
      <c r="O1875" s="274"/>
    </row>
    <row r="1876" spans="15:15" ht="15" x14ac:dyDescent="0.25">
      <c r="O1876" s="274"/>
    </row>
    <row r="1877" spans="15:15" ht="15" x14ac:dyDescent="0.25">
      <c r="O1877" s="274"/>
    </row>
    <row r="1878" spans="15:15" ht="15" x14ac:dyDescent="0.25">
      <c r="O1878" s="274"/>
    </row>
    <row r="1879" spans="15:15" ht="15" x14ac:dyDescent="0.25">
      <c r="O1879" s="274"/>
    </row>
    <row r="1880" spans="15:15" ht="15" x14ac:dyDescent="0.25">
      <c r="O1880" s="274"/>
    </row>
    <row r="1881" spans="15:15" ht="15" x14ac:dyDescent="0.25">
      <c r="O1881" s="274"/>
    </row>
    <row r="1882" spans="15:15" ht="15" x14ac:dyDescent="0.25">
      <c r="O1882" s="274"/>
    </row>
    <row r="1883" spans="15:15" ht="15" x14ac:dyDescent="0.25">
      <c r="O1883" s="274"/>
    </row>
    <row r="1884" spans="15:15" ht="15" x14ac:dyDescent="0.25">
      <c r="O1884" s="274"/>
    </row>
    <row r="1885" spans="15:15" ht="15" x14ac:dyDescent="0.25">
      <c r="O1885" s="274"/>
    </row>
    <row r="1886" spans="15:15" ht="15" x14ac:dyDescent="0.25">
      <c r="O1886" s="274"/>
    </row>
    <row r="1887" spans="15:15" ht="15" x14ac:dyDescent="0.25">
      <c r="O1887" s="274"/>
    </row>
    <row r="1888" spans="15:15" ht="15" x14ac:dyDescent="0.25">
      <c r="O1888" s="274"/>
    </row>
    <row r="1889" spans="15:15" ht="15" x14ac:dyDescent="0.25">
      <c r="O1889" s="274"/>
    </row>
    <row r="1890" spans="15:15" ht="15" x14ac:dyDescent="0.25">
      <c r="O1890" s="274"/>
    </row>
    <row r="1891" spans="15:15" ht="15" x14ac:dyDescent="0.25">
      <c r="O1891" s="274"/>
    </row>
    <row r="1892" spans="15:15" ht="15" x14ac:dyDescent="0.25">
      <c r="O1892" s="274"/>
    </row>
    <row r="1893" spans="15:15" ht="15" x14ac:dyDescent="0.25">
      <c r="O1893" s="274"/>
    </row>
    <row r="1894" spans="15:15" ht="15" x14ac:dyDescent="0.25">
      <c r="O1894" s="274"/>
    </row>
    <row r="1895" spans="15:15" ht="15" x14ac:dyDescent="0.25">
      <c r="O1895" s="274"/>
    </row>
    <row r="1896" spans="15:15" ht="15" x14ac:dyDescent="0.25">
      <c r="O1896" s="274"/>
    </row>
    <row r="1897" spans="15:15" ht="15" x14ac:dyDescent="0.25">
      <c r="O1897" s="274"/>
    </row>
    <row r="1898" spans="15:15" ht="15" x14ac:dyDescent="0.25">
      <c r="O1898" s="274"/>
    </row>
    <row r="1899" spans="15:15" ht="15" x14ac:dyDescent="0.25">
      <c r="O1899" s="274"/>
    </row>
    <row r="1900" spans="15:15" ht="15" x14ac:dyDescent="0.25">
      <c r="O1900" s="274"/>
    </row>
    <row r="1901" spans="15:15" ht="15" x14ac:dyDescent="0.25">
      <c r="O1901" s="274"/>
    </row>
    <row r="1902" spans="15:15" ht="15" x14ac:dyDescent="0.25">
      <c r="O1902" s="274"/>
    </row>
    <row r="1903" spans="15:15" ht="15" x14ac:dyDescent="0.25">
      <c r="O1903" s="274"/>
    </row>
    <row r="1904" spans="15:15" ht="15" x14ac:dyDescent="0.25">
      <c r="O1904" s="274"/>
    </row>
    <row r="1905" spans="15:15" ht="15" x14ac:dyDescent="0.25">
      <c r="O1905" s="274"/>
    </row>
    <row r="1906" spans="15:15" ht="15" x14ac:dyDescent="0.25">
      <c r="O1906" s="274"/>
    </row>
    <row r="1907" spans="15:15" ht="15" x14ac:dyDescent="0.25">
      <c r="O1907" s="274"/>
    </row>
    <row r="1908" spans="15:15" ht="15" x14ac:dyDescent="0.25">
      <c r="O1908" s="274"/>
    </row>
    <row r="1909" spans="15:15" ht="15" x14ac:dyDescent="0.25">
      <c r="O1909" s="274"/>
    </row>
    <row r="1910" spans="15:15" ht="15" x14ac:dyDescent="0.25">
      <c r="O1910" s="274"/>
    </row>
    <row r="1911" spans="15:15" ht="15" x14ac:dyDescent="0.25">
      <c r="O1911" s="274"/>
    </row>
    <row r="1912" spans="15:15" ht="15" x14ac:dyDescent="0.25">
      <c r="O1912" s="274"/>
    </row>
    <row r="1913" spans="15:15" ht="15" x14ac:dyDescent="0.25">
      <c r="O1913" s="274"/>
    </row>
    <row r="1914" spans="15:15" ht="15" x14ac:dyDescent="0.25">
      <c r="O1914" s="274"/>
    </row>
    <row r="1915" spans="15:15" ht="15" x14ac:dyDescent="0.25">
      <c r="O1915" s="274"/>
    </row>
    <row r="1916" spans="15:15" ht="15" x14ac:dyDescent="0.25">
      <c r="O1916" s="274"/>
    </row>
    <row r="1917" spans="15:15" ht="15" x14ac:dyDescent="0.25">
      <c r="O1917" s="274"/>
    </row>
    <row r="1918" spans="15:15" ht="15" x14ac:dyDescent="0.25">
      <c r="O1918" s="274"/>
    </row>
    <row r="1919" spans="15:15" ht="15" x14ac:dyDescent="0.25">
      <c r="O1919" s="274"/>
    </row>
    <row r="1920" spans="15:15" ht="15" x14ac:dyDescent="0.25">
      <c r="O1920" s="274"/>
    </row>
    <row r="1921" spans="15:15" ht="15" x14ac:dyDescent="0.25">
      <c r="O1921" s="274"/>
    </row>
    <row r="1922" spans="15:15" ht="15" x14ac:dyDescent="0.25">
      <c r="O1922" s="274"/>
    </row>
    <row r="1923" spans="15:15" ht="15" x14ac:dyDescent="0.25">
      <c r="O1923" s="274"/>
    </row>
    <row r="1924" spans="15:15" ht="15" x14ac:dyDescent="0.25">
      <c r="O1924" s="274"/>
    </row>
    <row r="1925" spans="15:15" ht="15" x14ac:dyDescent="0.25">
      <c r="O1925" s="274"/>
    </row>
    <row r="1926" spans="15:15" ht="15" x14ac:dyDescent="0.25">
      <c r="O1926" s="274"/>
    </row>
    <row r="1927" spans="15:15" ht="15" x14ac:dyDescent="0.25">
      <c r="O1927" s="274"/>
    </row>
    <row r="1928" spans="15:15" ht="15" x14ac:dyDescent="0.25">
      <c r="O1928" s="274"/>
    </row>
    <row r="1929" spans="15:15" ht="15" x14ac:dyDescent="0.25">
      <c r="O1929" s="274"/>
    </row>
    <row r="1930" spans="15:15" ht="15" x14ac:dyDescent="0.25">
      <c r="O1930" s="274"/>
    </row>
    <row r="1931" spans="15:15" ht="15" x14ac:dyDescent="0.25">
      <c r="O1931" s="274"/>
    </row>
    <row r="1932" spans="15:15" ht="15" x14ac:dyDescent="0.25">
      <c r="O1932" s="274"/>
    </row>
    <row r="1933" spans="15:15" ht="15" x14ac:dyDescent="0.25">
      <c r="O1933" s="274"/>
    </row>
    <row r="1934" spans="15:15" ht="15" x14ac:dyDescent="0.25">
      <c r="O1934" s="274"/>
    </row>
    <row r="1935" spans="15:15" ht="15" x14ac:dyDescent="0.25">
      <c r="O1935" s="274"/>
    </row>
    <row r="1936" spans="15:15" ht="15" x14ac:dyDescent="0.25">
      <c r="O1936" s="274"/>
    </row>
    <row r="1937" spans="15:15" ht="15" x14ac:dyDescent="0.25">
      <c r="O1937" s="274"/>
    </row>
    <row r="1938" spans="15:15" ht="15" x14ac:dyDescent="0.25">
      <c r="O1938" s="274"/>
    </row>
    <row r="1939" spans="15:15" ht="15" x14ac:dyDescent="0.25">
      <c r="O1939" s="274"/>
    </row>
    <row r="1940" spans="15:15" ht="15" x14ac:dyDescent="0.25">
      <c r="O1940" s="274"/>
    </row>
    <row r="1941" spans="15:15" ht="15" x14ac:dyDescent="0.25">
      <c r="O1941" s="274"/>
    </row>
    <row r="1942" spans="15:15" ht="15" x14ac:dyDescent="0.25">
      <c r="O1942" s="274"/>
    </row>
    <row r="1943" spans="15:15" ht="15" x14ac:dyDescent="0.25">
      <c r="O1943" s="274"/>
    </row>
    <row r="1944" spans="15:15" ht="15" x14ac:dyDescent="0.25">
      <c r="O1944" s="274"/>
    </row>
    <row r="1945" spans="15:15" ht="15" x14ac:dyDescent="0.25">
      <c r="O1945" s="274"/>
    </row>
    <row r="1946" spans="15:15" ht="15" x14ac:dyDescent="0.25">
      <c r="O1946" s="274"/>
    </row>
    <row r="1947" spans="15:15" ht="15" x14ac:dyDescent="0.25">
      <c r="O1947" s="274"/>
    </row>
    <row r="1948" spans="15:15" ht="15" x14ac:dyDescent="0.25">
      <c r="O1948" s="274"/>
    </row>
    <row r="1949" spans="15:15" ht="15" x14ac:dyDescent="0.25">
      <c r="O1949" s="274"/>
    </row>
    <row r="1950" spans="15:15" ht="15" x14ac:dyDescent="0.25">
      <c r="O1950" s="274"/>
    </row>
    <row r="1951" spans="15:15" ht="15" x14ac:dyDescent="0.25">
      <c r="O1951" s="274"/>
    </row>
    <row r="1952" spans="15:15" ht="15" x14ac:dyDescent="0.25">
      <c r="O1952" s="274"/>
    </row>
    <row r="1953" spans="15:15" ht="15" x14ac:dyDescent="0.25">
      <c r="O1953" s="274"/>
    </row>
    <row r="1954" spans="15:15" ht="15" x14ac:dyDescent="0.25">
      <c r="O1954" s="274"/>
    </row>
    <row r="1955" spans="15:15" ht="15" x14ac:dyDescent="0.25">
      <c r="O1955" s="274"/>
    </row>
    <row r="1956" spans="15:15" ht="15" x14ac:dyDescent="0.25">
      <c r="O1956" s="274"/>
    </row>
    <row r="1957" spans="15:15" ht="15" x14ac:dyDescent="0.25">
      <c r="O1957" s="274"/>
    </row>
    <row r="1958" spans="15:15" ht="15" x14ac:dyDescent="0.25">
      <c r="O1958" s="274"/>
    </row>
    <row r="1959" spans="15:15" ht="15" x14ac:dyDescent="0.25">
      <c r="O1959" s="274"/>
    </row>
    <row r="1960" spans="15:15" ht="15" x14ac:dyDescent="0.25">
      <c r="O1960" s="274"/>
    </row>
    <row r="1961" spans="15:15" ht="15" x14ac:dyDescent="0.25">
      <c r="O1961" s="274"/>
    </row>
    <row r="1962" spans="15:15" ht="15" x14ac:dyDescent="0.25">
      <c r="O1962" s="274"/>
    </row>
    <row r="1963" spans="15:15" ht="15" x14ac:dyDescent="0.25">
      <c r="O1963" s="274"/>
    </row>
    <row r="1964" spans="15:15" ht="15" x14ac:dyDescent="0.25">
      <c r="O1964" s="274"/>
    </row>
    <row r="1965" spans="15:15" ht="15" x14ac:dyDescent="0.25">
      <c r="O1965" s="274"/>
    </row>
    <row r="1966" spans="15:15" ht="15" x14ac:dyDescent="0.25">
      <c r="O1966" s="274"/>
    </row>
    <row r="1967" spans="15:15" ht="15" x14ac:dyDescent="0.25">
      <c r="O1967" s="274"/>
    </row>
    <row r="1968" spans="15:15" ht="15" x14ac:dyDescent="0.25">
      <c r="O1968" s="274"/>
    </row>
    <row r="1969" spans="15:15" ht="15" x14ac:dyDescent="0.25">
      <c r="O1969" s="274"/>
    </row>
    <row r="1970" spans="15:15" ht="15" x14ac:dyDescent="0.25">
      <c r="O1970" s="274"/>
    </row>
    <row r="1971" spans="15:15" ht="15" x14ac:dyDescent="0.25">
      <c r="O1971" s="274"/>
    </row>
    <row r="1972" spans="15:15" ht="15" x14ac:dyDescent="0.25">
      <c r="O1972" s="274"/>
    </row>
    <row r="1973" spans="15:15" ht="15" x14ac:dyDescent="0.25">
      <c r="O1973" s="274"/>
    </row>
    <row r="1974" spans="15:15" ht="15" x14ac:dyDescent="0.25">
      <c r="O1974" s="274"/>
    </row>
    <row r="1975" spans="15:15" ht="15" x14ac:dyDescent="0.25">
      <c r="O1975" s="274"/>
    </row>
    <row r="1976" spans="15:15" ht="15" x14ac:dyDescent="0.25">
      <c r="O1976" s="274"/>
    </row>
    <row r="1977" spans="15:15" ht="15" x14ac:dyDescent="0.25">
      <c r="O1977" s="274"/>
    </row>
    <row r="1978" spans="15:15" ht="15" x14ac:dyDescent="0.25">
      <c r="O1978" s="274"/>
    </row>
    <row r="1979" spans="15:15" ht="15" x14ac:dyDescent="0.25">
      <c r="O1979" s="274"/>
    </row>
    <row r="1980" spans="15:15" ht="15" x14ac:dyDescent="0.25">
      <c r="O1980" s="274"/>
    </row>
    <row r="1981" spans="15:15" ht="15" x14ac:dyDescent="0.25">
      <c r="O1981" s="274"/>
    </row>
    <row r="1982" spans="15:15" ht="15" x14ac:dyDescent="0.25">
      <c r="O1982" s="274"/>
    </row>
    <row r="1983" spans="15:15" ht="15" x14ac:dyDescent="0.25">
      <c r="O1983" s="274"/>
    </row>
    <row r="1984" spans="15:15" ht="15" x14ac:dyDescent="0.25">
      <c r="O1984" s="274"/>
    </row>
    <row r="1985" spans="15:15" ht="15" x14ac:dyDescent="0.25">
      <c r="O1985" s="274"/>
    </row>
    <row r="1986" spans="15:15" ht="15" x14ac:dyDescent="0.25">
      <c r="O1986" s="274"/>
    </row>
    <row r="1987" spans="15:15" ht="15" x14ac:dyDescent="0.25">
      <c r="O1987" s="274"/>
    </row>
    <row r="1988" spans="15:15" ht="15" x14ac:dyDescent="0.25">
      <c r="O1988" s="274"/>
    </row>
    <row r="1989" spans="15:15" ht="15" x14ac:dyDescent="0.25">
      <c r="O1989" s="274"/>
    </row>
    <row r="1990" spans="15:15" ht="15" x14ac:dyDescent="0.25">
      <c r="O1990" s="274"/>
    </row>
    <row r="1991" spans="15:15" ht="15" x14ac:dyDescent="0.25">
      <c r="O1991" s="274"/>
    </row>
    <row r="1992" spans="15:15" ht="15" x14ac:dyDescent="0.25">
      <c r="O1992" s="274"/>
    </row>
    <row r="1993" spans="15:15" ht="15" x14ac:dyDescent="0.25">
      <c r="O1993" s="274"/>
    </row>
    <row r="1994" spans="15:15" ht="15" x14ac:dyDescent="0.25">
      <c r="O1994" s="274"/>
    </row>
    <row r="1995" spans="15:15" ht="15" x14ac:dyDescent="0.25">
      <c r="O1995" s="274"/>
    </row>
    <row r="1996" spans="15:15" ht="15" x14ac:dyDescent="0.25">
      <c r="O1996" s="274"/>
    </row>
    <row r="1997" spans="15:15" ht="15" x14ac:dyDescent="0.25">
      <c r="O1997" s="274"/>
    </row>
    <row r="1998" spans="15:15" ht="15" x14ac:dyDescent="0.25">
      <c r="O1998" s="274"/>
    </row>
    <row r="1999" spans="15:15" ht="15" x14ac:dyDescent="0.25">
      <c r="O1999" s="274"/>
    </row>
    <row r="2000" spans="15:15" ht="15" x14ac:dyDescent="0.25">
      <c r="O2000" s="274"/>
    </row>
    <row r="2001" spans="15:15" ht="15" x14ac:dyDescent="0.25">
      <c r="O2001" s="274"/>
    </row>
    <row r="2002" spans="15:15" ht="15" x14ac:dyDescent="0.25">
      <c r="O2002" s="274"/>
    </row>
    <row r="2003" spans="15:15" ht="15" x14ac:dyDescent="0.25">
      <c r="O2003" s="274"/>
    </row>
    <row r="2004" spans="15:15" ht="15" x14ac:dyDescent="0.25">
      <c r="O2004" s="274"/>
    </row>
    <row r="2005" spans="15:15" ht="15" x14ac:dyDescent="0.25">
      <c r="O2005" s="274"/>
    </row>
    <row r="2006" spans="15:15" ht="15" x14ac:dyDescent="0.25">
      <c r="O2006" s="274"/>
    </row>
    <row r="2007" spans="15:15" ht="15" x14ac:dyDescent="0.25">
      <c r="O2007" s="274"/>
    </row>
    <row r="2008" spans="15:15" ht="15" x14ac:dyDescent="0.25">
      <c r="O2008" s="274"/>
    </row>
    <row r="2009" spans="15:15" ht="15" x14ac:dyDescent="0.25">
      <c r="O2009" s="274"/>
    </row>
    <row r="2010" spans="15:15" ht="15" x14ac:dyDescent="0.25">
      <c r="O2010" s="274"/>
    </row>
    <row r="2011" spans="15:15" ht="15" x14ac:dyDescent="0.25">
      <c r="O2011" s="274"/>
    </row>
    <row r="2012" spans="15:15" ht="15" x14ac:dyDescent="0.25">
      <c r="O2012" s="274"/>
    </row>
    <row r="2013" spans="15:15" ht="15" x14ac:dyDescent="0.25">
      <c r="O2013" s="274"/>
    </row>
    <row r="2014" spans="15:15" ht="15" x14ac:dyDescent="0.25">
      <c r="O2014" s="274"/>
    </row>
    <row r="2015" spans="15:15" ht="15" x14ac:dyDescent="0.25">
      <c r="O2015" s="274"/>
    </row>
    <row r="2016" spans="15:15" ht="15" x14ac:dyDescent="0.25">
      <c r="O2016" s="274"/>
    </row>
    <row r="2017" spans="15:15" ht="15" x14ac:dyDescent="0.25">
      <c r="O2017" s="274"/>
    </row>
    <row r="2018" spans="15:15" ht="15" x14ac:dyDescent="0.25">
      <c r="O2018" s="274"/>
    </row>
    <row r="2019" spans="15:15" ht="15" x14ac:dyDescent="0.25">
      <c r="O2019" s="274"/>
    </row>
    <row r="2020" spans="15:15" ht="15" x14ac:dyDescent="0.25">
      <c r="O2020" s="274"/>
    </row>
    <row r="2021" spans="15:15" ht="15" x14ac:dyDescent="0.25">
      <c r="O2021" s="274"/>
    </row>
    <row r="2022" spans="15:15" ht="15" x14ac:dyDescent="0.25">
      <c r="O2022" s="274"/>
    </row>
    <row r="2023" spans="15:15" ht="15" x14ac:dyDescent="0.25">
      <c r="O2023" s="274"/>
    </row>
    <row r="2024" spans="15:15" ht="15" x14ac:dyDescent="0.25">
      <c r="O2024" s="274"/>
    </row>
    <row r="2025" spans="15:15" ht="15" x14ac:dyDescent="0.25">
      <c r="O2025" s="274"/>
    </row>
    <row r="2026" spans="15:15" ht="15" x14ac:dyDescent="0.25">
      <c r="O2026" s="274"/>
    </row>
    <row r="2027" spans="15:15" ht="15" x14ac:dyDescent="0.25">
      <c r="O2027" s="274"/>
    </row>
    <row r="2028" spans="15:15" ht="15" x14ac:dyDescent="0.25">
      <c r="O2028" s="274"/>
    </row>
    <row r="2029" spans="15:15" ht="15" x14ac:dyDescent="0.25">
      <c r="O2029" s="274"/>
    </row>
    <row r="2030" spans="15:15" ht="15" x14ac:dyDescent="0.25">
      <c r="O2030" s="274"/>
    </row>
    <row r="2031" spans="15:15" ht="15" x14ac:dyDescent="0.25">
      <c r="O2031" s="274"/>
    </row>
    <row r="2032" spans="15:15" ht="15" x14ac:dyDescent="0.25">
      <c r="O2032" s="274"/>
    </row>
    <row r="2033" spans="15:15" ht="15" x14ac:dyDescent="0.25">
      <c r="O2033" s="274"/>
    </row>
    <row r="2034" spans="15:15" ht="15" x14ac:dyDescent="0.25">
      <c r="O2034" s="274"/>
    </row>
    <row r="2035" spans="15:15" ht="15" x14ac:dyDescent="0.25">
      <c r="O2035" s="274"/>
    </row>
    <row r="2036" spans="15:15" ht="15" x14ac:dyDescent="0.25">
      <c r="O2036" s="274"/>
    </row>
    <row r="2037" spans="15:15" ht="15" x14ac:dyDescent="0.25">
      <c r="O2037" s="274"/>
    </row>
    <row r="2038" spans="15:15" ht="15" x14ac:dyDescent="0.25">
      <c r="O2038" s="274"/>
    </row>
    <row r="2039" spans="15:15" ht="15" x14ac:dyDescent="0.25">
      <c r="O2039" s="274"/>
    </row>
    <row r="2040" spans="15:15" ht="15" x14ac:dyDescent="0.25">
      <c r="O2040" s="274"/>
    </row>
    <row r="2041" spans="15:15" ht="15" x14ac:dyDescent="0.25">
      <c r="O2041" s="274"/>
    </row>
    <row r="2042" spans="15:15" ht="15" x14ac:dyDescent="0.25">
      <c r="O2042" s="274"/>
    </row>
    <row r="2043" spans="15:15" ht="15" x14ac:dyDescent="0.25">
      <c r="O2043" s="274"/>
    </row>
    <row r="2044" spans="15:15" ht="15" x14ac:dyDescent="0.25">
      <c r="O2044" s="274"/>
    </row>
    <row r="2045" spans="15:15" ht="15" x14ac:dyDescent="0.25">
      <c r="O2045" s="274"/>
    </row>
    <row r="2046" spans="15:15" ht="15" x14ac:dyDescent="0.25">
      <c r="O2046" s="274"/>
    </row>
    <row r="2047" spans="15:15" ht="15" x14ac:dyDescent="0.25">
      <c r="O2047" s="274"/>
    </row>
    <row r="2048" spans="15:15" ht="15" x14ac:dyDescent="0.25">
      <c r="O2048" s="274"/>
    </row>
    <row r="2049" spans="15:15" ht="15" x14ac:dyDescent="0.25">
      <c r="O2049" s="274"/>
    </row>
    <row r="2050" spans="15:15" ht="15" x14ac:dyDescent="0.25">
      <c r="O2050" s="274"/>
    </row>
    <row r="2051" spans="15:15" ht="15" x14ac:dyDescent="0.25">
      <c r="O2051" s="274"/>
    </row>
    <row r="2052" spans="15:15" ht="15" x14ac:dyDescent="0.25">
      <c r="O2052" s="274"/>
    </row>
    <row r="2053" spans="15:15" ht="15" x14ac:dyDescent="0.25">
      <c r="O2053" s="274"/>
    </row>
    <row r="2054" spans="15:15" ht="15" x14ac:dyDescent="0.25">
      <c r="O2054" s="274"/>
    </row>
    <row r="2055" spans="15:15" ht="15" x14ac:dyDescent="0.25">
      <c r="O2055" s="274"/>
    </row>
    <row r="2056" spans="15:15" ht="15" x14ac:dyDescent="0.25">
      <c r="O2056" s="274"/>
    </row>
    <row r="2057" spans="15:15" ht="15" x14ac:dyDescent="0.25">
      <c r="O2057" s="274"/>
    </row>
    <row r="2058" spans="15:15" ht="15" x14ac:dyDescent="0.25">
      <c r="O2058" s="274"/>
    </row>
    <row r="2059" spans="15:15" ht="15" x14ac:dyDescent="0.25">
      <c r="O2059" s="274"/>
    </row>
    <row r="2060" spans="15:15" ht="15" x14ac:dyDescent="0.25">
      <c r="O2060" s="274"/>
    </row>
    <row r="2061" spans="15:15" ht="15" x14ac:dyDescent="0.25">
      <c r="O2061" s="274"/>
    </row>
    <row r="2062" spans="15:15" ht="15" x14ac:dyDescent="0.25">
      <c r="O2062" s="274"/>
    </row>
    <row r="2063" spans="15:15" ht="15" x14ac:dyDescent="0.25">
      <c r="O2063" s="274"/>
    </row>
    <row r="2064" spans="15:15" ht="15" x14ac:dyDescent="0.25">
      <c r="O2064" s="274"/>
    </row>
    <row r="2065" spans="15:15" ht="15" x14ac:dyDescent="0.25">
      <c r="O2065" s="274"/>
    </row>
    <row r="2066" spans="15:15" ht="15" x14ac:dyDescent="0.25">
      <c r="O2066" s="274"/>
    </row>
    <row r="2067" spans="15:15" ht="15" x14ac:dyDescent="0.25">
      <c r="O2067" s="274"/>
    </row>
    <row r="2068" spans="15:15" ht="15" x14ac:dyDescent="0.25">
      <c r="O2068" s="274"/>
    </row>
    <row r="2069" spans="15:15" ht="15" x14ac:dyDescent="0.25">
      <c r="O2069" s="274"/>
    </row>
    <row r="2070" spans="15:15" ht="15" x14ac:dyDescent="0.25">
      <c r="O2070" s="274"/>
    </row>
    <row r="2071" spans="15:15" ht="15" x14ac:dyDescent="0.25">
      <c r="O2071" s="274"/>
    </row>
    <row r="2072" spans="15:15" ht="15" x14ac:dyDescent="0.25">
      <c r="O2072" s="274"/>
    </row>
    <row r="2073" spans="15:15" ht="15" x14ac:dyDescent="0.25">
      <c r="O2073" s="274"/>
    </row>
    <row r="2074" spans="15:15" ht="15" x14ac:dyDescent="0.25">
      <c r="O2074" s="274"/>
    </row>
    <row r="2075" spans="15:15" ht="15" x14ac:dyDescent="0.25">
      <c r="O2075" s="274"/>
    </row>
    <row r="2076" spans="15:15" ht="15" x14ac:dyDescent="0.25">
      <c r="O2076" s="274"/>
    </row>
    <row r="2077" spans="15:15" ht="15" x14ac:dyDescent="0.25">
      <c r="O2077" s="274"/>
    </row>
    <row r="2078" spans="15:15" ht="15" x14ac:dyDescent="0.25">
      <c r="O2078" s="274"/>
    </row>
    <row r="2079" spans="15:15" ht="15" x14ac:dyDescent="0.25">
      <c r="O2079" s="274"/>
    </row>
    <row r="2080" spans="15:15" ht="15" x14ac:dyDescent="0.25">
      <c r="O2080" s="274"/>
    </row>
    <row r="2081" spans="15:15" ht="15" x14ac:dyDescent="0.25">
      <c r="O2081" s="274"/>
    </row>
    <row r="2082" spans="15:15" ht="15" x14ac:dyDescent="0.25">
      <c r="O2082" s="274"/>
    </row>
    <row r="2083" spans="15:15" ht="15" x14ac:dyDescent="0.25">
      <c r="O2083" s="274"/>
    </row>
    <row r="2084" spans="15:15" ht="15" x14ac:dyDescent="0.25">
      <c r="O2084" s="274"/>
    </row>
    <row r="2085" spans="15:15" ht="15" x14ac:dyDescent="0.25">
      <c r="O2085" s="274"/>
    </row>
    <row r="2086" spans="15:15" ht="15" x14ac:dyDescent="0.25">
      <c r="O2086" s="274"/>
    </row>
    <row r="2087" spans="15:15" ht="15" x14ac:dyDescent="0.25">
      <c r="O2087" s="274"/>
    </row>
    <row r="2088" spans="15:15" ht="15" x14ac:dyDescent="0.25">
      <c r="O2088" s="274"/>
    </row>
    <row r="2089" spans="15:15" ht="15" x14ac:dyDescent="0.25">
      <c r="O2089" s="274"/>
    </row>
    <row r="2090" spans="15:15" ht="15" x14ac:dyDescent="0.25">
      <c r="O2090" s="274"/>
    </row>
    <row r="2091" spans="15:15" ht="15" x14ac:dyDescent="0.25">
      <c r="O2091" s="274"/>
    </row>
    <row r="2092" spans="15:15" ht="15" x14ac:dyDescent="0.25">
      <c r="O2092" s="274"/>
    </row>
    <row r="2093" spans="15:15" ht="15" x14ac:dyDescent="0.25">
      <c r="O2093" s="274"/>
    </row>
    <row r="2094" spans="15:15" ht="15" x14ac:dyDescent="0.25">
      <c r="O2094" s="274"/>
    </row>
    <row r="2095" spans="15:15" ht="15" x14ac:dyDescent="0.25">
      <c r="O2095" s="274"/>
    </row>
    <row r="2096" spans="15:15" ht="15" x14ac:dyDescent="0.25">
      <c r="O2096" s="274"/>
    </row>
    <row r="2097" spans="15:15" ht="15" x14ac:dyDescent="0.25">
      <c r="O2097" s="274"/>
    </row>
    <row r="2098" spans="15:15" ht="15" x14ac:dyDescent="0.25">
      <c r="O2098" s="274"/>
    </row>
    <row r="2099" spans="15:15" ht="15" x14ac:dyDescent="0.25">
      <c r="O2099" s="274"/>
    </row>
    <row r="2100" spans="15:15" ht="15" x14ac:dyDescent="0.25">
      <c r="O2100" s="274"/>
    </row>
    <row r="2101" spans="15:15" ht="15" x14ac:dyDescent="0.25">
      <c r="O2101" s="274"/>
    </row>
    <row r="2102" spans="15:15" ht="15" x14ac:dyDescent="0.25">
      <c r="O2102" s="274"/>
    </row>
    <row r="2103" spans="15:15" ht="15" x14ac:dyDescent="0.25">
      <c r="O2103" s="274"/>
    </row>
    <row r="2104" spans="15:15" ht="15" x14ac:dyDescent="0.25">
      <c r="O2104" s="274"/>
    </row>
    <row r="2105" spans="15:15" ht="15" x14ac:dyDescent="0.25">
      <c r="O2105" s="274"/>
    </row>
    <row r="2106" spans="15:15" ht="15" x14ac:dyDescent="0.25">
      <c r="O2106" s="274"/>
    </row>
    <row r="2107" spans="15:15" ht="15" x14ac:dyDescent="0.25">
      <c r="O2107" s="274"/>
    </row>
    <row r="2108" spans="15:15" ht="15" x14ac:dyDescent="0.25">
      <c r="O2108" s="274"/>
    </row>
    <row r="2109" spans="15:15" ht="15" x14ac:dyDescent="0.25">
      <c r="O2109" s="274"/>
    </row>
    <row r="2110" spans="15:15" ht="15" x14ac:dyDescent="0.25">
      <c r="O2110" s="274"/>
    </row>
    <row r="2111" spans="15:15" ht="15" x14ac:dyDescent="0.25">
      <c r="O2111" s="274"/>
    </row>
    <row r="2112" spans="15:15" ht="15" x14ac:dyDescent="0.25">
      <c r="O2112" s="274"/>
    </row>
    <row r="2113" spans="15:15" ht="15" x14ac:dyDescent="0.25">
      <c r="O2113" s="274"/>
    </row>
    <row r="2114" spans="15:15" ht="15" x14ac:dyDescent="0.25">
      <c r="O2114" s="274"/>
    </row>
    <row r="2115" spans="15:15" ht="15" x14ac:dyDescent="0.25">
      <c r="O2115" s="274"/>
    </row>
    <row r="2116" spans="15:15" ht="15" x14ac:dyDescent="0.25">
      <c r="O2116" s="274"/>
    </row>
    <row r="2117" spans="15:15" ht="15" x14ac:dyDescent="0.25">
      <c r="O2117" s="274"/>
    </row>
    <row r="2118" spans="15:15" ht="15" x14ac:dyDescent="0.25">
      <c r="O2118" s="274"/>
    </row>
    <row r="2119" spans="15:15" ht="15" x14ac:dyDescent="0.25">
      <c r="O2119" s="274"/>
    </row>
    <row r="2120" spans="15:15" ht="15" x14ac:dyDescent="0.25">
      <c r="O2120" s="274"/>
    </row>
    <row r="2121" spans="15:15" ht="15" x14ac:dyDescent="0.25">
      <c r="O2121" s="274"/>
    </row>
    <row r="2122" spans="15:15" ht="15" x14ac:dyDescent="0.25">
      <c r="O2122" s="274"/>
    </row>
    <row r="2123" spans="15:15" ht="15" x14ac:dyDescent="0.25">
      <c r="O2123" s="274"/>
    </row>
    <row r="2124" spans="15:15" ht="15" x14ac:dyDescent="0.25">
      <c r="O2124" s="274"/>
    </row>
    <row r="2125" spans="15:15" ht="15" x14ac:dyDescent="0.25">
      <c r="O2125" s="274"/>
    </row>
    <row r="2126" spans="15:15" ht="15" x14ac:dyDescent="0.25">
      <c r="O2126" s="274"/>
    </row>
    <row r="2127" spans="15:15" ht="15" x14ac:dyDescent="0.25">
      <c r="O2127" s="274"/>
    </row>
    <row r="2128" spans="15:15" ht="15" x14ac:dyDescent="0.25">
      <c r="O2128" s="274"/>
    </row>
    <row r="2129" spans="15:15" ht="15" x14ac:dyDescent="0.25">
      <c r="O2129" s="274"/>
    </row>
    <row r="2130" spans="15:15" ht="15" x14ac:dyDescent="0.25">
      <c r="O2130" s="274"/>
    </row>
    <row r="2131" spans="15:15" ht="15" x14ac:dyDescent="0.25">
      <c r="O2131" s="274"/>
    </row>
    <row r="2132" spans="15:15" ht="15" x14ac:dyDescent="0.25">
      <c r="O2132" s="274"/>
    </row>
    <row r="2133" spans="15:15" ht="15" x14ac:dyDescent="0.25">
      <c r="O2133" s="274"/>
    </row>
    <row r="2134" spans="15:15" ht="15" x14ac:dyDescent="0.25">
      <c r="O2134" s="274"/>
    </row>
    <row r="2135" spans="15:15" ht="15" x14ac:dyDescent="0.25">
      <c r="O2135" s="274"/>
    </row>
    <row r="2136" spans="15:15" ht="15" x14ac:dyDescent="0.25">
      <c r="O2136" s="274"/>
    </row>
    <row r="2137" spans="15:15" ht="15" x14ac:dyDescent="0.25">
      <c r="O2137" s="274"/>
    </row>
    <row r="2138" spans="15:15" ht="15" x14ac:dyDescent="0.25">
      <c r="O2138" s="274"/>
    </row>
    <row r="2139" spans="15:15" ht="15" x14ac:dyDescent="0.25">
      <c r="O2139" s="274"/>
    </row>
    <row r="2140" spans="15:15" ht="15" x14ac:dyDescent="0.25">
      <c r="O2140" s="274"/>
    </row>
    <row r="2141" spans="15:15" ht="15" x14ac:dyDescent="0.25">
      <c r="O2141" s="274"/>
    </row>
    <row r="2142" spans="15:15" ht="15" x14ac:dyDescent="0.25">
      <c r="O2142" s="274"/>
    </row>
    <row r="2143" spans="15:15" ht="15" x14ac:dyDescent="0.25">
      <c r="O2143" s="274"/>
    </row>
    <row r="2144" spans="15:15" ht="15" x14ac:dyDescent="0.25">
      <c r="O2144" s="274"/>
    </row>
    <row r="2145" spans="15:15" ht="15" x14ac:dyDescent="0.25">
      <c r="O2145" s="274"/>
    </row>
    <row r="2146" spans="15:15" ht="15" x14ac:dyDescent="0.25">
      <c r="O2146" s="274"/>
    </row>
    <row r="2147" spans="15:15" ht="15" x14ac:dyDescent="0.25">
      <c r="O2147" s="274"/>
    </row>
    <row r="2148" spans="15:15" ht="15" x14ac:dyDescent="0.25">
      <c r="O2148" s="274"/>
    </row>
    <row r="2149" spans="15:15" ht="15" x14ac:dyDescent="0.25">
      <c r="O2149" s="274"/>
    </row>
    <row r="2150" spans="15:15" ht="15" x14ac:dyDescent="0.25">
      <c r="O2150" s="274"/>
    </row>
    <row r="2151" spans="15:15" ht="15" x14ac:dyDescent="0.25">
      <c r="O2151" s="274"/>
    </row>
    <row r="2152" spans="15:15" ht="15" x14ac:dyDescent="0.25">
      <c r="O2152" s="274"/>
    </row>
    <row r="2153" spans="15:15" ht="15" x14ac:dyDescent="0.25">
      <c r="O2153" s="274"/>
    </row>
    <row r="2154" spans="15:15" ht="15" x14ac:dyDescent="0.25">
      <c r="O2154" s="274"/>
    </row>
    <row r="2155" spans="15:15" ht="15" x14ac:dyDescent="0.25">
      <c r="O2155" s="274"/>
    </row>
    <row r="2156" spans="15:15" ht="15" x14ac:dyDescent="0.25">
      <c r="O2156" s="274"/>
    </row>
    <row r="2157" spans="15:15" ht="15" x14ac:dyDescent="0.25">
      <c r="O2157" s="274"/>
    </row>
    <row r="2158" spans="15:15" ht="15" x14ac:dyDescent="0.25">
      <c r="O2158" s="274"/>
    </row>
    <row r="2159" spans="15:15" ht="15" x14ac:dyDescent="0.25">
      <c r="O2159" s="274"/>
    </row>
    <row r="2160" spans="15:15" ht="15" x14ac:dyDescent="0.25">
      <c r="O2160" s="274"/>
    </row>
    <row r="2161" spans="15:15" ht="15" x14ac:dyDescent="0.25">
      <c r="O2161" s="274"/>
    </row>
    <row r="2162" spans="15:15" ht="15" x14ac:dyDescent="0.25">
      <c r="O2162" s="274"/>
    </row>
    <row r="2163" spans="15:15" ht="15" x14ac:dyDescent="0.25">
      <c r="O2163" s="274"/>
    </row>
    <row r="2164" spans="15:15" ht="15" x14ac:dyDescent="0.25">
      <c r="O2164" s="274"/>
    </row>
    <row r="2165" spans="15:15" ht="15" x14ac:dyDescent="0.25">
      <c r="O2165" s="274"/>
    </row>
    <row r="2166" spans="15:15" ht="15" x14ac:dyDescent="0.25">
      <c r="O2166" s="274"/>
    </row>
    <row r="2167" spans="15:15" ht="15" x14ac:dyDescent="0.25">
      <c r="O2167" s="274"/>
    </row>
    <row r="2168" spans="15:15" ht="15" x14ac:dyDescent="0.25">
      <c r="O2168" s="274"/>
    </row>
    <row r="2169" spans="15:15" ht="15" x14ac:dyDescent="0.25">
      <c r="O2169" s="274"/>
    </row>
    <row r="2170" spans="15:15" ht="15" x14ac:dyDescent="0.25">
      <c r="O2170" s="274"/>
    </row>
    <row r="2171" spans="15:15" ht="15" x14ac:dyDescent="0.25">
      <c r="O2171" s="274"/>
    </row>
    <row r="2172" spans="15:15" ht="15" x14ac:dyDescent="0.25">
      <c r="O2172" s="274"/>
    </row>
    <row r="2173" spans="15:15" ht="15" x14ac:dyDescent="0.25">
      <c r="O2173" s="274"/>
    </row>
    <row r="2174" spans="15:15" ht="15" x14ac:dyDescent="0.25">
      <c r="O2174" s="274"/>
    </row>
    <row r="2175" spans="15:15" ht="15" x14ac:dyDescent="0.25">
      <c r="O2175" s="274"/>
    </row>
    <row r="2176" spans="15:15" ht="15" x14ac:dyDescent="0.25">
      <c r="O2176" s="274"/>
    </row>
    <row r="2177" spans="15:15" ht="15" x14ac:dyDescent="0.25">
      <c r="O2177" s="274"/>
    </row>
    <row r="2178" spans="15:15" ht="15" x14ac:dyDescent="0.25">
      <c r="O2178" s="274"/>
    </row>
    <row r="2179" spans="15:15" ht="15" x14ac:dyDescent="0.25">
      <c r="O2179" s="274"/>
    </row>
    <row r="2180" spans="15:15" ht="15" x14ac:dyDescent="0.25">
      <c r="O2180" s="274"/>
    </row>
    <row r="2181" spans="15:15" ht="15" x14ac:dyDescent="0.25">
      <c r="O2181" s="274"/>
    </row>
    <row r="2182" spans="15:15" ht="15" x14ac:dyDescent="0.25">
      <c r="O2182" s="274"/>
    </row>
    <row r="2183" spans="15:15" ht="15" x14ac:dyDescent="0.25">
      <c r="O2183" s="274"/>
    </row>
    <row r="2184" spans="15:15" ht="15" x14ac:dyDescent="0.25">
      <c r="O2184" s="274"/>
    </row>
    <row r="2185" spans="15:15" ht="15" x14ac:dyDescent="0.25">
      <c r="O2185" s="274"/>
    </row>
    <row r="2186" spans="15:15" ht="15" x14ac:dyDescent="0.25">
      <c r="O2186" s="274"/>
    </row>
    <row r="2187" spans="15:15" ht="15" x14ac:dyDescent="0.25">
      <c r="O2187" s="274"/>
    </row>
    <row r="2188" spans="15:15" ht="15" x14ac:dyDescent="0.25">
      <c r="O2188" s="274"/>
    </row>
    <row r="2189" spans="15:15" ht="15" x14ac:dyDescent="0.25">
      <c r="O2189" s="274"/>
    </row>
    <row r="2190" spans="15:15" ht="15" x14ac:dyDescent="0.25">
      <c r="O2190" s="274"/>
    </row>
    <row r="2191" spans="15:15" ht="15" x14ac:dyDescent="0.25">
      <c r="O2191" s="274"/>
    </row>
    <row r="2192" spans="15:15" ht="15" x14ac:dyDescent="0.25">
      <c r="O2192" s="274"/>
    </row>
    <row r="2193" spans="15:15" ht="15" x14ac:dyDescent="0.25">
      <c r="O2193" s="274"/>
    </row>
    <row r="2194" spans="15:15" ht="15" x14ac:dyDescent="0.25">
      <c r="O2194" s="274"/>
    </row>
    <row r="2195" spans="15:15" ht="15" x14ac:dyDescent="0.25">
      <c r="O2195" s="274"/>
    </row>
    <row r="2196" spans="15:15" ht="15" x14ac:dyDescent="0.25">
      <c r="O2196" s="274"/>
    </row>
    <row r="2197" spans="15:15" ht="15" x14ac:dyDescent="0.25">
      <c r="O2197" s="274"/>
    </row>
    <row r="2198" spans="15:15" ht="15" x14ac:dyDescent="0.25">
      <c r="O2198" s="274"/>
    </row>
    <row r="2199" spans="15:15" ht="15" x14ac:dyDescent="0.25">
      <c r="O2199" s="274"/>
    </row>
    <row r="2200" spans="15:15" ht="15" x14ac:dyDescent="0.25">
      <c r="O2200" s="274"/>
    </row>
    <row r="2201" spans="15:15" ht="15" x14ac:dyDescent="0.25">
      <c r="O2201" s="274"/>
    </row>
    <row r="2202" spans="15:15" ht="15" x14ac:dyDescent="0.25">
      <c r="O2202" s="274"/>
    </row>
    <row r="2203" spans="15:15" ht="15" x14ac:dyDescent="0.25">
      <c r="O2203" s="274"/>
    </row>
    <row r="2204" spans="15:15" ht="15" x14ac:dyDescent="0.25">
      <c r="O2204" s="274"/>
    </row>
    <row r="2205" spans="15:15" ht="15" x14ac:dyDescent="0.25">
      <c r="O2205" s="274"/>
    </row>
    <row r="2206" spans="15:15" ht="15" x14ac:dyDescent="0.25">
      <c r="O2206" s="274"/>
    </row>
    <row r="2207" spans="15:15" ht="15" x14ac:dyDescent="0.25">
      <c r="O2207" s="274"/>
    </row>
    <row r="2208" spans="15:15" ht="15" x14ac:dyDescent="0.25">
      <c r="O2208" s="274"/>
    </row>
    <row r="2209" spans="15:15" ht="15" x14ac:dyDescent="0.25">
      <c r="O2209" s="274"/>
    </row>
    <row r="2210" spans="15:15" ht="15" x14ac:dyDescent="0.25">
      <c r="O2210" s="274"/>
    </row>
    <row r="2211" spans="15:15" ht="15" x14ac:dyDescent="0.25">
      <c r="O2211" s="274"/>
    </row>
    <row r="2212" spans="15:15" ht="15" x14ac:dyDescent="0.25">
      <c r="O2212" s="274"/>
    </row>
    <row r="2213" spans="15:15" ht="15" x14ac:dyDescent="0.25">
      <c r="O2213" s="274"/>
    </row>
    <row r="2214" spans="15:15" ht="15" x14ac:dyDescent="0.25">
      <c r="O2214" s="274"/>
    </row>
    <row r="2215" spans="15:15" ht="15" x14ac:dyDescent="0.25">
      <c r="O2215" s="274"/>
    </row>
    <row r="2216" spans="15:15" ht="15" x14ac:dyDescent="0.25">
      <c r="O2216" s="274"/>
    </row>
    <row r="2217" spans="15:15" ht="15" x14ac:dyDescent="0.25">
      <c r="O2217" s="274"/>
    </row>
    <row r="2218" spans="15:15" ht="15" x14ac:dyDescent="0.25">
      <c r="O2218" s="274"/>
    </row>
    <row r="2219" spans="15:15" ht="15" x14ac:dyDescent="0.25">
      <c r="O2219" s="274"/>
    </row>
    <row r="2220" spans="15:15" ht="15" x14ac:dyDescent="0.25">
      <c r="O2220" s="274"/>
    </row>
    <row r="2221" spans="15:15" ht="15" x14ac:dyDescent="0.25">
      <c r="O2221" s="274"/>
    </row>
    <row r="2222" spans="15:15" ht="15" x14ac:dyDescent="0.25">
      <c r="O2222" s="274"/>
    </row>
    <row r="2223" spans="15:15" ht="15" x14ac:dyDescent="0.25">
      <c r="O2223" s="274"/>
    </row>
    <row r="2224" spans="15:15" ht="15" x14ac:dyDescent="0.25">
      <c r="O2224" s="274"/>
    </row>
    <row r="2225" spans="15:15" ht="15" x14ac:dyDescent="0.25">
      <c r="O2225" s="274"/>
    </row>
    <row r="2226" spans="15:15" ht="15" x14ac:dyDescent="0.25">
      <c r="O2226" s="274"/>
    </row>
    <row r="2227" spans="15:15" ht="15" x14ac:dyDescent="0.25">
      <c r="O2227" s="274"/>
    </row>
    <row r="2228" spans="15:15" ht="15" x14ac:dyDescent="0.25">
      <c r="O2228" s="274"/>
    </row>
    <row r="2229" spans="15:15" ht="15" x14ac:dyDescent="0.25">
      <c r="O2229" s="274"/>
    </row>
    <row r="2230" spans="15:15" ht="15" x14ac:dyDescent="0.25">
      <c r="O2230" s="274"/>
    </row>
    <row r="2231" spans="15:15" ht="15" x14ac:dyDescent="0.25">
      <c r="O2231" s="274"/>
    </row>
    <row r="2232" spans="15:15" ht="15" x14ac:dyDescent="0.25">
      <c r="O2232" s="274"/>
    </row>
    <row r="2233" spans="15:15" ht="15" x14ac:dyDescent="0.25">
      <c r="O2233" s="274"/>
    </row>
    <row r="2234" spans="15:15" ht="15" x14ac:dyDescent="0.25">
      <c r="O2234" s="274"/>
    </row>
    <row r="2235" spans="15:15" ht="15" x14ac:dyDescent="0.25">
      <c r="O2235" s="274"/>
    </row>
    <row r="2236" spans="15:15" ht="15" x14ac:dyDescent="0.25">
      <c r="O2236" s="274"/>
    </row>
    <row r="2237" spans="15:15" ht="15" x14ac:dyDescent="0.25">
      <c r="O2237" s="274"/>
    </row>
    <row r="2238" spans="15:15" ht="15" x14ac:dyDescent="0.25">
      <c r="O2238" s="274"/>
    </row>
    <row r="2239" spans="15:15" ht="15" x14ac:dyDescent="0.25">
      <c r="O2239" s="274"/>
    </row>
    <row r="2240" spans="15:15" ht="15" x14ac:dyDescent="0.25">
      <c r="O2240" s="274"/>
    </row>
    <row r="2241" spans="15:15" ht="15" x14ac:dyDescent="0.25">
      <c r="O2241" s="274"/>
    </row>
    <row r="2242" spans="15:15" ht="15" x14ac:dyDescent="0.25">
      <c r="O2242" s="274"/>
    </row>
    <row r="2243" spans="15:15" ht="15" x14ac:dyDescent="0.25">
      <c r="O2243" s="274"/>
    </row>
    <row r="2244" spans="15:15" ht="15" x14ac:dyDescent="0.25">
      <c r="O2244" s="274"/>
    </row>
    <row r="2245" spans="15:15" ht="15" x14ac:dyDescent="0.25">
      <c r="O2245" s="274"/>
    </row>
    <row r="2246" spans="15:15" ht="15" x14ac:dyDescent="0.25">
      <c r="O2246" s="274"/>
    </row>
    <row r="2247" spans="15:15" ht="15" x14ac:dyDescent="0.25">
      <c r="O2247" s="274"/>
    </row>
    <row r="2248" spans="15:15" ht="15" x14ac:dyDescent="0.25">
      <c r="O2248" s="274"/>
    </row>
    <row r="2249" spans="15:15" ht="15" x14ac:dyDescent="0.25">
      <c r="O2249" s="274"/>
    </row>
    <row r="2250" spans="15:15" ht="15" x14ac:dyDescent="0.25">
      <c r="O2250" s="274"/>
    </row>
    <row r="2251" spans="15:15" ht="15" x14ac:dyDescent="0.25">
      <c r="O2251" s="274"/>
    </row>
    <row r="2252" spans="15:15" ht="15" x14ac:dyDescent="0.25">
      <c r="O2252" s="274"/>
    </row>
    <row r="2253" spans="15:15" ht="15" x14ac:dyDescent="0.25">
      <c r="O2253" s="274"/>
    </row>
    <row r="2254" spans="15:15" ht="15" x14ac:dyDescent="0.25">
      <c r="O2254" s="274"/>
    </row>
    <row r="2255" spans="15:15" ht="15" x14ac:dyDescent="0.25">
      <c r="O2255" s="274"/>
    </row>
    <row r="2256" spans="15:15" ht="15" x14ac:dyDescent="0.25">
      <c r="O2256" s="274"/>
    </row>
    <row r="2257" spans="15:15" ht="15" x14ac:dyDescent="0.25">
      <c r="O2257" s="274"/>
    </row>
    <row r="2258" spans="15:15" ht="15" x14ac:dyDescent="0.25">
      <c r="O2258" s="274"/>
    </row>
    <row r="2259" spans="15:15" ht="15" x14ac:dyDescent="0.25">
      <c r="O2259" s="274"/>
    </row>
    <row r="2260" spans="15:15" ht="15" x14ac:dyDescent="0.25">
      <c r="O2260" s="274"/>
    </row>
    <row r="2261" spans="15:15" ht="15" x14ac:dyDescent="0.25">
      <c r="O2261" s="274"/>
    </row>
    <row r="2262" spans="15:15" ht="15" x14ac:dyDescent="0.25">
      <c r="O2262" s="274"/>
    </row>
    <row r="2263" spans="15:15" ht="15" x14ac:dyDescent="0.25">
      <c r="O2263" s="274"/>
    </row>
    <row r="2264" spans="15:15" ht="15" x14ac:dyDescent="0.25">
      <c r="O2264" s="274"/>
    </row>
    <row r="2265" spans="15:15" ht="15" x14ac:dyDescent="0.25">
      <c r="O2265" s="274"/>
    </row>
    <row r="2266" spans="15:15" ht="15" x14ac:dyDescent="0.25">
      <c r="O2266" s="274"/>
    </row>
    <row r="2267" spans="15:15" ht="15" x14ac:dyDescent="0.25">
      <c r="O2267" s="274"/>
    </row>
    <row r="2268" spans="15:15" ht="15" x14ac:dyDescent="0.25">
      <c r="O2268" s="274"/>
    </row>
    <row r="2269" spans="15:15" ht="15" x14ac:dyDescent="0.25">
      <c r="O2269" s="274"/>
    </row>
    <row r="2270" spans="15:15" ht="15" x14ac:dyDescent="0.25">
      <c r="O2270" s="274"/>
    </row>
    <row r="2271" spans="15:15" ht="15" x14ac:dyDescent="0.25">
      <c r="O2271" s="274"/>
    </row>
    <row r="2272" spans="15:15" ht="15" x14ac:dyDescent="0.25">
      <c r="O2272" s="274"/>
    </row>
    <row r="2273" spans="15:15" ht="15" x14ac:dyDescent="0.25">
      <c r="O2273" s="274"/>
    </row>
    <row r="2274" spans="15:15" ht="15" x14ac:dyDescent="0.25">
      <c r="O2274" s="274"/>
    </row>
    <row r="2275" spans="15:15" ht="15" x14ac:dyDescent="0.25">
      <c r="O2275" s="274"/>
    </row>
    <row r="2276" spans="15:15" ht="15" x14ac:dyDescent="0.25">
      <c r="O2276" s="274"/>
    </row>
    <row r="2277" spans="15:15" ht="15" x14ac:dyDescent="0.25">
      <c r="O2277" s="274"/>
    </row>
    <row r="2278" spans="15:15" ht="15" x14ac:dyDescent="0.25">
      <c r="O2278" s="274"/>
    </row>
    <row r="2279" spans="15:15" ht="15" x14ac:dyDescent="0.25">
      <c r="O2279" s="274"/>
    </row>
    <row r="2280" spans="15:15" ht="15" x14ac:dyDescent="0.25">
      <c r="O2280" s="274"/>
    </row>
    <row r="2281" spans="15:15" ht="15" x14ac:dyDescent="0.25">
      <c r="O2281" s="274"/>
    </row>
    <row r="2282" spans="15:15" ht="15" x14ac:dyDescent="0.25">
      <c r="O2282" s="274"/>
    </row>
    <row r="2283" spans="15:15" ht="15" x14ac:dyDescent="0.25">
      <c r="O2283" s="274"/>
    </row>
    <row r="2284" spans="15:15" ht="15" x14ac:dyDescent="0.25">
      <c r="O2284" s="274"/>
    </row>
    <row r="2285" spans="15:15" ht="15" x14ac:dyDescent="0.25">
      <c r="O2285" s="274"/>
    </row>
    <row r="2286" spans="15:15" ht="15" x14ac:dyDescent="0.25">
      <c r="O2286" s="274"/>
    </row>
    <row r="2287" spans="15:15" ht="15" x14ac:dyDescent="0.25">
      <c r="O2287" s="274"/>
    </row>
    <row r="2288" spans="15:15" ht="15" x14ac:dyDescent="0.25">
      <c r="O2288" s="274"/>
    </row>
    <row r="2289" spans="15:15" ht="15" x14ac:dyDescent="0.25">
      <c r="O2289" s="274"/>
    </row>
    <row r="2290" spans="15:15" ht="15" x14ac:dyDescent="0.25">
      <c r="O2290" s="274"/>
    </row>
    <row r="2291" spans="15:15" ht="15" x14ac:dyDescent="0.25">
      <c r="O2291" s="274"/>
    </row>
    <row r="2292" spans="15:15" ht="15" x14ac:dyDescent="0.25">
      <c r="O2292" s="274"/>
    </row>
    <row r="2293" spans="15:15" ht="15" x14ac:dyDescent="0.25">
      <c r="O2293" s="274"/>
    </row>
    <row r="2294" spans="15:15" ht="15" x14ac:dyDescent="0.25">
      <c r="O2294" s="274"/>
    </row>
    <row r="2295" spans="15:15" ht="15" x14ac:dyDescent="0.25">
      <c r="O2295" s="274"/>
    </row>
    <row r="2296" spans="15:15" ht="15" x14ac:dyDescent="0.25">
      <c r="O2296" s="274"/>
    </row>
    <row r="2297" spans="15:15" ht="15" x14ac:dyDescent="0.25">
      <c r="O2297" s="274"/>
    </row>
    <row r="2298" spans="15:15" ht="15" x14ac:dyDescent="0.25">
      <c r="O2298" s="274"/>
    </row>
    <row r="2299" spans="15:15" ht="15" x14ac:dyDescent="0.25">
      <c r="O2299" s="274"/>
    </row>
    <row r="2300" spans="15:15" ht="15" x14ac:dyDescent="0.25">
      <c r="O2300" s="274"/>
    </row>
    <row r="2301" spans="15:15" ht="15" x14ac:dyDescent="0.25">
      <c r="O2301" s="274"/>
    </row>
    <row r="2302" spans="15:15" ht="15" x14ac:dyDescent="0.25">
      <c r="O2302" s="274"/>
    </row>
    <row r="2303" spans="15:15" ht="15" x14ac:dyDescent="0.25">
      <c r="O2303" s="274"/>
    </row>
    <row r="2304" spans="15:15" ht="15" x14ac:dyDescent="0.25">
      <c r="O2304" s="274"/>
    </row>
    <row r="2305" spans="15:15" ht="15" x14ac:dyDescent="0.25">
      <c r="O2305" s="274"/>
    </row>
    <row r="2306" spans="15:15" ht="15" x14ac:dyDescent="0.25">
      <c r="O2306" s="274"/>
    </row>
    <row r="2307" spans="15:15" ht="15" x14ac:dyDescent="0.25">
      <c r="O2307" s="274"/>
    </row>
    <row r="2308" spans="15:15" ht="15" x14ac:dyDescent="0.25">
      <c r="O2308" s="274"/>
    </row>
    <row r="2309" spans="15:15" ht="15" x14ac:dyDescent="0.25">
      <c r="O2309" s="274"/>
    </row>
    <row r="2310" spans="15:15" ht="15" x14ac:dyDescent="0.25">
      <c r="O2310" s="274"/>
    </row>
    <row r="2311" spans="15:15" ht="15" x14ac:dyDescent="0.25">
      <c r="O2311" s="274"/>
    </row>
    <row r="2312" spans="15:15" ht="15" x14ac:dyDescent="0.25">
      <c r="O2312" s="274"/>
    </row>
    <row r="2313" spans="15:15" ht="15" x14ac:dyDescent="0.25">
      <c r="O2313" s="274"/>
    </row>
    <row r="2314" spans="15:15" ht="15" x14ac:dyDescent="0.25">
      <c r="O2314" s="274"/>
    </row>
    <row r="2315" spans="15:15" ht="15" x14ac:dyDescent="0.25">
      <c r="O2315" s="274"/>
    </row>
    <row r="2316" spans="15:15" ht="15" x14ac:dyDescent="0.25">
      <c r="O2316" s="274"/>
    </row>
    <row r="2317" spans="15:15" ht="15" x14ac:dyDescent="0.25">
      <c r="O2317" s="274"/>
    </row>
    <row r="2318" spans="15:15" ht="15" x14ac:dyDescent="0.25">
      <c r="O2318" s="274"/>
    </row>
    <row r="2319" spans="15:15" ht="15" x14ac:dyDescent="0.25">
      <c r="O2319" s="274"/>
    </row>
    <row r="2320" spans="15:15" ht="15" x14ac:dyDescent="0.25">
      <c r="O2320" s="274"/>
    </row>
    <row r="2321" spans="15:15" ht="15" x14ac:dyDescent="0.25">
      <c r="O2321" s="274"/>
    </row>
    <row r="2322" spans="15:15" ht="15" x14ac:dyDescent="0.25">
      <c r="O2322" s="274"/>
    </row>
    <row r="2323" spans="15:15" ht="15" x14ac:dyDescent="0.25">
      <c r="O2323" s="274"/>
    </row>
    <row r="2324" spans="15:15" ht="15" x14ac:dyDescent="0.25">
      <c r="O2324" s="274"/>
    </row>
    <row r="2325" spans="15:15" ht="15" x14ac:dyDescent="0.25">
      <c r="O2325" s="274"/>
    </row>
    <row r="2326" spans="15:15" ht="15" x14ac:dyDescent="0.25">
      <c r="O2326" s="274"/>
    </row>
    <row r="2327" spans="15:15" ht="15" x14ac:dyDescent="0.25">
      <c r="O2327" s="274"/>
    </row>
    <row r="2328" spans="15:15" ht="15" x14ac:dyDescent="0.25">
      <c r="O2328" s="274"/>
    </row>
    <row r="2329" spans="15:15" ht="15" x14ac:dyDescent="0.25">
      <c r="O2329" s="274"/>
    </row>
    <row r="2330" spans="15:15" ht="15" x14ac:dyDescent="0.25">
      <c r="O2330" s="274"/>
    </row>
    <row r="2331" spans="15:15" ht="15" x14ac:dyDescent="0.25">
      <c r="O2331" s="274"/>
    </row>
    <row r="2332" spans="15:15" ht="15" x14ac:dyDescent="0.25">
      <c r="O2332" s="274"/>
    </row>
    <row r="2333" spans="15:15" ht="15" x14ac:dyDescent="0.25">
      <c r="O2333" s="274"/>
    </row>
    <row r="2334" spans="15:15" ht="15" x14ac:dyDescent="0.25">
      <c r="O2334" s="274"/>
    </row>
    <row r="2335" spans="15:15" ht="15" x14ac:dyDescent="0.25">
      <c r="O2335" s="274"/>
    </row>
    <row r="2336" spans="15:15" ht="15" x14ac:dyDescent="0.25">
      <c r="O2336" s="274"/>
    </row>
    <row r="2337" spans="15:15" ht="15" x14ac:dyDescent="0.25">
      <c r="O2337" s="274"/>
    </row>
    <row r="2338" spans="15:15" ht="15" x14ac:dyDescent="0.25">
      <c r="O2338" s="274"/>
    </row>
    <row r="2339" spans="15:15" ht="15" x14ac:dyDescent="0.25">
      <c r="O2339" s="274"/>
    </row>
    <row r="2340" spans="15:15" ht="15" x14ac:dyDescent="0.25">
      <c r="O2340" s="274"/>
    </row>
    <row r="2341" spans="15:15" ht="15" x14ac:dyDescent="0.25">
      <c r="O2341" s="274"/>
    </row>
    <row r="2342" spans="15:15" ht="15" x14ac:dyDescent="0.25">
      <c r="O2342" s="274"/>
    </row>
    <row r="2343" spans="15:15" ht="15" x14ac:dyDescent="0.25">
      <c r="O2343" s="274"/>
    </row>
    <row r="2344" spans="15:15" ht="15" x14ac:dyDescent="0.25">
      <c r="O2344" s="274"/>
    </row>
    <row r="2345" spans="15:15" ht="15" x14ac:dyDescent="0.25">
      <c r="O2345" s="274"/>
    </row>
    <row r="2346" spans="15:15" ht="15" x14ac:dyDescent="0.25">
      <c r="O2346" s="274"/>
    </row>
    <row r="2347" spans="15:15" ht="15" x14ac:dyDescent="0.25">
      <c r="O2347" s="274"/>
    </row>
    <row r="2348" spans="15:15" ht="15" x14ac:dyDescent="0.25">
      <c r="O2348" s="274"/>
    </row>
    <row r="2349" spans="15:15" ht="15" x14ac:dyDescent="0.25">
      <c r="O2349" s="274"/>
    </row>
    <row r="2350" spans="15:15" ht="15" x14ac:dyDescent="0.25">
      <c r="O2350" s="274"/>
    </row>
    <row r="2351" spans="15:15" ht="15" x14ac:dyDescent="0.25">
      <c r="O2351" s="274"/>
    </row>
    <row r="2352" spans="15:15" ht="15" x14ac:dyDescent="0.25">
      <c r="O2352" s="274"/>
    </row>
    <row r="2353" spans="15:15" ht="15" x14ac:dyDescent="0.25">
      <c r="O2353" s="274"/>
    </row>
    <row r="2354" spans="15:15" ht="15" x14ac:dyDescent="0.25">
      <c r="O2354" s="274"/>
    </row>
    <row r="2355" spans="15:15" ht="15" x14ac:dyDescent="0.25">
      <c r="O2355" s="274"/>
    </row>
    <row r="2356" spans="15:15" ht="15" x14ac:dyDescent="0.25">
      <c r="O2356" s="274"/>
    </row>
    <row r="2357" spans="15:15" ht="15" x14ac:dyDescent="0.25">
      <c r="O2357" s="274"/>
    </row>
    <row r="2358" spans="15:15" ht="15" x14ac:dyDescent="0.25">
      <c r="O2358" s="274"/>
    </row>
    <row r="2359" spans="15:15" ht="15" x14ac:dyDescent="0.25">
      <c r="O2359" s="274"/>
    </row>
    <row r="2360" spans="15:15" ht="15" x14ac:dyDescent="0.25">
      <c r="O2360" s="274"/>
    </row>
    <row r="2361" spans="15:15" ht="15" x14ac:dyDescent="0.25">
      <c r="O2361" s="274"/>
    </row>
    <row r="2362" spans="15:15" ht="15" x14ac:dyDescent="0.25">
      <c r="O2362" s="274"/>
    </row>
    <row r="2363" spans="15:15" ht="15" x14ac:dyDescent="0.25">
      <c r="O2363" s="274"/>
    </row>
    <row r="2364" spans="15:15" ht="15" x14ac:dyDescent="0.25">
      <c r="O2364" s="274"/>
    </row>
    <row r="2365" spans="15:15" ht="15" x14ac:dyDescent="0.25">
      <c r="O2365" s="274"/>
    </row>
    <row r="2366" spans="15:15" ht="15" x14ac:dyDescent="0.25">
      <c r="O2366" s="274"/>
    </row>
    <row r="2367" spans="15:15" ht="15" x14ac:dyDescent="0.25">
      <c r="O2367" s="274"/>
    </row>
    <row r="2368" spans="15:15" ht="15" x14ac:dyDescent="0.25">
      <c r="O2368" s="274"/>
    </row>
    <row r="2369" spans="15:15" ht="15" x14ac:dyDescent="0.25">
      <c r="O2369" s="274"/>
    </row>
    <row r="2370" spans="15:15" ht="15" x14ac:dyDescent="0.25">
      <c r="O2370" s="274"/>
    </row>
    <row r="2371" spans="15:15" ht="15" x14ac:dyDescent="0.25">
      <c r="O2371" s="274"/>
    </row>
    <row r="2372" spans="15:15" ht="15" x14ac:dyDescent="0.25">
      <c r="O2372" s="274"/>
    </row>
    <row r="2373" spans="15:15" ht="15" x14ac:dyDescent="0.25">
      <c r="O2373" s="274"/>
    </row>
    <row r="2374" spans="15:15" ht="15" x14ac:dyDescent="0.25">
      <c r="O2374" s="274"/>
    </row>
    <row r="2375" spans="15:15" ht="15" x14ac:dyDescent="0.25">
      <c r="O2375" s="274"/>
    </row>
    <row r="2376" spans="15:15" ht="15" x14ac:dyDescent="0.25">
      <c r="O2376" s="274"/>
    </row>
    <row r="2377" spans="15:15" ht="15" x14ac:dyDescent="0.25">
      <c r="O2377" s="274"/>
    </row>
    <row r="2378" spans="15:15" ht="15" x14ac:dyDescent="0.25">
      <c r="O2378" s="274"/>
    </row>
    <row r="2379" spans="15:15" ht="15" x14ac:dyDescent="0.25">
      <c r="O2379" s="274"/>
    </row>
    <row r="2380" spans="15:15" ht="15" x14ac:dyDescent="0.25">
      <c r="O2380" s="274"/>
    </row>
    <row r="2381" spans="15:15" ht="15" x14ac:dyDescent="0.25">
      <c r="O2381" s="274"/>
    </row>
    <row r="2382" spans="15:15" ht="15" x14ac:dyDescent="0.25">
      <c r="O2382" s="274"/>
    </row>
    <row r="2383" spans="15:15" ht="15" x14ac:dyDescent="0.25">
      <c r="O2383" s="274"/>
    </row>
    <row r="2384" spans="15:15" ht="15" x14ac:dyDescent="0.25">
      <c r="O2384" s="274"/>
    </row>
    <row r="2385" spans="15:15" ht="15" x14ac:dyDescent="0.25">
      <c r="O2385" s="274"/>
    </row>
    <row r="2386" spans="15:15" ht="15" x14ac:dyDescent="0.25">
      <c r="O2386" s="274"/>
    </row>
    <row r="2387" spans="15:15" ht="15" x14ac:dyDescent="0.25">
      <c r="O2387" s="274"/>
    </row>
    <row r="2388" spans="15:15" ht="15" x14ac:dyDescent="0.25">
      <c r="O2388" s="274"/>
    </row>
    <row r="2389" spans="15:15" ht="15" x14ac:dyDescent="0.25">
      <c r="O2389" s="274"/>
    </row>
    <row r="2390" spans="15:15" ht="15" x14ac:dyDescent="0.25">
      <c r="O2390" s="274"/>
    </row>
    <row r="2391" spans="15:15" ht="15" x14ac:dyDescent="0.25">
      <c r="O2391" s="274"/>
    </row>
    <row r="2392" spans="15:15" ht="15" x14ac:dyDescent="0.25">
      <c r="O2392" s="274"/>
    </row>
    <row r="2393" spans="15:15" ht="15" x14ac:dyDescent="0.25">
      <c r="O2393" s="274"/>
    </row>
    <row r="2394" spans="15:15" ht="15" x14ac:dyDescent="0.25">
      <c r="O2394" s="274"/>
    </row>
    <row r="2395" spans="15:15" ht="15" x14ac:dyDescent="0.25">
      <c r="O2395" s="274"/>
    </row>
    <row r="2396" spans="15:15" ht="15" x14ac:dyDescent="0.25">
      <c r="O2396" s="274"/>
    </row>
    <row r="2397" spans="15:15" ht="15" x14ac:dyDescent="0.25">
      <c r="O2397" s="274"/>
    </row>
    <row r="2398" spans="15:15" ht="15" x14ac:dyDescent="0.25">
      <c r="O2398" s="274"/>
    </row>
    <row r="2399" spans="15:15" ht="15" x14ac:dyDescent="0.25">
      <c r="O2399" s="274"/>
    </row>
    <row r="2400" spans="15:15" ht="15" x14ac:dyDescent="0.25">
      <c r="O2400" s="274"/>
    </row>
    <row r="2401" spans="15:15" ht="15" x14ac:dyDescent="0.25">
      <c r="O2401" s="274"/>
    </row>
    <row r="2402" spans="15:15" ht="15" x14ac:dyDescent="0.25">
      <c r="O2402" s="274"/>
    </row>
    <row r="2403" spans="15:15" ht="15" x14ac:dyDescent="0.25">
      <c r="O2403" s="274"/>
    </row>
    <row r="2404" spans="15:15" ht="15" x14ac:dyDescent="0.25">
      <c r="O2404" s="274"/>
    </row>
    <row r="2405" spans="15:15" ht="15" x14ac:dyDescent="0.25">
      <c r="O2405" s="274"/>
    </row>
    <row r="2406" spans="15:15" ht="15" x14ac:dyDescent="0.25">
      <c r="O2406" s="274"/>
    </row>
    <row r="2407" spans="15:15" ht="15" x14ac:dyDescent="0.25">
      <c r="O2407" s="274"/>
    </row>
    <row r="2408" spans="15:15" ht="15" x14ac:dyDescent="0.25">
      <c r="O2408" s="274"/>
    </row>
    <row r="2409" spans="15:15" ht="15" x14ac:dyDescent="0.25">
      <c r="O2409" s="274"/>
    </row>
    <row r="2410" spans="15:15" ht="15" x14ac:dyDescent="0.25">
      <c r="O2410" s="274"/>
    </row>
    <row r="2411" spans="15:15" ht="15" x14ac:dyDescent="0.25">
      <c r="O2411" s="274"/>
    </row>
    <row r="2412" spans="15:15" ht="15" x14ac:dyDescent="0.25">
      <c r="O2412" s="274"/>
    </row>
    <row r="2413" spans="15:15" ht="15" x14ac:dyDescent="0.25">
      <c r="O2413" s="274"/>
    </row>
    <row r="2414" spans="15:15" ht="15" x14ac:dyDescent="0.25">
      <c r="O2414" s="274"/>
    </row>
    <row r="2415" spans="15:15" ht="15" x14ac:dyDescent="0.25">
      <c r="O2415" s="274"/>
    </row>
    <row r="2416" spans="15:15" ht="15" x14ac:dyDescent="0.25">
      <c r="O2416" s="274"/>
    </row>
    <row r="2417" spans="15:15" ht="15" x14ac:dyDescent="0.25">
      <c r="O2417" s="274"/>
    </row>
    <row r="2418" spans="15:15" ht="15" x14ac:dyDescent="0.25">
      <c r="O2418" s="274"/>
    </row>
    <row r="2419" spans="15:15" ht="15" x14ac:dyDescent="0.25">
      <c r="O2419" s="274"/>
    </row>
    <row r="2420" spans="15:15" ht="15" x14ac:dyDescent="0.25">
      <c r="O2420" s="274"/>
    </row>
    <row r="2421" spans="15:15" ht="15" x14ac:dyDescent="0.25">
      <c r="O2421" s="274"/>
    </row>
    <row r="2422" spans="15:15" ht="15" x14ac:dyDescent="0.25">
      <c r="O2422" s="274"/>
    </row>
    <row r="2423" spans="15:15" ht="15" x14ac:dyDescent="0.25">
      <c r="O2423" s="274"/>
    </row>
    <row r="2424" spans="15:15" ht="15" x14ac:dyDescent="0.25">
      <c r="O2424" s="274"/>
    </row>
    <row r="2425" spans="15:15" ht="15" x14ac:dyDescent="0.25">
      <c r="O2425" s="274"/>
    </row>
    <row r="2426" spans="15:15" ht="15" x14ac:dyDescent="0.25">
      <c r="O2426" s="274"/>
    </row>
    <row r="2427" spans="15:15" ht="15" x14ac:dyDescent="0.25">
      <c r="O2427" s="274"/>
    </row>
    <row r="2428" spans="15:15" ht="15" x14ac:dyDescent="0.25">
      <c r="O2428" s="274"/>
    </row>
    <row r="2429" spans="15:15" ht="15" x14ac:dyDescent="0.25">
      <c r="O2429" s="274"/>
    </row>
    <row r="2430" spans="15:15" ht="15" x14ac:dyDescent="0.25">
      <c r="O2430" s="274"/>
    </row>
    <row r="2431" spans="15:15" ht="15" x14ac:dyDescent="0.25">
      <c r="O2431" s="274"/>
    </row>
    <row r="2432" spans="15:15" ht="15" x14ac:dyDescent="0.25">
      <c r="O2432" s="274"/>
    </row>
    <row r="2433" spans="15:15" ht="15" x14ac:dyDescent="0.25">
      <c r="O2433" s="274"/>
    </row>
    <row r="2434" spans="15:15" ht="15" x14ac:dyDescent="0.25">
      <c r="O2434" s="274"/>
    </row>
    <row r="2435" spans="15:15" ht="15" x14ac:dyDescent="0.25">
      <c r="O2435" s="274"/>
    </row>
    <row r="2436" spans="15:15" ht="15" x14ac:dyDescent="0.25">
      <c r="O2436" s="274"/>
    </row>
    <row r="2437" spans="15:15" ht="15" x14ac:dyDescent="0.25">
      <c r="O2437" s="274"/>
    </row>
    <row r="2438" spans="15:15" ht="15" x14ac:dyDescent="0.25">
      <c r="O2438" s="274"/>
    </row>
    <row r="2439" spans="15:15" ht="15" x14ac:dyDescent="0.25">
      <c r="O2439" s="274"/>
    </row>
    <row r="2440" spans="15:15" ht="15" x14ac:dyDescent="0.25">
      <c r="O2440" s="274"/>
    </row>
    <row r="2441" spans="15:15" ht="15" x14ac:dyDescent="0.25">
      <c r="O2441" s="274"/>
    </row>
    <row r="2442" spans="15:15" ht="15" x14ac:dyDescent="0.25">
      <c r="O2442" s="274"/>
    </row>
    <row r="2443" spans="15:15" ht="15" x14ac:dyDescent="0.25">
      <c r="O2443" s="274"/>
    </row>
    <row r="2444" spans="15:15" ht="15" x14ac:dyDescent="0.25">
      <c r="O2444" s="274"/>
    </row>
    <row r="2445" spans="15:15" ht="15" x14ac:dyDescent="0.25">
      <c r="O2445" s="274"/>
    </row>
    <row r="2446" spans="15:15" ht="15" x14ac:dyDescent="0.25">
      <c r="O2446" s="274"/>
    </row>
    <row r="2447" spans="15:15" ht="15" x14ac:dyDescent="0.25">
      <c r="O2447" s="274"/>
    </row>
    <row r="2448" spans="15:15" ht="15" x14ac:dyDescent="0.25">
      <c r="O2448" s="274"/>
    </row>
    <row r="2449" spans="15:15" ht="15" x14ac:dyDescent="0.25">
      <c r="O2449" s="274"/>
    </row>
    <row r="2450" spans="15:15" ht="15" x14ac:dyDescent="0.25">
      <c r="O2450" s="274"/>
    </row>
    <row r="2451" spans="15:15" ht="15" x14ac:dyDescent="0.25">
      <c r="O2451" s="274"/>
    </row>
    <row r="2452" spans="15:15" ht="15" x14ac:dyDescent="0.25">
      <c r="O2452" s="274"/>
    </row>
    <row r="2453" spans="15:15" ht="15" x14ac:dyDescent="0.25">
      <c r="O2453" s="274"/>
    </row>
    <row r="2454" spans="15:15" ht="15" x14ac:dyDescent="0.25">
      <c r="O2454" s="274"/>
    </row>
    <row r="2455" spans="15:15" ht="15" x14ac:dyDescent="0.25">
      <c r="O2455" s="274"/>
    </row>
    <row r="2456" spans="15:15" ht="15" x14ac:dyDescent="0.25">
      <c r="O2456" s="274"/>
    </row>
    <row r="2457" spans="15:15" ht="15" x14ac:dyDescent="0.25">
      <c r="O2457" s="274"/>
    </row>
    <row r="2458" spans="15:15" ht="15" x14ac:dyDescent="0.25">
      <c r="O2458" s="274"/>
    </row>
  </sheetData>
  <mergeCells count="3">
    <mergeCell ref="A3:B3"/>
    <mergeCell ref="A62:B62"/>
    <mergeCell ref="A63:B63"/>
  </mergeCells>
  <pageMargins left="0.511811024" right="0.511811024" top="0.78740157499999996" bottom="0.78740157499999996" header="0.31496062000000002" footer="0.31496062000000002"/>
  <ignoredErrors>
    <ignoredError sqref="AI9"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231"/>
  <sheetViews>
    <sheetView zoomScale="85" zoomScaleNormal="85" workbookViewId="0">
      <pane xSplit="7" ySplit="5" topLeftCell="BD6" activePane="bottomRight" state="frozen"/>
      <selection activeCell="A9" sqref="A9"/>
      <selection pane="topRight" activeCell="A9" sqref="A9"/>
      <selection pane="bottomLeft" activeCell="A9" sqref="A9"/>
      <selection pane="bottomRight" activeCell="A9" sqref="A9"/>
    </sheetView>
  </sheetViews>
  <sheetFormatPr defaultColWidth="9.140625" defaultRowHeight="15.75" outlineLevelRow="1" x14ac:dyDescent="0.25"/>
  <cols>
    <col min="1" max="1" width="2.140625" style="13" customWidth="1"/>
    <col min="2" max="2" width="15.28515625" style="38" customWidth="1"/>
    <col min="3" max="3" width="11.85546875" style="13" hidden="1" customWidth="1"/>
    <col min="4" max="4" width="51.85546875" style="13" bestFit="1" customWidth="1"/>
    <col min="5" max="5" width="5.42578125" style="13" hidden="1" customWidth="1"/>
    <col min="6" max="6" width="4.85546875" style="39" hidden="1" customWidth="1"/>
    <col min="7" max="7" width="4.85546875" style="25" hidden="1" customWidth="1"/>
    <col min="8" max="8" width="18" style="40" customWidth="1"/>
    <col min="9" max="9" width="17.5703125" style="13" customWidth="1"/>
    <col min="10" max="10" width="17.28515625" style="13" customWidth="1"/>
    <col min="11" max="11" width="13.7109375" style="71" customWidth="1"/>
    <col min="12" max="12" width="16.28515625" style="13" customWidth="1"/>
    <col min="13" max="13" width="14.7109375" style="13" customWidth="1"/>
    <col min="14" max="14" width="15.140625" style="13" customWidth="1"/>
    <col min="15" max="15" width="9.7109375" style="71" customWidth="1"/>
    <col min="16" max="18" width="14.7109375" style="13" customWidth="1"/>
    <col min="19" max="19" width="10.85546875" style="71" customWidth="1"/>
    <col min="20" max="20" width="14.7109375" style="13" customWidth="1"/>
    <col min="21" max="21" width="16" style="13" customWidth="1"/>
    <col min="22" max="22" width="14.7109375" style="13" customWidth="1"/>
    <col min="23" max="23" width="10.28515625" style="71" customWidth="1"/>
    <col min="24" max="26" width="14.7109375" style="13" customWidth="1"/>
    <col min="27" max="27" width="9.7109375" style="71" customWidth="1"/>
    <col min="28" max="30" width="14.7109375" style="13" customWidth="1"/>
    <col min="31" max="31" width="9.7109375" style="71" customWidth="1"/>
    <col min="32" max="32" width="14.7109375" style="13" customWidth="1"/>
    <col min="33" max="33" width="17.42578125" style="13" customWidth="1"/>
    <col min="34" max="34" width="14.7109375" style="13" customWidth="1"/>
    <col min="35" max="35" width="9.7109375" style="71" customWidth="1"/>
    <col min="36" max="36" width="14.7109375" style="13" customWidth="1"/>
    <col min="37" max="37" width="13.28515625" style="13" customWidth="1"/>
    <col min="38" max="38" width="14.7109375" style="13" customWidth="1"/>
    <col min="39" max="39" width="9.7109375" style="71" customWidth="1"/>
    <col min="40" max="40" width="14.7109375" style="13" customWidth="1"/>
    <col min="41" max="41" width="16.28515625" style="13" customWidth="1"/>
    <col min="42" max="42" width="14.7109375" style="13" customWidth="1"/>
    <col min="43" max="43" width="9.7109375" style="71" customWidth="1"/>
    <col min="44" max="46" width="14.7109375" style="13" customWidth="1"/>
    <col min="47" max="47" width="9.7109375" style="71" customWidth="1"/>
    <col min="48" max="48" width="12.42578125" style="13" bestFit="1" customWidth="1"/>
    <col min="49" max="49" width="13.140625" style="13" customWidth="1"/>
    <col min="50" max="50" width="12.7109375" style="13" customWidth="1"/>
    <col min="51" max="51" width="11.140625" style="71" customWidth="1"/>
    <col min="52" max="54" width="14.7109375" style="13" customWidth="1"/>
    <col min="55" max="55" width="12.7109375" style="71" bestFit="1" customWidth="1"/>
    <col min="56" max="56" width="15.7109375" style="13" bestFit="1" customWidth="1"/>
    <col min="57" max="57" width="14.7109375" style="13" customWidth="1"/>
    <col min="58" max="58" width="17" style="13" customWidth="1"/>
    <col min="59" max="59" width="17.42578125" style="13" customWidth="1"/>
    <col min="60" max="60" width="24.42578125" style="13" bestFit="1" customWidth="1"/>
    <col min="61" max="61" width="18.140625" style="13" customWidth="1"/>
    <col min="62" max="62" width="13" style="13" customWidth="1"/>
    <col min="63" max="63" width="14.28515625" style="13" bestFit="1" customWidth="1"/>
    <col min="64" max="16384" width="9.140625" style="13"/>
  </cols>
  <sheetData>
    <row r="1" spans="2:62" x14ac:dyDescent="0.25">
      <c r="U1" s="109"/>
    </row>
    <row r="2" spans="2:62" x14ac:dyDescent="0.25">
      <c r="G2" s="261"/>
      <c r="H2" s="109"/>
      <c r="I2" s="109"/>
      <c r="J2" s="362"/>
      <c r="K2" s="365"/>
      <c r="U2" s="109"/>
      <c r="AF2" s="109"/>
      <c r="AG2" s="109"/>
      <c r="AH2" s="43"/>
    </row>
    <row r="3" spans="2:62" x14ac:dyDescent="0.25">
      <c r="G3" s="261"/>
      <c r="H3" s="109"/>
      <c r="I3" s="109"/>
      <c r="J3" s="109"/>
      <c r="L3" s="110"/>
      <c r="U3" s="109"/>
      <c r="AG3" s="43"/>
      <c r="AH3" s="43"/>
      <c r="AJ3" s="43"/>
      <c r="AO3" s="109"/>
      <c r="AS3" s="43"/>
    </row>
    <row r="4" spans="2:62" ht="16.5" thickBot="1" x14ac:dyDescent="0.3">
      <c r="F4" s="317"/>
      <c r="G4" s="261"/>
      <c r="H4" s="109"/>
      <c r="I4" s="109"/>
      <c r="J4" s="109"/>
      <c r="N4" s="109"/>
      <c r="U4" s="109"/>
      <c r="AF4" s="43"/>
      <c r="AO4" s="321"/>
    </row>
    <row r="5" spans="2:62" s="11" customFormat="1" ht="16.5" thickBot="1" x14ac:dyDescent="0.3">
      <c r="B5" s="2663" t="s">
        <v>0</v>
      </c>
      <c r="C5" s="2665" t="s">
        <v>1</v>
      </c>
      <c r="D5" s="2667" t="s">
        <v>145</v>
      </c>
      <c r="E5" s="335"/>
      <c r="F5" s="2669" t="s">
        <v>2</v>
      </c>
      <c r="G5" s="2671"/>
      <c r="H5" s="2660" t="s">
        <v>3638</v>
      </c>
      <c r="I5" s="2661"/>
      <c r="J5" s="2661"/>
      <c r="K5" s="2662"/>
      <c r="L5" s="2660" t="s">
        <v>3639</v>
      </c>
      <c r="M5" s="2661"/>
      <c r="N5" s="2661"/>
      <c r="O5" s="2662"/>
      <c r="P5" s="2660" t="s">
        <v>3640</v>
      </c>
      <c r="Q5" s="2661"/>
      <c r="R5" s="2661"/>
      <c r="S5" s="2662"/>
      <c r="T5" s="2660" t="s">
        <v>3641</v>
      </c>
      <c r="U5" s="2661"/>
      <c r="V5" s="2661"/>
      <c r="W5" s="2662"/>
      <c r="X5" s="2660" t="s">
        <v>3642</v>
      </c>
      <c r="Y5" s="2661"/>
      <c r="Z5" s="2661"/>
      <c r="AA5" s="2662"/>
      <c r="AB5" s="2660" t="s">
        <v>3643</v>
      </c>
      <c r="AC5" s="2661"/>
      <c r="AD5" s="2661"/>
      <c r="AE5" s="2662"/>
      <c r="AF5" s="2660" t="s">
        <v>3644</v>
      </c>
      <c r="AG5" s="2661"/>
      <c r="AH5" s="2661"/>
      <c r="AI5" s="2662"/>
      <c r="AJ5" s="2660" t="s">
        <v>3645</v>
      </c>
      <c r="AK5" s="2661"/>
      <c r="AL5" s="2661"/>
      <c r="AM5" s="2662"/>
      <c r="AN5" s="2660" t="s">
        <v>3646</v>
      </c>
      <c r="AO5" s="2661"/>
      <c r="AP5" s="2661"/>
      <c r="AQ5" s="2662"/>
      <c r="AR5" s="2660" t="s">
        <v>3647</v>
      </c>
      <c r="AS5" s="2661"/>
      <c r="AT5" s="2661"/>
      <c r="AU5" s="2662"/>
      <c r="AV5" s="2661" t="s">
        <v>3648</v>
      </c>
      <c r="AW5" s="2661"/>
      <c r="AX5" s="2661"/>
      <c r="AY5" s="2661"/>
      <c r="AZ5" s="2660" t="s">
        <v>3649</v>
      </c>
      <c r="BA5" s="2661"/>
      <c r="BB5" s="2661"/>
      <c r="BC5" s="2662"/>
      <c r="BD5" s="2681" t="s">
        <v>162</v>
      </c>
      <c r="BE5" s="2683" t="s">
        <v>163</v>
      </c>
    </row>
    <row r="6" spans="2:62" s="11" customFormat="1" ht="16.5" thickBot="1" x14ac:dyDescent="0.3">
      <c r="B6" s="2664"/>
      <c r="C6" s="2666"/>
      <c r="D6" s="2668"/>
      <c r="E6" s="336"/>
      <c r="F6" s="2670"/>
      <c r="G6" s="2672"/>
      <c r="H6" s="228" t="s">
        <v>4</v>
      </c>
      <c r="I6" s="199" t="s">
        <v>5</v>
      </c>
      <c r="J6" s="199" t="s">
        <v>6</v>
      </c>
      <c r="K6" s="225" t="s">
        <v>158</v>
      </c>
      <c r="L6" s="226" t="s">
        <v>4</v>
      </c>
      <c r="M6" s="197" t="s">
        <v>5</v>
      </c>
      <c r="N6" s="197" t="s">
        <v>6</v>
      </c>
      <c r="O6" s="227" t="s">
        <v>158</v>
      </c>
      <c r="P6" s="226" t="s">
        <v>4</v>
      </c>
      <c r="Q6" s="197" t="s">
        <v>5</v>
      </c>
      <c r="R6" s="197" t="s">
        <v>6</v>
      </c>
      <c r="S6" s="227" t="s">
        <v>158</v>
      </c>
      <c r="T6" s="226" t="s">
        <v>4</v>
      </c>
      <c r="U6" s="197" t="s">
        <v>5</v>
      </c>
      <c r="V6" s="197" t="s">
        <v>6</v>
      </c>
      <c r="W6" s="227" t="s">
        <v>158</v>
      </c>
      <c r="X6" s="226" t="s">
        <v>4</v>
      </c>
      <c r="Y6" s="197" t="s">
        <v>5</v>
      </c>
      <c r="Z6" s="197" t="s">
        <v>6</v>
      </c>
      <c r="AA6" s="227" t="s">
        <v>158</v>
      </c>
      <c r="AB6" s="226" t="s">
        <v>4</v>
      </c>
      <c r="AC6" s="197" t="s">
        <v>5</v>
      </c>
      <c r="AD6" s="197" t="s">
        <v>6</v>
      </c>
      <c r="AE6" s="227" t="s">
        <v>158</v>
      </c>
      <c r="AF6" s="226" t="s">
        <v>4</v>
      </c>
      <c r="AG6" s="197" t="s">
        <v>5</v>
      </c>
      <c r="AH6" s="197" t="s">
        <v>6</v>
      </c>
      <c r="AI6" s="227" t="s">
        <v>158</v>
      </c>
      <c r="AJ6" s="226" t="s">
        <v>4</v>
      </c>
      <c r="AK6" s="197" t="s">
        <v>5</v>
      </c>
      <c r="AL6" s="197" t="s">
        <v>6</v>
      </c>
      <c r="AM6" s="227" t="s">
        <v>158</v>
      </c>
      <c r="AN6" s="226" t="s">
        <v>4</v>
      </c>
      <c r="AO6" s="197" t="s">
        <v>5</v>
      </c>
      <c r="AP6" s="197" t="s">
        <v>6</v>
      </c>
      <c r="AQ6" s="227" t="s">
        <v>158</v>
      </c>
      <c r="AR6" s="226" t="s">
        <v>4</v>
      </c>
      <c r="AS6" s="197" t="s">
        <v>5</v>
      </c>
      <c r="AT6" s="197" t="s">
        <v>6</v>
      </c>
      <c r="AU6" s="227" t="s">
        <v>158</v>
      </c>
      <c r="AV6" s="200" t="s">
        <v>4</v>
      </c>
      <c r="AW6" s="197" t="s">
        <v>5</v>
      </c>
      <c r="AX6" s="197" t="s">
        <v>6</v>
      </c>
      <c r="AY6" s="198" t="s">
        <v>158</v>
      </c>
      <c r="AZ6" s="226" t="s">
        <v>4</v>
      </c>
      <c r="BA6" s="197" t="s">
        <v>5</v>
      </c>
      <c r="BB6" s="198" t="s">
        <v>6</v>
      </c>
      <c r="BC6" s="227" t="s">
        <v>158</v>
      </c>
      <c r="BD6" s="2682"/>
      <c r="BE6" s="2684"/>
    </row>
    <row r="7" spans="2:62" s="1" customFormat="1" ht="16.5" thickBot="1" x14ac:dyDescent="0.3">
      <c r="B7" s="58"/>
      <c r="C7" s="44"/>
      <c r="D7" s="2685" t="s">
        <v>139</v>
      </c>
      <c r="E7" s="2686"/>
      <c r="F7" s="2686"/>
      <c r="G7" s="2686">
        <f>SUM(G9:G15)</f>
        <v>0</v>
      </c>
      <c r="H7" s="218">
        <f>SUM(H8+H16+H20)</f>
        <v>14251858.693878857</v>
      </c>
      <c r="I7" s="80">
        <f>SUM(I8+I16+I20)</f>
        <v>14858203.629999999</v>
      </c>
      <c r="J7" s="80">
        <f>I7-H7</f>
        <v>606344.93612114154</v>
      </c>
      <c r="K7" s="244">
        <f>((I7/H7)-1)*100</f>
        <v>4.2544972494118705</v>
      </c>
      <c r="L7" s="218">
        <f>SUM(L8+L16+L20)</f>
        <v>14237072.841598818</v>
      </c>
      <c r="M7" s="80">
        <f>SUM(M8+M16+M20)</f>
        <v>14521810.259999998</v>
      </c>
      <c r="N7" s="80">
        <f>M7-L7</f>
        <v>284737.41840117984</v>
      </c>
      <c r="O7" s="244">
        <f>((M7/L7)-1)*100</f>
        <v>1.9999716344023755</v>
      </c>
      <c r="P7" s="218">
        <f>SUM(P8+P16+P20)</f>
        <v>14570238.014783651</v>
      </c>
      <c r="Q7" s="80">
        <f>SUM(Q8+Q16+Q20)</f>
        <v>14998355.949999999</v>
      </c>
      <c r="R7" s="80">
        <f>Q7-P7</f>
        <v>428117.93521634862</v>
      </c>
      <c r="S7" s="244">
        <f>((Q7/P7)-1)*100</f>
        <v>2.9383043350558857</v>
      </c>
      <c r="T7" s="218">
        <f>SUM(T8+T16+T20)</f>
        <v>14311745.972062856</v>
      </c>
      <c r="U7" s="80">
        <f>SUM(U8+U16+U20)</f>
        <v>12439660.509999998</v>
      </c>
      <c r="V7" s="80">
        <f>U7-T7</f>
        <v>-1872085.462062858</v>
      </c>
      <c r="W7" s="244">
        <f>((U7/T7)-1)*100</f>
        <v>-13.080762233463684</v>
      </c>
      <c r="X7" s="218">
        <f>SUM(X8+X16+X20)</f>
        <v>12449043.196042029</v>
      </c>
      <c r="Y7" s="80">
        <f>SUM(Y8+Y16+Y20)</f>
        <v>15644440.629999999</v>
      </c>
      <c r="Z7" s="80">
        <f>Y7-X7</f>
        <v>3195397.4339579698</v>
      </c>
      <c r="AA7" s="244">
        <f>((Y7/X7)-1)*100</f>
        <v>25.667815458893205</v>
      </c>
      <c r="AB7" s="218">
        <f>SUM(AB8+AB16+AB20)</f>
        <v>13102432.815834811</v>
      </c>
      <c r="AC7" s="80">
        <f>SUM(AC8+AC16+AC20)</f>
        <v>16488898.489999998</v>
      </c>
      <c r="AD7" s="80">
        <f>AC7-AB7</f>
        <v>3386465.6741651874</v>
      </c>
      <c r="AE7" s="244">
        <f>((AC7/AB7)-1)*100</f>
        <v>25.846083103532557</v>
      </c>
      <c r="AF7" s="104">
        <f>SUM(AF8+AF16+AF20)</f>
        <v>13098804.305242896</v>
      </c>
      <c r="AG7" s="80">
        <f>SUM(AG8+AG16+AG20)</f>
        <v>17124974.620000001</v>
      </c>
      <c r="AH7" s="80">
        <f>AG7-AF7</f>
        <v>4026170.314757105</v>
      </c>
      <c r="AI7" s="244">
        <f>((AG7/AF7)-1)*100</f>
        <v>30.736930035252151</v>
      </c>
      <c r="AJ7" s="218">
        <f>SUM(AJ8+AJ16+AJ20)</f>
        <v>15882683.653266175</v>
      </c>
      <c r="AK7" s="80">
        <f>SUM(AK8+AK16+AK20)</f>
        <v>17495133.030000005</v>
      </c>
      <c r="AL7" s="42">
        <f>AK7-AJ7</f>
        <v>1612449.3767338302</v>
      </c>
      <c r="AM7" s="244">
        <f>((AK7/AJ7)-1)*100</f>
        <v>10.152247642370194</v>
      </c>
      <c r="AN7" s="574">
        <f>SUM(AN8+AN16+AN20)</f>
        <v>15853298.280083334</v>
      </c>
      <c r="AO7" s="80">
        <f>SUM(AO8+AO16+AO20)</f>
        <v>17650844.82</v>
      </c>
      <c r="AP7" s="42">
        <f>AO7-AN7</f>
        <v>1797546.5399166662</v>
      </c>
      <c r="AQ7" s="244">
        <f>((AO7/AN7)-1)*100</f>
        <v>11.338628140082019</v>
      </c>
      <c r="AR7" s="574">
        <f>SUM(AR8+AR16+AR20)</f>
        <v>15703181.029572764</v>
      </c>
      <c r="AS7" s="80">
        <f>SUM(AS8+AS16+AS20)</f>
        <v>18335602.32</v>
      </c>
      <c r="AT7" s="42">
        <f>AS7-AR7</f>
        <v>2632421.2904272359</v>
      </c>
      <c r="AU7" s="244">
        <f>((AS7/AR7)-1)*100</f>
        <v>16.763618055919814</v>
      </c>
      <c r="AV7" s="51">
        <f>SUM(AV8+AV16+AV20)</f>
        <v>15651274.725807598</v>
      </c>
      <c r="AW7" s="80">
        <f>SUM(AW8+AW16+AW20)</f>
        <v>17488377.390000001</v>
      </c>
      <c r="AX7" s="42">
        <f>AW7-AV7</f>
        <v>1837102.6641924027</v>
      </c>
      <c r="AY7" s="244">
        <f>((AW7/AV7)-1)*100</f>
        <v>11.737719108355948</v>
      </c>
      <c r="AZ7" s="574">
        <f>SUM(AZ8+AZ16+AZ20)</f>
        <v>15105632.105586596</v>
      </c>
      <c r="BA7" s="42">
        <f>SUM(BA8+BA16+BA20)</f>
        <v>17294266.449999999</v>
      </c>
      <c r="BB7" s="42">
        <f t="shared" ref="BB7:BB14" si="0">BA7-AZ7</f>
        <v>2188634.3444134034</v>
      </c>
      <c r="BC7" s="244">
        <f>((BA7/AZ7)-1)*100</f>
        <v>14.488863022183418</v>
      </c>
      <c r="BD7" s="574">
        <f>AF7+AJ7+AN7+AR7+AV7+AZ7+AB7+X7+U7+Q7+M7+I7</f>
        <v>173664380.46143618</v>
      </c>
      <c r="BE7" s="59">
        <f t="shared" ref="BE7:BE19" si="1">SUM(I7+M7+Q7+U7+Y7+AC7+AG7+AK7+AO7+AS7+AW7+BA7)</f>
        <v>194340568.09999996</v>
      </c>
      <c r="BF7" s="398"/>
      <c r="BG7" s="399"/>
      <c r="BH7" s="398"/>
      <c r="BI7" s="2"/>
      <c r="BJ7" s="2"/>
    </row>
    <row r="8" spans="2:62" s="119" customFormat="1" ht="16.5" thickBot="1" x14ac:dyDescent="0.3">
      <c r="B8" s="376"/>
      <c r="C8" s="377"/>
      <c r="D8" s="378" t="s">
        <v>161</v>
      </c>
      <c r="E8" s="337"/>
      <c r="F8" s="114"/>
      <c r="G8" s="259"/>
      <c r="H8" s="4">
        <f>SUM(H9:H15)</f>
        <v>13057297.476673879</v>
      </c>
      <c r="I8" s="115">
        <f>SUM(I9:I15)</f>
        <v>13150373.619999999</v>
      </c>
      <c r="J8" s="115">
        <f>I8-H8</f>
        <v>93076.143326120451</v>
      </c>
      <c r="K8" s="234">
        <f>((I8/H8)-1)*100</f>
        <v>0.71282854275469543</v>
      </c>
      <c r="L8" s="4">
        <f>SUM(L9:L15)</f>
        <v>12992316.682009848</v>
      </c>
      <c r="M8" s="115">
        <f>SUM(M9:M15)</f>
        <v>13332935.229999999</v>
      </c>
      <c r="N8" s="115">
        <f t="shared" ref="N8:N19" si="2">M8-L8</f>
        <v>340618.54799015075</v>
      </c>
      <c r="O8" s="241">
        <f t="shared" ref="O8:O15" si="3">((M8/L8)-1)*100</f>
        <v>2.6216921610431321</v>
      </c>
      <c r="P8" s="4">
        <f>SUM(P9:P15)</f>
        <v>13326484.358223321</v>
      </c>
      <c r="Q8" s="115">
        <f>SUM(Q9:Q15)</f>
        <v>13736822.33</v>
      </c>
      <c r="R8" s="115">
        <f t="shared" ref="R8:R16" si="4">Q8-P8</f>
        <v>410337.97177667916</v>
      </c>
      <c r="S8" s="241">
        <f t="shared" ref="S8:S15" si="5">((Q8/P8)-1)*100</f>
        <v>3.079116447718433</v>
      </c>
      <c r="T8" s="4">
        <f>SUM(T9:T15)</f>
        <v>13067214.505945692</v>
      </c>
      <c r="U8" s="115">
        <f>SUM(U9:U15)</f>
        <v>11289987.369999999</v>
      </c>
      <c r="V8" s="115">
        <f>U8-T8</f>
        <v>-1777227.1359456927</v>
      </c>
      <c r="W8" s="241">
        <f t="shared" ref="W8:W15" si="6">((U8/T8)-1)*100</f>
        <v>-13.600657853569631</v>
      </c>
      <c r="X8" s="115">
        <f>SUM(X9:X15)</f>
        <v>11028021.128333334</v>
      </c>
      <c r="Y8" s="211">
        <f>SUM(Y9:Y15)</f>
        <v>12601204.289999999</v>
      </c>
      <c r="Z8" s="115">
        <f>Y8-X8</f>
        <v>1573183.1616666652</v>
      </c>
      <c r="AA8" s="241">
        <f t="shared" ref="AA8:AA15" si="7">((Y8/X8)-1)*100</f>
        <v>14.265325967002562</v>
      </c>
      <c r="AB8" s="4">
        <f>SUM(AB9:AB15)</f>
        <v>11878021.128333334</v>
      </c>
      <c r="AC8" s="115">
        <f>SUM(AC9:AC15)</f>
        <v>12686433.16</v>
      </c>
      <c r="AD8" s="115">
        <f>AC8-AB8</f>
        <v>808412.03166666627</v>
      </c>
      <c r="AE8" s="241">
        <f t="shared" ref="AE8:AE15" si="8">((AC8/AB8)-1)*100</f>
        <v>6.80594875975018</v>
      </c>
      <c r="AF8" s="4">
        <f>SUM(AF9:AF15)</f>
        <v>11878021.128333334</v>
      </c>
      <c r="AG8" s="115">
        <f>SUM(AG9:AG15)</f>
        <v>15221081.340000002</v>
      </c>
      <c r="AH8" s="115">
        <f>AG8-AF8</f>
        <v>3343060.2116666678</v>
      </c>
      <c r="AI8" s="241">
        <f t="shared" ref="AI8:AI15" si="9">((AG8/AF8)-1)*100</f>
        <v>28.144925619742089</v>
      </c>
      <c r="AJ8" s="4">
        <f>SUM(AJ9:AJ15)</f>
        <v>14662021.128333334</v>
      </c>
      <c r="AK8" s="115">
        <f>SUM(AK9:AK15)</f>
        <v>16303564.970000003</v>
      </c>
      <c r="AL8" s="117">
        <f>AK8-AJ8</f>
        <v>1641543.8416666687</v>
      </c>
      <c r="AM8" s="241">
        <f t="shared" ref="AM8:AM15" si="10">((AK8/AJ8)-1)*100</f>
        <v>11.19589057537571</v>
      </c>
      <c r="AN8" s="7">
        <f>SUM(AN9:AN15)</f>
        <v>14662021.128333334</v>
      </c>
      <c r="AO8" s="115">
        <f>SUM(AO9:AO15)</f>
        <v>15459587.99</v>
      </c>
      <c r="AP8" s="117">
        <f>AO8-AN8</f>
        <v>797566.86166666634</v>
      </c>
      <c r="AQ8" s="234">
        <f t="shared" ref="AQ8:AQ15" si="11">((AO8/AN8)-1)*100</f>
        <v>5.4396788456771761</v>
      </c>
      <c r="AR8" s="410">
        <f>SUM(AR9:AR15)</f>
        <v>14512021.128333334</v>
      </c>
      <c r="AS8" s="116">
        <f>SUM(AS9:AS15)</f>
        <v>16545213.689999999</v>
      </c>
      <c r="AT8" s="117">
        <f>AS8-AR8</f>
        <v>2033192.5616666656</v>
      </c>
      <c r="AU8" s="241">
        <f t="shared" ref="AU8:AU15" si="12">((AS8/AR8)-1)*100</f>
        <v>14.010402435929837</v>
      </c>
      <c r="AV8" s="410">
        <f>SUM(AV9:AV15)</f>
        <v>14262021.128333334</v>
      </c>
      <c r="AW8" s="116">
        <f>SUM(AW9:AW15)</f>
        <v>16002381.870000001</v>
      </c>
      <c r="AX8" s="117">
        <f>AW8-AV8</f>
        <v>1740360.7416666672</v>
      </c>
      <c r="AY8" s="234">
        <f t="shared" ref="AY8:AY15" si="13">((AW8/AV8)-1)*100</f>
        <v>12.202763731777244</v>
      </c>
      <c r="AZ8" s="410">
        <f>SUM(AZ9:AZ15)</f>
        <v>13912021.128333334</v>
      </c>
      <c r="BA8" s="116">
        <f>SUM(BA9:BA15)</f>
        <v>14770687.550000001</v>
      </c>
      <c r="BB8" s="117">
        <f t="shared" si="0"/>
        <v>858666.42166666687</v>
      </c>
      <c r="BC8" s="241">
        <f t="shared" ref="BC8:BC15" si="14">((BA8/AZ8)-1)*100</f>
        <v>6.1721184416396513</v>
      </c>
      <c r="BD8" s="115">
        <f>AF8+AJ8+AN8+AR8+AV8+AZ8+AB8+X8+U8+Q8+M8+I8</f>
        <v>158304287.57666665</v>
      </c>
      <c r="BE8" s="115">
        <f t="shared" si="1"/>
        <v>171100273.41000003</v>
      </c>
      <c r="BF8" s="118"/>
      <c r="BH8" s="334"/>
    </row>
    <row r="9" spans="2:62" s="119" customFormat="1" ht="31.5" x14ac:dyDescent="0.25">
      <c r="B9" s="431" t="s">
        <v>3633</v>
      </c>
      <c r="C9" s="432"/>
      <c r="D9" s="331" t="s">
        <v>337</v>
      </c>
      <c r="E9" s="154"/>
      <c r="F9" s="148"/>
      <c r="G9" s="328"/>
      <c r="H9" s="835">
        <v>2166281.8000000003</v>
      </c>
      <c r="I9" s="99">
        <f>1286353.95+701253.68+178644.17</f>
        <v>2166251.7999999998</v>
      </c>
      <c r="J9" s="81">
        <f>I9-H9</f>
        <v>-30.000000000465661</v>
      </c>
      <c r="K9" s="249">
        <f>((I9/H9)-1)*100</f>
        <v>-1.3848613786282549E-3</v>
      </c>
      <c r="L9" s="597">
        <v>2166281.8000000003</v>
      </c>
      <c r="M9" s="190">
        <f>1373561.14+668031.12+124659.54</f>
        <v>2166251.7999999998</v>
      </c>
      <c r="N9" s="125">
        <f t="shared" si="2"/>
        <v>-30.000000000465661</v>
      </c>
      <c r="O9" s="249">
        <f t="shared" si="3"/>
        <v>-1.3848613786282549E-3</v>
      </c>
      <c r="P9" s="597">
        <v>2166281.8000000003</v>
      </c>
      <c r="Q9" s="99">
        <f>1223826.96+698707.49+243717.35</f>
        <v>2166251.7999999998</v>
      </c>
      <c r="R9" s="190">
        <f t="shared" si="4"/>
        <v>-30.000000000465661</v>
      </c>
      <c r="S9" s="249">
        <f t="shared" si="5"/>
        <v>-1.3848613786282549E-3</v>
      </c>
      <c r="T9" s="136">
        <v>2166281.8000000003</v>
      </c>
      <c r="U9" s="807">
        <v>2166251.7999999998</v>
      </c>
      <c r="V9" s="125">
        <f>U9-T9</f>
        <v>-30.000000000465661</v>
      </c>
      <c r="W9" s="249">
        <f t="shared" si="6"/>
        <v>-1.3848613786282549E-3</v>
      </c>
      <c r="X9" s="836">
        <v>2166281.8000000003</v>
      </c>
      <c r="Y9" s="833">
        <f>1392718.92+630584.63+142948.25</f>
        <v>2166251.7999999998</v>
      </c>
      <c r="Z9" s="125">
        <f>Y9-X9</f>
        <v>-30.000000000465661</v>
      </c>
      <c r="AA9" s="249">
        <f t="shared" si="7"/>
        <v>-1.3848613786282549E-3</v>
      </c>
      <c r="AB9" s="842">
        <v>2166281.8000000003</v>
      </c>
      <c r="AC9" s="842">
        <v>2166251.7999999998</v>
      </c>
      <c r="AD9" s="125">
        <f>AC9-AB9</f>
        <v>-30.000000000465661</v>
      </c>
      <c r="AE9" s="249">
        <f t="shared" si="8"/>
        <v>-1.3848613786282549E-3</v>
      </c>
      <c r="AF9" s="843">
        <v>2166281.8000000003</v>
      </c>
      <c r="AG9" s="843">
        <v>2166251.7999999998</v>
      </c>
      <c r="AH9" s="125">
        <f>AG9-AF9</f>
        <v>-30.000000000465661</v>
      </c>
      <c r="AI9" s="249">
        <f t="shared" si="9"/>
        <v>-1.3848613786282549E-3</v>
      </c>
      <c r="AJ9" s="844">
        <v>2166281.8000000003</v>
      </c>
      <c r="AK9" s="844">
        <v>2166251.7999999998</v>
      </c>
      <c r="AL9" s="125">
        <f>AK9-AJ9</f>
        <v>-30.000000000465661</v>
      </c>
      <c r="AM9" s="249">
        <f t="shared" si="10"/>
        <v>-1.3848613786282549E-3</v>
      </c>
      <c r="AN9" s="842">
        <v>2166281.8000000003</v>
      </c>
      <c r="AO9" s="120">
        <v>2166251.7999999998</v>
      </c>
      <c r="AP9" s="125">
        <f>AO9-AN9</f>
        <v>-30.000000000465661</v>
      </c>
      <c r="AQ9" s="235">
        <f t="shared" si="11"/>
        <v>-1.3848613786282549E-3</v>
      </c>
      <c r="AR9" s="845">
        <v>2166281.7999999998</v>
      </c>
      <c r="AS9" s="99">
        <v>2166251.7999999998</v>
      </c>
      <c r="AT9" s="125">
        <f>AS9-AR9</f>
        <v>-30</v>
      </c>
      <c r="AU9" s="249">
        <f t="shared" si="12"/>
        <v>-1.3848613786060504E-3</v>
      </c>
      <c r="AV9" s="846">
        <v>2166281.7999999998</v>
      </c>
      <c r="AW9" s="846">
        <v>2166251.7999999998</v>
      </c>
      <c r="AX9" s="125">
        <f>AW9-AV9</f>
        <v>-30</v>
      </c>
      <c r="AY9" s="235">
        <f t="shared" si="13"/>
        <v>-1.3848613786060504E-3</v>
      </c>
      <c r="AZ9" s="843">
        <v>2166281.8000000003</v>
      </c>
      <c r="BA9" s="599">
        <v>2166252</v>
      </c>
      <c r="BB9" s="125">
        <f t="shared" si="0"/>
        <v>-29.800000000279397</v>
      </c>
      <c r="BC9" s="235">
        <f t="shared" si="14"/>
        <v>-1.3756289694244472E-3</v>
      </c>
      <c r="BD9" s="175">
        <f>AF9+AJ9+AN9+AR9+AV9+AZ9+AB9+X9+U9+Q9+M9+I9</f>
        <v>25995261.600000005</v>
      </c>
      <c r="BE9" s="126">
        <f t="shared" si="1"/>
        <v>25995021.800000004</v>
      </c>
      <c r="BF9" s="118"/>
      <c r="BH9" s="334"/>
    </row>
    <row r="10" spans="2:62" s="119" customFormat="1" x14ac:dyDescent="0.25">
      <c r="B10" s="134">
        <v>54814</v>
      </c>
      <c r="C10" s="428"/>
      <c r="D10" s="383" t="s">
        <v>3698</v>
      </c>
      <c r="E10" s="154"/>
      <c r="F10" s="148"/>
      <c r="G10" s="328"/>
      <c r="H10" s="835"/>
      <c r="I10" s="83"/>
      <c r="J10" s="81"/>
      <c r="K10" s="237"/>
      <c r="L10" s="597"/>
      <c r="M10" s="129"/>
      <c r="N10" s="125"/>
      <c r="O10" s="237"/>
      <c r="P10" s="597"/>
      <c r="Q10" s="83"/>
      <c r="R10" s="137"/>
      <c r="S10" s="237"/>
      <c r="T10" s="136"/>
      <c r="U10" s="808"/>
      <c r="V10" s="125"/>
      <c r="W10" s="237"/>
      <c r="X10" s="884"/>
      <c r="Y10" s="874"/>
      <c r="Z10" s="125"/>
      <c r="AA10" s="237"/>
      <c r="AB10" s="597"/>
      <c r="AC10" s="847"/>
      <c r="AD10" s="125"/>
      <c r="AE10" s="237"/>
      <c r="AF10" s="597"/>
      <c r="AG10" s="847"/>
      <c r="AH10" s="125"/>
      <c r="AI10" s="237"/>
      <c r="AJ10" s="597"/>
      <c r="AK10" s="597"/>
      <c r="AL10" s="125"/>
      <c r="AM10" s="237"/>
      <c r="AN10" s="597"/>
      <c r="AO10" s="129"/>
      <c r="AP10" s="125"/>
      <c r="AQ10" s="235"/>
      <c r="AR10" s="597"/>
      <c r="AS10" s="83"/>
      <c r="AT10" s="125"/>
      <c r="AU10" s="237"/>
      <c r="AV10" s="847"/>
      <c r="AW10" s="847"/>
      <c r="AX10" s="125"/>
      <c r="AY10" s="235"/>
      <c r="AZ10" s="597">
        <v>0</v>
      </c>
      <c r="BA10" s="599">
        <v>288000</v>
      </c>
      <c r="BB10" s="125">
        <f t="shared" si="0"/>
        <v>288000</v>
      </c>
      <c r="BC10" s="235"/>
      <c r="BD10" s="175"/>
      <c r="BE10" s="126"/>
      <c r="BF10" s="118"/>
      <c r="BH10" s="334"/>
    </row>
    <row r="11" spans="2:62" s="119" customFormat="1" x14ac:dyDescent="0.25">
      <c r="B11" s="134">
        <v>53935</v>
      </c>
      <c r="C11" s="428"/>
      <c r="D11" s="383" t="s">
        <v>3632</v>
      </c>
      <c r="E11" s="154"/>
      <c r="F11" s="148"/>
      <c r="G11" s="328"/>
      <c r="H11" s="837"/>
      <c r="I11" s="83">
        <v>0</v>
      </c>
      <c r="J11" s="81"/>
      <c r="K11" s="235"/>
      <c r="L11" s="598"/>
      <c r="M11" s="129"/>
      <c r="N11" s="125"/>
      <c r="O11" s="126"/>
      <c r="P11" s="121"/>
      <c r="Q11" s="129">
        <v>0</v>
      </c>
      <c r="R11" s="125"/>
      <c r="S11" s="235"/>
      <c r="T11" s="121"/>
      <c r="U11" s="808">
        <v>0</v>
      </c>
      <c r="V11" s="125"/>
      <c r="W11" s="235"/>
      <c r="X11" s="838"/>
      <c r="Y11" s="82"/>
      <c r="Z11" s="125"/>
      <c r="AA11" s="235"/>
      <c r="AB11" s="597"/>
      <c r="AC11" s="125"/>
      <c r="AD11" s="125"/>
      <c r="AE11" s="235"/>
      <c r="AF11" s="597"/>
      <c r="AG11" s="125"/>
      <c r="AH11" s="125"/>
      <c r="AI11" s="235"/>
      <c r="AJ11" s="598"/>
      <c r="AK11" s="125"/>
      <c r="AL11" s="125"/>
      <c r="AM11" s="235"/>
      <c r="AN11" s="599"/>
      <c r="AO11" s="125">
        <v>0</v>
      </c>
      <c r="AP11" s="125"/>
      <c r="AQ11" s="235"/>
      <c r="AR11" s="598"/>
      <c r="AS11" s="129">
        <v>0</v>
      </c>
      <c r="AT11" s="125"/>
      <c r="AU11" s="235"/>
      <c r="AV11" s="847">
        <v>0</v>
      </c>
      <c r="AW11" s="125">
        <v>0</v>
      </c>
      <c r="AX11" s="125">
        <f>AW11-AV11</f>
        <v>0</v>
      </c>
      <c r="AY11" s="235"/>
      <c r="AZ11" s="599">
        <v>0</v>
      </c>
      <c r="BA11" s="599">
        <v>0</v>
      </c>
      <c r="BB11" s="125">
        <f t="shared" si="0"/>
        <v>0</v>
      </c>
      <c r="BC11" s="235"/>
      <c r="BD11" s="175">
        <f t="shared" ref="BD11:BD21" si="15">AF11+AJ11+AN11+AR11+AV11+AZ11+AB11+X11+U11+Q11+M11+I11</f>
        <v>0</v>
      </c>
      <c r="BE11" s="126">
        <f t="shared" si="1"/>
        <v>0</v>
      </c>
      <c r="BF11" s="118"/>
      <c r="BH11" s="334"/>
    </row>
    <row r="12" spans="2:62" s="119" customFormat="1" x14ac:dyDescent="0.25">
      <c r="B12" s="151" t="s">
        <v>3634</v>
      </c>
      <c r="C12" s="380"/>
      <c r="D12" s="382" t="s">
        <v>7</v>
      </c>
      <c r="E12" s="338"/>
      <c r="F12" s="148"/>
      <c r="G12" s="328"/>
      <c r="H12" s="81">
        <v>463500</v>
      </c>
      <c r="I12" s="81">
        <f>98156.25+564691.77</f>
        <v>662848.02</v>
      </c>
      <c r="J12" s="81">
        <f t="shared" ref="J12:J43" si="16">I12-H12</f>
        <v>199348.02000000002</v>
      </c>
      <c r="K12" s="235">
        <f t="shared" ref="K12:K20" si="17">((I12/H12)-1)*100</f>
        <v>43.009281553398068</v>
      </c>
      <c r="L12" s="597">
        <v>463500</v>
      </c>
      <c r="M12" s="121">
        <f>810144.65+139558</f>
        <v>949702.65</v>
      </c>
      <c r="N12" s="125">
        <f>M12-L12</f>
        <v>486202.65</v>
      </c>
      <c r="O12" s="126">
        <f t="shared" si="3"/>
        <v>104.89809061488673</v>
      </c>
      <c r="P12" s="121">
        <v>463500</v>
      </c>
      <c r="Q12" s="121">
        <f>159338.42+583692.46</f>
        <v>743030.88</v>
      </c>
      <c r="R12" s="125">
        <f>Q12-P12</f>
        <v>279530.88</v>
      </c>
      <c r="S12" s="235">
        <f t="shared" si="5"/>
        <v>60.308711974110032</v>
      </c>
      <c r="T12" s="598">
        <v>463500</v>
      </c>
      <c r="U12" s="807">
        <v>261186.96</v>
      </c>
      <c r="V12" s="125">
        <f>U12-T12</f>
        <v>-202313.04</v>
      </c>
      <c r="W12" s="235">
        <f t="shared" si="6"/>
        <v>-43.648983818770226</v>
      </c>
      <c r="X12" s="838">
        <v>486000</v>
      </c>
      <c r="Y12" s="82">
        <f>44978.91+431785.96</f>
        <v>476764.87</v>
      </c>
      <c r="Z12" s="125">
        <f>Y12-X12</f>
        <v>-9235.1300000000047</v>
      </c>
      <c r="AA12" s="235">
        <f t="shared" si="7"/>
        <v>-1.9002325102880691</v>
      </c>
      <c r="AB12" s="848">
        <v>486000</v>
      </c>
      <c r="AC12" s="848">
        <v>522618.36</v>
      </c>
      <c r="AD12" s="125">
        <f t="shared" ref="AD12:AD21" si="18">AC12-AB12</f>
        <v>36618.359999999986</v>
      </c>
      <c r="AE12" s="235">
        <f t="shared" si="8"/>
        <v>7.5346419753086424</v>
      </c>
      <c r="AF12" s="598">
        <v>486000</v>
      </c>
      <c r="AG12" s="598">
        <v>244152.87</v>
      </c>
      <c r="AH12" s="125">
        <f>AG12-AF12</f>
        <v>-241847.13</v>
      </c>
      <c r="AI12" s="235">
        <f t="shared" si="9"/>
        <v>-49.762783950617283</v>
      </c>
      <c r="AJ12" s="598">
        <v>620000</v>
      </c>
      <c r="AK12" s="598">
        <v>86511.13</v>
      </c>
      <c r="AL12" s="125">
        <f>AK12-AJ12</f>
        <v>-533488.87</v>
      </c>
      <c r="AM12" s="235">
        <f t="shared" si="10"/>
        <v>-86.046591935483875</v>
      </c>
      <c r="AN12" s="598">
        <v>620000</v>
      </c>
      <c r="AO12" s="121">
        <v>417793.42</v>
      </c>
      <c r="AP12" s="125">
        <f>AO12-AN12</f>
        <v>-202206.58000000002</v>
      </c>
      <c r="AQ12" s="235">
        <f t="shared" si="11"/>
        <v>-32.613964516129037</v>
      </c>
      <c r="AR12" s="597">
        <v>620000</v>
      </c>
      <c r="AS12" s="121">
        <v>405740.87</v>
      </c>
      <c r="AT12" s="125">
        <f>AS12-AR12</f>
        <v>-214259.13</v>
      </c>
      <c r="AU12" s="235">
        <f t="shared" si="12"/>
        <v>-34.557924193548381</v>
      </c>
      <c r="AV12" s="847">
        <v>620000</v>
      </c>
      <c r="AW12" s="125">
        <v>691812.28</v>
      </c>
      <c r="AX12" s="125">
        <f>AW12-AV12</f>
        <v>71812.280000000028</v>
      </c>
      <c r="AY12" s="235">
        <f t="shared" si="13"/>
        <v>11.582625806451619</v>
      </c>
      <c r="AZ12" s="599">
        <v>620000</v>
      </c>
      <c r="BA12" s="599">
        <v>543522</v>
      </c>
      <c r="BB12" s="125">
        <f t="shared" si="0"/>
        <v>-76478</v>
      </c>
      <c r="BC12" s="235">
        <f t="shared" si="14"/>
        <v>-12.335161290322583</v>
      </c>
      <c r="BD12" s="175">
        <f t="shared" si="15"/>
        <v>7174768.5099999998</v>
      </c>
      <c r="BE12" s="126">
        <f t="shared" si="1"/>
        <v>6005684.3100000005</v>
      </c>
      <c r="BF12" s="118"/>
    </row>
    <row r="13" spans="2:62" s="119" customFormat="1" x14ac:dyDescent="0.25">
      <c r="B13" s="122">
        <v>4882</v>
      </c>
      <c r="C13" s="380"/>
      <c r="D13" s="382" t="s">
        <v>8</v>
      </c>
      <c r="E13" s="338"/>
      <c r="F13" s="148"/>
      <c r="G13" s="328"/>
      <c r="H13" s="81">
        <v>875739.32833333313</v>
      </c>
      <c r="I13" s="81">
        <v>931153.11</v>
      </c>
      <c r="J13" s="125">
        <f t="shared" si="16"/>
        <v>55413.781666666851</v>
      </c>
      <c r="K13" s="235">
        <f t="shared" si="17"/>
        <v>6.327657086284777</v>
      </c>
      <c r="L13" s="599">
        <v>875739.32833333313</v>
      </c>
      <c r="M13" s="121">
        <v>880514</v>
      </c>
      <c r="N13" s="125">
        <f>M13-L13</f>
        <v>4774.6716666668653</v>
      </c>
      <c r="O13" s="126">
        <f t="shared" si="3"/>
        <v>0.54521608339250793</v>
      </c>
      <c r="P13" s="207">
        <v>875739.32833333313</v>
      </c>
      <c r="Q13" s="121">
        <f>911767.4</f>
        <v>911767.4</v>
      </c>
      <c r="R13" s="125">
        <f t="shared" si="4"/>
        <v>36028.071666666889</v>
      </c>
      <c r="S13" s="235">
        <f t="shared" si="5"/>
        <v>4.1140177791528343</v>
      </c>
      <c r="T13" s="121">
        <v>875739.32833333313</v>
      </c>
      <c r="U13" s="807">
        <v>909848.65</v>
      </c>
      <c r="V13" s="125">
        <f>U13-T13</f>
        <v>34109.321666666889</v>
      </c>
      <c r="W13" s="235">
        <f t="shared" si="6"/>
        <v>3.8949171931768944</v>
      </c>
      <c r="X13" s="121">
        <v>875739.32833333313</v>
      </c>
      <c r="Y13" s="81">
        <v>872305.83</v>
      </c>
      <c r="Z13" s="125">
        <f>Y13-X13</f>
        <v>-3433.4983333331766</v>
      </c>
      <c r="AA13" s="235">
        <f t="shared" si="7"/>
        <v>-0.39206853252412577</v>
      </c>
      <c r="AB13" s="848">
        <v>875739.32833333313</v>
      </c>
      <c r="AC13" s="121">
        <v>892784.22</v>
      </c>
      <c r="AD13" s="125">
        <f t="shared" si="18"/>
        <v>17044.891666666837</v>
      </c>
      <c r="AE13" s="235">
        <f t="shared" si="8"/>
        <v>1.9463430629643952</v>
      </c>
      <c r="AF13" s="599">
        <v>875739.32833333313</v>
      </c>
      <c r="AG13" s="598">
        <v>912111.75</v>
      </c>
      <c r="AH13" s="125">
        <f>AG13-AF13</f>
        <v>36372.421666666865</v>
      </c>
      <c r="AI13" s="235">
        <f t="shared" si="9"/>
        <v>4.1533388406672644</v>
      </c>
      <c r="AJ13" s="598">
        <v>875739.32833333313</v>
      </c>
      <c r="AK13" s="598">
        <v>835522.21</v>
      </c>
      <c r="AL13" s="125">
        <f t="shared" ref="AL13:AL21" si="19">AK13-AJ13</f>
        <v>-40217.118333333172</v>
      </c>
      <c r="AM13" s="235">
        <f t="shared" si="10"/>
        <v>-4.5923617944477302</v>
      </c>
      <c r="AN13" s="598">
        <v>875739.32833333313</v>
      </c>
      <c r="AO13" s="121">
        <v>858598.5</v>
      </c>
      <c r="AP13" s="125">
        <f t="shared" ref="AP13:AP21" si="20">AO13-AN13</f>
        <v>-17140.828333333135</v>
      </c>
      <c r="AQ13" s="235">
        <f t="shared" si="11"/>
        <v>-1.957297997105456</v>
      </c>
      <c r="AR13" s="599">
        <v>875739.32833333302</v>
      </c>
      <c r="AS13" s="121">
        <v>886055.02</v>
      </c>
      <c r="AT13" s="125">
        <f t="shared" ref="AT13:AT21" si="21">AS13-AR13</f>
        <v>10315.691666667</v>
      </c>
      <c r="AU13" s="235">
        <f t="shared" si="12"/>
        <v>1.1779408932449442</v>
      </c>
      <c r="AV13" s="847">
        <v>875739.32833333302</v>
      </c>
      <c r="AW13" s="125">
        <v>820792.62</v>
      </c>
      <c r="AX13" s="125">
        <f t="shared" ref="AX13:AX21" si="22">AW13-AV13</f>
        <v>-54946.708333333023</v>
      </c>
      <c r="AY13" s="235">
        <f t="shared" si="13"/>
        <v>-6.2743223417754956</v>
      </c>
      <c r="AZ13" s="598">
        <v>875739.32833333313</v>
      </c>
      <c r="BA13" s="599">
        <v>872626.55</v>
      </c>
      <c r="BB13" s="125">
        <f t="shared" si="0"/>
        <v>-3112.7783333330881</v>
      </c>
      <c r="BC13" s="235">
        <f t="shared" si="14"/>
        <v>-0.35544576252584115</v>
      </c>
      <c r="BD13" s="175">
        <f t="shared" si="15"/>
        <v>10639197.786666665</v>
      </c>
      <c r="BE13" s="126">
        <f t="shared" si="1"/>
        <v>10584079.859999999</v>
      </c>
      <c r="BF13" s="118"/>
    </row>
    <row r="14" spans="2:62" s="119" customFormat="1" x14ac:dyDescent="0.25">
      <c r="B14" s="579"/>
      <c r="C14" s="427"/>
      <c r="D14" s="382" t="s">
        <v>3674</v>
      </c>
      <c r="E14" s="338"/>
      <c r="F14" s="258"/>
      <c r="G14" s="328"/>
      <c r="H14" s="81"/>
      <c r="I14" s="83"/>
      <c r="J14" s="125"/>
      <c r="K14" s="236"/>
      <c r="L14" s="599"/>
      <c r="M14" s="130"/>
      <c r="N14" s="125"/>
      <c r="O14" s="389"/>
      <c r="P14" s="207"/>
      <c r="Q14" s="129"/>
      <c r="R14" s="201"/>
      <c r="S14" s="236"/>
      <c r="T14" s="129"/>
      <c r="U14" s="808"/>
      <c r="V14" s="201"/>
      <c r="W14" s="236"/>
      <c r="X14" s="597">
        <v>4000000</v>
      </c>
      <c r="Y14" s="81">
        <v>4950468.51</v>
      </c>
      <c r="Z14" s="201"/>
      <c r="AA14" s="236"/>
      <c r="AB14" s="848">
        <v>4500000</v>
      </c>
      <c r="AC14" s="121">
        <v>5557673.46</v>
      </c>
      <c r="AD14" s="201">
        <f t="shared" si="18"/>
        <v>1057673.46</v>
      </c>
      <c r="AE14" s="236">
        <f t="shared" si="8"/>
        <v>23.503854666666669</v>
      </c>
      <c r="AF14" s="599">
        <v>4500000</v>
      </c>
      <c r="AG14" s="598">
        <v>8110049.8600000003</v>
      </c>
      <c r="AH14" s="125">
        <f>AG14-AF14</f>
        <v>3610049.8600000003</v>
      </c>
      <c r="AI14" s="235">
        <f t="shared" si="9"/>
        <v>80.223330222222231</v>
      </c>
      <c r="AJ14" s="597">
        <v>7000000</v>
      </c>
      <c r="AK14" s="597">
        <v>8664242.4600000009</v>
      </c>
      <c r="AL14" s="125">
        <f>AK14-AJ14</f>
        <v>1664242.4600000009</v>
      </c>
      <c r="AM14" s="235">
        <f>((AK14/AJ14)-1)*100</f>
        <v>23.774892285714301</v>
      </c>
      <c r="AN14" s="597">
        <v>7000000</v>
      </c>
      <c r="AO14" s="130">
        <v>7302221.9199999999</v>
      </c>
      <c r="AP14" s="125">
        <f>AO14-AN14</f>
        <v>302221.91999999993</v>
      </c>
      <c r="AQ14" s="235">
        <f>((AO14/AN14)-1)*100</f>
        <v>4.3174559999999973</v>
      </c>
      <c r="AR14" s="599">
        <v>7000000</v>
      </c>
      <c r="AS14" s="129">
        <v>8447032</v>
      </c>
      <c r="AT14" s="125">
        <f>AS14-AR14</f>
        <v>1447032</v>
      </c>
      <c r="AU14" s="235">
        <f>((AS14/AR14)-1)*100</f>
        <v>20.671885714285708</v>
      </c>
      <c r="AV14" s="597">
        <v>6750000</v>
      </c>
      <c r="AW14" s="125">
        <v>8051592.8799999999</v>
      </c>
      <c r="AX14" s="125">
        <f>AW14-AV14</f>
        <v>1301592.8799999999</v>
      </c>
      <c r="AY14" s="235">
        <f>((AW14/AV14)-1)*100</f>
        <v>19.282857481481486</v>
      </c>
      <c r="AZ14" s="597">
        <v>6750000</v>
      </c>
      <c r="BA14" s="599">
        <v>6644281</v>
      </c>
      <c r="BB14" s="125">
        <f t="shared" si="0"/>
        <v>-105719</v>
      </c>
      <c r="BC14" s="235">
        <f>((BA14/AZ14)-1)*100</f>
        <v>-1.5662074074074051</v>
      </c>
      <c r="BD14" s="175">
        <f t="shared" si="15"/>
        <v>47500000</v>
      </c>
      <c r="BE14" s="126">
        <f t="shared" si="1"/>
        <v>57727562.090000004</v>
      </c>
      <c r="BF14" s="118"/>
    </row>
    <row r="15" spans="2:62" s="119" customFormat="1" ht="16.5" thickBot="1" x14ac:dyDescent="0.3">
      <c r="B15" s="127" t="s">
        <v>135</v>
      </c>
      <c r="C15" s="427"/>
      <c r="D15" s="383" t="s">
        <v>338</v>
      </c>
      <c r="E15" s="338"/>
      <c r="F15" s="258"/>
      <c r="G15" s="328"/>
      <c r="H15" s="81">
        <v>9551776.3483405448</v>
      </c>
      <c r="I15" s="83">
        <f>9253406.45+136714.24</f>
        <v>9390120.6899999995</v>
      </c>
      <c r="J15" s="125">
        <f t="shared" si="16"/>
        <v>-161655.65834054537</v>
      </c>
      <c r="K15" s="488">
        <f t="shared" si="17"/>
        <v>-1.6924146090232739</v>
      </c>
      <c r="L15" s="600">
        <v>9486795.553676514</v>
      </c>
      <c r="M15" s="130">
        <f>9239057.54+97409.24</f>
        <v>9336466.7799999993</v>
      </c>
      <c r="N15" s="125">
        <f>M15-L15</f>
        <v>-150328.77367651463</v>
      </c>
      <c r="O15" s="488">
        <f t="shared" si="3"/>
        <v>-1.5846106604274435</v>
      </c>
      <c r="P15" s="597">
        <v>9820963.229889987</v>
      </c>
      <c r="Q15" s="207">
        <f>9836041.21+79731.04</f>
        <v>9915772.25</v>
      </c>
      <c r="R15" s="201">
        <f t="shared" si="4"/>
        <v>94809.020110012963</v>
      </c>
      <c r="S15" s="488">
        <f t="shared" si="5"/>
        <v>0.96537394439542012</v>
      </c>
      <c r="T15" s="597">
        <v>9561693.377612358</v>
      </c>
      <c r="U15" s="808">
        <v>7952699.96</v>
      </c>
      <c r="V15" s="201">
        <f t="shared" ref="V15:V21" si="23">U15-T15</f>
        <v>-1608993.417612358</v>
      </c>
      <c r="W15" s="488">
        <f t="shared" si="6"/>
        <v>-16.827494399471512</v>
      </c>
      <c r="X15" s="839">
        <v>3500000</v>
      </c>
      <c r="Y15" s="83">
        <f>4029926+105487.28</f>
        <v>4135413.28</v>
      </c>
      <c r="Z15" s="201">
        <f t="shared" ref="Z15:Z24" si="24">Y15-X15</f>
        <v>635413.2799999998</v>
      </c>
      <c r="AA15" s="488">
        <f t="shared" si="7"/>
        <v>18.15466514285713</v>
      </c>
      <c r="AB15" s="839">
        <v>3850000.0000000005</v>
      </c>
      <c r="AC15" s="207">
        <v>3547105.32</v>
      </c>
      <c r="AD15" s="201">
        <f t="shared" si="18"/>
        <v>-302894.68000000063</v>
      </c>
      <c r="AE15" s="488">
        <f t="shared" si="8"/>
        <v>-7.867394285714302</v>
      </c>
      <c r="AF15" s="600">
        <v>3850000</v>
      </c>
      <c r="AG15" s="598">
        <v>3788515.06</v>
      </c>
      <c r="AH15" s="201">
        <f t="shared" ref="AH15:AH21" si="25">AG15-AF15</f>
        <v>-61484.939999999944</v>
      </c>
      <c r="AI15" s="488">
        <f t="shared" si="9"/>
        <v>-1.5970114285714265</v>
      </c>
      <c r="AJ15" s="597">
        <v>4000000</v>
      </c>
      <c r="AK15" s="597">
        <v>4551037.37</v>
      </c>
      <c r="AL15" s="125">
        <f t="shared" si="19"/>
        <v>551037.37000000011</v>
      </c>
      <c r="AM15" s="236">
        <f t="shared" si="10"/>
        <v>13.775934250000009</v>
      </c>
      <c r="AN15" s="597">
        <v>4000000</v>
      </c>
      <c r="AO15" s="159">
        <v>4714722.3499999996</v>
      </c>
      <c r="AP15" s="125">
        <f t="shared" si="20"/>
        <v>714722.34999999963</v>
      </c>
      <c r="AQ15" s="488">
        <f t="shared" si="11"/>
        <v>17.868058749999992</v>
      </c>
      <c r="AR15" s="600">
        <v>3850000</v>
      </c>
      <c r="AS15" s="207">
        <f>4539145+100989</f>
        <v>4640134</v>
      </c>
      <c r="AT15" s="125">
        <f>AS15-AR15</f>
        <v>790134</v>
      </c>
      <c r="AU15" s="488">
        <f t="shared" si="12"/>
        <v>20.522961038961029</v>
      </c>
      <c r="AV15" s="597">
        <v>3850000</v>
      </c>
      <c r="AW15" s="125">
        <v>4271932.29</v>
      </c>
      <c r="AX15" s="125">
        <f t="shared" si="22"/>
        <v>421932.29000000004</v>
      </c>
      <c r="AY15" s="488">
        <f t="shared" si="13"/>
        <v>10.959280259740268</v>
      </c>
      <c r="AZ15" s="597">
        <v>3500000</v>
      </c>
      <c r="BA15" s="599">
        <v>4256006</v>
      </c>
      <c r="BB15" s="201">
        <f t="shared" ref="BB15:BB22" si="26">BA15-AZ15</f>
        <v>756006</v>
      </c>
      <c r="BC15" s="236">
        <f t="shared" si="14"/>
        <v>21.600171428571425</v>
      </c>
      <c r="BD15" s="175">
        <f t="shared" si="15"/>
        <v>66995059.68</v>
      </c>
      <c r="BE15" s="126">
        <f t="shared" si="1"/>
        <v>70499925.349999994</v>
      </c>
      <c r="BF15" s="118"/>
      <c r="BH15" s="118"/>
      <c r="BI15" s="118"/>
    </row>
    <row r="16" spans="2:62" s="119" customFormat="1" ht="16.5" thickBot="1" x14ac:dyDescent="0.3">
      <c r="B16" s="429"/>
      <c r="C16" s="430"/>
      <c r="D16" s="113" t="s">
        <v>159</v>
      </c>
      <c r="E16" s="337"/>
      <c r="F16" s="114"/>
      <c r="G16" s="203"/>
      <c r="H16" s="4">
        <f>SUM(H17:H19)</f>
        <v>830730.42333333334</v>
      </c>
      <c r="I16" s="417">
        <f>SUM(I17:I19)</f>
        <v>830730.53</v>
      </c>
      <c r="J16" s="4">
        <f t="shared" si="16"/>
        <v>0.10666666668839753</v>
      </c>
      <c r="K16" s="242">
        <f t="shared" si="17"/>
        <v>1.2840105978462191E-5</v>
      </c>
      <c r="L16" s="4">
        <f>SUM(L17:L19)</f>
        <v>830730.42333333334</v>
      </c>
      <c r="M16" s="115">
        <f>SUM(M17:M19)</f>
        <v>802664.28</v>
      </c>
      <c r="N16" s="4">
        <f t="shared" si="2"/>
        <v>-28066.143333333312</v>
      </c>
      <c r="O16" s="242">
        <f>((M16/L16)-1)*100</f>
        <v>-3.3784898861314083</v>
      </c>
      <c r="P16" s="4">
        <f>SUM(P17:P19)</f>
        <v>830730.42333333334</v>
      </c>
      <c r="Q16" s="4">
        <f>SUM(Q17:Q19)</f>
        <v>830730.53</v>
      </c>
      <c r="R16" s="115">
        <f t="shared" si="4"/>
        <v>0.10666666668839753</v>
      </c>
      <c r="S16" s="242">
        <f>((Q16/P16)-1)*100</f>
        <v>1.2840105978462191E-5</v>
      </c>
      <c r="T16" s="4">
        <f>SUM(T17:T19)</f>
        <v>830730.42333333334</v>
      </c>
      <c r="U16" s="115">
        <f>SUM(U17:U19)</f>
        <v>830730.53</v>
      </c>
      <c r="V16" s="4">
        <f t="shared" si="23"/>
        <v>0.10666666668839753</v>
      </c>
      <c r="W16" s="242">
        <f>((U16/T16)-1)*100</f>
        <v>1.2840105978462191E-5</v>
      </c>
      <c r="X16" s="4">
        <f>SUM(X17:X19)</f>
        <v>830730.42333333334</v>
      </c>
      <c r="Y16" s="115">
        <f>SUM(Y17:Y19)</f>
        <v>830730.53</v>
      </c>
      <c r="Z16" s="4">
        <f t="shared" si="24"/>
        <v>0.10666666668839753</v>
      </c>
      <c r="AA16" s="242">
        <f>((Y16/X16)-1)*100</f>
        <v>1.2840105978462191E-5</v>
      </c>
      <c r="AB16" s="4">
        <f>SUM(AB17:AB19)</f>
        <v>830730.42333333334</v>
      </c>
      <c r="AC16" s="115">
        <f>SUM(AC17:AC19)</f>
        <v>830730.53</v>
      </c>
      <c r="AD16" s="4">
        <f t="shared" si="18"/>
        <v>0.10666666668839753</v>
      </c>
      <c r="AE16" s="242">
        <f>((AC16/AB16)-1)*100</f>
        <v>1.2840105978462191E-5</v>
      </c>
      <c r="AF16" s="4">
        <f>SUM(AF17:AF19)</f>
        <v>830730.42333333334</v>
      </c>
      <c r="AG16" s="115">
        <f>SUM(AG17:AG19)</f>
        <v>830730.53</v>
      </c>
      <c r="AH16" s="4">
        <f t="shared" si="25"/>
        <v>0.10666666668839753</v>
      </c>
      <c r="AI16" s="242">
        <f t="shared" ref="AI16:AI34" si="27">((AG16/AF16)-1)*100</f>
        <v>1.2840105978462191E-5</v>
      </c>
      <c r="AJ16" s="4">
        <f>SUM(AJ17:AJ19)</f>
        <v>830730.42333333334</v>
      </c>
      <c r="AK16" s="115">
        <f>SUM(AK17:AK19)</f>
        <v>830730.53</v>
      </c>
      <c r="AL16" s="4">
        <f t="shared" si="19"/>
        <v>0.10666666668839753</v>
      </c>
      <c r="AM16" s="242">
        <f t="shared" ref="AM16:AM23" si="28">((AK16/AJ16)-1)*100</f>
        <v>1.2840105978462191E-5</v>
      </c>
      <c r="AN16" s="115">
        <f>SUM(AN17:AN19)</f>
        <v>830730.42333333334</v>
      </c>
      <c r="AO16" s="115">
        <f>SUM(AO17:AO19)</f>
        <v>830730.53</v>
      </c>
      <c r="AP16" s="4">
        <f t="shared" si="20"/>
        <v>0.10666666668839753</v>
      </c>
      <c r="AQ16" s="242">
        <f t="shared" ref="AQ16:AQ22" si="29">((AO16/AN16)-1)*100</f>
        <v>1.2840105978462191E-5</v>
      </c>
      <c r="AR16" s="4">
        <f>SUM(AR17:AR19)</f>
        <v>830730.42333333334</v>
      </c>
      <c r="AS16" s="115">
        <f>SUM(AS17:AS19)</f>
        <v>830730.53</v>
      </c>
      <c r="AT16" s="4">
        <f t="shared" si="21"/>
        <v>0.10666666668839753</v>
      </c>
      <c r="AU16" s="242">
        <f t="shared" ref="AU16:AU22" si="30">((AS16/AR16)-1)*100</f>
        <v>1.2840105978462191E-5</v>
      </c>
      <c r="AV16" s="4">
        <f>SUM(AV17:AV19)</f>
        <v>830730.42333333334</v>
      </c>
      <c r="AW16" s="115">
        <f>SUM(AW17:AW19)</f>
        <v>830730.53</v>
      </c>
      <c r="AX16" s="4">
        <f t="shared" si="22"/>
        <v>0.10666666668839753</v>
      </c>
      <c r="AY16" s="318">
        <f t="shared" ref="AY16:AY22" si="31">((AW16/AV16)-1)*100</f>
        <v>1.2840105978462191E-5</v>
      </c>
      <c r="AZ16" s="4">
        <f>SUM(AZ17:AZ19)</f>
        <v>830730.42333333334</v>
      </c>
      <c r="BA16" s="115">
        <f>SUM(BA17:BA19)</f>
        <v>830730.53</v>
      </c>
      <c r="BB16" s="4">
        <f t="shared" si="26"/>
        <v>0.10666666668839753</v>
      </c>
      <c r="BC16" s="242">
        <f t="shared" ref="BC16:BC22" si="32">((BA16/AZ16)-1)*100</f>
        <v>1.2840105978462191E-5</v>
      </c>
      <c r="BD16" s="115">
        <f t="shared" si="15"/>
        <v>9940699.2566666659</v>
      </c>
      <c r="BE16" s="115">
        <f t="shared" si="1"/>
        <v>9940700.1100000013</v>
      </c>
      <c r="BF16" s="118"/>
      <c r="BH16" s="334"/>
    </row>
    <row r="17" spans="2:63" s="119" customFormat="1" x14ac:dyDescent="0.25">
      <c r="B17" s="134">
        <v>51680</v>
      </c>
      <c r="C17" s="428"/>
      <c r="D17" s="332" t="s">
        <v>9</v>
      </c>
      <c r="E17" s="338"/>
      <c r="F17" s="256"/>
      <c r="G17" s="328"/>
      <c r="H17" s="212">
        <v>199045.21</v>
      </c>
      <c r="I17" s="87">
        <v>199045.21</v>
      </c>
      <c r="J17" s="137">
        <f t="shared" si="16"/>
        <v>0</v>
      </c>
      <c r="K17" s="237">
        <f t="shared" si="17"/>
        <v>0</v>
      </c>
      <c r="L17" s="212">
        <v>199045.21</v>
      </c>
      <c r="M17" s="204">
        <v>199045.21</v>
      </c>
      <c r="N17" s="190">
        <f t="shared" si="2"/>
        <v>0</v>
      </c>
      <c r="O17" s="371">
        <f>((M17/L17)-1)*100</f>
        <v>0</v>
      </c>
      <c r="P17" s="212">
        <v>199045.21</v>
      </c>
      <c r="Q17" s="137">
        <v>199045.21</v>
      </c>
      <c r="R17" s="137">
        <f t="shared" ref="R17:R43" si="33">Q17-P17</f>
        <v>0</v>
      </c>
      <c r="S17" s="237">
        <f>((Q17/P17)-1)*100</f>
        <v>0</v>
      </c>
      <c r="T17" s="212">
        <v>199045.21</v>
      </c>
      <c r="U17" s="809">
        <v>199045.21</v>
      </c>
      <c r="V17" s="137">
        <f t="shared" si="23"/>
        <v>0</v>
      </c>
      <c r="W17" s="237">
        <f>((U17/T17)-1)*100</f>
        <v>0</v>
      </c>
      <c r="X17" s="212">
        <v>199045.21</v>
      </c>
      <c r="Y17" s="137">
        <v>199045.21</v>
      </c>
      <c r="Z17" s="137">
        <f t="shared" si="24"/>
        <v>0</v>
      </c>
      <c r="AA17" s="237">
        <f>((Y17/X17)-1)*100</f>
        <v>0</v>
      </c>
      <c r="AB17" s="212">
        <v>199045.21</v>
      </c>
      <c r="AC17" s="137">
        <v>199045.21</v>
      </c>
      <c r="AD17" s="137">
        <f t="shared" si="18"/>
        <v>0</v>
      </c>
      <c r="AE17" s="237">
        <f>((AC17/AB17)-1)*100</f>
        <v>0</v>
      </c>
      <c r="AF17" s="849">
        <v>199045.21</v>
      </c>
      <c r="AG17" s="849">
        <v>199045.21</v>
      </c>
      <c r="AH17" s="137">
        <f t="shared" si="25"/>
        <v>0</v>
      </c>
      <c r="AI17" s="237">
        <f t="shared" si="27"/>
        <v>0</v>
      </c>
      <c r="AJ17" s="212">
        <v>199045.21</v>
      </c>
      <c r="AK17" s="212">
        <v>199045.21</v>
      </c>
      <c r="AL17" s="137">
        <f t="shared" si="19"/>
        <v>0</v>
      </c>
      <c r="AM17" s="237">
        <f t="shared" si="28"/>
        <v>0</v>
      </c>
      <c r="AN17" s="212">
        <v>199045.21</v>
      </c>
      <c r="AO17" s="137">
        <v>199045.21</v>
      </c>
      <c r="AP17" s="137">
        <f t="shared" si="20"/>
        <v>0</v>
      </c>
      <c r="AQ17" s="237">
        <f t="shared" si="29"/>
        <v>0</v>
      </c>
      <c r="AR17" s="212">
        <v>199045.21</v>
      </c>
      <c r="AS17" s="137">
        <v>199045.21</v>
      </c>
      <c r="AT17" s="137">
        <f t="shared" si="21"/>
        <v>0</v>
      </c>
      <c r="AU17" s="237">
        <f t="shared" si="30"/>
        <v>0</v>
      </c>
      <c r="AV17" s="212">
        <v>199045.21</v>
      </c>
      <c r="AW17" s="212">
        <v>199045.21</v>
      </c>
      <c r="AX17" s="137">
        <f t="shared" si="22"/>
        <v>0</v>
      </c>
      <c r="AY17" s="252">
        <f t="shared" si="31"/>
        <v>0</v>
      </c>
      <c r="AZ17" s="212">
        <v>199045.21</v>
      </c>
      <c r="BA17" s="599">
        <v>199045.21</v>
      </c>
      <c r="BB17" s="137">
        <f t="shared" si="26"/>
        <v>0</v>
      </c>
      <c r="BC17" s="237">
        <f t="shared" si="32"/>
        <v>0</v>
      </c>
      <c r="BD17" s="177">
        <f t="shared" si="15"/>
        <v>2388542.52</v>
      </c>
      <c r="BE17" s="177">
        <f t="shared" si="1"/>
        <v>2388542.52</v>
      </c>
      <c r="BF17" s="118"/>
      <c r="BH17" s="401"/>
    </row>
    <row r="18" spans="2:63" s="119" customFormat="1" x14ac:dyDescent="0.25">
      <c r="B18" s="139">
        <v>51681</v>
      </c>
      <c r="C18" s="380"/>
      <c r="D18" s="382" t="s">
        <v>10</v>
      </c>
      <c r="E18" s="338"/>
      <c r="F18" s="148"/>
      <c r="G18" s="328"/>
      <c r="H18" s="211">
        <v>70360.213333333362</v>
      </c>
      <c r="I18" s="82">
        <v>70360.320000000007</v>
      </c>
      <c r="J18" s="125">
        <f t="shared" si="16"/>
        <v>0.10666666664474178</v>
      </c>
      <c r="K18" s="237">
        <f t="shared" si="17"/>
        <v>1.5160082891263471E-4</v>
      </c>
      <c r="L18" s="211">
        <v>70360.213333333362</v>
      </c>
      <c r="M18" s="125">
        <v>70360.320000000007</v>
      </c>
      <c r="N18" s="137">
        <f t="shared" si="2"/>
        <v>0.10666666664474178</v>
      </c>
      <c r="O18" s="235">
        <f>((M18/L18)-1)*100</f>
        <v>1.5160082891263471E-4</v>
      </c>
      <c r="P18" s="211">
        <v>70360.213333333362</v>
      </c>
      <c r="Q18" s="125">
        <v>70360.320000000007</v>
      </c>
      <c r="R18" s="125">
        <f t="shared" si="33"/>
        <v>0.10666666664474178</v>
      </c>
      <c r="S18" s="235">
        <f>((Q18/P18)-1)*100</f>
        <v>1.5160082891263471E-4</v>
      </c>
      <c r="T18" s="211">
        <v>70360.213333333362</v>
      </c>
      <c r="U18" s="810">
        <v>70360.320000000007</v>
      </c>
      <c r="V18" s="125">
        <f t="shared" si="23"/>
        <v>0.10666666664474178</v>
      </c>
      <c r="W18" s="235">
        <f>((U18/T18)-1)*100</f>
        <v>1.5160082891263471E-4</v>
      </c>
      <c r="X18" s="211">
        <v>70360.213333333362</v>
      </c>
      <c r="Y18" s="125">
        <v>70360.320000000007</v>
      </c>
      <c r="Z18" s="125">
        <f t="shared" si="24"/>
        <v>0.10666666664474178</v>
      </c>
      <c r="AA18" s="235">
        <f>((Y18/X18)-1)*100</f>
        <v>1.5160082891263471E-4</v>
      </c>
      <c r="AB18" s="211">
        <v>70360.213333333362</v>
      </c>
      <c r="AC18" s="125">
        <v>70360.320000000007</v>
      </c>
      <c r="AD18" s="125">
        <f t="shared" si="18"/>
        <v>0.10666666664474178</v>
      </c>
      <c r="AE18" s="235">
        <f>((AC18/AB18)-1)*100</f>
        <v>1.5160082891263471E-4</v>
      </c>
      <c r="AF18" s="409">
        <v>70360.213333333362</v>
      </c>
      <c r="AG18" s="857">
        <v>70360.320000000007</v>
      </c>
      <c r="AH18" s="125">
        <f t="shared" si="25"/>
        <v>0.10666666664474178</v>
      </c>
      <c r="AI18" s="235">
        <f t="shared" si="27"/>
        <v>1.5160082891263471E-4</v>
      </c>
      <c r="AJ18" s="211">
        <v>70360.213333333362</v>
      </c>
      <c r="AK18" s="211">
        <v>70360.320000000007</v>
      </c>
      <c r="AL18" s="137">
        <f t="shared" si="19"/>
        <v>0.10666666664474178</v>
      </c>
      <c r="AM18" s="235">
        <f t="shared" si="28"/>
        <v>1.5160082891263471E-4</v>
      </c>
      <c r="AN18" s="211">
        <v>70360.213333333362</v>
      </c>
      <c r="AO18" s="125">
        <v>70360.320000000007</v>
      </c>
      <c r="AP18" s="137">
        <f t="shared" si="20"/>
        <v>0.10666666664474178</v>
      </c>
      <c r="AQ18" s="235">
        <f t="shared" si="29"/>
        <v>1.5160082891263471E-4</v>
      </c>
      <c r="AR18" s="211">
        <v>70360.213333333362</v>
      </c>
      <c r="AS18" s="125">
        <v>70360.320000000007</v>
      </c>
      <c r="AT18" s="137">
        <f t="shared" si="21"/>
        <v>0.10666666664474178</v>
      </c>
      <c r="AU18" s="235">
        <f t="shared" si="30"/>
        <v>1.5160082891263471E-4</v>
      </c>
      <c r="AV18" s="211">
        <v>70360.213333333362</v>
      </c>
      <c r="AW18" s="212">
        <v>70360.320000000007</v>
      </c>
      <c r="AX18" s="137">
        <f t="shared" si="22"/>
        <v>0.10666666664474178</v>
      </c>
      <c r="AY18" s="319">
        <f t="shared" si="31"/>
        <v>1.5160082891263471E-4</v>
      </c>
      <c r="AZ18" s="211">
        <v>70360.213333333362</v>
      </c>
      <c r="BA18" s="599">
        <v>70360.320000000007</v>
      </c>
      <c r="BB18" s="125">
        <f t="shared" si="26"/>
        <v>0.10666666664474178</v>
      </c>
      <c r="BC18" s="235">
        <f t="shared" si="32"/>
        <v>1.5160082891263471E-4</v>
      </c>
      <c r="BD18" s="177">
        <f t="shared" si="15"/>
        <v>844322.98666666704</v>
      </c>
      <c r="BE18" s="177">
        <f t="shared" si="1"/>
        <v>844323.84000000032</v>
      </c>
      <c r="BF18" s="118"/>
      <c r="BH18" s="401"/>
    </row>
    <row r="19" spans="2:63" s="119" customFormat="1" ht="16.5" thickBot="1" x14ac:dyDescent="0.3">
      <c r="B19" s="127">
        <v>5186</v>
      </c>
      <c r="C19" s="380"/>
      <c r="D19" s="384" t="s">
        <v>11</v>
      </c>
      <c r="E19" s="338"/>
      <c r="F19" s="148"/>
      <c r="G19" s="328"/>
      <c r="H19" s="211">
        <v>561325</v>
      </c>
      <c r="I19" s="84">
        <v>561325</v>
      </c>
      <c r="J19" s="125">
        <f t="shared" si="16"/>
        <v>0</v>
      </c>
      <c r="K19" s="327">
        <f t="shared" si="17"/>
        <v>0</v>
      </c>
      <c r="L19" s="211">
        <v>561325</v>
      </c>
      <c r="M19" s="121">
        <v>533258.75</v>
      </c>
      <c r="N19" s="121">
        <f t="shared" si="2"/>
        <v>-28066.25</v>
      </c>
      <c r="O19" s="235">
        <f>((M19/L19)-1)*100</f>
        <v>-5.0000000000000044</v>
      </c>
      <c r="P19" s="211">
        <v>561325</v>
      </c>
      <c r="Q19" s="125">
        <v>561325</v>
      </c>
      <c r="R19" s="125">
        <f t="shared" si="33"/>
        <v>0</v>
      </c>
      <c r="S19" s="235">
        <f>((Q19/P19)-1)*100</f>
        <v>0</v>
      </c>
      <c r="T19" s="211">
        <v>561325</v>
      </c>
      <c r="U19" s="810">
        <v>561325</v>
      </c>
      <c r="V19" s="125">
        <f t="shared" si="23"/>
        <v>0</v>
      </c>
      <c r="W19" s="235">
        <f>((U19/T19)-1)*100</f>
        <v>0</v>
      </c>
      <c r="X19" s="211">
        <v>561325</v>
      </c>
      <c r="Y19" s="125">
        <v>561325</v>
      </c>
      <c r="Z19" s="125">
        <f t="shared" si="24"/>
        <v>0</v>
      </c>
      <c r="AA19" s="235">
        <f>((Y19/X19)-1)*100</f>
        <v>0</v>
      </c>
      <c r="AB19" s="211">
        <v>561325</v>
      </c>
      <c r="AC19" s="125">
        <v>561325</v>
      </c>
      <c r="AD19" s="125">
        <f t="shared" si="18"/>
        <v>0</v>
      </c>
      <c r="AE19" s="235">
        <f>((AC19/AB19)-1)*100</f>
        <v>0</v>
      </c>
      <c r="AF19" s="409">
        <v>561325</v>
      </c>
      <c r="AG19" s="857">
        <v>561325</v>
      </c>
      <c r="AH19" s="125">
        <f t="shared" si="25"/>
        <v>0</v>
      </c>
      <c r="AI19" s="235">
        <f t="shared" si="27"/>
        <v>0</v>
      </c>
      <c r="AJ19" s="211">
        <v>561325</v>
      </c>
      <c r="AK19" s="211">
        <v>561325</v>
      </c>
      <c r="AL19" s="137">
        <f t="shared" si="19"/>
        <v>0</v>
      </c>
      <c r="AM19" s="235">
        <f t="shared" si="28"/>
        <v>0</v>
      </c>
      <c r="AN19" s="211">
        <v>561325</v>
      </c>
      <c r="AO19" s="125">
        <v>561325</v>
      </c>
      <c r="AP19" s="137">
        <f t="shared" si="20"/>
        <v>0</v>
      </c>
      <c r="AQ19" s="235">
        <f t="shared" si="29"/>
        <v>0</v>
      </c>
      <c r="AR19" s="211">
        <v>561325</v>
      </c>
      <c r="AS19" s="125">
        <v>561325</v>
      </c>
      <c r="AT19" s="137">
        <f t="shared" si="21"/>
        <v>0</v>
      </c>
      <c r="AU19" s="235">
        <f t="shared" si="30"/>
        <v>0</v>
      </c>
      <c r="AV19" s="211">
        <v>561325</v>
      </c>
      <c r="AW19" s="219">
        <v>561325</v>
      </c>
      <c r="AX19" s="137">
        <f t="shared" si="22"/>
        <v>0</v>
      </c>
      <c r="AY19" s="319">
        <f t="shared" si="31"/>
        <v>0</v>
      </c>
      <c r="AZ19" s="211">
        <v>561325</v>
      </c>
      <c r="BA19" s="599">
        <v>561325</v>
      </c>
      <c r="BB19" s="125">
        <f t="shared" si="26"/>
        <v>0</v>
      </c>
      <c r="BC19" s="235">
        <f t="shared" si="32"/>
        <v>0</v>
      </c>
      <c r="BD19" s="177">
        <f t="shared" si="15"/>
        <v>6707833.75</v>
      </c>
      <c r="BE19" s="177">
        <f t="shared" si="1"/>
        <v>6707833.75</v>
      </c>
      <c r="BF19" s="118"/>
      <c r="BH19" s="401"/>
    </row>
    <row r="20" spans="2:63" s="119" customFormat="1" ht="16.5" thickBot="1" x14ac:dyDescent="0.3">
      <c r="B20" s="140"/>
      <c r="C20" s="367"/>
      <c r="D20" s="381" t="s">
        <v>160</v>
      </c>
      <c r="E20" s="339"/>
      <c r="F20" s="433"/>
      <c r="G20" s="221"/>
      <c r="H20" s="7">
        <f>SUM(H21:H43)</f>
        <v>363830.79387164506</v>
      </c>
      <c r="I20" s="101">
        <f>SUM(I21:I43)</f>
        <v>877099.48</v>
      </c>
      <c r="J20" s="4">
        <f t="shared" si="16"/>
        <v>513268.68612835492</v>
      </c>
      <c r="K20" s="242">
        <f t="shared" si="17"/>
        <v>141.07345908423289</v>
      </c>
      <c r="L20" s="7">
        <f>SUM(L21:L43)</f>
        <v>414025.73625563708</v>
      </c>
      <c r="M20" s="191">
        <f>SUM(M21:M43)</f>
        <v>386210.75000000006</v>
      </c>
      <c r="N20" s="4">
        <f>M20-L20</f>
        <v>-27814.986255637021</v>
      </c>
      <c r="O20" s="242">
        <f>((M20/L20)-1)*100</f>
        <v>-6.7181780792638595</v>
      </c>
      <c r="P20" s="7">
        <f>SUM(P21:P43)</f>
        <v>413023.23322699667</v>
      </c>
      <c r="Q20" s="191">
        <f>SUM(Q21:Q43)</f>
        <v>430803.09000000008</v>
      </c>
      <c r="R20" s="191">
        <f t="shared" si="33"/>
        <v>17779.856773003412</v>
      </c>
      <c r="S20" s="242">
        <f>((Q20/P20)-1)*100</f>
        <v>4.3048079000513884</v>
      </c>
      <c r="T20" s="7">
        <f>SUM(T21:T43)</f>
        <v>413801.04278382956</v>
      </c>
      <c r="U20" s="191">
        <f>SUM(U21:U43)</f>
        <v>318942.61000000004</v>
      </c>
      <c r="V20" s="191">
        <f t="shared" si="23"/>
        <v>-94858.432783829514</v>
      </c>
      <c r="W20" s="242">
        <f>((U20/T20)-1)*100</f>
        <v>-22.9236814256613</v>
      </c>
      <c r="X20" s="7">
        <f>SUM(X21:X43)</f>
        <v>590291.64437536115</v>
      </c>
      <c r="Y20" s="191">
        <f>SUM(Y21:Y43)</f>
        <v>2212505.81</v>
      </c>
      <c r="Z20" s="191">
        <f t="shared" si="24"/>
        <v>1622214.165624639</v>
      </c>
      <c r="AA20" s="242">
        <f>((Y20/X20)-1)*100</f>
        <v>274.81570865554852</v>
      </c>
      <c r="AB20" s="7">
        <f>SUM(AB21:AB43)</f>
        <v>393681.26416814263</v>
      </c>
      <c r="AC20" s="191">
        <f>SUM(AC21:AC43)</f>
        <v>2971734.8</v>
      </c>
      <c r="AD20" s="191">
        <f t="shared" si="18"/>
        <v>2578053.535831857</v>
      </c>
      <c r="AE20" s="242">
        <f>((AC20/AB20)-1)*100</f>
        <v>654.85807186667682</v>
      </c>
      <c r="AF20" s="7">
        <f>SUM(AF21:AF43)</f>
        <v>390052.75357622775</v>
      </c>
      <c r="AG20" s="191">
        <f>SUM(AG21:AG43)</f>
        <v>1073162.75</v>
      </c>
      <c r="AH20" s="191">
        <f t="shared" si="25"/>
        <v>683109.9964237723</v>
      </c>
      <c r="AI20" s="242">
        <f t="shared" si="27"/>
        <v>175.13271991048063</v>
      </c>
      <c r="AJ20" s="7">
        <f>SUM(AJ21:AJ43)</f>
        <v>389932.10159950668</v>
      </c>
      <c r="AK20" s="191">
        <f>SUM(AK21:AK38)</f>
        <v>360837.52999999997</v>
      </c>
      <c r="AL20" s="191">
        <f t="shared" si="19"/>
        <v>-29094.571599506715</v>
      </c>
      <c r="AM20" s="242">
        <f t="shared" si="28"/>
        <v>-7.4614455901836241</v>
      </c>
      <c r="AN20" s="4">
        <f>SUM(AN21:AN43)</f>
        <v>360546.72841666668</v>
      </c>
      <c r="AO20" s="191">
        <f>SUM(AO21:AO43)</f>
        <v>1360526.3</v>
      </c>
      <c r="AP20" s="191">
        <f t="shared" si="20"/>
        <v>999979.57158333343</v>
      </c>
      <c r="AQ20" s="242">
        <f t="shared" si="29"/>
        <v>277.35089317679365</v>
      </c>
      <c r="AR20" s="7">
        <f>SUM(AR21:AR43)</f>
        <v>360429.47790609585</v>
      </c>
      <c r="AS20" s="191">
        <f>SUM(AS21:AS43)</f>
        <v>959658.10000000009</v>
      </c>
      <c r="AT20" s="191">
        <f t="shared" si="21"/>
        <v>599228.6220939043</v>
      </c>
      <c r="AU20" s="242">
        <f t="shared" si="30"/>
        <v>166.25405490558228</v>
      </c>
      <c r="AV20" s="221">
        <f>SUM(AV21:AV43)</f>
        <v>558523.17414093053</v>
      </c>
      <c r="AW20" s="4">
        <f>SUM(AW21:AW43)</f>
        <v>655264.99</v>
      </c>
      <c r="AX20" s="191">
        <f t="shared" si="22"/>
        <v>96741.815859069466</v>
      </c>
      <c r="AY20" s="242">
        <f t="shared" si="31"/>
        <v>17.321003019770643</v>
      </c>
      <c r="AZ20" s="7">
        <f>SUM(AZ21:AZ43)</f>
        <v>362880.55391992902</v>
      </c>
      <c r="BA20" s="4">
        <f>SUM(BA21:BA43)</f>
        <v>1692848.37</v>
      </c>
      <c r="BB20" s="191">
        <f t="shared" si="26"/>
        <v>1329967.816080071</v>
      </c>
      <c r="BC20" s="242">
        <f t="shared" si="32"/>
        <v>366.50291720331029</v>
      </c>
      <c r="BD20" s="209">
        <f t="shared" si="15"/>
        <v>5419393.6281028595</v>
      </c>
      <c r="BE20" s="7">
        <f t="shared" ref="BE20:BE25" si="34">SUM(I20+M20+Q20+U20+Y20+AC20+AG20+AK20+AO20+AS20+AW20+BA20)</f>
        <v>13299594.580000002</v>
      </c>
      <c r="BF20" s="118"/>
      <c r="BH20" s="334"/>
      <c r="BI20" s="334"/>
    </row>
    <row r="21" spans="2:63" s="119" customFormat="1" ht="16.5" thickBot="1" x14ac:dyDescent="0.3">
      <c r="B21" s="141">
        <v>4962</v>
      </c>
      <c r="C21" s="142"/>
      <c r="D21" s="331" t="s">
        <v>164</v>
      </c>
      <c r="E21" s="339"/>
      <c r="F21" s="143"/>
      <c r="G21" s="222"/>
      <c r="H21" s="577">
        <v>-28655.329045021634</v>
      </c>
      <c r="I21" s="88">
        <v>-31697.01</v>
      </c>
      <c r="J21" s="137">
        <f t="shared" si="16"/>
        <v>-3041.6809549783648</v>
      </c>
      <c r="K21" s="126">
        <f>((I21/H21)-1)*100</f>
        <v>10.614713061572068</v>
      </c>
      <c r="L21" s="210">
        <v>-28460.386661029541</v>
      </c>
      <c r="M21" s="144">
        <v>-29026.5</v>
      </c>
      <c r="N21" s="136">
        <f t="shared" ref="N21:N43" si="35">M21-L21</f>
        <v>-566.11333897045915</v>
      </c>
      <c r="O21" s="126">
        <v>0</v>
      </c>
      <c r="P21" s="210">
        <v>-29462.889689669963</v>
      </c>
      <c r="Q21" s="145">
        <v>-40542.35</v>
      </c>
      <c r="R21" s="190">
        <f t="shared" si="33"/>
        <v>-11079.460310330036</v>
      </c>
      <c r="S21" s="213"/>
      <c r="T21" s="210">
        <v>-28685.080132837076</v>
      </c>
      <c r="U21" s="144">
        <v>-91365.55</v>
      </c>
      <c r="V21" s="190">
        <f t="shared" si="23"/>
        <v>-62680.46986716293</v>
      </c>
      <c r="W21" s="213"/>
      <c r="X21" s="210">
        <v>-32194.478541305456</v>
      </c>
      <c r="Y21" s="144">
        <v>-55079.39</v>
      </c>
      <c r="Z21" s="190">
        <f t="shared" si="24"/>
        <v>-22884.911458694543</v>
      </c>
      <c r="AA21" s="213"/>
      <c r="AB21" s="210">
        <v>-28804.858748524079</v>
      </c>
      <c r="AC21" s="144">
        <v>-19052.990000000002</v>
      </c>
      <c r="AD21" s="190">
        <f t="shared" si="18"/>
        <v>9751.8687485240771</v>
      </c>
      <c r="AE21" s="213"/>
      <c r="AF21" s="210">
        <v>-33036.974840438896</v>
      </c>
      <c r="AG21" s="210">
        <v>-101781.05</v>
      </c>
      <c r="AH21" s="190">
        <f t="shared" si="25"/>
        <v>-68744.075159561107</v>
      </c>
      <c r="AI21" s="242">
        <f t="shared" si="27"/>
        <v>208.08223359305572</v>
      </c>
      <c r="AJ21" s="210">
        <v>-33157.62681715998</v>
      </c>
      <c r="AK21" s="210">
        <v>-14474.64</v>
      </c>
      <c r="AL21" s="190">
        <f t="shared" si="19"/>
        <v>18682.986817159981</v>
      </c>
      <c r="AM21" s="859">
        <f t="shared" si="28"/>
        <v>-56.34597107984527</v>
      </c>
      <c r="AN21" s="434">
        <v>-32543</v>
      </c>
      <c r="AO21" s="144">
        <v>-93397.91</v>
      </c>
      <c r="AP21" s="190">
        <f t="shared" si="20"/>
        <v>-60854.91</v>
      </c>
      <c r="AQ21" s="126">
        <f t="shared" si="29"/>
        <v>186.99846357127493</v>
      </c>
      <c r="AR21" s="210">
        <v>-32660.250510570815</v>
      </c>
      <c r="AS21" s="144">
        <v>-131504.85999999999</v>
      </c>
      <c r="AT21" s="190">
        <f t="shared" si="21"/>
        <v>-98844.609489429175</v>
      </c>
      <c r="AU21" s="126">
        <f t="shared" si="30"/>
        <v>302.64498264468955</v>
      </c>
      <c r="AV21" s="120">
        <v>-34566.604275736157</v>
      </c>
      <c r="AW21" s="224">
        <v>-52783.01</v>
      </c>
      <c r="AX21" s="190">
        <f t="shared" si="22"/>
        <v>-18216.405724263845</v>
      </c>
      <c r="AY21" s="126">
        <f t="shared" si="31"/>
        <v>52.699436655543153</v>
      </c>
      <c r="AZ21" s="210">
        <v>-30210.174596737583</v>
      </c>
      <c r="BA21" s="212">
        <v>-152290.57</v>
      </c>
      <c r="BB21" s="190">
        <f t="shared" si="26"/>
        <v>-122080.39540326243</v>
      </c>
      <c r="BC21" s="126">
        <f t="shared" si="32"/>
        <v>404.10357448396201</v>
      </c>
      <c r="BD21" s="126">
        <f t="shared" si="15"/>
        <v>-449805.37833047291</v>
      </c>
      <c r="BE21" s="460">
        <f t="shared" si="34"/>
        <v>-812995.83000000007</v>
      </c>
      <c r="BF21" s="118"/>
      <c r="BH21" s="334"/>
      <c r="BI21" s="334"/>
    </row>
    <row r="22" spans="2:63" s="119" customFormat="1" x14ac:dyDescent="0.25">
      <c r="B22" s="127">
        <v>5001</v>
      </c>
      <c r="C22" s="128"/>
      <c r="D22" s="329" t="s">
        <v>12</v>
      </c>
      <c r="E22" s="340"/>
      <c r="F22" s="148"/>
      <c r="G22" s="435"/>
      <c r="H22" s="224">
        <v>155492.87250000003</v>
      </c>
      <c r="I22" s="90">
        <v>149393.51999999999</v>
      </c>
      <c r="J22" s="125">
        <f t="shared" si="16"/>
        <v>-6099.3525000000373</v>
      </c>
      <c r="K22" s="126">
        <f>((I22/H22)-1)*100</f>
        <v>-3.9225929793020198</v>
      </c>
      <c r="L22" s="224">
        <v>155492.87250000003</v>
      </c>
      <c r="M22" s="125">
        <v>165654.32</v>
      </c>
      <c r="N22" s="121">
        <f t="shared" si="35"/>
        <v>10161.44749999998</v>
      </c>
      <c r="O22" s="126">
        <f>((M22/L22)-1)*100</f>
        <v>6.5349924640436319</v>
      </c>
      <c r="P22" s="224">
        <v>155492.87250000003</v>
      </c>
      <c r="Q22" s="125">
        <v>149545.4</v>
      </c>
      <c r="R22" s="125">
        <f t="shared" si="33"/>
        <v>-5947.4725000000326</v>
      </c>
      <c r="S22" s="126">
        <f>((Q22/P22)-1)*100</f>
        <v>-3.8249164764771026</v>
      </c>
      <c r="T22" s="224">
        <v>155492.87250000003</v>
      </c>
      <c r="U22" s="149">
        <v>162243.48000000001</v>
      </c>
      <c r="V22" s="125">
        <f t="shared" ref="V22:V43" si="36">U22-T22</f>
        <v>6750.6074999999837</v>
      </c>
      <c r="W22" s="126">
        <f>((U22/T22)-1)*100</f>
        <v>4.3414256817462693</v>
      </c>
      <c r="X22" s="224">
        <v>155492.87250000003</v>
      </c>
      <c r="Y22" s="149">
        <v>151687.09</v>
      </c>
      <c r="Z22" s="125">
        <f t="shared" si="24"/>
        <v>-3805.7825000000303</v>
      </c>
      <c r="AA22" s="126">
        <f>((Y22/X22)-1)*100</f>
        <v>-2.4475607394802146</v>
      </c>
      <c r="AB22" s="224">
        <v>155492.87250000003</v>
      </c>
      <c r="AC22" s="149">
        <v>138700.9</v>
      </c>
      <c r="AD22" s="125">
        <f t="shared" ref="AD22:AD35" si="37">AC22-AB22</f>
        <v>-16791.972500000033</v>
      </c>
      <c r="AE22" s="126">
        <f>((AC22/AB22)-1)*100</f>
        <v>-10.7991911333428</v>
      </c>
      <c r="AF22" s="224">
        <v>155492.87250000003</v>
      </c>
      <c r="AG22" s="211">
        <v>156388.10999999999</v>
      </c>
      <c r="AH22" s="125">
        <f t="shared" ref="AH22:AH35" si="38">AG22-AF22</f>
        <v>895.23749999995925</v>
      </c>
      <c r="AI22" s="126">
        <f t="shared" si="27"/>
        <v>0.57574182379320771</v>
      </c>
      <c r="AJ22" s="224">
        <v>155492.87250000003</v>
      </c>
      <c r="AK22" s="224">
        <v>145330.03</v>
      </c>
      <c r="AL22" s="125">
        <f>AK22-AJ22</f>
        <v>-10162.842500000028</v>
      </c>
      <c r="AM22" s="216">
        <f t="shared" si="28"/>
        <v>-6.5358896112746478</v>
      </c>
      <c r="AN22" s="224">
        <v>155492.87250000003</v>
      </c>
      <c r="AO22" s="125">
        <v>132360.70000000001</v>
      </c>
      <c r="AP22" s="125">
        <f>AO22-AN22</f>
        <v>-23132.172500000015</v>
      </c>
      <c r="AQ22" s="126">
        <f t="shared" si="29"/>
        <v>-14.876677064410149</v>
      </c>
      <c r="AR22" s="224">
        <v>155492.8725</v>
      </c>
      <c r="AS22" s="149">
        <v>143979.18</v>
      </c>
      <c r="AT22" s="125">
        <f>AS22-AR22</f>
        <v>-11513.692500000005</v>
      </c>
      <c r="AU22" s="126">
        <f t="shared" si="30"/>
        <v>-7.404643257844512</v>
      </c>
      <c r="AV22" s="224">
        <v>155492.87250000003</v>
      </c>
      <c r="AW22" s="224">
        <v>141507.91</v>
      </c>
      <c r="AX22" s="125">
        <f>AW22-AV22</f>
        <v>-13984.962500000023</v>
      </c>
      <c r="AY22" s="126">
        <f t="shared" si="31"/>
        <v>-8.9939572632179772</v>
      </c>
      <c r="AZ22" s="224">
        <v>155492.8726</v>
      </c>
      <c r="BA22" s="211">
        <v>129649</v>
      </c>
      <c r="BB22" s="125">
        <f t="shared" si="26"/>
        <v>-25843.872600000002</v>
      </c>
      <c r="BC22" s="126">
        <f t="shared" si="32"/>
        <v>-16.620615574118602</v>
      </c>
      <c r="BD22" s="126">
        <f t="shared" ref="BD22:BD43" si="39">AF22+AJ22+AN22+AR22+AV22+AZ22+AB22+X22+U22+Q22+M22+I22</f>
        <v>1870779.7001</v>
      </c>
      <c r="BE22" s="126">
        <f t="shared" si="34"/>
        <v>1766439.6399999997</v>
      </c>
      <c r="BF22" s="118"/>
      <c r="BH22" s="334"/>
      <c r="BI22" s="334"/>
    </row>
    <row r="23" spans="2:63" s="119" customFormat="1" x14ac:dyDescent="0.25">
      <c r="B23" s="127">
        <v>4993</v>
      </c>
      <c r="C23" s="128"/>
      <c r="D23" s="147" t="s">
        <v>13</v>
      </c>
      <c r="E23" s="340"/>
      <c r="F23" s="148"/>
      <c r="G23" s="220"/>
      <c r="H23" s="224">
        <v>12868.7425</v>
      </c>
      <c r="I23" s="90">
        <v>14180.69</v>
      </c>
      <c r="J23" s="125">
        <f t="shared" si="16"/>
        <v>1311.9475000000002</v>
      </c>
      <c r="K23" s="126">
        <f t="shared" ref="K23:K37" si="40">((I23/H23)-1)*100</f>
        <v>10.194838384558548</v>
      </c>
      <c r="L23" s="211">
        <v>12868.7425</v>
      </c>
      <c r="M23" s="149">
        <v>0</v>
      </c>
      <c r="N23" s="121">
        <f t="shared" si="35"/>
        <v>-12868.7425</v>
      </c>
      <c r="O23" s="126">
        <v>0</v>
      </c>
      <c r="P23" s="211">
        <v>12868.7425</v>
      </c>
      <c r="Q23" s="149">
        <v>32295.16</v>
      </c>
      <c r="R23" s="125">
        <f t="shared" si="33"/>
        <v>19426.4175</v>
      </c>
      <c r="S23" s="126">
        <f t="shared" ref="S23:S37" si="41">((Q23/P23)-1)*100</f>
        <v>150.9581647157832</v>
      </c>
      <c r="T23" s="211">
        <v>12868.7425</v>
      </c>
      <c r="U23" s="149">
        <v>13430.25</v>
      </c>
      <c r="V23" s="125">
        <f t="shared" si="36"/>
        <v>561.50749999999971</v>
      </c>
      <c r="W23" s="126"/>
      <c r="X23" s="211">
        <v>12868.7425</v>
      </c>
      <c r="Y23" s="149">
        <v>28626.95</v>
      </c>
      <c r="Z23" s="125">
        <f t="shared" si="24"/>
        <v>15758.2075</v>
      </c>
      <c r="AA23" s="126">
        <f>((Y23/X23)-1)*100</f>
        <v>122.4533593705834</v>
      </c>
      <c r="AB23" s="211">
        <v>12868.7425</v>
      </c>
      <c r="AC23" s="149">
        <v>19920.84</v>
      </c>
      <c r="AD23" s="125">
        <f t="shared" si="37"/>
        <v>7052.0974999999999</v>
      </c>
      <c r="AE23" s="126">
        <f>((AC23/AB23)-1)*100</f>
        <v>54.800206780110791</v>
      </c>
      <c r="AF23" s="211">
        <v>12868.7425</v>
      </c>
      <c r="AG23" s="211">
        <v>25296.74</v>
      </c>
      <c r="AH23" s="125">
        <f t="shared" si="38"/>
        <v>12427.997500000001</v>
      </c>
      <c r="AI23" s="126">
        <f t="shared" si="27"/>
        <v>96.57507328318988</v>
      </c>
      <c r="AJ23" s="211">
        <v>12868.7425</v>
      </c>
      <c r="AK23" s="211">
        <v>12452.07</v>
      </c>
      <c r="AL23" s="125">
        <f t="shared" ref="AL23:AL43" si="42">AK23-AJ23</f>
        <v>-416.67250000000058</v>
      </c>
      <c r="AM23" s="216">
        <f t="shared" si="28"/>
        <v>-3.2378649273617888</v>
      </c>
      <c r="AN23" s="224">
        <v>12868.7425</v>
      </c>
      <c r="AO23" s="125">
        <v>-13600</v>
      </c>
      <c r="AP23" s="125">
        <f t="shared" ref="AP23:AP35" si="43">AO23-AN23</f>
        <v>-26468.7425</v>
      </c>
      <c r="AQ23" s="126">
        <f t="shared" ref="AQ23:AQ34" si="44">((AO23/AN23)-1)*100</f>
        <v>-205.68243167504514</v>
      </c>
      <c r="AR23" s="211">
        <v>12868.7425</v>
      </c>
      <c r="AS23" s="149">
        <v>0</v>
      </c>
      <c r="AT23" s="125">
        <f t="shared" ref="AT23:AT35" si="45">AS23-AR23</f>
        <v>-12868.7425</v>
      </c>
      <c r="AU23" s="126">
        <f t="shared" ref="AU23:AU34" si="46">((AS23/AR23)-1)*100</f>
        <v>-100</v>
      </c>
      <c r="AV23" s="121">
        <v>12868.7425</v>
      </c>
      <c r="AW23" s="224">
        <v>16324.12</v>
      </c>
      <c r="AX23" s="125">
        <f t="shared" ref="AX23:AX41" si="47">AW23-AV23</f>
        <v>3455.3775000000005</v>
      </c>
      <c r="AY23" s="126">
        <f t="shared" ref="AY23:AY34" si="48">((AW23/AV23)-1)*100</f>
        <v>26.850933570238112</v>
      </c>
      <c r="AZ23" s="211">
        <v>12868.7425</v>
      </c>
      <c r="BA23" s="211">
        <v>1418.26</v>
      </c>
      <c r="BB23" s="125">
        <f t="shared" ref="BB23:BB43" si="49">BA23-AZ23</f>
        <v>-11450.4825</v>
      </c>
      <c r="BC23" s="126">
        <f t="shared" ref="BC23:BC34" si="50">((BA23/AZ23)-1)*100</f>
        <v>-88.979031945040475</v>
      </c>
      <c r="BD23" s="126">
        <f t="shared" si="39"/>
        <v>162856.04</v>
      </c>
      <c r="BE23" s="126">
        <f t="shared" si="34"/>
        <v>150345.08000000002</v>
      </c>
      <c r="BF23" s="118"/>
      <c r="BH23" s="334"/>
      <c r="BI23" s="334"/>
      <c r="BK23" s="334"/>
    </row>
    <row r="24" spans="2:63" s="119" customFormat="1" ht="31.5" x14ac:dyDescent="0.25">
      <c r="B24" s="150" t="s">
        <v>143</v>
      </c>
      <c r="C24" s="128"/>
      <c r="D24" s="147" t="s">
        <v>166</v>
      </c>
      <c r="E24" s="340"/>
      <c r="F24" s="148"/>
      <c r="G24" s="220"/>
      <c r="H24" s="224">
        <v>2489.675666666667</v>
      </c>
      <c r="I24" s="90">
        <v>8061.62</v>
      </c>
      <c r="J24" s="125">
        <f t="shared" si="16"/>
        <v>5571.9443333333329</v>
      </c>
      <c r="K24" s="126">
        <f t="shared" si="40"/>
        <v>223.80201597878809</v>
      </c>
      <c r="L24" s="211">
        <v>2489.675666666667</v>
      </c>
      <c r="M24" s="149">
        <v>7096.65</v>
      </c>
      <c r="N24" s="121">
        <f t="shared" si="35"/>
        <v>4606.9743333333327</v>
      </c>
      <c r="O24" s="126">
        <v>0</v>
      </c>
      <c r="P24" s="211">
        <v>2489.675666666667</v>
      </c>
      <c r="Q24" s="149">
        <f>0+0+7944.01</f>
        <v>7944.01</v>
      </c>
      <c r="R24" s="125">
        <f t="shared" si="33"/>
        <v>5454.3343333333332</v>
      </c>
      <c r="S24" s="126">
        <f t="shared" si="41"/>
        <v>219.07810749646504</v>
      </c>
      <c r="T24" s="211">
        <v>2489.675666666667</v>
      </c>
      <c r="U24" s="149">
        <v>7995.1</v>
      </c>
      <c r="V24" s="125">
        <f t="shared" si="36"/>
        <v>5505.4243333333334</v>
      </c>
      <c r="W24" s="126"/>
      <c r="X24" s="211">
        <v>2489.675666666667</v>
      </c>
      <c r="Y24" s="149">
        <v>4897.51</v>
      </c>
      <c r="Z24" s="125">
        <f t="shared" si="24"/>
        <v>2407.8343333333332</v>
      </c>
      <c r="AA24" s="126">
        <f>((Y24/X24)-1)*100</f>
        <v>96.712771288683228</v>
      </c>
      <c r="AB24" s="211">
        <v>2489.675666666667</v>
      </c>
      <c r="AC24" s="149">
        <v>8006.91</v>
      </c>
      <c r="AD24" s="125">
        <f t="shared" si="37"/>
        <v>5517.2343333333329</v>
      </c>
      <c r="AE24" s="126">
        <f>((AC24/AB24)-1)*100</f>
        <v>221.6045409930905</v>
      </c>
      <c r="AF24" s="211">
        <v>2489.675666666667</v>
      </c>
      <c r="AG24" s="149">
        <v>8038.93</v>
      </c>
      <c r="AH24" s="125">
        <f t="shared" si="38"/>
        <v>5549.2543333333333</v>
      </c>
      <c r="AI24" s="126">
        <f t="shared" si="27"/>
        <v>222.89065228978285</v>
      </c>
      <c r="AJ24" s="211">
        <v>2489.675666666667</v>
      </c>
      <c r="AK24" s="211">
        <v>8071.08</v>
      </c>
      <c r="AL24" s="125">
        <f t="shared" si="42"/>
        <v>5581.4043333333329</v>
      </c>
      <c r="AM24" s="216">
        <f t="shared" ref="AM24:AM34" si="51">((AK24/AJ24)-1)*100</f>
        <v>224.18198515014066</v>
      </c>
      <c r="AN24" s="224">
        <v>2489.675666666667</v>
      </c>
      <c r="AO24" s="125">
        <v>8103.37</v>
      </c>
      <c r="AP24" s="125">
        <f t="shared" si="43"/>
        <v>5613.6943333333329</v>
      </c>
      <c r="AQ24" s="126">
        <f t="shared" si="44"/>
        <v>225.47894123290754</v>
      </c>
      <c r="AR24" s="211">
        <v>2489.675666666667</v>
      </c>
      <c r="AS24" s="149">
        <v>8135.78</v>
      </c>
      <c r="AT24" s="125">
        <f t="shared" si="45"/>
        <v>5646.1043333333328</v>
      </c>
      <c r="AU24" s="126">
        <f t="shared" si="46"/>
        <v>226.78071722059642</v>
      </c>
      <c r="AV24" s="121">
        <v>2489.675666666667</v>
      </c>
      <c r="AW24" s="224">
        <v>8168.34</v>
      </c>
      <c r="AX24" s="125">
        <f t="shared" si="47"/>
        <v>5678.6643333333332</v>
      </c>
      <c r="AY24" s="126">
        <f t="shared" si="48"/>
        <v>228.08851808943785</v>
      </c>
      <c r="AZ24" s="211">
        <v>2489.675666666667</v>
      </c>
      <c r="BA24" s="211">
        <v>8201</v>
      </c>
      <c r="BB24" s="125">
        <f t="shared" si="49"/>
        <v>5711.324333333333</v>
      </c>
      <c r="BC24" s="126">
        <f t="shared" si="50"/>
        <v>229.40033554571428</v>
      </c>
      <c r="BD24" s="126">
        <f t="shared" si="39"/>
        <v>51014.785333333341</v>
      </c>
      <c r="BE24" s="126">
        <f t="shared" si="34"/>
        <v>92720.3</v>
      </c>
      <c r="BF24" s="118"/>
    </row>
    <row r="25" spans="2:63" s="119" customFormat="1" x14ac:dyDescent="0.25">
      <c r="B25" s="127">
        <v>38583</v>
      </c>
      <c r="C25" s="128"/>
      <c r="D25" s="147" t="s">
        <v>14</v>
      </c>
      <c r="E25" s="340"/>
      <c r="F25" s="148"/>
      <c r="G25" s="220"/>
      <c r="H25" s="224"/>
      <c r="I25" s="90">
        <v>0</v>
      </c>
      <c r="J25" s="125">
        <f t="shared" si="16"/>
        <v>0</v>
      </c>
      <c r="K25" s="126"/>
      <c r="L25" s="211"/>
      <c r="M25" s="149"/>
      <c r="N25" s="121">
        <f t="shared" si="35"/>
        <v>0</v>
      </c>
      <c r="O25" s="126">
        <v>0</v>
      </c>
      <c r="P25" s="211"/>
      <c r="Q25" s="149">
        <v>0</v>
      </c>
      <c r="R25" s="125">
        <f t="shared" si="33"/>
        <v>0</v>
      </c>
      <c r="S25" s="126"/>
      <c r="T25" s="211"/>
      <c r="U25" s="149">
        <v>0</v>
      </c>
      <c r="V25" s="125">
        <f t="shared" si="36"/>
        <v>0</v>
      </c>
      <c r="W25" s="126"/>
      <c r="X25" s="211"/>
      <c r="Y25" s="149">
        <v>0</v>
      </c>
      <c r="Z25" s="125"/>
      <c r="AA25" s="126"/>
      <c r="AB25" s="211"/>
      <c r="AC25" s="149">
        <v>0</v>
      </c>
      <c r="AD25" s="125">
        <f t="shared" si="37"/>
        <v>0</v>
      </c>
      <c r="AE25" s="126"/>
      <c r="AF25" s="211"/>
      <c r="AG25" s="125">
        <v>0</v>
      </c>
      <c r="AH25" s="125">
        <f t="shared" si="38"/>
        <v>0</v>
      </c>
      <c r="AI25" s="126"/>
      <c r="AJ25" s="211">
        <v>0</v>
      </c>
      <c r="AK25" s="149">
        <v>0</v>
      </c>
      <c r="AL25" s="125">
        <f t="shared" si="42"/>
        <v>0</v>
      </c>
      <c r="AM25" s="216">
        <v>0</v>
      </c>
      <c r="AN25" s="224"/>
      <c r="AO25" s="125">
        <v>0</v>
      </c>
      <c r="AP25" s="125">
        <f t="shared" si="43"/>
        <v>0</v>
      </c>
      <c r="AQ25" s="126"/>
      <c r="AR25" s="211">
        <v>0</v>
      </c>
      <c r="AS25" s="149">
        <v>0</v>
      </c>
      <c r="AT25" s="125">
        <f t="shared" si="45"/>
        <v>0</v>
      </c>
      <c r="AU25" s="126">
        <v>0</v>
      </c>
      <c r="AV25" s="121">
        <v>0</v>
      </c>
      <c r="AW25" s="224">
        <v>0</v>
      </c>
      <c r="AX25" s="125">
        <f t="shared" si="47"/>
        <v>0</v>
      </c>
      <c r="AY25" s="126" t="e">
        <f t="shared" si="48"/>
        <v>#DIV/0!</v>
      </c>
      <c r="AZ25" s="211"/>
      <c r="BA25" s="211">
        <v>0</v>
      </c>
      <c r="BB25" s="125">
        <f t="shared" si="49"/>
        <v>0</v>
      </c>
      <c r="BC25" s="126"/>
      <c r="BD25" s="126">
        <f t="shared" si="39"/>
        <v>0</v>
      </c>
      <c r="BE25" s="126">
        <f t="shared" si="34"/>
        <v>0</v>
      </c>
      <c r="BF25" s="118"/>
    </row>
    <row r="26" spans="2:63" s="119" customFormat="1" x14ac:dyDescent="0.25">
      <c r="B26" s="150" t="s">
        <v>142</v>
      </c>
      <c r="C26" s="128"/>
      <c r="D26" s="147" t="s">
        <v>15</v>
      </c>
      <c r="E26" s="340"/>
      <c r="F26" s="148"/>
      <c r="G26" s="220"/>
      <c r="H26" s="224">
        <f>43522.6613333333+16204.08-23756</f>
        <v>35970.741333333302</v>
      </c>
      <c r="I26" s="82">
        <v>33007.629999999997</v>
      </c>
      <c r="J26" s="125">
        <f t="shared" si="16"/>
        <v>-2963.1113333333051</v>
      </c>
      <c r="K26" s="126">
        <f t="shared" si="40"/>
        <v>-8.237559815280914</v>
      </c>
      <c r="L26" s="224">
        <f>43522.6613333333+16204.08</f>
        <v>59726.741333333302</v>
      </c>
      <c r="M26" s="149">
        <f>3100.49+16708.38</f>
        <v>19808.870000000003</v>
      </c>
      <c r="N26" s="121">
        <f t="shared" si="35"/>
        <v>-39917.8713333333</v>
      </c>
      <c r="O26" s="126">
        <v>0</v>
      </c>
      <c r="P26" s="224">
        <f>43522.6613333333+16204.08</f>
        <v>59726.741333333302</v>
      </c>
      <c r="Q26" s="149">
        <f>14817.05+-18103.92</f>
        <v>-3286.869999999999</v>
      </c>
      <c r="R26" s="125">
        <f t="shared" si="33"/>
        <v>-63013.611333333305</v>
      </c>
      <c r="S26" s="126">
        <f t="shared" si="41"/>
        <v>-105.50317985984883</v>
      </c>
      <c r="T26" s="224">
        <f>43522.6613333333+16204.08</f>
        <v>59726.741333333302</v>
      </c>
      <c r="U26" s="149">
        <v>37854.1</v>
      </c>
      <c r="V26" s="125">
        <f t="shared" si="36"/>
        <v>-21872.641333333304</v>
      </c>
      <c r="W26" s="138"/>
      <c r="X26" s="224">
        <v>59726.741333333302</v>
      </c>
      <c r="Y26" s="149">
        <f>12207.21+22130.77</f>
        <v>34337.979999999996</v>
      </c>
      <c r="Z26" s="137"/>
      <c r="AA26" s="138"/>
      <c r="AB26" s="224">
        <v>59726.741333333302</v>
      </c>
      <c r="AC26" s="149">
        <v>39200.99</v>
      </c>
      <c r="AD26" s="125">
        <f t="shared" si="37"/>
        <v>-20525.751333333305</v>
      </c>
      <c r="AE26" s="138"/>
      <c r="AF26" s="224">
        <v>59726.741333333302</v>
      </c>
      <c r="AG26" s="125">
        <v>96094.66</v>
      </c>
      <c r="AH26" s="125">
        <f t="shared" si="38"/>
        <v>36367.918666666701</v>
      </c>
      <c r="AI26" s="126">
        <f t="shared" si="27"/>
        <v>60.890512113658346</v>
      </c>
      <c r="AJ26" s="224">
        <v>59726.741333333302</v>
      </c>
      <c r="AK26" s="224">
        <v>36478.6</v>
      </c>
      <c r="AL26" s="125">
        <f t="shared" si="42"/>
        <v>-23248.141333333304</v>
      </c>
      <c r="AM26" s="216">
        <f t="shared" si="51"/>
        <v>-38.92417502502952</v>
      </c>
      <c r="AN26" s="224">
        <v>59726.741333333302</v>
      </c>
      <c r="AO26" s="125">
        <v>16716.54</v>
      </c>
      <c r="AP26" s="125">
        <f t="shared" si="43"/>
        <v>-43010.201333333302</v>
      </c>
      <c r="AQ26" s="126">
        <f t="shared" si="44"/>
        <v>-72.011632265846458</v>
      </c>
      <c r="AR26" s="224">
        <v>59726.741333333302</v>
      </c>
      <c r="AS26" s="149">
        <v>36919.839999999997</v>
      </c>
      <c r="AT26" s="125">
        <f t="shared" si="45"/>
        <v>-22806.901333333306</v>
      </c>
      <c r="AU26" s="126">
        <f t="shared" si="46"/>
        <v>-38.185410461368754</v>
      </c>
      <c r="AV26" s="224">
        <v>59726.741333333302</v>
      </c>
      <c r="AW26" s="224">
        <v>43952.89</v>
      </c>
      <c r="AX26" s="125">
        <f t="shared" si="47"/>
        <v>-15773.851333333303</v>
      </c>
      <c r="AY26" s="126">
        <f t="shared" si="48"/>
        <v>-26.4100317231437</v>
      </c>
      <c r="AZ26" s="224">
        <v>59727.741333333302</v>
      </c>
      <c r="BA26" s="211">
        <v>71305</v>
      </c>
      <c r="BB26" s="125">
        <f t="shared" si="49"/>
        <v>11577.258666666698</v>
      </c>
      <c r="BC26" s="126">
        <f t="shared" si="50"/>
        <v>19.383386025022141</v>
      </c>
      <c r="BD26" s="126">
        <f t="shared" si="39"/>
        <v>565198.66066666646</v>
      </c>
      <c r="BE26" s="126">
        <f t="shared" ref="BE26:BE43" si="52">SUM(I26+M26+Q26+U26+Y26+AC26+AG26+AK26+AO26+AS26+AW26+BA26)</f>
        <v>462390.23</v>
      </c>
      <c r="BF26" s="118"/>
      <c r="BH26" s="334"/>
    </row>
    <row r="27" spans="2:63" s="119" customFormat="1" x14ac:dyDescent="0.25">
      <c r="B27" s="127">
        <v>27432</v>
      </c>
      <c r="C27" s="128"/>
      <c r="D27" s="147" t="s">
        <v>16</v>
      </c>
      <c r="E27" s="340"/>
      <c r="F27" s="148"/>
      <c r="G27" s="220"/>
      <c r="H27" s="224">
        <v>12072.11</v>
      </c>
      <c r="I27" s="90">
        <v>13296.75</v>
      </c>
      <c r="J27" s="125">
        <f t="shared" si="16"/>
        <v>1224.6399999999994</v>
      </c>
      <c r="K27" s="126">
        <f t="shared" si="40"/>
        <v>10.144374098645548</v>
      </c>
      <c r="L27" s="211">
        <v>12072.11</v>
      </c>
      <c r="M27" s="149">
        <v>13296.75</v>
      </c>
      <c r="N27" s="121">
        <f t="shared" si="35"/>
        <v>1224.6399999999994</v>
      </c>
      <c r="O27" s="126">
        <v>0</v>
      </c>
      <c r="P27" s="211">
        <v>12072.11</v>
      </c>
      <c r="Q27" s="149">
        <v>13296.75</v>
      </c>
      <c r="R27" s="125">
        <f t="shared" si="33"/>
        <v>1224.6399999999994</v>
      </c>
      <c r="S27" s="126">
        <f t="shared" si="41"/>
        <v>10.144374098645548</v>
      </c>
      <c r="T27" s="211">
        <v>12072.11</v>
      </c>
      <c r="U27" s="149">
        <v>16647.98</v>
      </c>
      <c r="V27" s="125">
        <f t="shared" si="36"/>
        <v>4575.869999999999</v>
      </c>
      <c r="W27" s="126"/>
      <c r="X27" s="211">
        <v>12072.11</v>
      </c>
      <c r="Y27" s="149">
        <v>10094.64</v>
      </c>
      <c r="Z27" s="125"/>
      <c r="AA27" s="126"/>
      <c r="AB27" s="211">
        <v>12072.11</v>
      </c>
      <c r="AC27" s="149">
        <v>16500.580000000002</v>
      </c>
      <c r="AD27" s="125">
        <f t="shared" si="37"/>
        <v>4428.4700000000012</v>
      </c>
      <c r="AE27" s="126"/>
      <c r="AF27" s="211">
        <v>12675.7155</v>
      </c>
      <c r="AG27" s="125">
        <v>13297.61</v>
      </c>
      <c r="AH27" s="125">
        <f t="shared" si="38"/>
        <v>621.89450000000033</v>
      </c>
      <c r="AI27" s="126">
        <f t="shared" si="27"/>
        <v>4.9061885303437247</v>
      </c>
      <c r="AJ27" s="211">
        <v>12675.7155</v>
      </c>
      <c r="AK27" s="211">
        <v>13297.61</v>
      </c>
      <c r="AL27" s="125">
        <f t="shared" si="42"/>
        <v>621.89450000000033</v>
      </c>
      <c r="AM27" s="216">
        <f t="shared" si="51"/>
        <v>4.9061885303437247</v>
      </c>
      <c r="AN27" s="211">
        <v>12675.7155</v>
      </c>
      <c r="AO27" s="125">
        <v>13297.61</v>
      </c>
      <c r="AP27" s="125">
        <f t="shared" si="43"/>
        <v>621.89450000000033</v>
      </c>
      <c r="AQ27" s="126">
        <f t="shared" si="44"/>
        <v>4.9061885303437247</v>
      </c>
      <c r="AR27" s="211">
        <v>12675.7155</v>
      </c>
      <c r="AS27" s="149">
        <v>15927.61</v>
      </c>
      <c r="AT27" s="125">
        <f t="shared" si="45"/>
        <v>3251.8945000000003</v>
      </c>
      <c r="AU27" s="126">
        <f t="shared" si="46"/>
        <v>25.654524196286999</v>
      </c>
      <c r="AV27" s="211">
        <v>12675.7155</v>
      </c>
      <c r="AW27" s="224">
        <v>15927.61</v>
      </c>
      <c r="AX27" s="125">
        <f t="shared" si="47"/>
        <v>3251.8945000000003</v>
      </c>
      <c r="AY27" s="126">
        <f t="shared" si="48"/>
        <v>25.654524196286999</v>
      </c>
      <c r="AZ27" s="211">
        <v>12675.7155</v>
      </c>
      <c r="BA27" s="211">
        <v>16916.22</v>
      </c>
      <c r="BB27" s="125">
        <f t="shared" si="49"/>
        <v>4240.5045000000009</v>
      </c>
      <c r="BC27" s="126">
        <f t="shared" si="50"/>
        <v>33.453768349407966</v>
      </c>
      <c r="BD27" s="126">
        <f t="shared" si="39"/>
        <v>156736.74300000002</v>
      </c>
      <c r="BE27" s="126">
        <f t="shared" si="52"/>
        <v>171797.72</v>
      </c>
      <c r="BF27" s="118"/>
      <c r="BH27" s="334"/>
    </row>
    <row r="28" spans="2:63" s="119" customFormat="1" x14ac:dyDescent="0.25">
      <c r="B28" s="151" t="s">
        <v>17</v>
      </c>
      <c r="C28" s="123"/>
      <c r="D28" s="124" t="s">
        <v>18</v>
      </c>
      <c r="E28" s="338"/>
      <c r="F28" s="148"/>
      <c r="G28" s="220"/>
      <c r="H28" s="224">
        <f>63755.6175833333</f>
        <v>63755.617583333304</v>
      </c>
      <c r="I28" s="82">
        <v>45996.509999999995</v>
      </c>
      <c r="J28" s="125">
        <f t="shared" si="16"/>
        <v>-17759.107583333309</v>
      </c>
      <c r="K28" s="126">
        <f t="shared" si="40"/>
        <v>-27.854969109382154</v>
      </c>
      <c r="L28" s="224">
        <f>63755.6175833333+26244</f>
        <v>89999.617583333311</v>
      </c>
      <c r="M28" s="125">
        <f>74309.41+23900.03</f>
        <v>98209.44</v>
      </c>
      <c r="N28" s="121">
        <f t="shared" si="35"/>
        <v>8209.8224166666914</v>
      </c>
      <c r="O28" s="126">
        <v>0</v>
      </c>
      <c r="P28" s="224">
        <f>63755.6175833333+26244</f>
        <v>89999.617583333311</v>
      </c>
      <c r="Q28" s="125">
        <f>71675.67+86700</f>
        <v>158375.66999999998</v>
      </c>
      <c r="R28" s="125">
        <f t="shared" si="33"/>
        <v>68376.052416666673</v>
      </c>
      <c r="S28" s="126">
        <f t="shared" si="41"/>
        <v>75.97371439201423</v>
      </c>
      <c r="T28" s="224">
        <f>63755.6175833333+26244</f>
        <v>89999.617583333311</v>
      </c>
      <c r="U28" s="125">
        <v>49098.73</v>
      </c>
      <c r="V28" s="125">
        <f t="shared" si="36"/>
        <v>-40900.887583333308</v>
      </c>
      <c r="W28" s="126"/>
      <c r="X28" s="224">
        <v>89999.617583333311</v>
      </c>
      <c r="Y28" s="125">
        <f>34903+11900</f>
        <v>46803</v>
      </c>
      <c r="Z28" s="125"/>
      <c r="AA28" s="126"/>
      <c r="AB28" s="224">
        <v>89999.617583333311</v>
      </c>
      <c r="AC28" s="125">
        <v>42907.97</v>
      </c>
      <c r="AD28" s="125">
        <f t="shared" si="37"/>
        <v>-47091.64758333331</v>
      </c>
      <c r="AE28" s="126"/>
      <c r="AF28" s="224">
        <v>89999.617583333311</v>
      </c>
      <c r="AG28" s="125">
        <v>53615.95</v>
      </c>
      <c r="AH28" s="125">
        <f t="shared" si="38"/>
        <v>-36383.667583333314</v>
      </c>
      <c r="AI28" s="126">
        <f t="shared" si="27"/>
        <v>-40.426469089876512</v>
      </c>
      <c r="AJ28" s="224">
        <v>89999.617583333311</v>
      </c>
      <c r="AK28" s="224">
        <v>48445.120000000003</v>
      </c>
      <c r="AL28" s="125">
        <f t="shared" si="42"/>
        <v>-41554.497583333308</v>
      </c>
      <c r="AM28" s="216">
        <f t="shared" si="51"/>
        <v>-46.171860169135456</v>
      </c>
      <c r="AN28" s="224">
        <v>89999.617583333311</v>
      </c>
      <c r="AO28" s="125">
        <v>55931.57</v>
      </c>
      <c r="AP28" s="125">
        <f t="shared" si="43"/>
        <v>-34068.047583333311</v>
      </c>
      <c r="AQ28" s="126">
        <f t="shared" si="44"/>
        <v>-37.853547046229053</v>
      </c>
      <c r="AR28" s="224">
        <v>89999.617583333311</v>
      </c>
      <c r="AS28" s="125">
        <v>53825.56</v>
      </c>
      <c r="AT28" s="125">
        <f t="shared" si="45"/>
        <v>-36174.057583333313</v>
      </c>
      <c r="AU28" s="126">
        <f t="shared" si="46"/>
        <v>-40.193568100262965</v>
      </c>
      <c r="AV28" s="224">
        <v>89999.617583333311</v>
      </c>
      <c r="AW28" s="224">
        <v>70058.570000000007</v>
      </c>
      <c r="AX28" s="125">
        <f t="shared" si="47"/>
        <v>-19941.047583333304</v>
      </c>
      <c r="AY28" s="126">
        <f t="shared" si="48"/>
        <v>-22.156813682979593</v>
      </c>
      <c r="AZ28" s="224">
        <v>89999.617583333311</v>
      </c>
      <c r="BA28" s="211">
        <v>65598.03</v>
      </c>
      <c r="BB28" s="125">
        <f t="shared" si="49"/>
        <v>-24401.587583333312</v>
      </c>
      <c r="BC28" s="126">
        <f t="shared" si="50"/>
        <v>-27.112990297696715</v>
      </c>
      <c r="BD28" s="126">
        <f t="shared" si="39"/>
        <v>1071677.2906666663</v>
      </c>
      <c r="BE28" s="126">
        <f t="shared" si="52"/>
        <v>788866.12000000011</v>
      </c>
      <c r="BF28" s="118"/>
      <c r="BH28" s="334"/>
    </row>
    <row r="29" spans="2:63" s="119" customFormat="1" x14ac:dyDescent="0.25">
      <c r="B29" s="127">
        <v>5181</v>
      </c>
      <c r="C29" s="135"/>
      <c r="D29" s="152" t="s">
        <v>19</v>
      </c>
      <c r="E29" s="341"/>
      <c r="F29" s="148"/>
      <c r="G29" s="220"/>
      <c r="H29" s="224">
        <v>3000</v>
      </c>
      <c r="I29" s="82">
        <v>4149.37</v>
      </c>
      <c r="J29" s="125">
        <f t="shared" si="16"/>
        <v>1149.3699999999999</v>
      </c>
      <c r="K29" s="126">
        <f t="shared" si="40"/>
        <v>38.312333333333328</v>
      </c>
      <c r="L29" s="211">
        <v>3000</v>
      </c>
      <c r="M29" s="125">
        <v>2531.21</v>
      </c>
      <c r="N29" s="121">
        <f t="shared" si="35"/>
        <v>-468.78999999999996</v>
      </c>
      <c r="O29" s="126">
        <v>0</v>
      </c>
      <c r="P29" s="211">
        <v>3000</v>
      </c>
      <c r="Q29" s="125">
        <v>1843.73</v>
      </c>
      <c r="R29" s="125">
        <f t="shared" si="33"/>
        <v>-1156.27</v>
      </c>
      <c r="S29" s="126">
        <f t="shared" si="41"/>
        <v>-38.542333333333332</v>
      </c>
      <c r="T29" s="211">
        <v>3000</v>
      </c>
      <c r="U29" s="125">
        <v>1302.7</v>
      </c>
      <c r="V29" s="125">
        <f t="shared" si="36"/>
        <v>-1697.3</v>
      </c>
      <c r="W29" s="138"/>
      <c r="X29" s="211">
        <v>3000</v>
      </c>
      <c r="Y29" s="125">
        <v>1335.57</v>
      </c>
      <c r="Z29" s="137"/>
      <c r="AA29" s="138"/>
      <c r="AB29" s="211">
        <v>3000</v>
      </c>
      <c r="AC29" s="125">
        <v>1360.13</v>
      </c>
      <c r="AD29" s="125">
        <f t="shared" si="37"/>
        <v>-1639.87</v>
      </c>
      <c r="AE29" s="138"/>
      <c r="AF29" s="211">
        <v>3000</v>
      </c>
      <c r="AG29" s="125">
        <v>1456.75</v>
      </c>
      <c r="AH29" s="125">
        <f t="shared" si="38"/>
        <v>-1543.25</v>
      </c>
      <c r="AI29" s="126">
        <f t="shared" si="27"/>
        <v>-51.441666666666677</v>
      </c>
      <c r="AJ29" s="211">
        <v>3000</v>
      </c>
      <c r="AK29" s="211">
        <v>1542</v>
      </c>
      <c r="AL29" s="125">
        <f t="shared" si="42"/>
        <v>-1458</v>
      </c>
      <c r="AM29" s="216">
        <f t="shared" si="51"/>
        <v>-48.6</v>
      </c>
      <c r="AN29" s="211">
        <v>3000</v>
      </c>
      <c r="AO29" s="125">
        <v>1554.55</v>
      </c>
      <c r="AP29" s="125">
        <f t="shared" si="43"/>
        <v>-1445.45</v>
      </c>
      <c r="AQ29" s="126">
        <f t="shared" si="44"/>
        <v>-48.181666666666665</v>
      </c>
      <c r="AR29" s="211">
        <v>3000</v>
      </c>
      <c r="AS29" s="153">
        <v>1264.18</v>
      </c>
      <c r="AT29" s="125">
        <f t="shared" si="45"/>
        <v>-1735.82</v>
      </c>
      <c r="AU29" s="126">
        <f t="shared" si="46"/>
        <v>-57.860666666666674</v>
      </c>
      <c r="AV29" s="211">
        <v>3000</v>
      </c>
      <c r="AW29" s="224">
        <v>3860.05</v>
      </c>
      <c r="AX29" s="125">
        <f t="shared" si="47"/>
        <v>860.05000000000018</v>
      </c>
      <c r="AY29" s="126">
        <f t="shared" si="48"/>
        <v>28.66833333333334</v>
      </c>
      <c r="AZ29" s="211">
        <v>3000</v>
      </c>
      <c r="BA29" s="211">
        <v>695.98</v>
      </c>
      <c r="BB29" s="125">
        <f t="shared" si="49"/>
        <v>-2304.02</v>
      </c>
      <c r="BC29" s="126">
        <f t="shared" si="50"/>
        <v>-76.800666666666672</v>
      </c>
      <c r="BD29" s="126">
        <f t="shared" si="39"/>
        <v>33827.01</v>
      </c>
      <c r="BE29" s="126">
        <f t="shared" si="52"/>
        <v>22896.219999999998</v>
      </c>
      <c r="BF29" s="118"/>
      <c r="BH29" s="334"/>
    </row>
    <row r="30" spans="2:63" s="119" customFormat="1" x14ac:dyDescent="0.25">
      <c r="B30" s="127">
        <v>5193</v>
      </c>
      <c r="C30" s="135"/>
      <c r="D30" s="152" t="s">
        <v>128</v>
      </c>
      <c r="E30" s="341"/>
      <c r="F30" s="148"/>
      <c r="G30" s="220"/>
      <c r="H30" s="224">
        <v>15000</v>
      </c>
      <c r="I30" s="82">
        <v>0</v>
      </c>
      <c r="J30" s="125">
        <f t="shared" si="16"/>
        <v>-15000</v>
      </c>
      <c r="K30" s="126">
        <f t="shared" si="40"/>
        <v>-100</v>
      </c>
      <c r="L30" s="211">
        <v>15000</v>
      </c>
      <c r="M30" s="125">
        <v>18191.060000000001</v>
      </c>
      <c r="N30" s="121">
        <f t="shared" si="35"/>
        <v>3191.0600000000013</v>
      </c>
      <c r="O30" s="126">
        <v>0</v>
      </c>
      <c r="P30" s="211">
        <v>15000</v>
      </c>
      <c r="Q30" s="125">
        <v>20222.77</v>
      </c>
      <c r="R30" s="125">
        <f t="shared" si="33"/>
        <v>5222.7700000000004</v>
      </c>
      <c r="S30" s="126">
        <f t="shared" si="41"/>
        <v>34.818466666666659</v>
      </c>
      <c r="T30" s="211">
        <v>15000</v>
      </c>
      <c r="U30" s="822">
        <v>51051.26</v>
      </c>
      <c r="V30" s="125">
        <f t="shared" si="36"/>
        <v>36051.26</v>
      </c>
      <c r="W30" s="126"/>
      <c r="X30" s="840">
        <v>215000</v>
      </c>
      <c r="Y30" s="125">
        <v>15850.27</v>
      </c>
      <c r="Z30" s="125"/>
      <c r="AA30" s="126"/>
      <c r="AB30" s="211">
        <v>15000</v>
      </c>
      <c r="AC30" s="125">
        <v>14448.26</v>
      </c>
      <c r="AD30" s="125">
        <f t="shared" si="37"/>
        <v>-551.73999999999978</v>
      </c>
      <c r="AE30" s="126"/>
      <c r="AF30" s="211">
        <v>15000</v>
      </c>
      <c r="AG30" s="125">
        <v>0</v>
      </c>
      <c r="AH30" s="125">
        <f t="shared" si="38"/>
        <v>-15000</v>
      </c>
      <c r="AI30" s="126">
        <f t="shared" si="27"/>
        <v>-100</v>
      </c>
      <c r="AJ30" s="841">
        <v>15000</v>
      </c>
      <c r="AK30" s="841">
        <v>40426.75</v>
      </c>
      <c r="AL30" s="125">
        <f t="shared" si="42"/>
        <v>25426.75</v>
      </c>
      <c r="AM30" s="216">
        <f t="shared" si="51"/>
        <v>169.51166666666668</v>
      </c>
      <c r="AN30" s="841">
        <v>15000</v>
      </c>
      <c r="AO30" s="125">
        <v>18660.28</v>
      </c>
      <c r="AP30" s="125">
        <f t="shared" si="43"/>
        <v>3660.2799999999988</v>
      </c>
      <c r="AQ30" s="126">
        <f t="shared" si="44"/>
        <v>24.40186666666666</v>
      </c>
      <c r="AR30" s="841">
        <v>15000</v>
      </c>
      <c r="AS30" s="125">
        <v>0</v>
      </c>
      <c r="AT30" s="125">
        <f t="shared" si="45"/>
        <v>-15000</v>
      </c>
      <c r="AU30" s="126">
        <f t="shared" si="46"/>
        <v>-100</v>
      </c>
      <c r="AV30" s="840">
        <v>215000</v>
      </c>
      <c r="AW30" s="224">
        <v>35090.339999999997</v>
      </c>
      <c r="AX30" s="125">
        <f t="shared" si="47"/>
        <v>-179909.66</v>
      </c>
      <c r="AY30" s="126">
        <f t="shared" si="48"/>
        <v>-83.678911627906984</v>
      </c>
      <c r="AZ30" s="850">
        <v>15000</v>
      </c>
      <c r="BA30" s="211">
        <v>0</v>
      </c>
      <c r="BB30" s="125">
        <f t="shared" si="49"/>
        <v>-15000</v>
      </c>
      <c r="BC30" s="126">
        <f t="shared" si="50"/>
        <v>-100</v>
      </c>
      <c r="BD30" s="126">
        <f t="shared" si="39"/>
        <v>609465.09000000008</v>
      </c>
      <c r="BE30" s="126">
        <f t="shared" si="52"/>
        <v>213940.99</v>
      </c>
      <c r="BF30" s="118"/>
      <c r="BH30" s="334"/>
    </row>
    <row r="31" spans="2:63" s="119" customFormat="1" x14ac:dyDescent="0.25">
      <c r="B31" s="127">
        <v>5194</v>
      </c>
      <c r="C31" s="123"/>
      <c r="D31" s="124" t="s">
        <v>20</v>
      </c>
      <c r="E31" s="338"/>
      <c r="F31" s="148"/>
      <c r="G31" s="220"/>
      <c r="H31" s="224">
        <v>690.97833333333335</v>
      </c>
      <c r="I31" s="82">
        <v>0.13</v>
      </c>
      <c r="J31" s="125">
        <f t="shared" si="16"/>
        <v>-690.84833333333336</v>
      </c>
      <c r="K31" s="126">
        <f t="shared" si="40"/>
        <v>-99.981186096042563</v>
      </c>
      <c r="L31" s="211">
        <v>690.97833333333335</v>
      </c>
      <c r="M31" s="125">
        <v>0.08</v>
      </c>
      <c r="N31" s="121">
        <f t="shared" si="35"/>
        <v>-690.89833333333331</v>
      </c>
      <c r="O31" s="126">
        <v>0</v>
      </c>
      <c r="P31" s="211">
        <v>690.97833333333335</v>
      </c>
      <c r="Q31" s="125">
        <v>0.2</v>
      </c>
      <c r="R31" s="125">
        <f t="shared" si="33"/>
        <v>-690.77833333333331</v>
      </c>
      <c r="S31" s="126">
        <f t="shared" si="41"/>
        <v>-99.971055532373171</v>
      </c>
      <c r="T31" s="211">
        <v>690.97833333333335</v>
      </c>
      <c r="U31" s="125">
        <v>0.45</v>
      </c>
      <c r="V31" s="125">
        <f t="shared" si="36"/>
        <v>-690.52833333333331</v>
      </c>
      <c r="W31" s="126"/>
      <c r="X31" s="211">
        <v>690.97833333333335</v>
      </c>
      <c r="Y31" s="125">
        <v>2500.48</v>
      </c>
      <c r="Z31" s="125"/>
      <c r="AA31" s="126"/>
      <c r="AB31" s="211">
        <v>690.97833333333335</v>
      </c>
      <c r="AC31" s="125">
        <v>0.18</v>
      </c>
      <c r="AD31" s="125">
        <f t="shared" si="37"/>
        <v>-690.7983333333334</v>
      </c>
      <c r="AE31" s="126"/>
      <c r="AF31" s="211">
        <v>690.97833333333335</v>
      </c>
      <c r="AG31" s="125">
        <v>0.2</v>
      </c>
      <c r="AH31" s="125">
        <f t="shared" si="38"/>
        <v>-690.77833333333331</v>
      </c>
      <c r="AI31" s="126">
        <f t="shared" si="27"/>
        <v>-99.971055532373171</v>
      </c>
      <c r="AJ31" s="211">
        <v>690.97833333333335</v>
      </c>
      <c r="AK31" s="211">
        <v>25807.99</v>
      </c>
      <c r="AL31" s="125">
        <f t="shared" si="42"/>
        <v>25117.011666666669</v>
      </c>
      <c r="AM31" s="216">
        <f t="shared" si="51"/>
        <v>3634.9926553413397</v>
      </c>
      <c r="AN31" s="211">
        <v>690.97833333333335</v>
      </c>
      <c r="AO31" s="125">
        <v>0.61</v>
      </c>
      <c r="AP31" s="125">
        <f t="shared" si="43"/>
        <v>-690.36833333333334</v>
      </c>
      <c r="AQ31" s="126">
        <f t="shared" si="44"/>
        <v>-99.911719373738208</v>
      </c>
      <c r="AR31" s="211">
        <v>690.97833333333335</v>
      </c>
      <c r="AS31" s="125">
        <v>0.14000000000000001</v>
      </c>
      <c r="AT31" s="125">
        <f t="shared" si="45"/>
        <v>-690.83833333333337</v>
      </c>
      <c r="AU31" s="126">
        <f t="shared" si="46"/>
        <v>-99.97973887266123</v>
      </c>
      <c r="AV31" s="211">
        <v>690.97833333333335</v>
      </c>
      <c r="AW31" s="224">
        <v>0.12</v>
      </c>
      <c r="AX31" s="125">
        <f t="shared" si="47"/>
        <v>-690.85833333333335</v>
      </c>
      <c r="AY31" s="126">
        <f t="shared" si="48"/>
        <v>-99.982633319423911</v>
      </c>
      <c r="AZ31" s="211">
        <v>690.97833333333335</v>
      </c>
      <c r="BA31" s="211">
        <v>0.14000000000000001</v>
      </c>
      <c r="BB31" s="125">
        <f t="shared" si="49"/>
        <v>-690.83833333333337</v>
      </c>
      <c r="BC31" s="126">
        <f t="shared" si="50"/>
        <v>-99.97973887266123</v>
      </c>
      <c r="BD31" s="126">
        <f t="shared" si="39"/>
        <v>5528.6866666666665</v>
      </c>
      <c r="BE31" s="126">
        <f t="shared" si="52"/>
        <v>28310.720000000001</v>
      </c>
      <c r="BF31" s="118"/>
      <c r="BH31" s="334"/>
    </row>
    <row r="32" spans="2:63" s="119" customFormat="1" x14ac:dyDescent="0.25">
      <c r="B32" s="127">
        <v>5195</v>
      </c>
      <c r="C32" s="123"/>
      <c r="D32" s="124" t="s">
        <v>21</v>
      </c>
      <c r="E32" s="338"/>
      <c r="F32" s="148"/>
      <c r="G32" s="220"/>
      <c r="H32" s="224">
        <v>50</v>
      </c>
      <c r="I32" s="82">
        <v>0</v>
      </c>
      <c r="J32" s="125">
        <f t="shared" si="16"/>
        <v>-50</v>
      </c>
      <c r="K32" s="126">
        <f t="shared" si="40"/>
        <v>-100</v>
      </c>
      <c r="L32" s="211">
        <v>50</v>
      </c>
      <c r="M32" s="125">
        <v>0</v>
      </c>
      <c r="N32" s="121">
        <f t="shared" si="35"/>
        <v>-50</v>
      </c>
      <c r="O32" s="126">
        <v>0</v>
      </c>
      <c r="P32" s="211">
        <v>50</v>
      </c>
      <c r="Q32" s="125">
        <v>1005.01</v>
      </c>
      <c r="R32" s="125">
        <f t="shared" si="33"/>
        <v>955.01</v>
      </c>
      <c r="S32" s="126">
        <f t="shared" si="41"/>
        <v>1910.02</v>
      </c>
      <c r="T32" s="211">
        <v>50</v>
      </c>
      <c r="U32" s="125">
        <v>631.42999999999995</v>
      </c>
      <c r="V32" s="125">
        <f t="shared" si="36"/>
        <v>581.42999999999995</v>
      </c>
      <c r="W32" s="138"/>
      <c r="X32" s="211">
        <v>50</v>
      </c>
      <c r="Y32" s="125">
        <v>920</v>
      </c>
      <c r="Z32" s="137"/>
      <c r="AA32" s="138"/>
      <c r="AB32" s="211">
        <v>50</v>
      </c>
      <c r="AC32" s="125">
        <v>305.37</v>
      </c>
      <c r="AD32" s="125">
        <f t="shared" si="37"/>
        <v>255.37</v>
      </c>
      <c r="AE32" s="138"/>
      <c r="AF32" s="211">
        <v>50</v>
      </c>
      <c r="AG32" s="125">
        <v>0.01</v>
      </c>
      <c r="AH32" s="125">
        <f t="shared" si="38"/>
        <v>-49.99</v>
      </c>
      <c r="AI32" s="126">
        <f t="shared" si="27"/>
        <v>-99.98</v>
      </c>
      <c r="AJ32" s="211">
        <v>50</v>
      </c>
      <c r="AK32" s="211">
        <v>2305.5500000000002</v>
      </c>
      <c r="AL32" s="125">
        <f t="shared" si="42"/>
        <v>2255.5500000000002</v>
      </c>
      <c r="AM32" s="216">
        <f t="shared" si="51"/>
        <v>4511.1000000000004</v>
      </c>
      <c r="AN32" s="211">
        <v>50</v>
      </c>
      <c r="AO32" s="125">
        <v>0.23</v>
      </c>
      <c r="AP32" s="125">
        <f t="shared" si="43"/>
        <v>-49.77</v>
      </c>
      <c r="AQ32" s="126">
        <f t="shared" si="44"/>
        <v>-99.539999999999992</v>
      </c>
      <c r="AR32" s="211">
        <v>50</v>
      </c>
      <c r="AS32" s="125">
        <v>91467.24</v>
      </c>
      <c r="AT32" s="125">
        <f t="shared" si="45"/>
        <v>91417.24</v>
      </c>
      <c r="AU32" s="126">
        <f t="shared" si="46"/>
        <v>182834.48</v>
      </c>
      <c r="AV32" s="121">
        <v>50.05</v>
      </c>
      <c r="AW32" s="224">
        <v>51338.26</v>
      </c>
      <c r="AX32" s="125">
        <f t="shared" si="47"/>
        <v>51288.21</v>
      </c>
      <c r="AY32" s="126">
        <f t="shared" si="48"/>
        <v>102473.94605394607</v>
      </c>
      <c r="AZ32" s="211">
        <v>50</v>
      </c>
      <c r="BA32" s="211">
        <v>40160.69</v>
      </c>
      <c r="BB32" s="125">
        <f t="shared" si="49"/>
        <v>40110.69</v>
      </c>
      <c r="BC32" s="126">
        <f t="shared" si="50"/>
        <v>80221.38</v>
      </c>
      <c r="BD32" s="126">
        <f t="shared" si="39"/>
        <v>2036.49</v>
      </c>
      <c r="BE32" s="126">
        <f t="shared" si="52"/>
        <v>188133.79</v>
      </c>
      <c r="BF32" s="118"/>
    </row>
    <row r="33" spans="2:63" s="119" customFormat="1" x14ac:dyDescent="0.25">
      <c r="B33" s="127">
        <v>51260</v>
      </c>
      <c r="C33" s="123"/>
      <c r="D33" s="124" t="s">
        <v>22</v>
      </c>
      <c r="E33" s="338"/>
      <c r="F33" s="148"/>
      <c r="G33" s="220"/>
      <c r="H33" s="224">
        <v>40095.385000000002</v>
      </c>
      <c r="I33" s="82">
        <v>40348.870000000003</v>
      </c>
      <c r="J33" s="125">
        <f t="shared" si="16"/>
        <v>253.48500000000058</v>
      </c>
      <c r="K33" s="126">
        <f t="shared" si="40"/>
        <v>0.63220492832281039</v>
      </c>
      <c r="L33" s="224">
        <v>40095.385000000002</v>
      </c>
      <c r="M33" s="125">
        <v>40348.870000000003</v>
      </c>
      <c r="N33" s="121">
        <f t="shared" si="35"/>
        <v>253.48500000000058</v>
      </c>
      <c r="O33" s="126">
        <v>0</v>
      </c>
      <c r="P33" s="224">
        <v>40095.385000000002</v>
      </c>
      <c r="Q33" s="125">
        <v>40092.21</v>
      </c>
      <c r="R33" s="125">
        <f t="shared" si="33"/>
        <v>-3.1750000000029104</v>
      </c>
      <c r="S33" s="126">
        <f t="shared" si="41"/>
        <v>-7.9186170677814083E-3</v>
      </c>
      <c r="T33" s="224">
        <v>40095.385000000002</v>
      </c>
      <c r="U33" s="125">
        <v>40092.21</v>
      </c>
      <c r="V33" s="125">
        <f t="shared" si="36"/>
        <v>-3.1750000000029104</v>
      </c>
      <c r="W33" s="126"/>
      <c r="X33" s="224">
        <v>40095.385000000002</v>
      </c>
      <c r="Y33" s="125">
        <v>40092.21</v>
      </c>
      <c r="Z33" s="125"/>
      <c r="AA33" s="126"/>
      <c r="AB33" s="224">
        <v>40095.385000000002</v>
      </c>
      <c r="AC33" s="125">
        <v>40092.21</v>
      </c>
      <c r="AD33" s="125">
        <f t="shared" si="37"/>
        <v>-3.1750000000029104</v>
      </c>
      <c r="AE33" s="126"/>
      <c r="AF33" s="224">
        <v>40095.385000000002</v>
      </c>
      <c r="AG33" s="125">
        <v>40754.839999999997</v>
      </c>
      <c r="AH33" s="125">
        <f t="shared" si="38"/>
        <v>659.45499999999447</v>
      </c>
      <c r="AI33" s="126">
        <f t="shared" si="27"/>
        <v>1.6447154703714606</v>
      </c>
      <c r="AJ33" s="224">
        <v>40095.385000000002</v>
      </c>
      <c r="AK33" s="224">
        <v>40255.370000000003</v>
      </c>
      <c r="AL33" s="125">
        <f t="shared" si="42"/>
        <v>159.98500000000058</v>
      </c>
      <c r="AM33" s="216">
        <f t="shared" si="51"/>
        <v>0.39901100837416159</v>
      </c>
      <c r="AN33" s="224">
        <v>40095.385000000002</v>
      </c>
      <c r="AO33" s="125">
        <v>41809.29</v>
      </c>
      <c r="AP33" s="125">
        <f t="shared" si="43"/>
        <v>1713.9049999999988</v>
      </c>
      <c r="AQ33" s="126">
        <f t="shared" si="44"/>
        <v>4.2745692552895953</v>
      </c>
      <c r="AR33" s="224">
        <v>40095.385000000002</v>
      </c>
      <c r="AS33" s="125">
        <v>41809.29</v>
      </c>
      <c r="AT33" s="125">
        <f t="shared" si="45"/>
        <v>1713.9049999999988</v>
      </c>
      <c r="AU33" s="126">
        <f t="shared" si="46"/>
        <v>4.2745692552895953</v>
      </c>
      <c r="AV33" s="224">
        <v>40095.385000000002</v>
      </c>
      <c r="AW33" s="224">
        <v>41809.29</v>
      </c>
      <c r="AX33" s="125">
        <f t="shared" si="47"/>
        <v>1713.9049999999988</v>
      </c>
      <c r="AY33" s="126">
        <f t="shared" si="48"/>
        <v>4.2745692552895953</v>
      </c>
      <c r="AZ33" s="224">
        <v>40095.385000000002</v>
      </c>
      <c r="BA33" s="211">
        <v>41809.29</v>
      </c>
      <c r="BB33" s="125">
        <f t="shared" si="49"/>
        <v>1713.9049999999988</v>
      </c>
      <c r="BC33" s="126">
        <f t="shared" si="50"/>
        <v>4.2745692552895953</v>
      </c>
      <c r="BD33" s="126">
        <f t="shared" si="39"/>
        <v>481645.24000000005</v>
      </c>
      <c r="BE33" s="126">
        <f t="shared" si="52"/>
        <v>489313.9499999999</v>
      </c>
      <c r="BF33" s="118"/>
    </row>
    <row r="34" spans="2:63" s="119" customFormat="1" x14ac:dyDescent="0.25">
      <c r="B34" s="127">
        <v>32733</v>
      </c>
      <c r="C34" s="123"/>
      <c r="D34" s="124" t="s">
        <v>144</v>
      </c>
      <c r="E34" s="338"/>
      <c r="F34" s="148"/>
      <c r="G34" s="220"/>
      <c r="H34" s="841">
        <v>1000</v>
      </c>
      <c r="I34" s="82">
        <v>141.4</v>
      </c>
      <c r="J34" s="125">
        <f t="shared" si="16"/>
        <v>-858.6</v>
      </c>
      <c r="K34" s="126">
        <f t="shared" si="40"/>
        <v>-85.86</v>
      </c>
      <c r="L34" s="841">
        <v>1000</v>
      </c>
      <c r="M34" s="125">
        <v>100</v>
      </c>
      <c r="N34" s="121">
        <f t="shared" si="35"/>
        <v>-900</v>
      </c>
      <c r="O34" s="126">
        <v>0</v>
      </c>
      <c r="P34" s="841">
        <v>1000</v>
      </c>
      <c r="Q34" s="125">
        <v>11.4</v>
      </c>
      <c r="R34" s="125">
        <f t="shared" si="33"/>
        <v>-988.6</v>
      </c>
      <c r="S34" s="126">
        <f t="shared" si="41"/>
        <v>-98.86</v>
      </c>
      <c r="T34" s="841">
        <v>1000</v>
      </c>
      <c r="U34" s="811">
        <v>-39.53</v>
      </c>
      <c r="V34" s="125">
        <f t="shared" si="36"/>
        <v>-1039.53</v>
      </c>
      <c r="W34" s="126"/>
      <c r="X34" s="841">
        <v>1000</v>
      </c>
      <c r="Y34" s="125">
        <v>10.5</v>
      </c>
      <c r="Z34" s="125"/>
      <c r="AA34" s="126"/>
      <c r="AB34" s="841">
        <v>1000</v>
      </c>
      <c r="AC34" s="125">
        <v>0.6</v>
      </c>
      <c r="AD34" s="125">
        <f t="shared" si="37"/>
        <v>-999.4</v>
      </c>
      <c r="AE34" s="126"/>
      <c r="AF34" s="841">
        <v>1000</v>
      </c>
      <c r="AG34" s="125">
        <v>0</v>
      </c>
      <c r="AH34" s="125">
        <f t="shared" si="38"/>
        <v>-1000</v>
      </c>
      <c r="AI34" s="126">
        <f t="shared" si="27"/>
        <v>-100</v>
      </c>
      <c r="AJ34" s="841">
        <v>1000</v>
      </c>
      <c r="AK34" s="841">
        <v>0</v>
      </c>
      <c r="AL34" s="125">
        <f t="shared" si="42"/>
        <v>-1000</v>
      </c>
      <c r="AM34" s="216">
        <f t="shared" si="51"/>
        <v>-100</v>
      </c>
      <c r="AN34" s="841">
        <v>1000</v>
      </c>
      <c r="AO34" s="125">
        <v>0</v>
      </c>
      <c r="AP34" s="125">
        <f t="shared" si="43"/>
        <v>-1000</v>
      </c>
      <c r="AQ34" s="126">
        <f t="shared" si="44"/>
        <v>-100</v>
      </c>
      <c r="AR34" s="841">
        <v>1000</v>
      </c>
      <c r="AS34" s="125">
        <v>98.1</v>
      </c>
      <c r="AT34" s="125">
        <f t="shared" si="45"/>
        <v>-901.9</v>
      </c>
      <c r="AU34" s="126">
        <f t="shared" si="46"/>
        <v>-90.19</v>
      </c>
      <c r="AV34" s="841">
        <v>1000</v>
      </c>
      <c r="AW34" s="224">
        <v>10.5</v>
      </c>
      <c r="AX34" s="125">
        <f t="shared" si="47"/>
        <v>-989.5</v>
      </c>
      <c r="AY34" s="126">
        <f t="shared" si="48"/>
        <v>-98.95</v>
      </c>
      <c r="AZ34" s="841">
        <v>1000</v>
      </c>
      <c r="BA34" s="211">
        <v>31.94</v>
      </c>
      <c r="BB34" s="125">
        <f t="shared" si="49"/>
        <v>-968.06</v>
      </c>
      <c r="BC34" s="126">
        <f t="shared" si="50"/>
        <v>-96.805999999999997</v>
      </c>
      <c r="BD34" s="126">
        <f t="shared" si="39"/>
        <v>8213.27</v>
      </c>
      <c r="BE34" s="126">
        <f t="shared" si="52"/>
        <v>364.91</v>
      </c>
      <c r="BF34" s="118"/>
    </row>
    <row r="35" spans="2:63" s="119" customFormat="1" x14ac:dyDescent="0.25">
      <c r="B35" s="127">
        <v>53260</v>
      </c>
      <c r="C35" s="123"/>
      <c r="D35" s="124" t="s">
        <v>133</v>
      </c>
      <c r="E35" s="338"/>
      <c r="F35" s="148"/>
      <c r="G35" s="220"/>
      <c r="H35" s="224"/>
      <c r="I35" s="82">
        <v>550000</v>
      </c>
      <c r="J35" s="125">
        <f t="shared" si="16"/>
        <v>550000</v>
      </c>
      <c r="K35" s="126"/>
      <c r="L35" s="211"/>
      <c r="M35" s="125">
        <v>0</v>
      </c>
      <c r="N35" s="121">
        <f t="shared" si="35"/>
        <v>0</v>
      </c>
      <c r="O35" s="126">
        <v>0</v>
      </c>
      <c r="P35" s="211"/>
      <c r="Q35" s="125">
        <v>0</v>
      </c>
      <c r="R35" s="125">
        <f t="shared" si="33"/>
        <v>0</v>
      </c>
      <c r="S35" s="126"/>
      <c r="T35" s="211"/>
      <c r="U35" s="125">
        <v>0</v>
      </c>
      <c r="V35" s="125">
        <f t="shared" si="36"/>
        <v>0</v>
      </c>
      <c r="W35" s="126"/>
      <c r="X35" s="211"/>
      <c r="Y35" s="125">
        <v>1900429</v>
      </c>
      <c r="Z35" s="125"/>
      <c r="AA35" s="126"/>
      <c r="AB35" s="211"/>
      <c r="AC35" s="125">
        <v>2431093.7999999998</v>
      </c>
      <c r="AD35" s="125">
        <f t="shared" si="37"/>
        <v>2431093.7999999998</v>
      </c>
      <c r="AE35" s="126"/>
      <c r="AF35" s="211">
        <v>0</v>
      </c>
      <c r="AG35" s="125">
        <v>750000</v>
      </c>
      <c r="AH35" s="125">
        <f t="shared" si="38"/>
        <v>750000</v>
      </c>
      <c r="AI35" s="126"/>
      <c r="AJ35" s="211">
        <v>0</v>
      </c>
      <c r="AK35" s="211">
        <v>0</v>
      </c>
      <c r="AL35" s="125">
        <f t="shared" si="42"/>
        <v>0</v>
      </c>
      <c r="AM35" s="216">
        <v>0</v>
      </c>
      <c r="AN35" s="211">
        <v>0</v>
      </c>
      <c r="AO35" s="125">
        <v>649089.46</v>
      </c>
      <c r="AP35" s="125">
        <f t="shared" si="43"/>
        <v>649089.46</v>
      </c>
      <c r="AQ35" s="126"/>
      <c r="AR35" s="211">
        <v>0</v>
      </c>
      <c r="AS35" s="125">
        <v>667736.04</v>
      </c>
      <c r="AT35" s="125">
        <f t="shared" si="45"/>
        <v>667736.04</v>
      </c>
      <c r="AU35" s="126">
        <v>0</v>
      </c>
      <c r="AV35" s="121">
        <v>0</v>
      </c>
      <c r="AW35" s="224">
        <v>0</v>
      </c>
      <c r="AX35" s="125">
        <f t="shared" si="47"/>
        <v>0</v>
      </c>
      <c r="AY35" s="126"/>
      <c r="AZ35" s="211">
        <v>0</v>
      </c>
      <c r="BA35" s="211">
        <v>335913.65</v>
      </c>
      <c r="BB35" s="125">
        <f t="shared" si="49"/>
        <v>335913.65</v>
      </c>
      <c r="BC35" s="126"/>
      <c r="BD35" s="126">
        <f t="shared" si="39"/>
        <v>550000</v>
      </c>
      <c r="BE35" s="126">
        <f t="shared" si="52"/>
        <v>7284261.9500000002</v>
      </c>
      <c r="BF35" s="118"/>
    </row>
    <row r="36" spans="2:63" s="119" customFormat="1" x14ac:dyDescent="0.25">
      <c r="B36" s="127">
        <v>53722</v>
      </c>
      <c r="C36" s="123"/>
      <c r="D36" s="124" t="s">
        <v>3684</v>
      </c>
      <c r="E36" s="338"/>
      <c r="F36" s="148"/>
      <c r="G36" s="873"/>
      <c r="H36" s="224"/>
      <c r="I36" s="82"/>
      <c r="J36" s="125"/>
      <c r="K36" s="126"/>
      <c r="L36" s="211"/>
      <c r="M36" s="125"/>
      <c r="N36" s="121"/>
      <c r="O36" s="126"/>
      <c r="P36" s="211"/>
      <c r="Q36" s="125"/>
      <c r="R36" s="125"/>
      <c r="S36" s="126"/>
      <c r="T36" s="211"/>
      <c r="U36" s="125"/>
      <c r="V36" s="125"/>
      <c r="W36" s="126"/>
      <c r="X36" s="211"/>
      <c r="Y36" s="125"/>
      <c r="Z36" s="125"/>
      <c r="AA36" s="126"/>
      <c r="AB36" s="211"/>
      <c r="AC36" s="125"/>
      <c r="AD36" s="125"/>
      <c r="AE36" s="126"/>
      <c r="AF36" s="211"/>
      <c r="AG36" s="125"/>
      <c r="AH36" s="125"/>
      <c r="AI36" s="126"/>
      <c r="AJ36" s="211"/>
      <c r="AK36" s="211"/>
      <c r="AL36" s="125"/>
      <c r="AM36" s="216"/>
      <c r="AN36" s="211"/>
      <c r="AO36" s="125"/>
      <c r="AP36" s="125"/>
      <c r="AQ36" s="126"/>
      <c r="AR36" s="211"/>
      <c r="AS36" s="125"/>
      <c r="AT36" s="125"/>
      <c r="AU36" s="126"/>
      <c r="AV36" s="121"/>
      <c r="AW36" s="224"/>
      <c r="AX36" s="125"/>
      <c r="AY36" s="126"/>
      <c r="AZ36" s="211">
        <v>0</v>
      </c>
      <c r="BA36" s="211">
        <v>3975.74</v>
      </c>
      <c r="BB36" s="125">
        <f t="shared" si="49"/>
        <v>3975.74</v>
      </c>
      <c r="BC36" s="126"/>
      <c r="BD36" s="126"/>
      <c r="BE36" s="126"/>
      <c r="BF36" s="118"/>
    </row>
    <row r="37" spans="2:63" s="119" customFormat="1" x14ac:dyDescent="0.25">
      <c r="B37" s="127">
        <v>53475</v>
      </c>
      <c r="C37" s="123"/>
      <c r="D37" s="124" t="s">
        <v>140</v>
      </c>
      <c r="E37" s="338"/>
      <c r="F37" s="148"/>
      <c r="G37" s="328"/>
      <c r="H37" s="224">
        <v>50000</v>
      </c>
      <c r="I37" s="82">
        <v>50000</v>
      </c>
      <c r="J37" s="125">
        <f t="shared" si="16"/>
        <v>0</v>
      </c>
      <c r="K37" s="126">
        <f t="shared" si="40"/>
        <v>0</v>
      </c>
      <c r="L37" s="224">
        <v>50000</v>
      </c>
      <c r="M37" s="125">
        <v>50000</v>
      </c>
      <c r="N37" s="121">
        <f t="shared" si="35"/>
        <v>0</v>
      </c>
      <c r="O37" s="126">
        <f>((M37/L37)-1)*100</f>
        <v>0</v>
      </c>
      <c r="P37" s="224">
        <v>50000</v>
      </c>
      <c r="Q37" s="125">
        <v>50000</v>
      </c>
      <c r="R37" s="125">
        <f t="shared" si="33"/>
        <v>0</v>
      </c>
      <c r="S37" s="126">
        <f t="shared" si="41"/>
        <v>0</v>
      </c>
      <c r="T37" s="224">
        <v>50000</v>
      </c>
      <c r="U37" s="125">
        <v>30000</v>
      </c>
      <c r="V37" s="125">
        <f t="shared" si="36"/>
        <v>-20000</v>
      </c>
      <c r="W37" s="216">
        <f>((U37/T37)-1)*100</f>
        <v>-40</v>
      </c>
      <c r="X37" s="224">
        <v>30000</v>
      </c>
      <c r="Y37" s="125">
        <v>30000</v>
      </c>
      <c r="Z37" s="125">
        <f>Y37-X37</f>
        <v>0</v>
      </c>
      <c r="AA37" s="216">
        <f>((Y37/X37)-1)*100</f>
        <v>0</v>
      </c>
      <c r="AB37" s="224">
        <v>30000</v>
      </c>
      <c r="AC37" s="125">
        <v>61750</v>
      </c>
      <c r="AD37" s="125">
        <f t="shared" ref="AD37:AD43" si="53">AC37-AB37</f>
        <v>31750</v>
      </c>
      <c r="AE37" s="216">
        <f>((AC37/AB37)-1)*100</f>
        <v>105.83333333333331</v>
      </c>
      <c r="AF37" s="224">
        <v>30000</v>
      </c>
      <c r="AG37" s="125">
        <v>30000</v>
      </c>
      <c r="AH37" s="125">
        <f t="shared" ref="AH37:AH43" si="54">AG37-AF37</f>
        <v>0</v>
      </c>
      <c r="AI37" s="216">
        <f>((AG37/AF37)-1)*100</f>
        <v>0</v>
      </c>
      <c r="AJ37" s="224">
        <v>30000</v>
      </c>
      <c r="AK37" s="224">
        <v>-1750</v>
      </c>
      <c r="AL37" s="125">
        <f t="shared" si="42"/>
        <v>-31750</v>
      </c>
      <c r="AM37" s="216">
        <f>((AK37/AJ37)-1)*100</f>
        <v>-105.83333333333333</v>
      </c>
      <c r="AN37" s="224">
        <v>0</v>
      </c>
      <c r="AO37" s="125">
        <v>30000</v>
      </c>
      <c r="AP37" s="125">
        <f>AO37-AN37</f>
        <v>30000</v>
      </c>
      <c r="AQ37" s="216"/>
      <c r="AR37" s="224">
        <v>0</v>
      </c>
      <c r="AS37" s="125">
        <v>30000</v>
      </c>
      <c r="AT37" s="125">
        <f>AS37-AR37</f>
        <v>30000</v>
      </c>
      <c r="AU37" s="126">
        <v>0</v>
      </c>
      <c r="AV37" s="224">
        <v>0</v>
      </c>
      <c r="AW37" s="224">
        <v>30000</v>
      </c>
      <c r="AX37" s="125">
        <f t="shared" si="47"/>
        <v>30000</v>
      </c>
      <c r="AY37" s="126"/>
      <c r="AZ37" s="224">
        <v>0</v>
      </c>
      <c r="BA37" s="211">
        <v>30000</v>
      </c>
      <c r="BB37" s="125">
        <f t="shared" si="49"/>
        <v>30000</v>
      </c>
      <c r="BC37" s="126"/>
      <c r="BD37" s="126">
        <f t="shared" si="39"/>
        <v>300000</v>
      </c>
      <c r="BE37" s="126">
        <f t="shared" si="52"/>
        <v>420000</v>
      </c>
      <c r="BF37" s="118"/>
    </row>
    <row r="38" spans="2:63" s="119" customFormat="1" x14ac:dyDescent="0.25">
      <c r="B38" s="127">
        <v>5177</v>
      </c>
      <c r="C38" s="123"/>
      <c r="D38" s="124" t="s">
        <v>23</v>
      </c>
      <c r="E38" s="338"/>
      <c r="F38" s="148"/>
      <c r="G38" s="220"/>
      <c r="H38" s="224"/>
      <c r="I38" s="82">
        <v>220</v>
      </c>
      <c r="J38" s="125">
        <f t="shared" si="16"/>
        <v>220</v>
      </c>
      <c r="K38" s="126"/>
      <c r="L38" s="211"/>
      <c r="M38" s="125">
        <v>0</v>
      </c>
      <c r="N38" s="121">
        <f t="shared" si="35"/>
        <v>0</v>
      </c>
      <c r="O38" s="126">
        <v>0</v>
      </c>
      <c r="P38" s="211">
        <v>0</v>
      </c>
      <c r="Q38" s="125">
        <v>0</v>
      </c>
      <c r="R38" s="125">
        <f t="shared" si="33"/>
        <v>0</v>
      </c>
      <c r="S38" s="126"/>
      <c r="T38" s="211"/>
      <c r="U38" s="125">
        <v>0</v>
      </c>
      <c r="V38" s="125">
        <f t="shared" si="36"/>
        <v>0</v>
      </c>
      <c r="W38" s="126"/>
      <c r="X38" s="211"/>
      <c r="Y38" s="125">
        <v>0</v>
      </c>
      <c r="Z38" s="125"/>
      <c r="AA38" s="126"/>
      <c r="AB38" s="211"/>
      <c r="AC38" s="125">
        <v>947.5</v>
      </c>
      <c r="AD38" s="125">
        <f t="shared" si="53"/>
        <v>947.5</v>
      </c>
      <c r="AE38" s="126"/>
      <c r="AF38" s="211">
        <v>0</v>
      </c>
      <c r="AG38" s="125">
        <v>0</v>
      </c>
      <c r="AH38" s="125">
        <f t="shared" si="54"/>
        <v>0</v>
      </c>
      <c r="AI38" s="216"/>
      <c r="AJ38" s="211">
        <v>0</v>
      </c>
      <c r="AK38" s="211">
        <v>2650</v>
      </c>
      <c r="AL38" s="125">
        <f t="shared" si="42"/>
        <v>2650</v>
      </c>
      <c r="AM38" s="216">
        <v>0</v>
      </c>
      <c r="AN38" s="211">
        <v>0</v>
      </c>
      <c r="AO38" s="125">
        <v>0</v>
      </c>
      <c r="AP38" s="125">
        <f t="shared" ref="AP38:AP43" si="55">AO38-AN38</f>
        <v>0</v>
      </c>
      <c r="AQ38" s="216"/>
      <c r="AR38" s="224">
        <v>0</v>
      </c>
      <c r="AS38" s="125">
        <v>0</v>
      </c>
      <c r="AT38" s="125">
        <f t="shared" ref="AT38:AT43" si="56">AS38-AR38</f>
        <v>0</v>
      </c>
      <c r="AU38" s="126">
        <v>0</v>
      </c>
      <c r="AV38" s="121">
        <v>0</v>
      </c>
      <c r="AW38" s="224">
        <v>0</v>
      </c>
      <c r="AX38" s="125">
        <f t="shared" si="47"/>
        <v>0</v>
      </c>
      <c r="AY38" s="126"/>
      <c r="AZ38" s="211">
        <v>0</v>
      </c>
      <c r="BA38" s="211">
        <v>0</v>
      </c>
      <c r="BB38" s="125">
        <f t="shared" si="49"/>
        <v>0</v>
      </c>
      <c r="BC38" s="126"/>
      <c r="BD38" s="126">
        <f t="shared" si="39"/>
        <v>220</v>
      </c>
      <c r="BE38" s="126">
        <f t="shared" si="52"/>
        <v>3817.5</v>
      </c>
      <c r="BF38" s="118"/>
      <c r="BJ38" s="401"/>
    </row>
    <row r="39" spans="2:63" s="119" customFormat="1" x14ac:dyDescent="0.25">
      <c r="B39" s="127">
        <v>5199</v>
      </c>
      <c r="C39" s="123"/>
      <c r="D39" s="152" t="s">
        <v>129</v>
      </c>
      <c r="E39" s="341"/>
      <c r="F39" s="148"/>
      <c r="G39" s="220"/>
      <c r="H39" s="224"/>
      <c r="I39" s="82">
        <v>0</v>
      </c>
      <c r="J39" s="125">
        <f t="shared" si="16"/>
        <v>0</v>
      </c>
      <c r="K39" s="126"/>
      <c r="L39" s="211"/>
      <c r="M39" s="125">
        <v>0</v>
      </c>
      <c r="N39" s="121">
        <f t="shared" si="35"/>
        <v>0</v>
      </c>
      <c r="O39" s="126">
        <v>0</v>
      </c>
      <c r="P39" s="211">
        <v>0</v>
      </c>
      <c r="Q39" s="125">
        <v>0</v>
      </c>
      <c r="R39" s="125">
        <f t="shared" si="33"/>
        <v>0</v>
      </c>
      <c r="S39" s="126"/>
      <c r="T39" s="211"/>
      <c r="U39" s="125">
        <v>0</v>
      </c>
      <c r="V39" s="125">
        <f t="shared" si="36"/>
        <v>0</v>
      </c>
      <c r="W39" s="126"/>
      <c r="X39" s="211"/>
      <c r="Y39" s="125">
        <v>0</v>
      </c>
      <c r="Z39" s="125"/>
      <c r="AA39" s="126"/>
      <c r="AB39" s="211"/>
      <c r="AC39" s="125">
        <v>0</v>
      </c>
      <c r="AD39" s="125">
        <f t="shared" si="53"/>
        <v>0</v>
      </c>
      <c r="AE39" s="126"/>
      <c r="AF39" s="211">
        <v>0</v>
      </c>
      <c r="AG39" s="125">
        <v>0</v>
      </c>
      <c r="AH39" s="125">
        <f t="shared" si="54"/>
        <v>0</v>
      </c>
      <c r="AI39" s="216"/>
      <c r="AJ39" s="211">
        <v>0</v>
      </c>
      <c r="AK39" s="125">
        <v>0</v>
      </c>
      <c r="AL39" s="125">
        <f t="shared" si="42"/>
        <v>0</v>
      </c>
      <c r="AM39" s="216">
        <v>0</v>
      </c>
      <c r="AN39" s="211">
        <v>0</v>
      </c>
      <c r="AO39" s="125">
        <v>500000</v>
      </c>
      <c r="AP39" s="125">
        <f t="shared" si="55"/>
        <v>500000</v>
      </c>
      <c r="AQ39" s="216"/>
      <c r="AR39" s="224">
        <v>0</v>
      </c>
      <c r="AS39" s="125">
        <v>0</v>
      </c>
      <c r="AT39" s="125">
        <f t="shared" si="56"/>
        <v>0</v>
      </c>
      <c r="AU39" s="126">
        <v>0</v>
      </c>
      <c r="AV39" s="121">
        <v>0</v>
      </c>
      <c r="AW39" s="224">
        <v>250000</v>
      </c>
      <c r="AX39" s="125">
        <f t="shared" si="47"/>
        <v>250000</v>
      </c>
      <c r="AY39" s="126"/>
      <c r="AZ39" s="211">
        <v>0</v>
      </c>
      <c r="BA39" s="211">
        <v>0</v>
      </c>
      <c r="BB39" s="125">
        <f t="shared" si="49"/>
        <v>0</v>
      </c>
      <c r="BC39" s="126"/>
      <c r="BD39" s="126">
        <f t="shared" si="39"/>
        <v>0</v>
      </c>
      <c r="BE39" s="126">
        <f t="shared" si="52"/>
        <v>750000</v>
      </c>
      <c r="BF39" s="118"/>
      <c r="BJ39" s="401"/>
    </row>
    <row r="40" spans="2:63" s="119" customFormat="1" x14ac:dyDescent="0.25">
      <c r="B40" s="127" t="s">
        <v>3677</v>
      </c>
      <c r="C40" s="128"/>
      <c r="D40" s="329" t="s">
        <v>3678</v>
      </c>
      <c r="E40" s="154"/>
      <c r="F40" s="148"/>
      <c r="G40" s="220"/>
      <c r="H40" s="224"/>
      <c r="I40" s="82"/>
      <c r="J40" s="125"/>
      <c r="K40" s="126"/>
      <c r="L40" s="211"/>
      <c r="M40" s="125"/>
      <c r="N40" s="121"/>
      <c r="O40" s="126"/>
      <c r="P40" s="211"/>
      <c r="Q40" s="125"/>
      <c r="R40" s="125">
        <f t="shared" si="33"/>
        <v>0</v>
      </c>
      <c r="S40" s="126"/>
      <c r="T40" s="211"/>
      <c r="U40" s="125"/>
      <c r="V40" s="125"/>
      <c r="W40" s="138"/>
      <c r="X40" s="211"/>
      <c r="Y40" s="125"/>
      <c r="Z40" s="137"/>
      <c r="AA40" s="138"/>
      <c r="AB40" s="211">
        <v>0</v>
      </c>
      <c r="AC40" s="125">
        <v>93.01</v>
      </c>
      <c r="AD40" s="125">
        <f t="shared" si="53"/>
        <v>93.01</v>
      </c>
      <c r="AE40" s="138"/>
      <c r="AF40" s="211">
        <v>0</v>
      </c>
      <c r="AG40" s="125">
        <v>0</v>
      </c>
      <c r="AH40" s="125">
        <f t="shared" si="54"/>
        <v>0</v>
      </c>
      <c r="AI40" s="216"/>
      <c r="AJ40" s="211">
        <v>0</v>
      </c>
      <c r="AK40" s="125">
        <v>0</v>
      </c>
      <c r="AL40" s="125">
        <f t="shared" si="42"/>
        <v>0</v>
      </c>
      <c r="AM40" s="216">
        <v>0</v>
      </c>
      <c r="AN40" s="211">
        <v>0</v>
      </c>
      <c r="AO40" s="125">
        <v>0</v>
      </c>
      <c r="AP40" s="125">
        <f t="shared" si="55"/>
        <v>0</v>
      </c>
      <c r="AQ40" s="216"/>
      <c r="AR40" s="224">
        <v>0</v>
      </c>
      <c r="AS40" s="125">
        <v>0</v>
      </c>
      <c r="AT40" s="125">
        <f t="shared" si="56"/>
        <v>0</v>
      </c>
      <c r="AU40" s="126">
        <v>0</v>
      </c>
      <c r="AV40" s="121">
        <v>0</v>
      </c>
      <c r="AW40" s="224">
        <v>0</v>
      </c>
      <c r="AX40" s="125">
        <f t="shared" si="47"/>
        <v>0</v>
      </c>
      <c r="AY40" s="126"/>
      <c r="AZ40" s="211">
        <v>0</v>
      </c>
      <c r="BA40" s="211">
        <v>0</v>
      </c>
      <c r="BB40" s="125">
        <f t="shared" si="49"/>
        <v>0</v>
      </c>
      <c r="BC40" s="126"/>
      <c r="BD40" s="126">
        <f t="shared" si="39"/>
        <v>0</v>
      </c>
      <c r="BE40" s="126"/>
      <c r="BF40" s="118"/>
      <c r="BJ40" s="401"/>
    </row>
    <row r="41" spans="2:63" s="119" customFormat="1" x14ac:dyDescent="0.25">
      <c r="B41" s="127">
        <v>53327</v>
      </c>
      <c r="C41" s="128"/>
      <c r="D41" s="147" t="s">
        <v>131</v>
      </c>
      <c r="E41" s="340"/>
      <c r="F41" s="148"/>
      <c r="G41" s="220"/>
      <c r="H41" s="224"/>
      <c r="I41" s="90">
        <v>0</v>
      </c>
      <c r="J41" s="125">
        <f t="shared" si="16"/>
        <v>0</v>
      </c>
      <c r="K41" s="126"/>
      <c r="L41" s="211"/>
      <c r="M41" s="149">
        <v>0</v>
      </c>
      <c r="N41" s="121">
        <f t="shared" si="35"/>
        <v>0</v>
      </c>
      <c r="O41" s="126">
        <v>0</v>
      </c>
      <c r="P41" s="211">
        <v>0</v>
      </c>
      <c r="Q41" s="149">
        <v>0</v>
      </c>
      <c r="R41" s="125">
        <f t="shared" si="33"/>
        <v>0</v>
      </c>
      <c r="S41" s="126"/>
      <c r="T41" s="211"/>
      <c r="U41" s="149">
        <v>0</v>
      </c>
      <c r="V41" s="125">
        <f t="shared" si="36"/>
        <v>0</v>
      </c>
      <c r="W41" s="138"/>
      <c r="X41" s="211"/>
      <c r="Y41" s="149">
        <v>0</v>
      </c>
      <c r="Z41" s="137"/>
      <c r="AA41" s="138"/>
      <c r="AB41" s="211"/>
      <c r="AC41" s="149">
        <v>175458.54</v>
      </c>
      <c r="AD41" s="125">
        <f t="shared" si="53"/>
        <v>175458.54</v>
      </c>
      <c r="AE41" s="138"/>
      <c r="AF41" s="211">
        <v>0</v>
      </c>
      <c r="AG41" s="125">
        <v>0</v>
      </c>
      <c r="AH41" s="125">
        <f t="shared" si="54"/>
        <v>0</v>
      </c>
      <c r="AI41" s="216"/>
      <c r="AJ41" s="211">
        <v>0</v>
      </c>
      <c r="AK41" s="149">
        <v>0</v>
      </c>
      <c r="AL41" s="125">
        <f t="shared" si="42"/>
        <v>0</v>
      </c>
      <c r="AM41" s="216">
        <v>0</v>
      </c>
      <c r="AN41" s="224">
        <v>0</v>
      </c>
      <c r="AO41" s="125">
        <v>0</v>
      </c>
      <c r="AP41" s="125">
        <f>AO41-AN41</f>
        <v>0</v>
      </c>
      <c r="AQ41" s="216"/>
      <c r="AR41" s="224">
        <v>0</v>
      </c>
      <c r="AS41" s="149">
        <v>0</v>
      </c>
      <c r="AT41" s="125">
        <f t="shared" si="56"/>
        <v>0</v>
      </c>
      <c r="AU41" s="126">
        <v>0</v>
      </c>
      <c r="AV41" s="121">
        <v>0</v>
      </c>
      <c r="AW41" s="224">
        <v>0</v>
      </c>
      <c r="AX41" s="125">
        <f t="shared" si="47"/>
        <v>0</v>
      </c>
      <c r="AY41" s="126"/>
      <c r="AZ41" s="211">
        <v>0</v>
      </c>
      <c r="BA41" s="211">
        <v>211019</v>
      </c>
      <c r="BB41" s="125">
        <f t="shared" si="49"/>
        <v>211019</v>
      </c>
      <c r="BC41" s="126"/>
      <c r="BD41" s="126">
        <f t="shared" si="39"/>
        <v>0</v>
      </c>
      <c r="BE41" s="126">
        <f t="shared" si="52"/>
        <v>386477.54000000004</v>
      </c>
      <c r="BF41" s="118"/>
    </row>
    <row r="42" spans="2:63" s="119" customFormat="1" x14ac:dyDescent="0.25">
      <c r="B42" s="127">
        <v>52104</v>
      </c>
      <c r="C42" s="128"/>
      <c r="D42" s="147" t="s">
        <v>3712</v>
      </c>
      <c r="E42" s="340"/>
      <c r="F42" s="1026"/>
      <c r="G42" s="1027"/>
      <c r="H42" s="1028"/>
      <c r="I42" s="1029"/>
      <c r="J42" s="201"/>
      <c r="K42" s="126"/>
      <c r="L42" s="388"/>
      <c r="M42" s="943"/>
      <c r="N42" s="130"/>
      <c r="O42" s="1030"/>
      <c r="P42" s="388"/>
      <c r="Q42" s="943"/>
      <c r="R42" s="125"/>
      <c r="S42" s="126"/>
      <c r="T42" s="388"/>
      <c r="U42" s="943"/>
      <c r="V42" s="201"/>
      <c r="W42" s="1031"/>
      <c r="X42" s="388"/>
      <c r="Y42" s="943"/>
      <c r="Z42" s="131"/>
      <c r="AA42" s="1031"/>
      <c r="AB42" s="388"/>
      <c r="AC42" s="943"/>
      <c r="AD42" s="125"/>
      <c r="AE42" s="1031"/>
      <c r="AF42" s="388"/>
      <c r="AG42" s="201"/>
      <c r="AH42" s="201"/>
      <c r="AI42" s="1032"/>
      <c r="AJ42" s="388"/>
      <c r="AK42" s="943"/>
      <c r="AL42" s="201"/>
      <c r="AM42" s="1032"/>
      <c r="AN42" s="1028"/>
      <c r="AO42" s="201"/>
      <c r="AP42" s="125"/>
      <c r="AQ42" s="216"/>
      <c r="AR42" s="224"/>
      <c r="AS42" s="943"/>
      <c r="AT42" s="125"/>
      <c r="AU42" s="126"/>
      <c r="AV42" s="130"/>
      <c r="AW42" s="224"/>
      <c r="AX42" s="125"/>
      <c r="AY42" s="126"/>
      <c r="AZ42" s="388"/>
      <c r="BA42" s="211">
        <v>888445</v>
      </c>
      <c r="BB42" s="125">
        <f t="shared" si="49"/>
        <v>888445</v>
      </c>
      <c r="BC42" s="126"/>
      <c r="BD42" s="389"/>
      <c r="BE42" s="389"/>
      <c r="BF42" s="118"/>
    </row>
    <row r="43" spans="2:63" s="119" customFormat="1" ht="16.5" thickBot="1" x14ac:dyDescent="0.3">
      <c r="B43" s="155">
        <v>27455</v>
      </c>
      <c r="C43" s="156"/>
      <c r="D43" s="157" t="s">
        <v>130</v>
      </c>
      <c r="E43" s="342"/>
      <c r="F43" s="158"/>
      <c r="G43" s="223"/>
      <c r="H43" s="229"/>
      <c r="I43" s="91">
        <v>0</v>
      </c>
      <c r="J43" s="159">
        <f t="shared" si="16"/>
        <v>0</v>
      </c>
      <c r="K43" s="126"/>
      <c r="L43" s="214"/>
      <c r="M43" s="159">
        <v>0</v>
      </c>
      <c r="N43" s="208">
        <f t="shared" si="35"/>
        <v>0</v>
      </c>
      <c r="O43" s="214">
        <v>0</v>
      </c>
      <c r="P43" s="214">
        <v>0</v>
      </c>
      <c r="Q43" s="159">
        <v>0</v>
      </c>
      <c r="R43" s="125">
        <f t="shared" si="33"/>
        <v>0</v>
      </c>
      <c r="S43" s="126"/>
      <c r="T43" s="214"/>
      <c r="U43" s="159">
        <v>0</v>
      </c>
      <c r="V43" s="201">
        <f t="shared" si="36"/>
        <v>0</v>
      </c>
      <c r="W43" s="160"/>
      <c r="X43" s="214"/>
      <c r="Y43" s="159">
        <v>0</v>
      </c>
      <c r="Z43" s="159"/>
      <c r="AA43" s="160"/>
      <c r="AB43" s="214"/>
      <c r="AC43" s="159">
        <v>0</v>
      </c>
      <c r="AD43" s="125">
        <f t="shared" si="53"/>
        <v>0</v>
      </c>
      <c r="AE43" s="160"/>
      <c r="AF43" s="214">
        <v>0</v>
      </c>
      <c r="AG43" s="159">
        <v>0</v>
      </c>
      <c r="AH43" s="159">
        <f t="shared" si="54"/>
        <v>0</v>
      </c>
      <c r="AI43" s="159"/>
      <c r="AJ43" s="214">
        <v>0</v>
      </c>
      <c r="AK43" s="159">
        <v>0</v>
      </c>
      <c r="AL43" s="159">
        <f t="shared" si="42"/>
        <v>0</v>
      </c>
      <c r="AM43" s="860">
        <v>0</v>
      </c>
      <c r="AN43" s="214">
        <v>0</v>
      </c>
      <c r="AO43" s="159">
        <v>0</v>
      </c>
      <c r="AP43" s="125">
        <f t="shared" si="55"/>
        <v>0</v>
      </c>
      <c r="AQ43" s="216"/>
      <c r="AR43" s="224">
        <v>0</v>
      </c>
      <c r="AS43" s="159">
        <v>0</v>
      </c>
      <c r="AT43" s="125">
        <f t="shared" si="56"/>
        <v>0</v>
      </c>
      <c r="AU43" s="126">
        <v>0</v>
      </c>
      <c r="AV43" s="208">
        <v>0</v>
      </c>
      <c r="AW43" s="224">
        <v>0</v>
      </c>
      <c r="AX43" s="125">
        <f>AW43-AV43</f>
        <v>0</v>
      </c>
      <c r="AY43" s="126"/>
      <c r="AZ43" s="214">
        <v>0</v>
      </c>
      <c r="BA43" s="211">
        <v>0</v>
      </c>
      <c r="BB43" s="125">
        <f t="shared" si="49"/>
        <v>0</v>
      </c>
      <c r="BC43" s="126"/>
      <c r="BD43" s="160">
        <f t="shared" si="39"/>
        <v>0</v>
      </c>
      <c r="BE43" s="160">
        <f t="shared" si="52"/>
        <v>0</v>
      </c>
      <c r="BF43" s="118"/>
    </row>
    <row r="44" spans="2:63" s="11" customFormat="1" ht="16.5" thickBot="1" x14ac:dyDescent="0.3">
      <c r="B44" s="161"/>
      <c r="F44" s="162"/>
      <c r="H44" s="163"/>
      <c r="I44" s="93"/>
      <c r="J44" s="163"/>
      <c r="K44" s="195"/>
      <c r="L44" s="163"/>
      <c r="M44" s="118"/>
      <c r="N44" s="163"/>
      <c r="O44" s="132"/>
      <c r="S44" s="132"/>
      <c r="U44" s="132"/>
      <c r="V44" s="823"/>
      <c r="W44" s="132"/>
      <c r="AA44" s="132"/>
      <c r="AE44" s="132"/>
      <c r="AI44" s="132"/>
      <c r="AK44" s="132"/>
      <c r="AM44" s="132"/>
      <c r="AO44" s="163"/>
      <c r="AQ44" s="132"/>
      <c r="AU44" s="132"/>
      <c r="AW44" s="164"/>
      <c r="AY44" s="132"/>
      <c r="BC44" s="132"/>
      <c r="BF44" s="63"/>
    </row>
    <row r="45" spans="2:63" s="8" customFormat="1" ht="16.5" thickBot="1" x14ac:dyDescent="0.3">
      <c r="B45" s="165"/>
      <c r="C45" s="41"/>
      <c r="D45" s="2687" t="s">
        <v>24</v>
      </c>
      <c r="E45" s="2688"/>
      <c r="F45" s="2688"/>
      <c r="G45" s="2688">
        <f>G47+G71+G111+G124+G148+G166</f>
        <v>0</v>
      </c>
      <c r="H45" s="601">
        <f>H47+H71+H111+H124+H148+H166</f>
        <v>13636563.130752716</v>
      </c>
      <c r="I45" s="411">
        <f>I47+I71+I111+I124+I148+I166</f>
        <v>14662460.539999995</v>
      </c>
      <c r="J45" s="95">
        <f>I45-H45</f>
        <v>1025897.4092472792</v>
      </c>
      <c r="K45" s="238">
        <f>((I45/H45)-1)*100</f>
        <v>7.5231376074057055</v>
      </c>
      <c r="L45" s="95">
        <f>L47+L71+L111+L124+L148+L166</f>
        <v>13654376.263010714</v>
      </c>
      <c r="M45" s="370">
        <f>M47+M71+M111+M124+M148+M166</f>
        <v>13847925.5</v>
      </c>
      <c r="N45" s="95">
        <f>M45-L45</f>
        <v>193549.2369892858</v>
      </c>
      <c r="O45" s="238">
        <f>((M45/L45)-1)*100</f>
        <v>1.4174886736760373</v>
      </c>
      <c r="P45" s="95">
        <f>P47+P71+P111+P124+P148+P166</f>
        <v>13739927.690634247</v>
      </c>
      <c r="Q45" s="95">
        <f>Q47+Q71+Q111+Q124+Q148+Q166</f>
        <v>14397257.5</v>
      </c>
      <c r="R45" s="95">
        <f>Q45-P45</f>
        <v>657329.80936575308</v>
      </c>
      <c r="S45" s="238">
        <f>((Q45/P45)-1)*100</f>
        <v>4.7840849250889272</v>
      </c>
      <c r="T45" s="95">
        <f>T47+T71+T111+T124+T148+T166</f>
        <v>13559631.581491061</v>
      </c>
      <c r="U45" s="95">
        <f>U47+U71+U111+U124+U148+U166</f>
        <v>14364296.850000001</v>
      </c>
      <c r="V45" s="95">
        <f>U45-T45</f>
        <v>804665.26850894094</v>
      </c>
      <c r="W45" s="238">
        <f>((U45/T45)-1)*100</f>
        <v>5.9342708809825728</v>
      </c>
      <c r="X45" s="95">
        <f>X47+X71+X111+X124+X148+X166</f>
        <v>12829857.482564259</v>
      </c>
      <c r="Y45" s="95">
        <f>Y47+Y71+Y111+Y124+Y148+Y166</f>
        <v>15701111.629999999</v>
      </c>
      <c r="Z45" s="95">
        <f>Y45-X45</f>
        <v>2871254.1474357396</v>
      </c>
      <c r="AA45" s="238">
        <f>((Y45/X45)-1)*100</f>
        <v>22.379470320210238</v>
      </c>
      <c r="AB45" s="95">
        <f>AB47+AB71+AB111+AB124+AB148+AB166</f>
        <v>12931262.271075912</v>
      </c>
      <c r="AC45" s="95">
        <f>AC47+AC71+AC111+AC124+AC148+AC166</f>
        <v>14311334.360000001</v>
      </c>
      <c r="AD45" s="95">
        <f>AC45-AB45</f>
        <v>1380072.0889240894</v>
      </c>
      <c r="AE45" s="238">
        <f>((AC45/AB45)-1)*100</f>
        <v>10.672369487168897</v>
      </c>
      <c r="AF45" s="95">
        <f>AF47+AF71+AF111+AF124+AF148+AF166</f>
        <v>13252547.079900559</v>
      </c>
      <c r="AG45" s="95">
        <f>AG47+AG71+AG111+AG124+AG148+AG166</f>
        <v>14554141.93</v>
      </c>
      <c r="AH45" s="95">
        <f>AG45-AF45</f>
        <v>1301594.8500994407</v>
      </c>
      <c r="AI45" s="238">
        <f>((AG45/AF45)-1)*100</f>
        <v>9.8214693541704321</v>
      </c>
      <c r="AJ45" s="95">
        <f>AJ47+AJ71+AJ111+AJ124+AJ148+AJ166</f>
        <v>13421748.257433813</v>
      </c>
      <c r="AK45" s="95">
        <f>AK47+AK71+AK111+AK124+AK148+AK166</f>
        <v>15068317.520000001</v>
      </c>
      <c r="AL45" s="95">
        <f>AK45-AJ45</f>
        <v>1646569.2625661884</v>
      </c>
      <c r="AM45" s="238">
        <f>((AK45/AJ45)-1)*100</f>
        <v>12.267919431838648</v>
      </c>
      <c r="AN45" s="18">
        <f>AN47+AN71+AN111+AN124+AN148+AN166</f>
        <v>13420619.094500974</v>
      </c>
      <c r="AO45" s="18">
        <f>AO47+AO71+AO111+AO124+AO148+AO166</f>
        <v>15634224.509999998</v>
      </c>
      <c r="AP45" s="95">
        <f>AO45-AN45</f>
        <v>2213605.4154990241</v>
      </c>
      <c r="AQ45" s="238">
        <f>((AO45/AN45)-1)*100</f>
        <v>16.494063350669386</v>
      </c>
      <c r="AR45" s="18">
        <f>AR47+AR71+AR111+AR124+AR148+AR166</f>
        <v>13521790.183982249</v>
      </c>
      <c r="AS45" s="18">
        <f>AS47+AS71+AS111+AS124+AS148+AS166</f>
        <v>15745446.360000001</v>
      </c>
      <c r="AT45" s="95">
        <f>AS45-AR45</f>
        <v>2223656.1760177519</v>
      </c>
      <c r="AU45" s="238">
        <f>((AS45/AR45)-1)*100</f>
        <v>16.444983583992222</v>
      </c>
      <c r="AV45" s="18">
        <f>AV47+AV71+AV111+AV124+AV148+AV166</f>
        <v>13688507.569104422</v>
      </c>
      <c r="AW45" s="18">
        <f>AW47+AW71+AW111+AW124+AW148+AW166</f>
        <v>16513014.319999997</v>
      </c>
      <c r="AX45" s="95">
        <f>AW45-AV45</f>
        <v>2824506.7508955747</v>
      </c>
      <c r="AY45" s="238">
        <f>((AW45/AV45)-1)*100</f>
        <v>20.634146831832958</v>
      </c>
      <c r="AZ45" s="18">
        <f>AZ47+AZ71+AZ111+AZ124+AZ148+AZ166</f>
        <v>13326107.913237799</v>
      </c>
      <c r="BA45" s="18">
        <f>BA47+BA71+BA111+BA124+BA148+BA166</f>
        <v>20017824.289999995</v>
      </c>
      <c r="BB45" s="95">
        <f>BA45-AZ45</f>
        <v>6691716.3767621964</v>
      </c>
      <c r="BC45" s="196">
        <f>((BA45/AZ45)-1)*100</f>
        <v>50.215084706876965</v>
      </c>
      <c r="BD45" s="18">
        <f>+AF45+AJ45+AN45+AR45+AV45+AZ45+AB45+X45+U45+Q45+M45+I45</f>
        <v>163664380.24179998</v>
      </c>
      <c r="BE45" s="112">
        <f>SUM(I45+M45+Q45+U45+Y45+AC45+AG45+AK45+AO45+AS45+AW45+BA45)</f>
        <v>184817355.31</v>
      </c>
      <c r="BF45" s="63"/>
      <c r="BG45" s="64"/>
      <c r="BI45" s="9"/>
      <c r="BJ45" s="10"/>
    </row>
    <row r="46" spans="2:63" s="11" customFormat="1" ht="16.5" thickBot="1" x14ac:dyDescent="0.3">
      <c r="B46" s="161"/>
      <c r="F46" s="347"/>
      <c r="G46" s="333"/>
      <c r="H46" s="333"/>
      <c r="I46" s="93"/>
      <c r="J46" s="132"/>
      <c r="K46" s="369"/>
      <c r="M46" s="119"/>
      <c r="N46" s="132"/>
      <c r="O46" s="132"/>
      <c r="P46" s="163"/>
      <c r="Q46" s="163"/>
      <c r="R46" s="132"/>
      <c r="S46" s="132"/>
      <c r="U46" s="132"/>
      <c r="V46" s="132"/>
      <c r="W46" s="132"/>
      <c r="Y46" s="132"/>
      <c r="Z46" s="132"/>
      <c r="AA46" s="132"/>
      <c r="AB46" s="163"/>
      <c r="AC46" s="163"/>
      <c r="AD46" s="163"/>
      <c r="AE46" s="132"/>
      <c r="AF46" s="163"/>
      <c r="AG46" s="163"/>
      <c r="AH46" s="163"/>
      <c r="AI46" s="132"/>
      <c r="AJ46" s="163"/>
      <c r="AK46" s="163"/>
      <c r="AL46" s="163"/>
      <c r="AM46" s="132"/>
      <c r="AN46" s="163"/>
      <c r="AO46" s="163"/>
      <c r="AP46" s="163"/>
      <c r="AQ46" s="132"/>
      <c r="AR46" s="163"/>
      <c r="AS46" s="163"/>
      <c r="AT46" s="163"/>
      <c r="AU46" s="132"/>
      <c r="AV46" s="163"/>
      <c r="AW46" s="163"/>
      <c r="AX46" s="163"/>
      <c r="AY46" s="132"/>
      <c r="AZ46" s="163"/>
      <c r="BA46" s="163"/>
      <c r="BB46" s="163"/>
      <c r="BC46" s="132"/>
      <c r="BD46" s="163"/>
      <c r="BE46" s="163"/>
      <c r="BF46" s="63"/>
    </row>
    <row r="47" spans="2:63" s="11" customFormat="1" ht="16.5" thickBot="1" x14ac:dyDescent="0.3">
      <c r="B47" s="166"/>
      <c r="C47" s="44"/>
      <c r="D47" s="407" t="s">
        <v>167</v>
      </c>
      <c r="E47" s="408"/>
      <c r="F47" s="408"/>
      <c r="G47" s="406"/>
      <c r="H47" s="218">
        <f>SUM(H48:H69)</f>
        <v>5012353.6069999998</v>
      </c>
      <c r="I47" s="412">
        <f>SUM(I48:I69)</f>
        <v>4714907.2699999986</v>
      </c>
      <c r="J47" s="80">
        <f>I47-H47</f>
        <v>-297446.33700000122</v>
      </c>
      <c r="K47" s="244">
        <f t="shared" ref="K47:K68" si="57">((I47/H47)-1)*100</f>
        <v>-5.9342648249038676</v>
      </c>
      <c r="L47" s="104">
        <f>SUM(L48:L69)</f>
        <v>5012353.6069999998</v>
      </c>
      <c r="M47" s="392">
        <f>SUM(M48:M69)</f>
        <v>4835515.5500000007</v>
      </c>
      <c r="N47" s="80">
        <f>M47-L47</f>
        <v>-176838.0569999991</v>
      </c>
      <c r="O47" s="244">
        <f>((M47/L47)-1)*100</f>
        <v>-3.5280443253851046</v>
      </c>
      <c r="P47" s="104">
        <f>SUM(P48:P69)</f>
        <v>5012353.6069999998</v>
      </c>
      <c r="Q47" s="80">
        <f>SUM(Q48:Q69)</f>
        <v>4781689.8599999985</v>
      </c>
      <c r="R47" s="80">
        <f>Q47-P47</f>
        <v>-230663.74700000137</v>
      </c>
      <c r="S47" s="244">
        <f>((Q47/P47)-1)*100</f>
        <v>-4.6019049150456626</v>
      </c>
      <c r="T47" s="104">
        <f>SUM(T48:T69)</f>
        <v>4957353.6069999998</v>
      </c>
      <c r="U47" s="80">
        <f>SUM(U48:U69)</f>
        <v>4961010.33</v>
      </c>
      <c r="V47" s="80">
        <f>U47-T47</f>
        <v>3656.723000000231</v>
      </c>
      <c r="W47" s="244">
        <f>((U47/T47)-1)*100</f>
        <v>7.3763610383514866E-2</v>
      </c>
      <c r="X47" s="104">
        <f>SUM(X48:X69)</f>
        <v>4824301.8719999995</v>
      </c>
      <c r="Y47" s="80">
        <f>SUM(Y48:Y69)</f>
        <v>5050877.089999998</v>
      </c>
      <c r="Z47" s="80">
        <f>Y47-X47</f>
        <v>226575.21799999848</v>
      </c>
      <c r="AA47" s="244">
        <f>((Y47/X47)-1)*100</f>
        <v>4.6965389814229708</v>
      </c>
      <c r="AB47" s="104">
        <f>SUM(AB48:AB69)</f>
        <v>4824301.8719999995</v>
      </c>
      <c r="AC47" s="80">
        <f>SUM(AC48:AC69)</f>
        <v>5009718.6100000003</v>
      </c>
      <c r="AD47" s="80">
        <f>AC47-AB47</f>
        <v>185416.73800000083</v>
      </c>
      <c r="AE47" s="244">
        <f>((AC47/AB47)-1)*100</f>
        <v>3.8433900472967908</v>
      </c>
      <c r="AF47" s="104">
        <f>SUM(AF48:AF69)</f>
        <v>4851250.5057999995</v>
      </c>
      <c r="AG47" s="80">
        <f>SUM(AG48:AG69)</f>
        <v>5023075.0199999986</v>
      </c>
      <c r="AH47" s="80">
        <f>AG47-AF47</f>
        <v>171824.51419999916</v>
      </c>
      <c r="AI47" s="244">
        <f>((AG47/AF47)-1)*100</f>
        <v>3.541860268699204</v>
      </c>
      <c r="AJ47" s="104">
        <f>SUM(AJ48:AJ69)</f>
        <v>4851250.5057999995</v>
      </c>
      <c r="AK47" s="80">
        <f>SUM(AK48:AK69)</f>
        <v>5125738.9300000006</v>
      </c>
      <c r="AL47" s="80">
        <f>AK47-AJ47</f>
        <v>274488.42420000117</v>
      </c>
      <c r="AM47" s="244">
        <f>((AK47/AJ47)-1)*100</f>
        <v>5.6580962758330466</v>
      </c>
      <c r="AN47" s="51">
        <f>SUM(AN48:AN69)</f>
        <v>4851250.5057999995</v>
      </c>
      <c r="AO47" s="42">
        <f>SUM(AO48:AO69)</f>
        <v>5149664.4799999995</v>
      </c>
      <c r="AP47" s="80">
        <f>AO47-AN47</f>
        <v>298413.97420000006</v>
      </c>
      <c r="AQ47" s="244">
        <f>((AO47/AN47)-1)*100</f>
        <v>6.1512794246189939</v>
      </c>
      <c r="AR47" s="51">
        <f>SUM(AR48:AR69)</f>
        <v>4851250.5057999995</v>
      </c>
      <c r="AS47" s="42">
        <f>SUM(AS48:AS69)</f>
        <v>5144561.0199999996</v>
      </c>
      <c r="AT47" s="80">
        <f>AS47-AR47</f>
        <v>293310.51420000009</v>
      </c>
      <c r="AU47" s="244">
        <f>((AS47/AR47)-1)*100</f>
        <v>6.0460805693156372</v>
      </c>
      <c r="AV47" s="51">
        <f>SUM(AV48:AV69)</f>
        <v>4851250.5057999995</v>
      </c>
      <c r="AW47" s="42">
        <f>SUM(AW48:AW69)</f>
        <v>5480335.3599999985</v>
      </c>
      <c r="AX47" s="80">
        <f>AW47-AV47</f>
        <v>629084.85419999901</v>
      </c>
      <c r="AY47" s="244">
        <f>((AW47/AV47)-1)*100</f>
        <v>12.967478250151899</v>
      </c>
      <c r="AZ47" s="51">
        <f>SUM(AZ48:AZ69)</f>
        <v>4851250.5057999995</v>
      </c>
      <c r="BA47" s="42">
        <f>SUM(BA48:BA69)</f>
        <v>5003407.41</v>
      </c>
      <c r="BB47" s="80">
        <f>BA47-AZ47</f>
        <v>152156.90420000069</v>
      </c>
      <c r="BC47" s="215">
        <f>((BA47/AZ47)-1)*100</f>
        <v>3.1364470669590583</v>
      </c>
      <c r="BD47" s="51">
        <f>+AF47+AJ47+AN47+AR47+AV47+AZ47+I47+M47+Q47+U47+X47+AB47</f>
        <v>58049229.788800001</v>
      </c>
      <c r="BE47" s="79">
        <f t="shared" ref="BE47:BE68" si="58">SUM(I47+M47+Q47+U47+Y47+AC47+AG47+AK47+AO47+AS47+AW47+BA47)</f>
        <v>60280500.929999977</v>
      </c>
      <c r="BF47" s="63"/>
      <c r="BK47" s="400"/>
    </row>
    <row r="48" spans="2:63" s="119" customFormat="1" x14ac:dyDescent="0.25">
      <c r="B48" s="167" t="s">
        <v>25</v>
      </c>
      <c r="C48" s="168">
        <v>252</v>
      </c>
      <c r="D48" s="331" t="s">
        <v>26</v>
      </c>
      <c r="E48" s="341"/>
      <c r="F48" s="320"/>
      <c r="G48" s="328"/>
      <c r="H48" s="575">
        <f>3163949.5</f>
        <v>3163949.5</v>
      </c>
      <c r="I48" s="96">
        <f>2692701.22+237650.99</f>
        <v>2930352.21</v>
      </c>
      <c r="J48" s="565">
        <f t="shared" ref="J48:J68" si="59">I48-H48</f>
        <v>-233597.29000000004</v>
      </c>
      <c r="K48" s="566">
        <f t="shared" si="57"/>
        <v>-7.3830916074987929</v>
      </c>
      <c r="L48" s="575">
        <v>3163949.5</v>
      </c>
      <c r="M48" s="169">
        <f>2868109.55+244858.82</f>
        <v>3112968.3699999996</v>
      </c>
      <c r="N48" s="169">
        <f>M48-L48</f>
        <v>-50981.130000000354</v>
      </c>
      <c r="O48" s="567">
        <f>((M48/L48)-1)*100</f>
        <v>-1.6113130124232544</v>
      </c>
      <c r="P48" s="575">
        <v>3163949.5</v>
      </c>
      <c r="Q48" s="169">
        <f>2863497.38+244006.05</f>
        <v>3107503.4299999997</v>
      </c>
      <c r="R48" s="169">
        <f>Q48-P48</f>
        <v>-56446.070000000298</v>
      </c>
      <c r="S48" s="567">
        <f>((Q48/P48)-1)*100</f>
        <v>-1.7840382724187087</v>
      </c>
      <c r="T48" s="575">
        <v>3163949.5</v>
      </c>
      <c r="U48" s="169">
        <v>3211764.5</v>
      </c>
      <c r="V48" s="169">
        <f>U48-T48</f>
        <v>47815</v>
      </c>
      <c r="W48" s="567">
        <f>((U48/T48)-1)*100</f>
        <v>1.5112440953940709</v>
      </c>
      <c r="X48" s="644">
        <v>3100000</v>
      </c>
      <c r="Y48" s="169">
        <f>2915126.77+282876.35</f>
        <v>3198003.12</v>
      </c>
      <c r="Z48" s="169">
        <f>Y48-X48</f>
        <v>98003.120000000112</v>
      </c>
      <c r="AA48" s="567">
        <f>((Y48/X48)-1)*100</f>
        <v>3.1613909677419283</v>
      </c>
      <c r="AB48" s="644">
        <v>3100000</v>
      </c>
      <c r="AC48" s="169">
        <v>3201499.57</v>
      </c>
      <c r="AD48" s="169">
        <f>AC48-AB48</f>
        <v>101499.56999999983</v>
      </c>
      <c r="AE48" s="567">
        <f>((AC48/AB48)-1)*100</f>
        <v>3.2741796774193421</v>
      </c>
      <c r="AF48" s="644">
        <v>3100000</v>
      </c>
      <c r="AG48" s="644">
        <v>3219456.5</v>
      </c>
      <c r="AH48" s="169">
        <f>AG48-AF48</f>
        <v>119456.5</v>
      </c>
      <c r="AI48" s="567">
        <f>((AG48/AF48)-1)*100</f>
        <v>3.8534354838709595</v>
      </c>
      <c r="AJ48" s="644">
        <v>3100000</v>
      </c>
      <c r="AK48" s="644">
        <v>3322902.32</v>
      </c>
      <c r="AL48" s="169">
        <f>AK48-AJ48</f>
        <v>222902.31999999983</v>
      </c>
      <c r="AM48" s="567">
        <f>((AK48/AJ48)-1)*100</f>
        <v>7.1903974193548326</v>
      </c>
      <c r="AN48" s="644">
        <v>3100000</v>
      </c>
      <c r="AO48" s="568">
        <v>3290281.52</v>
      </c>
      <c r="AP48" s="169">
        <f>AO48-AN48</f>
        <v>190281.52000000002</v>
      </c>
      <c r="AQ48" s="567">
        <f>((AO48/AN48)-1)*100</f>
        <v>6.1381135483870919</v>
      </c>
      <c r="AR48" s="644">
        <v>3100000</v>
      </c>
      <c r="AS48" s="568">
        <v>3319122.83</v>
      </c>
      <c r="AT48" s="169">
        <f>AS48-AR48</f>
        <v>219122.83000000007</v>
      </c>
      <c r="AU48" s="567">
        <f>((AS48/AR48)-1)*100</f>
        <v>7.068478387096766</v>
      </c>
      <c r="AV48" s="644">
        <v>3100000</v>
      </c>
      <c r="AW48" s="171">
        <v>3350039.58</v>
      </c>
      <c r="AX48" s="169">
        <f>AW48-AV48</f>
        <v>250039.58000000007</v>
      </c>
      <c r="AY48" s="567">
        <f>((AW48/AV48)-1)*100</f>
        <v>8.0657929032257982</v>
      </c>
      <c r="AZ48" s="644">
        <v>3100000</v>
      </c>
      <c r="BA48" s="171">
        <v>3324616.6</v>
      </c>
      <c r="BB48" s="169">
        <f>BA48-AZ48</f>
        <v>224616.60000000009</v>
      </c>
      <c r="BC48" s="569">
        <f>((BA48/AZ48)-1)*100</f>
        <v>7.2456967741935552</v>
      </c>
      <c r="BD48" s="570">
        <f>+AF48+AJ48+AN48+AR48+AV48+AZ48+I48+M48+Q48+U48+X48+AB48</f>
        <v>37162588.510000005</v>
      </c>
      <c r="BE48" s="571">
        <f t="shared" si="58"/>
        <v>38588510.549999997</v>
      </c>
      <c r="BF48" s="118"/>
      <c r="BK48" s="401"/>
    </row>
    <row r="49" spans="2:58" s="119" customFormat="1" x14ac:dyDescent="0.25">
      <c r="B49" s="170">
        <v>11316</v>
      </c>
      <c r="C49" s="135">
        <v>187</v>
      </c>
      <c r="D49" s="332" t="s">
        <v>27</v>
      </c>
      <c r="E49" s="341"/>
      <c r="F49" s="320"/>
      <c r="G49" s="328"/>
      <c r="H49" s="576">
        <v>319235.32</v>
      </c>
      <c r="I49" s="97">
        <v>307537.99</v>
      </c>
      <c r="J49" s="373">
        <f t="shared" si="59"/>
        <v>-11697.330000000016</v>
      </c>
      <c r="K49" s="372">
        <f t="shared" si="57"/>
        <v>-3.6641716211101016</v>
      </c>
      <c r="L49" s="576">
        <v>319235.32</v>
      </c>
      <c r="M49" s="172">
        <v>322398.68</v>
      </c>
      <c r="N49" s="172">
        <f>M49-L49</f>
        <v>3163.359999999986</v>
      </c>
      <c r="O49" s="245">
        <f>((M49/L49)-1)*100</f>
        <v>0.99091792223993114</v>
      </c>
      <c r="P49" s="576">
        <v>319235.32</v>
      </c>
      <c r="Q49" s="172">
        <f>323987.79</f>
        <v>323987.78999999998</v>
      </c>
      <c r="R49" s="172">
        <f>Q49-P49</f>
        <v>4752.4699999999721</v>
      </c>
      <c r="S49" s="245">
        <f>((Q49/P49)-1)*100</f>
        <v>1.4887043200608074</v>
      </c>
      <c r="T49" s="576">
        <v>319235.32</v>
      </c>
      <c r="U49" s="172">
        <v>329112.77</v>
      </c>
      <c r="V49" s="172">
        <f>U49-T49</f>
        <v>9877.4500000000116</v>
      </c>
      <c r="W49" s="245">
        <f>((U49/T49)-1)*100</f>
        <v>3.0940968561999904</v>
      </c>
      <c r="X49" s="171">
        <v>321000</v>
      </c>
      <c r="Y49" s="172">
        <v>323036.40000000002</v>
      </c>
      <c r="Z49" s="172">
        <f>Y49-X49</f>
        <v>2036.4000000000233</v>
      </c>
      <c r="AA49" s="245">
        <f>((Y49/X49)-1)*100</f>
        <v>0.63439252336450203</v>
      </c>
      <c r="AB49" s="171">
        <v>321000</v>
      </c>
      <c r="AC49" s="172">
        <v>320723.15999999997</v>
      </c>
      <c r="AD49" s="172">
        <f>AC49-AB49</f>
        <v>-276.84000000002561</v>
      </c>
      <c r="AE49" s="245">
        <f>((AC49/AB49)-1)*100</f>
        <v>-8.6242990654217255E-2</v>
      </c>
      <c r="AF49" s="171">
        <v>321000</v>
      </c>
      <c r="AG49" s="644">
        <v>334280.92</v>
      </c>
      <c r="AH49" s="172">
        <f>AG49-AF49</f>
        <v>13280.919999999984</v>
      </c>
      <c r="AI49" s="245">
        <f>((AG49/AF49)-1)*100</f>
        <v>4.1373582554517174</v>
      </c>
      <c r="AJ49" s="171">
        <v>321000</v>
      </c>
      <c r="AK49" s="171">
        <v>334646</v>
      </c>
      <c r="AL49" s="169">
        <f>AK49-AJ49</f>
        <v>13646</v>
      </c>
      <c r="AM49" s="245">
        <f>((AK49/AJ49)-1)*100</f>
        <v>4.2510903426791202</v>
      </c>
      <c r="AN49" s="171">
        <v>321000</v>
      </c>
      <c r="AO49" s="173">
        <v>340110.79</v>
      </c>
      <c r="AP49" s="169">
        <f>AO49-AN49</f>
        <v>19110.789999999979</v>
      </c>
      <c r="AQ49" s="245">
        <f>((AO49/AN49)-1)*100</f>
        <v>5.9535171339563764</v>
      </c>
      <c r="AR49" s="171">
        <v>321000</v>
      </c>
      <c r="AS49" s="173">
        <v>339870.22</v>
      </c>
      <c r="AT49" s="169">
        <f>AS49-AR49</f>
        <v>18870.219999999972</v>
      </c>
      <c r="AU49" s="245">
        <f>((AS49/AR49)-1)*100</f>
        <v>5.8785732087227371</v>
      </c>
      <c r="AV49" s="171">
        <v>321000</v>
      </c>
      <c r="AW49" s="171">
        <v>356319.34</v>
      </c>
      <c r="AX49" s="169">
        <f>AW49-AV49</f>
        <v>35319.340000000026</v>
      </c>
      <c r="AY49" s="245">
        <f>((AW49/AV49)-1)*100</f>
        <v>11.00290965732087</v>
      </c>
      <c r="AZ49" s="171">
        <v>321000</v>
      </c>
      <c r="BA49" s="171">
        <v>45250</v>
      </c>
      <c r="BB49" s="172">
        <f>BA49-AZ49</f>
        <v>-275750</v>
      </c>
      <c r="BC49" s="246">
        <f>((BA49/AZ49)-1)*100</f>
        <v>-85.903426791277255</v>
      </c>
      <c r="BD49" s="570">
        <f t="shared" ref="BD49:BD69" si="60">+AF49+AJ49+AN49+AR49+AV49+AZ49+I49+M49+Q49+U49+X49+AB49</f>
        <v>3851037.2300000004</v>
      </c>
      <c r="BE49" s="174">
        <f t="shared" si="58"/>
        <v>3677274.0599999996</v>
      </c>
      <c r="BF49" s="118"/>
    </row>
    <row r="50" spans="2:58" s="119" customFormat="1" x14ac:dyDescent="0.25">
      <c r="B50" s="122">
        <v>11322</v>
      </c>
      <c r="C50" s="123">
        <v>187</v>
      </c>
      <c r="D50" s="332" t="s">
        <v>28</v>
      </c>
      <c r="E50" s="341"/>
      <c r="F50" s="320"/>
      <c r="G50" s="328"/>
      <c r="H50" s="576">
        <v>388583.94</v>
      </c>
      <c r="I50" s="97">
        <v>390158.82</v>
      </c>
      <c r="J50" s="373">
        <f t="shared" si="59"/>
        <v>1574.8800000000047</v>
      </c>
      <c r="K50" s="372">
        <f t="shared" si="57"/>
        <v>0.40528695035622064</v>
      </c>
      <c r="L50" s="576">
        <v>388583.94</v>
      </c>
      <c r="M50" s="172">
        <v>392467.75</v>
      </c>
      <c r="N50" s="172">
        <f>M50-L50</f>
        <v>3883.8099999999977</v>
      </c>
      <c r="O50" s="245">
        <f t="shared" ref="O50:O68" si="61">((M50/L50)-1)*100</f>
        <v>0.99947774475701578</v>
      </c>
      <c r="P50" s="576">
        <v>388583.94</v>
      </c>
      <c r="Q50" s="172">
        <f>395838.19</f>
        <v>395838.19</v>
      </c>
      <c r="R50" s="172">
        <f>Q50-P50</f>
        <v>7254.25</v>
      </c>
      <c r="S50" s="245">
        <f t="shared" ref="S50:S68" si="62">((Q50/P50)-1)*100</f>
        <v>1.8668424639474379</v>
      </c>
      <c r="T50" s="576">
        <v>388583.94</v>
      </c>
      <c r="U50" s="172">
        <v>397637.48</v>
      </c>
      <c r="V50" s="172">
        <f>U50-T50</f>
        <v>9053.539999999979</v>
      </c>
      <c r="W50" s="245">
        <f t="shared" ref="W50:W68" si="63">((U50/T50)-1)*100</f>
        <v>2.3298801283449855</v>
      </c>
      <c r="X50" s="171">
        <v>395000</v>
      </c>
      <c r="Y50" s="172">
        <v>384913.07</v>
      </c>
      <c r="Z50" s="172">
        <f>Y50-X50</f>
        <v>-10086.929999999993</v>
      </c>
      <c r="AA50" s="245">
        <f t="shared" ref="AA50:AA68" si="64">((Y50/X50)-1)*100</f>
        <v>-2.5536531645569571</v>
      </c>
      <c r="AB50" s="171">
        <v>395000</v>
      </c>
      <c r="AC50" s="172">
        <v>387589.34</v>
      </c>
      <c r="AD50" s="172">
        <f>AC50-AB50</f>
        <v>-7410.6599999999744</v>
      </c>
      <c r="AE50" s="245">
        <f t="shared" ref="AE50:AE68" si="65">((AC50/AB50)-1)*100</f>
        <v>-1.8761164556961973</v>
      </c>
      <c r="AF50" s="171">
        <v>395000</v>
      </c>
      <c r="AG50" s="644">
        <v>412032.28</v>
      </c>
      <c r="AH50" s="172">
        <f>AG50-AF50</f>
        <v>17032.280000000028</v>
      </c>
      <c r="AI50" s="245">
        <f t="shared" ref="AI50:AI68" si="66">((AG50/AF50)-1)*100</f>
        <v>4.3119696202531754</v>
      </c>
      <c r="AJ50" s="171">
        <v>395000</v>
      </c>
      <c r="AK50" s="171">
        <v>417456.26</v>
      </c>
      <c r="AL50" s="169">
        <f>AK50-AJ50</f>
        <v>22456.260000000009</v>
      </c>
      <c r="AM50" s="245">
        <f t="shared" ref="AM50:AM68" si="67">((AK50/AJ50)-1)*100</f>
        <v>5.6851291139240479</v>
      </c>
      <c r="AN50" s="171">
        <v>395000</v>
      </c>
      <c r="AO50" s="173">
        <v>427022.68</v>
      </c>
      <c r="AP50" s="169">
        <f>AO50-AN50</f>
        <v>32022.679999999993</v>
      </c>
      <c r="AQ50" s="245">
        <f t="shared" ref="AQ50:AQ68" si="68">((AO50/AN50)-1)*100</f>
        <v>8.1070075949367002</v>
      </c>
      <c r="AR50" s="171">
        <v>395000</v>
      </c>
      <c r="AS50" s="173">
        <v>424081.72</v>
      </c>
      <c r="AT50" s="169">
        <f>AS50-AR50</f>
        <v>29081.719999999972</v>
      </c>
      <c r="AU50" s="245">
        <f t="shared" ref="AU50:AU68" si="69">((AS50/AR50)-1)*100</f>
        <v>7.362460759493672</v>
      </c>
      <c r="AV50" s="171">
        <v>395000</v>
      </c>
      <c r="AW50" s="171">
        <v>432205.97</v>
      </c>
      <c r="AX50" s="169">
        <f>AW50-AV50</f>
        <v>37205.969999999972</v>
      </c>
      <c r="AY50" s="245">
        <f t="shared" ref="AY50:AY68" si="70">((AW50/AV50)-1)*100</f>
        <v>9.4192329113923954</v>
      </c>
      <c r="AZ50" s="171">
        <v>395000</v>
      </c>
      <c r="BA50" s="171">
        <v>436039.91</v>
      </c>
      <c r="BB50" s="172">
        <f>BA50-AZ50</f>
        <v>41039.909999999974</v>
      </c>
      <c r="BC50" s="246">
        <f t="shared" ref="BC50:BC68" si="71">((BA50/AZ50)-1)*100</f>
        <v>10.389850632911379</v>
      </c>
      <c r="BD50" s="570">
        <f t="shared" si="60"/>
        <v>4736102.24</v>
      </c>
      <c r="BE50" s="174">
        <f t="shared" si="58"/>
        <v>4897443.47</v>
      </c>
      <c r="BF50" s="118"/>
    </row>
    <row r="51" spans="2:58" s="119" customFormat="1" x14ac:dyDescent="0.25">
      <c r="B51" s="122">
        <v>11304</v>
      </c>
      <c r="C51" s="123">
        <v>253</v>
      </c>
      <c r="D51" s="332" t="s">
        <v>141</v>
      </c>
      <c r="E51" s="341"/>
      <c r="F51" s="320"/>
      <c r="G51" s="328"/>
      <c r="H51" s="576">
        <v>35872.460000000006</v>
      </c>
      <c r="I51" s="97">
        <v>28735.94</v>
      </c>
      <c r="J51" s="373">
        <f t="shared" si="59"/>
        <v>-7136.5200000000077</v>
      </c>
      <c r="K51" s="372">
        <f t="shared" si="57"/>
        <v>-19.894147209307654</v>
      </c>
      <c r="L51" s="576">
        <v>35872.460000000006</v>
      </c>
      <c r="M51" s="172">
        <v>37994.449999999997</v>
      </c>
      <c r="N51" s="172">
        <f>M51-L51</f>
        <v>2121.9899999999907</v>
      </c>
      <c r="O51" s="245">
        <f t="shared" si="61"/>
        <v>5.9153735205224045</v>
      </c>
      <c r="P51" s="576">
        <v>35872.460000000006</v>
      </c>
      <c r="Q51" s="172">
        <f>40617.76</f>
        <v>40617.760000000002</v>
      </c>
      <c r="R51" s="172">
        <f>Q51-P51</f>
        <v>4745.2999999999956</v>
      </c>
      <c r="S51" s="245">
        <f t="shared" si="62"/>
        <v>13.228253651965872</v>
      </c>
      <c r="T51" s="576">
        <v>35872.460000000006</v>
      </c>
      <c r="U51" s="172">
        <v>29421.49</v>
      </c>
      <c r="V51" s="172">
        <f>U51-T51</f>
        <v>-6450.9700000000048</v>
      </c>
      <c r="W51" s="245">
        <f t="shared" si="63"/>
        <v>-17.983071135907615</v>
      </c>
      <c r="X51" s="171">
        <v>25000</v>
      </c>
      <c r="Y51" s="172">
        <v>20180.3</v>
      </c>
      <c r="Z51" s="172">
        <f>Y51-X51</f>
        <v>-4819.7000000000007</v>
      </c>
      <c r="AA51" s="245">
        <f t="shared" si="64"/>
        <v>-19.278800000000007</v>
      </c>
      <c r="AB51" s="171">
        <v>25000</v>
      </c>
      <c r="AC51" s="172">
        <v>19682.669999999998</v>
      </c>
      <c r="AD51" s="172">
        <f>AC51-AB51</f>
        <v>-5317.3300000000017</v>
      </c>
      <c r="AE51" s="245">
        <f t="shared" si="65"/>
        <v>-21.269320000000004</v>
      </c>
      <c r="AF51" s="171">
        <v>36948.633800000011</v>
      </c>
      <c r="AG51" s="644">
        <v>30739.13</v>
      </c>
      <c r="AH51" s="172">
        <f>AG51-AF51</f>
        <v>-6209.5038000000095</v>
      </c>
      <c r="AI51" s="245">
        <f t="shared" si="66"/>
        <v>-16.805773749610221</v>
      </c>
      <c r="AJ51" s="171">
        <v>36948.633800000011</v>
      </c>
      <c r="AK51" s="171">
        <v>30870.22</v>
      </c>
      <c r="AL51" s="169">
        <f>AK51-AJ51</f>
        <v>-6078.4138000000094</v>
      </c>
      <c r="AM51" s="245">
        <f t="shared" si="67"/>
        <v>-16.450983906203341</v>
      </c>
      <c r="AN51" s="171">
        <v>36948.633800000011</v>
      </c>
      <c r="AO51" s="173">
        <v>47405.98</v>
      </c>
      <c r="AP51" s="169">
        <f>AO51-AN51</f>
        <v>10457.346199999993</v>
      </c>
      <c r="AQ51" s="245">
        <f t="shared" si="68"/>
        <v>28.30238935654501</v>
      </c>
      <c r="AR51" s="171">
        <v>36948.633800000011</v>
      </c>
      <c r="AS51" s="173">
        <v>47653.440000000002</v>
      </c>
      <c r="AT51" s="169">
        <f>AS51-AR51</f>
        <v>10704.806199999992</v>
      </c>
      <c r="AU51" s="245">
        <f t="shared" si="69"/>
        <v>28.972129951933411</v>
      </c>
      <c r="AV51" s="171">
        <v>36948.633800000011</v>
      </c>
      <c r="AW51" s="171">
        <v>51472.79</v>
      </c>
      <c r="AX51" s="169">
        <f>AW51-AV51</f>
        <v>14524.15619999999</v>
      </c>
      <c r="AY51" s="245">
        <f t="shared" si="70"/>
        <v>39.309048011404379</v>
      </c>
      <c r="AZ51" s="171">
        <v>36948.633800000011</v>
      </c>
      <c r="BA51" s="171">
        <v>51891.23</v>
      </c>
      <c r="BB51" s="172">
        <f>BA51-AZ51</f>
        <v>14942.596199999993</v>
      </c>
      <c r="BC51" s="246">
        <f t="shared" si="71"/>
        <v>40.441539140210338</v>
      </c>
      <c r="BD51" s="570">
        <f t="shared" si="60"/>
        <v>408461.44280000008</v>
      </c>
      <c r="BE51" s="174">
        <f t="shared" si="58"/>
        <v>436665.39999999997</v>
      </c>
      <c r="BF51" s="118"/>
    </row>
    <row r="52" spans="2:58" s="119" customFormat="1" x14ac:dyDescent="0.25">
      <c r="B52" s="122">
        <v>53468</v>
      </c>
      <c r="C52" s="123"/>
      <c r="D52" s="332" t="s">
        <v>125</v>
      </c>
      <c r="E52" s="341"/>
      <c r="F52" s="256"/>
      <c r="G52" s="328"/>
      <c r="H52" s="211">
        <v>60000</v>
      </c>
      <c r="I52" s="97">
        <v>33866.67</v>
      </c>
      <c r="J52" s="373">
        <f t="shared" si="59"/>
        <v>-26133.33</v>
      </c>
      <c r="K52" s="372">
        <f t="shared" si="57"/>
        <v>-43.555549999999997</v>
      </c>
      <c r="L52" s="211">
        <v>60000</v>
      </c>
      <c r="M52" s="172">
        <v>0</v>
      </c>
      <c r="N52" s="172">
        <f t="shared" ref="N52:N68" si="72">M52-L52</f>
        <v>-60000</v>
      </c>
      <c r="O52" s="245">
        <f t="shared" si="61"/>
        <v>-100</v>
      </c>
      <c r="P52" s="211">
        <v>60000</v>
      </c>
      <c r="Q52" s="172">
        <v>0</v>
      </c>
      <c r="R52" s="172">
        <f t="shared" ref="R52:R68" si="73">Q52-P52</f>
        <v>-60000</v>
      </c>
      <c r="S52" s="245">
        <f t="shared" si="62"/>
        <v>-100</v>
      </c>
      <c r="T52" s="211">
        <v>60000</v>
      </c>
      <c r="U52" s="172">
        <v>44783.34</v>
      </c>
      <c r="V52" s="172">
        <f t="shared" ref="V52:V68" si="74">U52-T52</f>
        <v>-15216.660000000003</v>
      </c>
      <c r="W52" s="245">
        <f t="shared" si="63"/>
        <v>-25.361100000000004</v>
      </c>
      <c r="X52" s="211">
        <v>45000</v>
      </c>
      <c r="Y52" s="172">
        <v>0</v>
      </c>
      <c r="Z52" s="172">
        <f t="shared" ref="Z52:Z68" si="75">Y52-X52</f>
        <v>-45000</v>
      </c>
      <c r="AA52" s="245">
        <f t="shared" si="64"/>
        <v>-100</v>
      </c>
      <c r="AB52" s="211">
        <v>45000</v>
      </c>
      <c r="AC52" s="172">
        <v>66400</v>
      </c>
      <c r="AD52" s="172">
        <f t="shared" ref="AD52:AD68" si="76">AC52-AB52</f>
        <v>21400</v>
      </c>
      <c r="AE52" s="245">
        <f t="shared" si="65"/>
        <v>47.55555555555555</v>
      </c>
      <c r="AF52" s="211">
        <v>60000</v>
      </c>
      <c r="AG52" s="858">
        <v>59366.67</v>
      </c>
      <c r="AH52" s="172">
        <f t="shared" ref="AH52:AH68" si="77">AG52-AF52</f>
        <v>-633.33000000000175</v>
      </c>
      <c r="AI52" s="245">
        <f t="shared" si="66"/>
        <v>-1.0555500000000051</v>
      </c>
      <c r="AJ52" s="211">
        <v>60000</v>
      </c>
      <c r="AK52" s="171">
        <v>57550</v>
      </c>
      <c r="AL52" s="169">
        <f t="shared" ref="AL52:AL68" si="78">AK52-AJ52</f>
        <v>-2450</v>
      </c>
      <c r="AM52" s="245">
        <f t="shared" si="67"/>
        <v>-4.0833333333333393</v>
      </c>
      <c r="AN52" s="211">
        <v>60000</v>
      </c>
      <c r="AO52" s="173">
        <v>50833.33</v>
      </c>
      <c r="AP52" s="169">
        <f t="shared" ref="AP52:AP68" si="79">AO52-AN52</f>
        <v>-9166.6699999999983</v>
      </c>
      <c r="AQ52" s="245">
        <f t="shared" si="68"/>
        <v>-15.277783333333328</v>
      </c>
      <c r="AR52" s="211">
        <v>60000</v>
      </c>
      <c r="AS52" s="173">
        <v>46658.34</v>
      </c>
      <c r="AT52" s="169">
        <f t="shared" ref="AT52:AT68" si="80">AS52-AR52</f>
        <v>-13341.660000000003</v>
      </c>
      <c r="AU52" s="245">
        <f t="shared" si="69"/>
        <v>-22.236100000000004</v>
      </c>
      <c r="AV52" s="211">
        <v>60000</v>
      </c>
      <c r="AW52" s="171">
        <v>56958.33</v>
      </c>
      <c r="AX52" s="169">
        <f t="shared" ref="AX52:AX68" si="81">AW52-AV52</f>
        <v>-3041.6699999999983</v>
      </c>
      <c r="AY52" s="245">
        <f t="shared" si="70"/>
        <v>-5.069449999999998</v>
      </c>
      <c r="AZ52" s="211">
        <v>60000</v>
      </c>
      <c r="BA52" s="171">
        <v>53775</v>
      </c>
      <c r="BB52" s="172">
        <f t="shared" ref="BB52:BB68" si="82">BA52-AZ52</f>
        <v>-6225</v>
      </c>
      <c r="BC52" s="246">
        <f t="shared" si="71"/>
        <v>-10.375</v>
      </c>
      <c r="BD52" s="570">
        <f t="shared" si="60"/>
        <v>528650.01</v>
      </c>
      <c r="BE52" s="174">
        <f t="shared" si="58"/>
        <v>470191.68</v>
      </c>
      <c r="BF52" s="118"/>
    </row>
    <row r="53" spans="2:58" s="119" customFormat="1" x14ac:dyDescent="0.25">
      <c r="B53" s="122">
        <v>53469</v>
      </c>
      <c r="C53" s="123"/>
      <c r="D53" s="332" t="s">
        <v>333</v>
      </c>
      <c r="E53" s="341"/>
      <c r="F53" s="256"/>
      <c r="G53" s="328"/>
      <c r="H53" s="211">
        <v>15064</v>
      </c>
      <c r="I53" s="97">
        <v>25207.84</v>
      </c>
      <c r="J53" s="373">
        <f t="shared" si="59"/>
        <v>10143.84</v>
      </c>
      <c r="K53" s="372">
        <f t="shared" si="57"/>
        <v>67.338289962825272</v>
      </c>
      <c r="L53" s="211">
        <v>15064</v>
      </c>
      <c r="M53" s="172">
        <v>26965.22</v>
      </c>
      <c r="N53" s="172">
        <f t="shared" si="72"/>
        <v>11901.220000000001</v>
      </c>
      <c r="O53" s="245">
        <f t="shared" si="61"/>
        <v>79.004381306425927</v>
      </c>
      <c r="P53" s="211">
        <v>15064</v>
      </c>
      <c r="Q53" s="172">
        <f>15792.77</f>
        <v>15792.77</v>
      </c>
      <c r="R53" s="172">
        <f t="shared" si="73"/>
        <v>728.77000000000044</v>
      </c>
      <c r="S53" s="245">
        <f t="shared" si="62"/>
        <v>4.8378252788104037</v>
      </c>
      <c r="T53" s="211">
        <v>15064</v>
      </c>
      <c r="U53" s="172">
        <v>23464.71</v>
      </c>
      <c r="V53" s="172">
        <f t="shared" si="74"/>
        <v>8400.7099999999991</v>
      </c>
      <c r="W53" s="245">
        <f t="shared" si="63"/>
        <v>55.766795007965996</v>
      </c>
      <c r="X53" s="171">
        <v>15515.92</v>
      </c>
      <c r="Y53" s="172">
        <v>20030.25</v>
      </c>
      <c r="Z53" s="172">
        <f t="shared" si="75"/>
        <v>4514.33</v>
      </c>
      <c r="AA53" s="245">
        <f t="shared" si="64"/>
        <v>29.094826475001167</v>
      </c>
      <c r="AB53" s="171">
        <v>15515.92</v>
      </c>
      <c r="AC53" s="172">
        <v>23685.84</v>
      </c>
      <c r="AD53" s="172">
        <f t="shared" si="76"/>
        <v>8169.92</v>
      </c>
      <c r="AE53" s="245">
        <f t="shared" si="65"/>
        <v>52.655079428097082</v>
      </c>
      <c r="AF53" s="171">
        <v>15515.92</v>
      </c>
      <c r="AG53" s="858">
        <v>24200.07</v>
      </c>
      <c r="AH53" s="172">
        <f t="shared" si="77"/>
        <v>8684.15</v>
      </c>
      <c r="AI53" s="245">
        <f t="shared" si="66"/>
        <v>55.969288318063008</v>
      </c>
      <c r="AJ53" s="171">
        <v>15515.92</v>
      </c>
      <c r="AK53" s="171">
        <v>20700.810000000001</v>
      </c>
      <c r="AL53" s="169">
        <f t="shared" si="78"/>
        <v>5184.8900000000012</v>
      </c>
      <c r="AM53" s="245">
        <f t="shared" si="67"/>
        <v>33.416581163089276</v>
      </c>
      <c r="AN53" s="171">
        <v>15515.92</v>
      </c>
      <c r="AO53" s="173">
        <v>17736.900000000001</v>
      </c>
      <c r="AP53" s="169">
        <f t="shared" si="79"/>
        <v>2220.9800000000014</v>
      </c>
      <c r="AQ53" s="245">
        <f t="shared" si="68"/>
        <v>14.314201155973993</v>
      </c>
      <c r="AR53" s="171">
        <v>15515.92</v>
      </c>
      <c r="AS53" s="173">
        <v>21762.95</v>
      </c>
      <c r="AT53" s="169">
        <f t="shared" si="80"/>
        <v>6247.0300000000007</v>
      </c>
      <c r="AU53" s="245">
        <f t="shared" si="69"/>
        <v>40.262066316402766</v>
      </c>
      <c r="AV53" s="171">
        <v>15515.92</v>
      </c>
      <c r="AW53" s="171">
        <v>13851.16</v>
      </c>
      <c r="AX53" s="169">
        <f t="shared" si="81"/>
        <v>-1664.7600000000002</v>
      </c>
      <c r="AY53" s="245">
        <f t="shared" si="70"/>
        <v>-10.729366998540858</v>
      </c>
      <c r="AZ53" s="171">
        <v>15515.92</v>
      </c>
      <c r="BA53" s="171">
        <v>15276.32</v>
      </c>
      <c r="BB53" s="172">
        <f t="shared" si="82"/>
        <v>-239.60000000000036</v>
      </c>
      <c r="BC53" s="246">
        <f t="shared" si="71"/>
        <v>-1.5442203878339167</v>
      </c>
      <c r="BD53" s="570">
        <f t="shared" si="60"/>
        <v>215557.90000000002</v>
      </c>
      <c r="BE53" s="174">
        <f t="shared" si="58"/>
        <v>248674.84000000003</v>
      </c>
      <c r="BF53" s="118"/>
    </row>
    <row r="54" spans="2:58" s="119" customFormat="1" x14ac:dyDescent="0.25">
      <c r="B54" s="122">
        <v>11369</v>
      </c>
      <c r="C54" s="123">
        <v>238</v>
      </c>
      <c r="D54" s="332" t="s">
        <v>224</v>
      </c>
      <c r="E54" s="341"/>
      <c r="F54" s="320"/>
      <c r="G54" s="328"/>
      <c r="H54" s="576">
        <v>45000</v>
      </c>
      <c r="I54" s="97">
        <v>22479.95</v>
      </c>
      <c r="J54" s="373">
        <f t="shared" si="59"/>
        <v>-22520.05</v>
      </c>
      <c r="K54" s="372">
        <f t="shared" si="57"/>
        <v>-50.044555555555561</v>
      </c>
      <c r="L54" s="576">
        <v>45000</v>
      </c>
      <c r="M54" s="172">
        <v>31448.17</v>
      </c>
      <c r="N54" s="172">
        <f t="shared" si="72"/>
        <v>-13551.830000000002</v>
      </c>
      <c r="O54" s="245">
        <f t="shared" si="61"/>
        <v>-30.115177777777781</v>
      </c>
      <c r="P54" s="576">
        <v>45000</v>
      </c>
      <c r="Q54" s="172">
        <f>3591.97</f>
        <v>3591.97</v>
      </c>
      <c r="R54" s="172">
        <f t="shared" si="73"/>
        <v>-41408.03</v>
      </c>
      <c r="S54" s="245">
        <f t="shared" si="62"/>
        <v>-92.017844444444435</v>
      </c>
      <c r="T54" s="576">
        <v>45000</v>
      </c>
      <c r="U54" s="172">
        <v>35631.230000000003</v>
      </c>
      <c r="V54" s="172">
        <f t="shared" si="74"/>
        <v>-9368.7699999999968</v>
      </c>
      <c r="W54" s="245">
        <f t="shared" si="63"/>
        <v>-20.81948888888888</v>
      </c>
      <c r="X54" s="171">
        <v>46350</v>
      </c>
      <c r="Y54" s="172">
        <v>103822.51</v>
      </c>
      <c r="Z54" s="172">
        <f t="shared" si="75"/>
        <v>57472.509999999995</v>
      </c>
      <c r="AA54" s="245">
        <f t="shared" si="64"/>
        <v>123.99678532901834</v>
      </c>
      <c r="AB54" s="171">
        <v>46350</v>
      </c>
      <c r="AC54" s="172">
        <v>58353.62</v>
      </c>
      <c r="AD54" s="172">
        <f t="shared" si="76"/>
        <v>12003.620000000003</v>
      </c>
      <c r="AE54" s="245">
        <f t="shared" si="65"/>
        <v>25.897777777777776</v>
      </c>
      <c r="AF54" s="171">
        <v>46350</v>
      </c>
      <c r="AG54" s="858">
        <v>48877.61</v>
      </c>
      <c r="AH54" s="172">
        <f t="shared" si="77"/>
        <v>2527.6100000000006</v>
      </c>
      <c r="AI54" s="245">
        <f t="shared" si="66"/>
        <v>5.4533117583603019</v>
      </c>
      <c r="AJ54" s="171">
        <v>46350</v>
      </c>
      <c r="AK54" s="171">
        <v>52599.66</v>
      </c>
      <c r="AL54" s="169">
        <f t="shared" si="78"/>
        <v>6249.6600000000035</v>
      </c>
      <c r="AM54" s="245">
        <f t="shared" si="67"/>
        <v>13.483624595469257</v>
      </c>
      <c r="AN54" s="171">
        <v>46350</v>
      </c>
      <c r="AO54" s="173">
        <v>40212.980000000003</v>
      </c>
      <c r="AP54" s="169">
        <f t="shared" si="79"/>
        <v>-6137.0199999999968</v>
      </c>
      <c r="AQ54" s="245">
        <f t="shared" si="68"/>
        <v>-13.240604099244868</v>
      </c>
      <c r="AR54" s="171">
        <v>46350</v>
      </c>
      <c r="AS54" s="173">
        <v>45937.86</v>
      </c>
      <c r="AT54" s="169">
        <f t="shared" si="80"/>
        <v>-412.13999999999942</v>
      </c>
      <c r="AU54" s="245">
        <f t="shared" si="69"/>
        <v>-0.88919093851133058</v>
      </c>
      <c r="AV54" s="171">
        <v>46350</v>
      </c>
      <c r="AW54" s="171">
        <v>45462.52</v>
      </c>
      <c r="AX54" s="169">
        <f t="shared" si="81"/>
        <v>-887.4800000000032</v>
      </c>
      <c r="AY54" s="245">
        <f t="shared" si="70"/>
        <v>-1.9147357065803727</v>
      </c>
      <c r="AZ54" s="171">
        <v>46350</v>
      </c>
      <c r="BA54" s="171">
        <v>27955.56</v>
      </c>
      <c r="BB54" s="172">
        <f t="shared" si="82"/>
        <v>-18394.439999999999</v>
      </c>
      <c r="BC54" s="246">
        <f t="shared" si="71"/>
        <v>-39.685954692556635</v>
      </c>
      <c r="BD54" s="570">
        <f t="shared" si="60"/>
        <v>463951.31999999995</v>
      </c>
      <c r="BE54" s="174">
        <f t="shared" si="58"/>
        <v>516373.63999999996</v>
      </c>
      <c r="BF54" s="118"/>
    </row>
    <row r="55" spans="2:58" s="119" customFormat="1" x14ac:dyDescent="0.25">
      <c r="B55" s="122" t="s">
        <v>3680</v>
      </c>
      <c r="C55" s="123">
        <v>189</v>
      </c>
      <c r="D55" s="332" t="s">
        <v>29</v>
      </c>
      <c r="E55" s="341"/>
      <c r="F55" s="320"/>
      <c r="G55" s="328"/>
      <c r="H55" s="576">
        <v>353579.91</v>
      </c>
      <c r="I55" s="97">
        <f>337398.21</f>
        <v>337398.21</v>
      </c>
      <c r="J55" s="373">
        <f t="shared" si="59"/>
        <v>-16181.699999999953</v>
      </c>
      <c r="K55" s="372">
        <f t="shared" si="57"/>
        <v>-4.5765326429321078</v>
      </c>
      <c r="L55" s="576">
        <v>353579.91</v>
      </c>
      <c r="M55" s="172">
        <f>329055.57+0</f>
        <v>329055.57</v>
      </c>
      <c r="N55" s="172">
        <f t="shared" si="72"/>
        <v>-24524.339999999967</v>
      </c>
      <c r="O55" s="245">
        <f t="shared" si="61"/>
        <v>-6.9360105895156732</v>
      </c>
      <c r="P55" s="576">
        <v>353579.91</v>
      </c>
      <c r="Q55" s="172">
        <f>294921.24</f>
        <v>294921.24</v>
      </c>
      <c r="R55" s="172">
        <f t="shared" si="73"/>
        <v>-58658.669999999984</v>
      </c>
      <c r="S55" s="245">
        <f t="shared" si="62"/>
        <v>-16.589932951790153</v>
      </c>
      <c r="T55" s="576">
        <v>353579.91</v>
      </c>
      <c r="U55" s="172">
        <v>339831.74</v>
      </c>
      <c r="V55" s="172">
        <f t="shared" si="74"/>
        <v>-13748.169999999984</v>
      </c>
      <c r="W55" s="245">
        <f t="shared" si="63"/>
        <v>-3.8882780415889551</v>
      </c>
      <c r="X55" s="171">
        <v>326000</v>
      </c>
      <c r="Y55" s="172">
        <f>470326.75</f>
        <v>470326.75</v>
      </c>
      <c r="Z55" s="172">
        <f t="shared" si="75"/>
        <v>144326.75</v>
      </c>
      <c r="AA55" s="245">
        <f t="shared" si="64"/>
        <v>44.27200920245398</v>
      </c>
      <c r="AB55" s="171">
        <v>326000</v>
      </c>
      <c r="AC55" s="172">
        <v>378699.78</v>
      </c>
      <c r="AD55" s="172">
        <f t="shared" si="76"/>
        <v>52699.780000000028</v>
      </c>
      <c r="AE55" s="245">
        <f t="shared" si="65"/>
        <v>16.165576687116577</v>
      </c>
      <c r="AF55" s="171">
        <v>326000</v>
      </c>
      <c r="AG55" s="858">
        <v>349397.57</v>
      </c>
      <c r="AH55" s="172">
        <f t="shared" si="77"/>
        <v>23397.570000000007</v>
      </c>
      <c r="AI55" s="245">
        <f t="shared" si="66"/>
        <v>7.1771687116564342</v>
      </c>
      <c r="AJ55" s="171">
        <v>326000</v>
      </c>
      <c r="AK55" s="171">
        <v>376092.74</v>
      </c>
      <c r="AL55" s="169">
        <f t="shared" si="78"/>
        <v>50092.739999999991</v>
      </c>
      <c r="AM55" s="245">
        <f t="shared" si="67"/>
        <v>15.365871165644162</v>
      </c>
      <c r="AN55" s="171">
        <v>326000</v>
      </c>
      <c r="AO55" s="173">
        <v>377357.09</v>
      </c>
      <c r="AP55" s="169">
        <f t="shared" si="79"/>
        <v>51357.090000000026</v>
      </c>
      <c r="AQ55" s="245">
        <f t="shared" si="68"/>
        <v>15.75370858895706</v>
      </c>
      <c r="AR55" s="171">
        <v>326000</v>
      </c>
      <c r="AS55" s="173">
        <v>367202.14</v>
      </c>
      <c r="AT55" s="169">
        <f t="shared" si="80"/>
        <v>41202.140000000014</v>
      </c>
      <c r="AU55" s="245">
        <f t="shared" si="69"/>
        <v>12.63869325153375</v>
      </c>
      <c r="AV55" s="171">
        <v>326000</v>
      </c>
      <c r="AW55" s="171">
        <v>457033.79</v>
      </c>
      <c r="AX55" s="169">
        <f t="shared" si="81"/>
        <v>131033.78999999998</v>
      </c>
      <c r="AY55" s="245">
        <f t="shared" si="70"/>
        <v>40.194414110429435</v>
      </c>
      <c r="AZ55" s="171">
        <v>326000</v>
      </c>
      <c r="BA55" s="171">
        <v>466504</v>
      </c>
      <c r="BB55" s="172">
        <f t="shared" si="82"/>
        <v>140504</v>
      </c>
      <c r="BC55" s="246">
        <f t="shared" si="71"/>
        <v>43.099386503067485</v>
      </c>
      <c r="BD55" s="570">
        <f t="shared" si="60"/>
        <v>3909206.76</v>
      </c>
      <c r="BE55" s="174">
        <f t="shared" si="58"/>
        <v>4543820.6199999992</v>
      </c>
      <c r="BF55" s="118"/>
    </row>
    <row r="56" spans="2:58" s="119" customFormat="1" x14ac:dyDescent="0.25">
      <c r="B56" s="170">
        <v>11481</v>
      </c>
      <c r="C56" s="135">
        <v>239</v>
      </c>
      <c r="D56" s="332" t="s">
        <v>30</v>
      </c>
      <c r="E56" s="341"/>
      <c r="F56" s="256"/>
      <c r="G56" s="328"/>
      <c r="H56" s="211">
        <v>177223.53</v>
      </c>
      <c r="I56" s="82">
        <v>179791.38</v>
      </c>
      <c r="J56" s="373">
        <f t="shared" si="59"/>
        <v>2567.8500000000058</v>
      </c>
      <c r="K56" s="372">
        <f t="shared" si="57"/>
        <v>1.4489328815423086</v>
      </c>
      <c r="L56" s="211">
        <v>177223.53</v>
      </c>
      <c r="M56" s="125">
        <v>180390.82</v>
      </c>
      <c r="N56" s="172">
        <f t="shared" si="72"/>
        <v>3167.2900000000081</v>
      </c>
      <c r="O56" s="245">
        <f t="shared" si="61"/>
        <v>1.7871723918375881</v>
      </c>
      <c r="P56" s="211">
        <v>177223.53</v>
      </c>
      <c r="Q56" s="125">
        <v>180480.36</v>
      </c>
      <c r="R56" s="172">
        <f t="shared" si="73"/>
        <v>3256.8299999999872</v>
      </c>
      <c r="S56" s="245">
        <f t="shared" si="62"/>
        <v>1.8376961569380734</v>
      </c>
      <c r="T56" s="211">
        <v>177223.53</v>
      </c>
      <c r="U56" s="125">
        <v>182304.86</v>
      </c>
      <c r="V56" s="172">
        <f t="shared" si="74"/>
        <v>5081.3299999999872</v>
      </c>
      <c r="W56" s="245">
        <f t="shared" si="63"/>
        <v>2.8671869926075733</v>
      </c>
      <c r="X56" s="121">
        <v>190000</v>
      </c>
      <c r="Y56" s="125">
        <v>157077.64000000001</v>
      </c>
      <c r="Z56" s="172">
        <f t="shared" si="75"/>
        <v>-32922.359999999986</v>
      </c>
      <c r="AA56" s="245">
        <f t="shared" si="64"/>
        <v>-17.327557894736834</v>
      </c>
      <c r="AB56" s="121">
        <v>190000</v>
      </c>
      <c r="AC56" s="125">
        <v>158608.72</v>
      </c>
      <c r="AD56" s="172">
        <f t="shared" si="76"/>
        <v>-31391.279999999999</v>
      </c>
      <c r="AE56" s="245">
        <f t="shared" si="65"/>
        <v>-16.521726315789476</v>
      </c>
      <c r="AF56" s="121">
        <v>190000</v>
      </c>
      <c r="AG56" s="858">
        <v>139608.51999999999</v>
      </c>
      <c r="AH56" s="172">
        <f t="shared" si="77"/>
        <v>-50391.48000000001</v>
      </c>
      <c r="AI56" s="245">
        <f t="shared" si="66"/>
        <v>-26.521831578947374</v>
      </c>
      <c r="AJ56" s="121">
        <v>190000</v>
      </c>
      <c r="AK56" s="171">
        <v>141238.34</v>
      </c>
      <c r="AL56" s="169">
        <f t="shared" si="78"/>
        <v>-48761.66</v>
      </c>
      <c r="AM56" s="245">
        <f t="shared" si="67"/>
        <v>-25.664031578947366</v>
      </c>
      <c r="AN56" s="121">
        <v>190000</v>
      </c>
      <c r="AO56" s="153">
        <v>159564.31</v>
      </c>
      <c r="AP56" s="169">
        <f t="shared" si="79"/>
        <v>-30435.690000000002</v>
      </c>
      <c r="AQ56" s="245">
        <f t="shared" si="68"/>
        <v>-16.018784210526317</v>
      </c>
      <c r="AR56" s="121">
        <v>190000</v>
      </c>
      <c r="AS56" s="153">
        <v>137897.32999999999</v>
      </c>
      <c r="AT56" s="169">
        <f t="shared" si="80"/>
        <v>-52102.670000000013</v>
      </c>
      <c r="AU56" s="245">
        <f t="shared" si="69"/>
        <v>-27.422457894736851</v>
      </c>
      <c r="AV56" s="121">
        <v>190000</v>
      </c>
      <c r="AW56" s="171">
        <v>161714.57999999999</v>
      </c>
      <c r="AX56" s="169">
        <f t="shared" si="81"/>
        <v>-28285.420000000013</v>
      </c>
      <c r="AY56" s="245">
        <f t="shared" si="70"/>
        <v>-14.887063157894742</v>
      </c>
      <c r="AZ56" s="121">
        <v>190000</v>
      </c>
      <c r="BA56" s="171">
        <v>164609.59</v>
      </c>
      <c r="BB56" s="172">
        <f t="shared" si="82"/>
        <v>-25390.410000000003</v>
      </c>
      <c r="BC56" s="246">
        <f t="shared" si="71"/>
        <v>-13.363373684210533</v>
      </c>
      <c r="BD56" s="570">
        <f t="shared" si="60"/>
        <v>2242967.42</v>
      </c>
      <c r="BE56" s="175">
        <f t="shared" si="58"/>
        <v>1943286.4500000004</v>
      </c>
      <c r="BF56" s="118"/>
    </row>
    <row r="57" spans="2:58" s="119" customFormat="1" x14ac:dyDescent="0.25">
      <c r="B57" s="170">
        <v>11434</v>
      </c>
      <c r="C57" s="135" t="s">
        <v>32</v>
      </c>
      <c r="D57" s="332" t="s">
        <v>173</v>
      </c>
      <c r="E57" s="341"/>
      <c r="F57" s="256"/>
      <c r="G57" s="328"/>
      <c r="H57" s="212">
        <v>30000</v>
      </c>
      <c r="I57" s="87">
        <v>23338.62</v>
      </c>
      <c r="J57" s="373">
        <f t="shared" si="59"/>
        <v>-6661.380000000001</v>
      </c>
      <c r="K57" s="372">
        <f t="shared" si="57"/>
        <v>-22.204600000000006</v>
      </c>
      <c r="L57" s="212">
        <v>30000</v>
      </c>
      <c r="M57" s="137">
        <v>22852.83</v>
      </c>
      <c r="N57" s="172">
        <f t="shared" si="72"/>
        <v>-7147.1699999999983</v>
      </c>
      <c r="O57" s="245">
        <f t="shared" si="61"/>
        <v>-23.823899999999998</v>
      </c>
      <c r="P57" s="212">
        <v>30000</v>
      </c>
      <c r="Q57" s="137">
        <v>31031.89</v>
      </c>
      <c r="R57" s="172">
        <f t="shared" si="73"/>
        <v>1031.8899999999994</v>
      </c>
      <c r="S57" s="245">
        <f t="shared" si="62"/>
        <v>3.4396333333333251</v>
      </c>
      <c r="T57" s="212">
        <v>30000</v>
      </c>
      <c r="U57" s="137">
        <v>37086.85</v>
      </c>
      <c r="V57" s="172">
        <f t="shared" si="74"/>
        <v>7086.8499999999985</v>
      </c>
      <c r="W57" s="245">
        <f t="shared" si="63"/>
        <v>23.622833333333325</v>
      </c>
      <c r="X57" s="136">
        <v>23000</v>
      </c>
      <c r="Y57" s="137">
        <v>44189.36</v>
      </c>
      <c r="Z57" s="172">
        <f t="shared" si="75"/>
        <v>21189.360000000001</v>
      </c>
      <c r="AA57" s="245">
        <f t="shared" si="64"/>
        <v>92.127652173913049</v>
      </c>
      <c r="AB57" s="136">
        <v>23000</v>
      </c>
      <c r="AC57" s="137">
        <v>67775.03</v>
      </c>
      <c r="AD57" s="172">
        <f t="shared" si="76"/>
        <v>44775.03</v>
      </c>
      <c r="AE57" s="245">
        <f t="shared" si="65"/>
        <v>194.67404347826087</v>
      </c>
      <c r="AF57" s="136">
        <v>23000</v>
      </c>
      <c r="AG57" s="858">
        <v>72747.55</v>
      </c>
      <c r="AH57" s="172">
        <f t="shared" si="77"/>
        <v>49747.55</v>
      </c>
      <c r="AI57" s="245">
        <f t="shared" si="66"/>
        <v>216.29369565217394</v>
      </c>
      <c r="AJ57" s="136">
        <v>23000</v>
      </c>
      <c r="AK57" s="171">
        <v>40304.75</v>
      </c>
      <c r="AL57" s="169">
        <f t="shared" si="78"/>
        <v>17304.75</v>
      </c>
      <c r="AM57" s="245">
        <f t="shared" si="67"/>
        <v>75.238043478260863</v>
      </c>
      <c r="AN57" s="136">
        <v>23000</v>
      </c>
      <c r="AO57" s="176">
        <v>43152.24</v>
      </c>
      <c r="AP57" s="169">
        <f t="shared" si="79"/>
        <v>20152.239999999998</v>
      </c>
      <c r="AQ57" s="245">
        <f t="shared" si="68"/>
        <v>87.618434782608688</v>
      </c>
      <c r="AR57" s="136">
        <v>23000</v>
      </c>
      <c r="AS57" s="176">
        <v>53872.91</v>
      </c>
      <c r="AT57" s="169">
        <f t="shared" si="80"/>
        <v>30872.910000000003</v>
      </c>
      <c r="AU57" s="245">
        <f t="shared" si="69"/>
        <v>134.23004347826088</v>
      </c>
      <c r="AV57" s="136">
        <v>23000</v>
      </c>
      <c r="AW57" s="171">
        <v>49432.22</v>
      </c>
      <c r="AX57" s="169">
        <f t="shared" si="81"/>
        <v>26432.22</v>
      </c>
      <c r="AY57" s="245">
        <f t="shared" si="70"/>
        <v>114.92269565217393</v>
      </c>
      <c r="AZ57" s="136">
        <v>23000</v>
      </c>
      <c r="BA57" s="171">
        <v>39453.839999999997</v>
      </c>
      <c r="BB57" s="172">
        <f t="shared" si="82"/>
        <v>16453.839999999997</v>
      </c>
      <c r="BC57" s="246">
        <f t="shared" si="71"/>
        <v>71.538434782608689</v>
      </c>
      <c r="BD57" s="570">
        <f t="shared" si="60"/>
        <v>298310.19000000006</v>
      </c>
      <c r="BE57" s="177">
        <f t="shared" si="58"/>
        <v>525238.09</v>
      </c>
      <c r="BF57" s="118"/>
    </row>
    <row r="58" spans="2:58" s="119" customFormat="1" x14ac:dyDescent="0.25">
      <c r="B58" s="170">
        <v>11498</v>
      </c>
      <c r="C58" s="135">
        <v>188</v>
      </c>
      <c r="D58" s="332" t="s">
        <v>174</v>
      </c>
      <c r="E58" s="341"/>
      <c r="F58" s="320"/>
      <c r="G58" s="328"/>
      <c r="H58" s="212">
        <v>21027.040000000001</v>
      </c>
      <c r="I58" s="87">
        <v>5302.05</v>
      </c>
      <c r="J58" s="373">
        <f t="shared" si="59"/>
        <v>-15724.990000000002</v>
      </c>
      <c r="K58" s="372">
        <f t="shared" si="57"/>
        <v>-74.784610672733777</v>
      </c>
      <c r="L58" s="212">
        <v>21027.040000000001</v>
      </c>
      <c r="M58" s="137">
        <v>10407.61</v>
      </c>
      <c r="N58" s="172">
        <f t="shared" si="72"/>
        <v>-10619.43</v>
      </c>
      <c r="O58" s="245">
        <f t="shared" si="61"/>
        <v>-50.503684779217615</v>
      </c>
      <c r="P58" s="212">
        <v>21027.040000000001</v>
      </c>
      <c r="Q58" s="137">
        <v>10773.61</v>
      </c>
      <c r="R58" s="172">
        <f t="shared" si="73"/>
        <v>-10253.43</v>
      </c>
      <c r="S58" s="245">
        <f t="shared" si="62"/>
        <v>-48.763068886538477</v>
      </c>
      <c r="T58" s="212">
        <v>21027.040000000001</v>
      </c>
      <c r="U58" s="137">
        <v>11547.72</v>
      </c>
      <c r="V58" s="172">
        <f t="shared" si="74"/>
        <v>-9479.3200000000015</v>
      </c>
      <c r="W58" s="245">
        <f t="shared" si="63"/>
        <v>-45.081571157899546</v>
      </c>
      <c r="X58" s="136">
        <v>21027.040000000001</v>
      </c>
      <c r="Y58" s="137">
        <v>11028.34</v>
      </c>
      <c r="Z58" s="172">
        <f t="shared" si="75"/>
        <v>-9998.7000000000007</v>
      </c>
      <c r="AA58" s="245">
        <f t="shared" si="64"/>
        <v>-47.551628759920561</v>
      </c>
      <c r="AB58" s="136">
        <v>21027.040000000001</v>
      </c>
      <c r="AC58" s="137">
        <v>11329.01</v>
      </c>
      <c r="AD58" s="172">
        <f t="shared" si="76"/>
        <v>-9698.0300000000007</v>
      </c>
      <c r="AE58" s="245">
        <f t="shared" si="65"/>
        <v>-46.121708048303525</v>
      </c>
      <c r="AF58" s="136">
        <v>21027.040000000001</v>
      </c>
      <c r="AG58" s="858">
        <v>11786.35</v>
      </c>
      <c r="AH58" s="172">
        <f t="shared" si="77"/>
        <v>-9240.69</v>
      </c>
      <c r="AI58" s="245">
        <f t="shared" si="66"/>
        <v>-43.946699107434995</v>
      </c>
      <c r="AJ58" s="136">
        <v>21027.040000000001</v>
      </c>
      <c r="AK58" s="171">
        <v>10557.32</v>
      </c>
      <c r="AL58" s="169">
        <f t="shared" si="78"/>
        <v>-10469.720000000001</v>
      </c>
      <c r="AM58" s="245">
        <f t="shared" si="67"/>
        <v>-49.791696786613812</v>
      </c>
      <c r="AN58" s="136">
        <v>21027.040000000001</v>
      </c>
      <c r="AO58" s="176">
        <v>9888.51</v>
      </c>
      <c r="AP58" s="169">
        <f t="shared" si="79"/>
        <v>-11138.53</v>
      </c>
      <c r="AQ58" s="245">
        <f t="shared" si="68"/>
        <v>-52.972410762522927</v>
      </c>
      <c r="AR58" s="136">
        <v>21027.040000000001</v>
      </c>
      <c r="AS58" s="176">
        <v>2399.0300000000002</v>
      </c>
      <c r="AT58" s="169">
        <f t="shared" si="80"/>
        <v>-18628.010000000002</v>
      </c>
      <c r="AU58" s="245">
        <f t="shared" si="69"/>
        <v>-88.590738401600987</v>
      </c>
      <c r="AV58" s="136">
        <v>21027.040000000001</v>
      </c>
      <c r="AW58" s="171">
        <v>2414.5100000000002</v>
      </c>
      <c r="AX58" s="169">
        <f t="shared" si="81"/>
        <v>-18612.53</v>
      </c>
      <c r="AY58" s="245">
        <f t="shared" si="70"/>
        <v>-88.517118909746685</v>
      </c>
      <c r="AZ58" s="136">
        <v>21027.040000000001</v>
      </c>
      <c r="BA58" s="171">
        <v>15495.38</v>
      </c>
      <c r="BB58" s="172">
        <f t="shared" si="82"/>
        <v>-5531.6600000000017</v>
      </c>
      <c r="BC58" s="246">
        <f t="shared" si="71"/>
        <v>-26.307364231960374</v>
      </c>
      <c r="BD58" s="570">
        <f t="shared" si="60"/>
        <v>206247.31000000003</v>
      </c>
      <c r="BE58" s="177">
        <f t="shared" si="58"/>
        <v>112929.44</v>
      </c>
      <c r="BF58" s="118"/>
    </row>
    <row r="59" spans="2:58" s="119" customFormat="1" x14ac:dyDescent="0.25">
      <c r="B59" s="170">
        <v>12320</v>
      </c>
      <c r="C59" s="135">
        <v>216</v>
      </c>
      <c r="D59" s="332" t="s">
        <v>175</v>
      </c>
      <c r="E59" s="341"/>
      <c r="F59" s="256"/>
      <c r="G59" s="328"/>
      <c r="H59" s="212">
        <v>22340.799999999999</v>
      </c>
      <c r="I59" s="87">
        <v>9368.75</v>
      </c>
      <c r="J59" s="373">
        <f t="shared" si="59"/>
        <v>-12972.05</v>
      </c>
      <c r="K59" s="372">
        <f t="shared" si="57"/>
        <v>-58.06439339683449</v>
      </c>
      <c r="L59" s="212">
        <v>22340.799999999999</v>
      </c>
      <c r="M59" s="137">
        <v>10008</v>
      </c>
      <c r="N59" s="172">
        <f t="shared" si="72"/>
        <v>-12332.8</v>
      </c>
      <c r="O59" s="245">
        <f t="shared" si="61"/>
        <v>-55.203036596719897</v>
      </c>
      <c r="P59" s="212">
        <v>22340.799999999999</v>
      </c>
      <c r="Q59" s="137">
        <v>13603.5</v>
      </c>
      <c r="R59" s="172">
        <f t="shared" si="73"/>
        <v>-8737.2999999999993</v>
      </c>
      <c r="S59" s="245">
        <f t="shared" si="62"/>
        <v>-39.109163503545084</v>
      </c>
      <c r="T59" s="212">
        <v>22340.799999999999</v>
      </c>
      <c r="U59" s="137">
        <v>10445.5</v>
      </c>
      <c r="V59" s="172">
        <f t="shared" si="74"/>
        <v>-11895.3</v>
      </c>
      <c r="W59" s="245">
        <f t="shared" si="63"/>
        <v>-53.244736088233189</v>
      </c>
      <c r="X59" s="136">
        <v>10000</v>
      </c>
      <c r="Y59" s="137">
        <v>12926.75</v>
      </c>
      <c r="Z59" s="172">
        <f t="shared" si="75"/>
        <v>2926.75</v>
      </c>
      <c r="AA59" s="245">
        <f t="shared" si="64"/>
        <v>29.267500000000002</v>
      </c>
      <c r="AB59" s="136">
        <v>10000</v>
      </c>
      <c r="AC59" s="137">
        <v>21581.66</v>
      </c>
      <c r="AD59" s="172">
        <f t="shared" si="76"/>
        <v>11581.66</v>
      </c>
      <c r="AE59" s="245">
        <f t="shared" si="65"/>
        <v>115.81660000000001</v>
      </c>
      <c r="AF59" s="136">
        <v>10000</v>
      </c>
      <c r="AG59" s="858">
        <v>-1065.6600000000001</v>
      </c>
      <c r="AH59" s="172">
        <f t="shared" si="77"/>
        <v>-11065.66</v>
      </c>
      <c r="AI59" s="245">
        <f t="shared" si="66"/>
        <v>-110.6566</v>
      </c>
      <c r="AJ59" s="136">
        <v>10000</v>
      </c>
      <c r="AK59" s="171">
        <v>13570</v>
      </c>
      <c r="AL59" s="169">
        <f t="shared" si="78"/>
        <v>3570</v>
      </c>
      <c r="AM59" s="245">
        <f t="shared" si="67"/>
        <v>35.699999999999996</v>
      </c>
      <c r="AN59" s="136">
        <v>10000</v>
      </c>
      <c r="AO59" s="176">
        <v>12420</v>
      </c>
      <c r="AP59" s="169">
        <f t="shared" si="79"/>
        <v>2420</v>
      </c>
      <c r="AQ59" s="245">
        <f t="shared" si="68"/>
        <v>24.2</v>
      </c>
      <c r="AR59" s="136">
        <v>10000</v>
      </c>
      <c r="AS59" s="176">
        <v>13195</v>
      </c>
      <c r="AT59" s="169">
        <f t="shared" si="80"/>
        <v>3195</v>
      </c>
      <c r="AU59" s="245">
        <f t="shared" si="69"/>
        <v>31.949999999999989</v>
      </c>
      <c r="AV59" s="136">
        <v>10000</v>
      </c>
      <c r="AW59" s="171">
        <v>23813.66</v>
      </c>
      <c r="AX59" s="169">
        <f t="shared" si="81"/>
        <v>13813.66</v>
      </c>
      <c r="AY59" s="245">
        <f t="shared" si="70"/>
        <v>138.13659999999999</v>
      </c>
      <c r="AZ59" s="136">
        <v>10000</v>
      </c>
      <c r="BA59" s="171">
        <v>19304</v>
      </c>
      <c r="BB59" s="172">
        <f t="shared" si="82"/>
        <v>9304</v>
      </c>
      <c r="BC59" s="246">
        <f t="shared" si="71"/>
        <v>93.039999999999992</v>
      </c>
      <c r="BD59" s="570">
        <f t="shared" si="60"/>
        <v>123425.75</v>
      </c>
      <c r="BE59" s="177">
        <f t="shared" si="58"/>
        <v>159171.16</v>
      </c>
      <c r="BF59" s="118"/>
    </row>
    <row r="60" spans="2:58" s="119" customFormat="1" x14ac:dyDescent="0.25">
      <c r="B60" s="170" t="s">
        <v>33</v>
      </c>
      <c r="C60" s="135">
        <v>188</v>
      </c>
      <c r="D60" s="332" t="s">
        <v>176</v>
      </c>
      <c r="E60" s="341"/>
      <c r="F60" s="320"/>
      <c r="G60" s="328"/>
      <c r="H60" s="212">
        <v>330000</v>
      </c>
      <c r="I60" s="87">
        <f>385205.06+0</f>
        <v>385205.06</v>
      </c>
      <c r="J60" s="373">
        <f t="shared" si="59"/>
        <v>55205.06</v>
      </c>
      <c r="K60" s="372">
        <f t="shared" si="57"/>
        <v>16.72880606060605</v>
      </c>
      <c r="L60" s="212">
        <v>330000</v>
      </c>
      <c r="M60" s="137">
        <f>326159.89+0</f>
        <v>326159.89</v>
      </c>
      <c r="N60" s="172">
        <f t="shared" si="72"/>
        <v>-3840.109999999986</v>
      </c>
      <c r="O60" s="245">
        <f t="shared" si="61"/>
        <v>-1.1636696969696936</v>
      </c>
      <c r="P60" s="212">
        <v>330000</v>
      </c>
      <c r="Q60" s="137">
        <v>328187.78999999998</v>
      </c>
      <c r="R60" s="172">
        <f t="shared" si="73"/>
        <v>-1812.210000000021</v>
      </c>
      <c r="S60" s="245">
        <f t="shared" si="62"/>
        <v>-0.54915454545455544</v>
      </c>
      <c r="T60" s="212">
        <v>275000</v>
      </c>
      <c r="U60" s="137">
        <v>281439.5</v>
      </c>
      <c r="V60" s="172">
        <f t="shared" si="74"/>
        <v>6439.5</v>
      </c>
      <c r="W60" s="245">
        <f t="shared" si="63"/>
        <v>2.3416363636363569</v>
      </c>
      <c r="X60" s="136">
        <v>280000</v>
      </c>
      <c r="Y60" s="137">
        <f>275092</f>
        <v>275092</v>
      </c>
      <c r="Z60" s="172">
        <f t="shared" si="75"/>
        <v>-4908</v>
      </c>
      <c r="AA60" s="245">
        <f t="shared" si="64"/>
        <v>-1.7528571428571449</v>
      </c>
      <c r="AB60" s="136">
        <v>280000</v>
      </c>
      <c r="AC60" s="137">
        <v>267395.20000000001</v>
      </c>
      <c r="AD60" s="172">
        <f t="shared" si="76"/>
        <v>-12604.799999999988</v>
      </c>
      <c r="AE60" s="245">
        <f t="shared" si="65"/>
        <v>-4.5017142857142867</v>
      </c>
      <c r="AF60" s="136">
        <v>280000</v>
      </c>
      <c r="AG60" s="858">
        <v>268551.3</v>
      </c>
      <c r="AH60" s="172">
        <f t="shared" si="77"/>
        <v>-11448.700000000012</v>
      </c>
      <c r="AI60" s="245">
        <f t="shared" si="66"/>
        <v>-4.0888214285714319</v>
      </c>
      <c r="AJ60" s="136">
        <v>280000</v>
      </c>
      <c r="AK60" s="171">
        <v>271421.8</v>
      </c>
      <c r="AL60" s="169">
        <f t="shared" si="78"/>
        <v>-8578.2000000000116</v>
      </c>
      <c r="AM60" s="245">
        <f t="shared" si="67"/>
        <v>-3.0636428571428564</v>
      </c>
      <c r="AN60" s="136">
        <v>280000</v>
      </c>
      <c r="AO60" s="176">
        <v>271173.15000000002</v>
      </c>
      <c r="AP60" s="169">
        <f t="shared" si="79"/>
        <v>-8826.8499999999767</v>
      </c>
      <c r="AQ60" s="245">
        <f t="shared" si="68"/>
        <v>-3.1524464285714204</v>
      </c>
      <c r="AR60" s="136">
        <v>280000</v>
      </c>
      <c r="AS60" s="176">
        <v>276271.8</v>
      </c>
      <c r="AT60" s="169">
        <f t="shared" si="80"/>
        <v>-3728.2000000000116</v>
      </c>
      <c r="AU60" s="245">
        <f t="shared" si="69"/>
        <v>-1.3315000000000077</v>
      </c>
      <c r="AV60" s="136">
        <v>280000</v>
      </c>
      <c r="AW60" s="171">
        <v>420784.12</v>
      </c>
      <c r="AX60" s="169">
        <f t="shared" si="81"/>
        <v>140784.12</v>
      </c>
      <c r="AY60" s="245">
        <f t="shared" si="70"/>
        <v>50.280042857142845</v>
      </c>
      <c r="AZ60" s="136">
        <v>280000</v>
      </c>
      <c r="BA60" s="171">
        <v>282245.92</v>
      </c>
      <c r="BB60" s="172">
        <f t="shared" si="82"/>
        <v>2245.9199999999837</v>
      </c>
      <c r="BC60" s="246">
        <f t="shared" si="71"/>
        <v>0.80211428571428378</v>
      </c>
      <c r="BD60" s="570">
        <f t="shared" si="60"/>
        <v>3560992.24</v>
      </c>
      <c r="BE60" s="177">
        <f t="shared" si="58"/>
        <v>3653927.5299999993</v>
      </c>
      <c r="BF60" s="118"/>
    </row>
    <row r="61" spans="2:58" s="119" customFormat="1" x14ac:dyDescent="0.25">
      <c r="B61" s="170">
        <v>12276</v>
      </c>
      <c r="C61" s="135">
        <v>190</v>
      </c>
      <c r="D61" s="332" t="s">
        <v>34</v>
      </c>
      <c r="E61" s="341"/>
      <c r="F61" s="320"/>
      <c r="G61" s="328"/>
      <c r="H61" s="212">
        <v>10076</v>
      </c>
      <c r="I61" s="46">
        <v>9882</v>
      </c>
      <c r="J61" s="373">
        <f t="shared" si="59"/>
        <v>-194</v>
      </c>
      <c r="K61" s="372">
        <f t="shared" si="57"/>
        <v>-1.9253672092100049</v>
      </c>
      <c r="L61" s="212">
        <v>10076</v>
      </c>
      <c r="M61" s="137">
        <v>9182</v>
      </c>
      <c r="N61" s="172">
        <f t="shared" si="72"/>
        <v>-894</v>
      </c>
      <c r="O61" s="245">
        <f t="shared" si="61"/>
        <v>-8.8725684795553761</v>
      </c>
      <c r="P61" s="212">
        <v>10076</v>
      </c>
      <c r="Q61" s="137">
        <v>13531</v>
      </c>
      <c r="R61" s="172">
        <f t="shared" si="73"/>
        <v>3455</v>
      </c>
      <c r="S61" s="245">
        <f t="shared" si="62"/>
        <v>34.289400555776098</v>
      </c>
      <c r="T61" s="212">
        <v>10076</v>
      </c>
      <c r="U61" s="137">
        <v>9176</v>
      </c>
      <c r="V61" s="172">
        <f t="shared" si="74"/>
        <v>-900</v>
      </c>
      <c r="W61" s="245">
        <f t="shared" si="63"/>
        <v>-8.932115919015482</v>
      </c>
      <c r="X61" s="136"/>
      <c r="Y61" s="137">
        <v>0</v>
      </c>
      <c r="Z61" s="172">
        <f t="shared" si="75"/>
        <v>0</v>
      </c>
      <c r="AA61" s="245"/>
      <c r="AB61" s="136"/>
      <c r="AC61" s="137">
        <v>114.7</v>
      </c>
      <c r="AD61" s="172">
        <f t="shared" si="76"/>
        <v>114.7</v>
      </c>
      <c r="AE61" s="245"/>
      <c r="AF61" s="136"/>
      <c r="AG61" s="858">
        <v>8928</v>
      </c>
      <c r="AH61" s="172">
        <f t="shared" si="77"/>
        <v>8928</v>
      </c>
      <c r="AI61" s="245"/>
      <c r="AJ61" s="136">
        <v>0</v>
      </c>
      <c r="AK61" s="171">
        <v>7936</v>
      </c>
      <c r="AL61" s="169">
        <f t="shared" si="78"/>
        <v>7936</v>
      </c>
      <c r="AM61" s="245"/>
      <c r="AN61" s="136"/>
      <c r="AO61" s="176">
        <v>8855.92</v>
      </c>
      <c r="AP61" s="169">
        <f t="shared" si="79"/>
        <v>8855.92</v>
      </c>
      <c r="AQ61" s="245"/>
      <c r="AR61" s="136">
        <v>0</v>
      </c>
      <c r="AS61" s="176">
        <v>10161.879999999999</v>
      </c>
      <c r="AT61" s="169">
        <f t="shared" si="80"/>
        <v>10161.879999999999</v>
      </c>
      <c r="AU61" s="245">
        <v>0</v>
      </c>
      <c r="AV61" s="136"/>
      <c r="AW61" s="171">
        <v>23308.47</v>
      </c>
      <c r="AX61" s="169">
        <f t="shared" si="81"/>
        <v>23308.47</v>
      </c>
      <c r="AY61" s="245"/>
      <c r="AZ61" s="136"/>
      <c r="BA61" s="171">
        <v>11857.9</v>
      </c>
      <c r="BB61" s="172">
        <f t="shared" si="82"/>
        <v>11857.9</v>
      </c>
      <c r="BC61" s="246"/>
      <c r="BD61" s="570">
        <f t="shared" si="60"/>
        <v>41771</v>
      </c>
      <c r="BE61" s="177">
        <f t="shared" si="58"/>
        <v>112933.87</v>
      </c>
      <c r="BF61" s="118"/>
    </row>
    <row r="62" spans="2:58" s="119" customFormat="1" x14ac:dyDescent="0.25">
      <c r="B62" s="170">
        <v>12204</v>
      </c>
      <c r="C62" s="135">
        <v>305</v>
      </c>
      <c r="D62" s="332" t="s">
        <v>177</v>
      </c>
      <c r="E62" s="341"/>
      <c r="F62" s="256"/>
      <c r="G62" s="328"/>
      <c r="H62" s="212">
        <v>1039.875</v>
      </c>
      <c r="I62" s="46">
        <v>2069.84</v>
      </c>
      <c r="J62" s="373">
        <f t="shared" si="59"/>
        <v>1029.9650000000001</v>
      </c>
      <c r="K62" s="372">
        <f t="shared" si="57"/>
        <v>99.047000841447314</v>
      </c>
      <c r="L62" s="212">
        <v>1039.875</v>
      </c>
      <c r="M62" s="137">
        <v>2930.99</v>
      </c>
      <c r="N62" s="172">
        <f t="shared" si="72"/>
        <v>1891.1149999999998</v>
      </c>
      <c r="O62" s="245">
        <f t="shared" si="61"/>
        <v>181.85983892294746</v>
      </c>
      <c r="P62" s="212">
        <v>1039.875</v>
      </c>
      <c r="Q62" s="137">
        <v>1776.89</v>
      </c>
      <c r="R62" s="172">
        <f t="shared" si="73"/>
        <v>737.0150000000001</v>
      </c>
      <c r="S62" s="245">
        <f t="shared" si="62"/>
        <v>70.875345594422413</v>
      </c>
      <c r="T62" s="212">
        <v>1039.875</v>
      </c>
      <c r="U62" s="137">
        <v>1012.47</v>
      </c>
      <c r="V62" s="172">
        <f t="shared" si="74"/>
        <v>-27.404999999999973</v>
      </c>
      <c r="W62" s="245">
        <f t="shared" si="63"/>
        <v>-2.6354129102055479</v>
      </c>
      <c r="X62" s="136">
        <v>1039.875</v>
      </c>
      <c r="Y62" s="137">
        <v>0</v>
      </c>
      <c r="Z62" s="172">
        <f t="shared" si="75"/>
        <v>-1039.875</v>
      </c>
      <c r="AA62" s="245">
        <f t="shared" si="64"/>
        <v>-100</v>
      </c>
      <c r="AB62" s="136">
        <v>1039.875</v>
      </c>
      <c r="AC62" s="137">
        <v>0</v>
      </c>
      <c r="AD62" s="172">
        <f t="shared" si="76"/>
        <v>-1039.875</v>
      </c>
      <c r="AE62" s="245">
        <f t="shared" si="65"/>
        <v>-100</v>
      </c>
      <c r="AF62" s="136">
        <v>1039.875</v>
      </c>
      <c r="AG62" s="858">
        <v>0</v>
      </c>
      <c r="AH62" s="172">
        <f t="shared" si="77"/>
        <v>-1039.875</v>
      </c>
      <c r="AI62" s="245">
        <f t="shared" si="66"/>
        <v>-100</v>
      </c>
      <c r="AJ62" s="136">
        <v>1039.875</v>
      </c>
      <c r="AK62" s="171">
        <v>0</v>
      </c>
      <c r="AL62" s="169">
        <f t="shared" si="78"/>
        <v>-1039.875</v>
      </c>
      <c r="AM62" s="245">
        <f t="shared" si="67"/>
        <v>-100</v>
      </c>
      <c r="AN62" s="136">
        <v>1039.875</v>
      </c>
      <c r="AO62" s="176">
        <v>8142.72</v>
      </c>
      <c r="AP62" s="169">
        <f t="shared" si="79"/>
        <v>7102.8450000000003</v>
      </c>
      <c r="AQ62" s="245">
        <f t="shared" si="68"/>
        <v>683.04796249549224</v>
      </c>
      <c r="AR62" s="136">
        <v>1039.875</v>
      </c>
      <c r="AS62" s="176">
        <v>4072.2</v>
      </c>
      <c r="AT62" s="169">
        <f t="shared" si="80"/>
        <v>3032.3249999999998</v>
      </c>
      <c r="AU62" s="245">
        <f t="shared" si="69"/>
        <v>291.60476018752252</v>
      </c>
      <c r="AV62" s="136">
        <v>1039.875</v>
      </c>
      <c r="AW62" s="171">
        <v>0</v>
      </c>
      <c r="AX62" s="169">
        <f t="shared" si="81"/>
        <v>-1039.875</v>
      </c>
      <c r="AY62" s="245">
        <f t="shared" si="70"/>
        <v>-100</v>
      </c>
      <c r="AZ62" s="136">
        <v>1039.875</v>
      </c>
      <c r="BA62" s="171">
        <v>3834.97</v>
      </c>
      <c r="BB62" s="172">
        <f t="shared" si="82"/>
        <v>2795.0949999999998</v>
      </c>
      <c r="BC62" s="246">
        <f t="shared" si="71"/>
        <v>268.79144127899986</v>
      </c>
      <c r="BD62" s="570">
        <f t="shared" si="60"/>
        <v>16109.189999999999</v>
      </c>
      <c r="BE62" s="177">
        <f t="shared" si="58"/>
        <v>23840.080000000002</v>
      </c>
      <c r="BF62" s="118"/>
    </row>
    <row r="63" spans="2:58" s="119" customFormat="1" x14ac:dyDescent="0.25">
      <c r="B63" s="170">
        <v>11652</v>
      </c>
      <c r="C63" s="135">
        <v>165</v>
      </c>
      <c r="D63" s="332" t="s">
        <v>178</v>
      </c>
      <c r="E63" s="341"/>
      <c r="F63" s="256"/>
      <c r="G63" s="328"/>
      <c r="H63" s="212">
        <v>5855.9650000000001</v>
      </c>
      <c r="I63" s="46">
        <v>5088.7299999999996</v>
      </c>
      <c r="J63" s="373">
        <f t="shared" si="59"/>
        <v>-767.23500000000058</v>
      </c>
      <c r="K63" s="372">
        <f t="shared" si="57"/>
        <v>-13.101768880107734</v>
      </c>
      <c r="L63" s="212">
        <v>5855.9650000000001</v>
      </c>
      <c r="M63" s="137">
        <v>5363.14</v>
      </c>
      <c r="N63" s="172">
        <f t="shared" si="72"/>
        <v>-492.82499999999982</v>
      </c>
      <c r="O63" s="245">
        <f t="shared" si="61"/>
        <v>-8.4157777582345439</v>
      </c>
      <c r="P63" s="212">
        <v>5855.9650000000001</v>
      </c>
      <c r="Q63" s="137">
        <v>4190.72</v>
      </c>
      <c r="R63" s="172">
        <f t="shared" si="73"/>
        <v>-1665.2449999999999</v>
      </c>
      <c r="S63" s="245">
        <f t="shared" si="62"/>
        <v>-28.436730752318361</v>
      </c>
      <c r="T63" s="212">
        <v>5855.9650000000001</v>
      </c>
      <c r="U63" s="137">
        <v>86</v>
      </c>
      <c r="V63" s="172">
        <f t="shared" si="74"/>
        <v>-5769.9650000000001</v>
      </c>
      <c r="W63" s="245">
        <f t="shared" si="63"/>
        <v>-98.531411987605793</v>
      </c>
      <c r="X63" s="136">
        <v>5000</v>
      </c>
      <c r="Y63" s="137">
        <v>10464.299999999999</v>
      </c>
      <c r="Z63" s="172">
        <f t="shared" si="75"/>
        <v>5464.2999999999993</v>
      </c>
      <c r="AA63" s="245">
        <f t="shared" si="64"/>
        <v>109.286</v>
      </c>
      <c r="AB63" s="136">
        <v>5000</v>
      </c>
      <c r="AC63" s="137">
        <v>4006.5</v>
      </c>
      <c r="AD63" s="172">
        <f t="shared" si="76"/>
        <v>-993.5</v>
      </c>
      <c r="AE63" s="245">
        <f t="shared" si="65"/>
        <v>-19.869999999999997</v>
      </c>
      <c r="AF63" s="136">
        <v>5000</v>
      </c>
      <c r="AG63" s="858">
        <v>4000</v>
      </c>
      <c r="AH63" s="172">
        <f t="shared" si="77"/>
        <v>-1000</v>
      </c>
      <c r="AI63" s="245">
        <f t="shared" si="66"/>
        <v>-19.999999999999996</v>
      </c>
      <c r="AJ63" s="136">
        <v>5000</v>
      </c>
      <c r="AK63" s="171">
        <v>4623.16</v>
      </c>
      <c r="AL63" s="169">
        <f t="shared" si="78"/>
        <v>-376.84000000000015</v>
      </c>
      <c r="AM63" s="245">
        <f t="shared" si="67"/>
        <v>-7.5367999999999995</v>
      </c>
      <c r="AN63" s="136">
        <v>5000</v>
      </c>
      <c r="AO63" s="176">
        <v>6905.14</v>
      </c>
      <c r="AP63" s="169">
        <f t="shared" si="79"/>
        <v>1905.1400000000003</v>
      </c>
      <c r="AQ63" s="245">
        <f t="shared" si="68"/>
        <v>38.102800000000016</v>
      </c>
      <c r="AR63" s="136">
        <v>5000</v>
      </c>
      <c r="AS63" s="176">
        <v>2599.0300000000002</v>
      </c>
      <c r="AT63" s="169">
        <f t="shared" si="80"/>
        <v>-2400.9699999999998</v>
      </c>
      <c r="AU63" s="245">
        <f t="shared" si="69"/>
        <v>-48.019400000000005</v>
      </c>
      <c r="AV63" s="136">
        <v>5000</v>
      </c>
      <c r="AW63" s="171">
        <v>4040</v>
      </c>
      <c r="AX63" s="169">
        <f t="shared" si="81"/>
        <v>-960</v>
      </c>
      <c r="AY63" s="245">
        <f t="shared" si="70"/>
        <v>-19.199999999999996</v>
      </c>
      <c r="AZ63" s="136">
        <v>5000</v>
      </c>
      <c r="BA63" s="171">
        <v>4863.75</v>
      </c>
      <c r="BB63" s="172">
        <f t="shared" si="82"/>
        <v>-136.25</v>
      </c>
      <c r="BC63" s="246">
        <f t="shared" si="71"/>
        <v>-2.7249999999999996</v>
      </c>
      <c r="BD63" s="570">
        <f t="shared" si="60"/>
        <v>54728.59</v>
      </c>
      <c r="BE63" s="177">
        <f t="shared" si="58"/>
        <v>56230.47</v>
      </c>
      <c r="BF63" s="118"/>
    </row>
    <row r="64" spans="2:58" s="119" customFormat="1" ht="47.25" x14ac:dyDescent="0.25">
      <c r="B64" s="170" t="s">
        <v>136</v>
      </c>
      <c r="C64" s="135" t="s">
        <v>35</v>
      </c>
      <c r="D64" s="332" t="s">
        <v>36</v>
      </c>
      <c r="E64" s="341"/>
      <c r="F64" s="256"/>
      <c r="G64" s="328"/>
      <c r="H64" s="212">
        <v>9136.23</v>
      </c>
      <c r="I64" s="46">
        <f>0+2985.67+0+0+1080</f>
        <v>4065.67</v>
      </c>
      <c r="J64" s="373">
        <f t="shared" si="59"/>
        <v>-5070.5599999999995</v>
      </c>
      <c r="K64" s="372">
        <f t="shared" si="57"/>
        <v>-55.499478450082805</v>
      </c>
      <c r="L64" s="212">
        <v>9136.23</v>
      </c>
      <c r="M64" s="137">
        <f>0+1523.16+0+0+0</f>
        <v>1523.16</v>
      </c>
      <c r="N64" s="172">
        <f t="shared" si="72"/>
        <v>-7613.07</v>
      </c>
      <c r="O64" s="245">
        <f t="shared" si="61"/>
        <v>-83.328353160986538</v>
      </c>
      <c r="P64" s="212">
        <v>9136.23</v>
      </c>
      <c r="Q64" s="137">
        <f>1523.16+498</f>
        <v>2021.16</v>
      </c>
      <c r="R64" s="172">
        <f t="shared" si="73"/>
        <v>-7115.07</v>
      </c>
      <c r="S64" s="245">
        <f t="shared" si="62"/>
        <v>-77.877527163830166</v>
      </c>
      <c r="T64" s="212">
        <v>9136.23</v>
      </c>
      <c r="U64" s="137">
        <v>1523.16</v>
      </c>
      <c r="V64" s="172">
        <f t="shared" si="74"/>
        <v>-7613.07</v>
      </c>
      <c r="W64" s="245">
        <f t="shared" si="63"/>
        <v>-83.328353160986538</v>
      </c>
      <c r="X64" s="136">
        <v>3000</v>
      </c>
      <c r="Y64" s="137">
        <f>1523.16+2014.69</f>
        <v>3537.8500000000004</v>
      </c>
      <c r="Z64" s="172">
        <f t="shared" si="75"/>
        <v>537.85000000000036</v>
      </c>
      <c r="AA64" s="245">
        <f t="shared" si="64"/>
        <v>17.928333333333345</v>
      </c>
      <c r="AB64" s="136">
        <v>3000</v>
      </c>
      <c r="AC64" s="137">
        <v>1883.16</v>
      </c>
      <c r="AD64" s="172">
        <f t="shared" si="76"/>
        <v>-1116.8399999999999</v>
      </c>
      <c r="AE64" s="245">
        <f t="shared" si="65"/>
        <v>-37.227999999999994</v>
      </c>
      <c r="AF64" s="136">
        <v>3000</v>
      </c>
      <c r="AG64" s="137">
        <v>1523.16</v>
      </c>
      <c r="AH64" s="172">
        <f t="shared" si="77"/>
        <v>-1476.84</v>
      </c>
      <c r="AI64" s="245">
        <f t="shared" si="66"/>
        <v>-49.227999999999994</v>
      </c>
      <c r="AJ64" s="136">
        <v>3000</v>
      </c>
      <c r="AK64" s="136">
        <v>2363.81</v>
      </c>
      <c r="AL64" s="169">
        <f t="shared" si="78"/>
        <v>-636.19000000000005</v>
      </c>
      <c r="AM64" s="245">
        <f t="shared" si="67"/>
        <v>-21.206333333333337</v>
      </c>
      <c r="AN64" s="136">
        <v>3000</v>
      </c>
      <c r="AO64" s="176">
        <v>2183.81</v>
      </c>
      <c r="AP64" s="169">
        <f t="shared" si="79"/>
        <v>-816.19</v>
      </c>
      <c r="AQ64" s="245">
        <f t="shared" si="68"/>
        <v>-27.206333333333333</v>
      </c>
      <c r="AR64" s="136">
        <v>3000</v>
      </c>
      <c r="AS64" s="176">
        <v>1583.81</v>
      </c>
      <c r="AT64" s="169">
        <f t="shared" si="80"/>
        <v>-1416.19</v>
      </c>
      <c r="AU64" s="245">
        <f t="shared" si="69"/>
        <v>-47.20633333333334</v>
      </c>
      <c r="AV64" s="136">
        <v>3000</v>
      </c>
      <c r="AW64" s="171">
        <v>2015.81</v>
      </c>
      <c r="AX64" s="169">
        <f t="shared" si="81"/>
        <v>-984.19</v>
      </c>
      <c r="AY64" s="245">
        <f t="shared" si="70"/>
        <v>-32.806333333333335</v>
      </c>
      <c r="AZ64" s="136">
        <v>3000</v>
      </c>
      <c r="BA64" s="171">
        <v>1644.46</v>
      </c>
      <c r="BB64" s="172">
        <f t="shared" si="82"/>
        <v>-1355.54</v>
      </c>
      <c r="BC64" s="246">
        <f t="shared" si="71"/>
        <v>-45.184666666666665</v>
      </c>
      <c r="BD64" s="570">
        <f t="shared" si="60"/>
        <v>33133.149999999994</v>
      </c>
      <c r="BE64" s="177">
        <f t="shared" si="58"/>
        <v>25869.020000000004</v>
      </c>
      <c r="BF64" s="118"/>
    </row>
    <row r="65" spans="1:60" s="119" customFormat="1" x14ac:dyDescent="0.25">
      <c r="B65" s="170" t="s">
        <v>37</v>
      </c>
      <c r="C65" s="135" t="s">
        <v>38</v>
      </c>
      <c r="D65" s="332" t="s">
        <v>39</v>
      </c>
      <c r="E65" s="341"/>
      <c r="F65" s="256"/>
      <c r="G65" s="328"/>
      <c r="H65" s="212">
        <v>3000</v>
      </c>
      <c r="I65" s="46">
        <f>2634.93+76.7</f>
        <v>2711.6299999999997</v>
      </c>
      <c r="J65" s="373">
        <f t="shared" si="59"/>
        <v>-288.37000000000035</v>
      </c>
      <c r="K65" s="372">
        <f t="shared" si="57"/>
        <v>-9.6123333333333445</v>
      </c>
      <c r="L65" s="212">
        <v>3000</v>
      </c>
      <c r="M65" s="137">
        <f>2634.93+48.4</f>
        <v>2683.33</v>
      </c>
      <c r="N65" s="172">
        <f t="shared" si="72"/>
        <v>-316.67000000000007</v>
      </c>
      <c r="O65" s="245">
        <f t="shared" si="61"/>
        <v>-10.555666666666674</v>
      </c>
      <c r="P65" s="212">
        <v>3000</v>
      </c>
      <c r="Q65" s="137">
        <f>2634.92+105.1</f>
        <v>2740.02</v>
      </c>
      <c r="R65" s="172">
        <f t="shared" si="73"/>
        <v>-259.98</v>
      </c>
      <c r="S65" s="245">
        <f t="shared" si="62"/>
        <v>-8.6659999999999968</v>
      </c>
      <c r="T65" s="212">
        <v>3000</v>
      </c>
      <c r="U65" s="137">
        <v>2685.99</v>
      </c>
      <c r="V65" s="172">
        <f t="shared" si="74"/>
        <v>-314.01000000000022</v>
      </c>
      <c r="W65" s="245">
        <f t="shared" si="63"/>
        <v>-10.467000000000004</v>
      </c>
      <c r="X65" s="136">
        <v>3000</v>
      </c>
      <c r="Y65" s="137">
        <f>2585.62+72.14</f>
        <v>2657.7599999999998</v>
      </c>
      <c r="Z65" s="172">
        <f t="shared" si="75"/>
        <v>-342.24000000000024</v>
      </c>
      <c r="AA65" s="245">
        <f t="shared" si="64"/>
        <v>-11.408000000000007</v>
      </c>
      <c r="AB65" s="136">
        <v>3000</v>
      </c>
      <c r="AC65" s="137">
        <v>3051.28</v>
      </c>
      <c r="AD65" s="172">
        <f t="shared" si="76"/>
        <v>51.2800000000002</v>
      </c>
      <c r="AE65" s="245">
        <f t="shared" si="65"/>
        <v>1.7093333333333405</v>
      </c>
      <c r="AF65" s="136">
        <v>3000</v>
      </c>
      <c r="AG65" s="137">
        <v>2857.7</v>
      </c>
      <c r="AH65" s="172">
        <f t="shared" si="77"/>
        <v>-142.30000000000018</v>
      </c>
      <c r="AI65" s="245">
        <f t="shared" si="66"/>
        <v>-4.7433333333333438</v>
      </c>
      <c r="AJ65" s="136">
        <v>3000</v>
      </c>
      <c r="AK65" s="136">
        <v>3290.42</v>
      </c>
      <c r="AL65" s="169">
        <f t="shared" si="78"/>
        <v>290.42000000000007</v>
      </c>
      <c r="AM65" s="245">
        <f t="shared" si="67"/>
        <v>9.6806666666666707</v>
      </c>
      <c r="AN65" s="136">
        <v>3000</v>
      </c>
      <c r="AO65" s="176">
        <v>4870.3999999999996</v>
      </c>
      <c r="AP65" s="169">
        <f t="shared" si="79"/>
        <v>1870.3999999999996</v>
      </c>
      <c r="AQ65" s="245">
        <f t="shared" si="68"/>
        <v>62.346666666666664</v>
      </c>
      <c r="AR65" s="136">
        <v>3000</v>
      </c>
      <c r="AS65" s="176">
        <v>3197.4</v>
      </c>
      <c r="AT65" s="169">
        <f t="shared" si="80"/>
        <v>197.40000000000009</v>
      </c>
      <c r="AU65" s="245">
        <f t="shared" si="69"/>
        <v>6.5800000000000081</v>
      </c>
      <c r="AV65" s="136">
        <v>3000</v>
      </c>
      <c r="AW65" s="171">
        <v>3131.48</v>
      </c>
      <c r="AX65" s="169">
        <f t="shared" si="81"/>
        <v>131.48000000000002</v>
      </c>
      <c r="AY65" s="245">
        <f t="shared" si="70"/>
        <v>4.382666666666668</v>
      </c>
      <c r="AZ65" s="136">
        <v>3000</v>
      </c>
      <c r="BA65" s="171">
        <v>4340.2299999999996</v>
      </c>
      <c r="BB65" s="172">
        <f t="shared" si="82"/>
        <v>1340.2299999999996</v>
      </c>
      <c r="BC65" s="246">
        <f t="shared" si="71"/>
        <v>44.67433333333333</v>
      </c>
      <c r="BD65" s="570">
        <f t="shared" si="60"/>
        <v>34820.97</v>
      </c>
      <c r="BE65" s="177">
        <f t="shared" si="58"/>
        <v>38217.64</v>
      </c>
      <c r="BF65" s="118"/>
    </row>
    <row r="66" spans="1:60" s="119" customFormat="1" ht="31.5" x14ac:dyDescent="0.25">
      <c r="B66" s="170" t="s">
        <v>41</v>
      </c>
      <c r="C66" s="135" t="s">
        <v>42</v>
      </c>
      <c r="D66" s="332" t="s">
        <v>43</v>
      </c>
      <c r="E66" s="341"/>
      <c r="F66" s="256"/>
      <c r="G66" s="328"/>
      <c r="H66" s="212">
        <v>2286.8049999999998</v>
      </c>
      <c r="I66" s="46">
        <f>777.5+793.68+0+208.25</f>
        <v>1779.4299999999998</v>
      </c>
      <c r="J66" s="373">
        <f t="shared" si="59"/>
        <v>-507.375</v>
      </c>
      <c r="K66" s="372">
        <f t="shared" si="57"/>
        <v>-22.187068858079286</v>
      </c>
      <c r="L66" s="212">
        <v>2286.8049999999998</v>
      </c>
      <c r="M66" s="137">
        <f>0+793.68+0</f>
        <v>793.68</v>
      </c>
      <c r="N66" s="172">
        <f t="shared" si="72"/>
        <v>-1493.125</v>
      </c>
      <c r="O66" s="245">
        <f t="shared" si="61"/>
        <v>-65.293061717111868</v>
      </c>
      <c r="P66" s="212">
        <v>2286.8049999999998</v>
      </c>
      <c r="Q66" s="137">
        <f>330+793.64</f>
        <v>1123.6399999999999</v>
      </c>
      <c r="R66" s="172">
        <f t="shared" si="73"/>
        <v>-1163.165</v>
      </c>
      <c r="S66" s="245">
        <f t="shared" si="62"/>
        <v>-50.864196990998359</v>
      </c>
      <c r="T66" s="212">
        <v>2286.8049999999998</v>
      </c>
      <c r="U66" s="137">
        <v>1867.99</v>
      </c>
      <c r="V66" s="172">
        <f t="shared" si="74"/>
        <v>-418.81499999999983</v>
      </c>
      <c r="W66" s="245">
        <f t="shared" si="63"/>
        <v>-18.31441683921453</v>
      </c>
      <c r="X66" s="136">
        <v>2286.8049999999998</v>
      </c>
      <c r="Y66" s="137">
        <f>290+793.67+499.62+312.39</f>
        <v>1895.6799999999998</v>
      </c>
      <c r="Z66" s="172">
        <f t="shared" si="75"/>
        <v>-391.125</v>
      </c>
      <c r="AA66" s="245">
        <f t="shared" si="64"/>
        <v>-17.103557146324246</v>
      </c>
      <c r="AB66" s="136">
        <v>2286.8049999999998</v>
      </c>
      <c r="AC66" s="137">
        <v>2373.58</v>
      </c>
      <c r="AD66" s="172">
        <f t="shared" si="76"/>
        <v>86.775000000000091</v>
      </c>
      <c r="AE66" s="245">
        <f t="shared" si="65"/>
        <v>3.794595516452004</v>
      </c>
      <c r="AF66" s="136">
        <v>2286.8049999999998</v>
      </c>
      <c r="AG66" s="137">
        <v>883.58</v>
      </c>
      <c r="AH66" s="172">
        <f t="shared" si="77"/>
        <v>-1403.2249999999999</v>
      </c>
      <c r="AI66" s="245">
        <f t="shared" si="66"/>
        <v>-61.3618126600213</v>
      </c>
      <c r="AJ66" s="136">
        <v>2286.8049999999998</v>
      </c>
      <c r="AK66" s="136">
        <v>2173.58</v>
      </c>
      <c r="AL66" s="169">
        <f t="shared" si="78"/>
        <v>-113.22499999999991</v>
      </c>
      <c r="AM66" s="245">
        <f t="shared" si="67"/>
        <v>-4.9512310844168965</v>
      </c>
      <c r="AN66" s="136">
        <v>2286.8049999999998</v>
      </c>
      <c r="AO66" s="176">
        <v>1822.31</v>
      </c>
      <c r="AP66" s="169">
        <f t="shared" si="79"/>
        <v>-464.49499999999989</v>
      </c>
      <c r="AQ66" s="245">
        <f t="shared" si="68"/>
        <v>-20.311963634852994</v>
      </c>
      <c r="AR66" s="136">
        <v>2286.8049999999998</v>
      </c>
      <c r="AS66" s="176">
        <v>1186.42</v>
      </c>
      <c r="AT66" s="169">
        <f t="shared" si="80"/>
        <v>-1100.3849999999998</v>
      </c>
      <c r="AU66" s="245">
        <f t="shared" si="69"/>
        <v>-48.118882020985609</v>
      </c>
      <c r="AV66" s="136">
        <v>2286.8049999999998</v>
      </c>
      <c r="AW66" s="171">
        <v>2192.64</v>
      </c>
      <c r="AX66" s="169">
        <f t="shared" si="81"/>
        <v>-94.164999999999964</v>
      </c>
      <c r="AY66" s="245">
        <f t="shared" si="70"/>
        <v>-4.1177538093540971</v>
      </c>
      <c r="AZ66" s="136">
        <v>2286.8049999999998</v>
      </c>
      <c r="BA66" s="171">
        <v>852.04</v>
      </c>
      <c r="BB66" s="172">
        <f t="shared" si="82"/>
        <v>-1434.7649999999999</v>
      </c>
      <c r="BC66" s="246">
        <f t="shared" si="71"/>
        <v>-62.741029514978322</v>
      </c>
      <c r="BD66" s="570">
        <f t="shared" si="60"/>
        <v>23859.180000000004</v>
      </c>
      <c r="BE66" s="177">
        <f t="shared" si="58"/>
        <v>18944.57</v>
      </c>
      <c r="BF66" s="118"/>
    </row>
    <row r="67" spans="1:60" s="119" customFormat="1" x14ac:dyDescent="0.25">
      <c r="B67" s="170">
        <v>12267</v>
      </c>
      <c r="C67" s="135">
        <v>290</v>
      </c>
      <c r="D67" s="332" t="s">
        <v>44</v>
      </c>
      <c r="E67" s="341"/>
      <c r="F67" s="256"/>
      <c r="G67" s="328"/>
      <c r="H67" s="212">
        <v>15000</v>
      </c>
      <c r="I67" s="46">
        <v>7887.18</v>
      </c>
      <c r="J67" s="373">
        <f t="shared" si="59"/>
        <v>-7112.82</v>
      </c>
      <c r="K67" s="372">
        <f t="shared" si="57"/>
        <v>-47.418799999999997</v>
      </c>
      <c r="L67" s="212">
        <v>15000</v>
      </c>
      <c r="M67" s="137">
        <v>7408.79</v>
      </c>
      <c r="N67" s="172">
        <f t="shared" si="72"/>
        <v>-7591.21</v>
      </c>
      <c r="O67" s="245">
        <f t="shared" si="61"/>
        <v>-50.608066666666659</v>
      </c>
      <c r="P67" s="212">
        <v>15000</v>
      </c>
      <c r="Q67" s="137">
        <v>7662.13</v>
      </c>
      <c r="R67" s="172">
        <f t="shared" si="73"/>
        <v>-7337.87</v>
      </c>
      <c r="S67" s="245">
        <f t="shared" si="62"/>
        <v>-48.919133333333335</v>
      </c>
      <c r="T67" s="212">
        <v>15000</v>
      </c>
      <c r="U67" s="137">
        <v>7662.13</v>
      </c>
      <c r="V67" s="172">
        <f t="shared" si="74"/>
        <v>-7337.87</v>
      </c>
      <c r="W67" s="245">
        <f t="shared" si="63"/>
        <v>-48.919133333333335</v>
      </c>
      <c r="X67" s="136">
        <v>8000</v>
      </c>
      <c r="Y67" s="137">
        <v>7662.13</v>
      </c>
      <c r="Z67" s="172">
        <f t="shared" si="75"/>
        <v>-337.86999999999989</v>
      </c>
      <c r="AA67" s="245">
        <f t="shared" si="64"/>
        <v>-4.2233749999999954</v>
      </c>
      <c r="AB67" s="136">
        <v>8000</v>
      </c>
      <c r="AC67" s="137">
        <v>9702.1299999999992</v>
      </c>
      <c r="AD67" s="172">
        <f t="shared" si="76"/>
        <v>1702.1299999999992</v>
      </c>
      <c r="AE67" s="245">
        <f t="shared" si="65"/>
        <v>21.276624999999981</v>
      </c>
      <c r="AF67" s="136">
        <v>8000</v>
      </c>
      <c r="AG67" s="137">
        <v>8905.89</v>
      </c>
      <c r="AH67" s="172">
        <f t="shared" si="77"/>
        <v>905.88999999999942</v>
      </c>
      <c r="AI67" s="245">
        <f t="shared" si="66"/>
        <v>11.323624999999993</v>
      </c>
      <c r="AJ67" s="136">
        <v>8000</v>
      </c>
      <c r="AK67" s="136">
        <v>12394.13</v>
      </c>
      <c r="AL67" s="169">
        <f t="shared" si="78"/>
        <v>4394.1299999999992</v>
      </c>
      <c r="AM67" s="245">
        <f t="shared" si="67"/>
        <v>54.926624999999987</v>
      </c>
      <c r="AN67" s="136">
        <v>8000</v>
      </c>
      <c r="AO67" s="176">
        <v>23377.82</v>
      </c>
      <c r="AP67" s="169">
        <f t="shared" si="79"/>
        <v>15377.82</v>
      </c>
      <c r="AQ67" s="245">
        <f t="shared" si="68"/>
        <v>192.22274999999999</v>
      </c>
      <c r="AR67" s="136">
        <v>8000</v>
      </c>
      <c r="AS67" s="176">
        <v>23505.71</v>
      </c>
      <c r="AT67" s="169">
        <f t="shared" si="80"/>
        <v>15505.71</v>
      </c>
      <c r="AU67" s="245">
        <f t="shared" si="69"/>
        <v>193.82137500000002</v>
      </c>
      <c r="AV67" s="136">
        <v>8000</v>
      </c>
      <c r="AW67" s="171">
        <v>22972.39</v>
      </c>
      <c r="AX67" s="169">
        <f t="shared" si="81"/>
        <v>14972.39</v>
      </c>
      <c r="AY67" s="245">
        <f t="shared" si="70"/>
        <v>187.154875</v>
      </c>
      <c r="AZ67" s="136">
        <v>8000</v>
      </c>
      <c r="BA67" s="171">
        <v>30805.71</v>
      </c>
      <c r="BB67" s="172">
        <f t="shared" si="82"/>
        <v>22805.71</v>
      </c>
      <c r="BC67" s="246">
        <f t="shared" si="71"/>
        <v>285.07137499999999</v>
      </c>
      <c r="BD67" s="570">
        <f t="shared" si="60"/>
        <v>94620.23000000001</v>
      </c>
      <c r="BE67" s="177">
        <f t="shared" si="58"/>
        <v>169946.13999999998</v>
      </c>
      <c r="BF67" s="118"/>
    </row>
    <row r="68" spans="1:60" s="119" customFormat="1" x14ac:dyDescent="0.25">
      <c r="B68" s="122" t="s">
        <v>45</v>
      </c>
      <c r="C68" s="123" t="s">
        <v>46</v>
      </c>
      <c r="D68" s="382" t="s">
        <v>47</v>
      </c>
      <c r="E68" s="338"/>
      <c r="F68" s="148"/>
      <c r="G68" s="572"/>
      <c r="H68" s="211">
        <v>4082.2320000000004</v>
      </c>
      <c r="I68" s="47">
        <f>3486+1608.45</f>
        <v>5094.45</v>
      </c>
      <c r="J68" s="373">
        <f t="shared" si="59"/>
        <v>1012.2179999999994</v>
      </c>
      <c r="K68" s="372">
        <f t="shared" si="57"/>
        <v>24.795699999412069</v>
      </c>
      <c r="L68" s="211">
        <v>4082.2320000000004</v>
      </c>
      <c r="M68" s="125">
        <f>97.95+0</f>
        <v>97.95</v>
      </c>
      <c r="N68" s="172">
        <f t="shared" si="72"/>
        <v>-3984.2820000000006</v>
      </c>
      <c r="O68" s="245">
        <f t="shared" si="61"/>
        <v>-97.600577331224684</v>
      </c>
      <c r="P68" s="211">
        <v>4082.2320000000004</v>
      </c>
      <c r="Q68" s="125">
        <f>2314</f>
        <v>2314</v>
      </c>
      <c r="R68" s="172">
        <f t="shared" si="73"/>
        <v>-1768.2320000000004</v>
      </c>
      <c r="S68" s="245">
        <f t="shared" si="62"/>
        <v>-43.315323577885835</v>
      </c>
      <c r="T68" s="211">
        <v>4082.2320000000004</v>
      </c>
      <c r="U68" s="125">
        <v>2524.9</v>
      </c>
      <c r="V68" s="172">
        <f t="shared" si="74"/>
        <v>-1557.3320000000003</v>
      </c>
      <c r="W68" s="245">
        <f t="shared" si="63"/>
        <v>-38.14903219611233</v>
      </c>
      <c r="X68" s="121">
        <v>4082.2320000000004</v>
      </c>
      <c r="Y68" s="125">
        <f>2344+1688.88</f>
        <v>4032.88</v>
      </c>
      <c r="Z68" s="171">
        <f t="shared" si="75"/>
        <v>-49.352000000000317</v>
      </c>
      <c r="AA68" s="245">
        <f t="shared" si="64"/>
        <v>-1.2089464782991333</v>
      </c>
      <c r="AB68" s="121">
        <v>4082.2320000000004</v>
      </c>
      <c r="AC68" s="125">
        <v>5263.66</v>
      </c>
      <c r="AD68" s="171">
        <f t="shared" si="76"/>
        <v>1181.4279999999994</v>
      </c>
      <c r="AE68" s="245">
        <f t="shared" si="65"/>
        <v>28.940736342275475</v>
      </c>
      <c r="AF68" s="121">
        <v>4082.2320000000004</v>
      </c>
      <c r="AG68" s="137">
        <v>25997.88</v>
      </c>
      <c r="AH68" s="171">
        <f t="shared" si="77"/>
        <v>21915.648000000001</v>
      </c>
      <c r="AI68" s="245">
        <f t="shared" si="66"/>
        <v>536.85454427871809</v>
      </c>
      <c r="AJ68" s="121">
        <v>4082.2320000000004</v>
      </c>
      <c r="AK68" s="136">
        <v>3047.61</v>
      </c>
      <c r="AL68" s="171">
        <f t="shared" si="78"/>
        <v>-1034.6220000000003</v>
      </c>
      <c r="AM68" s="245">
        <f t="shared" si="67"/>
        <v>-25.344517411063361</v>
      </c>
      <c r="AN68" s="121">
        <v>4082.2320000000004</v>
      </c>
      <c r="AO68" s="153">
        <v>6346.88</v>
      </c>
      <c r="AP68" s="172">
        <f t="shared" si="79"/>
        <v>2264.6479999999997</v>
      </c>
      <c r="AQ68" s="245">
        <f t="shared" si="68"/>
        <v>55.475729943815047</v>
      </c>
      <c r="AR68" s="121">
        <v>4082.2320000000004</v>
      </c>
      <c r="AS68" s="153">
        <v>2329</v>
      </c>
      <c r="AT68" s="171">
        <f t="shared" si="80"/>
        <v>-1753.2320000000004</v>
      </c>
      <c r="AU68" s="245">
        <f t="shared" si="69"/>
        <v>-42.947877533662961</v>
      </c>
      <c r="AV68" s="121">
        <v>4082.2320000000004</v>
      </c>
      <c r="AW68" s="171">
        <v>1172</v>
      </c>
      <c r="AX68" s="171">
        <f t="shared" si="81"/>
        <v>-2910.2320000000004</v>
      </c>
      <c r="AY68" s="245">
        <f t="shared" si="70"/>
        <v>-71.290215744720058</v>
      </c>
      <c r="AZ68" s="121">
        <v>4082.2320000000004</v>
      </c>
      <c r="BA68" s="171">
        <v>2791</v>
      </c>
      <c r="BB68" s="171">
        <f t="shared" si="82"/>
        <v>-1291.2320000000004</v>
      </c>
      <c r="BC68" s="246">
        <f t="shared" si="71"/>
        <v>-31.630539371598687</v>
      </c>
      <c r="BD68" s="570">
        <f t="shared" si="60"/>
        <v>42689.15600000001</v>
      </c>
      <c r="BE68" s="175">
        <f t="shared" si="58"/>
        <v>61012.21</v>
      </c>
      <c r="BF68" s="118"/>
    </row>
    <row r="69" spans="1:60" s="119" customFormat="1" ht="16.5" thickBot="1" x14ac:dyDescent="0.3">
      <c r="B69" s="506">
        <v>11428</v>
      </c>
      <c r="C69" s="500"/>
      <c r="D69" s="384" t="s">
        <v>3651</v>
      </c>
      <c r="E69" s="343"/>
      <c r="F69" s="257"/>
      <c r="G69" s="573"/>
      <c r="H69" s="247">
        <v>0</v>
      </c>
      <c r="I69" s="48">
        <v>-2415.15</v>
      </c>
      <c r="J69" s="501">
        <f>I69-H69</f>
        <v>-2415.15</v>
      </c>
      <c r="K69" s="502"/>
      <c r="L69" s="247">
        <v>0</v>
      </c>
      <c r="M69" s="182">
        <v>2415.15</v>
      </c>
      <c r="N69" s="230">
        <f>M69-L69</f>
        <v>2415.15</v>
      </c>
      <c r="O69" s="503"/>
      <c r="P69" s="247">
        <v>0</v>
      </c>
      <c r="Q69" s="182">
        <v>0</v>
      </c>
      <c r="R69" s="230">
        <f>Q69-P69</f>
        <v>0</v>
      </c>
      <c r="S69" s="503">
        <v>0</v>
      </c>
      <c r="T69" s="247">
        <v>0</v>
      </c>
      <c r="U69" s="182">
        <v>0</v>
      </c>
      <c r="V69" s="230">
        <f>U69-T69</f>
        <v>0</v>
      </c>
      <c r="W69" s="503"/>
      <c r="X69" s="181">
        <v>0</v>
      </c>
      <c r="Y69" s="182">
        <v>0</v>
      </c>
      <c r="Z69" s="504">
        <f>Y69-X69</f>
        <v>0</v>
      </c>
      <c r="AA69" s="503"/>
      <c r="AB69" s="181">
        <v>0</v>
      </c>
      <c r="AC69" s="182">
        <v>0</v>
      </c>
      <c r="AD69" s="504">
        <f>AC69-AB69</f>
        <v>0</v>
      </c>
      <c r="AE69" s="503"/>
      <c r="AF69" s="181">
        <v>0</v>
      </c>
      <c r="AG69" s="182">
        <v>0</v>
      </c>
      <c r="AH69" s="504">
        <f>AG69-AF69</f>
        <v>0</v>
      </c>
      <c r="AI69" s="503"/>
      <c r="AJ69" s="862">
        <v>0</v>
      </c>
      <c r="AK69" s="861" t="s">
        <v>3681</v>
      </c>
      <c r="AL69" s="504">
        <f>AK69-AJ69</f>
        <v>0</v>
      </c>
      <c r="AM69" s="503"/>
      <c r="AN69" s="181">
        <v>0</v>
      </c>
      <c r="AO69" s="183" t="s">
        <v>3681</v>
      </c>
      <c r="AP69" s="230">
        <f>AO69-AN69</f>
        <v>0</v>
      </c>
      <c r="AQ69" s="503"/>
      <c r="AR69" s="181">
        <v>0</v>
      </c>
      <c r="AS69" s="183" t="s">
        <v>3681</v>
      </c>
      <c r="AT69" s="504">
        <f>AS69-AR69</f>
        <v>0</v>
      </c>
      <c r="AU69" s="503"/>
      <c r="AV69" s="181">
        <v>0</v>
      </c>
      <c r="AW69" s="171">
        <v>0</v>
      </c>
      <c r="AX69" s="504">
        <f>AW69-AV69</f>
        <v>0</v>
      </c>
      <c r="AY69" s="503"/>
      <c r="AZ69" s="181">
        <v>0</v>
      </c>
      <c r="BA69" s="171">
        <v>0</v>
      </c>
      <c r="BB69" s="504">
        <f>BA69-AZ69</f>
        <v>0</v>
      </c>
      <c r="BC69" s="505"/>
      <c r="BD69" s="570">
        <f t="shared" si="60"/>
        <v>0</v>
      </c>
      <c r="BE69" s="184">
        <f>SUM(I69+M69+Q69+U69+Y69+AC69+AG69+AK69+AO69+AS69+AW69+BA69)</f>
        <v>0</v>
      </c>
      <c r="BF69" s="118"/>
    </row>
    <row r="70" spans="1:60" s="11" customFormat="1" ht="16.5" thickBot="1" x14ac:dyDescent="0.3">
      <c r="B70" s="161"/>
      <c r="D70" s="185"/>
      <c r="E70" s="185"/>
      <c r="F70" s="186"/>
      <c r="G70" s="333"/>
      <c r="H70" s="333"/>
      <c r="I70" s="413"/>
      <c r="J70" s="231"/>
      <c r="K70" s="232"/>
      <c r="L70" s="146"/>
      <c r="M70" s="146"/>
      <c r="N70" s="231"/>
      <c r="O70" s="146"/>
      <c r="P70" s="146"/>
      <c r="Q70" s="146"/>
      <c r="R70" s="231"/>
      <c r="S70" s="146"/>
      <c r="T70" s="146"/>
      <c r="U70" s="146"/>
      <c r="V70" s="231"/>
      <c r="W70" s="146"/>
      <c r="X70" s="146"/>
      <c r="Y70" s="146"/>
      <c r="Z70" s="231"/>
      <c r="AA70" s="146"/>
      <c r="AB70" s="146"/>
      <c r="AC70" s="146"/>
      <c r="AD70" s="146"/>
      <c r="AE70" s="146"/>
      <c r="AF70" s="146"/>
      <c r="AG70" s="146"/>
      <c r="AH70" s="146"/>
      <c r="AI70" s="146"/>
      <c r="AJ70" s="146"/>
      <c r="AK70" s="146"/>
      <c r="AL70" s="146"/>
      <c r="AM70" s="146"/>
      <c r="AN70" s="146"/>
      <c r="AO70" s="146"/>
      <c r="AP70" s="146"/>
      <c r="AQ70" s="146"/>
      <c r="AR70" s="146"/>
      <c r="AS70" s="146"/>
      <c r="AT70" s="146"/>
      <c r="AU70" s="146"/>
      <c r="AV70" s="146"/>
      <c r="AW70" s="146"/>
      <c r="AX70" s="146"/>
      <c r="AY70" s="146"/>
      <c r="AZ70" s="146"/>
      <c r="BA70" s="146"/>
      <c r="BB70" s="146"/>
      <c r="BC70" s="146"/>
      <c r="BD70" s="146"/>
      <c r="BE70" s="146"/>
      <c r="BF70" s="63"/>
    </row>
    <row r="71" spans="1:60" s="11" customFormat="1" ht="16.5" thickBot="1" x14ac:dyDescent="0.3">
      <c r="B71" s="187"/>
      <c r="C71" s="41"/>
      <c r="D71" s="330" t="s">
        <v>168</v>
      </c>
      <c r="E71" s="330"/>
      <c r="F71" s="50"/>
      <c r="G71" s="458"/>
      <c r="H71" s="474">
        <f>SUM(H72:H105)</f>
        <v>4477234.5709186401</v>
      </c>
      <c r="I71" s="475">
        <f>SUM(I72:I105)</f>
        <v>5295286.4799999977</v>
      </c>
      <c r="J71" s="476">
        <f>I71-H71</f>
        <v>818051.90908135753</v>
      </c>
      <c r="K71" s="477">
        <f>((I71/H71)-1)*100</f>
        <v>18.271365864878277</v>
      </c>
      <c r="L71" s="478">
        <f>SUM(L73:L105)</f>
        <v>4493329.6199866431</v>
      </c>
      <c r="M71" s="392">
        <f>SUM(M73:M105)</f>
        <v>5165177.59</v>
      </c>
      <c r="N71" s="392">
        <f>M71-L71</f>
        <v>671847.97001335677</v>
      </c>
      <c r="O71" s="393">
        <f>((M71/L71)-1)*100</f>
        <v>14.952118514184454</v>
      </c>
      <c r="P71" s="478">
        <f>SUM(P73:P105)</f>
        <v>4528989.813551506</v>
      </c>
      <c r="Q71" s="392">
        <f>SUM(Q73:Q106)</f>
        <v>5008350.5600000015</v>
      </c>
      <c r="R71" s="392">
        <f>Q71-P71</f>
        <v>479360.74644849543</v>
      </c>
      <c r="S71" s="393">
        <f>((Q71/P71)-1)*100</f>
        <v>10.584275217713369</v>
      </c>
      <c r="T71" s="478">
        <f>SUM(T73:T105)</f>
        <v>4502402.6933533708</v>
      </c>
      <c r="U71" s="392">
        <f>SUM(U73:U106)</f>
        <v>4581437.2399999993</v>
      </c>
      <c r="V71" s="392">
        <f>U71-T71</f>
        <v>79034.546646628529</v>
      </c>
      <c r="W71" s="393">
        <f>((U71/T71)-1)*100</f>
        <v>1.7553860023072243</v>
      </c>
      <c r="X71" s="478">
        <f>SUM(X73:X109)</f>
        <v>3962413.9691166668</v>
      </c>
      <c r="Y71" s="392">
        <f>SUM(Y72:Y109)</f>
        <v>4203503.1899999995</v>
      </c>
      <c r="Z71" s="392">
        <f>Y71-X71</f>
        <v>241089.22088333266</v>
      </c>
      <c r="AA71" s="393">
        <f>((Y71/X71)-1)*100</f>
        <v>6.0844026586418964</v>
      </c>
      <c r="AB71" s="478">
        <f>SUM(AB73:AB106)</f>
        <v>4227345.3751958553</v>
      </c>
      <c r="AC71" s="392">
        <f>SUM(AC72:AC109)</f>
        <v>4566874.8899999987</v>
      </c>
      <c r="AD71" s="392">
        <f>AC71-AB71</f>
        <v>339529.51480414346</v>
      </c>
      <c r="AE71" s="394">
        <f>((AC71/AB71)-1)*100</f>
        <v>8.031742965605515</v>
      </c>
      <c r="AF71" s="478">
        <f>SUM(AF73:AF106)</f>
        <v>4444226.4270759542</v>
      </c>
      <c r="AG71" s="392">
        <f>SUM(AG72:AG109)</f>
        <v>4878793.3900000006</v>
      </c>
      <c r="AH71" s="392">
        <f>AG71-AF71</f>
        <v>434566.96292404644</v>
      </c>
      <c r="AI71" s="393">
        <f>((AG71/AF71)-1)*100</f>
        <v>9.7782363264953265</v>
      </c>
      <c r="AJ71" s="478">
        <f>SUM(AJ73:AJ106)</f>
        <v>4605967.7217381038</v>
      </c>
      <c r="AK71" s="392">
        <f>SUM(AK72:AK109)</f>
        <v>5396235.9799999995</v>
      </c>
      <c r="AL71" s="392">
        <f>AK71-AJ71</f>
        <v>790268.25826189574</v>
      </c>
      <c r="AM71" s="393">
        <f>((AK71/AJ71)-1)*100</f>
        <v>17.157485809815466</v>
      </c>
      <c r="AN71" s="487">
        <f>SUM(AN73:AN106)</f>
        <v>4631137.022636706</v>
      </c>
      <c r="AO71" s="396">
        <f>SUM(AO72:AO109)</f>
        <v>5467993.6100000003</v>
      </c>
      <c r="AP71" s="392">
        <f>AO71-AN71</f>
        <v>836856.58736329433</v>
      </c>
      <c r="AQ71" s="393">
        <f>((AO71/AN71)-1)*100</f>
        <v>18.070218680051831</v>
      </c>
      <c r="AR71" s="487">
        <f>SUM(AR73:AR106)</f>
        <v>4727280.7749983389</v>
      </c>
      <c r="AS71" s="396">
        <f>SUM(AS72:AS109)</f>
        <v>5840998.7200000007</v>
      </c>
      <c r="AT71" s="392">
        <f>AS71-AR71</f>
        <v>1113717.9450016618</v>
      </c>
      <c r="AU71" s="393">
        <f>((AS71/AR71)-1)*100</f>
        <v>23.559377959775475</v>
      </c>
      <c r="AV71" s="487">
        <f>SUM(AV73:AV106)</f>
        <v>4804258.924096941</v>
      </c>
      <c r="AW71" s="396">
        <f>SUM(AW72:AW109)</f>
        <v>5576181.1499999985</v>
      </c>
      <c r="AX71" s="392">
        <f>AW71-AV71</f>
        <v>771922.22590305749</v>
      </c>
      <c r="AY71" s="393">
        <f>((AW71/AV71)-1)*100</f>
        <v>16.067456773224521</v>
      </c>
      <c r="AZ71" s="487">
        <f>SUM(AZ72:AZ109)</f>
        <v>4628168.2441688217</v>
      </c>
      <c r="BA71" s="396">
        <f>SUM(BA72:BA109)</f>
        <v>8045230.2199999988</v>
      </c>
      <c r="BB71" s="392">
        <f>BA71-AZ71</f>
        <v>3417061.9758311771</v>
      </c>
      <c r="BC71" s="393">
        <f>((BA71/AZ71)-1)*100</f>
        <v>73.831844383281521</v>
      </c>
      <c r="BD71" s="395">
        <f>+AF71+AJ71+AN71+AR71+AV71+AZ71+AB71+X71+U71+Q71+M71+I71</f>
        <v>56081050.329027392</v>
      </c>
      <c r="BE71" s="397">
        <f>SUM(I71+M71+Q71+U71+Y71+AC71+AG71+AK71+AO71+AS71+AW71+BA71)</f>
        <v>64026063.019999988</v>
      </c>
      <c r="BF71" s="63"/>
    </row>
    <row r="72" spans="1:60" s="11" customFormat="1" x14ac:dyDescent="0.25">
      <c r="B72" s="141">
        <v>54493</v>
      </c>
      <c r="C72" s="834"/>
      <c r="D72" s="331" t="s">
        <v>3676</v>
      </c>
      <c r="E72" s="331"/>
      <c r="F72" s="492"/>
      <c r="G72" s="493"/>
      <c r="H72" s="494"/>
      <c r="I72" s="495"/>
      <c r="J72" s="459">
        <f>I72-H72</f>
        <v>0</v>
      </c>
      <c r="K72" s="469"/>
      <c r="L72" s="494"/>
      <c r="M72" s="495"/>
      <c r="N72" s="496"/>
      <c r="O72" s="497"/>
      <c r="P72" s="494"/>
      <c r="Q72" s="829"/>
      <c r="R72" s="498"/>
      <c r="S72" s="497"/>
      <c r="T72" s="494"/>
      <c r="U72" s="812"/>
      <c r="V72" s="496"/>
      <c r="W72" s="497"/>
      <c r="X72" s="494"/>
      <c r="Y72" s="496">
        <v>45578.23</v>
      </c>
      <c r="Z72" s="459">
        <f>Y72-X72</f>
        <v>45578.23</v>
      </c>
      <c r="AA72" s="470"/>
      <c r="AB72" s="494"/>
      <c r="AC72" s="496">
        <v>20007.07</v>
      </c>
      <c r="AD72" s="459">
        <f>AC72-AB72</f>
        <v>20007.07</v>
      </c>
      <c r="AE72" s="485"/>
      <c r="AF72" s="494">
        <v>0</v>
      </c>
      <c r="AG72" s="468">
        <v>28250.84</v>
      </c>
      <c r="AH72" s="459">
        <f>AG72-AF72</f>
        <v>28250.84</v>
      </c>
      <c r="AI72" s="499"/>
      <c r="AJ72" s="494">
        <v>0</v>
      </c>
      <c r="AK72" s="468">
        <v>39440.57</v>
      </c>
      <c r="AL72" s="467">
        <f>AK72-AJ72</f>
        <v>39440.57</v>
      </c>
      <c r="AM72" s="470"/>
      <c r="AN72" s="494">
        <v>0</v>
      </c>
      <c r="AO72" s="463">
        <v>30608.99</v>
      </c>
      <c r="AP72" s="467">
        <f>AO72-AN72</f>
        <v>30608.99</v>
      </c>
      <c r="AQ72" s="470"/>
      <c r="AR72" s="494">
        <v>0</v>
      </c>
      <c r="AS72" s="496">
        <v>201572.84</v>
      </c>
      <c r="AT72" s="467">
        <f>AS72-AR72</f>
        <v>201572.84</v>
      </c>
      <c r="AU72" s="470"/>
      <c r="AV72" s="494">
        <v>0</v>
      </c>
      <c r="AW72" s="468">
        <v>49625.86</v>
      </c>
      <c r="AX72" s="467">
        <f>AW72-AV72</f>
        <v>49625.86</v>
      </c>
      <c r="AY72" s="470" t="e">
        <f>((AW72/AV72)-1)*100</f>
        <v>#DIV/0!</v>
      </c>
      <c r="AZ72" s="494">
        <v>0</v>
      </c>
      <c r="BA72" s="468">
        <v>22099.75</v>
      </c>
      <c r="BB72" s="459">
        <f>BA72-AZ72</f>
        <v>22099.75</v>
      </c>
      <c r="BC72" s="470"/>
      <c r="BD72" s="865">
        <f>+AF72+AJ72+AN72+AR72+AV72+AZ72+AB72+X72+U72+Q72+M72+I72</f>
        <v>0</v>
      </c>
      <c r="BE72" s="571">
        <f>SUM(I72+M72+Q72+U72+Y72+AC72+AG72+AK72+AO72+AS72+AW72+BA72)</f>
        <v>437184.14999999997</v>
      </c>
      <c r="BF72" s="63"/>
    </row>
    <row r="73" spans="1:60" s="12" customFormat="1" x14ac:dyDescent="0.25">
      <c r="B73" s="170" t="s">
        <v>3655</v>
      </c>
      <c r="C73" s="135"/>
      <c r="D73" s="332" t="s">
        <v>3673</v>
      </c>
      <c r="E73" s="332"/>
      <c r="F73" s="491"/>
      <c r="G73" s="328"/>
      <c r="H73" s="468">
        <v>1157095.9346603085</v>
      </c>
      <c r="I73" s="465">
        <v>1665410.48</v>
      </c>
      <c r="J73" s="459">
        <f t="shared" ref="J73:J101" si="83">I73-H73</f>
        <v>508314.54533969145</v>
      </c>
      <c r="K73" s="469">
        <f>((I73/H73)-1)*100</f>
        <v>43.930198880952645</v>
      </c>
      <c r="L73" s="479">
        <v>1149224.2037283117</v>
      </c>
      <c r="M73" s="459">
        <f>1573901.43+123714.06</f>
        <v>1697615.49</v>
      </c>
      <c r="N73" s="459">
        <f>M73-L73</f>
        <v>548391.2862716883</v>
      </c>
      <c r="O73" s="469">
        <f>((M73/L73)-1)*100</f>
        <v>47.718389892294134</v>
      </c>
      <c r="P73" s="468">
        <v>1189705.0572931743</v>
      </c>
      <c r="Q73" s="830">
        <f>1434321.28+128019.19</f>
        <v>1562340.47</v>
      </c>
      <c r="R73" s="467">
        <f>Q73-P73</f>
        <v>372635.41270682565</v>
      </c>
      <c r="S73" s="469">
        <f>((Q73/P73)-1)*100</f>
        <v>31.321663333486072</v>
      </c>
      <c r="T73" s="468">
        <v>1158297.2770950394</v>
      </c>
      <c r="U73" s="813">
        <v>1169043.67</v>
      </c>
      <c r="V73" s="459">
        <f>U73-T73</f>
        <v>10746.39290496055</v>
      </c>
      <c r="W73" s="469">
        <f>((U73/T73)-1)*100</f>
        <v>0.92777502955994073</v>
      </c>
      <c r="X73" s="468">
        <v>1100000</v>
      </c>
      <c r="Y73" s="459">
        <f>982435.03+106999.47</f>
        <v>1089434.5</v>
      </c>
      <c r="Z73" s="459">
        <f>Y73-X73</f>
        <v>-10565.5</v>
      </c>
      <c r="AA73" s="470">
        <f>((Y73/X73)-1)*100</f>
        <v>-0.96049999999999747</v>
      </c>
      <c r="AB73" s="468">
        <v>1163133.9114625219</v>
      </c>
      <c r="AC73" s="459">
        <f>111755.08+1011337.57</f>
        <v>1123092.6499999999</v>
      </c>
      <c r="AD73" s="459">
        <f>AC73-AB73</f>
        <v>-40041.261462521972</v>
      </c>
      <c r="AE73" s="485">
        <f>((AC73/AB73)-1)*100</f>
        <v>-3.4425323746406944</v>
      </c>
      <c r="AF73" s="468">
        <v>1334025.8358676219</v>
      </c>
      <c r="AG73" s="468">
        <f>1145673.85+112397.53</f>
        <v>1258071.3800000001</v>
      </c>
      <c r="AH73" s="459">
        <f>AG73-AF73</f>
        <v>-75954.455867621815</v>
      </c>
      <c r="AI73" s="470">
        <f>((AG73/AF73)-1)*100</f>
        <v>-5.6936270516996901</v>
      </c>
      <c r="AJ73" s="468">
        <v>1338897.7363631059</v>
      </c>
      <c r="AK73" s="468">
        <v>1872776.95</v>
      </c>
      <c r="AL73" s="467">
        <f>AK73-AJ73</f>
        <v>533879.21363689401</v>
      </c>
      <c r="AM73" s="470">
        <f>((AK73/AJ73)-1)*100</f>
        <v>39.874532545486893</v>
      </c>
      <c r="AN73" s="468">
        <v>1314067.0372617075</v>
      </c>
      <c r="AO73" s="869">
        <v>1931856.06</v>
      </c>
      <c r="AP73" s="467">
        <f>AO73-AN73</f>
        <v>617789.02273829258</v>
      </c>
      <c r="AQ73" s="470">
        <f>((AO73/AN73)-1)*100</f>
        <v>47.013508840892925</v>
      </c>
      <c r="AR73" s="468">
        <v>1318813.7896233401</v>
      </c>
      <c r="AS73" s="463">
        <v>1949925.32</v>
      </c>
      <c r="AT73" s="467">
        <f>AS73-AR73</f>
        <v>631111.53037665994</v>
      </c>
      <c r="AU73" s="470">
        <f>((AS73/AR73)-1)*100</f>
        <v>47.854483729420849</v>
      </c>
      <c r="AV73" s="468">
        <v>1395791.9387219427</v>
      </c>
      <c r="AW73" s="468">
        <v>1906109.27</v>
      </c>
      <c r="AX73" s="459">
        <f>AW73-AV73</f>
        <v>510317.3312780573</v>
      </c>
      <c r="AY73" s="470">
        <f>((AW73/AV73)-1)*100</f>
        <v>36.561131865063601</v>
      </c>
      <c r="AZ73" s="468">
        <v>1219880.2587938241</v>
      </c>
      <c r="BA73" s="468">
        <v>1901402.93</v>
      </c>
      <c r="BB73" s="459">
        <f>BA73-AZ73</f>
        <v>681522.67120617582</v>
      </c>
      <c r="BC73" s="470">
        <f>((BA73/AZ73)-1)*100</f>
        <v>55.867997395092047</v>
      </c>
      <c r="BD73" s="485">
        <f t="shared" ref="BD73:BD109" si="84">+AF73+AJ73+AN73+AR73+AV73+AZ73+AB73+X73+U73+Q73+M73+I73</f>
        <v>16279020.618094064</v>
      </c>
      <c r="BE73" s="174">
        <f t="shared" ref="BE73:BE109" si="85">SUM(I73+M73+Q73+U73+Y73+AC73+AG73+AK73+AO73+AS73+AW73+BA73)</f>
        <v>19127079.170000002</v>
      </c>
      <c r="BF73" s="824"/>
    </row>
    <row r="74" spans="1:60" s="119" customFormat="1" x14ac:dyDescent="0.25">
      <c r="B74" s="170">
        <v>12202</v>
      </c>
      <c r="C74" s="135">
        <v>332</v>
      </c>
      <c r="D74" s="332" t="s">
        <v>49</v>
      </c>
      <c r="E74" s="332"/>
      <c r="F74" s="491"/>
      <c r="G74" s="328"/>
      <c r="H74" s="468">
        <f>90373.6763333333-3603</f>
        <v>86770.676333333293</v>
      </c>
      <c r="I74" s="465">
        <v>77480.14</v>
      </c>
      <c r="J74" s="459">
        <f t="shared" si="83"/>
        <v>-9290.5363333332934</v>
      </c>
      <c r="K74" s="469">
        <f t="shared" ref="K74:K101" si="86">((I74/H74)-1)*100</f>
        <v>-10.707000021116919</v>
      </c>
      <c r="L74" s="479">
        <f>90373.6763333333-3603</f>
        <v>86770.676333333293</v>
      </c>
      <c r="M74" s="459">
        <v>92800</v>
      </c>
      <c r="N74" s="459">
        <f>M74-L74</f>
        <v>6029.3236666667071</v>
      </c>
      <c r="O74" s="469">
        <f t="shared" ref="O74:O101" si="87">((M74/L74)-1)*100</f>
        <v>6.9485728606111019</v>
      </c>
      <c r="P74" s="468">
        <f>90373.6763333333-3603</f>
        <v>86770.676333333293</v>
      </c>
      <c r="Q74" s="830">
        <v>87900</v>
      </c>
      <c r="R74" s="467">
        <f>Q74-P74</f>
        <v>1129.3236666667071</v>
      </c>
      <c r="S74" s="469">
        <f t="shared" ref="S74:S101" si="88">((Q74/P74)-1)*100</f>
        <v>1.3015038194797102</v>
      </c>
      <c r="T74" s="468">
        <f>90373.6763333333-3603</f>
        <v>86770.676333333293</v>
      </c>
      <c r="U74" s="813">
        <v>86800</v>
      </c>
      <c r="V74" s="459">
        <f>U74-T74</f>
        <v>29.32366666670714</v>
      </c>
      <c r="W74" s="469">
        <f t="shared" ref="W74:W101" si="89">((U74/T74)-1)*100</f>
        <v>3.37944428991932E-2</v>
      </c>
      <c r="X74" s="468">
        <v>86770.676333333293</v>
      </c>
      <c r="Y74" s="459">
        <v>89200</v>
      </c>
      <c r="Z74" s="459">
        <f>Y74-X74</f>
        <v>2429.3236666667071</v>
      </c>
      <c r="AA74" s="470">
        <f t="shared" ref="AA74:AA101" si="90">((Y74/X74)-1)*100</f>
        <v>2.7997058099839656</v>
      </c>
      <c r="AB74" s="468">
        <v>86770.676333333293</v>
      </c>
      <c r="AC74" s="459">
        <v>86800</v>
      </c>
      <c r="AD74" s="459">
        <f>AC74-AB74</f>
        <v>29.32366666670714</v>
      </c>
      <c r="AE74" s="485">
        <f t="shared" ref="AE74:AE101" si="91">((AC74/AB74)-1)*100</f>
        <v>3.37944428991932E-2</v>
      </c>
      <c r="AF74" s="468">
        <v>86770.676333333293</v>
      </c>
      <c r="AG74" s="468">
        <v>90300</v>
      </c>
      <c r="AH74" s="459">
        <f t="shared" ref="AH74:AH103" si="92">AG74-AF74</f>
        <v>3529.3236666667071</v>
      </c>
      <c r="AI74" s="470">
        <f t="shared" ref="AI74:AI103" si="93">((AG74/AF74)-1)*100</f>
        <v>4.0674151865644825</v>
      </c>
      <c r="AJ74" s="468">
        <v>86770.676333333293</v>
      </c>
      <c r="AK74" s="468">
        <v>89100</v>
      </c>
      <c r="AL74" s="467">
        <f t="shared" ref="AL74:AL103" si="94">AK74-AJ74</f>
        <v>2329.3236666667071</v>
      </c>
      <c r="AM74" s="470">
        <f t="shared" ref="AM74:AM103" si="95">((AK74/AJ74)-1)*100</f>
        <v>2.6844595030220963</v>
      </c>
      <c r="AN74" s="468">
        <v>86770.676333333293</v>
      </c>
      <c r="AO74" s="463">
        <v>86100</v>
      </c>
      <c r="AP74" s="467">
        <f t="shared" ref="AP74:AP103" si="96">AO74-AN74</f>
        <v>-670.67633333329286</v>
      </c>
      <c r="AQ74" s="470">
        <f t="shared" ref="AQ74:AQ103" si="97">((AO74/AN74)-1)*100</f>
        <v>-0.77292970583386911</v>
      </c>
      <c r="AR74" s="468">
        <v>86770.676333333293</v>
      </c>
      <c r="AS74" s="463">
        <v>89000</v>
      </c>
      <c r="AT74" s="467">
        <f t="shared" ref="AT74:AT103" si="98">AS74-AR74</f>
        <v>2229.3236666667071</v>
      </c>
      <c r="AU74" s="470">
        <f t="shared" ref="AU74:AU103" si="99">((AS74/AR74)-1)*100</f>
        <v>2.5692131960602271</v>
      </c>
      <c r="AV74" s="468">
        <v>86770.676333333293</v>
      </c>
      <c r="AW74" s="468">
        <v>86200</v>
      </c>
      <c r="AX74" s="467">
        <f t="shared" ref="AX74:AX101" si="100">AW74-AV74</f>
        <v>-570.67633333329286</v>
      </c>
      <c r="AY74" s="470">
        <f t="shared" ref="AY74:AY101" si="101">((AW74/AV74)-1)*100</f>
        <v>-0.65768339887199989</v>
      </c>
      <c r="AZ74" s="468">
        <v>86770.676333333293</v>
      </c>
      <c r="BA74" s="463">
        <v>99223.44</v>
      </c>
      <c r="BB74" s="459">
        <f t="shared" ref="BB74:BB103" si="102">BA74-AZ74</f>
        <v>12452.763666666709</v>
      </c>
      <c r="BC74" s="470">
        <f t="shared" ref="BC74:BC103" si="103">((BA74/AZ74)-1)*100</f>
        <v>14.351350240522365</v>
      </c>
      <c r="BD74" s="485">
        <f t="shared" si="84"/>
        <v>1039145.5506666664</v>
      </c>
      <c r="BE74" s="174">
        <f t="shared" si="85"/>
        <v>1060903.58</v>
      </c>
      <c r="BF74" s="118"/>
      <c r="BG74" s="805"/>
      <c r="BH74" s="825"/>
    </row>
    <row r="75" spans="1:60" s="119" customFormat="1" x14ac:dyDescent="0.25">
      <c r="A75" s="119" t="s">
        <v>48</v>
      </c>
      <c r="B75" s="170">
        <v>12461</v>
      </c>
      <c r="C75" s="135">
        <v>219</v>
      </c>
      <c r="D75" s="332" t="s">
        <v>165</v>
      </c>
      <c r="E75" s="332"/>
      <c r="F75" s="491"/>
      <c r="G75" s="328"/>
      <c r="H75" s="468">
        <f>4135.27146666667</f>
        <v>4135.2714666666698</v>
      </c>
      <c r="I75" s="465">
        <v>2967.19</v>
      </c>
      <c r="J75" s="459">
        <f t="shared" si="83"/>
        <v>-1168.0814666666697</v>
      </c>
      <c r="K75" s="469">
        <f t="shared" si="86"/>
        <v>-28.24679047269969</v>
      </c>
      <c r="L75" s="479">
        <v>4135.271466666667</v>
      </c>
      <c r="M75" s="459">
        <v>2967.19</v>
      </c>
      <c r="N75" s="459">
        <f t="shared" ref="N75:N101" si="104">M75-L75</f>
        <v>-1168.081466666667</v>
      </c>
      <c r="O75" s="469">
        <f t="shared" si="87"/>
        <v>-28.246790472699644</v>
      </c>
      <c r="P75" s="468">
        <v>4135.271466666667</v>
      </c>
      <c r="Q75" s="830">
        <v>2967.19</v>
      </c>
      <c r="R75" s="467">
        <f t="shared" ref="R75:R101" si="105">Q75-P75</f>
        <v>-1168.081466666667</v>
      </c>
      <c r="S75" s="469">
        <f t="shared" si="88"/>
        <v>-28.246790472699644</v>
      </c>
      <c r="T75" s="468">
        <v>4135.271466666667</v>
      </c>
      <c r="U75" s="813">
        <v>2967.19</v>
      </c>
      <c r="V75" s="459">
        <f t="shared" ref="V75:V101" si="106">U75-T75</f>
        <v>-1168.081466666667</v>
      </c>
      <c r="W75" s="469">
        <f t="shared" si="89"/>
        <v>-28.246790472699644</v>
      </c>
      <c r="X75" s="468">
        <v>4135.271466666667</v>
      </c>
      <c r="Y75" s="459">
        <v>2967.19</v>
      </c>
      <c r="Z75" s="459">
        <f t="shared" ref="Z75:Z101" si="107">Y75-X75</f>
        <v>-1168.081466666667</v>
      </c>
      <c r="AA75" s="470">
        <f t="shared" si="90"/>
        <v>-28.246790472699644</v>
      </c>
      <c r="AB75" s="468">
        <v>4135.271466666667</v>
      </c>
      <c r="AC75" s="459">
        <v>2967.19</v>
      </c>
      <c r="AD75" s="459">
        <f t="shared" ref="AD75:AD101" si="108">AC75-AB75</f>
        <v>-1168.081466666667</v>
      </c>
      <c r="AE75" s="485">
        <f t="shared" si="91"/>
        <v>-28.246790472699644</v>
      </c>
      <c r="AF75" s="468">
        <v>4135.271466666667</v>
      </c>
      <c r="AG75" s="468">
        <v>2967.19</v>
      </c>
      <c r="AH75" s="459">
        <f t="shared" si="92"/>
        <v>-1168.081466666667</v>
      </c>
      <c r="AI75" s="470">
        <f t="shared" si="93"/>
        <v>-28.246790472699644</v>
      </c>
      <c r="AJ75" s="468">
        <v>4135.271466666667</v>
      </c>
      <c r="AK75" s="468">
        <v>2967.19</v>
      </c>
      <c r="AL75" s="467">
        <f t="shared" si="94"/>
        <v>-1168.081466666667</v>
      </c>
      <c r="AM75" s="470">
        <f t="shared" si="95"/>
        <v>-28.246790472699644</v>
      </c>
      <c r="AN75" s="468">
        <v>4135.271466666667</v>
      </c>
      <c r="AO75" s="463">
        <v>2967.19</v>
      </c>
      <c r="AP75" s="467">
        <f t="shared" si="96"/>
        <v>-1168.081466666667</v>
      </c>
      <c r="AQ75" s="470">
        <f t="shared" si="97"/>
        <v>-28.246790472699644</v>
      </c>
      <c r="AR75" s="468">
        <v>4135.271466666667</v>
      </c>
      <c r="AS75" s="463">
        <v>2967.19</v>
      </c>
      <c r="AT75" s="467">
        <f t="shared" si="98"/>
        <v>-1168.081466666667</v>
      </c>
      <c r="AU75" s="470">
        <f t="shared" si="99"/>
        <v>-28.246790472699644</v>
      </c>
      <c r="AV75" s="468">
        <v>4135.271466666667</v>
      </c>
      <c r="AW75" s="468">
        <v>7198.69</v>
      </c>
      <c r="AX75" s="467">
        <f t="shared" si="100"/>
        <v>3063.4185333333326</v>
      </c>
      <c r="AY75" s="470">
        <f t="shared" si="101"/>
        <v>74.080228058224023</v>
      </c>
      <c r="AZ75" s="468">
        <v>4135.271466666667</v>
      </c>
      <c r="BA75" s="463">
        <v>2967.19</v>
      </c>
      <c r="BB75" s="459">
        <f t="shared" si="102"/>
        <v>-1168.081466666667</v>
      </c>
      <c r="BC75" s="470">
        <f t="shared" si="103"/>
        <v>-28.246790472699644</v>
      </c>
      <c r="BD75" s="485">
        <f t="shared" si="84"/>
        <v>44950.931733333338</v>
      </c>
      <c r="BE75" s="174">
        <f t="shared" si="85"/>
        <v>39837.78</v>
      </c>
      <c r="BF75" s="118"/>
      <c r="BG75" s="805"/>
      <c r="BH75" s="804"/>
    </row>
    <row r="76" spans="1:60" s="119" customFormat="1" x14ac:dyDescent="0.25">
      <c r="B76" s="170">
        <v>12207</v>
      </c>
      <c r="C76" s="135">
        <v>372</v>
      </c>
      <c r="D76" s="332" t="s">
        <v>179</v>
      </c>
      <c r="E76" s="332"/>
      <c r="F76" s="491"/>
      <c r="G76" s="328"/>
      <c r="H76" s="468">
        <f>29551.1446166667-3603</f>
        <v>25948.144616666701</v>
      </c>
      <c r="I76" s="465">
        <v>30288.27</v>
      </c>
      <c r="J76" s="459">
        <f t="shared" si="83"/>
        <v>4340.1253833332994</v>
      </c>
      <c r="K76" s="469">
        <f t="shared" si="86"/>
        <v>16.726149200454209</v>
      </c>
      <c r="L76" s="479">
        <f>29551.1446166667-3603</f>
        <v>25948.144616666701</v>
      </c>
      <c r="M76" s="459">
        <v>22613.22</v>
      </c>
      <c r="N76" s="459">
        <f t="shared" si="104"/>
        <v>-3334.9246166666999</v>
      </c>
      <c r="O76" s="469">
        <f t="shared" si="87"/>
        <v>-12.852266186787975</v>
      </c>
      <c r="P76" s="468">
        <f>29551.1446166667-3603</f>
        <v>25948.144616666701</v>
      </c>
      <c r="Q76" s="830">
        <v>29585.72</v>
      </c>
      <c r="R76" s="467">
        <f t="shared" si="105"/>
        <v>3637.5753833333001</v>
      </c>
      <c r="S76" s="469">
        <f t="shared" si="88"/>
        <v>14.018633844813921</v>
      </c>
      <c r="T76" s="468">
        <f>29551.1446166667-3603</f>
        <v>25948.144616666701</v>
      </c>
      <c r="U76" s="813">
        <v>16220.18</v>
      </c>
      <c r="V76" s="459">
        <f t="shared" si="106"/>
        <v>-9727.9646166667007</v>
      </c>
      <c r="W76" s="469">
        <f t="shared" si="89"/>
        <v>-37.490020039499669</v>
      </c>
      <c r="X76" s="468">
        <v>15000</v>
      </c>
      <c r="Y76" s="459">
        <v>15889.58</v>
      </c>
      <c r="Z76" s="459">
        <f t="shared" si="107"/>
        <v>889.57999999999993</v>
      </c>
      <c r="AA76" s="470">
        <f t="shared" si="90"/>
        <v>5.9305333333333321</v>
      </c>
      <c r="AB76" s="468">
        <v>25948.144616666701</v>
      </c>
      <c r="AC76" s="459">
        <v>39034.629999999997</v>
      </c>
      <c r="AD76" s="459">
        <f t="shared" si="108"/>
        <v>13086.485383333296</v>
      </c>
      <c r="AE76" s="485">
        <f t="shared" si="91"/>
        <v>50.433222015140686</v>
      </c>
      <c r="AF76" s="468">
        <v>25948.144616666701</v>
      </c>
      <c r="AG76" s="468">
        <v>17363.87</v>
      </c>
      <c r="AH76" s="459">
        <f t="shared" si="92"/>
        <v>-8584.2746166667021</v>
      </c>
      <c r="AI76" s="470">
        <f t="shared" si="93"/>
        <v>-33.082421666298842</v>
      </c>
      <c r="AJ76" s="468">
        <v>25948.144616666701</v>
      </c>
      <c r="AK76" s="468">
        <v>19488.13</v>
      </c>
      <c r="AL76" s="467">
        <f t="shared" si="94"/>
        <v>-6460.0146166667</v>
      </c>
      <c r="AM76" s="470">
        <f t="shared" si="95"/>
        <v>-24.895863315473356</v>
      </c>
      <c r="AN76" s="468">
        <v>25948.144616666701</v>
      </c>
      <c r="AO76" s="463">
        <v>16626.72</v>
      </c>
      <c r="AP76" s="467">
        <f t="shared" si="96"/>
        <v>-9321.4246166666999</v>
      </c>
      <c r="AQ76" s="470">
        <f t="shared" si="97"/>
        <v>-35.923279889073356</v>
      </c>
      <c r="AR76" s="468">
        <v>25948.144616666701</v>
      </c>
      <c r="AS76" s="463">
        <v>15809.78</v>
      </c>
      <c r="AT76" s="467">
        <f t="shared" si="98"/>
        <v>-10138.3646166667</v>
      </c>
      <c r="AU76" s="470">
        <f t="shared" si="99"/>
        <v>-39.07163601267564</v>
      </c>
      <c r="AV76" s="468">
        <v>25948.144616666701</v>
      </c>
      <c r="AW76" s="468">
        <v>18587.52</v>
      </c>
      <c r="AX76" s="467">
        <f t="shared" si="100"/>
        <v>-7360.6246166667006</v>
      </c>
      <c r="AY76" s="470">
        <f t="shared" si="101"/>
        <v>-28.366670239454862</v>
      </c>
      <c r="AZ76" s="468">
        <v>25948.144616666701</v>
      </c>
      <c r="BA76" s="463">
        <v>17770.580000000002</v>
      </c>
      <c r="BB76" s="459">
        <f t="shared" si="102"/>
        <v>-8177.5646166666993</v>
      </c>
      <c r="BC76" s="470">
        <f t="shared" si="103"/>
        <v>-31.515026363057132</v>
      </c>
      <c r="BD76" s="485">
        <f t="shared" si="84"/>
        <v>295344.40231666691</v>
      </c>
      <c r="BE76" s="571">
        <f t="shared" si="85"/>
        <v>259278.2</v>
      </c>
      <c r="BF76" s="118"/>
      <c r="BG76" s="805"/>
      <c r="BH76" s="804"/>
    </row>
    <row r="77" spans="1:60" s="119" customFormat="1" x14ac:dyDescent="0.25">
      <c r="B77" s="170">
        <v>12899</v>
      </c>
      <c r="C77" s="135">
        <v>333</v>
      </c>
      <c r="D77" s="332" t="s">
        <v>180</v>
      </c>
      <c r="E77" s="332"/>
      <c r="F77" s="511"/>
      <c r="G77" s="328"/>
      <c r="H77" s="468">
        <f>871875.047-3603+2410.33-1000</f>
        <v>869682.37699999998</v>
      </c>
      <c r="I77" s="465">
        <v>1000634.47</v>
      </c>
      <c r="J77" s="459">
        <f t="shared" si="83"/>
        <v>130952.09299999999</v>
      </c>
      <c r="K77" s="469">
        <f t="shared" si="86"/>
        <v>15.057461949697526</v>
      </c>
      <c r="L77" s="479">
        <f>871875.047-3603+2410.33</f>
        <v>870682.37699999998</v>
      </c>
      <c r="M77" s="459">
        <v>903019.48</v>
      </c>
      <c r="N77" s="459">
        <f t="shared" si="104"/>
        <v>32337.103000000003</v>
      </c>
      <c r="O77" s="469">
        <f t="shared" si="87"/>
        <v>3.7139953505685774</v>
      </c>
      <c r="P77" s="468">
        <f>871875.047-3603-2410.33</f>
        <v>865861.71700000006</v>
      </c>
      <c r="Q77" s="830">
        <v>924186.14</v>
      </c>
      <c r="R77" s="467">
        <f>Q77-P77</f>
        <v>58324.422999999952</v>
      </c>
      <c r="S77" s="469">
        <f t="shared" si="88"/>
        <v>6.735997429483298</v>
      </c>
      <c r="T77" s="468">
        <f>871875.047-3603+2410.33</f>
        <v>870682.37699999998</v>
      </c>
      <c r="U77" s="813">
        <v>930381.76</v>
      </c>
      <c r="V77" s="459">
        <f t="shared" si="106"/>
        <v>59699.383000000031</v>
      </c>
      <c r="W77" s="469">
        <f t="shared" si="89"/>
        <v>6.8566201150985329</v>
      </c>
      <c r="X77" s="468">
        <v>870682.37699999998</v>
      </c>
      <c r="Y77" s="459">
        <v>886170.08</v>
      </c>
      <c r="Z77" s="459">
        <f t="shared" si="107"/>
        <v>15487.70299999998</v>
      </c>
      <c r="AA77" s="470">
        <f t="shared" si="90"/>
        <v>1.7788005602414891</v>
      </c>
      <c r="AB77" s="468">
        <v>870682.37699999998</v>
      </c>
      <c r="AC77" s="459">
        <v>912430.65</v>
      </c>
      <c r="AD77" s="459">
        <f t="shared" si="108"/>
        <v>41748.273000000045</v>
      </c>
      <c r="AE77" s="485">
        <f t="shared" si="91"/>
        <v>4.7948912373587671</v>
      </c>
      <c r="AF77" s="468">
        <v>870682.37699999998</v>
      </c>
      <c r="AG77" s="468">
        <v>948013.36</v>
      </c>
      <c r="AH77" s="459">
        <f t="shared" si="92"/>
        <v>77330.983000000007</v>
      </c>
      <c r="AI77" s="470">
        <f t="shared" si="93"/>
        <v>8.8816524880691361</v>
      </c>
      <c r="AJ77" s="468">
        <v>870682.37699999998</v>
      </c>
      <c r="AK77" s="468">
        <v>857108.39</v>
      </c>
      <c r="AL77" s="467">
        <f t="shared" si="94"/>
        <v>-13573.986999999965</v>
      </c>
      <c r="AM77" s="470">
        <f t="shared" si="95"/>
        <v>-1.5590055982033446</v>
      </c>
      <c r="AN77" s="468">
        <v>870682.37699999998</v>
      </c>
      <c r="AO77" s="463">
        <v>874933.22</v>
      </c>
      <c r="AP77" s="467">
        <f t="shared" si="96"/>
        <v>4250.8429999999935</v>
      </c>
      <c r="AQ77" s="470">
        <f t="shared" si="97"/>
        <v>0.48821971275525566</v>
      </c>
      <c r="AR77" s="468">
        <v>870682.37699999998</v>
      </c>
      <c r="AS77" s="463">
        <v>906196.85</v>
      </c>
      <c r="AT77" s="467">
        <f t="shared" si="98"/>
        <v>35514.472999999998</v>
      </c>
      <c r="AU77" s="470">
        <f t="shared" si="99"/>
        <v>4.0789240644065528</v>
      </c>
      <c r="AV77" s="468">
        <v>870682.37699999998</v>
      </c>
      <c r="AW77" s="468">
        <v>834975.21</v>
      </c>
      <c r="AX77" s="467">
        <f t="shared" si="100"/>
        <v>-35707.167000000016</v>
      </c>
      <c r="AY77" s="470">
        <f t="shared" si="101"/>
        <v>-4.101055441483914</v>
      </c>
      <c r="AZ77" s="468">
        <v>870503.37699999998</v>
      </c>
      <c r="BA77" s="463">
        <v>878749.08</v>
      </c>
      <c r="BB77" s="459">
        <f t="shared" si="102"/>
        <v>8245.7029999999795</v>
      </c>
      <c r="BC77" s="470">
        <f t="shared" si="103"/>
        <v>0.94723388993813717</v>
      </c>
      <c r="BD77" s="485">
        <f t="shared" si="84"/>
        <v>10723501.866000002</v>
      </c>
      <c r="BE77" s="174">
        <f t="shared" si="85"/>
        <v>10856798.689999999</v>
      </c>
      <c r="BF77" s="118"/>
      <c r="BG77" s="805"/>
      <c r="BH77" s="825"/>
    </row>
    <row r="78" spans="1:60" s="119" customFormat="1" x14ac:dyDescent="0.25">
      <c r="B78" s="170">
        <v>25044</v>
      </c>
      <c r="C78" s="135">
        <v>327</v>
      </c>
      <c r="D78" s="332" t="s">
        <v>181</v>
      </c>
      <c r="E78" s="332"/>
      <c r="F78" s="491"/>
      <c r="G78" s="328"/>
      <c r="H78" s="468">
        <f>91062.127475-3603</f>
        <v>87459.127475000001</v>
      </c>
      <c r="I78" s="465">
        <v>90077.64</v>
      </c>
      <c r="J78" s="459">
        <f t="shared" si="83"/>
        <v>2618.5125249999983</v>
      </c>
      <c r="K78" s="469">
        <f t="shared" si="86"/>
        <v>2.993984276539341</v>
      </c>
      <c r="L78" s="479">
        <f>91062.127475-3603</f>
        <v>87459.127475000001</v>
      </c>
      <c r="M78" s="459">
        <v>81831.360000000001</v>
      </c>
      <c r="N78" s="459">
        <f t="shared" si="104"/>
        <v>-5627.7674750000006</v>
      </c>
      <c r="O78" s="469">
        <f t="shared" si="87"/>
        <v>-6.4347400179686094</v>
      </c>
      <c r="P78" s="468">
        <f>91062.127475-3603</f>
        <v>87459.127475000001</v>
      </c>
      <c r="Q78" s="830">
        <v>82362.3</v>
      </c>
      <c r="R78" s="467">
        <f t="shared" si="105"/>
        <v>-5096.8274749999982</v>
      </c>
      <c r="S78" s="469">
        <f t="shared" si="88"/>
        <v>-5.8276678742958161</v>
      </c>
      <c r="T78" s="468">
        <f>91062.127475-3603</f>
        <v>87459.127475000001</v>
      </c>
      <c r="U78" s="813">
        <v>51170.28</v>
      </c>
      <c r="V78" s="459">
        <f t="shared" si="106"/>
        <v>-36288.847475000002</v>
      </c>
      <c r="W78" s="469">
        <f t="shared" si="89"/>
        <v>-41.492350224249705</v>
      </c>
      <c r="X78" s="468">
        <v>60000</v>
      </c>
      <c r="Y78" s="459">
        <v>53482.92</v>
      </c>
      <c r="Z78" s="459">
        <f t="shared" si="107"/>
        <v>-6517.0800000000017</v>
      </c>
      <c r="AA78" s="470">
        <f t="shared" si="90"/>
        <v>-10.861799999999999</v>
      </c>
      <c r="AB78" s="468">
        <v>60000</v>
      </c>
      <c r="AC78" s="459">
        <v>51684.3</v>
      </c>
      <c r="AD78" s="459">
        <f t="shared" si="108"/>
        <v>-8315.6999999999971</v>
      </c>
      <c r="AE78" s="485">
        <f t="shared" si="91"/>
        <v>-13.859499999999992</v>
      </c>
      <c r="AF78" s="468">
        <v>87459.127475000001</v>
      </c>
      <c r="AG78" s="468">
        <v>60406.41</v>
      </c>
      <c r="AH78" s="459">
        <f t="shared" si="92"/>
        <v>-27052.717474999998</v>
      </c>
      <c r="AI78" s="470">
        <f t="shared" si="93"/>
        <v>-30.931840113237985</v>
      </c>
      <c r="AJ78" s="468">
        <v>87459.127475000001</v>
      </c>
      <c r="AK78" s="468">
        <v>70105.81</v>
      </c>
      <c r="AL78" s="467">
        <f t="shared" si="94"/>
        <v>-17353.317475000003</v>
      </c>
      <c r="AM78" s="470">
        <f t="shared" si="95"/>
        <v>-19.841631143599514</v>
      </c>
      <c r="AN78" s="468">
        <v>87459.127475000001</v>
      </c>
      <c r="AO78" s="463">
        <v>87690.68</v>
      </c>
      <c r="AP78" s="467">
        <f t="shared" si="96"/>
        <v>231.55252499999187</v>
      </c>
      <c r="AQ78" s="470">
        <f t="shared" si="97"/>
        <v>0.26475512812105251</v>
      </c>
      <c r="AR78" s="468">
        <v>87459.127475000001</v>
      </c>
      <c r="AS78" s="463">
        <v>86555</v>
      </c>
      <c r="AT78" s="467">
        <f t="shared" si="98"/>
        <v>-904.12747500000114</v>
      </c>
      <c r="AU78" s="470">
        <f t="shared" si="99"/>
        <v>-1.0337714325568181</v>
      </c>
      <c r="AV78" s="468">
        <v>87459.127475000001</v>
      </c>
      <c r="AW78" s="468">
        <v>86719.7</v>
      </c>
      <c r="AX78" s="467">
        <f t="shared" si="100"/>
        <v>-739.42747500000405</v>
      </c>
      <c r="AY78" s="470">
        <f t="shared" si="101"/>
        <v>-0.84545489572985799</v>
      </c>
      <c r="AZ78" s="468">
        <v>87459.127475000001</v>
      </c>
      <c r="BA78" s="463">
        <v>88739.6</v>
      </c>
      <c r="BB78" s="459">
        <f t="shared" si="102"/>
        <v>1280.4725250000047</v>
      </c>
      <c r="BC78" s="470">
        <f t="shared" si="103"/>
        <v>1.4640810650278002</v>
      </c>
      <c r="BD78" s="485">
        <f t="shared" si="84"/>
        <v>950196.34485000011</v>
      </c>
      <c r="BE78" s="174">
        <f t="shared" si="85"/>
        <v>890825.99999999988</v>
      </c>
      <c r="BF78" s="118"/>
      <c r="BG78" s="805"/>
      <c r="BH78" s="804"/>
    </row>
    <row r="79" spans="1:60" s="119" customFormat="1" x14ac:dyDescent="0.25">
      <c r="B79" s="170" t="s">
        <v>126</v>
      </c>
      <c r="C79" s="135">
        <v>295</v>
      </c>
      <c r="D79" s="332" t="s">
        <v>50</v>
      </c>
      <c r="E79" s="332"/>
      <c r="F79" s="491"/>
      <c r="G79" s="328"/>
      <c r="H79" s="468">
        <f>9795.05365833334-2214.13</f>
        <v>7580.9236583333395</v>
      </c>
      <c r="I79" s="465">
        <f>0+20000</f>
        <v>20000</v>
      </c>
      <c r="J79" s="459">
        <f t="shared" si="83"/>
        <v>12419.07634166666</v>
      </c>
      <c r="K79" s="469">
        <f t="shared" si="86"/>
        <v>163.82009503571476</v>
      </c>
      <c r="L79" s="479">
        <v>9795.053658333336</v>
      </c>
      <c r="M79" s="459">
        <f>36.63+24000</f>
        <v>24036.63</v>
      </c>
      <c r="N79" s="459">
        <f t="shared" si="104"/>
        <v>14241.576341666665</v>
      </c>
      <c r="O79" s="469">
        <f t="shared" si="87"/>
        <v>145.39559290265208</v>
      </c>
      <c r="P79" s="468">
        <v>9795.053658333336</v>
      </c>
      <c r="Q79" s="830">
        <f>2443.39+62500</f>
        <v>64943.39</v>
      </c>
      <c r="R79" s="467">
        <f t="shared" si="105"/>
        <v>55148.336341666662</v>
      </c>
      <c r="S79" s="469">
        <f t="shared" si="88"/>
        <v>563.02229947202102</v>
      </c>
      <c r="T79" s="468">
        <v>9795.053658333336</v>
      </c>
      <c r="U79" s="813">
        <v>17225</v>
      </c>
      <c r="V79" s="459">
        <f t="shared" si="106"/>
        <v>7429.946341666664</v>
      </c>
      <c r="W79" s="469">
        <f t="shared" si="89"/>
        <v>75.854064723223729</v>
      </c>
      <c r="X79" s="468">
        <v>9795.053658333336</v>
      </c>
      <c r="Y79" s="459">
        <f>2009.7+3220.58</f>
        <v>5230.28</v>
      </c>
      <c r="Z79" s="459">
        <f t="shared" si="107"/>
        <v>-4564.7736583333362</v>
      </c>
      <c r="AA79" s="470">
        <f t="shared" si="90"/>
        <v>-46.602844839443677</v>
      </c>
      <c r="AB79" s="468">
        <v>9795.053658333336</v>
      </c>
      <c r="AC79" s="459">
        <v>225</v>
      </c>
      <c r="AD79" s="459">
        <f t="shared" si="108"/>
        <v>-9570.053658333336</v>
      </c>
      <c r="AE79" s="485">
        <f t="shared" si="91"/>
        <v>-97.702922231481836</v>
      </c>
      <c r="AF79" s="468">
        <v>9795.053658333336</v>
      </c>
      <c r="AG79" s="468">
        <v>1217.43</v>
      </c>
      <c r="AH79" s="459">
        <f t="shared" si="92"/>
        <v>-8577.6236583333357</v>
      </c>
      <c r="AI79" s="470">
        <f t="shared" si="93"/>
        <v>-87.570971610101921</v>
      </c>
      <c r="AJ79" s="468">
        <v>9795.053658333336</v>
      </c>
      <c r="AK79" s="468">
        <v>225</v>
      </c>
      <c r="AL79" s="467">
        <f t="shared" si="94"/>
        <v>-9570.053658333336</v>
      </c>
      <c r="AM79" s="470">
        <f t="shared" si="95"/>
        <v>-97.702922231481836</v>
      </c>
      <c r="AN79" s="468">
        <v>9795.053658333336</v>
      </c>
      <c r="AO79" s="463">
        <v>1562.6</v>
      </c>
      <c r="AP79" s="467">
        <f t="shared" si="96"/>
        <v>-8232.4536583333356</v>
      </c>
      <c r="AQ79" s="470">
        <f t="shared" si="97"/>
        <v>-84.047050128504537</v>
      </c>
      <c r="AR79" s="468">
        <v>9795.053658333336</v>
      </c>
      <c r="AS79" s="463">
        <v>9636.7999999999993</v>
      </c>
      <c r="AT79" s="467">
        <f t="shared" si="98"/>
        <v>-158.25365833333672</v>
      </c>
      <c r="AU79" s="470">
        <f t="shared" si="99"/>
        <v>-1.6156487126407826</v>
      </c>
      <c r="AV79" s="468">
        <v>9795.053658333336</v>
      </c>
      <c r="AW79" s="468">
        <v>1197.96</v>
      </c>
      <c r="AX79" s="467">
        <f t="shared" si="100"/>
        <v>-8597.093658333335</v>
      </c>
      <c r="AY79" s="470">
        <f t="shared" si="101"/>
        <v>-87.769745406337691</v>
      </c>
      <c r="AZ79" s="468">
        <v>9795.053658333336</v>
      </c>
      <c r="BA79" s="463">
        <v>3415.86</v>
      </c>
      <c r="BB79" s="459">
        <f t="shared" si="102"/>
        <v>-6379.1936583333354</v>
      </c>
      <c r="BC79" s="470">
        <f t="shared" si="103"/>
        <v>-65.12668414946468</v>
      </c>
      <c r="BD79" s="485">
        <f t="shared" si="84"/>
        <v>204565.44926666669</v>
      </c>
      <c r="BE79" s="174">
        <f t="shared" si="85"/>
        <v>148915.94999999998</v>
      </c>
      <c r="BF79" s="118"/>
      <c r="BG79" s="805"/>
      <c r="BH79" s="825"/>
    </row>
    <row r="80" spans="1:60" s="119" customFormat="1" x14ac:dyDescent="0.25">
      <c r="B80" s="170">
        <v>12226</v>
      </c>
      <c r="C80" s="135">
        <v>358</v>
      </c>
      <c r="D80" s="332" t="s">
        <v>51</v>
      </c>
      <c r="E80" s="332"/>
      <c r="F80" s="491"/>
      <c r="G80" s="328"/>
      <c r="H80" s="468">
        <f>10368.5327666667</f>
        <v>10368.5327666667</v>
      </c>
      <c r="I80" s="465">
        <v>9353.7999999999993</v>
      </c>
      <c r="J80" s="459">
        <f t="shared" si="83"/>
        <v>-1014.7327666667006</v>
      </c>
      <c r="K80" s="469">
        <f t="shared" si="86"/>
        <v>-9.7866572783462331</v>
      </c>
      <c r="L80" s="479">
        <v>10368.532766666669</v>
      </c>
      <c r="M80" s="459">
        <v>109234.25</v>
      </c>
      <c r="N80" s="459">
        <f t="shared" si="104"/>
        <v>98865.717233333329</v>
      </c>
      <c r="O80" s="469">
        <f t="shared" si="87"/>
        <v>953.51694842661152</v>
      </c>
      <c r="P80" s="468">
        <v>10368.532766666669</v>
      </c>
      <c r="Q80" s="830">
        <v>-87341.07</v>
      </c>
      <c r="R80" s="467">
        <f>Q80+P80</f>
        <v>-76972.537233333336</v>
      </c>
      <c r="S80" s="469">
        <f t="shared" si="88"/>
        <v>-942.36672599221458</v>
      </c>
      <c r="T80" s="468">
        <v>10368.532766666669</v>
      </c>
      <c r="U80" s="813">
        <v>152558.35999999999</v>
      </c>
      <c r="V80" s="459">
        <f t="shared" si="106"/>
        <v>142189.82723333332</v>
      </c>
      <c r="W80" s="469">
        <f t="shared" si="89"/>
        <v>1371.3591925991016</v>
      </c>
      <c r="X80" s="468">
        <v>-110480.81723333331</v>
      </c>
      <c r="Y80" s="459">
        <v>-113101.67</v>
      </c>
      <c r="Z80" s="459">
        <f t="shared" si="107"/>
        <v>-2620.8527666666923</v>
      </c>
      <c r="AA80" s="470">
        <f t="shared" si="90"/>
        <v>2.3722242759405932</v>
      </c>
      <c r="AB80" s="468">
        <v>10368.532766666669</v>
      </c>
      <c r="AC80" s="459">
        <v>37281.379999999997</v>
      </c>
      <c r="AD80" s="459">
        <f t="shared" si="108"/>
        <v>26912.847233333327</v>
      </c>
      <c r="AE80" s="485">
        <f t="shared" si="91"/>
        <v>259.56273504631469</v>
      </c>
      <c r="AF80" s="468">
        <v>10368.532766666669</v>
      </c>
      <c r="AG80" s="468">
        <v>35498.160000000003</v>
      </c>
      <c r="AH80" s="459">
        <f t="shared" si="92"/>
        <v>25129.627233333333</v>
      </c>
      <c r="AI80" s="470">
        <f t="shared" si="93"/>
        <v>242.36435182151754</v>
      </c>
      <c r="AJ80" s="468">
        <v>10368.532766666669</v>
      </c>
      <c r="AK80" s="468">
        <v>13896.03</v>
      </c>
      <c r="AL80" s="467">
        <f t="shared" si="94"/>
        <v>3527.4972333333317</v>
      </c>
      <c r="AM80" s="470">
        <f t="shared" si="95"/>
        <v>34.021180360964131</v>
      </c>
      <c r="AN80" s="468">
        <v>10368.532766666669</v>
      </c>
      <c r="AO80" s="463">
        <v>24200.25</v>
      </c>
      <c r="AP80" s="467">
        <f t="shared" si="96"/>
        <v>13831.717233333331</v>
      </c>
      <c r="AQ80" s="470">
        <f t="shared" si="97"/>
        <v>133.40091162946698</v>
      </c>
      <c r="AR80" s="468">
        <v>10368.532766666669</v>
      </c>
      <c r="AS80" s="463">
        <v>20650.45</v>
      </c>
      <c r="AT80" s="467">
        <f t="shared" si="98"/>
        <v>10281.917233333332</v>
      </c>
      <c r="AU80" s="470">
        <f t="shared" si="99"/>
        <v>99.164630760373413</v>
      </c>
      <c r="AV80" s="468">
        <v>10368.532766666669</v>
      </c>
      <c r="AW80" s="468">
        <v>23803.86</v>
      </c>
      <c r="AX80" s="467">
        <f t="shared" si="100"/>
        <v>13435.327233333332</v>
      </c>
      <c r="AY80" s="470">
        <f t="shared" si="101"/>
        <v>129.57790205887147</v>
      </c>
      <c r="AZ80" s="468">
        <v>10368.532766666669</v>
      </c>
      <c r="BA80" s="463">
        <v>35956.300000000003</v>
      </c>
      <c r="BB80" s="459">
        <f t="shared" si="102"/>
        <v>25587.767233333332</v>
      </c>
      <c r="BC80" s="470">
        <f t="shared" si="103"/>
        <v>246.78291335100275</v>
      </c>
      <c r="BD80" s="485">
        <f t="shared" si="84"/>
        <v>145904.25213333336</v>
      </c>
      <c r="BE80" s="571">
        <f t="shared" si="85"/>
        <v>261990.09999999998</v>
      </c>
      <c r="BF80" s="118"/>
      <c r="BG80" s="805"/>
      <c r="BH80" s="825"/>
    </row>
    <row r="81" spans="2:60" s="119" customFormat="1" x14ac:dyDescent="0.25">
      <c r="B81" s="170" t="s">
        <v>52</v>
      </c>
      <c r="C81" s="135" t="s">
        <v>53</v>
      </c>
      <c r="D81" s="332" t="s">
        <v>182</v>
      </c>
      <c r="E81" s="332"/>
      <c r="F81" s="491"/>
      <c r="G81" s="328"/>
      <c r="H81" s="468">
        <f>454.123566666667</f>
        <v>454.12356666666699</v>
      </c>
      <c r="I81" s="465">
        <f>0+-26.4</f>
        <v>-26.4</v>
      </c>
      <c r="J81" s="459">
        <f t="shared" si="83"/>
        <v>-480.52356666666697</v>
      </c>
      <c r="K81" s="469">
        <f t="shared" si="86"/>
        <v>-105.81339572261793</v>
      </c>
      <c r="L81" s="479">
        <v>454.1235666666667</v>
      </c>
      <c r="M81" s="459">
        <f>750+286.05</f>
        <v>1036.05</v>
      </c>
      <c r="N81" s="459">
        <f t="shared" si="104"/>
        <v>581.92643333333331</v>
      </c>
      <c r="O81" s="469">
        <f t="shared" si="87"/>
        <v>128.14275145523899</v>
      </c>
      <c r="P81" s="468">
        <v>454.1235666666667</v>
      </c>
      <c r="Q81" s="830">
        <f>0+450</f>
        <v>450</v>
      </c>
      <c r="R81" s="467">
        <f t="shared" si="105"/>
        <v>-4.1235666666667044</v>
      </c>
      <c r="S81" s="469">
        <f t="shared" si="88"/>
        <v>-0.90802745537613694</v>
      </c>
      <c r="T81" s="468">
        <v>454.1235666666667</v>
      </c>
      <c r="U81" s="813">
        <v>16900</v>
      </c>
      <c r="V81" s="459">
        <f t="shared" si="106"/>
        <v>16445.876433333335</v>
      </c>
      <c r="W81" s="469">
        <f t="shared" si="89"/>
        <v>3621.4540800092072</v>
      </c>
      <c r="X81" s="468">
        <v>454.1235666666667</v>
      </c>
      <c r="Y81" s="459">
        <v>18480</v>
      </c>
      <c r="Z81" s="459">
        <f t="shared" si="107"/>
        <v>18025.876433333335</v>
      </c>
      <c r="AA81" s="470">
        <f t="shared" si="90"/>
        <v>3969.3770058325536</v>
      </c>
      <c r="AB81" s="468">
        <v>454.1235666666667</v>
      </c>
      <c r="AC81" s="459">
        <v>800</v>
      </c>
      <c r="AD81" s="459">
        <f t="shared" si="108"/>
        <v>345.8764333333333</v>
      </c>
      <c r="AE81" s="485">
        <f t="shared" si="91"/>
        <v>76.163506745997964</v>
      </c>
      <c r="AF81" s="468">
        <v>454.1235666666667</v>
      </c>
      <c r="AG81" s="459">
        <v>0</v>
      </c>
      <c r="AH81" s="459">
        <f t="shared" si="92"/>
        <v>-454.1235666666667</v>
      </c>
      <c r="AI81" s="470">
        <f t="shared" si="93"/>
        <v>-100</v>
      </c>
      <c r="AJ81" s="468">
        <v>454.1235666666667</v>
      </c>
      <c r="AK81" s="468">
        <v>1680</v>
      </c>
      <c r="AL81" s="467">
        <f t="shared" si="94"/>
        <v>1225.8764333333334</v>
      </c>
      <c r="AM81" s="470">
        <f t="shared" si="95"/>
        <v>269.9433641665957</v>
      </c>
      <c r="AN81" s="468">
        <v>454.1235666666667</v>
      </c>
      <c r="AO81" s="463">
        <v>574.87</v>
      </c>
      <c r="AP81" s="467">
        <f t="shared" si="96"/>
        <v>120.7464333333333</v>
      </c>
      <c r="AQ81" s="470">
        <f t="shared" si="97"/>
        <v>26.588893903839828</v>
      </c>
      <c r="AR81" s="468">
        <v>454.1235666666667</v>
      </c>
      <c r="AS81" s="463">
        <v>500</v>
      </c>
      <c r="AT81" s="467">
        <f t="shared" si="98"/>
        <v>45.876433333333296</v>
      </c>
      <c r="AU81" s="470">
        <f t="shared" si="99"/>
        <v>10.102191716248733</v>
      </c>
      <c r="AV81" s="468">
        <v>454.1235666666667</v>
      </c>
      <c r="AW81" s="468">
        <v>750</v>
      </c>
      <c r="AX81" s="467">
        <f t="shared" si="100"/>
        <v>295.8764333333333</v>
      </c>
      <c r="AY81" s="470">
        <f t="shared" si="101"/>
        <v>65.15328757437311</v>
      </c>
      <c r="AZ81" s="468">
        <v>454.1235666666667</v>
      </c>
      <c r="BA81" s="463">
        <v>550</v>
      </c>
      <c r="BB81" s="459">
        <f t="shared" si="102"/>
        <v>95.876433333333296</v>
      </c>
      <c r="BC81" s="470">
        <f t="shared" si="103"/>
        <v>21.112410887873612</v>
      </c>
      <c r="BD81" s="485">
        <f t="shared" si="84"/>
        <v>21992.638533333331</v>
      </c>
      <c r="BE81" s="174">
        <f t="shared" si="85"/>
        <v>41694.520000000004</v>
      </c>
      <c r="BF81" s="118"/>
      <c r="BG81" s="805"/>
      <c r="BH81" s="825"/>
    </row>
    <row r="82" spans="2:60" s="119" customFormat="1" x14ac:dyDescent="0.25">
      <c r="B82" s="170">
        <v>12228</v>
      </c>
      <c r="C82" s="135">
        <v>334</v>
      </c>
      <c r="D82" s="332" t="s">
        <v>183</v>
      </c>
      <c r="E82" s="332"/>
      <c r="F82" s="491"/>
      <c r="G82" s="328"/>
      <c r="H82" s="468">
        <f>344.829408333333</f>
        <v>344.82940833333299</v>
      </c>
      <c r="I82" s="465">
        <v>1047.17</v>
      </c>
      <c r="J82" s="459">
        <f t="shared" si="83"/>
        <v>702.34059166666702</v>
      </c>
      <c r="K82" s="469">
        <f t="shared" si="86"/>
        <v>203.67769531644532</v>
      </c>
      <c r="L82" s="479">
        <v>344.82940833333333</v>
      </c>
      <c r="M82" s="459">
        <v>536.65</v>
      </c>
      <c r="N82" s="459">
        <f t="shared" si="104"/>
        <v>191.82059166666664</v>
      </c>
      <c r="O82" s="469">
        <f t="shared" si="87"/>
        <v>55.627677637413406</v>
      </c>
      <c r="P82" s="468">
        <v>344.82940833333333</v>
      </c>
      <c r="Q82" s="830">
        <v>0</v>
      </c>
      <c r="R82" s="467">
        <f t="shared" si="105"/>
        <v>-344.82940833333333</v>
      </c>
      <c r="S82" s="469">
        <f t="shared" si="88"/>
        <v>-100</v>
      </c>
      <c r="T82" s="468">
        <v>344.82940833333333</v>
      </c>
      <c r="U82" s="813">
        <v>0</v>
      </c>
      <c r="V82" s="459">
        <f t="shared" si="106"/>
        <v>-344.82940833333333</v>
      </c>
      <c r="W82" s="469">
        <f t="shared" si="89"/>
        <v>-100</v>
      </c>
      <c r="X82" s="468">
        <v>344.82940833333333</v>
      </c>
      <c r="Y82" s="459">
        <v>0</v>
      </c>
      <c r="Z82" s="459">
        <f t="shared" si="107"/>
        <v>-344.82940833333333</v>
      </c>
      <c r="AA82" s="470">
        <f t="shared" si="90"/>
        <v>-100</v>
      </c>
      <c r="AB82" s="468">
        <v>344.82940833333333</v>
      </c>
      <c r="AC82" s="459">
        <v>0</v>
      </c>
      <c r="AD82" s="459">
        <f t="shared" si="108"/>
        <v>-344.82940833333333</v>
      </c>
      <c r="AE82" s="485">
        <f t="shared" si="91"/>
        <v>-100</v>
      </c>
      <c r="AF82" s="468">
        <v>344.82940833333333</v>
      </c>
      <c r="AG82" s="459">
        <v>0</v>
      </c>
      <c r="AH82" s="459">
        <f t="shared" si="92"/>
        <v>-344.82940833333333</v>
      </c>
      <c r="AI82" s="470">
        <f t="shared" si="93"/>
        <v>-100</v>
      </c>
      <c r="AJ82" s="468">
        <v>344.82940833333333</v>
      </c>
      <c r="AK82" s="468">
        <v>0</v>
      </c>
      <c r="AL82" s="467">
        <f t="shared" si="94"/>
        <v>-344.82940833333333</v>
      </c>
      <c r="AM82" s="470">
        <f t="shared" si="95"/>
        <v>-100</v>
      </c>
      <c r="AN82" s="468">
        <v>344.82940833333333</v>
      </c>
      <c r="AO82" s="463">
        <v>0</v>
      </c>
      <c r="AP82" s="467">
        <f t="shared" si="96"/>
        <v>-344.82940833333333</v>
      </c>
      <c r="AQ82" s="470">
        <f t="shared" si="97"/>
        <v>-100</v>
      </c>
      <c r="AR82" s="468">
        <v>344.82940833333333</v>
      </c>
      <c r="AS82" s="463">
        <v>0</v>
      </c>
      <c r="AT82" s="467">
        <f t="shared" si="98"/>
        <v>-344.82940833333333</v>
      </c>
      <c r="AU82" s="470">
        <f t="shared" si="99"/>
        <v>-100</v>
      </c>
      <c r="AV82" s="468">
        <v>344.82940833333333</v>
      </c>
      <c r="AW82" s="468">
        <v>3000</v>
      </c>
      <c r="AX82" s="467">
        <f t="shared" si="100"/>
        <v>2655.1705916666665</v>
      </c>
      <c r="AY82" s="470">
        <f t="shared" si="101"/>
        <v>769.99540279929238</v>
      </c>
      <c r="AZ82" s="468">
        <v>344.82940833333333</v>
      </c>
      <c r="BA82" s="463">
        <v>0</v>
      </c>
      <c r="BB82" s="459">
        <f t="shared" si="102"/>
        <v>-344.82940833333333</v>
      </c>
      <c r="BC82" s="470">
        <f t="shared" si="103"/>
        <v>-100</v>
      </c>
      <c r="BD82" s="485">
        <f t="shared" si="84"/>
        <v>4342.4552666666677</v>
      </c>
      <c r="BE82" s="174">
        <f t="shared" si="85"/>
        <v>4583.82</v>
      </c>
      <c r="BF82" s="118"/>
      <c r="BG82" s="805"/>
      <c r="BH82" s="825"/>
    </row>
    <row r="83" spans="2:60" s="119" customFormat="1" x14ac:dyDescent="0.25">
      <c r="B83" s="170">
        <v>12229</v>
      </c>
      <c r="C83" s="135">
        <v>338</v>
      </c>
      <c r="D83" s="332" t="s">
        <v>54</v>
      </c>
      <c r="E83" s="332"/>
      <c r="F83" s="491"/>
      <c r="G83" s="328"/>
      <c r="H83" s="468">
        <f>285838.222625-3603</f>
        <v>282235.22262499999</v>
      </c>
      <c r="I83" s="465">
        <v>310933.73</v>
      </c>
      <c r="J83" s="459">
        <f t="shared" si="83"/>
        <v>28698.507374999986</v>
      </c>
      <c r="K83" s="469">
        <f t="shared" si="86"/>
        <v>10.16829405914763</v>
      </c>
      <c r="L83" s="479">
        <f>285838.222625-3603</f>
        <v>282235.22262499999</v>
      </c>
      <c r="M83" s="459">
        <v>283015.15999999997</v>
      </c>
      <c r="N83" s="459">
        <f t="shared" si="104"/>
        <v>779.93737499997951</v>
      </c>
      <c r="O83" s="469">
        <f t="shared" si="87"/>
        <v>0.27634303321391052</v>
      </c>
      <c r="P83" s="468">
        <f>285838.222625-3603</f>
        <v>282235.22262499999</v>
      </c>
      <c r="Q83" s="830">
        <v>292103.59999999998</v>
      </c>
      <c r="R83" s="467">
        <f t="shared" si="105"/>
        <v>9868.3773749999818</v>
      </c>
      <c r="S83" s="469">
        <f t="shared" si="88"/>
        <v>3.4965080840076102</v>
      </c>
      <c r="T83" s="468">
        <f>285838.222625-3603</f>
        <v>282235.22262499999</v>
      </c>
      <c r="U83" s="813">
        <v>279160.23</v>
      </c>
      <c r="V83" s="459">
        <f t="shared" si="106"/>
        <v>-3074.9926250000135</v>
      </c>
      <c r="W83" s="469">
        <f t="shared" si="89"/>
        <v>-1.0895141281092702</v>
      </c>
      <c r="X83" s="468">
        <v>282235.22262499999</v>
      </c>
      <c r="Y83" s="459">
        <v>285913.24</v>
      </c>
      <c r="Z83" s="459">
        <f t="shared" si="107"/>
        <v>3678.0173749999958</v>
      </c>
      <c r="AA83" s="470">
        <f t="shared" si="90"/>
        <v>1.3031744729774308</v>
      </c>
      <c r="AB83" s="468">
        <v>282235.22262499999</v>
      </c>
      <c r="AC83" s="459">
        <v>392375.96</v>
      </c>
      <c r="AD83" s="459">
        <f t="shared" si="108"/>
        <v>110140.73737500003</v>
      </c>
      <c r="AE83" s="485">
        <f t="shared" si="91"/>
        <v>39.024447888044691</v>
      </c>
      <c r="AF83" s="468">
        <v>282235.22262499999</v>
      </c>
      <c r="AG83" s="459">
        <v>403004.99</v>
      </c>
      <c r="AH83" s="459">
        <f t="shared" si="92"/>
        <v>120769.767375</v>
      </c>
      <c r="AI83" s="470">
        <f t="shared" si="93"/>
        <v>42.790466140884284</v>
      </c>
      <c r="AJ83" s="468">
        <v>282235.22262499999</v>
      </c>
      <c r="AK83" s="468">
        <v>402470.9</v>
      </c>
      <c r="AL83" s="467">
        <f t="shared" si="94"/>
        <v>120235.67737500003</v>
      </c>
      <c r="AM83" s="470">
        <f t="shared" si="95"/>
        <v>42.601230369731226</v>
      </c>
      <c r="AN83" s="468">
        <v>282235.22262499999</v>
      </c>
      <c r="AO83" s="463">
        <v>394107.11</v>
      </c>
      <c r="AP83" s="467">
        <f t="shared" si="96"/>
        <v>111871.88737499999</v>
      </c>
      <c r="AQ83" s="470">
        <f t="shared" si="97"/>
        <v>39.637819239748765</v>
      </c>
      <c r="AR83" s="468">
        <v>282235.22262499999</v>
      </c>
      <c r="AS83" s="463">
        <v>399168.8</v>
      </c>
      <c r="AT83" s="467">
        <f t="shared" si="98"/>
        <v>116933.57737499999</v>
      </c>
      <c r="AU83" s="470">
        <f t="shared" si="99"/>
        <v>41.431248831180497</v>
      </c>
      <c r="AV83" s="468">
        <v>282235.22262499999</v>
      </c>
      <c r="AW83" s="468">
        <v>392105.57</v>
      </c>
      <c r="AX83" s="467">
        <f t="shared" si="100"/>
        <v>109870.34737500001</v>
      </c>
      <c r="AY83" s="470">
        <f t="shared" si="101"/>
        <v>38.928644820842372</v>
      </c>
      <c r="AZ83" s="468">
        <v>282235.22262499999</v>
      </c>
      <c r="BA83" s="463">
        <v>403828.81</v>
      </c>
      <c r="BB83" s="459">
        <f t="shared" si="102"/>
        <v>121593.587375</v>
      </c>
      <c r="BC83" s="470">
        <f t="shared" si="103"/>
        <v>43.082357419491487</v>
      </c>
      <c r="BD83" s="485">
        <f t="shared" si="84"/>
        <v>3423094.5010000002</v>
      </c>
      <c r="BE83" s="174">
        <f t="shared" si="85"/>
        <v>4238188.0999999987</v>
      </c>
      <c r="BF83" s="118"/>
      <c r="BG83" s="805"/>
      <c r="BH83" s="825"/>
    </row>
    <row r="84" spans="2:60" s="119" customFormat="1" x14ac:dyDescent="0.25">
      <c r="B84" s="170">
        <v>12230</v>
      </c>
      <c r="C84" s="135">
        <v>339</v>
      </c>
      <c r="D84" s="332" t="s">
        <v>184</v>
      </c>
      <c r="E84" s="332"/>
      <c r="F84" s="491"/>
      <c r="G84" s="328"/>
      <c r="H84" s="468">
        <f>19359.6516833333-3603</f>
        <v>15756.651683333301</v>
      </c>
      <c r="I84" s="465">
        <v>17517.009999999998</v>
      </c>
      <c r="J84" s="459">
        <f t="shared" si="83"/>
        <v>1760.3583166666976</v>
      </c>
      <c r="K84" s="469">
        <f t="shared" si="86"/>
        <v>11.172159872828358</v>
      </c>
      <c r="L84" s="479">
        <f>19359.6516833333-3603</f>
        <v>15756.651683333301</v>
      </c>
      <c r="M84" s="459">
        <v>17518.61</v>
      </c>
      <c r="N84" s="459">
        <f t="shared" si="104"/>
        <v>1761.9583166666998</v>
      </c>
      <c r="O84" s="469">
        <f t="shared" si="87"/>
        <v>11.182314314470897</v>
      </c>
      <c r="P84" s="468">
        <f>19359.6516833333-3603</f>
        <v>15756.651683333301</v>
      </c>
      <c r="Q84" s="830">
        <v>17511.259999999998</v>
      </c>
      <c r="R84" s="467">
        <f t="shared" si="105"/>
        <v>1754.6083166666976</v>
      </c>
      <c r="S84" s="469">
        <f t="shared" si="88"/>
        <v>11.135667348175549</v>
      </c>
      <c r="T84" s="468">
        <f>19359.6516833333-3603</f>
        <v>15756.651683333301</v>
      </c>
      <c r="U84" s="813">
        <v>17345.919999999998</v>
      </c>
      <c r="V84" s="459">
        <f t="shared" si="106"/>
        <v>1589.2683166666975</v>
      </c>
      <c r="W84" s="469">
        <f t="shared" si="89"/>
        <v>10.086332734941127</v>
      </c>
      <c r="X84" s="468">
        <v>15756.651683333301</v>
      </c>
      <c r="Y84" s="459">
        <v>17494.12</v>
      </c>
      <c r="Z84" s="459">
        <f t="shared" si="107"/>
        <v>1737.4683166666982</v>
      </c>
      <c r="AA84" s="470">
        <f t="shared" si="90"/>
        <v>11.026887892079994</v>
      </c>
      <c r="AB84" s="468">
        <v>15756.651683333301</v>
      </c>
      <c r="AC84" s="459">
        <v>17756.580000000002</v>
      </c>
      <c r="AD84" s="459">
        <f t="shared" si="108"/>
        <v>1999.928316666701</v>
      </c>
      <c r="AE84" s="485">
        <f t="shared" si="91"/>
        <v>12.69259711301569</v>
      </c>
      <c r="AF84" s="468">
        <v>15756.651683333301</v>
      </c>
      <c r="AG84" s="459">
        <v>28278.41</v>
      </c>
      <c r="AH84" s="459">
        <f t="shared" si="92"/>
        <v>12521.758316666699</v>
      </c>
      <c r="AI84" s="470">
        <f t="shared" si="93"/>
        <v>79.469665055245642</v>
      </c>
      <c r="AJ84" s="468">
        <v>15756.651683333301</v>
      </c>
      <c r="AK84" s="468">
        <v>23439.86</v>
      </c>
      <c r="AL84" s="467">
        <f t="shared" si="94"/>
        <v>7683.2083166666998</v>
      </c>
      <c r="AM84" s="470">
        <f t="shared" si="95"/>
        <v>48.761681549346328</v>
      </c>
      <c r="AN84" s="468">
        <v>15756.651683333301</v>
      </c>
      <c r="AO84" s="463">
        <v>18861.259999999998</v>
      </c>
      <c r="AP84" s="467">
        <f t="shared" si="96"/>
        <v>3104.6083166666976</v>
      </c>
      <c r="AQ84" s="470">
        <f t="shared" si="97"/>
        <v>19.703477484055941</v>
      </c>
      <c r="AR84" s="468">
        <v>15756.651683333301</v>
      </c>
      <c r="AS84" s="463">
        <v>17414.32</v>
      </c>
      <c r="AT84" s="467">
        <f t="shared" si="98"/>
        <v>1657.668316666699</v>
      </c>
      <c r="AU84" s="470">
        <f t="shared" si="99"/>
        <v>10.520435115159078</v>
      </c>
      <c r="AV84" s="468">
        <v>15756.651683333301</v>
      </c>
      <c r="AW84" s="468">
        <v>17556.86</v>
      </c>
      <c r="AX84" s="467">
        <f t="shared" si="100"/>
        <v>1800.2083166666998</v>
      </c>
      <c r="AY84" s="470">
        <f t="shared" si="101"/>
        <v>11.425068934987515</v>
      </c>
      <c r="AZ84" s="468">
        <v>15756.651683333301</v>
      </c>
      <c r="BA84" s="463">
        <v>20429.919999999998</v>
      </c>
      <c r="BB84" s="459">
        <f t="shared" si="102"/>
        <v>4673.2683166666975</v>
      </c>
      <c r="BC84" s="470">
        <f t="shared" si="103"/>
        <v>29.659019000907904</v>
      </c>
      <c r="BD84" s="485">
        <f t="shared" si="84"/>
        <v>195946.01346666639</v>
      </c>
      <c r="BE84" s="571">
        <f t="shared" si="85"/>
        <v>231124.12999999995</v>
      </c>
      <c r="BF84" s="118"/>
      <c r="BG84" s="805"/>
      <c r="BH84" s="804"/>
    </row>
    <row r="85" spans="2:60" s="119" customFormat="1" x14ac:dyDescent="0.25">
      <c r="B85" s="170">
        <v>12231</v>
      </c>
      <c r="C85" s="135">
        <v>373</v>
      </c>
      <c r="D85" s="332" t="s">
        <v>185</v>
      </c>
      <c r="E85" s="332"/>
      <c r="F85" s="491"/>
      <c r="G85" s="328"/>
      <c r="H85" s="468">
        <f>37329.3080666667-3603</f>
        <v>33726.308066666701</v>
      </c>
      <c r="I85" s="465">
        <v>36717.870000000003</v>
      </c>
      <c r="J85" s="459">
        <f t="shared" si="83"/>
        <v>2991.5619333333016</v>
      </c>
      <c r="K85" s="469">
        <f t="shared" si="86"/>
        <v>8.8701138808905178</v>
      </c>
      <c r="L85" s="479">
        <f>37329.3080666667-3603</f>
        <v>33726.308066666701</v>
      </c>
      <c r="M85" s="459">
        <v>34107.32</v>
      </c>
      <c r="N85" s="459">
        <f t="shared" si="104"/>
        <v>381.01193333329866</v>
      </c>
      <c r="O85" s="469">
        <f t="shared" si="87"/>
        <v>1.1297172894825902</v>
      </c>
      <c r="P85" s="468">
        <f>37329.3080666667-3603</f>
        <v>33726.308066666701</v>
      </c>
      <c r="Q85" s="830">
        <v>38628.519999999997</v>
      </c>
      <c r="R85" s="467">
        <f t="shared" si="105"/>
        <v>4902.2119333332957</v>
      </c>
      <c r="S85" s="469">
        <f t="shared" si="88"/>
        <v>14.535275914704648</v>
      </c>
      <c r="T85" s="468">
        <f>37329.3080666667-3603</f>
        <v>33726.308066666701</v>
      </c>
      <c r="U85" s="813">
        <v>38833.800000000003</v>
      </c>
      <c r="V85" s="459">
        <f t="shared" si="106"/>
        <v>5107.4919333333019</v>
      </c>
      <c r="W85" s="469">
        <f t="shared" si="89"/>
        <v>15.14394022386718</v>
      </c>
      <c r="X85" s="468">
        <v>33726.308066666701</v>
      </c>
      <c r="Y85" s="459">
        <v>39095.58</v>
      </c>
      <c r="Z85" s="459">
        <f t="shared" si="107"/>
        <v>5369.2719333333007</v>
      </c>
      <c r="AA85" s="470">
        <f t="shared" si="90"/>
        <v>15.920129540179362</v>
      </c>
      <c r="AB85" s="468">
        <v>33726.308066666701</v>
      </c>
      <c r="AC85" s="459">
        <v>34880.839999999997</v>
      </c>
      <c r="AD85" s="459">
        <f t="shared" si="108"/>
        <v>1154.5319333332955</v>
      </c>
      <c r="AE85" s="485">
        <f t="shared" si="91"/>
        <v>3.4232384139145422</v>
      </c>
      <c r="AF85" s="468">
        <v>33726.308066666701</v>
      </c>
      <c r="AG85" s="459">
        <v>39720.81</v>
      </c>
      <c r="AH85" s="459">
        <f t="shared" si="92"/>
        <v>5994.5019333332966</v>
      </c>
      <c r="AI85" s="470">
        <f t="shared" si="93"/>
        <v>17.773964234341875</v>
      </c>
      <c r="AJ85" s="468">
        <v>33726.308066666701</v>
      </c>
      <c r="AK85" s="468">
        <v>37940.32</v>
      </c>
      <c r="AL85" s="467">
        <f t="shared" si="94"/>
        <v>4214.0119333332987</v>
      </c>
      <c r="AM85" s="470">
        <f t="shared" si="95"/>
        <v>12.494732376290552</v>
      </c>
      <c r="AN85" s="468">
        <v>33726.308066666701</v>
      </c>
      <c r="AO85" s="463">
        <v>36952.720000000001</v>
      </c>
      <c r="AP85" s="467">
        <f t="shared" si="96"/>
        <v>3226.4119333333001</v>
      </c>
      <c r="AQ85" s="470">
        <f t="shared" si="97"/>
        <v>9.566454552201975</v>
      </c>
      <c r="AR85" s="468">
        <v>33726.308066666701</v>
      </c>
      <c r="AS85" s="463">
        <v>38256.18</v>
      </c>
      <c r="AT85" s="467">
        <f t="shared" si="98"/>
        <v>4529.8719333332992</v>
      </c>
      <c r="AU85" s="470">
        <f t="shared" si="99"/>
        <v>13.431271292366521</v>
      </c>
      <c r="AV85" s="468">
        <v>33726.308066666701</v>
      </c>
      <c r="AW85" s="468">
        <v>49711.28</v>
      </c>
      <c r="AX85" s="467">
        <f t="shared" si="100"/>
        <v>15984.971933333298</v>
      </c>
      <c r="AY85" s="470">
        <f t="shared" si="101"/>
        <v>47.396151104757301</v>
      </c>
      <c r="AZ85" s="468">
        <v>33726.308066666701</v>
      </c>
      <c r="BA85" s="463">
        <v>39943.65</v>
      </c>
      <c r="BB85" s="459">
        <f t="shared" si="102"/>
        <v>6217.3419333333004</v>
      </c>
      <c r="BC85" s="470">
        <f t="shared" si="103"/>
        <v>18.434694722717637</v>
      </c>
      <c r="BD85" s="485">
        <f t="shared" si="84"/>
        <v>418097.97453333362</v>
      </c>
      <c r="BE85" s="174">
        <f t="shared" si="85"/>
        <v>464788.89</v>
      </c>
      <c r="BF85" s="118"/>
      <c r="BG85" s="805"/>
      <c r="BH85" s="804"/>
    </row>
    <row r="86" spans="2:60" s="119" customFormat="1" x14ac:dyDescent="0.25">
      <c r="B86" s="170">
        <v>51010</v>
      </c>
      <c r="C86" s="135">
        <v>328</v>
      </c>
      <c r="D86" s="332" t="s">
        <v>186</v>
      </c>
      <c r="E86" s="332"/>
      <c r="F86" s="491"/>
      <c r="G86" s="328"/>
      <c r="H86" s="468">
        <f>180472.394166667-3603</f>
        <v>176869.39416666701</v>
      </c>
      <c r="I86" s="465">
        <v>169939.03</v>
      </c>
      <c r="J86" s="459">
        <f t="shared" si="83"/>
        <v>-6930.3641666670155</v>
      </c>
      <c r="K86" s="469">
        <f t="shared" si="86"/>
        <v>-3.9183512779697893</v>
      </c>
      <c r="L86" s="479">
        <f>180472.394166667-3603</f>
        <v>176869.39416666701</v>
      </c>
      <c r="M86" s="459">
        <v>161746</v>
      </c>
      <c r="N86" s="459">
        <f t="shared" si="104"/>
        <v>-15123.394166667014</v>
      </c>
      <c r="O86" s="469">
        <f t="shared" si="87"/>
        <v>-8.5505998581167688</v>
      </c>
      <c r="P86" s="468">
        <f>180472.394166667-3603</f>
        <v>176869.39416666701</v>
      </c>
      <c r="Q86" s="830">
        <v>169329</v>
      </c>
      <c r="R86" s="467">
        <f t="shared" si="105"/>
        <v>-7540.3941666670144</v>
      </c>
      <c r="S86" s="469">
        <f t="shared" si="88"/>
        <v>-4.2632554954994522</v>
      </c>
      <c r="T86" s="468">
        <f>180472.394166667-3603</f>
        <v>176869.39416666701</v>
      </c>
      <c r="U86" s="813">
        <v>151665</v>
      </c>
      <c r="V86" s="459">
        <f t="shared" si="106"/>
        <v>-25204.394166667014</v>
      </c>
      <c r="W86" s="469">
        <f t="shared" si="89"/>
        <v>-14.250285802933483</v>
      </c>
      <c r="X86" s="468">
        <v>120000</v>
      </c>
      <c r="Y86" s="459">
        <v>126626.6</v>
      </c>
      <c r="Z86" s="459">
        <f t="shared" si="107"/>
        <v>6626.6000000000058</v>
      </c>
      <c r="AA86" s="470">
        <f t="shared" si="90"/>
        <v>5.5221666666666724</v>
      </c>
      <c r="AB86" s="468">
        <v>120000</v>
      </c>
      <c r="AC86" s="459">
        <v>109408.6</v>
      </c>
      <c r="AD86" s="459">
        <f t="shared" si="108"/>
        <v>-10591.399999999994</v>
      </c>
      <c r="AE86" s="485">
        <f t="shared" si="91"/>
        <v>-8.8261666666666567</v>
      </c>
      <c r="AF86" s="468">
        <v>120000</v>
      </c>
      <c r="AG86" s="459">
        <v>134492.20000000001</v>
      </c>
      <c r="AH86" s="459">
        <f t="shared" si="92"/>
        <v>14492.200000000012</v>
      </c>
      <c r="AI86" s="470">
        <f t="shared" si="93"/>
        <v>12.076833333333337</v>
      </c>
      <c r="AJ86" s="468">
        <v>176869.39416666701</v>
      </c>
      <c r="AK86" s="468">
        <v>117398</v>
      </c>
      <c r="AL86" s="467">
        <f t="shared" si="94"/>
        <v>-59471.394166667014</v>
      </c>
      <c r="AM86" s="470">
        <f t="shared" si="95"/>
        <v>-33.624468748180433</v>
      </c>
      <c r="AN86" s="468">
        <v>176869.39416666701</v>
      </c>
      <c r="AO86" s="463">
        <v>102088</v>
      </c>
      <c r="AP86" s="467">
        <f t="shared" si="96"/>
        <v>-74781.394166667014</v>
      </c>
      <c r="AQ86" s="470">
        <f t="shared" si="97"/>
        <v>-42.280573481356107</v>
      </c>
      <c r="AR86" s="468">
        <v>176869.39416666701</v>
      </c>
      <c r="AS86" s="463">
        <v>106271</v>
      </c>
      <c r="AT86" s="467">
        <f t="shared" si="98"/>
        <v>-70598.394166667014</v>
      </c>
      <c r="AU86" s="470">
        <f t="shared" si="99"/>
        <v>-39.915551528457748</v>
      </c>
      <c r="AV86" s="468">
        <v>176869.39416666701</v>
      </c>
      <c r="AW86" s="468">
        <v>103372</v>
      </c>
      <c r="AX86" s="467">
        <f t="shared" si="100"/>
        <v>-73497.394166667014</v>
      </c>
      <c r="AY86" s="470">
        <f t="shared" si="101"/>
        <v>-41.554614077215177</v>
      </c>
      <c r="AZ86" s="468">
        <v>176869.39416666701</v>
      </c>
      <c r="BA86" s="463">
        <v>114097.2</v>
      </c>
      <c r="BB86" s="459">
        <f t="shared" si="102"/>
        <v>-62772.194166667017</v>
      </c>
      <c r="BC86" s="470">
        <f t="shared" si="103"/>
        <v>-35.490704574651119</v>
      </c>
      <c r="BD86" s="485">
        <f t="shared" si="84"/>
        <v>1897026.0008333351</v>
      </c>
      <c r="BE86" s="174">
        <f t="shared" si="85"/>
        <v>1566432.63</v>
      </c>
      <c r="BF86" s="118"/>
      <c r="BG86" s="805"/>
      <c r="BH86" s="804"/>
    </row>
    <row r="87" spans="2:60" s="119" customFormat="1" x14ac:dyDescent="0.25">
      <c r="B87" s="170">
        <v>51011</v>
      </c>
      <c r="C87" s="135">
        <v>329</v>
      </c>
      <c r="D87" s="332" t="s">
        <v>187</v>
      </c>
      <c r="E87" s="332"/>
      <c r="F87" s="491"/>
      <c r="G87" s="328"/>
      <c r="H87" s="468">
        <f>241790.096666667-3603</f>
        <v>238187.096666667</v>
      </c>
      <c r="I87" s="465">
        <v>292406.77</v>
      </c>
      <c r="J87" s="459">
        <f t="shared" si="83"/>
        <v>54219.673333333019</v>
      </c>
      <c r="K87" s="469">
        <f t="shared" si="86"/>
        <v>22.76348051263717</v>
      </c>
      <c r="L87" s="479">
        <f>241790.096666667-3603</f>
        <v>238187.096666667</v>
      </c>
      <c r="M87" s="459">
        <v>264470</v>
      </c>
      <c r="N87" s="459">
        <f t="shared" si="104"/>
        <v>26282.903333333001</v>
      </c>
      <c r="O87" s="469">
        <f t="shared" si="87"/>
        <v>11.034562199695831</v>
      </c>
      <c r="P87" s="468">
        <f>241790.096666667-3603</f>
        <v>238187.096666667</v>
      </c>
      <c r="Q87" s="830">
        <v>303860</v>
      </c>
      <c r="R87" s="467">
        <f t="shared" si="105"/>
        <v>65672.903333333001</v>
      </c>
      <c r="S87" s="469">
        <f t="shared" si="88"/>
        <v>27.571981963926252</v>
      </c>
      <c r="T87" s="468">
        <f>241790.096666667-3603</f>
        <v>238187.096666667</v>
      </c>
      <c r="U87" s="813">
        <v>284880</v>
      </c>
      <c r="V87" s="459">
        <f t="shared" si="106"/>
        <v>46692.903333333001</v>
      </c>
      <c r="W87" s="469">
        <f t="shared" si="89"/>
        <v>19.603456268950524</v>
      </c>
      <c r="X87" s="468">
        <v>238187.096666667</v>
      </c>
      <c r="Y87" s="459">
        <v>289820</v>
      </c>
      <c r="Z87" s="459">
        <f t="shared" si="107"/>
        <v>51632.903333333001</v>
      </c>
      <c r="AA87" s="470">
        <f t="shared" si="90"/>
        <v>21.677456107368865</v>
      </c>
      <c r="AB87" s="468">
        <v>238187.096666667</v>
      </c>
      <c r="AC87" s="459">
        <v>283580</v>
      </c>
      <c r="AD87" s="459">
        <f t="shared" si="108"/>
        <v>45392.903333333001</v>
      </c>
      <c r="AE87" s="485">
        <f t="shared" si="91"/>
        <v>19.057666837787824</v>
      </c>
      <c r="AF87" s="468">
        <v>238187.096666667</v>
      </c>
      <c r="AG87" s="459">
        <v>291250</v>
      </c>
      <c r="AH87" s="459">
        <f t="shared" si="92"/>
        <v>53062.903333333001</v>
      </c>
      <c r="AI87" s="470">
        <f t="shared" si="93"/>
        <v>22.277824481647855</v>
      </c>
      <c r="AJ87" s="468">
        <v>238187.096666667</v>
      </c>
      <c r="AK87" s="468">
        <v>290470</v>
      </c>
      <c r="AL87" s="467">
        <f t="shared" si="94"/>
        <v>52282.903333333001</v>
      </c>
      <c r="AM87" s="470">
        <f t="shared" si="95"/>
        <v>21.950350822950227</v>
      </c>
      <c r="AN87" s="468">
        <v>238187.096666667</v>
      </c>
      <c r="AO87" s="463">
        <v>282280</v>
      </c>
      <c r="AP87" s="467">
        <f t="shared" si="96"/>
        <v>44092.903333333001</v>
      </c>
      <c r="AQ87" s="470">
        <f t="shared" si="97"/>
        <v>18.5118774066251</v>
      </c>
      <c r="AR87" s="468">
        <v>238187.096666667</v>
      </c>
      <c r="AS87" s="463">
        <v>292810</v>
      </c>
      <c r="AT87" s="467">
        <f t="shared" si="98"/>
        <v>54622.903333333001</v>
      </c>
      <c r="AU87" s="470">
        <f t="shared" si="99"/>
        <v>22.932771799043117</v>
      </c>
      <c r="AV87" s="468">
        <v>238187.096666667</v>
      </c>
      <c r="AW87" s="468">
        <v>283190</v>
      </c>
      <c r="AX87" s="467">
        <f t="shared" si="100"/>
        <v>45002.903333333001</v>
      </c>
      <c r="AY87" s="470">
        <f t="shared" si="101"/>
        <v>18.893930008438996</v>
      </c>
      <c r="AZ87" s="468">
        <v>238187.096666667</v>
      </c>
      <c r="BA87" s="463">
        <v>305940</v>
      </c>
      <c r="BB87" s="459">
        <f t="shared" si="102"/>
        <v>67752.903333333001</v>
      </c>
      <c r="BC87" s="470">
        <f t="shared" si="103"/>
        <v>28.445245053786607</v>
      </c>
      <c r="BD87" s="485">
        <f t="shared" si="84"/>
        <v>3051113.5433333358</v>
      </c>
      <c r="BE87" s="174">
        <f t="shared" si="85"/>
        <v>3464956.77</v>
      </c>
      <c r="BF87" s="118"/>
      <c r="BG87" s="805"/>
      <c r="BH87" s="804"/>
    </row>
    <row r="88" spans="2:60" s="119" customFormat="1" x14ac:dyDescent="0.25">
      <c r="B88" s="170">
        <v>51012</v>
      </c>
      <c r="C88" s="135">
        <v>334</v>
      </c>
      <c r="D88" s="332" t="s">
        <v>55</v>
      </c>
      <c r="E88" s="332"/>
      <c r="F88" s="491"/>
      <c r="G88" s="328"/>
      <c r="H88" s="468">
        <f>293241.430883333-3603</f>
        <v>289638.43088333303</v>
      </c>
      <c r="I88" s="465">
        <v>295026.21999999997</v>
      </c>
      <c r="J88" s="459">
        <f t="shared" si="83"/>
        <v>5387.7891166669433</v>
      </c>
      <c r="K88" s="469">
        <f t="shared" si="86"/>
        <v>1.8601775669877085</v>
      </c>
      <c r="L88" s="479">
        <f>293241.430883333-3603</f>
        <v>289638.43088333303</v>
      </c>
      <c r="M88" s="459">
        <v>282165.21000000002</v>
      </c>
      <c r="N88" s="459">
        <f t="shared" si="104"/>
        <v>-7473.2208833330078</v>
      </c>
      <c r="O88" s="469">
        <f t="shared" si="87"/>
        <v>-2.5801896732216556</v>
      </c>
      <c r="P88" s="468">
        <f>293241.430883333-3603</f>
        <v>289638.43088333303</v>
      </c>
      <c r="Q88" s="830">
        <v>281494.61</v>
      </c>
      <c r="R88" s="467">
        <f t="shared" si="105"/>
        <v>-8143.8208833330427</v>
      </c>
      <c r="S88" s="469">
        <f t="shared" si="88"/>
        <v>-2.811719721894701</v>
      </c>
      <c r="T88" s="468">
        <f>293241.430883333-3603</f>
        <v>289638.43088333303</v>
      </c>
      <c r="U88" s="813">
        <v>261376.85</v>
      </c>
      <c r="V88" s="459">
        <f t="shared" si="106"/>
        <v>-28261.580883333023</v>
      </c>
      <c r="W88" s="469">
        <f t="shared" si="89"/>
        <v>-9.7575383201536692</v>
      </c>
      <c r="X88" s="468">
        <v>260000</v>
      </c>
      <c r="Y88" s="459">
        <v>248803.25</v>
      </c>
      <c r="Z88" s="459">
        <f t="shared" si="107"/>
        <v>-11196.75</v>
      </c>
      <c r="AA88" s="470">
        <f t="shared" si="90"/>
        <v>-4.3064423076923042</v>
      </c>
      <c r="AB88" s="468">
        <v>230000</v>
      </c>
      <c r="AC88" s="459">
        <v>248803.25</v>
      </c>
      <c r="AD88" s="459">
        <f t="shared" si="108"/>
        <v>18803.25</v>
      </c>
      <c r="AE88" s="485">
        <f t="shared" si="91"/>
        <v>8.1753260869565239</v>
      </c>
      <c r="AF88" s="468">
        <v>260000</v>
      </c>
      <c r="AG88" s="459">
        <v>271937.49</v>
      </c>
      <c r="AH88" s="459">
        <f t="shared" si="92"/>
        <v>11937.489999999991</v>
      </c>
      <c r="AI88" s="470">
        <f t="shared" si="93"/>
        <v>4.5913423076923143</v>
      </c>
      <c r="AJ88" s="468">
        <v>260000</v>
      </c>
      <c r="AK88" s="468">
        <v>278742.42</v>
      </c>
      <c r="AL88" s="467">
        <f t="shared" si="94"/>
        <v>18742.419999999984</v>
      </c>
      <c r="AM88" s="470">
        <f t="shared" si="95"/>
        <v>7.2086230769230708</v>
      </c>
      <c r="AN88" s="468">
        <v>260000</v>
      </c>
      <c r="AO88" s="463">
        <v>268022.46000000002</v>
      </c>
      <c r="AP88" s="467">
        <f t="shared" si="96"/>
        <v>8022.460000000021</v>
      </c>
      <c r="AQ88" s="470">
        <f t="shared" si="97"/>
        <v>3.0855615384615565</v>
      </c>
      <c r="AR88" s="468">
        <v>260000</v>
      </c>
      <c r="AS88" s="463">
        <v>268022.46000000002</v>
      </c>
      <c r="AT88" s="467">
        <f t="shared" si="98"/>
        <v>8022.460000000021</v>
      </c>
      <c r="AU88" s="470">
        <f t="shared" si="99"/>
        <v>3.0855615384615565</v>
      </c>
      <c r="AV88" s="468">
        <v>260000</v>
      </c>
      <c r="AW88" s="468">
        <v>287557.81</v>
      </c>
      <c r="AX88" s="467">
        <f t="shared" si="100"/>
        <v>27557.809999999998</v>
      </c>
      <c r="AY88" s="470">
        <f t="shared" si="101"/>
        <v>10.599157692307681</v>
      </c>
      <c r="AZ88" s="468">
        <v>260000</v>
      </c>
      <c r="BA88" s="463">
        <v>314115.34000000003</v>
      </c>
      <c r="BB88" s="459">
        <f t="shared" si="102"/>
        <v>54115.340000000026</v>
      </c>
      <c r="BC88" s="470">
        <f t="shared" si="103"/>
        <v>20.813592307692307</v>
      </c>
      <c r="BD88" s="485">
        <f t="shared" si="84"/>
        <v>3170062.8899999997</v>
      </c>
      <c r="BE88" s="571">
        <f t="shared" si="85"/>
        <v>3306067.3699999996</v>
      </c>
      <c r="BF88" s="118"/>
      <c r="BG88" s="805"/>
      <c r="BH88" s="804"/>
    </row>
    <row r="89" spans="2:60" s="119" customFormat="1" x14ac:dyDescent="0.25">
      <c r="B89" s="170">
        <v>51013</v>
      </c>
      <c r="C89" s="135">
        <v>330</v>
      </c>
      <c r="D89" s="332" t="s">
        <v>56</v>
      </c>
      <c r="E89" s="332"/>
      <c r="F89" s="491"/>
      <c r="G89" s="328"/>
      <c r="H89" s="468">
        <f>7055.5</f>
        <v>7055.5</v>
      </c>
      <c r="I89" s="465">
        <v>6500</v>
      </c>
      <c r="J89" s="459">
        <f t="shared" si="83"/>
        <v>-555.5</v>
      </c>
      <c r="K89" s="469">
        <f t="shared" si="86"/>
        <v>-7.873290340868822</v>
      </c>
      <c r="L89" s="479">
        <v>7055.5</v>
      </c>
      <c r="M89" s="459">
        <v>7100</v>
      </c>
      <c r="N89" s="459">
        <f t="shared" si="104"/>
        <v>44.5</v>
      </c>
      <c r="O89" s="469">
        <f t="shared" si="87"/>
        <v>0.63071362766635719</v>
      </c>
      <c r="P89" s="468">
        <v>7055.5</v>
      </c>
      <c r="Q89" s="830">
        <v>7300</v>
      </c>
      <c r="R89" s="467">
        <f t="shared" si="105"/>
        <v>244.5</v>
      </c>
      <c r="S89" s="469">
        <f t="shared" si="88"/>
        <v>3.4653816171780871</v>
      </c>
      <c r="T89" s="468">
        <v>7055.5</v>
      </c>
      <c r="U89" s="813">
        <v>7300</v>
      </c>
      <c r="V89" s="459">
        <f t="shared" si="106"/>
        <v>244.5</v>
      </c>
      <c r="W89" s="469">
        <f t="shared" si="89"/>
        <v>3.4653816171780871</v>
      </c>
      <c r="X89" s="468">
        <v>7055.5</v>
      </c>
      <c r="Y89" s="459">
        <v>6900</v>
      </c>
      <c r="Z89" s="459">
        <f t="shared" si="107"/>
        <v>-155.5</v>
      </c>
      <c r="AA89" s="470">
        <f t="shared" si="90"/>
        <v>-2.2039543618453727</v>
      </c>
      <c r="AB89" s="468">
        <v>7055.5</v>
      </c>
      <c r="AC89" s="459">
        <v>7300</v>
      </c>
      <c r="AD89" s="459">
        <f t="shared" si="108"/>
        <v>244.5</v>
      </c>
      <c r="AE89" s="485">
        <f t="shared" si="91"/>
        <v>3.4653816171780871</v>
      </c>
      <c r="AF89" s="468">
        <v>7055.5</v>
      </c>
      <c r="AG89" s="459">
        <v>6900</v>
      </c>
      <c r="AH89" s="459">
        <f t="shared" si="92"/>
        <v>-155.5</v>
      </c>
      <c r="AI89" s="470">
        <f t="shared" si="93"/>
        <v>-2.2039543618453727</v>
      </c>
      <c r="AJ89" s="468">
        <v>7055.5</v>
      </c>
      <c r="AK89" s="468">
        <v>7300</v>
      </c>
      <c r="AL89" s="467">
        <f t="shared" si="94"/>
        <v>244.5</v>
      </c>
      <c r="AM89" s="470">
        <f t="shared" si="95"/>
        <v>3.4653816171780871</v>
      </c>
      <c r="AN89" s="468">
        <v>7055.5</v>
      </c>
      <c r="AO89" s="463">
        <v>7100</v>
      </c>
      <c r="AP89" s="467">
        <f t="shared" si="96"/>
        <v>44.5</v>
      </c>
      <c r="AQ89" s="470">
        <f t="shared" si="97"/>
        <v>0.63071362766635719</v>
      </c>
      <c r="AR89" s="468">
        <v>7055.5</v>
      </c>
      <c r="AS89" s="463">
        <v>6900</v>
      </c>
      <c r="AT89" s="467">
        <f t="shared" si="98"/>
        <v>-155.5</v>
      </c>
      <c r="AU89" s="470">
        <f t="shared" si="99"/>
        <v>-2.2039543618453727</v>
      </c>
      <c r="AV89" s="468">
        <v>7055.5</v>
      </c>
      <c r="AW89" s="468">
        <v>6700</v>
      </c>
      <c r="AX89" s="467">
        <f t="shared" si="100"/>
        <v>-355.5</v>
      </c>
      <c r="AY89" s="470">
        <f t="shared" si="101"/>
        <v>-5.0386223513571027</v>
      </c>
      <c r="AZ89" s="468">
        <v>7055.5</v>
      </c>
      <c r="BA89" s="463">
        <v>6700</v>
      </c>
      <c r="BB89" s="459">
        <f t="shared" si="102"/>
        <v>-355.5</v>
      </c>
      <c r="BC89" s="470">
        <f t="shared" si="103"/>
        <v>-5.0386223513571027</v>
      </c>
      <c r="BD89" s="485">
        <f t="shared" si="84"/>
        <v>84644</v>
      </c>
      <c r="BE89" s="174">
        <f t="shared" si="85"/>
        <v>84000</v>
      </c>
      <c r="BF89" s="118"/>
      <c r="BG89" s="805"/>
      <c r="BH89" s="804"/>
    </row>
    <row r="90" spans="2:60" s="119" customFormat="1" x14ac:dyDescent="0.25">
      <c r="B90" s="170">
        <v>51014</v>
      </c>
      <c r="C90" s="135">
        <v>331</v>
      </c>
      <c r="D90" s="332" t="s">
        <v>57</v>
      </c>
      <c r="E90" s="332"/>
      <c r="F90" s="491"/>
      <c r="G90" s="328"/>
      <c r="H90" s="468">
        <f>187250.998408333-3603</f>
        <v>183647.99840833299</v>
      </c>
      <c r="I90" s="465">
        <v>195113.17</v>
      </c>
      <c r="J90" s="459">
        <f t="shared" si="83"/>
        <v>11465.171591667022</v>
      </c>
      <c r="K90" s="469">
        <f t="shared" si="86"/>
        <v>6.2430147298282668</v>
      </c>
      <c r="L90" s="479">
        <f>187250.998408333-3603</f>
        <v>183647.99840833299</v>
      </c>
      <c r="M90" s="459">
        <v>191729.95</v>
      </c>
      <c r="N90" s="459">
        <f t="shared" si="104"/>
        <v>8081.9515916670207</v>
      </c>
      <c r="O90" s="469">
        <f t="shared" si="87"/>
        <v>4.4007839245256308</v>
      </c>
      <c r="P90" s="468">
        <f>187250.998408333-3603</f>
        <v>183647.99840833299</v>
      </c>
      <c r="Q90" s="830">
        <v>218643.23</v>
      </c>
      <c r="R90" s="467">
        <f t="shared" si="105"/>
        <v>34995.23159166702</v>
      </c>
      <c r="S90" s="469">
        <f t="shared" si="88"/>
        <v>19.055601964066437</v>
      </c>
      <c r="T90" s="468">
        <f>187250.998408333-3603</f>
        <v>183647.99840833299</v>
      </c>
      <c r="U90" s="813">
        <v>229143.2</v>
      </c>
      <c r="V90" s="459">
        <f t="shared" si="106"/>
        <v>45495.201591667021</v>
      </c>
      <c r="W90" s="469">
        <f t="shared" si="89"/>
        <v>24.773045165736306</v>
      </c>
      <c r="X90" s="468">
        <v>183647.99840833299</v>
      </c>
      <c r="Y90" s="459">
        <v>215284.92</v>
      </c>
      <c r="Z90" s="459">
        <f t="shared" si="107"/>
        <v>31636.921591667022</v>
      </c>
      <c r="AA90" s="470">
        <f t="shared" si="90"/>
        <v>17.226935150866041</v>
      </c>
      <c r="AB90" s="468">
        <v>183647.99840833299</v>
      </c>
      <c r="AC90" s="459">
        <v>214969.3</v>
      </c>
      <c r="AD90" s="459">
        <f t="shared" si="108"/>
        <v>31321.301591666997</v>
      </c>
      <c r="AE90" s="485">
        <f t="shared" si="91"/>
        <v>17.055073762375294</v>
      </c>
      <c r="AF90" s="468">
        <v>183647.99840833299</v>
      </c>
      <c r="AG90" s="459">
        <v>215243.21</v>
      </c>
      <c r="AH90" s="459">
        <f t="shared" si="92"/>
        <v>31595.211591667001</v>
      </c>
      <c r="AI90" s="470">
        <f t="shared" si="93"/>
        <v>17.204223223504165</v>
      </c>
      <c r="AJ90" s="468">
        <v>183647.99840833299</v>
      </c>
      <c r="AK90" s="468">
        <v>215243.21</v>
      </c>
      <c r="AL90" s="467">
        <f t="shared" si="94"/>
        <v>31595.211591667001</v>
      </c>
      <c r="AM90" s="470">
        <f t="shared" si="95"/>
        <v>17.204223223504165</v>
      </c>
      <c r="AN90" s="468">
        <v>183647.99840833299</v>
      </c>
      <c r="AO90" s="463">
        <v>215243.21</v>
      </c>
      <c r="AP90" s="467">
        <f t="shared" si="96"/>
        <v>31595.211591667001</v>
      </c>
      <c r="AQ90" s="470">
        <f t="shared" si="97"/>
        <v>17.204223223504165</v>
      </c>
      <c r="AR90" s="468">
        <v>183647.99840833299</v>
      </c>
      <c r="AS90" s="463">
        <v>227243.22</v>
      </c>
      <c r="AT90" s="467">
        <f t="shared" si="98"/>
        <v>43595.22159166701</v>
      </c>
      <c r="AU90" s="470">
        <f t="shared" si="99"/>
        <v>23.738468139867773</v>
      </c>
      <c r="AV90" s="468">
        <v>183647.99840833299</v>
      </c>
      <c r="AW90" s="468">
        <v>227243.18</v>
      </c>
      <c r="AX90" s="467">
        <f t="shared" si="100"/>
        <v>43595.181591667002</v>
      </c>
      <c r="AY90" s="470">
        <f t="shared" si="101"/>
        <v>23.738446359069542</v>
      </c>
      <c r="AZ90" s="468">
        <v>183647.99840833299</v>
      </c>
      <c r="BA90" s="463">
        <v>210587.21</v>
      </c>
      <c r="BB90" s="459">
        <f t="shared" si="102"/>
        <v>26939.211591667001</v>
      </c>
      <c r="BC90" s="470">
        <f t="shared" si="103"/>
        <v>14.668938308692535</v>
      </c>
      <c r="BD90" s="485">
        <f t="shared" si="84"/>
        <v>2303813.5372666637</v>
      </c>
      <c r="BE90" s="174">
        <f t="shared" si="85"/>
        <v>2575687.0100000002</v>
      </c>
      <c r="BF90" s="118"/>
      <c r="BG90" s="805"/>
      <c r="BH90" s="804"/>
    </row>
    <row r="91" spans="2:60" s="119" customFormat="1" x14ac:dyDescent="0.25">
      <c r="B91" s="170">
        <v>51019</v>
      </c>
      <c r="C91" s="135">
        <v>325</v>
      </c>
      <c r="D91" s="332" t="s">
        <v>188</v>
      </c>
      <c r="E91" s="332"/>
      <c r="F91" s="491"/>
      <c r="G91" s="328"/>
      <c r="H91" s="468">
        <f>154888.272233333-2214.13-3603</f>
        <v>149071.142233333</v>
      </c>
      <c r="I91" s="465">
        <v>184837.25</v>
      </c>
      <c r="J91" s="459">
        <f t="shared" si="83"/>
        <v>35766.107766667003</v>
      </c>
      <c r="K91" s="469">
        <f t="shared" si="86"/>
        <v>23.992643533034872</v>
      </c>
      <c r="L91" s="479">
        <f>154888.272233333-3603</f>
        <v>151285.272233333</v>
      </c>
      <c r="M91" s="459">
        <v>174438.53</v>
      </c>
      <c r="N91" s="459">
        <f t="shared" si="104"/>
        <v>23153.257766666997</v>
      </c>
      <c r="O91" s="469">
        <f t="shared" si="87"/>
        <v>15.304369966004927</v>
      </c>
      <c r="P91" s="468">
        <f>154888.272233333-3603</f>
        <v>151285.272233333</v>
      </c>
      <c r="Q91" s="830">
        <f>174438.53</f>
        <v>174438.53</v>
      </c>
      <c r="R91" s="467">
        <f t="shared" si="105"/>
        <v>23153.257766666997</v>
      </c>
      <c r="S91" s="469">
        <f t="shared" si="88"/>
        <v>15.304369966004927</v>
      </c>
      <c r="T91" s="468">
        <f>154888.272233333-3603</f>
        <v>151285.272233333</v>
      </c>
      <c r="U91" s="813">
        <v>153641.09</v>
      </c>
      <c r="V91" s="459">
        <f t="shared" si="106"/>
        <v>2355.8177666669944</v>
      </c>
      <c r="W91" s="469">
        <f t="shared" si="89"/>
        <v>1.5572023184342365</v>
      </c>
      <c r="X91" s="468">
        <v>151285.272233333</v>
      </c>
      <c r="Y91" s="459">
        <v>140642.69</v>
      </c>
      <c r="Z91" s="459">
        <f t="shared" si="107"/>
        <v>-10642.582233333</v>
      </c>
      <c r="AA91" s="470">
        <f t="shared" si="90"/>
        <v>-7.0347774612974483</v>
      </c>
      <c r="AB91" s="468">
        <v>151285.272233333</v>
      </c>
      <c r="AC91" s="459">
        <v>140642.69</v>
      </c>
      <c r="AD91" s="459">
        <f t="shared" si="108"/>
        <v>-10642.582233333</v>
      </c>
      <c r="AE91" s="485">
        <f t="shared" si="91"/>
        <v>-7.0347774612974483</v>
      </c>
      <c r="AF91" s="468">
        <v>151285.272233333</v>
      </c>
      <c r="AG91" s="459">
        <v>140642.69</v>
      </c>
      <c r="AH91" s="459">
        <f t="shared" si="92"/>
        <v>-10642.582233333</v>
      </c>
      <c r="AI91" s="470">
        <f t="shared" si="93"/>
        <v>-7.0347774612974483</v>
      </c>
      <c r="AJ91" s="468">
        <v>151285.272233333</v>
      </c>
      <c r="AK91" s="468">
        <v>140642.69</v>
      </c>
      <c r="AL91" s="467">
        <f t="shared" si="94"/>
        <v>-10642.582233333</v>
      </c>
      <c r="AM91" s="470">
        <f t="shared" si="95"/>
        <v>-7.0347774612974483</v>
      </c>
      <c r="AN91" s="468">
        <v>151285.272233333</v>
      </c>
      <c r="AO91" s="463">
        <v>140642.69</v>
      </c>
      <c r="AP91" s="467">
        <f t="shared" si="96"/>
        <v>-10642.582233333</v>
      </c>
      <c r="AQ91" s="470">
        <f t="shared" si="97"/>
        <v>-7.0347774612974483</v>
      </c>
      <c r="AR91" s="468">
        <v>151285.272233333</v>
      </c>
      <c r="AS91" s="463">
        <v>180287.81</v>
      </c>
      <c r="AT91" s="467">
        <f t="shared" si="98"/>
        <v>29002.537766666996</v>
      </c>
      <c r="AU91" s="470">
        <f t="shared" si="99"/>
        <v>19.170760866884184</v>
      </c>
      <c r="AV91" s="468">
        <v>151285.272233333</v>
      </c>
      <c r="AW91" s="468">
        <v>160465.25</v>
      </c>
      <c r="AX91" s="467">
        <f t="shared" si="100"/>
        <v>9179.9777666669979</v>
      </c>
      <c r="AY91" s="470">
        <f t="shared" si="101"/>
        <v>6.0679917027933739</v>
      </c>
      <c r="AZ91" s="468">
        <v>151285.272233333</v>
      </c>
      <c r="BA91" s="463">
        <v>167614.37</v>
      </c>
      <c r="BB91" s="459">
        <f t="shared" si="102"/>
        <v>16329.097766666993</v>
      </c>
      <c r="BC91" s="470">
        <f t="shared" si="103"/>
        <v>10.79358058164579</v>
      </c>
      <c r="BD91" s="485">
        <f t="shared" si="84"/>
        <v>1897637.5778666642</v>
      </c>
      <c r="BE91" s="174">
        <f t="shared" si="85"/>
        <v>1898936.2799999998</v>
      </c>
      <c r="BF91" s="118"/>
      <c r="BG91" s="805"/>
      <c r="BH91" s="804"/>
    </row>
    <row r="92" spans="2:60" s="119" customFormat="1" x14ac:dyDescent="0.25">
      <c r="B92" s="170">
        <v>51020</v>
      </c>
      <c r="C92" s="135">
        <v>326</v>
      </c>
      <c r="D92" s="332" t="s">
        <v>58</v>
      </c>
      <c r="E92" s="332"/>
      <c r="F92" s="491"/>
      <c r="G92" s="328"/>
      <c r="H92" s="468">
        <f>128179.208333333-2214.13-3603</f>
        <v>122362.07833333299</v>
      </c>
      <c r="I92" s="465">
        <v>129404.8</v>
      </c>
      <c r="J92" s="459">
        <f t="shared" si="83"/>
        <v>7042.7216666670138</v>
      </c>
      <c r="K92" s="469">
        <f t="shared" si="86"/>
        <v>5.7556407692598732</v>
      </c>
      <c r="L92" s="479">
        <f>128179.208333333-3603</f>
        <v>124576.20833333299</v>
      </c>
      <c r="M92" s="459">
        <v>119224</v>
      </c>
      <c r="N92" s="459">
        <f t="shared" si="104"/>
        <v>-5352.2083333329938</v>
      </c>
      <c r="O92" s="470">
        <f t="shared" si="87"/>
        <v>-4.2963326665167889</v>
      </c>
      <c r="P92" s="468">
        <f>128179.208333333-3603</f>
        <v>124576.20833333299</v>
      </c>
      <c r="Q92" s="830">
        <v>125272</v>
      </c>
      <c r="R92" s="467">
        <f t="shared" si="105"/>
        <v>695.79166666700621</v>
      </c>
      <c r="S92" s="469">
        <f t="shared" si="88"/>
        <v>0.55852692578766128</v>
      </c>
      <c r="T92" s="468">
        <f>128179.208333333-3603</f>
        <v>124576.20833333299</v>
      </c>
      <c r="U92" s="813">
        <v>122584</v>
      </c>
      <c r="V92" s="459">
        <f t="shared" si="106"/>
        <v>-1992.2083333329938</v>
      </c>
      <c r="W92" s="469">
        <f t="shared" si="89"/>
        <v>-1.599188448569866</v>
      </c>
      <c r="X92" s="468">
        <v>124576.20833333299</v>
      </c>
      <c r="Y92" s="459">
        <v>100217.60000000001</v>
      </c>
      <c r="Z92" s="459">
        <f t="shared" si="107"/>
        <v>-24358.608333332988</v>
      </c>
      <c r="AA92" s="470">
        <f t="shared" si="90"/>
        <v>-19.553178459369857</v>
      </c>
      <c r="AB92" s="468">
        <v>124576.20833333299</v>
      </c>
      <c r="AC92" s="459">
        <v>100867.2</v>
      </c>
      <c r="AD92" s="459">
        <f t="shared" si="108"/>
        <v>-23709.008333332997</v>
      </c>
      <c r="AE92" s="485">
        <f t="shared" si="91"/>
        <v>-19.031730577233464</v>
      </c>
      <c r="AF92" s="468">
        <v>124576.20833333299</v>
      </c>
      <c r="AG92" s="459">
        <v>102692.8</v>
      </c>
      <c r="AH92" s="459">
        <f t="shared" si="92"/>
        <v>-21883.408333332991</v>
      </c>
      <c r="AI92" s="470">
        <f t="shared" si="93"/>
        <v>-17.566282218815633</v>
      </c>
      <c r="AJ92" s="468">
        <v>124576.20833333299</v>
      </c>
      <c r="AK92" s="468">
        <v>101617.60000000001</v>
      </c>
      <c r="AL92" s="467">
        <f t="shared" si="94"/>
        <v>-22958.608333332988</v>
      </c>
      <c r="AM92" s="470">
        <f t="shared" si="95"/>
        <v>-18.429368368558642</v>
      </c>
      <c r="AN92" s="468">
        <v>124576.20833333299</v>
      </c>
      <c r="AO92" s="463">
        <v>99467.199999999997</v>
      </c>
      <c r="AP92" s="467">
        <f t="shared" si="96"/>
        <v>-25109.008333332997</v>
      </c>
      <c r="AQ92" s="470">
        <f t="shared" si="97"/>
        <v>-20.155540668044679</v>
      </c>
      <c r="AR92" s="468">
        <v>124576.20833333299</v>
      </c>
      <c r="AS92" s="463">
        <v>105692.8</v>
      </c>
      <c r="AT92" s="467">
        <f t="shared" si="98"/>
        <v>-18883.408333332991</v>
      </c>
      <c r="AU92" s="470">
        <f t="shared" si="99"/>
        <v>-15.158117738505883</v>
      </c>
      <c r="AV92" s="468">
        <v>124576.20833333299</v>
      </c>
      <c r="AW92" s="468">
        <v>124240</v>
      </c>
      <c r="AX92" s="467">
        <f t="shared" si="100"/>
        <v>-336.20833333299379</v>
      </c>
      <c r="AY92" s="470">
        <f t="shared" si="101"/>
        <v>-0.26988165543888609</v>
      </c>
      <c r="AZ92" s="468">
        <v>124576.20833333299</v>
      </c>
      <c r="BA92" s="463">
        <v>134992</v>
      </c>
      <c r="BB92" s="459">
        <f t="shared" si="102"/>
        <v>10415.791666667006</v>
      </c>
      <c r="BC92" s="470">
        <f t="shared" si="103"/>
        <v>8.3609798419912664</v>
      </c>
      <c r="BD92" s="485">
        <f t="shared" si="84"/>
        <v>1493094.4666666642</v>
      </c>
      <c r="BE92" s="571">
        <f t="shared" si="85"/>
        <v>1366272</v>
      </c>
      <c r="BF92" s="118"/>
      <c r="BG92" s="805"/>
      <c r="BH92" s="804"/>
    </row>
    <row r="93" spans="2:60" s="119" customFormat="1" x14ac:dyDescent="0.25">
      <c r="B93" s="170">
        <v>51288</v>
      </c>
      <c r="C93" s="135">
        <v>359</v>
      </c>
      <c r="D93" s="332" t="s">
        <v>59</v>
      </c>
      <c r="E93" s="332"/>
      <c r="F93" s="491"/>
      <c r="G93" s="328"/>
      <c r="H93" s="468">
        <f>545000-2214.13-3603</f>
        <v>539182.87</v>
      </c>
      <c r="I93" s="465">
        <v>553807</v>
      </c>
      <c r="J93" s="459">
        <f t="shared" si="83"/>
        <v>14624.130000000005</v>
      </c>
      <c r="K93" s="469">
        <f t="shared" si="86"/>
        <v>2.7122764489903028</v>
      </c>
      <c r="L93" s="479">
        <f>545000-3603</f>
        <v>541397</v>
      </c>
      <c r="M93" s="459">
        <v>465359.93</v>
      </c>
      <c r="N93" s="459">
        <f t="shared" si="104"/>
        <v>-76037.070000000007</v>
      </c>
      <c r="O93" s="469">
        <f t="shared" si="87"/>
        <v>-14.044604975646335</v>
      </c>
      <c r="P93" s="468">
        <f>545000-3603</f>
        <v>541397</v>
      </c>
      <c r="Q93" s="830">
        <v>427724.15</v>
      </c>
      <c r="R93" s="467">
        <f t="shared" si="105"/>
        <v>-113672.84999999998</v>
      </c>
      <c r="S93" s="469">
        <f t="shared" si="88"/>
        <v>-20.996209805373866</v>
      </c>
      <c r="T93" s="468">
        <f>545000-3603</f>
        <v>541397</v>
      </c>
      <c r="U93" s="813">
        <v>199721.36</v>
      </c>
      <c r="V93" s="459">
        <f t="shared" si="106"/>
        <v>-341675.64</v>
      </c>
      <c r="W93" s="469">
        <f t="shared" si="89"/>
        <v>-63.109998762460819</v>
      </c>
      <c r="X93" s="468">
        <v>200000</v>
      </c>
      <c r="Y93" s="459">
        <v>339489</v>
      </c>
      <c r="Z93" s="459">
        <f t="shared" si="107"/>
        <v>139489</v>
      </c>
      <c r="AA93" s="470">
        <f t="shared" si="90"/>
        <v>69.744500000000016</v>
      </c>
      <c r="AB93" s="468">
        <v>300000</v>
      </c>
      <c r="AC93" s="459">
        <v>430206.4</v>
      </c>
      <c r="AD93" s="459">
        <f t="shared" si="108"/>
        <v>130206.40000000002</v>
      </c>
      <c r="AE93" s="485">
        <f t="shared" si="91"/>
        <v>43.402133333333339</v>
      </c>
      <c r="AF93" s="468">
        <v>300000</v>
      </c>
      <c r="AG93" s="459">
        <v>499435.11</v>
      </c>
      <c r="AH93" s="459">
        <f t="shared" si="92"/>
        <v>199435.11</v>
      </c>
      <c r="AI93" s="470">
        <f t="shared" si="93"/>
        <v>66.478369999999984</v>
      </c>
      <c r="AJ93" s="468">
        <v>400000</v>
      </c>
      <c r="AK93" s="468">
        <v>515163.25</v>
      </c>
      <c r="AL93" s="467">
        <f t="shared" si="94"/>
        <v>115163.25</v>
      </c>
      <c r="AM93" s="470">
        <f t="shared" si="95"/>
        <v>28.790812499999994</v>
      </c>
      <c r="AN93" s="468">
        <v>450000</v>
      </c>
      <c r="AO93" s="463">
        <v>540956.6</v>
      </c>
      <c r="AP93" s="467">
        <f t="shared" si="96"/>
        <v>90956.599999999977</v>
      </c>
      <c r="AQ93" s="470">
        <f t="shared" si="97"/>
        <v>20.212577777777764</v>
      </c>
      <c r="AR93" s="468">
        <v>541397</v>
      </c>
      <c r="AS93" s="463">
        <v>594213.15</v>
      </c>
      <c r="AT93" s="467">
        <f t="shared" si="98"/>
        <v>52816.150000000023</v>
      </c>
      <c r="AU93" s="470">
        <f t="shared" si="99"/>
        <v>9.7555305995415509</v>
      </c>
      <c r="AV93" s="468">
        <v>541397</v>
      </c>
      <c r="AW93" s="468">
        <v>591244.6</v>
      </c>
      <c r="AX93" s="467">
        <f t="shared" si="100"/>
        <v>49847.599999999977</v>
      </c>
      <c r="AY93" s="470">
        <f t="shared" si="101"/>
        <v>9.2072176240356018</v>
      </c>
      <c r="AZ93" s="468">
        <v>541397</v>
      </c>
      <c r="BA93" s="463">
        <v>478647</v>
      </c>
      <c r="BB93" s="459">
        <f t="shared" si="102"/>
        <v>-62750</v>
      </c>
      <c r="BC93" s="470">
        <f t="shared" si="103"/>
        <v>-11.590385613514664</v>
      </c>
      <c r="BD93" s="485">
        <f t="shared" si="84"/>
        <v>4920803.4399999995</v>
      </c>
      <c r="BE93" s="174">
        <f t="shared" si="85"/>
        <v>5635967.5499999998</v>
      </c>
      <c r="BF93" s="118"/>
      <c r="BG93" s="805"/>
      <c r="BH93" s="804"/>
    </row>
    <row r="94" spans="2:60" s="119" customFormat="1" x14ac:dyDescent="0.25">
      <c r="B94" s="170">
        <v>51819</v>
      </c>
      <c r="C94" s="135">
        <v>369</v>
      </c>
      <c r="D94" s="332" t="s">
        <v>189</v>
      </c>
      <c r="E94" s="332"/>
      <c r="F94" s="491"/>
      <c r="G94" s="328"/>
      <c r="H94" s="468">
        <v>434.74239999999998</v>
      </c>
      <c r="I94" s="465">
        <v>508.52</v>
      </c>
      <c r="J94" s="459">
        <f t="shared" si="83"/>
        <v>73.777600000000007</v>
      </c>
      <c r="K94" s="469">
        <f t="shared" si="86"/>
        <v>16.970417424203397</v>
      </c>
      <c r="L94" s="479">
        <v>434.74239999999998</v>
      </c>
      <c r="M94" s="459">
        <v>510.15</v>
      </c>
      <c r="N94" s="459">
        <f t="shared" si="104"/>
        <v>75.407600000000002</v>
      </c>
      <c r="O94" s="469">
        <f t="shared" si="87"/>
        <v>17.345352098162039</v>
      </c>
      <c r="P94" s="468">
        <v>434.74239999999998</v>
      </c>
      <c r="Q94" s="830">
        <v>423.03</v>
      </c>
      <c r="R94" s="467">
        <f t="shared" si="105"/>
        <v>-11.712400000000002</v>
      </c>
      <c r="S94" s="469">
        <f t="shared" si="88"/>
        <v>-2.6941011504743928</v>
      </c>
      <c r="T94" s="468">
        <v>434.74239999999998</v>
      </c>
      <c r="U94" s="813">
        <v>417.26</v>
      </c>
      <c r="V94" s="459">
        <f t="shared" si="106"/>
        <v>-17.482399999999984</v>
      </c>
      <c r="W94" s="469">
        <f t="shared" si="89"/>
        <v>-4.0213238920335348</v>
      </c>
      <c r="X94" s="468">
        <v>434.74239999999998</v>
      </c>
      <c r="Y94" s="459">
        <v>405.86</v>
      </c>
      <c r="Z94" s="459">
        <f t="shared" si="107"/>
        <v>-28.882399999999961</v>
      </c>
      <c r="AA94" s="470">
        <f t="shared" si="90"/>
        <v>-6.6435663970203844</v>
      </c>
      <c r="AB94" s="468">
        <v>434.74239999999998</v>
      </c>
      <c r="AC94" s="459">
        <v>588.52</v>
      </c>
      <c r="AD94" s="459">
        <f t="shared" si="108"/>
        <v>153.77760000000001</v>
      </c>
      <c r="AE94" s="485">
        <f t="shared" si="91"/>
        <v>35.372119213584874</v>
      </c>
      <c r="AF94" s="468">
        <v>434.74239999999998</v>
      </c>
      <c r="AG94" s="459">
        <v>440.14</v>
      </c>
      <c r="AH94" s="459">
        <f t="shared" si="92"/>
        <v>5.3976000000000113</v>
      </c>
      <c r="AI94" s="470">
        <f t="shared" si="93"/>
        <v>1.2415628197295803</v>
      </c>
      <c r="AJ94" s="468">
        <v>434.74239999999998</v>
      </c>
      <c r="AK94" s="468">
        <v>491.4</v>
      </c>
      <c r="AL94" s="467">
        <f t="shared" si="94"/>
        <v>56.657600000000002</v>
      </c>
      <c r="AM94" s="470">
        <f t="shared" si="95"/>
        <v>13.032453241275753</v>
      </c>
      <c r="AN94" s="468">
        <v>434.74239999999998</v>
      </c>
      <c r="AO94" s="463">
        <v>423.03</v>
      </c>
      <c r="AP94" s="467">
        <f t="shared" si="96"/>
        <v>-11.712400000000002</v>
      </c>
      <c r="AQ94" s="470">
        <f t="shared" si="97"/>
        <v>-2.6941011504743928</v>
      </c>
      <c r="AR94" s="468">
        <v>434.74239999999998</v>
      </c>
      <c r="AS94" s="463">
        <v>405.86</v>
      </c>
      <c r="AT94" s="467">
        <f t="shared" si="98"/>
        <v>-28.882399999999961</v>
      </c>
      <c r="AU94" s="470">
        <f t="shared" si="99"/>
        <v>-6.6435663970203844</v>
      </c>
      <c r="AV94" s="468">
        <v>434.74239999999998</v>
      </c>
      <c r="AW94" s="468">
        <v>468.61</v>
      </c>
      <c r="AX94" s="467">
        <f t="shared" si="100"/>
        <v>33.867600000000039</v>
      </c>
      <c r="AY94" s="470">
        <f t="shared" si="101"/>
        <v>7.7902684440257053</v>
      </c>
      <c r="AZ94" s="468">
        <v>434.74239999999998</v>
      </c>
      <c r="BA94" s="463">
        <v>451.46</v>
      </c>
      <c r="BB94" s="459">
        <f t="shared" si="102"/>
        <v>16.717600000000004</v>
      </c>
      <c r="BC94" s="470">
        <f t="shared" si="103"/>
        <v>3.8454036229270461</v>
      </c>
      <c r="BD94" s="485">
        <f t="shared" si="84"/>
        <v>5336.8991999999998</v>
      </c>
      <c r="BE94" s="174">
        <f t="shared" si="85"/>
        <v>5533.8399999999992</v>
      </c>
      <c r="BF94" s="118"/>
      <c r="BG94" s="805"/>
      <c r="BH94" s="804"/>
    </row>
    <row r="95" spans="2:60" s="119" customFormat="1" x14ac:dyDescent="0.25">
      <c r="B95" s="170">
        <v>51820</v>
      </c>
      <c r="C95" s="135">
        <v>370</v>
      </c>
      <c r="D95" s="332" t="s">
        <v>190</v>
      </c>
      <c r="E95" s="332"/>
      <c r="F95" s="491"/>
      <c r="G95" s="328"/>
      <c r="H95" s="468">
        <f>1544.29101666667-346</f>
        <v>1198.29101666667</v>
      </c>
      <c r="I95" s="465">
        <v>1198.67</v>
      </c>
      <c r="J95" s="459">
        <f t="shared" si="83"/>
        <v>0.37898333333009759</v>
      </c>
      <c r="K95" s="469">
        <f t="shared" si="86"/>
        <v>3.1626986104282828E-2</v>
      </c>
      <c r="L95" s="479">
        <v>1544.2910166666668</v>
      </c>
      <c r="M95" s="459">
        <v>1200.27</v>
      </c>
      <c r="N95" s="459">
        <f t="shared" si="104"/>
        <v>-344.02101666666681</v>
      </c>
      <c r="O95" s="469">
        <f t="shared" si="87"/>
        <v>-22.276955117516128</v>
      </c>
      <c r="P95" s="468">
        <v>1544.2910166666668</v>
      </c>
      <c r="Q95" s="830">
        <v>1113.1199999999999</v>
      </c>
      <c r="R95" s="467">
        <f t="shared" si="105"/>
        <v>-431.1710166666669</v>
      </c>
      <c r="S95" s="469">
        <f t="shared" si="88"/>
        <v>-27.920321494671661</v>
      </c>
      <c r="T95" s="468">
        <v>1544.2910166666668</v>
      </c>
      <c r="U95" s="813">
        <v>1107.3800000000001</v>
      </c>
      <c r="V95" s="459">
        <f t="shared" si="106"/>
        <v>-436.91101666666668</v>
      </c>
      <c r="W95" s="469">
        <f t="shared" si="89"/>
        <v>-28.292013095416024</v>
      </c>
      <c r="X95" s="468">
        <v>1544.2910166666668</v>
      </c>
      <c r="Y95" s="459">
        <v>1095.98</v>
      </c>
      <c r="Z95" s="459">
        <f t="shared" si="107"/>
        <v>-448.31101666666677</v>
      </c>
      <c r="AA95" s="470">
        <f t="shared" si="90"/>
        <v>-29.030215926162718</v>
      </c>
      <c r="AB95" s="468">
        <v>1544.2910166666668</v>
      </c>
      <c r="AC95" s="459">
        <v>1278.6400000000001</v>
      </c>
      <c r="AD95" s="459">
        <f t="shared" si="108"/>
        <v>-265.65101666666669</v>
      </c>
      <c r="AE95" s="485">
        <f t="shared" si="91"/>
        <v>-17.202134429304085</v>
      </c>
      <c r="AF95" s="468">
        <v>1544.2910166666668</v>
      </c>
      <c r="AG95" s="459">
        <v>1130.26</v>
      </c>
      <c r="AH95" s="459">
        <f t="shared" si="92"/>
        <v>-414.0310166666668</v>
      </c>
      <c r="AI95" s="470">
        <f t="shared" si="93"/>
        <v>-26.810427063180597</v>
      </c>
      <c r="AJ95" s="468">
        <v>1544.2910166666668</v>
      </c>
      <c r="AK95" s="468">
        <v>1181.52</v>
      </c>
      <c r="AL95" s="467">
        <f t="shared" si="94"/>
        <v>-362.77101666666681</v>
      </c>
      <c r="AM95" s="470">
        <f t="shared" si="95"/>
        <v>-23.491104510191583</v>
      </c>
      <c r="AN95" s="468">
        <v>1544.2910166666668</v>
      </c>
      <c r="AO95" s="463">
        <v>1113.1199999999999</v>
      </c>
      <c r="AP95" s="467">
        <f t="shared" si="96"/>
        <v>-431.1710166666669</v>
      </c>
      <c r="AQ95" s="470">
        <f t="shared" si="97"/>
        <v>-27.920321494671661</v>
      </c>
      <c r="AR95" s="468">
        <v>1544.2910166666668</v>
      </c>
      <c r="AS95" s="463">
        <v>1095.98</v>
      </c>
      <c r="AT95" s="467">
        <f t="shared" si="98"/>
        <v>-448.31101666666677</v>
      </c>
      <c r="AU95" s="470">
        <f t="shared" si="99"/>
        <v>-29.030215926162718</v>
      </c>
      <c r="AV95" s="468">
        <v>1544.2910166666668</v>
      </c>
      <c r="AW95" s="468">
        <v>1158.72</v>
      </c>
      <c r="AX95" s="467">
        <f t="shared" si="100"/>
        <v>-385.57101666666676</v>
      </c>
      <c r="AY95" s="470">
        <f t="shared" si="101"/>
        <v>-24.967510171684935</v>
      </c>
      <c r="AZ95" s="468">
        <v>1544.2910166666668</v>
      </c>
      <c r="BA95" s="463">
        <v>1141.58</v>
      </c>
      <c r="BB95" s="459">
        <f t="shared" si="102"/>
        <v>-402.71101666666686</v>
      </c>
      <c r="BC95" s="470">
        <f t="shared" si="103"/>
        <v>-26.077404603176003</v>
      </c>
      <c r="BD95" s="485">
        <f t="shared" si="84"/>
        <v>16973.768133333331</v>
      </c>
      <c r="BE95" s="174">
        <f t="shared" si="85"/>
        <v>13815.239999999998</v>
      </c>
      <c r="BF95" s="118"/>
      <c r="BG95" s="805"/>
      <c r="BH95" s="804"/>
    </row>
    <row r="96" spans="2:60" s="119" customFormat="1" x14ac:dyDescent="0.25">
      <c r="B96" s="170">
        <v>51821</v>
      </c>
      <c r="C96" s="135">
        <v>371</v>
      </c>
      <c r="D96" s="332" t="s">
        <v>191</v>
      </c>
      <c r="E96" s="332"/>
      <c r="F96" s="491"/>
      <c r="G96" s="328"/>
      <c r="H96" s="468">
        <f>3531.561-2214.13</f>
        <v>1317.431</v>
      </c>
      <c r="I96" s="465">
        <v>7230.14</v>
      </c>
      <c r="J96" s="459">
        <f t="shared" si="83"/>
        <v>5912.7090000000007</v>
      </c>
      <c r="K96" s="469">
        <f t="shared" si="86"/>
        <v>448.80597162204322</v>
      </c>
      <c r="L96" s="479">
        <v>3531.5610000000001</v>
      </c>
      <c r="M96" s="459">
        <v>3516.74</v>
      </c>
      <c r="N96" s="459">
        <f t="shared" si="104"/>
        <v>-14.821000000000367</v>
      </c>
      <c r="O96" s="469">
        <f t="shared" si="87"/>
        <v>-0.41967277359785671</v>
      </c>
      <c r="P96" s="468">
        <v>3531.5610000000001</v>
      </c>
      <c r="Q96" s="830">
        <v>3429.58</v>
      </c>
      <c r="R96" s="467">
        <f t="shared" si="105"/>
        <v>-101.98100000000022</v>
      </c>
      <c r="S96" s="469">
        <f t="shared" si="88"/>
        <v>-2.8877031998031488</v>
      </c>
      <c r="T96" s="468">
        <v>3531.5610000000001</v>
      </c>
      <c r="U96" s="813">
        <v>3423.85</v>
      </c>
      <c r="V96" s="459">
        <f t="shared" si="106"/>
        <v>-107.71100000000024</v>
      </c>
      <c r="W96" s="469">
        <f t="shared" si="89"/>
        <v>-3.0499543969366605</v>
      </c>
      <c r="X96" s="468">
        <v>3531.5610000000001</v>
      </c>
      <c r="Y96" s="459">
        <v>3412.45</v>
      </c>
      <c r="Z96" s="459">
        <f t="shared" si="107"/>
        <v>-119.11100000000033</v>
      </c>
      <c r="AA96" s="470">
        <f t="shared" si="90"/>
        <v>-3.3727578257886637</v>
      </c>
      <c r="AB96" s="468">
        <v>3531.5610000000001</v>
      </c>
      <c r="AC96" s="459">
        <v>3595.11</v>
      </c>
      <c r="AD96" s="459">
        <f t="shared" si="108"/>
        <v>63.548999999999978</v>
      </c>
      <c r="AE96" s="485">
        <f t="shared" si="91"/>
        <v>1.7994592193083969</v>
      </c>
      <c r="AF96" s="468">
        <v>3531.5610000000001</v>
      </c>
      <c r="AG96" s="459">
        <v>3446.73</v>
      </c>
      <c r="AH96" s="459">
        <f t="shared" si="92"/>
        <v>-84.831000000000131</v>
      </c>
      <c r="AI96" s="470">
        <f t="shared" si="93"/>
        <v>-2.4020822520126384</v>
      </c>
      <c r="AJ96" s="468">
        <v>3531.5610000000001</v>
      </c>
      <c r="AK96" s="468">
        <v>3498</v>
      </c>
      <c r="AL96" s="467">
        <f t="shared" si="94"/>
        <v>-33.561000000000149</v>
      </c>
      <c r="AM96" s="470">
        <f t="shared" si="95"/>
        <v>-0.95031630488614516</v>
      </c>
      <c r="AN96" s="468">
        <v>3531.5610000000001</v>
      </c>
      <c r="AO96" s="463">
        <v>3429.58</v>
      </c>
      <c r="AP96" s="467">
        <f t="shared" si="96"/>
        <v>-101.98100000000022</v>
      </c>
      <c r="AQ96" s="470">
        <f t="shared" si="97"/>
        <v>-2.8877031998031488</v>
      </c>
      <c r="AR96" s="468">
        <v>3531.5610000000001</v>
      </c>
      <c r="AS96" s="463">
        <v>3412.45</v>
      </c>
      <c r="AT96" s="467">
        <f t="shared" si="98"/>
        <v>-119.11100000000033</v>
      </c>
      <c r="AU96" s="470">
        <f t="shared" si="99"/>
        <v>-3.3727578257886637</v>
      </c>
      <c r="AV96" s="468">
        <v>3531.5610000000001</v>
      </c>
      <c r="AW96" s="468">
        <v>3475.2</v>
      </c>
      <c r="AX96" s="467">
        <f t="shared" si="100"/>
        <v>-56.361000000000331</v>
      </c>
      <c r="AY96" s="470">
        <f t="shared" si="101"/>
        <v>-1.5959231625901515</v>
      </c>
      <c r="AZ96" s="468">
        <v>3531.5610000000001</v>
      </c>
      <c r="BA96" s="463">
        <v>3458.05</v>
      </c>
      <c r="BB96" s="459">
        <f t="shared" si="102"/>
        <v>-73.510999999999967</v>
      </c>
      <c r="BC96" s="470">
        <f t="shared" si="103"/>
        <v>-2.0815441103806509</v>
      </c>
      <c r="BD96" s="485">
        <f t="shared" si="84"/>
        <v>45852.798000000003</v>
      </c>
      <c r="BE96" s="571">
        <f t="shared" si="85"/>
        <v>45327.88</v>
      </c>
      <c r="BF96" s="118"/>
      <c r="BG96" s="805"/>
      <c r="BH96" s="804"/>
    </row>
    <row r="97" spans="1:60" s="119" customFormat="1" x14ac:dyDescent="0.25">
      <c r="B97" s="170">
        <v>51822</v>
      </c>
      <c r="C97" s="135">
        <v>374</v>
      </c>
      <c r="D97" s="332" t="s">
        <v>192</v>
      </c>
      <c r="E97" s="332"/>
      <c r="F97" s="491"/>
      <c r="G97" s="328"/>
      <c r="H97" s="468">
        <f>82774.8539083333-3603</f>
        <v>79171.853908333302</v>
      </c>
      <c r="I97" s="465">
        <v>74668.47</v>
      </c>
      <c r="J97" s="459">
        <f t="shared" si="83"/>
        <v>-4503.3839083333005</v>
      </c>
      <c r="K97" s="469">
        <f t="shared" si="86"/>
        <v>-5.6881122343647617</v>
      </c>
      <c r="L97" s="479">
        <f>82774.8539083333-3603</f>
        <v>79171.853908333302</v>
      </c>
      <c r="M97" s="459">
        <v>83397.69</v>
      </c>
      <c r="N97" s="459">
        <f t="shared" si="104"/>
        <v>4225.8360916667007</v>
      </c>
      <c r="O97" s="469">
        <f t="shared" si="87"/>
        <v>5.3375484885821445</v>
      </c>
      <c r="P97" s="468">
        <f>82774.8539083333-3603</f>
        <v>79171.853908333302</v>
      </c>
      <c r="Q97" s="830">
        <v>87370.37</v>
      </c>
      <c r="R97" s="467">
        <f t="shared" si="105"/>
        <v>8198.5160916666937</v>
      </c>
      <c r="S97" s="469">
        <f t="shared" si="88"/>
        <v>10.355341812709206</v>
      </c>
      <c r="T97" s="468">
        <f>82774.8539083333-3603</f>
        <v>79171.853908333302</v>
      </c>
      <c r="U97" s="813">
        <v>73394.48</v>
      </c>
      <c r="V97" s="459">
        <f t="shared" si="106"/>
        <v>-5777.3739083333057</v>
      </c>
      <c r="W97" s="469">
        <f t="shared" si="89"/>
        <v>-7.2972573245821177</v>
      </c>
      <c r="X97" s="468">
        <v>79171.853908333302</v>
      </c>
      <c r="Y97" s="459">
        <v>75828.03</v>
      </c>
      <c r="Z97" s="459">
        <f t="shared" si="107"/>
        <v>-3343.8239083333028</v>
      </c>
      <c r="AA97" s="470">
        <f t="shared" si="90"/>
        <v>-4.2235008317537233</v>
      </c>
      <c r="AB97" s="468">
        <v>79171.853908333302</v>
      </c>
      <c r="AC97" s="459">
        <v>72903.13</v>
      </c>
      <c r="AD97" s="459">
        <f t="shared" si="108"/>
        <v>-6268.723908333297</v>
      </c>
      <c r="AE97" s="485">
        <f t="shared" si="91"/>
        <v>-7.9178692917704634</v>
      </c>
      <c r="AF97" s="468">
        <v>79171.853908333302</v>
      </c>
      <c r="AG97" s="459">
        <v>83211.570000000007</v>
      </c>
      <c r="AH97" s="459">
        <f t="shared" si="92"/>
        <v>4039.7160916667053</v>
      </c>
      <c r="AI97" s="470">
        <f t="shared" si="93"/>
        <v>5.1024649446051562</v>
      </c>
      <c r="AJ97" s="468">
        <v>79171.853908333302</v>
      </c>
      <c r="AK97" s="468">
        <v>83129.42</v>
      </c>
      <c r="AL97" s="467">
        <f t="shared" si="94"/>
        <v>3957.5660916666966</v>
      </c>
      <c r="AM97" s="470">
        <f t="shared" si="95"/>
        <v>4.9987033223307442</v>
      </c>
      <c r="AN97" s="468">
        <v>79171.853908333302</v>
      </c>
      <c r="AO97" s="463">
        <v>83626.37</v>
      </c>
      <c r="AP97" s="467">
        <f t="shared" si="96"/>
        <v>4454.5160916666937</v>
      </c>
      <c r="AQ97" s="470">
        <f t="shared" si="97"/>
        <v>5.6263885102705968</v>
      </c>
      <c r="AR97" s="468">
        <v>79171.853908333302</v>
      </c>
      <c r="AS97" s="463">
        <v>86511.03</v>
      </c>
      <c r="AT97" s="467">
        <f t="shared" si="98"/>
        <v>7339.1760916666972</v>
      </c>
      <c r="AU97" s="470">
        <f t="shared" si="99"/>
        <v>9.269930826887208</v>
      </c>
      <c r="AV97" s="468">
        <v>79171.853908333302</v>
      </c>
      <c r="AW97" s="468">
        <v>84817.52</v>
      </c>
      <c r="AX97" s="467">
        <f t="shared" si="100"/>
        <v>5645.6660916667024</v>
      </c>
      <c r="AY97" s="470">
        <f t="shared" si="101"/>
        <v>7.1309004563709699</v>
      </c>
      <c r="AZ97" s="468">
        <v>79171.853908333302</v>
      </c>
      <c r="BA97" s="463">
        <v>85601.18</v>
      </c>
      <c r="BB97" s="459">
        <f t="shared" si="102"/>
        <v>6429.3260916666914</v>
      </c>
      <c r="BC97" s="470">
        <f t="shared" si="103"/>
        <v>8.1207219160368318</v>
      </c>
      <c r="BD97" s="485">
        <f t="shared" si="84"/>
        <v>952205.84126666631</v>
      </c>
      <c r="BE97" s="174">
        <f t="shared" si="85"/>
        <v>974459.26</v>
      </c>
      <c r="BF97" s="118"/>
      <c r="BG97" s="805"/>
      <c r="BH97" s="804"/>
    </row>
    <row r="98" spans="1:60" s="119" customFormat="1" x14ac:dyDescent="0.25">
      <c r="B98" s="170">
        <v>52230</v>
      </c>
      <c r="C98" s="135">
        <v>381</v>
      </c>
      <c r="D98" s="332" t="s">
        <v>193</v>
      </c>
      <c r="E98" s="332"/>
      <c r="F98" s="491"/>
      <c r="G98" s="328"/>
      <c r="H98" s="468">
        <f>14505.8333333333-9336</f>
        <v>5169.8333333332994</v>
      </c>
      <c r="I98" s="465">
        <v>5169.92</v>
      </c>
      <c r="J98" s="459">
        <f t="shared" si="83"/>
        <v>8.6666666700693895E-2</v>
      </c>
      <c r="K98" s="469">
        <f t="shared" si="86"/>
        <v>1.6763918895046359E-3</v>
      </c>
      <c r="L98" s="479">
        <v>14505.833333333334</v>
      </c>
      <c r="M98" s="459">
        <v>8000</v>
      </c>
      <c r="N98" s="459">
        <f t="shared" si="104"/>
        <v>-6505.8333333333339</v>
      </c>
      <c r="O98" s="469">
        <f t="shared" si="87"/>
        <v>-44.849773079795483</v>
      </c>
      <c r="P98" s="468">
        <v>14505.833333333334</v>
      </c>
      <c r="Q98" s="830">
        <v>40722.080000000002</v>
      </c>
      <c r="R98" s="467">
        <f t="shared" si="105"/>
        <v>26216.246666666666</v>
      </c>
      <c r="S98" s="469">
        <f t="shared" si="88"/>
        <v>180.72899408284022</v>
      </c>
      <c r="T98" s="468">
        <v>14505.833333333334</v>
      </c>
      <c r="U98" s="813">
        <v>83620</v>
      </c>
      <c r="V98" s="459">
        <f t="shared" si="106"/>
        <v>69114.166666666672</v>
      </c>
      <c r="W98" s="469">
        <f t="shared" si="89"/>
        <v>476.45774688343766</v>
      </c>
      <c r="X98" s="468">
        <v>14505.833333333334</v>
      </c>
      <c r="Y98" s="459">
        <v>9060</v>
      </c>
      <c r="Z98" s="459">
        <f t="shared" si="107"/>
        <v>-5445.8333333333339</v>
      </c>
      <c r="AA98" s="470">
        <f t="shared" si="90"/>
        <v>-37.542368012868387</v>
      </c>
      <c r="AB98" s="468">
        <v>14505.833333333334</v>
      </c>
      <c r="AC98" s="459">
        <v>9060</v>
      </c>
      <c r="AD98" s="459">
        <f t="shared" si="108"/>
        <v>-5445.8333333333339</v>
      </c>
      <c r="AE98" s="485">
        <f t="shared" si="91"/>
        <v>-37.542368012868387</v>
      </c>
      <c r="AF98" s="468">
        <v>14505.833333333334</v>
      </c>
      <c r="AG98" s="459">
        <v>9060</v>
      </c>
      <c r="AH98" s="459">
        <f t="shared" si="92"/>
        <v>-5445.8333333333339</v>
      </c>
      <c r="AI98" s="470">
        <f t="shared" si="93"/>
        <v>-37.542368012868387</v>
      </c>
      <c r="AJ98" s="468">
        <v>14505.833333333334</v>
      </c>
      <c r="AK98" s="468">
        <v>9060</v>
      </c>
      <c r="AL98" s="467">
        <f t="shared" si="94"/>
        <v>-5445.8333333333339</v>
      </c>
      <c r="AM98" s="470">
        <f t="shared" si="95"/>
        <v>-37.542368012868387</v>
      </c>
      <c r="AN98" s="468">
        <v>14505.833333333334</v>
      </c>
      <c r="AO98" s="463">
        <v>9060</v>
      </c>
      <c r="AP98" s="467">
        <f t="shared" si="96"/>
        <v>-5445.8333333333339</v>
      </c>
      <c r="AQ98" s="470">
        <f t="shared" si="97"/>
        <v>-37.542368012868387</v>
      </c>
      <c r="AR98" s="468">
        <v>14505.833333333334</v>
      </c>
      <c r="AS98" s="463">
        <v>18860</v>
      </c>
      <c r="AT98" s="467">
        <f t="shared" si="98"/>
        <v>4354.1666666666661</v>
      </c>
      <c r="AU98" s="470">
        <f t="shared" si="99"/>
        <v>30.016659964382143</v>
      </c>
      <c r="AV98" s="468">
        <v>14505.833333333334</v>
      </c>
      <c r="AW98" s="468">
        <v>5560</v>
      </c>
      <c r="AX98" s="467">
        <f t="shared" si="100"/>
        <v>-8945.8333333333339</v>
      </c>
      <c r="AY98" s="470">
        <f t="shared" si="101"/>
        <v>-61.670592290457861</v>
      </c>
      <c r="AZ98" s="468">
        <v>14505.833333333334</v>
      </c>
      <c r="BA98" s="463">
        <v>5560</v>
      </c>
      <c r="BB98" s="459">
        <f t="shared" si="102"/>
        <v>-8945.8333333333339</v>
      </c>
      <c r="BC98" s="470">
        <f t="shared" si="103"/>
        <v>-61.670592290457861</v>
      </c>
      <c r="BD98" s="485">
        <f t="shared" si="84"/>
        <v>253558.66666666666</v>
      </c>
      <c r="BE98" s="174">
        <f t="shared" si="85"/>
        <v>212792</v>
      </c>
      <c r="BF98" s="118"/>
      <c r="BG98" s="805"/>
      <c r="BH98" s="804"/>
    </row>
    <row r="99" spans="1:60" s="119" customFormat="1" x14ac:dyDescent="0.25">
      <c r="B99" s="170">
        <v>52563</v>
      </c>
      <c r="C99" s="135">
        <v>385</v>
      </c>
      <c r="D99" s="332" t="s">
        <v>60</v>
      </c>
      <c r="E99" s="332"/>
      <c r="F99" s="491"/>
      <c r="G99" s="328"/>
      <c r="H99" s="468">
        <f>21925.42975-3603</f>
        <v>18322.429749999999</v>
      </c>
      <c r="I99" s="465">
        <v>19806</v>
      </c>
      <c r="J99" s="459">
        <f t="shared" si="83"/>
        <v>1483.5702500000007</v>
      </c>
      <c r="K99" s="469">
        <f t="shared" si="86"/>
        <v>8.0970169908824552</v>
      </c>
      <c r="L99" s="479">
        <f>21925.42975-3603</f>
        <v>18322.429749999999</v>
      </c>
      <c r="M99" s="459">
        <v>19546</v>
      </c>
      <c r="N99" s="459">
        <f t="shared" si="104"/>
        <v>1223.5702500000007</v>
      </c>
      <c r="O99" s="469">
        <f t="shared" si="87"/>
        <v>6.677991220023638</v>
      </c>
      <c r="P99" s="468">
        <f>21925.42975-3603</f>
        <v>18322.429749999999</v>
      </c>
      <c r="Q99" s="830">
        <v>18926</v>
      </c>
      <c r="R99" s="467">
        <f t="shared" si="105"/>
        <v>603.57025000000067</v>
      </c>
      <c r="S99" s="469">
        <f t="shared" si="88"/>
        <v>3.2941605356680448</v>
      </c>
      <c r="T99" s="468">
        <f>21925.42975-3603</f>
        <v>18322.429749999999</v>
      </c>
      <c r="U99" s="813">
        <v>17206</v>
      </c>
      <c r="V99" s="459">
        <f t="shared" si="106"/>
        <v>-1116.4297499999993</v>
      </c>
      <c r="W99" s="469">
        <f t="shared" si="89"/>
        <v>-6.093240717705573</v>
      </c>
      <c r="X99" s="468">
        <v>18322.429749999999</v>
      </c>
      <c r="Y99" s="459">
        <v>13814.5</v>
      </c>
      <c r="Z99" s="459">
        <f t="shared" si="107"/>
        <v>-4507.9297499999993</v>
      </c>
      <c r="AA99" s="470">
        <f t="shared" si="90"/>
        <v>-24.603340340273373</v>
      </c>
      <c r="AB99" s="468">
        <v>18322.429749999999</v>
      </c>
      <c r="AC99" s="459">
        <v>13554.5</v>
      </c>
      <c r="AD99" s="459">
        <f t="shared" si="108"/>
        <v>-4767.9297499999993</v>
      </c>
      <c r="AE99" s="485">
        <f t="shared" si="91"/>
        <v>-26.022366111132179</v>
      </c>
      <c r="AF99" s="468">
        <v>18322.429749999999</v>
      </c>
      <c r="AG99" s="459">
        <v>14654.5</v>
      </c>
      <c r="AH99" s="459">
        <f t="shared" si="92"/>
        <v>-3667.9297499999993</v>
      </c>
      <c r="AI99" s="470">
        <f t="shared" si="93"/>
        <v>-20.018795542114166</v>
      </c>
      <c r="AJ99" s="468">
        <v>18322.429749999999</v>
      </c>
      <c r="AK99" s="468">
        <v>18606</v>
      </c>
      <c r="AL99" s="467">
        <f t="shared" si="94"/>
        <v>283.57025000000067</v>
      </c>
      <c r="AM99" s="470">
        <f t="shared" si="95"/>
        <v>1.547667279226439</v>
      </c>
      <c r="AN99" s="468">
        <v>18322.429749999999</v>
      </c>
      <c r="AO99" s="463">
        <v>19406</v>
      </c>
      <c r="AP99" s="467">
        <f t="shared" si="96"/>
        <v>1083.5702500000007</v>
      </c>
      <c r="AQ99" s="470">
        <f t="shared" si="97"/>
        <v>5.9139004203304424</v>
      </c>
      <c r="AR99" s="468">
        <v>18322.429749999999</v>
      </c>
      <c r="AS99" s="463">
        <v>18112.400000000001</v>
      </c>
      <c r="AT99" s="467">
        <f t="shared" si="98"/>
        <v>-210.02974999999788</v>
      </c>
      <c r="AU99" s="470">
        <f t="shared" si="99"/>
        <v>-1.1462985688347249</v>
      </c>
      <c r="AV99" s="468">
        <v>18322.429749999999</v>
      </c>
      <c r="AW99" s="468">
        <v>17284.599999999999</v>
      </c>
      <c r="AX99" s="467">
        <f t="shared" si="100"/>
        <v>-1037.8297500000008</v>
      </c>
      <c r="AY99" s="470">
        <f t="shared" si="101"/>
        <v>-5.664258311592107</v>
      </c>
      <c r="AZ99" s="468">
        <v>18322.429749999999</v>
      </c>
      <c r="BA99" s="463">
        <v>14495.3</v>
      </c>
      <c r="BB99" s="459">
        <f t="shared" si="102"/>
        <v>-3827.1297500000001</v>
      </c>
      <c r="BC99" s="470">
        <f t="shared" si="103"/>
        <v>-20.887675937193862</v>
      </c>
      <c r="BD99" s="485">
        <f t="shared" si="84"/>
        <v>222063.43799999999</v>
      </c>
      <c r="BE99" s="174">
        <f t="shared" si="85"/>
        <v>205411.8</v>
      </c>
      <c r="BF99" s="118"/>
      <c r="BG99" s="805"/>
      <c r="BH99" s="804"/>
    </row>
    <row r="100" spans="1:60" s="119" customFormat="1" x14ac:dyDescent="0.25">
      <c r="B100" s="170">
        <v>12878</v>
      </c>
      <c r="C100" s="135">
        <v>294</v>
      </c>
      <c r="D100" s="332" t="s">
        <v>194</v>
      </c>
      <c r="E100" s="332"/>
      <c r="F100" s="491"/>
      <c r="G100" s="328"/>
      <c r="H100" s="468">
        <v>788.30277499999988</v>
      </c>
      <c r="I100" s="465">
        <v>1024.3800000000001</v>
      </c>
      <c r="J100" s="459">
        <f t="shared" si="83"/>
        <v>236.07722500000023</v>
      </c>
      <c r="K100" s="469">
        <f t="shared" si="86"/>
        <v>29.947531898514534</v>
      </c>
      <c r="L100" s="479">
        <v>788.30277499999988</v>
      </c>
      <c r="M100" s="459">
        <v>479.58</v>
      </c>
      <c r="N100" s="459">
        <f t="shared" si="104"/>
        <v>-308.7227749999999</v>
      </c>
      <c r="O100" s="469">
        <f t="shared" si="87"/>
        <v>-39.162969456754723</v>
      </c>
      <c r="P100" s="468">
        <v>788.30277499999988</v>
      </c>
      <c r="Q100" s="830">
        <v>631.11</v>
      </c>
      <c r="R100" s="467">
        <f t="shared" si="105"/>
        <v>-157.19277499999987</v>
      </c>
      <c r="S100" s="469">
        <f t="shared" si="88"/>
        <v>-19.940659856233523</v>
      </c>
      <c r="T100" s="468">
        <v>788.30277499999988</v>
      </c>
      <c r="U100" s="813">
        <v>662.09</v>
      </c>
      <c r="V100" s="459">
        <f t="shared" si="106"/>
        <v>-126.21277499999985</v>
      </c>
      <c r="W100" s="469">
        <f t="shared" si="89"/>
        <v>-16.010697793116336</v>
      </c>
      <c r="X100" s="468">
        <v>788.30277499999988</v>
      </c>
      <c r="Y100" s="459">
        <v>649.53</v>
      </c>
      <c r="Z100" s="459">
        <f t="shared" si="107"/>
        <v>-138.77277499999991</v>
      </c>
      <c r="AA100" s="470">
        <f t="shared" si="90"/>
        <v>-17.603994226710661</v>
      </c>
      <c r="AB100" s="468">
        <v>788.30277499999988</v>
      </c>
      <c r="AC100" s="459">
        <v>807.66</v>
      </c>
      <c r="AD100" s="459">
        <f t="shared" si="108"/>
        <v>19.357225000000085</v>
      </c>
      <c r="AE100" s="485">
        <f t="shared" si="91"/>
        <v>2.4555571303171098</v>
      </c>
      <c r="AF100" s="468">
        <v>788.30277499999988</v>
      </c>
      <c r="AG100" s="459">
        <v>842.81</v>
      </c>
      <c r="AH100" s="459">
        <f t="shared" si="92"/>
        <v>54.507225000000062</v>
      </c>
      <c r="AI100" s="470">
        <f t="shared" si="93"/>
        <v>6.9145037577725166</v>
      </c>
      <c r="AJ100" s="468">
        <v>788.30277499999988</v>
      </c>
      <c r="AK100" s="468">
        <v>458.83</v>
      </c>
      <c r="AL100" s="467">
        <f t="shared" si="94"/>
        <v>-329.4727749999999</v>
      </c>
      <c r="AM100" s="470">
        <f t="shared" si="95"/>
        <v>-41.795206797286731</v>
      </c>
      <c r="AN100" s="468">
        <v>788.30277499999988</v>
      </c>
      <c r="AO100" s="463">
        <v>634.37</v>
      </c>
      <c r="AP100" s="467">
        <f t="shared" si="96"/>
        <v>-153.93277499999988</v>
      </c>
      <c r="AQ100" s="470">
        <f t="shared" si="97"/>
        <v>-19.527113170443922</v>
      </c>
      <c r="AR100" s="468">
        <v>788.30277499999988</v>
      </c>
      <c r="AS100" s="463">
        <v>436.64</v>
      </c>
      <c r="AT100" s="467">
        <f t="shared" si="98"/>
        <v>-351.6627749999999</v>
      </c>
      <c r="AU100" s="470">
        <f t="shared" si="99"/>
        <v>-44.610115066511078</v>
      </c>
      <c r="AV100" s="468">
        <v>788.30277499999988</v>
      </c>
      <c r="AW100" s="468">
        <v>1814.6</v>
      </c>
      <c r="AX100" s="467">
        <f t="shared" si="100"/>
        <v>1026.297225</v>
      </c>
      <c r="AY100" s="470">
        <f t="shared" si="101"/>
        <v>130.19074111466881</v>
      </c>
      <c r="AZ100" s="468">
        <v>788.30277499999988</v>
      </c>
      <c r="BA100" s="463">
        <v>590</v>
      </c>
      <c r="BB100" s="459">
        <f t="shared" si="102"/>
        <v>-198.30277499999988</v>
      </c>
      <c r="BC100" s="470">
        <f t="shared" si="103"/>
        <v>-25.155661160776699</v>
      </c>
      <c r="BD100" s="485">
        <f t="shared" si="84"/>
        <v>9103.5822000000007</v>
      </c>
      <c r="BE100" s="571">
        <f t="shared" si="85"/>
        <v>9031.6</v>
      </c>
      <c r="BF100" s="118"/>
      <c r="BG100" s="805"/>
      <c r="BH100" s="804"/>
    </row>
    <row r="101" spans="1:60" s="119" customFormat="1" x14ac:dyDescent="0.25">
      <c r="A101" s="512"/>
      <c r="B101" s="170">
        <v>51641</v>
      </c>
      <c r="C101" s="367">
        <v>361</v>
      </c>
      <c r="D101" s="332" t="s">
        <v>61</v>
      </c>
      <c r="E101" s="383"/>
      <c r="F101" s="513"/>
      <c r="G101" s="108"/>
      <c r="H101" s="468">
        <f>51437.0558416667-3603</f>
        <v>47834.055841666697</v>
      </c>
      <c r="I101" s="465">
        <v>52100</v>
      </c>
      <c r="J101" s="459">
        <f t="shared" si="83"/>
        <v>4265.9441583333028</v>
      </c>
      <c r="K101" s="470">
        <f t="shared" si="86"/>
        <v>8.918215449791278</v>
      </c>
      <c r="L101" s="479">
        <f>51437.0558416667-3603</f>
        <v>47834.055841666697</v>
      </c>
      <c r="M101" s="459">
        <v>59100</v>
      </c>
      <c r="N101" s="459">
        <f t="shared" si="104"/>
        <v>11265.944158333303</v>
      </c>
      <c r="O101" s="469">
        <f t="shared" si="87"/>
        <v>23.55214075014711</v>
      </c>
      <c r="P101" s="468">
        <f>51437.0558416667-3603</f>
        <v>47834.055841666697</v>
      </c>
      <c r="Q101" s="830">
        <v>55600</v>
      </c>
      <c r="R101" s="467">
        <f t="shared" si="105"/>
        <v>7765.9441583333028</v>
      </c>
      <c r="S101" s="469">
        <f t="shared" si="88"/>
        <v>16.235178099969193</v>
      </c>
      <c r="T101" s="468">
        <f>51437.0558416667-3603</f>
        <v>47834.055841666697</v>
      </c>
      <c r="U101" s="813">
        <v>70157</v>
      </c>
      <c r="V101" s="459">
        <f t="shared" si="106"/>
        <v>22322.944158333303</v>
      </c>
      <c r="W101" s="469">
        <f t="shared" si="89"/>
        <v>46.667471042437739</v>
      </c>
      <c r="X101" s="468">
        <v>47834.055841666697</v>
      </c>
      <c r="Y101" s="459">
        <v>69200</v>
      </c>
      <c r="Z101" s="459">
        <f t="shared" si="107"/>
        <v>21365.944158333303</v>
      </c>
      <c r="AA101" s="470">
        <f t="shared" si="90"/>
        <v>44.666804397803375</v>
      </c>
      <c r="AB101" s="468">
        <v>47834.055841666697</v>
      </c>
      <c r="AC101" s="459">
        <v>54200</v>
      </c>
      <c r="AD101" s="459">
        <f t="shared" si="108"/>
        <v>6365.9441583333028</v>
      </c>
      <c r="AE101" s="485">
        <f t="shared" si="91"/>
        <v>13.308393039898014</v>
      </c>
      <c r="AF101" s="468">
        <v>47834.055841666697</v>
      </c>
      <c r="AG101" s="459">
        <v>54200</v>
      </c>
      <c r="AH101" s="459">
        <f t="shared" si="92"/>
        <v>6365.9441583333028</v>
      </c>
      <c r="AI101" s="470">
        <f t="shared" si="93"/>
        <v>13.308393039898014</v>
      </c>
      <c r="AJ101" s="468">
        <v>47834.055841666697</v>
      </c>
      <c r="AK101" s="468">
        <v>51700</v>
      </c>
      <c r="AL101" s="467">
        <f t="shared" si="94"/>
        <v>3865.9441583333028</v>
      </c>
      <c r="AM101" s="470">
        <f t="shared" si="95"/>
        <v>8.0819911469137917</v>
      </c>
      <c r="AN101" s="468">
        <v>47834.055841666697</v>
      </c>
      <c r="AO101" s="463">
        <v>5800</v>
      </c>
      <c r="AP101" s="467">
        <f t="shared" si="96"/>
        <v>-42034.055841666697</v>
      </c>
      <c r="AQ101" s="470">
        <f t="shared" si="97"/>
        <v>-87.874747608276593</v>
      </c>
      <c r="AR101" s="468">
        <v>47834.055841666697</v>
      </c>
      <c r="AS101" s="463">
        <v>58700</v>
      </c>
      <c r="AT101" s="467">
        <f t="shared" si="98"/>
        <v>10865.944158333303</v>
      </c>
      <c r="AU101" s="470">
        <f t="shared" si="99"/>
        <v>22.715916447269624</v>
      </c>
      <c r="AV101" s="468">
        <v>47834.055841666697</v>
      </c>
      <c r="AW101" s="468">
        <v>58700</v>
      </c>
      <c r="AX101" s="467">
        <f t="shared" si="100"/>
        <v>10865.944158333303</v>
      </c>
      <c r="AY101" s="470">
        <f t="shared" si="101"/>
        <v>22.715916447269624</v>
      </c>
      <c r="AZ101" s="468">
        <v>47834.055841666697</v>
      </c>
      <c r="BA101" s="463">
        <v>58700</v>
      </c>
      <c r="BB101" s="463">
        <f t="shared" si="102"/>
        <v>10865.944158333303</v>
      </c>
      <c r="BC101" s="470">
        <f t="shared" si="103"/>
        <v>22.715916447269624</v>
      </c>
      <c r="BD101" s="485">
        <f t="shared" si="84"/>
        <v>619629.44673333364</v>
      </c>
      <c r="BE101" s="174">
        <f t="shared" si="85"/>
        <v>648157</v>
      </c>
      <c r="BF101" s="118"/>
      <c r="BG101" s="805"/>
      <c r="BH101" s="804"/>
    </row>
    <row r="102" spans="1:60" s="119" customFormat="1" x14ac:dyDescent="0.25">
      <c r="A102" s="514"/>
      <c r="B102" s="170">
        <v>53920</v>
      </c>
      <c r="C102" s="391"/>
      <c r="D102" s="515" t="s">
        <v>3630</v>
      </c>
      <c r="E102" s="516"/>
      <c r="F102" s="517"/>
      <c r="G102" s="518"/>
      <c r="H102" s="468">
        <f>7931-2214.13</f>
        <v>5716.87</v>
      </c>
      <c r="I102" s="465">
        <v>8800</v>
      </c>
      <c r="J102" s="459">
        <f>I102-H102</f>
        <v>3083.13</v>
      </c>
      <c r="K102" s="470">
        <f>((I102/H102)-1)*100</f>
        <v>53.930384983391264</v>
      </c>
      <c r="L102" s="479">
        <v>7931</v>
      </c>
      <c r="M102" s="459">
        <v>9625</v>
      </c>
      <c r="N102" s="459">
        <f>M102-L102</f>
        <v>1694</v>
      </c>
      <c r="O102" s="469">
        <f>((M102/L102)-1)*100</f>
        <v>21.359223300970864</v>
      </c>
      <c r="P102" s="468">
        <v>7931</v>
      </c>
      <c r="Q102" s="830">
        <v>11000</v>
      </c>
      <c r="R102" s="467">
        <f>Q102-P102</f>
        <v>3069</v>
      </c>
      <c r="S102" s="469">
        <f>((Q102/P102)-1)*100</f>
        <v>38.696255201109572</v>
      </c>
      <c r="T102" s="468">
        <v>7931</v>
      </c>
      <c r="U102" s="813">
        <v>0</v>
      </c>
      <c r="V102" s="459">
        <f>U102-T102</f>
        <v>-7931</v>
      </c>
      <c r="W102" s="469">
        <f>((U102/T102)-1)*100</f>
        <v>-100</v>
      </c>
      <c r="X102" s="468">
        <v>7931</v>
      </c>
      <c r="Y102" s="459">
        <v>22000</v>
      </c>
      <c r="Z102" s="459">
        <f t="shared" ref="Z102:Z109" si="109">Y102-X102</f>
        <v>14069</v>
      </c>
      <c r="AA102" s="470">
        <f>((Y102/X102)-1)*100</f>
        <v>177.39251040221916</v>
      </c>
      <c r="AB102" s="468">
        <v>7931</v>
      </c>
      <c r="AC102" s="459">
        <v>11000</v>
      </c>
      <c r="AD102" s="459">
        <f t="shared" ref="AD102:AD109" si="110">AC102-AB102</f>
        <v>3069</v>
      </c>
      <c r="AE102" s="485">
        <f>((AC102/AB102)-1)*100</f>
        <v>38.696255201109572</v>
      </c>
      <c r="AF102" s="468">
        <v>7931</v>
      </c>
      <c r="AG102" s="459">
        <v>11000</v>
      </c>
      <c r="AH102" s="459">
        <f t="shared" si="92"/>
        <v>3069</v>
      </c>
      <c r="AI102" s="470">
        <f t="shared" si="93"/>
        <v>38.696255201109572</v>
      </c>
      <c r="AJ102" s="468">
        <v>7931</v>
      </c>
      <c r="AK102" s="468">
        <v>11000</v>
      </c>
      <c r="AL102" s="467">
        <f t="shared" si="94"/>
        <v>3069</v>
      </c>
      <c r="AM102" s="470">
        <f t="shared" si="95"/>
        <v>38.696255201109572</v>
      </c>
      <c r="AN102" s="468">
        <v>7931</v>
      </c>
      <c r="AO102" s="463">
        <v>51700</v>
      </c>
      <c r="AP102" s="467">
        <f t="shared" si="96"/>
        <v>43769</v>
      </c>
      <c r="AQ102" s="470">
        <f t="shared" si="97"/>
        <v>551.87239944521491</v>
      </c>
      <c r="AR102" s="468">
        <v>7931</v>
      </c>
      <c r="AS102" s="463">
        <v>11000</v>
      </c>
      <c r="AT102" s="467">
        <f t="shared" si="98"/>
        <v>3069</v>
      </c>
      <c r="AU102" s="470">
        <f t="shared" si="99"/>
        <v>38.696255201109572</v>
      </c>
      <c r="AV102" s="468">
        <v>7931</v>
      </c>
      <c r="AW102" s="468">
        <v>11000</v>
      </c>
      <c r="AX102" s="467">
        <f>AW102-AV102</f>
        <v>3069</v>
      </c>
      <c r="AY102" s="470">
        <f>((AW102/AV102)-1)*100</f>
        <v>38.696255201109572</v>
      </c>
      <c r="AZ102" s="468">
        <v>7931</v>
      </c>
      <c r="BA102" s="463">
        <v>11000</v>
      </c>
      <c r="BB102" s="463">
        <f t="shared" si="102"/>
        <v>3069</v>
      </c>
      <c r="BC102" s="470">
        <f t="shared" si="103"/>
        <v>38.696255201109572</v>
      </c>
      <c r="BD102" s="485">
        <f t="shared" si="84"/>
        <v>92873</v>
      </c>
      <c r="BE102" s="174">
        <f t="shared" si="85"/>
        <v>169125</v>
      </c>
      <c r="BF102" s="118"/>
      <c r="BG102" s="805"/>
      <c r="BH102" s="804"/>
    </row>
    <row r="103" spans="1:60" s="119" customFormat="1" x14ac:dyDescent="0.25">
      <c r="B103" s="170">
        <v>53921</v>
      </c>
      <c r="C103" s="391"/>
      <c r="D103" s="515" t="s">
        <v>3631</v>
      </c>
      <c r="E103" s="516"/>
      <c r="F103" s="517"/>
      <c r="G103" s="518"/>
      <c r="H103" s="468">
        <v>1030</v>
      </c>
      <c r="I103" s="465">
        <v>8006</v>
      </c>
      <c r="J103" s="459">
        <f>I103-H103</f>
        <v>6976</v>
      </c>
      <c r="K103" s="470">
        <f>((I103/H103)-1)*100</f>
        <v>677.28155339805824</v>
      </c>
      <c r="L103" s="479">
        <v>1030</v>
      </c>
      <c r="M103" s="459">
        <v>14012</v>
      </c>
      <c r="N103" s="459">
        <f>M103-L103</f>
        <v>12982</v>
      </c>
      <c r="O103" s="469">
        <f>((M103/L103)-1)*100</f>
        <v>1260.3883495145631</v>
      </c>
      <c r="P103" s="468">
        <v>1030</v>
      </c>
      <c r="Q103" s="830">
        <v>18016</v>
      </c>
      <c r="R103" s="467">
        <f>Q103-P103</f>
        <v>16986</v>
      </c>
      <c r="S103" s="469">
        <f>((Q103/P103)-1)*100</f>
        <v>1649.1262135922329</v>
      </c>
      <c r="T103" s="468">
        <v>1030</v>
      </c>
      <c r="U103" s="813">
        <v>2000</v>
      </c>
      <c r="V103" s="459">
        <f>U103-T103</f>
        <v>970</v>
      </c>
      <c r="W103" s="469">
        <f>((U103/T103)-1)*100</f>
        <v>94.174757281553397</v>
      </c>
      <c r="X103" s="468">
        <v>25000</v>
      </c>
      <c r="Y103" s="459">
        <v>2000</v>
      </c>
      <c r="Z103" s="459">
        <f t="shared" si="109"/>
        <v>-23000</v>
      </c>
      <c r="AA103" s="470">
        <f>((Y103/X103)-1)*100</f>
        <v>-92</v>
      </c>
      <c r="AB103" s="468">
        <v>25000</v>
      </c>
      <c r="AC103" s="459">
        <v>26024</v>
      </c>
      <c r="AD103" s="459">
        <f t="shared" si="110"/>
        <v>1024</v>
      </c>
      <c r="AE103" s="485">
        <f>((AC103/AB103)-1)*100</f>
        <v>4.0960000000000107</v>
      </c>
      <c r="AF103" s="468">
        <v>1030</v>
      </c>
      <c r="AG103" s="459">
        <v>4002</v>
      </c>
      <c r="AH103" s="459">
        <f t="shared" si="92"/>
        <v>2972</v>
      </c>
      <c r="AI103" s="470">
        <f t="shared" si="93"/>
        <v>288.54368932038835</v>
      </c>
      <c r="AJ103" s="468">
        <v>1030</v>
      </c>
      <c r="AK103" s="468">
        <v>2000</v>
      </c>
      <c r="AL103" s="467">
        <f t="shared" si="94"/>
        <v>970</v>
      </c>
      <c r="AM103" s="470">
        <f t="shared" si="95"/>
        <v>94.174757281553397</v>
      </c>
      <c r="AN103" s="468">
        <v>1030</v>
      </c>
      <c r="AO103" s="463">
        <v>11000</v>
      </c>
      <c r="AP103" s="467">
        <f t="shared" si="96"/>
        <v>9970</v>
      </c>
      <c r="AQ103" s="470">
        <f t="shared" si="97"/>
        <v>967.96116504854376</v>
      </c>
      <c r="AR103" s="468">
        <v>1030</v>
      </c>
      <c r="AS103" s="463">
        <v>2000</v>
      </c>
      <c r="AT103" s="467">
        <f t="shared" si="98"/>
        <v>970</v>
      </c>
      <c r="AU103" s="470">
        <f t="shared" si="99"/>
        <v>94.174757281553397</v>
      </c>
      <c r="AV103" s="468">
        <v>1030</v>
      </c>
      <c r="AW103" s="468">
        <v>6004</v>
      </c>
      <c r="AX103" s="467">
        <f>AW103-AV103</f>
        <v>4974</v>
      </c>
      <c r="AY103" s="470">
        <f>((AW103/AV103)-1)*100</f>
        <v>482.91262135922335</v>
      </c>
      <c r="AZ103" s="468">
        <v>1030</v>
      </c>
      <c r="BA103" s="463">
        <v>2000</v>
      </c>
      <c r="BB103" s="463">
        <f t="shared" si="102"/>
        <v>970</v>
      </c>
      <c r="BC103" s="470">
        <f t="shared" si="103"/>
        <v>94.174757281553397</v>
      </c>
      <c r="BD103" s="485">
        <f t="shared" si="84"/>
        <v>98214</v>
      </c>
      <c r="BE103" s="174">
        <f t="shared" si="85"/>
        <v>97064</v>
      </c>
      <c r="BF103" s="118"/>
      <c r="BG103" s="805"/>
      <c r="BH103" s="804"/>
    </row>
    <row r="104" spans="1:60" s="119" customFormat="1" x14ac:dyDescent="0.25">
      <c r="B104" s="421">
        <v>52204</v>
      </c>
      <c r="C104" s="423"/>
      <c r="D104" s="519" t="s">
        <v>3636</v>
      </c>
      <c r="E104" s="520"/>
      <c r="F104" s="521"/>
      <c r="G104" s="522"/>
      <c r="H104" s="462">
        <f>1178.126875</f>
        <v>1178.1268749999999</v>
      </c>
      <c r="I104" s="422">
        <v>0</v>
      </c>
      <c r="J104" s="459">
        <f>I104-H104</f>
        <v>-1178.1268749999999</v>
      </c>
      <c r="K104" s="471">
        <f>((I104/H104)-1)*100</f>
        <v>-100</v>
      </c>
      <c r="L104" s="480">
        <v>1178.1268749999999</v>
      </c>
      <c r="M104" s="423">
        <v>0</v>
      </c>
      <c r="N104" s="459">
        <f>M104-L104</f>
        <v>-1178.1268749999999</v>
      </c>
      <c r="O104" s="469">
        <f>((M104/L104)-1)*100</f>
        <v>-100</v>
      </c>
      <c r="P104" s="480">
        <v>1178.1268749999999</v>
      </c>
      <c r="Q104" s="831">
        <v>0</v>
      </c>
      <c r="R104" s="467">
        <f>Q104-P104</f>
        <v>-1178.1268749999999</v>
      </c>
      <c r="S104" s="469">
        <f>((Q104/P104)-1)*100</f>
        <v>-100</v>
      </c>
      <c r="T104" s="483">
        <v>1178.1268749999999</v>
      </c>
      <c r="U104" s="806">
        <v>3982.22</v>
      </c>
      <c r="V104" s="459">
        <f>U104-T104</f>
        <v>2804.0931249999999</v>
      </c>
      <c r="W104" s="469">
        <f>((U104/T104)-1)*100</f>
        <v>238.01283074881047</v>
      </c>
      <c r="X104" s="483">
        <v>1178.1268749999999</v>
      </c>
      <c r="Y104" s="424">
        <v>0</v>
      </c>
      <c r="Z104" s="459">
        <f t="shared" si="109"/>
        <v>-1178.1268749999999</v>
      </c>
      <c r="AA104" s="470">
        <f>((Y104/X104)-1)*100</f>
        <v>-100</v>
      </c>
      <c r="AB104" s="480">
        <v>1178.1268749999999</v>
      </c>
      <c r="AC104" s="425">
        <v>0</v>
      </c>
      <c r="AD104" s="459">
        <f t="shared" si="110"/>
        <v>-1178.1268749999999</v>
      </c>
      <c r="AE104" s="485">
        <f>((AC104/AB104)-1)*100</f>
        <v>-100</v>
      </c>
      <c r="AF104" s="480">
        <v>1178.1268749999999</v>
      </c>
      <c r="AG104" s="425">
        <v>0</v>
      </c>
      <c r="AH104" s="459">
        <f>AG104-AF104</f>
        <v>-1178.1268749999999</v>
      </c>
      <c r="AI104" s="470">
        <f>((AG104/AF104)-1)*100</f>
        <v>-100</v>
      </c>
      <c r="AJ104" s="480">
        <v>1178.1268749999999</v>
      </c>
      <c r="AK104" s="468">
        <v>0</v>
      </c>
      <c r="AL104" s="467">
        <f>AK104-AJ104</f>
        <v>-1178.1268749999999</v>
      </c>
      <c r="AM104" s="470">
        <f>((AK104/AJ104)-1)*100</f>
        <v>-100</v>
      </c>
      <c r="AN104" s="480">
        <v>1178.1268749999999</v>
      </c>
      <c r="AO104" s="463">
        <v>4002</v>
      </c>
      <c r="AP104" s="467">
        <f>AO104-AN104</f>
        <v>2823.8731250000001</v>
      </c>
      <c r="AQ104" s="470">
        <f>((AO104/AN104)-1)*100</f>
        <v>239.69176706880572</v>
      </c>
      <c r="AR104" s="480">
        <v>1178.1268749999999</v>
      </c>
      <c r="AS104" s="463">
        <v>0</v>
      </c>
      <c r="AT104" s="467">
        <f>AS104-AR104</f>
        <v>-1178.1268749999999</v>
      </c>
      <c r="AU104" s="470">
        <f>((AS104/AR104)-1)*100</f>
        <v>-100</v>
      </c>
      <c r="AV104" s="480">
        <v>1178.1268749999999</v>
      </c>
      <c r="AW104" s="468">
        <v>0</v>
      </c>
      <c r="AX104" s="467">
        <f>AW104-AV104</f>
        <v>-1178.1268749999999</v>
      </c>
      <c r="AY104" s="470">
        <f>((AW104/AV104)-1)*100</f>
        <v>-100</v>
      </c>
      <c r="AZ104" s="480">
        <v>1178.1268749999999</v>
      </c>
      <c r="BA104" s="463">
        <v>0</v>
      </c>
      <c r="BB104" s="463">
        <f t="shared" ref="BB104:BB109" si="111">BA104-AZ104</f>
        <v>-1178.1268749999999</v>
      </c>
      <c r="BC104" s="470">
        <f>((BA104/AZ104)-1)*100</f>
        <v>-100</v>
      </c>
      <c r="BD104" s="485">
        <f t="shared" si="84"/>
        <v>13407.234999999999</v>
      </c>
      <c r="BE104" s="571">
        <f t="shared" si="85"/>
        <v>7984.2199999999993</v>
      </c>
      <c r="BF104" s="118"/>
      <c r="BG104" s="805"/>
      <c r="BH104" s="804"/>
    </row>
    <row r="105" spans="1:60" s="423" customFormat="1" x14ac:dyDescent="0.25">
      <c r="A105" s="523"/>
      <c r="B105" s="421">
        <v>54162</v>
      </c>
      <c r="D105" s="519" t="s">
        <v>3650</v>
      </c>
      <c r="E105" s="520"/>
      <c r="F105" s="521"/>
      <c r="G105" s="522"/>
      <c r="H105" s="462">
        <f>27500</f>
        <v>27500</v>
      </c>
      <c r="I105" s="422">
        <v>27338.77</v>
      </c>
      <c r="J105" s="459">
        <f>I105-H105</f>
        <v>-161.22999999999956</v>
      </c>
      <c r="K105" s="471">
        <f>((I105/H105)-1)*100</f>
        <v>-0.58629090909090298</v>
      </c>
      <c r="L105" s="480">
        <v>27500</v>
      </c>
      <c r="M105" s="423">
        <v>29225.13</v>
      </c>
      <c r="N105" s="459">
        <f>M105-L105</f>
        <v>1725.130000000001</v>
      </c>
      <c r="O105" s="469">
        <f>((M105/L105)-1)*100</f>
        <v>6.273200000000001</v>
      </c>
      <c r="P105" s="480">
        <v>27500</v>
      </c>
      <c r="Q105" s="831">
        <v>20660.23</v>
      </c>
      <c r="R105" s="467">
        <f>Q105-P105</f>
        <v>-6839.77</v>
      </c>
      <c r="S105" s="469">
        <f>((Q105/P105)-1)*100</f>
        <v>-24.871890909090911</v>
      </c>
      <c r="T105" s="483">
        <v>27500</v>
      </c>
      <c r="U105" s="806">
        <v>15665.07</v>
      </c>
      <c r="V105" s="459">
        <f>U105-T105</f>
        <v>-11834.93</v>
      </c>
      <c r="W105" s="469">
        <f>((U105/T105)-1)*100</f>
        <v>-43.036109090909093</v>
      </c>
      <c r="X105" s="483">
        <v>15000</v>
      </c>
      <c r="Y105" s="424">
        <v>3962.73</v>
      </c>
      <c r="Z105" s="459">
        <f t="shared" si="109"/>
        <v>-11037.27</v>
      </c>
      <c r="AA105" s="470">
        <f>((Y105/X105)-1)*100</f>
        <v>-73.581800000000001</v>
      </c>
      <c r="AB105" s="480">
        <v>15000</v>
      </c>
      <c r="AC105" s="425">
        <v>18368.64</v>
      </c>
      <c r="AD105" s="459">
        <f t="shared" si="110"/>
        <v>3368.6399999999994</v>
      </c>
      <c r="AE105" s="485">
        <f>((AC105/AB105)-1)*100</f>
        <v>22.457599999999989</v>
      </c>
      <c r="AF105" s="480">
        <v>27500</v>
      </c>
      <c r="AG105" s="425">
        <v>20419.03</v>
      </c>
      <c r="AH105" s="459">
        <f>AG105-AF105</f>
        <v>-7080.9700000000012</v>
      </c>
      <c r="AI105" s="470">
        <f>((AG105/AF105)-1)*100</f>
        <v>-25.748981818181825</v>
      </c>
      <c r="AJ105" s="480">
        <v>27500</v>
      </c>
      <c r="AK105" s="468">
        <v>22644.49</v>
      </c>
      <c r="AL105" s="467">
        <f>AK105-AJ105</f>
        <v>-4855.5099999999984</v>
      </c>
      <c r="AM105" s="470">
        <f>((AK105/AJ105)-1)*100</f>
        <v>-17.656399999999994</v>
      </c>
      <c r="AN105" s="480">
        <v>27500</v>
      </c>
      <c r="AO105" s="424">
        <v>0</v>
      </c>
      <c r="AP105" s="467">
        <f>AO105-AN105</f>
        <v>-27500</v>
      </c>
      <c r="AQ105" s="470">
        <f>((AO105/AN105)-1)*100</f>
        <v>-100</v>
      </c>
      <c r="AR105" s="480">
        <v>27500</v>
      </c>
      <c r="AS105" s="463">
        <v>23515.39</v>
      </c>
      <c r="AT105" s="467">
        <f>AS105-AR105</f>
        <v>-3984.6100000000006</v>
      </c>
      <c r="AU105" s="470">
        <f>((AS105/AR105)-1)*100</f>
        <v>-14.489490909090907</v>
      </c>
      <c r="AV105" s="480">
        <v>27500</v>
      </c>
      <c r="AW105" s="468">
        <v>28708.28</v>
      </c>
      <c r="AX105" s="467">
        <f>AW105-AV105</f>
        <v>1208.2799999999988</v>
      </c>
      <c r="AY105" s="470">
        <f>((AW105/AV105)-1)*100</f>
        <v>4.3937454545454502</v>
      </c>
      <c r="AZ105" s="480">
        <v>27500</v>
      </c>
      <c r="BA105" s="463">
        <v>30862.42</v>
      </c>
      <c r="BB105" s="463">
        <f t="shared" si="111"/>
        <v>3362.4199999999983</v>
      </c>
      <c r="BC105" s="470">
        <f>((BA105/AZ105)-1)*100</f>
        <v>12.226981818181804</v>
      </c>
      <c r="BD105" s="485">
        <f t="shared" si="84"/>
        <v>287889.2</v>
      </c>
      <c r="BE105" s="174">
        <f t="shared" si="85"/>
        <v>241370.18</v>
      </c>
      <c r="BF105" s="529"/>
      <c r="BG105" s="805"/>
      <c r="BH105" s="804"/>
    </row>
    <row r="106" spans="1:60" s="146" customFormat="1" x14ac:dyDescent="0.25">
      <c r="B106" s="421">
        <v>54391</v>
      </c>
      <c r="C106" s="423"/>
      <c r="D106" s="519" t="s">
        <v>3657</v>
      </c>
      <c r="E106" s="520"/>
      <c r="F106" s="521"/>
      <c r="G106" s="522"/>
      <c r="H106" s="462"/>
      <c r="I106" s="422"/>
      <c r="J106" s="459">
        <f>I106-H106</f>
        <v>0</v>
      </c>
      <c r="K106" s="471"/>
      <c r="L106" s="480"/>
      <c r="M106" s="423"/>
      <c r="N106" s="459"/>
      <c r="O106" s="469"/>
      <c r="P106" s="480"/>
      <c r="Q106" s="831">
        <v>26760</v>
      </c>
      <c r="R106" s="467"/>
      <c r="S106" s="469"/>
      <c r="T106" s="483"/>
      <c r="U106" s="806">
        <v>120884</v>
      </c>
      <c r="V106" s="459"/>
      <c r="W106" s="469"/>
      <c r="X106" s="483">
        <v>94000</v>
      </c>
      <c r="Y106" s="424">
        <v>91256</v>
      </c>
      <c r="Z106" s="459">
        <f t="shared" si="109"/>
        <v>-2744</v>
      </c>
      <c r="AA106" s="470">
        <f>((Y106/X106)-1)*100</f>
        <v>-2.9191489361702128</v>
      </c>
      <c r="AB106" s="480">
        <v>94000</v>
      </c>
      <c r="AC106" s="425">
        <v>92256</v>
      </c>
      <c r="AD106" s="459">
        <f t="shared" si="110"/>
        <v>-1744</v>
      </c>
      <c r="AE106" s="485">
        <f>((AC106/AB106)-1)*100</f>
        <v>-1.8553191489361742</v>
      </c>
      <c r="AF106" s="480">
        <v>94000</v>
      </c>
      <c r="AG106" s="425">
        <v>94600</v>
      </c>
      <c r="AH106" s="459">
        <f>AG106-AF106</f>
        <v>600</v>
      </c>
      <c r="AI106" s="470"/>
      <c r="AJ106" s="480">
        <v>94000</v>
      </c>
      <c r="AK106" s="468">
        <v>88400</v>
      </c>
      <c r="AL106" s="467">
        <f>AK106-AJ106</f>
        <v>-5600</v>
      </c>
      <c r="AM106" s="470">
        <f>((AK106/AJ106)-1)*100</f>
        <v>-5.9574468085106353</v>
      </c>
      <c r="AN106" s="480">
        <v>94000</v>
      </c>
      <c r="AO106" s="425">
        <v>89640</v>
      </c>
      <c r="AP106" s="467">
        <f>AO106-AN106</f>
        <v>-4360</v>
      </c>
      <c r="AQ106" s="470">
        <f>((AO106/AN106)-1)*100</f>
        <v>-4.6382978723404245</v>
      </c>
      <c r="AR106" s="480">
        <v>94000</v>
      </c>
      <c r="AS106" s="463">
        <v>91680</v>
      </c>
      <c r="AT106" s="467">
        <f>AS106-AR106</f>
        <v>-2320</v>
      </c>
      <c r="AU106" s="470">
        <f>((AS106/AR106)-1)*100</f>
        <v>-2.4680851063829778</v>
      </c>
      <c r="AV106" s="480">
        <v>94000</v>
      </c>
      <c r="AW106" s="468">
        <v>88160</v>
      </c>
      <c r="AX106" s="467">
        <f>AW106-AV106</f>
        <v>-5840</v>
      </c>
      <c r="AY106" s="470">
        <f>((AW106/AV106)-1)*100</f>
        <v>-6.212765957446809</v>
      </c>
      <c r="AZ106" s="480">
        <v>94000</v>
      </c>
      <c r="BA106" s="463">
        <v>94720</v>
      </c>
      <c r="BB106" s="463">
        <f t="shared" si="111"/>
        <v>720</v>
      </c>
      <c r="BC106" s="470">
        <f>((BA106/AZ106)-1)*100</f>
        <v>0.76595744680851841</v>
      </c>
      <c r="BD106" s="485">
        <f t="shared" si="84"/>
        <v>899644</v>
      </c>
      <c r="BE106" s="174">
        <f t="shared" si="85"/>
        <v>878356</v>
      </c>
      <c r="BF106" s="231"/>
    </row>
    <row r="107" spans="1:60" s="146" customFormat="1" x14ac:dyDescent="0.25">
      <c r="B107" s="1034">
        <v>52021</v>
      </c>
      <c r="C107" s="1035"/>
      <c r="D107" s="950" t="s">
        <v>3713</v>
      </c>
      <c r="E107" s="1036"/>
      <c r="F107" s="1037"/>
      <c r="G107" s="1038"/>
      <c r="H107" s="1039"/>
      <c r="I107" s="1040"/>
      <c r="J107" s="953"/>
      <c r="K107" s="1041"/>
      <c r="L107" s="955"/>
      <c r="M107" s="1042"/>
      <c r="N107" s="953"/>
      <c r="O107" s="957"/>
      <c r="P107" s="955"/>
      <c r="Q107" s="991"/>
      <c r="R107" s="958"/>
      <c r="S107" s="957"/>
      <c r="T107" s="1043"/>
      <c r="U107" s="959"/>
      <c r="V107" s="953"/>
      <c r="W107" s="957"/>
      <c r="X107" s="1043"/>
      <c r="Y107" s="956"/>
      <c r="Z107" s="459"/>
      <c r="AA107" s="470"/>
      <c r="AB107" s="955"/>
      <c r="AC107" s="961"/>
      <c r="AD107" s="459"/>
      <c r="AE107" s="485"/>
      <c r="AF107" s="955"/>
      <c r="AG107" s="1044"/>
      <c r="AH107" s="996"/>
      <c r="AI107" s="960"/>
      <c r="AJ107" s="955"/>
      <c r="AK107" s="964"/>
      <c r="AL107" s="467"/>
      <c r="AM107" s="470"/>
      <c r="AN107" s="955"/>
      <c r="AO107" s="961"/>
      <c r="AP107" s="467"/>
      <c r="AQ107" s="470"/>
      <c r="AR107" s="955"/>
      <c r="AS107" s="463"/>
      <c r="AT107" s="467"/>
      <c r="AU107" s="470"/>
      <c r="AV107" s="955"/>
      <c r="AW107" s="468"/>
      <c r="AX107" s="467"/>
      <c r="AY107" s="470"/>
      <c r="AZ107" s="955"/>
      <c r="BA107" s="463">
        <v>1200</v>
      </c>
      <c r="BB107" s="463">
        <f t="shared" si="111"/>
        <v>1200</v>
      </c>
      <c r="BC107" s="470"/>
      <c r="BD107" s="962"/>
      <c r="BE107" s="1045"/>
      <c r="BF107" s="231"/>
    </row>
    <row r="108" spans="1:60" s="146" customFormat="1" x14ac:dyDescent="0.25">
      <c r="B108" s="1034">
        <v>33263</v>
      </c>
      <c r="C108" s="1035"/>
      <c r="D108" s="950" t="s">
        <v>3714</v>
      </c>
      <c r="E108" s="1036"/>
      <c r="F108" s="1037"/>
      <c r="G108" s="1038"/>
      <c r="H108" s="1039"/>
      <c r="I108" s="1040"/>
      <c r="J108" s="953"/>
      <c r="K108" s="1041"/>
      <c r="L108" s="955"/>
      <c r="M108" s="1042"/>
      <c r="N108" s="953"/>
      <c r="O108" s="957"/>
      <c r="P108" s="955"/>
      <c r="Q108" s="991"/>
      <c r="R108" s="958"/>
      <c r="S108" s="957"/>
      <c r="T108" s="1043"/>
      <c r="U108" s="959"/>
      <c r="V108" s="953"/>
      <c r="W108" s="957"/>
      <c r="X108" s="1043"/>
      <c r="Y108" s="956"/>
      <c r="Z108" s="459"/>
      <c r="AA108" s="470"/>
      <c r="AB108" s="955"/>
      <c r="AC108" s="961"/>
      <c r="AD108" s="459"/>
      <c r="AE108" s="485"/>
      <c r="AF108" s="955"/>
      <c r="AG108" s="1044"/>
      <c r="AH108" s="996"/>
      <c r="AI108" s="960"/>
      <c r="AJ108" s="955"/>
      <c r="AK108" s="964"/>
      <c r="AL108" s="467"/>
      <c r="AM108" s="470"/>
      <c r="AN108" s="955"/>
      <c r="AO108" s="961"/>
      <c r="AP108" s="467"/>
      <c r="AQ108" s="470"/>
      <c r="AR108" s="955"/>
      <c r="AS108" s="463"/>
      <c r="AT108" s="467"/>
      <c r="AU108" s="470"/>
      <c r="AV108" s="955"/>
      <c r="AW108" s="468"/>
      <c r="AX108" s="467"/>
      <c r="AY108" s="470"/>
      <c r="AZ108" s="955"/>
      <c r="BA108" s="463">
        <v>2483255</v>
      </c>
      <c r="BB108" s="463">
        <f t="shared" si="111"/>
        <v>2483255</v>
      </c>
      <c r="BC108" s="470"/>
      <c r="BD108" s="962"/>
      <c r="BE108" s="1045"/>
      <c r="BF108" s="231"/>
    </row>
    <row r="109" spans="1:60" s="146" customFormat="1" ht="16.5" thickBot="1" x14ac:dyDescent="0.3">
      <c r="B109" s="426">
        <v>54448</v>
      </c>
      <c r="C109" s="524"/>
      <c r="D109" s="525" t="s">
        <v>3675</v>
      </c>
      <c r="E109" s="526"/>
      <c r="F109" s="527"/>
      <c r="G109" s="528"/>
      <c r="H109" s="461"/>
      <c r="I109" s="438"/>
      <c r="J109" s="438"/>
      <c r="K109" s="438"/>
      <c r="L109" s="461"/>
      <c r="M109" s="484"/>
      <c r="N109" s="472"/>
      <c r="O109" s="481"/>
      <c r="P109" s="461"/>
      <c r="Q109" s="832"/>
      <c r="R109" s="482"/>
      <c r="S109" s="481"/>
      <c r="T109" s="461"/>
      <c r="U109" s="814"/>
      <c r="V109" s="472"/>
      <c r="W109" s="481"/>
      <c r="X109" s="461"/>
      <c r="Y109" s="484">
        <v>7200</v>
      </c>
      <c r="Z109" s="459">
        <f t="shared" si="109"/>
        <v>7200</v>
      </c>
      <c r="AA109" s="470"/>
      <c r="AB109" s="461">
        <v>0</v>
      </c>
      <c r="AC109" s="486">
        <v>8125</v>
      </c>
      <c r="AD109" s="459">
        <f t="shared" si="110"/>
        <v>8125</v>
      </c>
      <c r="AE109" s="485"/>
      <c r="AF109" s="461">
        <v>0</v>
      </c>
      <c r="AG109" s="461">
        <v>6100</v>
      </c>
      <c r="AH109" s="461">
        <f>AG109-AF109</f>
        <v>6100</v>
      </c>
      <c r="AI109" s="473"/>
      <c r="AJ109" s="461">
        <v>0</v>
      </c>
      <c r="AK109" s="864">
        <v>6850</v>
      </c>
      <c r="AL109" s="467">
        <f>AK109-AJ109</f>
        <v>6850</v>
      </c>
      <c r="AM109" s="470"/>
      <c r="AN109" s="461">
        <v>0</v>
      </c>
      <c r="AO109" s="486">
        <v>25317.31</v>
      </c>
      <c r="AP109" s="467">
        <f>AO109-AN109</f>
        <v>25317.31</v>
      </c>
      <c r="AQ109" s="470"/>
      <c r="AR109" s="461">
        <v>0</v>
      </c>
      <c r="AS109" s="463">
        <v>6175</v>
      </c>
      <c r="AT109" s="467">
        <f>AS109-AR109</f>
        <v>6175</v>
      </c>
      <c r="AU109" s="470">
        <v>0</v>
      </c>
      <c r="AV109" s="461">
        <v>0</v>
      </c>
      <c r="AW109" s="468">
        <v>7475</v>
      </c>
      <c r="AX109" s="467">
        <f>AW109-AV109</f>
        <v>7475</v>
      </c>
      <c r="AY109" s="470"/>
      <c r="AZ109" s="461">
        <v>0</v>
      </c>
      <c r="BA109" s="463">
        <v>4425</v>
      </c>
      <c r="BB109" s="463">
        <f t="shared" si="111"/>
        <v>4425</v>
      </c>
      <c r="BC109" s="470"/>
      <c r="BD109" s="866">
        <f t="shared" si="84"/>
        <v>0</v>
      </c>
      <c r="BE109" s="867">
        <f t="shared" si="85"/>
        <v>71667.31</v>
      </c>
      <c r="BF109" s="231"/>
    </row>
    <row r="110" spans="1:60" s="11" customFormat="1" ht="16.5" thickBot="1" x14ac:dyDescent="0.3">
      <c r="B110" s="161"/>
      <c r="E110" s="333"/>
      <c r="F110" s="162"/>
      <c r="G110" s="333"/>
      <c r="H110" s="418"/>
      <c r="I110" s="419"/>
      <c r="J110" s="118"/>
      <c r="K110" s="464"/>
      <c r="L110" s="119"/>
      <c r="M110" s="119"/>
      <c r="N110" s="466"/>
      <c r="O110" s="119"/>
      <c r="P110" s="119"/>
      <c r="Q110" s="119"/>
      <c r="R110" s="118"/>
      <c r="S110" s="119"/>
      <c r="T110" s="119"/>
      <c r="U110" s="119"/>
      <c r="V110" s="118"/>
      <c r="W110" s="119"/>
      <c r="X110" s="119"/>
      <c r="Y110" s="119"/>
      <c r="Z110" s="118"/>
      <c r="AA110" s="119"/>
      <c r="AB110" s="119"/>
      <c r="AC110" s="119"/>
      <c r="AD110" s="119"/>
      <c r="AE110" s="119"/>
      <c r="AF110" s="119"/>
      <c r="AG110" s="119"/>
      <c r="AH110" s="119"/>
      <c r="AI110" s="119"/>
      <c r="AJ110" s="119"/>
      <c r="AK110" s="119"/>
      <c r="AL110" s="119"/>
      <c r="AM110" s="119"/>
      <c r="AN110" s="119"/>
      <c r="AO110" s="119"/>
      <c r="AP110" s="119"/>
      <c r="AQ110" s="119"/>
      <c r="AR110" s="119"/>
      <c r="AS110" s="119"/>
      <c r="AT110" s="119"/>
      <c r="AU110" s="119"/>
      <c r="AV110" s="119"/>
      <c r="AW110" s="119"/>
      <c r="AX110" s="119"/>
      <c r="AY110" s="420"/>
      <c r="AZ110" s="119"/>
      <c r="BA110" s="119"/>
      <c r="BB110" s="119"/>
      <c r="BC110" s="119"/>
      <c r="BD110" s="420"/>
      <c r="BE110" s="119"/>
      <c r="BF110" s="63"/>
    </row>
    <row r="111" spans="1:60" s="11" customFormat="1" ht="16.5" thickBot="1" x14ac:dyDescent="0.3">
      <c r="B111" s="165"/>
      <c r="C111" s="41"/>
      <c r="D111" s="49" t="s">
        <v>169</v>
      </c>
      <c r="E111" s="50"/>
      <c r="F111" s="50"/>
      <c r="G111" s="406"/>
      <c r="H111" s="478">
        <f>SUM(H112:H121)</f>
        <v>196416.62254166667</v>
      </c>
      <c r="I111" s="532">
        <f>SUM(I112:I121)</f>
        <v>161101.53</v>
      </c>
      <c r="J111" s="530">
        <f t="shared" ref="J111:J121" si="112">I111-H111</f>
        <v>-35315.092541666672</v>
      </c>
      <c r="K111" s="533">
        <f t="shared" ref="K111:K121" si="113">((I111/H111)-1)*100</f>
        <v>-17.979686283514596</v>
      </c>
      <c r="L111" s="534">
        <f>SUM(L112:L121)</f>
        <v>196416.62254166667</v>
      </c>
      <c r="M111" s="392">
        <f>SUM(M112:M121)</f>
        <v>158940.07</v>
      </c>
      <c r="N111" s="392">
        <f>M111-L111</f>
        <v>-37476.552541666664</v>
      </c>
      <c r="O111" s="393">
        <f>((M111/L111)-1)*100</f>
        <v>-19.080132860810494</v>
      </c>
      <c r="P111" s="534">
        <f>SUM(P112:P121)</f>
        <v>196416.62254166667</v>
      </c>
      <c r="Q111" s="392">
        <f>SUM(Q112:Q121)</f>
        <v>177917.46999999997</v>
      </c>
      <c r="R111" s="392">
        <f>Q111-P111</f>
        <v>-18499.152541666699</v>
      </c>
      <c r="S111" s="393">
        <f>((Q111/P111)-1)*100</f>
        <v>-9.418323308019616</v>
      </c>
      <c r="T111" s="534">
        <f>SUM(T112:T121)</f>
        <v>196416.62254166667</v>
      </c>
      <c r="U111" s="392">
        <f>SUM(U112:U121)</f>
        <v>151637.91</v>
      </c>
      <c r="V111" s="392">
        <f>U111-T111</f>
        <v>-44778.712541666668</v>
      </c>
      <c r="W111" s="393">
        <f>((U111/T111)-1)*100</f>
        <v>-22.797822283176451</v>
      </c>
      <c r="X111" s="534">
        <f>SUM(X112:X121)</f>
        <v>146298.65504166667</v>
      </c>
      <c r="Y111" s="392">
        <f>SUM(Y112:Y121)</f>
        <v>137468.50999999998</v>
      </c>
      <c r="Z111" s="392">
        <f>Y111-X111</f>
        <v>-8830.1450416666921</v>
      </c>
      <c r="AA111" s="393">
        <f>((Y111/X111)-1)*100</f>
        <v>-6.0356980309571711</v>
      </c>
      <c r="AB111" s="534">
        <f>SUM(AB112:AB121)</f>
        <v>151298.65504166667</v>
      </c>
      <c r="AC111" s="392">
        <f>SUM(AC112:AC121)</f>
        <v>150518.21999999997</v>
      </c>
      <c r="AD111" s="392">
        <f>AC111-AB111</f>
        <v>-780.43504166670027</v>
      </c>
      <c r="AE111" s="393">
        <f>((AC111/AB111)-1)*100</f>
        <v>-0.51582417666024005</v>
      </c>
      <c r="AF111" s="534">
        <f>SUM(AF112:AF121)</f>
        <v>151298.65504166667</v>
      </c>
      <c r="AG111" s="392">
        <f>SUM(AG112:AG121)</f>
        <v>123915.70000000001</v>
      </c>
      <c r="AH111" s="392">
        <f>AG111-AF111</f>
        <v>-27382.955041666661</v>
      </c>
      <c r="AI111" s="393">
        <f>((AG111/AF111)-1)*100</f>
        <v>-18.098611011529197</v>
      </c>
      <c r="AJ111" s="534">
        <f>SUM(AJ112:AJ121)</f>
        <v>151298.65504166667</v>
      </c>
      <c r="AK111" s="392">
        <f>SUM(AK112:AK121)</f>
        <v>160646.24000000005</v>
      </c>
      <c r="AL111" s="392">
        <f>AK111-AJ111</f>
        <v>9347.5849583333766</v>
      </c>
      <c r="AM111" s="393">
        <f>((AK111/AJ111)-1)*100</f>
        <v>6.1782340072746189</v>
      </c>
      <c r="AN111" s="395">
        <f>SUM(AN112:AN121)</f>
        <v>151298.65504166667</v>
      </c>
      <c r="AO111" s="396">
        <f>SUM(AO112:AO121)</f>
        <v>217803.59999999998</v>
      </c>
      <c r="AP111" s="392">
        <f>AO111-AN111</f>
        <v>66504.944958333304</v>
      </c>
      <c r="AQ111" s="393">
        <f>((AO111/AN111)-1)*100</f>
        <v>43.956071479960123</v>
      </c>
      <c r="AR111" s="395">
        <f>SUM(AR112:AR121)</f>
        <v>151298.65504166667</v>
      </c>
      <c r="AS111" s="396">
        <f>SUM(AS112:AS121)</f>
        <v>215927.36000000004</v>
      </c>
      <c r="AT111" s="392">
        <f>AS111-AR111</f>
        <v>64628.704958333372</v>
      </c>
      <c r="AU111" s="393">
        <f>((AS111/AR111)-1)*100</f>
        <v>42.715981143741864</v>
      </c>
      <c r="AV111" s="395">
        <f>SUM(AV112:AV121)</f>
        <v>151298.65504166667</v>
      </c>
      <c r="AW111" s="396">
        <f>SUM(AW112:AW121)</f>
        <v>155426.35999999999</v>
      </c>
      <c r="AX111" s="392">
        <f>AW111-AV111</f>
        <v>4127.7049583333137</v>
      </c>
      <c r="AY111" s="393">
        <f>((AW111/AV111)-1)*100</f>
        <v>2.7281835104195462</v>
      </c>
      <c r="AZ111" s="395">
        <f>SUM(AZ112:AZ121)</f>
        <v>151298.65504166667</v>
      </c>
      <c r="BA111" s="396">
        <f>SUM(BA112:BA121)</f>
        <v>162693.34</v>
      </c>
      <c r="BB111" s="392">
        <f>BA111-AZ111</f>
        <v>11394.684958333324</v>
      </c>
      <c r="BC111" s="530">
        <f>((BA111/AZ111)-1)*100</f>
        <v>7.5312533050576613</v>
      </c>
      <c r="BD111" s="395">
        <f>+AF111+AJ111+AN111+AR111+AV111+AZ111+AB111+X111+U111+Q111+M111+I111</f>
        <v>1854986.2203333334</v>
      </c>
      <c r="BE111" s="531">
        <f t="shared" ref="BE111:BE121" si="114">SUM(I111+M111+Q111+U111+Y111+AC111+AG111+AK111+AO111+AS111+AW111+BA111)</f>
        <v>1973996.3100000003</v>
      </c>
      <c r="BF111" s="63"/>
    </row>
    <row r="112" spans="1:60" s="119" customFormat="1" x14ac:dyDescent="0.25">
      <c r="B112" s="170">
        <v>12293</v>
      </c>
      <c r="C112" s="135">
        <v>283</v>
      </c>
      <c r="D112" s="331" t="s">
        <v>195</v>
      </c>
      <c r="E112" s="341"/>
      <c r="F112" s="256"/>
      <c r="G112" s="535"/>
      <c r="H112" s="212">
        <v>37779.135625000003</v>
      </c>
      <c r="I112" s="87">
        <v>23943</v>
      </c>
      <c r="J112" s="138">
        <f t="shared" si="112"/>
        <v>-13836.135625000003</v>
      </c>
      <c r="K112" s="371">
        <f t="shared" si="113"/>
        <v>-36.623748521774182</v>
      </c>
      <c r="L112" s="212">
        <v>37779.135625000003</v>
      </c>
      <c r="M112" s="137">
        <v>38248.97</v>
      </c>
      <c r="N112" s="137">
        <f>M112-L112</f>
        <v>469.83437499999854</v>
      </c>
      <c r="O112" s="237">
        <f t="shared" ref="O112:O121" si="115">((M112/L112)-1)*100</f>
        <v>1.2436345279670524</v>
      </c>
      <c r="P112" s="212">
        <v>37779.135625000003</v>
      </c>
      <c r="Q112" s="137">
        <v>33176.57</v>
      </c>
      <c r="R112" s="137">
        <f>Q112-P112</f>
        <v>-4602.5656250000029</v>
      </c>
      <c r="S112" s="237">
        <f t="shared" ref="S112:S121" si="116">((Q112/P112)-1)*100</f>
        <v>-12.182824061105036</v>
      </c>
      <c r="T112" s="212">
        <v>37779.135625000003</v>
      </c>
      <c r="U112" s="137">
        <v>20837.13</v>
      </c>
      <c r="V112" s="137">
        <f>U112-T112</f>
        <v>-16942.005625000002</v>
      </c>
      <c r="W112" s="237">
        <f t="shared" ref="W112:W121" si="117">((U112/T112)-1)*100</f>
        <v>-44.844873617989244</v>
      </c>
      <c r="X112" s="212">
        <v>25000</v>
      </c>
      <c r="Y112" s="137">
        <v>23417.13</v>
      </c>
      <c r="Z112" s="137">
        <f>Y112-X112</f>
        <v>-1582.869999999999</v>
      </c>
      <c r="AA112" s="237">
        <f t="shared" ref="AA112:AA121" si="118">((Y112/X112)-1)*100</f>
        <v>-6.3314800000000009</v>
      </c>
      <c r="AB112" s="212">
        <v>30000</v>
      </c>
      <c r="AC112" s="137">
        <v>27156.59</v>
      </c>
      <c r="AD112" s="137">
        <f>AC112-AB112</f>
        <v>-2843.41</v>
      </c>
      <c r="AE112" s="237">
        <f t="shared" ref="AE112:AE121" si="119">((AC112/AB112)-1)*100</f>
        <v>-9.478033333333336</v>
      </c>
      <c r="AF112" s="212">
        <v>30000</v>
      </c>
      <c r="AG112" s="212">
        <v>30093.47</v>
      </c>
      <c r="AH112" s="137">
        <f>AG112-AF112</f>
        <v>93.470000000001164</v>
      </c>
      <c r="AI112" s="237">
        <f t="shared" ref="AI112:AI121" si="120">((AG112/AF112)-1)*100</f>
        <v>0.31156666666667387</v>
      </c>
      <c r="AJ112" s="212">
        <v>30000</v>
      </c>
      <c r="AK112" s="212">
        <v>33490.47</v>
      </c>
      <c r="AL112" s="169">
        <f t="shared" ref="AL112:AL121" si="121">AK112-AJ112</f>
        <v>3490.4700000000012</v>
      </c>
      <c r="AM112" s="237">
        <f t="shared" ref="AM112:AM121" si="122">((AK112/AJ112)-1)*100</f>
        <v>11.634900000000004</v>
      </c>
      <c r="AN112" s="212">
        <v>30000</v>
      </c>
      <c r="AO112" s="176">
        <v>35357.980000000003</v>
      </c>
      <c r="AP112" s="169">
        <f t="shared" ref="AP112:AP121" si="123">AO112-AN112</f>
        <v>5357.9800000000032</v>
      </c>
      <c r="AQ112" s="237">
        <f t="shared" ref="AQ112:AQ121" si="124">((AO112/AN112)-1)*100</f>
        <v>17.859933333333334</v>
      </c>
      <c r="AR112" s="212">
        <v>30000</v>
      </c>
      <c r="AS112" s="176">
        <v>36337.269999999997</v>
      </c>
      <c r="AT112" s="169">
        <f t="shared" ref="AT112:AT121" si="125">AS112-AR112</f>
        <v>6337.2699999999968</v>
      </c>
      <c r="AU112" s="237">
        <f t="shared" ref="AU112:AU121" si="126">((AS112/AR112)-1)*100</f>
        <v>21.124233333333329</v>
      </c>
      <c r="AV112" s="212">
        <v>30000</v>
      </c>
      <c r="AW112" s="212">
        <v>33456.31</v>
      </c>
      <c r="AX112" s="169">
        <f t="shared" ref="AX112:AX121" si="127">AW112-AV112</f>
        <v>3456.3099999999977</v>
      </c>
      <c r="AY112" s="237">
        <f t="shared" ref="AY112:AY121" si="128">((AW112/AV112)-1)*100</f>
        <v>11.521033333333319</v>
      </c>
      <c r="AZ112" s="212">
        <v>30000</v>
      </c>
      <c r="BA112" s="176">
        <v>33003.449999999997</v>
      </c>
      <c r="BB112" s="137">
        <f>BA112-AZ112</f>
        <v>3003.4499999999971</v>
      </c>
      <c r="BC112" s="138">
        <f t="shared" ref="BC112:BC121" si="129">((BA112/AZ112)-1)*100</f>
        <v>10.011499999999995</v>
      </c>
      <c r="BD112" s="243">
        <f>+AF112+AJ112+AN112+AR112+AV112+AZ112+AB112+X112+U112+Q112+M112+I112</f>
        <v>351205.67000000004</v>
      </c>
      <c r="BE112" s="177">
        <f t="shared" si="114"/>
        <v>368518.34</v>
      </c>
      <c r="BF112" s="118"/>
    </row>
    <row r="113" spans="2:60" s="119" customFormat="1" x14ac:dyDescent="0.25">
      <c r="B113" s="170">
        <v>12303</v>
      </c>
      <c r="C113" s="135">
        <v>201</v>
      </c>
      <c r="D113" s="332" t="s">
        <v>196</v>
      </c>
      <c r="E113" s="341"/>
      <c r="F113" s="256"/>
      <c r="G113" s="535"/>
      <c r="H113" s="212">
        <v>7716.9111250000005</v>
      </c>
      <c r="I113" s="87">
        <v>8420.6200000000008</v>
      </c>
      <c r="J113" s="138">
        <f t="shared" si="112"/>
        <v>703.70887500000026</v>
      </c>
      <c r="K113" s="371">
        <f t="shared" si="113"/>
        <v>9.1190485882393766</v>
      </c>
      <c r="L113" s="212">
        <v>7716.9111250000005</v>
      </c>
      <c r="M113" s="137">
        <v>9130.9</v>
      </c>
      <c r="N113" s="137">
        <f t="shared" ref="N113:N121" si="130">M113-L113</f>
        <v>1413.9888749999991</v>
      </c>
      <c r="O113" s="237">
        <f t="shared" si="115"/>
        <v>18.323249446519952</v>
      </c>
      <c r="P113" s="212">
        <v>7716.9111250000005</v>
      </c>
      <c r="Q113" s="137">
        <v>43327.62</v>
      </c>
      <c r="R113" s="137">
        <f t="shared" ref="R113:R121" si="131">Q113-P113</f>
        <v>35610.708875000004</v>
      </c>
      <c r="S113" s="237">
        <f t="shared" si="116"/>
        <v>461.46324997360909</v>
      </c>
      <c r="T113" s="212">
        <v>7716.9111250000005</v>
      </c>
      <c r="U113" s="137">
        <v>17626.96</v>
      </c>
      <c r="V113" s="137">
        <f t="shared" ref="V113:V121" si="132">U113-T113</f>
        <v>9910.0488749999986</v>
      </c>
      <c r="W113" s="237">
        <f t="shared" si="117"/>
        <v>128.41989125538876</v>
      </c>
      <c r="X113" s="212">
        <v>7716.9111250000005</v>
      </c>
      <c r="Y113" s="137">
        <v>12421.13</v>
      </c>
      <c r="Z113" s="137">
        <f t="shared" ref="Z113:Z121" si="133">Y113-X113</f>
        <v>4704.2188749999987</v>
      </c>
      <c r="AA113" s="237">
        <f t="shared" si="118"/>
        <v>60.959868512156781</v>
      </c>
      <c r="AB113" s="212">
        <v>7716.9111250000005</v>
      </c>
      <c r="AC113" s="137">
        <v>24696.6</v>
      </c>
      <c r="AD113" s="137">
        <f t="shared" ref="AD113:AD121" si="134">AC113-AB113</f>
        <v>16979.688875</v>
      </c>
      <c r="AE113" s="237">
        <f t="shared" si="119"/>
        <v>220.0321942284906</v>
      </c>
      <c r="AF113" s="212">
        <v>7716.9111250000005</v>
      </c>
      <c r="AG113" s="212">
        <v>3616.05</v>
      </c>
      <c r="AH113" s="137">
        <f t="shared" ref="AH113:AH121" si="135">AG113-AF113</f>
        <v>-4100.8611250000004</v>
      </c>
      <c r="AI113" s="237">
        <f t="shared" si="120"/>
        <v>-53.141225272307381</v>
      </c>
      <c r="AJ113" s="212">
        <v>7716.9111250000005</v>
      </c>
      <c r="AK113" s="212">
        <v>18953.82</v>
      </c>
      <c r="AL113" s="169">
        <f t="shared" si="121"/>
        <v>11236.908874999999</v>
      </c>
      <c r="AM113" s="237">
        <f t="shared" si="122"/>
        <v>145.61407657782243</v>
      </c>
      <c r="AN113" s="212">
        <v>7716.9111250000005</v>
      </c>
      <c r="AO113" s="176">
        <v>35189.24</v>
      </c>
      <c r="AP113" s="169">
        <f t="shared" si="123"/>
        <v>27472.328874999999</v>
      </c>
      <c r="AQ113" s="237">
        <f t="shared" si="124"/>
        <v>356.00162331790489</v>
      </c>
      <c r="AR113" s="212">
        <v>7716.9111250000005</v>
      </c>
      <c r="AS113" s="176">
        <v>6467.3</v>
      </c>
      <c r="AT113" s="169">
        <f t="shared" si="125"/>
        <v>-1249.6111250000004</v>
      </c>
      <c r="AU113" s="237">
        <f t="shared" si="126"/>
        <v>-16.193151699670516</v>
      </c>
      <c r="AV113" s="212">
        <v>7716.9111250000005</v>
      </c>
      <c r="AW113" s="212">
        <v>3787.34</v>
      </c>
      <c r="AX113" s="169">
        <f t="shared" si="127"/>
        <v>-3929.5711250000004</v>
      </c>
      <c r="AY113" s="237">
        <f t="shared" si="128"/>
        <v>-50.921554769104581</v>
      </c>
      <c r="AZ113" s="212">
        <v>7716.9111250000005</v>
      </c>
      <c r="BA113" s="176">
        <v>13314.2</v>
      </c>
      <c r="BB113" s="137">
        <f>BA113-AZ113</f>
        <v>5597.2888750000002</v>
      </c>
      <c r="BC113" s="138">
        <f t="shared" si="129"/>
        <v>72.532763230443436</v>
      </c>
      <c r="BD113" s="243">
        <f t="shared" ref="BD113:BD121" si="136">+AF113+AJ113+AN113+AR113+AV113+AZ113+AB113+X113+U113+Q113+M113+I113</f>
        <v>140241.389</v>
      </c>
      <c r="BE113" s="177">
        <f t="shared" si="114"/>
        <v>196951.78</v>
      </c>
      <c r="BF113" s="118"/>
    </row>
    <row r="114" spans="2:60" s="119" customFormat="1" x14ac:dyDescent="0.25">
      <c r="B114" s="170">
        <v>11528</v>
      </c>
      <c r="C114" s="135">
        <v>281</v>
      </c>
      <c r="D114" s="332" t="s">
        <v>197</v>
      </c>
      <c r="E114" s="341"/>
      <c r="F114" s="536"/>
      <c r="G114" s="535"/>
      <c r="H114" s="212">
        <v>6996.5</v>
      </c>
      <c r="I114" s="87">
        <v>5878</v>
      </c>
      <c r="J114" s="138">
        <f t="shared" si="112"/>
        <v>-1118.5</v>
      </c>
      <c r="K114" s="371">
        <f t="shared" si="113"/>
        <v>-15.986564710926887</v>
      </c>
      <c r="L114" s="212">
        <v>6996.5</v>
      </c>
      <c r="M114" s="137">
        <v>6328</v>
      </c>
      <c r="N114" s="137">
        <f>M114-L114</f>
        <v>-668.5</v>
      </c>
      <c r="O114" s="237">
        <f t="shared" si="115"/>
        <v>-9.5547773886943475</v>
      </c>
      <c r="P114" s="212">
        <v>6996.5</v>
      </c>
      <c r="Q114" s="137">
        <v>6378</v>
      </c>
      <c r="R114" s="137">
        <f>Q114-P114</f>
        <v>-618.5</v>
      </c>
      <c r="S114" s="237">
        <f t="shared" si="116"/>
        <v>-8.8401343528907272</v>
      </c>
      <c r="T114" s="212">
        <v>6996.5</v>
      </c>
      <c r="U114" s="137">
        <v>6378</v>
      </c>
      <c r="V114" s="137">
        <f>U114-T114</f>
        <v>-618.5</v>
      </c>
      <c r="W114" s="237">
        <f t="shared" si="117"/>
        <v>-8.8401343528907272</v>
      </c>
      <c r="X114" s="212">
        <v>6996.5</v>
      </c>
      <c r="Y114" s="137">
        <v>6478</v>
      </c>
      <c r="Z114" s="137">
        <f>Y114-X114</f>
        <v>-518.5</v>
      </c>
      <c r="AA114" s="237">
        <f t="shared" si="118"/>
        <v>-7.4108482812834993</v>
      </c>
      <c r="AB114" s="212">
        <v>6996.5</v>
      </c>
      <c r="AC114" s="137">
        <v>5878</v>
      </c>
      <c r="AD114" s="137">
        <f>AC114-AB114</f>
        <v>-1118.5</v>
      </c>
      <c r="AE114" s="237">
        <f t="shared" si="119"/>
        <v>-15.986564710926887</v>
      </c>
      <c r="AF114" s="212">
        <v>6996.5</v>
      </c>
      <c r="AG114" s="212">
        <v>5878</v>
      </c>
      <c r="AH114" s="137">
        <f>AG114-AF114</f>
        <v>-1118.5</v>
      </c>
      <c r="AI114" s="237">
        <f t="shared" si="120"/>
        <v>-15.986564710926887</v>
      </c>
      <c r="AJ114" s="212">
        <v>6996.5</v>
      </c>
      <c r="AK114" s="212">
        <v>5878</v>
      </c>
      <c r="AL114" s="169">
        <f t="shared" si="121"/>
        <v>-1118.5</v>
      </c>
      <c r="AM114" s="237">
        <f t="shared" si="122"/>
        <v>-15.986564710926887</v>
      </c>
      <c r="AN114" s="212">
        <v>6996.5</v>
      </c>
      <c r="AO114" s="176">
        <v>6958</v>
      </c>
      <c r="AP114" s="169">
        <f t="shared" si="123"/>
        <v>-38.5</v>
      </c>
      <c r="AQ114" s="237">
        <f t="shared" si="124"/>
        <v>-0.55027513756878976</v>
      </c>
      <c r="AR114" s="212">
        <v>6996.5</v>
      </c>
      <c r="AS114" s="176">
        <v>6958</v>
      </c>
      <c r="AT114" s="169">
        <f t="shared" si="125"/>
        <v>-38.5</v>
      </c>
      <c r="AU114" s="237">
        <f t="shared" si="126"/>
        <v>-0.55027513756878976</v>
      </c>
      <c r="AV114" s="212">
        <v>6996.5</v>
      </c>
      <c r="AW114" s="212">
        <v>5878</v>
      </c>
      <c r="AX114" s="169">
        <f t="shared" si="127"/>
        <v>-1118.5</v>
      </c>
      <c r="AY114" s="237">
        <f t="shared" si="128"/>
        <v>-15.986564710926887</v>
      </c>
      <c r="AZ114" s="212">
        <v>6996.5</v>
      </c>
      <c r="BA114" s="176">
        <v>6478</v>
      </c>
      <c r="BB114" s="137">
        <f t="shared" ref="BB114:BB121" si="137">BA114-AZ114</f>
        <v>-518.5</v>
      </c>
      <c r="BC114" s="138">
        <f t="shared" si="129"/>
        <v>-7.4108482812834993</v>
      </c>
      <c r="BD114" s="243">
        <f t="shared" si="136"/>
        <v>80934</v>
      </c>
      <c r="BE114" s="177">
        <f t="shared" si="114"/>
        <v>75346</v>
      </c>
      <c r="BF114" s="118"/>
    </row>
    <row r="115" spans="2:60" s="119" customFormat="1" x14ac:dyDescent="0.25">
      <c r="B115" s="170" t="s">
        <v>3624</v>
      </c>
      <c r="C115" s="135">
        <v>212</v>
      </c>
      <c r="D115" s="332" t="s">
        <v>331</v>
      </c>
      <c r="E115" s="341"/>
      <c r="F115" s="256"/>
      <c r="G115" s="535"/>
      <c r="H115" s="212">
        <v>76867.808999999994</v>
      </c>
      <c r="I115" s="87">
        <f>20409.66+30515.82</f>
        <v>50925.479999999996</v>
      </c>
      <c r="J115" s="138">
        <f t="shared" si="112"/>
        <v>-25942.328999999998</v>
      </c>
      <c r="K115" s="371">
        <f t="shared" si="113"/>
        <v>-33.749275981054694</v>
      </c>
      <c r="L115" s="212">
        <v>76867.808999999994</v>
      </c>
      <c r="M115" s="137">
        <f>19703.91+27389.09</f>
        <v>47093</v>
      </c>
      <c r="N115" s="137">
        <f t="shared" si="130"/>
        <v>-29774.808999999994</v>
      </c>
      <c r="O115" s="237">
        <f t="shared" si="115"/>
        <v>-38.735082198062912</v>
      </c>
      <c r="P115" s="212">
        <v>76867.808999999994</v>
      </c>
      <c r="Q115" s="137">
        <f>17183.98+28453.85</f>
        <v>45637.83</v>
      </c>
      <c r="R115" s="137">
        <f t="shared" si="131"/>
        <v>-31229.978999999992</v>
      </c>
      <c r="S115" s="237">
        <f t="shared" si="116"/>
        <v>-40.628163344684374</v>
      </c>
      <c r="T115" s="212">
        <v>76867.808999999994</v>
      </c>
      <c r="U115" s="137">
        <v>55394.59</v>
      </c>
      <c r="V115" s="137">
        <f t="shared" si="132"/>
        <v>-21473.218999999997</v>
      </c>
      <c r="W115" s="237">
        <f t="shared" si="117"/>
        <v>-27.935255706325645</v>
      </c>
      <c r="X115" s="212">
        <v>50000</v>
      </c>
      <c r="Y115" s="137">
        <f>20383.5+22078.85</f>
        <v>42462.35</v>
      </c>
      <c r="Z115" s="137">
        <f t="shared" si="133"/>
        <v>-7537.6500000000015</v>
      </c>
      <c r="AA115" s="237">
        <f t="shared" si="118"/>
        <v>-15.075300000000002</v>
      </c>
      <c r="AB115" s="212">
        <v>50000</v>
      </c>
      <c r="AC115" s="137">
        <v>45188.14</v>
      </c>
      <c r="AD115" s="137">
        <f t="shared" si="134"/>
        <v>-4811.8600000000006</v>
      </c>
      <c r="AE115" s="237">
        <f t="shared" si="119"/>
        <v>-9.6237200000000023</v>
      </c>
      <c r="AF115" s="212">
        <v>50000</v>
      </c>
      <c r="AG115" s="212">
        <v>44654</v>
      </c>
      <c r="AH115" s="137">
        <f t="shared" si="135"/>
        <v>-5346</v>
      </c>
      <c r="AI115" s="237">
        <f t="shared" si="120"/>
        <v>-10.692000000000002</v>
      </c>
      <c r="AJ115" s="212">
        <v>50000</v>
      </c>
      <c r="AK115" s="212">
        <v>73675.16</v>
      </c>
      <c r="AL115" s="169">
        <f t="shared" si="121"/>
        <v>23675.160000000003</v>
      </c>
      <c r="AM115" s="237">
        <f t="shared" si="122"/>
        <v>47.350320000000011</v>
      </c>
      <c r="AN115" s="212">
        <v>50000</v>
      </c>
      <c r="AO115" s="176">
        <v>87064.1</v>
      </c>
      <c r="AP115" s="169">
        <f t="shared" si="123"/>
        <v>37064.100000000006</v>
      </c>
      <c r="AQ115" s="237">
        <f t="shared" si="124"/>
        <v>74.128200000000021</v>
      </c>
      <c r="AR115" s="212">
        <v>50000</v>
      </c>
      <c r="AS115" s="176">
        <v>117364.09</v>
      </c>
      <c r="AT115" s="169">
        <f t="shared" si="125"/>
        <v>67364.09</v>
      </c>
      <c r="AU115" s="237">
        <f t="shared" si="126"/>
        <v>134.72817999999998</v>
      </c>
      <c r="AV115" s="212">
        <v>50000</v>
      </c>
      <c r="AW115" s="212">
        <v>63399.83</v>
      </c>
      <c r="AX115" s="169">
        <f t="shared" si="127"/>
        <v>13399.830000000002</v>
      </c>
      <c r="AY115" s="237">
        <f t="shared" si="128"/>
        <v>26.799660000000003</v>
      </c>
      <c r="AZ115" s="212">
        <v>50000</v>
      </c>
      <c r="BA115" s="176">
        <v>61773.8</v>
      </c>
      <c r="BB115" s="137">
        <f t="shared" si="137"/>
        <v>11773.800000000003</v>
      </c>
      <c r="BC115" s="138">
        <f t="shared" si="129"/>
        <v>23.547600000000003</v>
      </c>
      <c r="BD115" s="243">
        <f t="shared" si="136"/>
        <v>599050.89999999991</v>
      </c>
      <c r="BE115" s="177">
        <f t="shared" si="114"/>
        <v>734632.37</v>
      </c>
      <c r="BF115" s="118"/>
    </row>
    <row r="116" spans="2:60" s="119" customFormat="1" x14ac:dyDescent="0.25">
      <c r="B116" s="170" t="s">
        <v>63</v>
      </c>
      <c r="C116" s="135" t="s">
        <v>64</v>
      </c>
      <c r="D116" s="332" t="s">
        <v>65</v>
      </c>
      <c r="E116" s="341"/>
      <c r="F116" s="256"/>
      <c r="G116" s="535"/>
      <c r="H116" s="212">
        <v>15859.153625000001</v>
      </c>
      <c r="I116" s="87">
        <f>0+15281.61</f>
        <v>15281.61</v>
      </c>
      <c r="J116" s="138">
        <f t="shared" si="112"/>
        <v>-577.54362500000025</v>
      </c>
      <c r="K116" s="371">
        <f t="shared" si="113"/>
        <v>-3.6417052174182452</v>
      </c>
      <c r="L116" s="212">
        <v>15859.153625000001</v>
      </c>
      <c r="M116" s="137">
        <f>1040+14901.56</f>
        <v>15941.56</v>
      </c>
      <c r="N116" s="137">
        <f t="shared" si="130"/>
        <v>82.406374999998661</v>
      </c>
      <c r="O116" s="237">
        <f t="shared" si="115"/>
        <v>0.51961395260144982</v>
      </c>
      <c r="P116" s="212">
        <v>15859.153625000001</v>
      </c>
      <c r="Q116" s="137">
        <f>0+15088.64</f>
        <v>15088.64</v>
      </c>
      <c r="R116" s="137">
        <f t="shared" si="131"/>
        <v>-770.51362500000141</v>
      </c>
      <c r="S116" s="237">
        <f t="shared" si="116"/>
        <v>-4.858478852146197</v>
      </c>
      <c r="T116" s="212">
        <v>15859.153625000001</v>
      </c>
      <c r="U116" s="137">
        <v>16777.02</v>
      </c>
      <c r="V116" s="137">
        <f t="shared" si="132"/>
        <v>917.86637499999961</v>
      </c>
      <c r="W116" s="237">
        <f t="shared" si="117"/>
        <v>5.7876126097492042</v>
      </c>
      <c r="X116" s="212">
        <v>15859.153625000001</v>
      </c>
      <c r="Y116" s="137">
        <f>1340+11329.51</f>
        <v>12669.51</v>
      </c>
      <c r="Z116" s="137">
        <f t="shared" si="133"/>
        <v>-3189.6436250000006</v>
      </c>
      <c r="AA116" s="237">
        <f t="shared" si="118"/>
        <v>-20.112319360926811</v>
      </c>
      <c r="AB116" s="212">
        <v>15859.153625000001</v>
      </c>
      <c r="AC116" s="137">
        <v>16096.69</v>
      </c>
      <c r="AD116" s="137">
        <f t="shared" si="134"/>
        <v>237.53637499999968</v>
      </c>
      <c r="AE116" s="237">
        <f t="shared" si="119"/>
        <v>1.4977872124622982</v>
      </c>
      <c r="AF116" s="212">
        <v>15859.153625000001</v>
      </c>
      <c r="AG116" s="212">
        <v>12069.94</v>
      </c>
      <c r="AH116" s="137">
        <f t="shared" si="135"/>
        <v>-3789.2136250000003</v>
      </c>
      <c r="AI116" s="237">
        <f t="shared" si="120"/>
        <v>-23.892912034263748</v>
      </c>
      <c r="AJ116" s="212">
        <v>15859.153625000001</v>
      </c>
      <c r="AK116" s="212">
        <v>8068.39</v>
      </c>
      <c r="AL116" s="169">
        <f t="shared" si="121"/>
        <v>-7790.7636250000005</v>
      </c>
      <c r="AM116" s="237">
        <f t="shared" si="122"/>
        <v>-49.124712511257997</v>
      </c>
      <c r="AN116" s="212">
        <v>15859.153625000001</v>
      </c>
      <c r="AO116" s="176">
        <v>14514.07</v>
      </c>
      <c r="AP116" s="169">
        <f t="shared" si="123"/>
        <v>-1345.0836250000011</v>
      </c>
      <c r="AQ116" s="237">
        <f t="shared" si="124"/>
        <v>-8.4814338570984198</v>
      </c>
      <c r="AR116" s="212">
        <v>15859.153625000001</v>
      </c>
      <c r="AS116" s="176">
        <v>7927.66</v>
      </c>
      <c r="AT116" s="169">
        <f t="shared" si="125"/>
        <v>-7931.493625000001</v>
      </c>
      <c r="AU116" s="237">
        <f t="shared" si="126"/>
        <v>-50.012086474129227</v>
      </c>
      <c r="AV116" s="212">
        <v>15859.153625000001</v>
      </c>
      <c r="AW116" s="212">
        <v>9910.7000000000007</v>
      </c>
      <c r="AX116" s="169">
        <f t="shared" si="127"/>
        <v>-5948.4536250000001</v>
      </c>
      <c r="AY116" s="237">
        <f t="shared" si="128"/>
        <v>-37.508014397584219</v>
      </c>
      <c r="AZ116" s="212">
        <v>15859.153625000001</v>
      </c>
      <c r="BA116" s="176">
        <v>10255.57</v>
      </c>
      <c r="BB116" s="137">
        <f t="shared" si="137"/>
        <v>-5603.5836250000011</v>
      </c>
      <c r="BC116" s="138">
        <f t="shared" si="129"/>
        <v>-35.333434289750763</v>
      </c>
      <c r="BD116" s="243">
        <f t="shared" si="136"/>
        <v>189962.05900000001</v>
      </c>
      <c r="BE116" s="177">
        <f t="shared" si="114"/>
        <v>154601.36000000002</v>
      </c>
      <c r="BF116" s="118"/>
    </row>
    <row r="117" spans="2:60" s="119" customFormat="1" x14ac:dyDescent="0.25">
      <c r="B117" s="170">
        <v>51673</v>
      </c>
      <c r="C117" s="135">
        <v>364</v>
      </c>
      <c r="D117" s="332" t="s">
        <v>198</v>
      </c>
      <c r="E117" s="341"/>
      <c r="F117" s="256"/>
      <c r="G117" s="535"/>
      <c r="H117" s="212">
        <v>2072.8798750000001</v>
      </c>
      <c r="I117" s="87">
        <v>3270.8</v>
      </c>
      <c r="J117" s="138">
        <f t="shared" si="112"/>
        <v>1197.9201250000001</v>
      </c>
      <c r="K117" s="371">
        <f t="shared" si="113"/>
        <v>57.790137260124631</v>
      </c>
      <c r="L117" s="212">
        <v>2072.8798750000001</v>
      </c>
      <c r="M117" s="137">
        <v>1635.4</v>
      </c>
      <c r="N117" s="137">
        <f t="shared" si="130"/>
        <v>-437.47987499999999</v>
      </c>
      <c r="O117" s="237">
        <f t="shared" si="115"/>
        <v>-21.104931369937685</v>
      </c>
      <c r="P117" s="212">
        <v>2072.8798750000001</v>
      </c>
      <c r="Q117" s="137">
        <v>1762.87</v>
      </c>
      <c r="R117" s="137">
        <f t="shared" si="131"/>
        <v>-310.00987500000019</v>
      </c>
      <c r="S117" s="237">
        <f t="shared" si="116"/>
        <v>-14.955515692871501</v>
      </c>
      <c r="T117" s="212">
        <v>2072.8798750000001</v>
      </c>
      <c r="U117" s="137">
        <v>1762.87</v>
      </c>
      <c r="V117" s="137">
        <f t="shared" si="132"/>
        <v>-310.00987500000019</v>
      </c>
      <c r="W117" s="237">
        <f t="shared" si="117"/>
        <v>-14.955515692871501</v>
      </c>
      <c r="X117" s="212">
        <v>2072.8798750000001</v>
      </c>
      <c r="Y117" s="137">
        <v>1762.87</v>
      </c>
      <c r="Z117" s="137">
        <f t="shared" si="133"/>
        <v>-310.00987500000019</v>
      </c>
      <c r="AA117" s="237">
        <f t="shared" si="118"/>
        <v>-14.955515692871501</v>
      </c>
      <c r="AB117" s="212">
        <v>2072.8798750000001</v>
      </c>
      <c r="AC117" s="137">
        <v>1762.87</v>
      </c>
      <c r="AD117" s="137">
        <f t="shared" si="134"/>
        <v>-310.00987500000019</v>
      </c>
      <c r="AE117" s="237">
        <f t="shared" si="119"/>
        <v>-14.955515692871501</v>
      </c>
      <c r="AF117" s="212">
        <v>2072.8798750000001</v>
      </c>
      <c r="AG117" s="212">
        <v>1762.87</v>
      </c>
      <c r="AH117" s="137">
        <f t="shared" si="135"/>
        <v>-310.00987500000019</v>
      </c>
      <c r="AI117" s="237">
        <f t="shared" si="120"/>
        <v>-14.955515692871501</v>
      </c>
      <c r="AJ117" s="212">
        <v>2072.8798750000001</v>
      </c>
      <c r="AK117" s="212">
        <v>1762.87</v>
      </c>
      <c r="AL117" s="169">
        <f t="shared" si="121"/>
        <v>-310.00987500000019</v>
      </c>
      <c r="AM117" s="237">
        <f t="shared" si="122"/>
        <v>-14.955515692871501</v>
      </c>
      <c r="AN117" s="212">
        <v>2072.8798750000001</v>
      </c>
      <c r="AO117" s="176">
        <v>2564.09</v>
      </c>
      <c r="AP117" s="169">
        <f t="shared" si="123"/>
        <v>491.21012500000006</v>
      </c>
      <c r="AQ117" s="237">
        <f t="shared" si="124"/>
        <v>23.696989436013503</v>
      </c>
      <c r="AR117" s="212">
        <v>2072.8798750000001</v>
      </c>
      <c r="AS117" s="176">
        <v>2967.16</v>
      </c>
      <c r="AT117" s="169">
        <f t="shared" si="125"/>
        <v>894.28012499999977</v>
      </c>
      <c r="AU117" s="237">
        <f t="shared" si="126"/>
        <v>43.14191747363072</v>
      </c>
      <c r="AV117" s="212">
        <v>2072.8798750000001</v>
      </c>
      <c r="AW117" s="212">
        <v>3009.29</v>
      </c>
      <c r="AX117" s="169">
        <f t="shared" si="127"/>
        <v>936.41012499999988</v>
      </c>
      <c r="AY117" s="237">
        <f t="shared" si="128"/>
        <v>45.174355556903656</v>
      </c>
      <c r="AZ117" s="212">
        <v>2072.8798750000001</v>
      </c>
      <c r="BA117" s="176">
        <v>3009.29</v>
      </c>
      <c r="BB117" s="137">
        <f t="shared" si="137"/>
        <v>936.41012499999988</v>
      </c>
      <c r="BC117" s="138">
        <f t="shared" si="129"/>
        <v>45.174355556903656</v>
      </c>
      <c r="BD117" s="243">
        <f t="shared" si="136"/>
        <v>25014.978999999999</v>
      </c>
      <c r="BE117" s="177">
        <f t="shared" si="114"/>
        <v>27033.25</v>
      </c>
      <c r="BF117" s="118"/>
    </row>
    <row r="118" spans="2:60" s="119" customFormat="1" x14ac:dyDescent="0.25">
      <c r="B118" s="170">
        <v>33004</v>
      </c>
      <c r="C118" s="135">
        <v>240</v>
      </c>
      <c r="D118" s="332" t="s">
        <v>66</v>
      </c>
      <c r="E118" s="341"/>
      <c r="F118" s="256"/>
      <c r="G118" s="535"/>
      <c r="H118" s="212">
        <v>5380.6313749999999</v>
      </c>
      <c r="I118" s="87">
        <v>9976.7999999999993</v>
      </c>
      <c r="J118" s="138">
        <f t="shared" si="112"/>
        <v>4596.1686249999993</v>
      </c>
      <c r="K118" s="371">
        <f t="shared" si="113"/>
        <v>85.420618969646455</v>
      </c>
      <c r="L118" s="212">
        <v>5380.6313749999999</v>
      </c>
      <c r="M118" s="137">
        <v>3811.28</v>
      </c>
      <c r="N118" s="137">
        <f t="shared" si="130"/>
        <v>-1569.3513749999997</v>
      </c>
      <c r="O118" s="237">
        <f t="shared" si="115"/>
        <v>-29.166677024032328</v>
      </c>
      <c r="P118" s="212">
        <v>5380.6313749999999</v>
      </c>
      <c r="Q118" s="137">
        <v>5594.52</v>
      </c>
      <c r="R118" s="137">
        <f t="shared" si="131"/>
        <v>213.8886250000005</v>
      </c>
      <c r="S118" s="237">
        <f t="shared" si="116"/>
        <v>3.9751584915069582</v>
      </c>
      <c r="T118" s="212">
        <v>5380.6313749999999</v>
      </c>
      <c r="U118" s="137">
        <v>4299.6000000000004</v>
      </c>
      <c r="V118" s="137">
        <f t="shared" si="132"/>
        <v>-1081.0313749999996</v>
      </c>
      <c r="W118" s="237">
        <f t="shared" si="117"/>
        <v>-20.091162164031353</v>
      </c>
      <c r="X118" s="212">
        <v>5380.6313749999999</v>
      </c>
      <c r="Y118" s="137">
        <v>1171.8699999999999</v>
      </c>
      <c r="Z118" s="137">
        <f t="shared" si="133"/>
        <v>-4208.761375</v>
      </c>
      <c r="AA118" s="237">
        <f t="shared" si="118"/>
        <v>-78.220585683589974</v>
      </c>
      <c r="AB118" s="212">
        <v>5380.6313749999999</v>
      </c>
      <c r="AC118" s="137">
        <v>4265.04</v>
      </c>
      <c r="AD118" s="137">
        <f t="shared" si="134"/>
        <v>-1115.591375</v>
      </c>
      <c r="AE118" s="237">
        <f t="shared" si="119"/>
        <v>-20.733465968015697</v>
      </c>
      <c r="AF118" s="212">
        <v>5380.6313749999999</v>
      </c>
      <c r="AG118" s="212">
        <v>4056.92</v>
      </c>
      <c r="AH118" s="137">
        <f t="shared" si="135"/>
        <v>-1323.7113749999999</v>
      </c>
      <c r="AI118" s="237">
        <f t="shared" si="120"/>
        <v>-24.601413528351955</v>
      </c>
      <c r="AJ118" s="212">
        <v>5380.6313749999999</v>
      </c>
      <c r="AK118" s="212">
        <v>4050.57</v>
      </c>
      <c r="AL118" s="169">
        <f t="shared" si="121"/>
        <v>-1330.0613749999998</v>
      </c>
      <c r="AM118" s="237">
        <f t="shared" si="122"/>
        <v>-24.719429418262273</v>
      </c>
      <c r="AN118" s="212">
        <v>5380.6313749999999</v>
      </c>
      <c r="AO118" s="176">
        <v>3846.43</v>
      </c>
      <c r="AP118" s="169">
        <f t="shared" si="123"/>
        <v>-1534.2013750000001</v>
      </c>
      <c r="AQ118" s="237">
        <f t="shared" si="124"/>
        <v>-28.513407964135062</v>
      </c>
      <c r="AR118" s="212">
        <v>5380.6313749999999</v>
      </c>
      <c r="AS118" s="176">
        <v>3868.78</v>
      </c>
      <c r="AT118" s="169">
        <f t="shared" si="125"/>
        <v>-1511.8513749999997</v>
      </c>
      <c r="AU118" s="237">
        <f t="shared" si="126"/>
        <v>-28.098029202009766</v>
      </c>
      <c r="AV118" s="212">
        <v>5380.6313749999999</v>
      </c>
      <c r="AW118" s="212">
        <v>3851.71</v>
      </c>
      <c r="AX118" s="169">
        <f t="shared" si="127"/>
        <v>-1528.9213749999999</v>
      </c>
      <c r="AY118" s="237">
        <f t="shared" si="128"/>
        <v>-28.415278216304117</v>
      </c>
      <c r="AZ118" s="212">
        <v>5380.6313749999999</v>
      </c>
      <c r="BA118" s="176">
        <v>3846.43</v>
      </c>
      <c r="BB118" s="137">
        <f t="shared" si="137"/>
        <v>-1534.2013750000001</v>
      </c>
      <c r="BC118" s="138">
        <f t="shared" si="129"/>
        <v>-28.513407964135062</v>
      </c>
      <c r="BD118" s="243">
        <f t="shared" si="136"/>
        <v>66727.251000000004</v>
      </c>
      <c r="BE118" s="177">
        <f t="shared" si="114"/>
        <v>52639.95</v>
      </c>
      <c r="BF118" s="118"/>
    </row>
    <row r="119" spans="2:60" s="119" customFormat="1" x14ac:dyDescent="0.25">
      <c r="B119" s="170">
        <v>12305</v>
      </c>
      <c r="C119" s="135">
        <v>213</v>
      </c>
      <c r="D119" s="332" t="s">
        <v>67</v>
      </c>
      <c r="E119" s="341"/>
      <c r="F119" s="256"/>
      <c r="G119" s="535"/>
      <c r="H119" s="212">
        <v>5272.5790416666669</v>
      </c>
      <c r="I119" s="87">
        <v>5775.38</v>
      </c>
      <c r="J119" s="138">
        <f t="shared" si="112"/>
        <v>502.80095833333326</v>
      </c>
      <c r="K119" s="371">
        <f t="shared" si="113"/>
        <v>9.5361483319631226</v>
      </c>
      <c r="L119" s="212">
        <v>5272.5790416666669</v>
      </c>
      <c r="M119" s="137">
        <v>7017.71</v>
      </c>
      <c r="N119" s="137">
        <f t="shared" si="130"/>
        <v>1745.1309583333332</v>
      </c>
      <c r="O119" s="237">
        <f t="shared" si="115"/>
        <v>33.098241762568172</v>
      </c>
      <c r="P119" s="212">
        <v>5272.5790416666669</v>
      </c>
      <c r="Q119" s="137">
        <v>6325.96</v>
      </c>
      <c r="R119" s="137">
        <f t="shared" si="131"/>
        <v>1053.3809583333332</v>
      </c>
      <c r="S119" s="237">
        <f t="shared" si="116"/>
        <v>19.978476377669608</v>
      </c>
      <c r="T119" s="212">
        <v>5272.5790416666669</v>
      </c>
      <c r="U119" s="137">
        <v>6144.22</v>
      </c>
      <c r="V119" s="137">
        <f t="shared" si="132"/>
        <v>871.6409583333334</v>
      </c>
      <c r="W119" s="237">
        <f t="shared" si="117"/>
        <v>16.531586372535578</v>
      </c>
      <c r="X119" s="212">
        <v>5272.5790416666669</v>
      </c>
      <c r="Y119" s="137">
        <v>6049.65</v>
      </c>
      <c r="Z119" s="137">
        <f t="shared" si="133"/>
        <v>777.07095833333278</v>
      </c>
      <c r="AA119" s="237">
        <f t="shared" si="118"/>
        <v>14.737966983377838</v>
      </c>
      <c r="AB119" s="212">
        <v>5272.5790416666669</v>
      </c>
      <c r="AC119" s="137">
        <v>6265.52</v>
      </c>
      <c r="AD119" s="137">
        <f t="shared" si="134"/>
        <v>992.94095833333358</v>
      </c>
      <c r="AE119" s="237">
        <f t="shared" si="119"/>
        <v>18.832168289685125</v>
      </c>
      <c r="AF119" s="212">
        <v>5272.5790416666669</v>
      </c>
      <c r="AG119" s="212">
        <v>6521.69</v>
      </c>
      <c r="AH119" s="137">
        <f t="shared" si="135"/>
        <v>1249.1109583333327</v>
      </c>
      <c r="AI119" s="237">
        <f t="shared" si="120"/>
        <v>23.690701428318238</v>
      </c>
      <c r="AJ119" s="212">
        <v>5272.5790416666669</v>
      </c>
      <c r="AK119" s="212">
        <v>0</v>
      </c>
      <c r="AL119" s="169">
        <f t="shared" si="121"/>
        <v>-5272.5790416666669</v>
      </c>
      <c r="AM119" s="237">
        <f t="shared" si="122"/>
        <v>-100</v>
      </c>
      <c r="AN119" s="212">
        <v>5272.5790416666669</v>
      </c>
      <c r="AO119" s="176">
        <v>5651.3</v>
      </c>
      <c r="AP119" s="169">
        <f t="shared" si="123"/>
        <v>378.72095833333333</v>
      </c>
      <c r="AQ119" s="237">
        <f t="shared" si="124"/>
        <v>7.1828407946183948</v>
      </c>
      <c r="AR119" s="212">
        <v>5272.5790416666669</v>
      </c>
      <c r="AS119" s="176">
        <v>11705.95</v>
      </c>
      <c r="AT119" s="169">
        <f t="shared" si="125"/>
        <v>6433.3709583333339</v>
      </c>
      <c r="AU119" s="237">
        <f t="shared" si="126"/>
        <v>122.01563803014585</v>
      </c>
      <c r="AV119" s="212">
        <v>5272.5790416666669</v>
      </c>
      <c r="AW119" s="212">
        <v>6065.94</v>
      </c>
      <c r="AX119" s="169">
        <f t="shared" si="127"/>
        <v>793.36095833333275</v>
      </c>
      <c r="AY119" s="237">
        <f t="shared" si="128"/>
        <v>15.046923944881275</v>
      </c>
      <c r="AZ119" s="212">
        <v>5272.5790416666669</v>
      </c>
      <c r="BA119" s="176">
        <v>5775.62</v>
      </c>
      <c r="BB119" s="137">
        <f t="shared" si="137"/>
        <v>503.04095833333304</v>
      </c>
      <c r="BC119" s="138">
        <f t="shared" si="129"/>
        <v>9.5407001840662975</v>
      </c>
      <c r="BD119" s="243">
        <f t="shared" si="136"/>
        <v>67443.902333333332</v>
      </c>
      <c r="BE119" s="177">
        <f t="shared" si="114"/>
        <v>73298.94</v>
      </c>
      <c r="BF119" s="118"/>
    </row>
    <row r="120" spans="2:60" s="119" customFormat="1" x14ac:dyDescent="0.25">
      <c r="B120" s="170">
        <v>11634</v>
      </c>
      <c r="C120" s="135">
        <v>312</v>
      </c>
      <c r="D120" s="332" t="s">
        <v>40</v>
      </c>
      <c r="E120" s="154"/>
      <c r="F120" s="258"/>
      <c r="G120" s="537"/>
      <c r="H120" s="219">
        <f>31997.172375-1984.006</f>
        <v>30013.166374999997</v>
      </c>
      <c r="I120" s="87">
        <v>27809.32</v>
      </c>
      <c r="J120" s="138">
        <f t="shared" si="112"/>
        <v>-2203.8463749999974</v>
      </c>
      <c r="K120" s="371">
        <f>((I120/H120)-1)*100</f>
        <v>-7.3429319234898589</v>
      </c>
      <c r="L120" s="219">
        <f>31997.172375-1984.006</f>
        <v>30013.166374999997</v>
      </c>
      <c r="M120" s="137">
        <v>26735.58</v>
      </c>
      <c r="N120" s="137">
        <f>M120-L120</f>
        <v>-3277.5863749999953</v>
      </c>
      <c r="O120" s="237">
        <f>((M120/L120)-1)*100</f>
        <v>-10.92049513886052</v>
      </c>
      <c r="P120" s="219">
        <f>31997.172375-1984.006</f>
        <v>30013.166374999997</v>
      </c>
      <c r="Q120" s="137">
        <v>17736.52</v>
      </c>
      <c r="R120" s="137">
        <f>Q120-P120</f>
        <v>-12276.646374999997</v>
      </c>
      <c r="S120" s="237">
        <f>((Q120/P120)-1)*100</f>
        <v>-40.904202580991409</v>
      </c>
      <c r="T120" s="219">
        <f>31997.172375-1984.006</f>
        <v>30013.166374999997</v>
      </c>
      <c r="U120" s="137">
        <v>19585.59</v>
      </c>
      <c r="V120" s="137">
        <f>U120-T120</f>
        <v>-10427.576374999997</v>
      </c>
      <c r="W120" s="237">
        <f>((U120/T120)-1)*100</f>
        <v>-34.743339788652996</v>
      </c>
      <c r="X120" s="219">
        <v>25000</v>
      </c>
      <c r="Y120" s="137">
        <v>28322.13</v>
      </c>
      <c r="Z120" s="137">
        <f>Y120-X120</f>
        <v>3322.130000000001</v>
      </c>
      <c r="AA120" s="237">
        <f>((Y120/X120)-1)*100</f>
        <v>13.288520000000004</v>
      </c>
      <c r="AB120" s="219">
        <v>25000</v>
      </c>
      <c r="AC120" s="137">
        <v>16178.68</v>
      </c>
      <c r="AD120" s="137">
        <f>AC120-AB120</f>
        <v>-8821.32</v>
      </c>
      <c r="AE120" s="237">
        <f>((AC120/AB120)-1)*100</f>
        <v>-35.28528</v>
      </c>
      <c r="AF120" s="219">
        <v>25000</v>
      </c>
      <c r="AG120" s="212">
        <v>12329.32</v>
      </c>
      <c r="AH120" s="137">
        <f>AG120-AF120</f>
        <v>-12670.68</v>
      </c>
      <c r="AI120" s="237">
        <f>((AG120/AF120)-1)*100</f>
        <v>-50.682720000000003</v>
      </c>
      <c r="AJ120" s="219">
        <v>25000</v>
      </c>
      <c r="AK120" s="212">
        <v>11816.48</v>
      </c>
      <c r="AL120" s="169">
        <f>AK120-AJ120</f>
        <v>-13183.52</v>
      </c>
      <c r="AM120" s="237">
        <f>((AK120/AJ120)-1)*100</f>
        <v>-52.734079999999992</v>
      </c>
      <c r="AN120" s="219">
        <v>25000</v>
      </c>
      <c r="AO120" s="176">
        <v>23763.52</v>
      </c>
      <c r="AP120" s="169">
        <f>AO120-AN120</f>
        <v>-1236.4799999999996</v>
      </c>
      <c r="AQ120" s="237">
        <f>((AO120/AN120)-1)*100</f>
        <v>-4.9459200000000036</v>
      </c>
      <c r="AR120" s="219">
        <v>25000</v>
      </c>
      <c r="AS120" s="176">
        <v>19277.2</v>
      </c>
      <c r="AT120" s="169">
        <f>AS120-AR120</f>
        <v>-5722.7999999999993</v>
      </c>
      <c r="AU120" s="237">
        <f>((AS120/AR120)-1)*100</f>
        <v>-22.891200000000001</v>
      </c>
      <c r="AV120" s="219">
        <v>25000</v>
      </c>
      <c r="AW120" s="212">
        <v>23132.11</v>
      </c>
      <c r="AX120" s="169">
        <f>AW120-AV120</f>
        <v>-1867.8899999999994</v>
      </c>
      <c r="AY120" s="237">
        <f>((AW120/AV120)-1)*100</f>
        <v>-7.4715599999999993</v>
      </c>
      <c r="AZ120" s="219">
        <v>25000</v>
      </c>
      <c r="BA120" s="176">
        <v>22271.82</v>
      </c>
      <c r="BB120" s="137">
        <f>BA120-AZ120</f>
        <v>-2728.1800000000003</v>
      </c>
      <c r="BC120" s="138">
        <f>((BA120/AZ120)-1)*100</f>
        <v>-10.912719999999998</v>
      </c>
      <c r="BD120" s="243">
        <f t="shared" si="136"/>
        <v>291867.01</v>
      </c>
      <c r="BE120" s="177">
        <f>SUM(I120+M120+Q120+U120+Y120+AC120+AG120+AK120+AO120+AS120+AW120+BA120)</f>
        <v>248958.27000000002</v>
      </c>
      <c r="BF120" s="118"/>
    </row>
    <row r="121" spans="2:60" s="119" customFormat="1" ht="16.5" thickBot="1" x14ac:dyDescent="0.3">
      <c r="B121" s="178">
        <v>11675</v>
      </c>
      <c r="C121" s="179">
        <v>230</v>
      </c>
      <c r="D121" s="385" t="s">
        <v>68</v>
      </c>
      <c r="E121" s="386"/>
      <c r="F121" s="257"/>
      <c r="G121" s="538"/>
      <c r="H121" s="247">
        <v>8457.8564999999999</v>
      </c>
      <c r="I121" s="98">
        <v>9820.52</v>
      </c>
      <c r="J121" s="250">
        <f t="shared" si="112"/>
        <v>1362.6635000000006</v>
      </c>
      <c r="K121" s="374">
        <f t="shared" si="113"/>
        <v>16.111215649024089</v>
      </c>
      <c r="L121" s="247">
        <v>8457.8564999999999</v>
      </c>
      <c r="M121" s="182">
        <v>2997.67</v>
      </c>
      <c r="N121" s="182">
        <f t="shared" si="130"/>
        <v>-5460.1864999999998</v>
      </c>
      <c r="O121" s="248">
        <f t="shared" si="115"/>
        <v>-64.557568457208987</v>
      </c>
      <c r="P121" s="247">
        <v>8457.8564999999999</v>
      </c>
      <c r="Q121" s="182">
        <v>2888.94</v>
      </c>
      <c r="R121" s="182">
        <f t="shared" si="131"/>
        <v>-5568.9164999999994</v>
      </c>
      <c r="S121" s="248">
        <f t="shared" si="116"/>
        <v>-65.843118761828137</v>
      </c>
      <c r="T121" s="247">
        <v>8457.8564999999999</v>
      </c>
      <c r="U121" s="182">
        <v>2831.93</v>
      </c>
      <c r="V121" s="182">
        <f t="shared" si="132"/>
        <v>-5625.9264999999996</v>
      </c>
      <c r="W121" s="248">
        <f t="shared" si="117"/>
        <v>-66.517166613077435</v>
      </c>
      <c r="X121" s="247">
        <v>3000</v>
      </c>
      <c r="Y121" s="182">
        <v>2713.87</v>
      </c>
      <c r="Z121" s="182">
        <f t="shared" si="133"/>
        <v>-286.13000000000011</v>
      </c>
      <c r="AA121" s="248">
        <f t="shared" si="118"/>
        <v>-9.5376666666666665</v>
      </c>
      <c r="AB121" s="247">
        <v>3000</v>
      </c>
      <c r="AC121" s="182">
        <v>3030.09</v>
      </c>
      <c r="AD121" s="182">
        <f t="shared" si="134"/>
        <v>30.090000000000146</v>
      </c>
      <c r="AE121" s="248">
        <f t="shared" si="119"/>
        <v>1.0029999999999983</v>
      </c>
      <c r="AF121" s="247">
        <v>3000</v>
      </c>
      <c r="AG121" s="212">
        <v>2933.44</v>
      </c>
      <c r="AH121" s="182">
        <f t="shared" si="135"/>
        <v>-66.559999999999945</v>
      </c>
      <c r="AI121" s="248">
        <f t="shared" si="120"/>
        <v>-2.2186666666666688</v>
      </c>
      <c r="AJ121" s="247">
        <v>3000</v>
      </c>
      <c r="AK121" s="247">
        <v>2950.48</v>
      </c>
      <c r="AL121" s="182">
        <f t="shared" si="121"/>
        <v>-49.519999999999982</v>
      </c>
      <c r="AM121" s="248">
        <f t="shared" si="122"/>
        <v>-1.6506666666666669</v>
      </c>
      <c r="AN121" s="247">
        <v>3000</v>
      </c>
      <c r="AO121" s="183">
        <v>2894.87</v>
      </c>
      <c r="AP121" s="182">
        <f t="shared" si="123"/>
        <v>-105.13000000000011</v>
      </c>
      <c r="AQ121" s="248">
        <f t="shared" si="124"/>
        <v>-3.5043333333333315</v>
      </c>
      <c r="AR121" s="247">
        <v>3000</v>
      </c>
      <c r="AS121" s="183">
        <v>3053.95</v>
      </c>
      <c r="AT121" s="182">
        <f t="shared" si="125"/>
        <v>53.949999999999818</v>
      </c>
      <c r="AU121" s="248">
        <f t="shared" si="126"/>
        <v>1.798333333333324</v>
      </c>
      <c r="AV121" s="247">
        <v>3000</v>
      </c>
      <c r="AW121" s="212">
        <v>2935.13</v>
      </c>
      <c r="AX121" s="182">
        <f t="shared" si="127"/>
        <v>-64.869999999999891</v>
      </c>
      <c r="AY121" s="248">
        <f t="shared" si="128"/>
        <v>-2.1623333333333328</v>
      </c>
      <c r="AZ121" s="247">
        <v>3000</v>
      </c>
      <c r="BA121" s="183">
        <v>2965.16</v>
      </c>
      <c r="BB121" s="183">
        <f t="shared" si="137"/>
        <v>-34.840000000000146</v>
      </c>
      <c r="BC121" s="250">
        <f t="shared" si="129"/>
        <v>-1.1613333333333364</v>
      </c>
      <c r="BD121" s="250">
        <f t="shared" si="136"/>
        <v>42539.06</v>
      </c>
      <c r="BE121" s="184">
        <f t="shared" si="114"/>
        <v>42016.049999999988</v>
      </c>
      <c r="BF121" s="118"/>
    </row>
    <row r="122" spans="2:60" s="119" customFormat="1" x14ac:dyDescent="0.25">
      <c r="B122" s="436"/>
      <c r="C122" s="133"/>
      <c r="D122" s="154"/>
      <c r="E122" s="154"/>
      <c r="F122" s="539"/>
      <c r="G122" s="540"/>
      <c r="H122" s="67"/>
      <c r="I122" s="437"/>
      <c r="J122" s="67"/>
      <c r="K122" s="387"/>
      <c r="L122" s="67"/>
      <c r="M122" s="67"/>
      <c r="N122" s="67"/>
      <c r="O122" s="387"/>
      <c r="P122" s="67"/>
      <c r="Q122" s="67"/>
      <c r="R122" s="67"/>
      <c r="S122" s="387"/>
      <c r="T122" s="67"/>
      <c r="U122" s="67"/>
      <c r="V122" s="67"/>
      <c r="W122" s="387"/>
      <c r="X122" s="67"/>
      <c r="Y122" s="67"/>
      <c r="Z122" s="67"/>
      <c r="AA122" s="387"/>
      <c r="AB122" s="67"/>
      <c r="AC122" s="67"/>
      <c r="AD122" s="67"/>
      <c r="AE122" s="387"/>
      <c r="AF122" s="67"/>
      <c r="AG122" s="67"/>
      <c r="AH122" s="67"/>
      <c r="AI122" s="387"/>
      <c r="AJ122" s="67"/>
      <c r="AK122" s="67"/>
      <c r="AL122" s="67"/>
      <c r="AM122" s="387"/>
      <c r="AN122" s="66"/>
      <c r="AO122" s="66"/>
      <c r="AP122" s="67"/>
      <c r="AQ122" s="387"/>
      <c r="AR122" s="66"/>
      <c r="AS122" s="66"/>
      <c r="AT122" s="67"/>
      <c r="AU122" s="387"/>
      <c r="AV122" s="66"/>
      <c r="AW122" s="66"/>
      <c r="AX122" s="67"/>
      <c r="AY122" s="387"/>
      <c r="AZ122" s="66"/>
      <c r="BA122" s="66"/>
      <c r="BB122" s="66"/>
      <c r="BC122" s="67"/>
      <c r="BD122" s="66"/>
      <c r="BE122" s="66"/>
      <c r="BF122" s="118"/>
    </row>
    <row r="123" spans="2:60" s="11" customFormat="1" ht="16.5" thickBot="1" x14ac:dyDescent="0.3">
      <c r="B123" s="161"/>
      <c r="E123" s="346"/>
      <c r="F123" s="347"/>
      <c r="G123" s="333"/>
      <c r="H123" s="334"/>
      <c r="I123" s="414"/>
      <c r="J123" s="118"/>
      <c r="K123" s="12"/>
      <c r="L123" s="119"/>
      <c r="M123" s="119"/>
      <c r="N123" s="118"/>
      <c r="O123" s="119"/>
      <c r="P123" s="119"/>
      <c r="Q123" s="119"/>
      <c r="R123" s="118"/>
      <c r="S123" s="119"/>
      <c r="T123" s="119"/>
      <c r="U123" s="119"/>
      <c r="V123" s="118"/>
      <c r="W123" s="119"/>
      <c r="X123" s="119"/>
      <c r="Y123" s="119"/>
      <c r="Z123" s="118"/>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63"/>
    </row>
    <row r="124" spans="2:60" s="11" customFormat="1" ht="16.5" thickBot="1" x14ac:dyDescent="0.3">
      <c r="B124" s="165"/>
      <c r="C124" s="41"/>
      <c r="D124" s="49" t="s">
        <v>170</v>
      </c>
      <c r="E124" s="50"/>
      <c r="F124" s="50"/>
      <c r="G124" s="406"/>
      <c r="H124" s="478">
        <f>SUM(H125:H145)</f>
        <v>2216995.2430174104</v>
      </c>
      <c r="I124" s="532">
        <f>SUM(I125:I145)</f>
        <v>2801581.3299999996</v>
      </c>
      <c r="J124" s="530">
        <f>I124-H124</f>
        <v>584586.08698258922</v>
      </c>
      <c r="K124" s="533">
        <f t="shared" ref="K124:K144" si="138">((I124/H124)-1)*100</f>
        <v>26.368396090329284</v>
      </c>
      <c r="L124" s="534">
        <f>SUM(L125:L145)</f>
        <v>2217211.6103740702</v>
      </c>
      <c r="M124" s="392">
        <f>SUM(M125:M145)</f>
        <v>1996754.7199999995</v>
      </c>
      <c r="N124" s="392">
        <f>M124-L124</f>
        <v>-220456.89037407073</v>
      </c>
      <c r="O124" s="562">
        <f>((M124/L124)-1)*100</f>
        <v>-9.9429792511720123</v>
      </c>
      <c r="P124" s="564">
        <f>SUM(P125:P145)</f>
        <v>2267102.8444327428</v>
      </c>
      <c r="Q124" s="534">
        <f>SUM(Q125:Q145)</f>
        <v>2636902.3199999994</v>
      </c>
      <c r="R124" s="392">
        <f>Q124-P124</f>
        <v>369799.47556725657</v>
      </c>
      <c r="S124" s="562">
        <f>((Q124/P124)-1)*100</f>
        <v>16.311543892918756</v>
      </c>
      <c r="T124" s="478">
        <f>SUM(T125:T145)</f>
        <v>2228393.8554876912</v>
      </c>
      <c r="U124" s="392">
        <f>SUM(U125:U145)</f>
        <v>3213857.5200000005</v>
      </c>
      <c r="V124" s="392">
        <f>U124-T124</f>
        <v>985463.66451230925</v>
      </c>
      <c r="W124" s="393">
        <f>((U124/T124)-1)*100</f>
        <v>44.223047110163449</v>
      </c>
      <c r="X124" s="534">
        <f>SUM(X125:X145)</f>
        <v>2423976.3067809241</v>
      </c>
      <c r="Y124" s="392">
        <f>SUM(Y125:Y145)</f>
        <v>3010783.4600000009</v>
      </c>
      <c r="Z124" s="392">
        <f>Y124-X124</f>
        <v>586807.1532190768</v>
      </c>
      <c r="AA124" s="563">
        <f>((Y124/X124)-1)*100</f>
        <v>24.208452515708178</v>
      </c>
      <c r="AB124" s="478">
        <f>SUM(AB125:AB145)</f>
        <v>2324208.497546725</v>
      </c>
      <c r="AC124" s="392">
        <f>SUM(AC125:AC145)</f>
        <v>3104320.79</v>
      </c>
      <c r="AD124" s="392">
        <f>AC124-AB124</f>
        <v>780112.29245327506</v>
      </c>
      <c r="AE124" s="562">
        <f>((AC124/AB124)-1)*100</f>
        <v>33.564643330265255</v>
      </c>
      <c r="AF124" s="478">
        <f>SUM(AF125:AF145)</f>
        <v>2381663.6206912706</v>
      </c>
      <c r="AG124" s="392">
        <f>SUM(AG125:AG145)</f>
        <v>3145058.2500000005</v>
      </c>
      <c r="AH124" s="392">
        <f>AG124-AF124</f>
        <v>763394.6293087299</v>
      </c>
      <c r="AI124" s="393">
        <f>((AG124/AF124)-1)*100</f>
        <v>32.052999536817751</v>
      </c>
      <c r="AJ124" s="534">
        <f>SUM(AJ125:AJ145)</f>
        <v>2386823.5035623764</v>
      </c>
      <c r="AK124" s="392">
        <f>SUM(AK125:AK145)</f>
        <v>3314462.7800000007</v>
      </c>
      <c r="AL124" s="392">
        <f>AK124-AJ124</f>
        <v>927639.27643762436</v>
      </c>
      <c r="AM124" s="562">
        <f>((AK124/AJ124)-1)*100</f>
        <v>38.865013481436982</v>
      </c>
      <c r="AN124" s="487">
        <f>SUM(AN125:AN145)</f>
        <v>2360525.039730934</v>
      </c>
      <c r="AO124" s="396">
        <f>SUM(AO125:AO145)</f>
        <v>3112058.3899999983</v>
      </c>
      <c r="AP124" s="392">
        <f>AO124-AN124</f>
        <v>751533.35026906431</v>
      </c>
      <c r="AQ124" s="393">
        <f>((AO124/AN124)-1)*100</f>
        <v>31.837550444062579</v>
      </c>
      <c r="AR124" s="395">
        <f>SUM(AR125:AR145)</f>
        <v>2365552.3768505789</v>
      </c>
      <c r="AS124" s="396">
        <f>SUM(AS125:AS145)</f>
        <v>2894513.7500000009</v>
      </c>
      <c r="AT124" s="392">
        <f>AS124-AR124</f>
        <v>528961.373149422</v>
      </c>
      <c r="AU124" s="562">
        <f>((AS124/AR124)-1)*100</f>
        <v>22.361008715168019</v>
      </c>
      <c r="AV124" s="487">
        <f>SUM(AV125:AV145)</f>
        <v>2447080.77287415</v>
      </c>
      <c r="AW124" s="396">
        <f>SUM(AW125:AW145)</f>
        <v>3343172.9699999997</v>
      </c>
      <c r="AX124" s="392">
        <f>AW124-AV124</f>
        <v>896092.19712584978</v>
      </c>
      <c r="AY124" s="393">
        <f>((AW124/AV124)-1)*100</f>
        <v>36.618823827109303</v>
      </c>
      <c r="AZ124" s="395">
        <f>SUM(AZ125:AZ145)</f>
        <v>2260770.7969356445</v>
      </c>
      <c r="BA124" s="396">
        <f>SUM(BA125:BA145)</f>
        <v>3590464.9199999995</v>
      </c>
      <c r="BB124" s="392">
        <f>BA124-AZ124</f>
        <v>1329694.123064355</v>
      </c>
      <c r="BC124" s="393">
        <f>((BA124/AZ124)-1)*100</f>
        <v>58.815963337224851</v>
      </c>
      <c r="BD124" s="394">
        <f>+AF124+AJ124+AN124+AR124+AV124+AZ124+AB124+X124+U124+Q124+M124+I124</f>
        <v>29599696.8049726</v>
      </c>
      <c r="BE124" s="531">
        <f>SUM(I124+M124+Q124+U124+Y124+AC124+AG124+AK124+AO124+AS124+AW124+BA124)</f>
        <v>36163931.199999996</v>
      </c>
      <c r="BF124" s="826"/>
      <c r="BG124" s="827"/>
    </row>
    <row r="125" spans="2:60" s="119" customFormat="1" x14ac:dyDescent="0.25">
      <c r="B125" s="167">
        <v>12338</v>
      </c>
      <c r="C125" s="168">
        <v>195</v>
      </c>
      <c r="D125" s="331" t="s">
        <v>199</v>
      </c>
      <c r="E125" s="344"/>
      <c r="F125" s="541"/>
      <c r="G125" s="535"/>
      <c r="H125" s="542">
        <f>273919.747010151-4425.62-1206.46</f>
        <v>268287.66701015097</v>
      </c>
      <c r="I125" s="89">
        <v>279539.42</v>
      </c>
      <c r="J125" s="213">
        <f t="shared" ref="J125:J145" si="139">I125-H125</f>
        <v>11251.752989849017</v>
      </c>
      <c r="K125" s="375">
        <f t="shared" si="138"/>
        <v>4.1939136134138133</v>
      </c>
      <c r="L125" s="543">
        <f>272555.150322207-4425.62-1206.46</f>
        <v>266923.070322207</v>
      </c>
      <c r="M125" s="89">
        <v>242395.36</v>
      </c>
      <c r="N125" s="190">
        <f>M125-L125</f>
        <v>-24527.710322207015</v>
      </c>
      <c r="O125" s="249">
        <f>((M125/L125)-1)*100</f>
        <v>-9.1890559675487093</v>
      </c>
      <c r="P125" s="136">
        <f>279572.67152269-4425.62-1206.46</f>
        <v>273940.59152268997</v>
      </c>
      <c r="Q125" s="190">
        <v>276285.17</v>
      </c>
      <c r="R125" s="190">
        <f>Q125-P125</f>
        <v>2344.5784773100168</v>
      </c>
      <c r="S125" s="249">
        <f>((Q125/P125)-1)*100</f>
        <v>0.85587114500913497</v>
      </c>
      <c r="T125" s="543">
        <f>274128.004624859-4425.62-1206.46</f>
        <v>268495.92462485901</v>
      </c>
      <c r="U125" s="190">
        <v>242030.67</v>
      </c>
      <c r="V125" s="190">
        <f>U125-T125</f>
        <v>-26465.254624858993</v>
      </c>
      <c r="W125" s="249">
        <f>((U125/T125)-1)*100</f>
        <v>-9.8568552434589503</v>
      </c>
      <c r="X125" s="543">
        <v>240000</v>
      </c>
      <c r="Y125" s="190">
        <v>233215.55</v>
      </c>
      <c r="Z125" s="190">
        <f>Y125-X125</f>
        <v>-6784.4500000000116</v>
      </c>
      <c r="AA125" s="249">
        <f>((Y125/X125)-1)*100</f>
        <v>-2.8268541666666702</v>
      </c>
      <c r="AB125" s="543">
        <v>240000</v>
      </c>
      <c r="AC125" s="190">
        <v>247820.78</v>
      </c>
      <c r="AD125" s="190">
        <f>AC125-AB125</f>
        <v>7820.7799999999988</v>
      </c>
      <c r="AE125" s="249">
        <f>((AC125/AB125)-1)*100</f>
        <v>3.2586583333333419</v>
      </c>
      <c r="AF125" s="543">
        <v>240000</v>
      </c>
      <c r="AG125" s="212">
        <v>245955.74</v>
      </c>
      <c r="AH125" s="190">
        <f>AG125-AF125</f>
        <v>5955.7399999999907</v>
      </c>
      <c r="AI125" s="249">
        <f>((AG125/AF125)-1)*100</f>
        <v>2.4815583333333224</v>
      </c>
      <c r="AJ125" s="543">
        <v>240000</v>
      </c>
      <c r="AK125" s="543">
        <v>274444.73</v>
      </c>
      <c r="AL125" s="169">
        <f>AK125-AJ125</f>
        <v>34444.729999999981</v>
      </c>
      <c r="AM125" s="249">
        <f>((AK125/AJ125)-1)*100</f>
        <v>14.351970833333327</v>
      </c>
      <c r="AN125" s="543">
        <v>240000</v>
      </c>
      <c r="AO125" s="192">
        <v>259053.59</v>
      </c>
      <c r="AP125" s="169">
        <f>AO125-AN125</f>
        <v>19053.589999999997</v>
      </c>
      <c r="AQ125" s="249">
        <f>((AO125/AN125)-1)*100</f>
        <v>7.9389958333333288</v>
      </c>
      <c r="AR125" s="543">
        <v>240000</v>
      </c>
      <c r="AS125" s="192">
        <v>144077.82</v>
      </c>
      <c r="AT125" s="169">
        <f>AS125-AR125</f>
        <v>-95922.18</v>
      </c>
      <c r="AU125" s="249">
        <f>((AS125/AR125)-1)*100</f>
        <v>-39.967574999999997</v>
      </c>
      <c r="AV125" s="543">
        <v>240000</v>
      </c>
      <c r="AW125" s="136">
        <v>291991.98</v>
      </c>
      <c r="AX125" s="169">
        <f>AW125-AV125</f>
        <v>51991.979999999981</v>
      </c>
      <c r="AY125" s="249">
        <f>((AW125/AV125)-1)*100</f>
        <v>21.66332499999999</v>
      </c>
      <c r="AZ125" s="543">
        <v>240000</v>
      </c>
      <c r="BA125" s="192">
        <v>322536.09000000003</v>
      </c>
      <c r="BB125" s="190">
        <f>BA125-AZ125</f>
        <v>82536.090000000026</v>
      </c>
      <c r="BC125" s="249">
        <f>((BA125/AZ125)-1)*100</f>
        <v>34.390037500000005</v>
      </c>
      <c r="BD125" s="388">
        <f>+AF125+AJ125+AN125+AR125+AV125+AZ125+AB125+X125+U125+Q125+M125+I125</f>
        <v>2960250.6199999996</v>
      </c>
      <c r="BE125" s="193">
        <f t="shared" ref="BE125:BE144" si="140">SUM(I125+M125+Q125+U125+Y125+AC125+AG125+AK125+AO125+AS125+AW125+BA125)</f>
        <v>3059346.8999999994</v>
      </c>
      <c r="BF125" s="118"/>
      <c r="BG125" s="118"/>
      <c r="BH125" s="118"/>
    </row>
    <row r="126" spans="2:60" s="119" customFormat="1" x14ac:dyDescent="0.25">
      <c r="B126" s="170">
        <v>11416</v>
      </c>
      <c r="C126" s="135">
        <v>188</v>
      </c>
      <c r="D126" s="332" t="s">
        <v>69</v>
      </c>
      <c r="E126" s="341"/>
      <c r="F126" s="256"/>
      <c r="G126" s="535"/>
      <c r="H126" s="212">
        <f>12163.9945-1206.46-2000</f>
        <v>8957.5345000000016</v>
      </c>
      <c r="I126" s="82">
        <v>11211.09</v>
      </c>
      <c r="J126" s="138">
        <f t="shared" si="139"/>
        <v>2253.5554999999986</v>
      </c>
      <c r="K126" s="371">
        <f t="shared" si="138"/>
        <v>25.158211782494377</v>
      </c>
      <c r="L126" s="136">
        <f>12163.9945-1206.46-2000</f>
        <v>8957.5345000000016</v>
      </c>
      <c r="M126" s="82">
        <v>11776.18</v>
      </c>
      <c r="N126" s="137">
        <f>M126-L126</f>
        <v>2818.6454999999987</v>
      </c>
      <c r="O126" s="237">
        <f>((M126/L126)-1)*100</f>
        <v>31.466755723910399</v>
      </c>
      <c r="P126" s="136">
        <f>12163.9945-1206.46-2000</f>
        <v>8957.5345000000016</v>
      </c>
      <c r="Q126" s="137">
        <v>10259.950000000001</v>
      </c>
      <c r="R126" s="137">
        <f>Q126-P126</f>
        <v>1302.4154999999992</v>
      </c>
      <c r="S126" s="237">
        <f>((Q126/P126)-1)*100</f>
        <v>14.539888180168315</v>
      </c>
      <c r="T126" s="136">
        <f>12163.9945-1206.46-2000</f>
        <v>8957.5345000000016</v>
      </c>
      <c r="U126" s="137">
        <v>12551.66</v>
      </c>
      <c r="V126" s="137">
        <f>U126-T126</f>
        <v>3594.1254999999983</v>
      </c>
      <c r="W126" s="237">
        <f>((U126/T126)-1)*100</f>
        <v>40.124048643072463</v>
      </c>
      <c r="X126" s="136">
        <v>8957.5345000000016</v>
      </c>
      <c r="Y126" s="137">
        <v>8718.5</v>
      </c>
      <c r="Z126" s="137">
        <f>Y126-X126</f>
        <v>-239.03450000000157</v>
      </c>
      <c r="AA126" s="237">
        <f>((Y126/X126)-1)*100</f>
        <v>-2.6685300514332599</v>
      </c>
      <c r="AB126" s="136">
        <v>8957.5345000000016</v>
      </c>
      <c r="AC126" s="137">
        <v>6753.25</v>
      </c>
      <c r="AD126" s="137">
        <f>AC126-AB126</f>
        <v>-2204.2845000000016</v>
      </c>
      <c r="AE126" s="237">
        <f>((AC126/AB126)-1)*100</f>
        <v>-24.608160872838404</v>
      </c>
      <c r="AF126" s="136">
        <v>8957.5345000000016</v>
      </c>
      <c r="AG126" s="212">
        <v>14616.17</v>
      </c>
      <c r="AH126" s="137">
        <f>AG126-AF126</f>
        <v>5658.6354999999985</v>
      </c>
      <c r="AI126" s="237">
        <f>((AG126/AF126)-1)*100</f>
        <v>63.17179688227823</v>
      </c>
      <c r="AJ126" s="136">
        <v>8957.5345000000016</v>
      </c>
      <c r="AK126" s="136">
        <v>12961.5</v>
      </c>
      <c r="AL126" s="169">
        <f t="shared" ref="AL126:AL144" si="141">AK126-AJ126</f>
        <v>4003.9654999999984</v>
      </c>
      <c r="AM126" s="237">
        <f>((AK126/AJ126)-1)*100</f>
        <v>44.6994147775819</v>
      </c>
      <c r="AN126" s="136">
        <v>8957.5345000000016</v>
      </c>
      <c r="AO126" s="176">
        <v>10122.5</v>
      </c>
      <c r="AP126" s="169">
        <f t="shared" ref="AP126:AP144" si="142">AO126-AN126</f>
        <v>1164.9654999999984</v>
      </c>
      <c r="AQ126" s="237">
        <f>((AO126/AN126)-1)*100</f>
        <v>13.005425767547951</v>
      </c>
      <c r="AR126" s="136">
        <v>8957.5345000000016</v>
      </c>
      <c r="AS126" s="176">
        <v>15677.51</v>
      </c>
      <c r="AT126" s="169">
        <f t="shared" ref="AT126:AT144" si="143">AS126-AR126</f>
        <v>6719.9754999999986</v>
      </c>
      <c r="AU126" s="237">
        <f>((AS126/AR126)-1)*100</f>
        <v>75.020369723387589</v>
      </c>
      <c r="AV126" s="136">
        <v>8957.5345000000016</v>
      </c>
      <c r="AW126" s="136">
        <v>10144.98</v>
      </c>
      <c r="AX126" s="169">
        <f t="shared" ref="AX126:AX144" si="144">AW126-AV126</f>
        <v>1187.445499999998</v>
      </c>
      <c r="AY126" s="237">
        <f>((AW126/AV126)-1)*100</f>
        <v>13.256387681230786</v>
      </c>
      <c r="AZ126" s="136">
        <v>8957.5345000000016</v>
      </c>
      <c r="BA126" s="176">
        <v>14880.95</v>
      </c>
      <c r="BB126" s="137">
        <f>BA126-AZ126</f>
        <v>5923.4154999999992</v>
      </c>
      <c r="BC126" s="237">
        <f>((BA126/AZ126)-1)*100</f>
        <v>66.127744191216877</v>
      </c>
      <c r="BD126" s="388">
        <f t="shared" ref="BD126:BD145" si="145">+AF126+AJ126+AN126+AR126+AV126+AZ126+AB126+X126+U126+Q126+M126+I126</f>
        <v>117459.15600000002</v>
      </c>
      <c r="BE126" s="177">
        <f t="shared" si="140"/>
        <v>139674.23999999999</v>
      </c>
      <c r="BF126" s="118"/>
      <c r="BG126" s="118"/>
      <c r="BH126" s="118"/>
    </row>
    <row r="127" spans="2:60" s="119" customFormat="1" x14ac:dyDescent="0.25">
      <c r="B127" s="170" t="s">
        <v>134</v>
      </c>
      <c r="C127" s="135">
        <v>314</v>
      </c>
      <c r="D127" s="332" t="s">
        <v>70</v>
      </c>
      <c r="E127" s="341"/>
      <c r="F127" s="258"/>
      <c r="G127" s="535"/>
      <c r="H127" s="212">
        <f>830.91225</f>
        <v>830.91224999999997</v>
      </c>
      <c r="I127" s="82">
        <f>642.06+0</f>
        <v>642.05999999999995</v>
      </c>
      <c r="J127" s="138">
        <f t="shared" si="139"/>
        <v>-188.85225000000003</v>
      </c>
      <c r="K127" s="371">
        <f t="shared" si="138"/>
        <v>-22.728302537361799</v>
      </c>
      <c r="L127" s="136">
        <v>830.91224999999986</v>
      </c>
      <c r="M127" s="82">
        <f>1356.81+0</f>
        <v>1356.81</v>
      </c>
      <c r="N127" s="137">
        <f t="shared" ref="N127:N144" si="146">M127-L127</f>
        <v>525.89775000000009</v>
      </c>
      <c r="O127" s="237">
        <f t="shared" ref="O127:O144" si="147">((M127/L127)-1)*100</f>
        <v>63.291611117780498</v>
      </c>
      <c r="P127" s="136">
        <v>830.91224999999986</v>
      </c>
      <c r="Q127" s="137">
        <v>9248.83</v>
      </c>
      <c r="R127" s="137">
        <f t="shared" ref="R127:R144" si="148">Q127-P127</f>
        <v>8417.9177500000005</v>
      </c>
      <c r="S127" s="235">
        <f t="shared" ref="S127:S144" si="149">((Q127/P127)-1)*100</f>
        <v>1013.0934704597267</v>
      </c>
      <c r="T127" s="136">
        <v>830.91224999999986</v>
      </c>
      <c r="U127" s="137">
        <v>798.42</v>
      </c>
      <c r="V127" s="137">
        <f t="shared" ref="V127:V144" si="150">U127-T127</f>
        <v>-32.492249999999899</v>
      </c>
      <c r="W127" s="237">
        <f t="shared" ref="W127:W144" si="151">((U127/T127)-1)*100</f>
        <v>-3.9104309751119781</v>
      </c>
      <c r="X127" s="136">
        <v>830.91224999999986</v>
      </c>
      <c r="Y127" s="137">
        <f>-1106.3</f>
        <v>-1106.3</v>
      </c>
      <c r="Z127" s="137">
        <f t="shared" ref="Z127:Z144" si="152">Y127-X127</f>
        <v>-1937.2122499999998</v>
      </c>
      <c r="AA127" s="235">
        <f t="shared" ref="AA127:AA144" si="153">((Y127/X127)-1)*100</f>
        <v>-233.14281983446509</v>
      </c>
      <c r="AB127" s="136">
        <v>830.91224999999986</v>
      </c>
      <c r="AC127" s="137">
        <v>0</v>
      </c>
      <c r="AD127" s="137">
        <f t="shared" ref="AD127:AD144" si="154">AC127-AB127</f>
        <v>-830.91224999999986</v>
      </c>
      <c r="AE127" s="235">
        <f t="shared" ref="AE127:AE144" si="155">((AC127/AB127)-1)*100</f>
        <v>-100</v>
      </c>
      <c r="AF127" s="136">
        <v>830.91224999999986</v>
      </c>
      <c r="AG127" s="212">
        <v>89</v>
      </c>
      <c r="AH127" s="137">
        <f t="shared" ref="AH127:AH144" si="156">AG127-AF127</f>
        <v>-741.91224999999986</v>
      </c>
      <c r="AI127" s="237">
        <f t="shared" ref="AI127:AI144" si="157">((AG127/AF127)-1)*100</f>
        <v>-89.288880985928415</v>
      </c>
      <c r="AJ127" s="136">
        <v>830.91224999999986</v>
      </c>
      <c r="AK127" s="136">
        <v>0</v>
      </c>
      <c r="AL127" s="169">
        <f t="shared" si="141"/>
        <v>-830.91224999999986</v>
      </c>
      <c r="AM127" s="235">
        <f t="shared" ref="AM127:AM144" si="158">((AK127/AJ127)-1)*100</f>
        <v>-100</v>
      </c>
      <c r="AN127" s="136">
        <v>830.91224999999986</v>
      </c>
      <c r="AO127" s="176">
        <v>619.35</v>
      </c>
      <c r="AP127" s="169">
        <f t="shared" si="142"/>
        <v>-211.56224999999984</v>
      </c>
      <c r="AQ127" s="237">
        <f t="shared" ref="AQ127:AQ144" si="159">((AO127/AN127)-1)*100</f>
        <v>-25.461443130727691</v>
      </c>
      <c r="AR127" s="136">
        <v>830.91224999999986</v>
      </c>
      <c r="AS127" s="176">
        <v>1078.07</v>
      </c>
      <c r="AT127" s="169">
        <f t="shared" si="143"/>
        <v>247.15775000000008</v>
      </c>
      <c r="AU127" s="235">
        <f t="shared" ref="AU127:AU144" si="160">((AS127/AR127)-1)*100</f>
        <v>29.745349162923063</v>
      </c>
      <c r="AV127" s="136">
        <v>830.91224999999986</v>
      </c>
      <c r="AW127" s="136">
        <v>1120.1099999999999</v>
      </c>
      <c r="AX127" s="169">
        <f t="shared" si="144"/>
        <v>289.19775000000004</v>
      </c>
      <c r="AY127" s="237">
        <f t="shared" ref="AY127:AY144" si="161">((AW127/AV127)-1)*100</f>
        <v>34.804848526423825</v>
      </c>
      <c r="AZ127" s="136">
        <v>830.91224999999986</v>
      </c>
      <c r="BA127" s="176">
        <v>784.67</v>
      </c>
      <c r="BB127" s="137">
        <f t="shared" ref="BB127:BB144" si="162">BA127-AZ127</f>
        <v>-46.242249999999899</v>
      </c>
      <c r="BC127" s="237">
        <f t="shared" ref="BC127:BC144" si="163">((BA127/AZ127)-1)*100</f>
        <v>-5.5652386879601163</v>
      </c>
      <c r="BD127" s="388">
        <f t="shared" si="145"/>
        <v>18693.417999999998</v>
      </c>
      <c r="BE127" s="177">
        <f t="shared" si="140"/>
        <v>14631.020000000002</v>
      </c>
      <c r="BF127" s="118"/>
      <c r="BG127" s="118"/>
      <c r="BH127" s="118"/>
    </row>
    <row r="128" spans="2:60" s="119" customFormat="1" x14ac:dyDescent="0.25">
      <c r="B128" s="170">
        <v>12299</v>
      </c>
      <c r="C128" s="135">
        <v>193</v>
      </c>
      <c r="D128" s="332" t="s">
        <v>71</v>
      </c>
      <c r="E128" s="341"/>
      <c r="F128" s="148"/>
      <c r="G128" s="535"/>
      <c r="H128" s="212">
        <f>521751.899066955-2000</f>
        <v>519751.89906695503</v>
      </c>
      <c r="I128" s="82">
        <v>648507.86</v>
      </c>
      <c r="J128" s="138">
        <f t="shared" si="139"/>
        <v>128755.96093304496</v>
      </c>
      <c r="K128" s="371">
        <f t="shared" si="138"/>
        <v>24.772581141922579</v>
      </c>
      <c r="L128" s="136">
        <f>519152.667280394-2000</f>
        <v>517152.667280394</v>
      </c>
      <c r="M128" s="82">
        <v>305550.64</v>
      </c>
      <c r="N128" s="137">
        <f t="shared" si="146"/>
        <v>-211602.02728039399</v>
      </c>
      <c r="O128" s="237">
        <f t="shared" si="147"/>
        <v>-40.916742901698285</v>
      </c>
      <c r="P128" s="136">
        <f>532519.374328933-2000</f>
        <v>530519.37432893296</v>
      </c>
      <c r="Q128" s="137">
        <v>717204.64</v>
      </c>
      <c r="R128" s="137">
        <f t="shared" si="148"/>
        <v>186685.26567106706</v>
      </c>
      <c r="S128" s="235">
        <f t="shared" si="149"/>
        <v>35.189151368356697</v>
      </c>
      <c r="T128" s="136">
        <f>522148.580237828-2000</f>
        <v>520148.58023782802</v>
      </c>
      <c r="U128" s="137">
        <v>979456</v>
      </c>
      <c r="V128" s="137">
        <f t="shared" si="150"/>
        <v>459307.41976217198</v>
      </c>
      <c r="W128" s="237">
        <f t="shared" si="151"/>
        <v>88.303118995761238</v>
      </c>
      <c r="X128" s="136">
        <v>650000</v>
      </c>
      <c r="Y128" s="137">
        <v>884620.92</v>
      </c>
      <c r="Z128" s="137">
        <f t="shared" si="152"/>
        <v>234620.92000000004</v>
      </c>
      <c r="AA128" s="237">
        <f t="shared" si="153"/>
        <v>36.095526153846166</v>
      </c>
      <c r="AB128" s="136">
        <v>650000</v>
      </c>
      <c r="AC128" s="137">
        <v>871948.11</v>
      </c>
      <c r="AD128" s="137">
        <f t="shared" si="154"/>
        <v>221948.11</v>
      </c>
      <c r="AE128" s="237">
        <f t="shared" si="155"/>
        <v>34.145863076923064</v>
      </c>
      <c r="AF128" s="136">
        <v>578173.84300585196</v>
      </c>
      <c r="AG128" s="212">
        <v>923643.14</v>
      </c>
      <c r="AH128" s="137">
        <f t="shared" si="156"/>
        <v>345469.29699414806</v>
      </c>
      <c r="AI128" s="237">
        <f t="shared" si="157"/>
        <v>59.751803228955723</v>
      </c>
      <c r="AJ128" s="136">
        <v>579782.53602879995</v>
      </c>
      <c r="AK128" s="136">
        <v>937341.73</v>
      </c>
      <c r="AL128" s="169">
        <f t="shared" si="141"/>
        <v>357559.19397120003</v>
      </c>
      <c r="AM128" s="237">
        <f t="shared" si="158"/>
        <v>61.671259783071285</v>
      </c>
      <c r="AN128" s="136">
        <v>571583.48261291801</v>
      </c>
      <c r="AO128" s="176">
        <v>883969.4</v>
      </c>
      <c r="AP128" s="169">
        <f t="shared" si="142"/>
        <v>312385.91738708201</v>
      </c>
      <c r="AQ128" s="237">
        <f t="shared" si="159"/>
        <v>54.652719487108214</v>
      </c>
      <c r="AR128" s="136">
        <v>573150.85194094398</v>
      </c>
      <c r="AS128" s="176">
        <v>762889.3</v>
      </c>
      <c r="AT128" s="169">
        <f t="shared" si="143"/>
        <v>189738.44805905607</v>
      </c>
      <c r="AU128" s="237">
        <f t="shared" si="160"/>
        <v>33.104451893688577</v>
      </c>
      <c r="AV128" s="136">
        <v>598568.90214314905</v>
      </c>
      <c r="AW128" s="136">
        <v>972996.57</v>
      </c>
      <c r="AX128" s="169">
        <f t="shared" si="144"/>
        <v>374427.66785685089</v>
      </c>
      <c r="AY128" s="237">
        <f t="shared" si="161"/>
        <v>62.553812354138259</v>
      </c>
      <c r="AZ128" s="136">
        <v>540483.17308983498</v>
      </c>
      <c r="BA128" s="176">
        <v>844440</v>
      </c>
      <c r="BB128" s="137">
        <f t="shared" si="162"/>
        <v>303956.82691016502</v>
      </c>
      <c r="BC128" s="237">
        <f t="shared" si="163"/>
        <v>56.237981503199123</v>
      </c>
      <c r="BD128" s="388">
        <f t="shared" si="145"/>
        <v>7392461.9288214976</v>
      </c>
      <c r="BE128" s="177">
        <f t="shared" si="140"/>
        <v>9732568.3099999987</v>
      </c>
      <c r="BF128" s="118"/>
      <c r="BG128" s="118"/>
      <c r="BH128" s="118"/>
    </row>
    <row r="129" spans="2:60" s="119" customFormat="1" x14ac:dyDescent="0.25">
      <c r="B129" s="170">
        <v>12297</v>
      </c>
      <c r="C129" s="135">
        <v>156</v>
      </c>
      <c r="D129" s="332" t="s">
        <v>200</v>
      </c>
      <c r="E129" s="341"/>
      <c r="F129" s="256"/>
      <c r="G129" s="535"/>
      <c r="H129" s="212">
        <f>43044.5316730238-1206.46</f>
        <v>41838.071673023798</v>
      </c>
      <c r="I129" s="82">
        <v>51148.26</v>
      </c>
      <c r="J129" s="138">
        <f t="shared" si="139"/>
        <v>9310.1883269762038</v>
      </c>
      <c r="K129" s="371">
        <f t="shared" si="138"/>
        <v>22.252909741485993</v>
      </c>
      <c r="L129" s="136">
        <f>42830.0950506324-1206.46</f>
        <v>41623.635050632402</v>
      </c>
      <c r="M129" s="82">
        <v>36533.599999999999</v>
      </c>
      <c r="N129" s="137">
        <f t="shared" si="146"/>
        <v>-5090.035050632403</v>
      </c>
      <c r="O129" s="237">
        <f t="shared" si="147"/>
        <v>-12.228713432742511</v>
      </c>
      <c r="P129" s="136">
        <f>43932.848382137-1206.46</f>
        <v>42726.388382137004</v>
      </c>
      <c r="Q129" s="137">
        <v>46387.18</v>
      </c>
      <c r="R129" s="137">
        <f t="shared" si="148"/>
        <v>3660.7916178629966</v>
      </c>
      <c r="S129" s="252">
        <f t="shared" si="149"/>
        <v>8.5679875048682916</v>
      </c>
      <c r="T129" s="212">
        <f>43077.2578696208-1206.46</f>
        <v>41870.797869620801</v>
      </c>
      <c r="U129" s="137">
        <v>41024.550000000003</v>
      </c>
      <c r="V129" s="137">
        <f t="shared" si="150"/>
        <v>-846.24786962079816</v>
      </c>
      <c r="W129" s="237">
        <f t="shared" si="151"/>
        <v>-2.0210932503743617</v>
      </c>
      <c r="X129" s="136">
        <v>45731.136118936003</v>
      </c>
      <c r="Y129" s="137">
        <v>63171.13</v>
      </c>
      <c r="Z129" s="137">
        <f t="shared" si="152"/>
        <v>17439.993881063994</v>
      </c>
      <c r="AA129" s="240">
        <f t="shared" si="153"/>
        <v>38.135929611953316</v>
      </c>
      <c r="AB129" s="212">
        <v>42002.554346876503</v>
      </c>
      <c r="AC129" s="137">
        <v>38315.68</v>
      </c>
      <c r="AD129" s="137">
        <f t="shared" si="154"/>
        <v>-3686.8743468765024</v>
      </c>
      <c r="AE129" s="252">
        <f t="shared" si="155"/>
        <v>-8.7777384118798878</v>
      </c>
      <c r="AF129" s="212">
        <v>46657.882047982799</v>
      </c>
      <c r="AG129" s="212">
        <v>41632.949999999997</v>
      </c>
      <c r="AH129" s="137">
        <f t="shared" si="156"/>
        <v>-5024.932047982802</v>
      </c>
      <c r="AI129" s="237">
        <f t="shared" si="157"/>
        <v>-10.769738846729437</v>
      </c>
      <c r="AJ129" s="136">
        <v>46790.599222375902</v>
      </c>
      <c r="AK129" s="136">
        <v>46317.24</v>
      </c>
      <c r="AL129" s="169">
        <f t="shared" si="141"/>
        <v>-473.35922237590421</v>
      </c>
      <c r="AM129" s="252">
        <f t="shared" si="158"/>
        <v>-1.0116545422430456</v>
      </c>
      <c r="AN129" s="254">
        <v>46114.177315565699</v>
      </c>
      <c r="AO129" s="176">
        <v>58800.72</v>
      </c>
      <c r="AP129" s="169">
        <f t="shared" si="142"/>
        <v>12686.542684434302</v>
      </c>
      <c r="AQ129" s="237">
        <f t="shared" si="159"/>
        <v>27.511154753165236</v>
      </c>
      <c r="AR129" s="243">
        <v>46243.485285127899</v>
      </c>
      <c r="AS129" s="176">
        <v>48529.58</v>
      </c>
      <c r="AT129" s="169">
        <f t="shared" si="143"/>
        <v>2286.0947148721025</v>
      </c>
      <c r="AU129" s="252">
        <f t="shared" si="160"/>
        <v>4.9436038412254302</v>
      </c>
      <c r="AV129" s="254">
        <v>48340.4744268098</v>
      </c>
      <c r="AW129" s="136">
        <v>47791.8</v>
      </c>
      <c r="AX129" s="169">
        <f t="shared" si="144"/>
        <v>-548.6744268097973</v>
      </c>
      <c r="AY129" s="237">
        <f t="shared" si="161"/>
        <v>-1.1350207736180229</v>
      </c>
      <c r="AZ129" s="243">
        <v>43548.401779911299</v>
      </c>
      <c r="BA129" s="176">
        <v>63826.96</v>
      </c>
      <c r="BB129" s="137">
        <f t="shared" si="162"/>
        <v>20278.5582200887</v>
      </c>
      <c r="BC129" s="237">
        <f t="shared" si="163"/>
        <v>46.565562434585402</v>
      </c>
      <c r="BD129" s="388">
        <f t="shared" si="145"/>
        <v>540522.30054358591</v>
      </c>
      <c r="BE129" s="177">
        <f t="shared" si="140"/>
        <v>583479.65</v>
      </c>
      <c r="BF129" s="118"/>
      <c r="BG129" s="118"/>
      <c r="BH129" s="118"/>
    </row>
    <row r="130" spans="2:60" s="119" customFormat="1" x14ac:dyDescent="0.25">
      <c r="B130" s="170">
        <v>12301</v>
      </c>
      <c r="C130" s="135">
        <v>192</v>
      </c>
      <c r="D130" s="332" t="s">
        <v>72</v>
      </c>
      <c r="E130" s="341"/>
      <c r="F130" s="256"/>
      <c r="G130" s="535"/>
      <c r="H130" s="212">
        <f>573927.088973651-1206.46</f>
        <v>572720.6289736511</v>
      </c>
      <c r="I130" s="87">
        <v>797742.57</v>
      </c>
      <c r="J130" s="138">
        <f t="shared" si="139"/>
        <v>225021.94102634885</v>
      </c>
      <c r="K130" s="371">
        <f t="shared" si="138"/>
        <v>39.290001030624879</v>
      </c>
      <c r="L130" s="136">
        <f>571067.934008433-1206.46</f>
        <v>569861.47400843306</v>
      </c>
      <c r="M130" s="87">
        <v>480029.81</v>
      </c>
      <c r="N130" s="137">
        <f t="shared" si="146"/>
        <v>-89831.664008433057</v>
      </c>
      <c r="O130" s="237">
        <f t="shared" si="147"/>
        <v>-15.763772092988281</v>
      </c>
      <c r="P130" s="136">
        <f>585771.311761826-1206.46</f>
        <v>584564.85176182608</v>
      </c>
      <c r="Q130" s="137">
        <v>692051.61</v>
      </c>
      <c r="R130" s="137">
        <f t="shared" si="148"/>
        <v>107486.7582381739</v>
      </c>
      <c r="S130" s="252">
        <f t="shared" si="149"/>
        <v>18.387482229596674</v>
      </c>
      <c r="T130" s="212">
        <f>574363.43826161-1206.46</f>
        <v>573156.97826161003</v>
      </c>
      <c r="U130" s="137">
        <v>693204.12</v>
      </c>
      <c r="V130" s="137">
        <f t="shared" si="150"/>
        <v>120047.14173838997</v>
      </c>
      <c r="W130" s="237">
        <f t="shared" si="151"/>
        <v>20.9448975222275</v>
      </c>
      <c r="X130" s="136">
        <v>624628.15491914703</v>
      </c>
      <c r="Y130" s="137">
        <v>719776.51</v>
      </c>
      <c r="Z130" s="137">
        <f t="shared" si="152"/>
        <v>95148.355080852984</v>
      </c>
      <c r="AA130" s="240">
        <f t="shared" si="153"/>
        <v>15.232799599494374</v>
      </c>
      <c r="AB130" s="212">
        <v>574913.73129168607</v>
      </c>
      <c r="AC130" s="137">
        <v>864014.65</v>
      </c>
      <c r="AD130" s="137">
        <f t="shared" si="154"/>
        <v>289100.91870831395</v>
      </c>
      <c r="AE130" s="252">
        <f t="shared" si="155"/>
        <v>50.285965175814674</v>
      </c>
      <c r="AF130" s="212">
        <v>636984.76730643702</v>
      </c>
      <c r="AG130" s="212">
        <v>1041096.85</v>
      </c>
      <c r="AH130" s="137">
        <f t="shared" si="156"/>
        <v>404112.08269356296</v>
      </c>
      <c r="AI130" s="237">
        <f t="shared" si="157"/>
        <v>63.441404478539923</v>
      </c>
      <c r="AJ130" s="136">
        <v>638754.32963168004</v>
      </c>
      <c r="AK130" s="136">
        <v>1011492.92</v>
      </c>
      <c r="AL130" s="169">
        <f t="shared" si="141"/>
        <v>372738.59036832</v>
      </c>
      <c r="AM130" s="252">
        <f t="shared" si="158"/>
        <v>58.353982599734302</v>
      </c>
      <c r="AN130" s="254">
        <v>629735.37087420898</v>
      </c>
      <c r="AO130" s="176">
        <v>1001359.46</v>
      </c>
      <c r="AP130" s="169">
        <f t="shared" si="142"/>
        <v>371624.08912579098</v>
      </c>
      <c r="AQ130" s="237">
        <f t="shared" si="159"/>
        <v>59.012738733397853</v>
      </c>
      <c r="AR130" s="243">
        <v>631459.47713503905</v>
      </c>
      <c r="AS130" s="176">
        <v>852945.88</v>
      </c>
      <c r="AT130" s="169">
        <f t="shared" si="143"/>
        <v>221486.40286496095</v>
      </c>
      <c r="AU130" s="252">
        <f t="shared" si="160"/>
        <v>35.075315342459511</v>
      </c>
      <c r="AV130" s="254">
        <v>659419.33235746401</v>
      </c>
      <c r="AW130" s="136">
        <v>1077151.93</v>
      </c>
      <c r="AX130" s="169">
        <f t="shared" si="144"/>
        <v>417732.59764253593</v>
      </c>
      <c r="AY130" s="237">
        <f t="shared" si="161"/>
        <v>63.348551846230627</v>
      </c>
      <c r="AZ130" s="243">
        <v>595525.03039881808</v>
      </c>
      <c r="BA130" s="176">
        <v>927390.07</v>
      </c>
      <c r="BB130" s="137">
        <f t="shared" si="162"/>
        <v>331865.03960118187</v>
      </c>
      <c r="BC130" s="237">
        <f t="shared" si="163"/>
        <v>55.726463651567194</v>
      </c>
      <c r="BD130" s="388">
        <f t="shared" si="145"/>
        <v>7654448.3039144808</v>
      </c>
      <c r="BE130" s="177">
        <f t="shared" si="140"/>
        <v>10158256.380000001</v>
      </c>
      <c r="BF130" s="118"/>
      <c r="BG130" s="118"/>
      <c r="BH130" s="118"/>
    </row>
    <row r="131" spans="2:60" s="119" customFormat="1" x14ac:dyDescent="0.25">
      <c r="B131" s="170">
        <v>12329</v>
      </c>
      <c r="C131" s="135">
        <v>194</v>
      </c>
      <c r="D131" s="332" t="s">
        <v>73</v>
      </c>
      <c r="E131" s="341"/>
      <c r="F131" s="256"/>
      <c r="G131" s="535"/>
      <c r="H131" s="212">
        <f>456532.911683586-1206.46</f>
        <v>455326.451683586</v>
      </c>
      <c r="I131" s="87">
        <v>592061.56999999995</v>
      </c>
      <c r="J131" s="138">
        <f t="shared" si="139"/>
        <v>136735.11831641395</v>
      </c>
      <c r="K131" s="371">
        <f t="shared" si="138"/>
        <v>30.030128451977902</v>
      </c>
      <c r="L131" s="136">
        <f>454258.583870345-1206.46</f>
        <v>453052.12387034501</v>
      </c>
      <c r="M131" s="87">
        <v>535713.49</v>
      </c>
      <c r="N131" s="137">
        <f t="shared" si="146"/>
        <v>82661.366129654984</v>
      </c>
      <c r="O131" s="237">
        <f t="shared" si="147"/>
        <v>18.245442803246004</v>
      </c>
      <c r="P131" s="136">
        <f>465954.452537816-1206.46</f>
        <v>464747.992537816</v>
      </c>
      <c r="Q131" s="137">
        <v>449350.13</v>
      </c>
      <c r="R131" s="137">
        <f t="shared" si="148"/>
        <v>-15397.862537815992</v>
      </c>
      <c r="S131" s="252">
        <f t="shared" si="149"/>
        <v>-3.3131638619317116</v>
      </c>
      <c r="T131" s="212">
        <f>456880.007708099-1206.46</f>
        <v>455673.54770809895</v>
      </c>
      <c r="U131" s="137">
        <v>897910.47</v>
      </c>
      <c r="V131" s="137">
        <f t="shared" si="150"/>
        <v>442236.92229190102</v>
      </c>
      <c r="W131" s="237">
        <f t="shared" si="151"/>
        <v>97.051260604487538</v>
      </c>
      <c r="X131" s="136">
        <v>496616.52914022998</v>
      </c>
      <c r="Y131" s="137">
        <v>634928.94999999995</v>
      </c>
      <c r="Z131" s="137">
        <f t="shared" si="152"/>
        <v>138312.42085976998</v>
      </c>
      <c r="AA131" s="240">
        <f t="shared" si="153"/>
        <v>27.850949926943457</v>
      </c>
      <c r="AB131" s="212">
        <v>457070.96489111398</v>
      </c>
      <c r="AC131" s="137">
        <v>623198.38</v>
      </c>
      <c r="AD131" s="137">
        <f t="shared" si="154"/>
        <v>166127.41510888602</v>
      </c>
      <c r="AE131" s="252">
        <f t="shared" si="155"/>
        <v>36.34608799718044</v>
      </c>
      <c r="AF131" s="212">
        <v>506445.65263012098</v>
      </c>
      <c r="AG131" s="212">
        <v>356792.98</v>
      </c>
      <c r="AH131" s="137">
        <f t="shared" si="156"/>
        <v>-149652.672630121</v>
      </c>
      <c r="AI131" s="237">
        <f t="shared" si="157"/>
        <v>-29.549601591588505</v>
      </c>
      <c r="AJ131" s="136">
        <v>507853.25902519998</v>
      </c>
      <c r="AK131" s="136">
        <v>370266.34</v>
      </c>
      <c r="AL131" s="169">
        <f t="shared" si="141"/>
        <v>-137586.91902519995</v>
      </c>
      <c r="AM131" s="252">
        <f t="shared" si="158"/>
        <v>-27.091864939351073</v>
      </c>
      <c r="AN131" s="254">
        <v>500679.08728630299</v>
      </c>
      <c r="AO131" s="176">
        <v>355718.22</v>
      </c>
      <c r="AP131" s="169">
        <f t="shared" si="142"/>
        <v>-144960.86728630302</v>
      </c>
      <c r="AQ131" s="237">
        <f t="shared" si="159"/>
        <v>-28.952850431999401</v>
      </c>
      <c r="AR131" s="243">
        <v>502050.53544832597</v>
      </c>
      <c r="AS131" s="176">
        <v>424048.74</v>
      </c>
      <c r="AT131" s="169">
        <f t="shared" si="143"/>
        <v>-78001.795448325982</v>
      </c>
      <c r="AU131" s="252">
        <f t="shared" si="160"/>
        <v>-15.536642218431496</v>
      </c>
      <c r="AV131" s="254">
        <v>524291.32937525504</v>
      </c>
      <c r="AW131" s="136">
        <v>299564.59999999998</v>
      </c>
      <c r="AX131" s="169">
        <f t="shared" si="144"/>
        <v>-224726.72937525506</v>
      </c>
      <c r="AY131" s="237">
        <f t="shared" si="161"/>
        <v>-42.86294981132707</v>
      </c>
      <c r="AZ131" s="243">
        <v>473466.31645360496</v>
      </c>
      <c r="BA131" s="176">
        <v>417005</v>
      </c>
      <c r="BB131" s="137">
        <f t="shared" si="162"/>
        <v>-56461.316453604959</v>
      </c>
      <c r="BC131" s="237">
        <f t="shared" si="163"/>
        <v>-11.925096779115352</v>
      </c>
      <c r="BD131" s="388">
        <f t="shared" si="145"/>
        <v>6443509.334250154</v>
      </c>
      <c r="BE131" s="177">
        <f t="shared" si="140"/>
        <v>5956558.8700000001</v>
      </c>
      <c r="BF131" s="118"/>
      <c r="BG131" s="118"/>
      <c r="BH131" s="118"/>
    </row>
    <row r="132" spans="2:60" s="119" customFormat="1" x14ac:dyDescent="0.25">
      <c r="B132" s="170">
        <v>11605</v>
      </c>
      <c r="C132" s="135">
        <v>200</v>
      </c>
      <c r="D132" s="332" t="s">
        <v>74</v>
      </c>
      <c r="E132" s="341"/>
      <c r="F132" s="256"/>
      <c r="G132" s="535"/>
      <c r="H132" s="212">
        <f>71889.71475-20265-1206.46-1205.79</f>
        <v>49212.464749999999</v>
      </c>
      <c r="I132" s="87">
        <v>51624.639999999999</v>
      </c>
      <c r="J132" s="138">
        <f t="shared" si="139"/>
        <v>2412.1752500000002</v>
      </c>
      <c r="K132" s="371">
        <f t="shared" si="138"/>
        <v>4.9015534219915224</v>
      </c>
      <c r="L132" s="136">
        <f>71889.71475-20265-1206.46-1205.79</f>
        <v>49212.464749999999</v>
      </c>
      <c r="M132" s="87">
        <v>57575.03</v>
      </c>
      <c r="N132" s="137">
        <f t="shared" si="146"/>
        <v>8362.5652499999997</v>
      </c>
      <c r="O132" s="237">
        <f t="shared" si="147"/>
        <v>16.992778745145042</v>
      </c>
      <c r="P132" s="136">
        <f>71889.71475-20265-1206.46-1205.79</f>
        <v>49212.464749999999</v>
      </c>
      <c r="Q132" s="137">
        <v>75203.94</v>
      </c>
      <c r="R132" s="137">
        <f t="shared" si="148"/>
        <v>25991.475250000003</v>
      </c>
      <c r="S132" s="252">
        <f t="shared" si="149"/>
        <v>52.814821167842439</v>
      </c>
      <c r="T132" s="212">
        <f>71889.71475-20265-1206.46-1205.79</f>
        <v>49212.464749999999</v>
      </c>
      <c r="U132" s="137">
        <v>35040.269999999997</v>
      </c>
      <c r="V132" s="137">
        <f t="shared" si="150"/>
        <v>-14172.194750000002</v>
      </c>
      <c r="W132" s="237">
        <f t="shared" si="151"/>
        <v>-28.797977955371568</v>
      </c>
      <c r="X132" s="136">
        <v>49212.464749999999</v>
      </c>
      <c r="Y132" s="137">
        <v>52592.7</v>
      </c>
      <c r="Z132" s="137">
        <f t="shared" si="152"/>
        <v>3380.2352499999979</v>
      </c>
      <c r="AA132" s="240">
        <f t="shared" si="153"/>
        <v>6.868656685194785</v>
      </c>
      <c r="AB132" s="212">
        <v>49212.464749999999</v>
      </c>
      <c r="AC132" s="137">
        <v>66390</v>
      </c>
      <c r="AD132" s="137">
        <f t="shared" si="154"/>
        <v>17177.535250000001</v>
      </c>
      <c r="AE132" s="252">
        <f t="shared" si="155"/>
        <v>34.904846439336289</v>
      </c>
      <c r="AF132" s="212">
        <v>49212.464749999999</v>
      </c>
      <c r="AG132" s="212">
        <v>63574.35</v>
      </c>
      <c r="AH132" s="137">
        <f t="shared" si="156"/>
        <v>14361.885249999999</v>
      </c>
      <c r="AI132" s="237">
        <f t="shared" si="157"/>
        <v>29.183430098367502</v>
      </c>
      <c r="AJ132" s="136">
        <v>49212.464749999999</v>
      </c>
      <c r="AK132" s="136">
        <v>83045.14</v>
      </c>
      <c r="AL132" s="169">
        <f t="shared" si="141"/>
        <v>33832.67525</v>
      </c>
      <c r="AM132" s="252">
        <f t="shared" si="158"/>
        <v>68.748182847314098</v>
      </c>
      <c r="AN132" s="254">
        <v>49212.464749999999</v>
      </c>
      <c r="AO132" s="176">
        <v>67188.820000000007</v>
      </c>
      <c r="AP132" s="169">
        <f t="shared" si="142"/>
        <v>17976.355250000008</v>
      </c>
      <c r="AQ132" s="237">
        <f t="shared" si="159"/>
        <v>36.528053088420066</v>
      </c>
      <c r="AR132" s="243">
        <v>49212.464749999999</v>
      </c>
      <c r="AS132" s="176">
        <v>111866.24000000001</v>
      </c>
      <c r="AT132" s="169">
        <f t="shared" si="143"/>
        <v>62653.775250000006</v>
      </c>
      <c r="AU132" s="252">
        <f t="shared" si="160"/>
        <v>127.31281712525893</v>
      </c>
      <c r="AV132" s="254">
        <v>49212.464749999999</v>
      </c>
      <c r="AW132" s="136">
        <v>84852.800000000003</v>
      </c>
      <c r="AX132" s="169">
        <f t="shared" si="144"/>
        <v>35640.335250000004</v>
      </c>
      <c r="AY132" s="237">
        <f t="shared" si="161"/>
        <v>72.421357944686164</v>
      </c>
      <c r="AZ132" s="243">
        <v>49212.464749999999</v>
      </c>
      <c r="BA132" s="176">
        <v>108736.28</v>
      </c>
      <c r="BB132" s="137">
        <f t="shared" si="162"/>
        <v>59523.81525</v>
      </c>
      <c r="BC132" s="237">
        <f t="shared" si="163"/>
        <v>120.95272112945734</v>
      </c>
      <c r="BD132" s="388">
        <f t="shared" si="145"/>
        <v>613143.598</v>
      </c>
      <c r="BE132" s="177">
        <f t="shared" si="140"/>
        <v>857690.21</v>
      </c>
      <c r="BF132" s="118"/>
      <c r="BG132" s="118"/>
      <c r="BH132" s="118"/>
    </row>
    <row r="133" spans="2:60" s="119" customFormat="1" x14ac:dyDescent="0.25">
      <c r="B133" s="170">
        <v>12333</v>
      </c>
      <c r="C133" s="135">
        <v>202</v>
      </c>
      <c r="D133" s="332" t="s">
        <v>75</v>
      </c>
      <c r="E133" s="341"/>
      <c r="F133" s="256"/>
      <c r="G133" s="535"/>
      <c r="H133" s="212">
        <f>30392.07325-4425.62-1206.46</f>
        <v>24759.993250000003</v>
      </c>
      <c r="I133" s="87">
        <v>27204.03</v>
      </c>
      <c r="J133" s="138">
        <f t="shared" si="139"/>
        <v>2444.0367499999957</v>
      </c>
      <c r="K133" s="371">
        <f t="shared" si="138"/>
        <v>9.8709104050341168</v>
      </c>
      <c r="L133" s="136">
        <f>30392.07325-4425.62-1206.46</f>
        <v>24759.993250000003</v>
      </c>
      <c r="M133" s="87">
        <v>26942.58</v>
      </c>
      <c r="N133" s="137">
        <f t="shared" si="146"/>
        <v>2182.5867499999986</v>
      </c>
      <c r="O133" s="237">
        <f t="shared" si="147"/>
        <v>8.8149731220140701</v>
      </c>
      <c r="P133" s="136">
        <f>30392.07325-4425.62-1206.46</f>
        <v>24759.993250000003</v>
      </c>
      <c r="Q133" s="137">
        <v>28891.8</v>
      </c>
      <c r="R133" s="137">
        <f t="shared" si="148"/>
        <v>4131.8067499999961</v>
      </c>
      <c r="S133" s="252">
        <f t="shared" si="149"/>
        <v>16.687430841686492</v>
      </c>
      <c r="T133" s="212">
        <f>30392.07325-4425.62-1206.46</f>
        <v>24759.993250000003</v>
      </c>
      <c r="U133" s="137">
        <v>27826.26</v>
      </c>
      <c r="V133" s="137">
        <f t="shared" si="150"/>
        <v>3066.2667499999952</v>
      </c>
      <c r="W133" s="237">
        <f t="shared" si="151"/>
        <v>12.38395632438225</v>
      </c>
      <c r="X133" s="136">
        <v>24759.993250000003</v>
      </c>
      <c r="Y133" s="137">
        <v>24648.75</v>
      </c>
      <c r="Z133" s="137">
        <f t="shared" si="152"/>
        <v>-111.24325000000317</v>
      </c>
      <c r="AA133" s="240">
        <f t="shared" si="153"/>
        <v>-0.44928626949445327</v>
      </c>
      <c r="AB133" s="212">
        <v>24759.993250000003</v>
      </c>
      <c r="AC133" s="137">
        <v>26642.62</v>
      </c>
      <c r="AD133" s="137">
        <f t="shared" si="154"/>
        <v>1882.6267499999958</v>
      </c>
      <c r="AE133" s="252">
        <f t="shared" si="155"/>
        <v>7.6035026786608562</v>
      </c>
      <c r="AF133" s="212">
        <v>24759.993250000003</v>
      </c>
      <c r="AG133" s="212">
        <v>29367.16</v>
      </c>
      <c r="AH133" s="137">
        <f t="shared" si="156"/>
        <v>4607.1667499999967</v>
      </c>
      <c r="AI133" s="237">
        <f t="shared" si="157"/>
        <v>18.607302124365475</v>
      </c>
      <c r="AJ133" s="136">
        <v>24759.993250000003</v>
      </c>
      <c r="AK133" s="136">
        <v>28960.74</v>
      </c>
      <c r="AL133" s="169">
        <f t="shared" si="141"/>
        <v>4200.7467499999984</v>
      </c>
      <c r="AM133" s="252">
        <f t="shared" si="158"/>
        <v>16.965863873973387</v>
      </c>
      <c r="AN133" s="254">
        <v>24759.993250000003</v>
      </c>
      <c r="AO133" s="176">
        <v>28733.69</v>
      </c>
      <c r="AP133" s="169">
        <f t="shared" si="142"/>
        <v>3973.6967499999955</v>
      </c>
      <c r="AQ133" s="237">
        <f t="shared" si="159"/>
        <v>16.048860392964738</v>
      </c>
      <c r="AR133" s="243">
        <v>24759.993250000003</v>
      </c>
      <c r="AS133" s="176">
        <v>30037.57</v>
      </c>
      <c r="AT133" s="169">
        <f t="shared" si="143"/>
        <v>5277.5767499999965</v>
      </c>
      <c r="AU133" s="252">
        <f t="shared" si="160"/>
        <v>21.314936141995911</v>
      </c>
      <c r="AV133" s="254">
        <v>24759.993250000003</v>
      </c>
      <c r="AW133" s="136">
        <v>28737.41</v>
      </c>
      <c r="AX133" s="169">
        <f t="shared" si="144"/>
        <v>3977.4167499999967</v>
      </c>
      <c r="AY133" s="237">
        <f t="shared" si="161"/>
        <v>16.063884629693902</v>
      </c>
      <c r="AZ133" s="243">
        <v>24759.993250000003</v>
      </c>
      <c r="BA133" s="176">
        <v>33258.910000000003</v>
      </c>
      <c r="BB133" s="137">
        <f t="shared" si="162"/>
        <v>8498.9167500000003</v>
      </c>
      <c r="BC133" s="237">
        <f t="shared" si="163"/>
        <v>34.325198170237783</v>
      </c>
      <c r="BD133" s="388">
        <f t="shared" si="145"/>
        <v>308944.61600000004</v>
      </c>
      <c r="BE133" s="177">
        <f t="shared" si="140"/>
        <v>341251.5199999999</v>
      </c>
      <c r="BF133" s="118"/>
      <c r="BG133" s="118"/>
      <c r="BH133" s="118"/>
    </row>
    <row r="134" spans="2:60" s="119" customFormat="1" x14ac:dyDescent="0.25">
      <c r="B134" s="170">
        <v>12331</v>
      </c>
      <c r="C134" s="135">
        <v>196</v>
      </c>
      <c r="D134" s="332" t="s">
        <v>76</v>
      </c>
      <c r="E134" s="341"/>
      <c r="F134" s="256"/>
      <c r="G134" s="535"/>
      <c r="H134" s="212">
        <f>143275.832-1206.46</f>
        <v>142069.372</v>
      </c>
      <c r="I134" s="87">
        <v>166489.13</v>
      </c>
      <c r="J134" s="138">
        <f t="shared" si="139"/>
        <v>24419.758000000002</v>
      </c>
      <c r="K134" s="371">
        <f t="shared" si="138"/>
        <v>17.188615432184772</v>
      </c>
      <c r="L134" s="136">
        <f>143275.832-1206.46</f>
        <v>142069.372</v>
      </c>
      <c r="M134" s="87">
        <v>151927.72</v>
      </c>
      <c r="N134" s="137">
        <f t="shared" si="146"/>
        <v>9858.3479999999981</v>
      </c>
      <c r="O134" s="237">
        <f t="shared" si="147"/>
        <v>6.939108592666976</v>
      </c>
      <c r="P134" s="136">
        <f>143275.832-1206.46</f>
        <v>142069.372</v>
      </c>
      <c r="Q134" s="137">
        <v>134635.46</v>
      </c>
      <c r="R134" s="137">
        <f t="shared" si="148"/>
        <v>-7433.9120000000112</v>
      </c>
      <c r="S134" s="252">
        <f t="shared" si="149"/>
        <v>-5.23259298985288</v>
      </c>
      <c r="T134" s="212">
        <f>143275.832-1206.46</f>
        <v>142069.372</v>
      </c>
      <c r="U134" s="137">
        <v>137500.85</v>
      </c>
      <c r="V134" s="137">
        <f t="shared" si="150"/>
        <v>-4568.5219999999972</v>
      </c>
      <c r="W134" s="237">
        <f t="shared" si="151"/>
        <v>-3.2156980323668871</v>
      </c>
      <c r="X134" s="136">
        <v>142069.372</v>
      </c>
      <c r="Y134" s="137">
        <v>134346.72</v>
      </c>
      <c r="Z134" s="137">
        <f t="shared" si="152"/>
        <v>-7722.6520000000019</v>
      </c>
      <c r="AA134" s="240">
        <f t="shared" si="153"/>
        <v>-5.4358317287416469</v>
      </c>
      <c r="AB134" s="212">
        <v>142069.372</v>
      </c>
      <c r="AC134" s="137">
        <v>117306.21</v>
      </c>
      <c r="AD134" s="137">
        <f t="shared" si="154"/>
        <v>-24763.161999999997</v>
      </c>
      <c r="AE134" s="252">
        <f t="shared" si="155"/>
        <v>-17.430331148363209</v>
      </c>
      <c r="AF134" s="212">
        <v>142069.372</v>
      </c>
      <c r="AG134" s="212">
        <v>162211.18</v>
      </c>
      <c r="AH134" s="137">
        <f t="shared" si="156"/>
        <v>20141.80799999999</v>
      </c>
      <c r="AI134" s="237">
        <f t="shared" si="157"/>
        <v>14.177445649580257</v>
      </c>
      <c r="AJ134" s="136">
        <v>142069.372</v>
      </c>
      <c r="AK134" s="136">
        <v>145252.79999999999</v>
      </c>
      <c r="AL134" s="169">
        <f t="shared" si="141"/>
        <v>3183.4279999999853</v>
      </c>
      <c r="AM134" s="252">
        <f t="shared" si="158"/>
        <v>2.240756016011658</v>
      </c>
      <c r="AN134" s="254">
        <v>142069.372</v>
      </c>
      <c r="AO134" s="176">
        <v>157606.76</v>
      </c>
      <c r="AP134" s="169">
        <f t="shared" si="142"/>
        <v>15537.388000000006</v>
      </c>
      <c r="AQ134" s="237">
        <f t="shared" si="159"/>
        <v>10.936479679800382</v>
      </c>
      <c r="AR134" s="243">
        <v>142069.372</v>
      </c>
      <c r="AS134" s="176">
        <v>142331.13</v>
      </c>
      <c r="AT134" s="169">
        <f t="shared" si="143"/>
        <v>261.75800000000163</v>
      </c>
      <c r="AU134" s="252">
        <f t="shared" si="160"/>
        <v>0.18424660876237287</v>
      </c>
      <c r="AV134" s="254">
        <v>142069.372</v>
      </c>
      <c r="AW134" s="136">
        <v>138406.32</v>
      </c>
      <c r="AX134" s="169">
        <f t="shared" si="144"/>
        <v>-3663.051999999996</v>
      </c>
      <c r="AY134" s="237">
        <f t="shared" si="161"/>
        <v>-2.5783544675625047</v>
      </c>
      <c r="AZ134" s="243">
        <v>142069.372</v>
      </c>
      <c r="BA134" s="176">
        <v>161678.96</v>
      </c>
      <c r="BB134" s="137">
        <f t="shared" si="162"/>
        <v>19609.587999999989</v>
      </c>
      <c r="BC134" s="237">
        <f t="shared" si="163"/>
        <v>13.802825847642941</v>
      </c>
      <c r="BD134" s="388">
        <f t="shared" si="145"/>
        <v>1727108.1359999999</v>
      </c>
      <c r="BE134" s="177">
        <f t="shared" si="140"/>
        <v>1749693.24</v>
      </c>
      <c r="BF134" s="118"/>
      <c r="BG134" s="118"/>
      <c r="BH134" s="118"/>
    </row>
    <row r="135" spans="2:60" s="119" customFormat="1" x14ac:dyDescent="0.25">
      <c r="B135" s="170">
        <v>12316</v>
      </c>
      <c r="C135" s="135">
        <v>207</v>
      </c>
      <c r="D135" s="332" t="s">
        <v>201</v>
      </c>
      <c r="E135" s="341"/>
      <c r="F135" s="256"/>
      <c r="G135" s="535"/>
      <c r="H135" s="212">
        <f>27467.8005-6911-1206.46-2000</f>
        <v>17350.340500000002</v>
      </c>
      <c r="I135" s="87">
        <v>20557.07</v>
      </c>
      <c r="J135" s="138">
        <f t="shared" si="139"/>
        <v>3206.7294999999976</v>
      </c>
      <c r="K135" s="371">
        <f t="shared" si="138"/>
        <v>18.482228057714465</v>
      </c>
      <c r="L135" s="136">
        <f>27467.8005-6911-1206.46-2000</f>
        <v>17350.340500000002</v>
      </c>
      <c r="M135" s="87">
        <v>501.73</v>
      </c>
      <c r="N135" s="137">
        <f t="shared" si="146"/>
        <v>-16848.610500000003</v>
      </c>
      <c r="O135" s="237">
        <f t="shared" si="147"/>
        <v>-97.108241189848698</v>
      </c>
      <c r="P135" s="136">
        <f>27467.8005-6911-1206.46-2000</f>
        <v>17350.340500000002</v>
      </c>
      <c r="Q135" s="137">
        <v>22428.94</v>
      </c>
      <c r="R135" s="137">
        <f t="shared" si="148"/>
        <v>5078.5994999999966</v>
      </c>
      <c r="S135" s="252">
        <f t="shared" si="149"/>
        <v>29.27089240698184</v>
      </c>
      <c r="T135" s="212">
        <f>27467.8005-6911-1206.46-2000</f>
        <v>17350.340500000002</v>
      </c>
      <c r="U135" s="137">
        <v>9771.67</v>
      </c>
      <c r="V135" s="137">
        <f t="shared" si="150"/>
        <v>-7578.670500000002</v>
      </c>
      <c r="W135" s="237">
        <f t="shared" si="151"/>
        <v>-43.680240742249424</v>
      </c>
      <c r="X135" s="136">
        <v>13000</v>
      </c>
      <c r="Y135" s="137">
        <v>43110.46</v>
      </c>
      <c r="Z135" s="137">
        <f t="shared" si="152"/>
        <v>30110.46</v>
      </c>
      <c r="AA135" s="240">
        <f t="shared" si="153"/>
        <v>231.6189230769231</v>
      </c>
      <c r="AB135" s="212">
        <v>13000</v>
      </c>
      <c r="AC135" s="137">
        <v>9036.64</v>
      </c>
      <c r="AD135" s="137">
        <f t="shared" si="154"/>
        <v>-3963.3600000000006</v>
      </c>
      <c r="AE135" s="252">
        <f t="shared" si="155"/>
        <v>-30.487384615384617</v>
      </c>
      <c r="AF135" s="212">
        <v>13000</v>
      </c>
      <c r="AG135" s="212">
        <v>19993.169999999998</v>
      </c>
      <c r="AH135" s="137">
        <f t="shared" si="156"/>
        <v>6993.1699999999983</v>
      </c>
      <c r="AI135" s="237">
        <f t="shared" si="157"/>
        <v>53.793615384615379</v>
      </c>
      <c r="AJ135" s="136">
        <v>13000</v>
      </c>
      <c r="AK135" s="136">
        <v>32327.54</v>
      </c>
      <c r="AL135" s="169">
        <f t="shared" si="141"/>
        <v>19327.54</v>
      </c>
      <c r="AM135" s="252">
        <f t="shared" si="158"/>
        <v>148.67338461538461</v>
      </c>
      <c r="AN135" s="254">
        <v>13000</v>
      </c>
      <c r="AO135" s="176">
        <v>18640.98</v>
      </c>
      <c r="AP135" s="169">
        <f t="shared" si="142"/>
        <v>5640.98</v>
      </c>
      <c r="AQ135" s="237">
        <f t="shared" si="159"/>
        <v>43.392153846153846</v>
      </c>
      <c r="AR135" s="243">
        <v>13000</v>
      </c>
      <c r="AS135" s="176">
        <v>28656.75</v>
      </c>
      <c r="AT135" s="169">
        <f t="shared" si="143"/>
        <v>15656.75</v>
      </c>
      <c r="AU135" s="252">
        <f t="shared" si="160"/>
        <v>120.43653846153846</v>
      </c>
      <c r="AV135" s="254">
        <v>13000</v>
      </c>
      <c r="AW135" s="136">
        <v>19200.169999999998</v>
      </c>
      <c r="AX135" s="169">
        <f t="shared" si="144"/>
        <v>6200.1699999999983</v>
      </c>
      <c r="AY135" s="237">
        <f t="shared" si="161"/>
        <v>47.693615384615363</v>
      </c>
      <c r="AZ135" s="243">
        <v>13000</v>
      </c>
      <c r="BA135" s="176">
        <v>22845</v>
      </c>
      <c r="BB135" s="137">
        <f t="shared" si="162"/>
        <v>9845</v>
      </c>
      <c r="BC135" s="237">
        <f t="shared" si="163"/>
        <v>75.730769230769226</v>
      </c>
      <c r="BD135" s="388">
        <f t="shared" si="145"/>
        <v>157259.41</v>
      </c>
      <c r="BE135" s="177">
        <f t="shared" si="140"/>
        <v>247070.12</v>
      </c>
      <c r="BF135" s="118"/>
      <c r="BG135" s="118"/>
      <c r="BH135" s="118"/>
    </row>
    <row r="136" spans="2:60" s="119" customFormat="1" x14ac:dyDescent="0.25">
      <c r="B136" s="170">
        <v>12332</v>
      </c>
      <c r="C136" s="135">
        <v>203</v>
      </c>
      <c r="D136" s="332" t="s">
        <v>77</v>
      </c>
      <c r="E136" s="341"/>
      <c r="F136" s="256"/>
      <c r="G136" s="535"/>
      <c r="H136" s="212">
        <f>19357.6915-4425.62-1206.46-2000</f>
        <v>11725.611500000003</v>
      </c>
      <c r="I136" s="87">
        <v>13997.25</v>
      </c>
      <c r="J136" s="138">
        <f t="shared" si="139"/>
        <v>2271.6384999999973</v>
      </c>
      <c r="K136" s="371">
        <f t="shared" si="138"/>
        <v>19.373305179009193</v>
      </c>
      <c r="L136" s="136">
        <f>19357.6915-4425.62-1206.46-2000</f>
        <v>11725.611500000003</v>
      </c>
      <c r="M136" s="87">
        <v>17262.95</v>
      </c>
      <c r="N136" s="137">
        <f t="shared" si="146"/>
        <v>5537.338499999998</v>
      </c>
      <c r="O136" s="237">
        <f t="shared" si="147"/>
        <v>47.22430467698846</v>
      </c>
      <c r="P136" s="136">
        <f>19357.6915-4425.62-1206.46-2000</f>
        <v>11725.611500000003</v>
      </c>
      <c r="Q136" s="137">
        <v>12261.28</v>
      </c>
      <c r="R136" s="137">
        <f t="shared" si="148"/>
        <v>535.66849999999795</v>
      </c>
      <c r="S136" s="252">
        <f t="shared" si="149"/>
        <v>4.5683630231139638</v>
      </c>
      <c r="T136" s="212">
        <f>19357.6915-4425.62-1206.46-2000</f>
        <v>11725.611500000003</v>
      </c>
      <c r="U136" s="137">
        <v>12115.59</v>
      </c>
      <c r="V136" s="137">
        <f t="shared" si="150"/>
        <v>389.97849999999744</v>
      </c>
      <c r="W136" s="237">
        <f t="shared" si="151"/>
        <v>3.325869188144237</v>
      </c>
      <c r="X136" s="136">
        <v>11725.611500000003</v>
      </c>
      <c r="Y136" s="137">
        <v>47848.49</v>
      </c>
      <c r="Z136" s="137">
        <f t="shared" si="152"/>
        <v>36122.878499999992</v>
      </c>
      <c r="AA136" s="240">
        <f t="shared" si="153"/>
        <v>308.06818475948984</v>
      </c>
      <c r="AB136" s="212">
        <v>11725.611500000003</v>
      </c>
      <c r="AC136" s="137">
        <v>45960.27</v>
      </c>
      <c r="AD136" s="137">
        <f t="shared" si="154"/>
        <v>34234.65849999999</v>
      </c>
      <c r="AE136" s="252">
        <f t="shared" si="155"/>
        <v>291.96480285910877</v>
      </c>
      <c r="AF136" s="212">
        <v>11725.611500000003</v>
      </c>
      <c r="AG136" s="212">
        <v>19668.86</v>
      </c>
      <c r="AH136" s="137">
        <f t="shared" si="156"/>
        <v>7943.2484999999979</v>
      </c>
      <c r="AI136" s="237">
        <f t="shared" si="157"/>
        <v>67.742722842215926</v>
      </c>
      <c r="AJ136" s="136">
        <v>11725.611500000003</v>
      </c>
      <c r="AK136" s="136">
        <v>17265.66</v>
      </c>
      <c r="AL136" s="169">
        <f t="shared" si="141"/>
        <v>5540.0484999999971</v>
      </c>
      <c r="AM136" s="252">
        <f t="shared" si="158"/>
        <v>47.247416478023311</v>
      </c>
      <c r="AN136" s="254">
        <v>11725.611500000003</v>
      </c>
      <c r="AO136" s="176">
        <v>17366.400000000001</v>
      </c>
      <c r="AP136" s="169">
        <f t="shared" si="142"/>
        <v>5640.7884999999987</v>
      </c>
      <c r="AQ136" s="237">
        <f t="shared" si="159"/>
        <v>48.10656143604961</v>
      </c>
      <c r="AR136" s="243">
        <v>11725.611500000003</v>
      </c>
      <c r="AS136" s="176">
        <v>25864.57</v>
      </c>
      <c r="AT136" s="169">
        <f t="shared" si="143"/>
        <v>14138.958499999997</v>
      </c>
      <c r="AU136" s="252">
        <f t="shared" si="160"/>
        <v>120.58184342880534</v>
      </c>
      <c r="AV136" s="254">
        <v>11725.611500000003</v>
      </c>
      <c r="AW136" s="136">
        <v>27566.17</v>
      </c>
      <c r="AX136" s="169">
        <f t="shared" si="144"/>
        <v>15840.558499999996</v>
      </c>
      <c r="AY136" s="237">
        <f t="shared" si="161"/>
        <v>135.09366654353155</v>
      </c>
      <c r="AZ136" s="243">
        <v>11725.611500000003</v>
      </c>
      <c r="BA136" s="176">
        <v>49258.06</v>
      </c>
      <c r="BB136" s="137">
        <f t="shared" si="162"/>
        <v>37532.448499999999</v>
      </c>
      <c r="BC136" s="237">
        <f t="shared" si="163"/>
        <v>320.0894767833642</v>
      </c>
      <c r="BD136" s="388">
        <f t="shared" si="145"/>
        <v>149441.962</v>
      </c>
      <c r="BE136" s="177">
        <f t="shared" si="140"/>
        <v>306435.55</v>
      </c>
      <c r="BF136" s="118"/>
      <c r="BG136" s="118"/>
      <c r="BH136" s="118"/>
    </row>
    <row r="137" spans="2:60" s="119" customFormat="1" x14ac:dyDescent="0.25">
      <c r="B137" s="170">
        <v>32497</v>
      </c>
      <c r="C137" s="135">
        <v>198</v>
      </c>
      <c r="D137" s="332" t="s">
        <v>202</v>
      </c>
      <c r="E137" s="341"/>
      <c r="F137" s="256"/>
      <c r="G137" s="535"/>
      <c r="H137" s="212">
        <f>52175.1899066955-1206.46-2298.83</f>
        <v>48669.8999066955</v>
      </c>
      <c r="I137" s="87">
        <v>52947.6</v>
      </c>
      <c r="J137" s="138">
        <f t="shared" si="139"/>
        <v>4277.7000933044983</v>
      </c>
      <c r="K137" s="371">
        <f t="shared" si="138"/>
        <v>8.7892107884035564</v>
      </c>
      <c r="L137" s="136">
        <f>51915.2667280394-1206.46-2298.83</f>
        <v>48409.976728039401</v>
      </c>
      <c r="M137" s="87">
        <v>56122.879999999997</v>
      </c>
      <c r="N137" s="137">
        <f t="shared" si="146"/>
        <v>7712.9032719605966</v>
      </c>
      <c r="O137" s="237">
        <f t="shared" si="147"/>
        <v>15.932466390741373</v>
      </c>
      <c r="P137" s="136">
        <f>53251.9374328933-1206.46-2298.83</f>
        <v>49746.647432893296</v>
      </c>
      <c r="Q137" s="137">
        <v>55730.42</v>
      </c>
      <c r="R137" s="137">
        <f t="shared" si="148"/>
        <v>5983.7725671067019</v>
      </c>
      <c r="S137" s="252">
        <f t="shared" si="149"/>
        <v>12.02849413154652</v>
      </c>
      <c r="T137" s="212">
        <f>52214.8580237828-1206.46-2298.83</f>
        <v>48709.568023782798</v>
      </c>
      <c r="U137" s="137">
        <v>77248.179999999993</v>
      </c>
      <c r="V137" s="137">
        <f t="shared" si="150"/>
        <v>28538.611976217195</v>
      </c>
      <c r="W137" s="237">
        <f t="shared" si="151"/>
        <v>58.589334978875215</v>
      </c>
      <c r="X137" s="136">
        <v>53388.765901740597</v>
      </c>
      <c r="Y137" s="137">
        <v>63360.89</v>
      </c>
      <c r="Z137" s="137">
        <f t="shared" si="152"/>
        <v>9972.1240982594027</v>
      </c>
      <c r="AA137" s="240">
        <f t="shared" si="153"/>
        <v>18.678319174136004</v>
      </c>
      <c r="AB137" s="212">
        <v>48869.272844698797</v>
      </c>
      <c r="AC137" s="137">
        <v>71552.490000000005</v>
      </c>
      <c r="AD137" s="137">
        <f t="shared" si="154"/>
        <v>22683.217155301209</v>
      </c>
      <c r="AE137" s="252">
        <f t="shared" si="155"/>
        <v>46.416113510397409</v>
      </c>
      <c r="AF137" s="212">
        <v>54512.094300585202</v>
      </c>
      <c r="AG137" s="212">
        <v>83677.399999999994</v>
      </c>
      <c r="AH137" s="137">
        <f t="shared" si="156"/>
        <v>29165.305699414792</v>
      </c>
      <c r="AI137" s="237">
        <f t="shared" si="157"/>
        <v>53.502449453866774</v>
      </c>
      <c r="AJ137" s="136">
        <v>54672.963602880001</v>
      </c>
      <c r="AK137" s="136">
        <v>79854.929999999993</v>
      </c>
      <c r="AL137" s="169">
        <f t="shared" si="141"/>
        <v>25181.966397119992</v>
      </c>
      <c r="AM137" s="252">
        <f t="shared" si="158"/>
        <v>46.059267209347851</v>
      </c>
      <c r="AN137" s="254">
        <v>53853.058261291801</v>
      </c>
      <c r="AO137" s="176">
        <v>87369.85</v>
      </c>
      <c r="AP137" s="169">
        <f t="shared" si="142"/>
        <v>33516.791738708205</v>
      </c>
      <c r="AQ137" s="237">
        <f t="shared" si="159"/>
        <v>62.237489978910297</v>
      </c>
      <c r="AR137" s="243">
        <v>54009.795194094397</v>
      </c>
      <c r="AS137" s="176">
        <v>87916.22</v>
      </c>
      <c r="AT137" s="169">
        <f t="shared" si="143"/>
        <v>33906.424805905604</v>
      </c>
      <c r="AU137" s="252">
        <f t="shared" si="160"/>
        <v>62.778288056928311</v>
      </c>
      <c r="AV137" s="254">
        <v>56551.600214314902</v>
      </c>
      <c r="AW137" s="136">
        <v>61991.88</v>
      </c>
      <c r="AX137" s="169">
        <f t="shared" si="144"/>
        <v>5440.2797856850957</v>
      </c>
      <c r="AY137" s="237">
        <f t="shared" si="161"/>
        <v>9.6200280187792142</v>
      </c>
      <c r="AZ137" s="243">
        <v>50743.027308983401</v>
      </c>
      <c r="BA137" s="176">
        <v>81521.61</v>
      </c>
      <c r="BB137" s="137">
        <f t="shared" si="162"/>
        <v>30778.5826910166</v>
      </c>
      <c r="BC137" s="237">
        <f t="shared" si="163"/>
        <v>60.655787254473978</v>
      </c>
      <c r="BD137" s="388">
        <f t="shared" si="145"/>
        <v>668649.65762858908</v>
      </c>
      <c r="BE137" s="177">
        <f t="shared" si="140"/>
        <v>859294.35</v>
      </c>
      <c r="BF137" s="118"/>
      <c r="BG137" s="118"/>
      <c r="BH137" s="118"/>
    </row>
    <row r="138" spans="2:60" s="119" customFormat="1" x14ac:dyDescent="0.25">
      <c r="B138" s="170">
        <v>51649</v>
      </c>
      <c r="C138" s="135">
        <v>363</v>
      </c>
      <c r="D138" s="332" t="s">
        <v>78</v>
      </c>
      <c r="E138" s="341"/>
      <c r="F138" s="256"/>
      <c r="G138" s="535"/>
      <c r="H138" s="212">
        <f>26087.5949533478-9918-1206.46</f>
        <v>14963.134953347802</v>
      </c>
      <c r="I138" s="87">
        <v>16169.18</v>
      </c>
      <c r="J138" s="138">
        <f t="shared" si="139"/>
        <v>1206.0450466521979</v>
      </c>
      <c r="K138" s="371">
        <f t="shared" si="138"/>
        <v>8.0601093982806127</v>
      </c>
      <c r="L138" s="136">
        <f>25957.6333640197-1206.46-9953</f>
        <v>14798.173364019702</v>
      </c>
      <c r="M138" s="87">
        <v>9312.41</v>
      </c>
      <c r="N138" s="137">
        <f t="shared" si="146"/>
        <v>-5485.7633640197018</v>
      </c>
      <c r="O138" s="237">
        <f t="shared" si="147"/>
        <v>-37.070543972391846</v>
      </c>
      <c r="P138" s="136">
        <f>26625.9687164466-1206.46-9953</f>
        <v>15466.508716446602</v>
      </c>
      <c r="Q138" s="137">
        <v>30471.99</v>
      </c>
      <c r="R138" s="137">
        <f t="shared" si="148"/>
        <v>15005.481283553399</v>
      </c>
      <c r="S138" s="252">
        <f t="shared" si="149"/>
        <v>97.01918874294519</v>
      </c>
      <c r="T138" s="212">
        <f>26107.4290118914-1206.46-9953</f>
        <v>14947.9690118914</v>
      </c>
      <c r="U138" s="137">
        <v>8123.66</v>
      </c>
      <c r="V138" s="137">
        <f t="shared" si="150"/>
        <v>-6824.3090118914006</v>
      </c>
      <c r="W138" s="237">
        <f t="shared" si="151"/>
        <v>-45.653754074968511</v>
      </c>
      <c r="X138" s="136">
        <v>17287.5679508703</v>
      </c>
      <c r="Y138" s="137">
        <v>11681.12</v>
      </c>
      <c r="Z138" s="137">
        <f t="shared" si="152"/>
        <v>-5606.4479508702989</v>
      </c>
      <c r="AA138" s="240">
        <f>((Y138/X138)-1)*100</f>
        <v>-32.430518664067243</v>
      </c>
      <c r="AB138" s="212">
        <v>15027.8214223494</v>
      </c>
      <c r="AC138" s="137">
        <v>10117.700000000001</v>
      </c>
      <c r="AD138" s="137">
        <f t="shared" si="154"/>
        <v>-4910.1214223493989</v>
      </c>
      <c r="AE138" s="252">
        <f t="shared" si="155"/>
        <v>-32.673541189723345</v>
      </c>
      <c r="AF138" s="212">
        <v>17849.232150292602</v>
      </c>
      <c r="AG138" s="212">
        <v>16237.09</v>
      </c>
      <c r="AH138" s="137">
        <f t="shared" si="156"/>
        <v>-1612.1421502926023</v>
      </c>
      <c r="AI138" s="237">
        <f t="shared" si="157"/>
        <v>-9.0319972126429846</v>
      </c>
      <c r="AJ138" s="136">
        <v>17929.666801440002</v>
      </c>
      <c r="AK138" s="136">
        <v>30356.18</v>
      </c>
      <c r="AL138" s="169">
        <f t="shared" si="141"/>
        <v>12426.513198559998</v>
      </c>
      <c r="AM138" s="252">
        <f t="shared" si="158"/>
        <v>69.306994581527732</v>
      </c>
      <c r="AN138" s="254">
        <v>17519.714130645902</v>
      </c>
      <c r="AO138" s="176">
        <v>18275.05</v>
      </c>
      <c r="AP138" s="169">
        <f t="shared" si="142"/>
        <v>755.33586935409767</v>
      </c>
      <c r="AQ138" s="237">
        <f t="shared" si="159"/>
        <v>4.311348140280713</v>
      </c>
      <c r="AR138" s="243">
        <v>17598.0825970472</v>
      </c>
      <c r="AS138" s="176">
        <v>8566.7000000000007</v>
      </c>
      <c r="AT138" s="169">
        <f t="shared" si="143"/>
        <v>-9031.3825970471989</v>
      </c>
      <c r="AU138" s="252">
        <f t="shared" si="160"/>
        <v>-51.320264848413565</v>
      </c>
      <c r="AV138" s="254">
        <v>18868.985107157401</v>
      </c>
      <c r="AW138" s="136">
        <v>9557.51</v>
      </c>
      <c r="AX138" s="169">
        <f t="shared" si="144"/>
        <v>-9311.475107157401</v>
      </c>
      <c r="AY138" s="237">
        <f t="shared" si="161"/>
        <v>-49.348044180846607</v>
      </c>
      <c r="AZ138" s="243">
        <v>15964.698654491702</v>
      </c>
      <c r="BA138" s="176">
        <v>29370.84</v>
      </c>
      <c r="BB138" s="137">
        <f t="shared" si="162"/>
        <v>13406.141345508298</v>
      </c>
      <c r="BC138" s="237">
        <f t="shared" si="163"/>
        <v>83.973657352664489</v>
      </c>
      <c r="BD138" s="388">
        <f t="shared" si="145"/>
        <v>202123.0088142945</v>
      </c>
      <c r="BE138" s="177">
        <f t="shared" si="140"/>
        <v>198239.43</v>
      </c>
      <c r="BF138" s="118"/>
      <c r="BG138" s="118"/>
      <c r="BH138" s="118"/>
    </row>
    <row r="139" spans="2:60" s="119" customFormat="1" x14ac:dyDescent="0.25">
      <c r="B139" s="170">
        <v>12328</v>
      </c>
      <c r="C139" s="135">
        <v>247</v>
      </c>
      <c r="D139" s="332" t="s">
        <v>336</v>
      </c>
      <c r="E139" s="341"/>
      <c r="F139" s="536"/>
      <c r="G139" s="535"/>
      <c r="H139" s="212">
        <f>3000-1206.46</f>
        <v>1793.54</v>
      </c>
      <c r="I139" s="87">
        <v>13106.11</v>
      </c>
      <c r="J139" s="138">
        <f t="shared" si="139"/>
        <v>11312.57</v>
      </c>
      <c r="K139" s="371">
        <f t="shared" si="138"/>
        <v>630.73976604926577</v>
      </c>
      <c r="L139" s="212">
        <f>3000-1206.46</f>
        <v>1793.54</v>
      </c>
      <c r="M139" s="87">
        <v>26165.97</v>
      </c>
      <c r="N139" s="137">
        <f t="shared" si="146"/>
        <v>24372.43</v>
      </c>
      <c r="O139" s="237">
        <f t="shared" si="147"/>
        <v>1358.9008329895069</v>
      </c>
      <c r="P139" s="212">
        <f>3000-1206.46</f>
        <v>1793.54</v>
      </c>
      <c r="Q139" s="137">
        <v>18992.84</v>
      </c>
      <c r="R139" s="137">
        <f>Q139-P139</f>
        <v>17199.3</v>
      </c>
      <c r="S139" s="252">
        <v>0</v>
      </c>
      <c r="T139" s="212">
        <f>3000-1206.46</f>
        <v>1793.54</v>
      </c>
      <c r="U139" s="137">
        <v>11501.2</v>
      </c>
      <c r="V139" s="137">
        <f>U139-T139</f>
        <v>9707.66</v>
      </c>
      <c r="W139" s="237"/>
      <c r="X139" s="212">
        <v>1793.54</v>
      </c>
      <c r="Y139" s="137">
        <v>15893.96</v>
      </c>
      <c r="Z139" s="137">
        <f>Y139-X139</f>
        <v>14100.419999999998</v>
      </c>
      <c r="AA139" s="240">
        <f>((Y139/X139)-1)*100</f>
        <v>786.17817277562813</v>
      </c>
      <c r="AB139" s="212">
        <v>1793.54</v>
      </c>
      <c r="AC139" s="137">
        <v>6355.15</v>
      </c>
      <c r="AD139" s="137">
        <f>AC139-AB139</f>
        <v>4561.6099999999997</v>
      </c>
      <c r="AE139" s="252">
        <f t="shared" si="155"/>
        <v>254.33555984254605</v>
      </c>
      <c r="AF139" s="212">
        <v>1793.54</v>
      </c>
      <c r="AG139" s="212">
        <v>21819.439999999999</v>
      </c>
      <c r="AH139" s="137">
        <f>AG139-AF139</f>
        <v>20025.899999999998</v>
      </c>
      <c r="AI139" s="237">
        <f t="shared" si="157"/>
        <v>1116.5571997279123</v>
      </c>
      <c r="AJ139" s="212">
        <v>1793.54</v>
      </c>
      <c r="AK139" s="136">
        <v>9643.98</v>
      </c>
      <c r="AL139" s="169">
        <f t="shared" si="141"/>
        <v>7850.44</v>
      </c>
      <c r="AM139" s="252">
        <f t="shared" si="158"/>
        <v>437.706435317863</v>
      </c>
      <c r="AN139" s="212">
        <v>1793.54</v>
      </c>
      <c r="AO139" s="176">
        <v>25632.28</v>
      </c>
      <c r="AP139" s="169">
        <f t="shared" si="142"/>
        <v>23838.739999999998</v>
      </c>
      <c r="AQ139" s="237">
        <f t="shared" si="159"/>
        <v>1329.1445967193372</v>
      </c>
      <c r="AR139" s="212">
        <v>1793.54</v>
      </c>
      <c r="AS139" s="176">
        <v>41387.9</v>
      </c>
      <c r="AT139" s="169">
        <f t="shared" si="143"/>
        <v>39594.36</v>
      </c>
      <c r="AU139" s="252">
        <f t="shared" si="160"/>
        <v>2207.6095319870201</v>
      </c>
      <c r="AV139" s="212">
        <v>1793.54</v>
      </c>
      <c r="AW139" s="136">
        <v>79562.710000000006</v>
      </c>
      <c r="AX139" s="169">
        <f t="shared" si="144"/>
        <v>77769.170000000013</v>
      </c>
      <c r="AY139" s="237">
        <f t="shared" si="161"/>
        <v>4336.0711219153191</v>
      </c>
      <c r="AZ139" s="212">
        <v>1793.54</v>
      </c>
      <c r="BA139" s="176">
        <v>15005.65</v>
      </c>
      <c r="BB139" s="137">
        <f t="shared" si="162"/>
        <v>13212.11</v>
      </c>
      <c r="BC139" s="237">
        <f t="shared" si="163"/>
        <v>736.64986562886804</v>
      </c>
      <c r="BD139" s="388">
        <f t="shared" si="145"/>
        <v>84114.44</v>
      </c>
      <c r="BE139" s="177">
        <f t="shared" si="140"/>
        <v>285067.19</v>
      </c>
      <c r="BF139" s="118"/>
      <c r="BG139" s="118"/>
      <c r="BH139" s="118"/>
    </row>
    <row r="140" spans="2:60" s="119" customFormat="1" ht="31.5" x14ac:dyDescent="0.25">
      <c r="B140" s="170" t="s">
        <v>79</v>
      </c>
      <c r="C140" s="135">
        <v>251</v>
      </c>
      <c r="D140" s="332" t="s">
        <v>203</v>
      </c>
      <c r="E140" s="341"/>
      <c r="F140" s="256"/>
      <c r="G140" s="535"/>
      <c r="H140" s="212">
        <f>7000-1206.46</f>
        <v>5793.54</v>
      </c>
      <c r="I140" s="87">
        <f>11860.65+9279.37+0</f>
        <v>21140.02</v>
      </c>
      <c r="J140" s="138">
        <f t="shared" si="139"/>
        <v>15346.48</v>
      </c>
      <c r="K140" s="371">
        <f t="shared" si="138"/>
        <v>264.88951487346253</v>
      </c>
      <c r="L140" s="136">
        <f>7000-1206.46</f>
        <v>5793.54</v>
      </c>
      <c r="M140" s="87">
        <f>-1496.18+10739.39+0</f>
        <v>9243.2099999999991</v>
      </c>
      <c r="N140" s="137">
        <f t="shared" si="146"/>
        <v>3449.6699999999992</v>
      </c>
      <c r="O140" s="237">
        <f t="shared" si="147"/>
        <v>59.543387980405747</v>
      </c>
      <c r="P140" s="136">
        <f>7000-1206.46</f>
        <v>5793.54</v>
      </c>
      <c r="Q140" s="137">
        <f>534.38+18499.51+104</f>
        <v>19137.89</v>
      </c>
      <c r="R140" s="137">
        <f t="shared" si="148"/>
        <v>13344.349999999999</v>
      </c>
      <c r="S140" s="252"/>
      <c r="T140" s="212">
        <f>7000-1206.46</f>
        <v>5793.54</v>
      </c>
      <c r="U140" s="137">
        <v>-14699.01</v>
      </c>
      <c r="V140" s="137">
        <f t="shared" si="150"/>
        <v>-20492.55</v>
      </c>
      <c r="W140" s="237"/>
      <c r="X140" s="136">
        <v>5793.54</v>
      </c>
      <c r="Y140" s="137">
        <f>4700.98+28976.72</f>
        <v>33677.699999999997</v>
      </c>
      <c r="Z140" s="137">
        <f t="shared" si="152"/>
        <v>27884.159999999996</v>
      </c>
      <c r="AA140" s="240"/>
      <c r="AB140" s="212">
        <v>5793.54</v>
      </c>
      <c r="AC140" s="137">
        <v>53268.27</v>
      </c>
      <c r="AD140" s="137">
        <f t="shared" si="154"/>
        <v>47474.729999999996</v>
      </c>
      <c r="AE140" s="252">
        <f t="shared" si="155"/>
        <v>819.44251701032533</v>
      </c>
      <c r="AF140" s="212">
        <v>5793.54</v>
      </c>
      <c r="AG140" s="212">
        <v>57535.49</v>
      </c>
      <c r="AH140" s="137">
        <f t="shared" si="156"/>
        <v>51741.95</v>
      </c>
      <c r="AI140" s="237">
        <f t="shared" si="157"/>
        <v>893.09731183352494</v>
      </c>
      <c r="AJ140" s="136">
        <v>5793.54</v>
      </c>
      <c r="AK140" s="136">
        <v>120208.4</v>
      </c>
      <c r="AL140" s="169">
        <f t="shared" si="141"/>
        <v>114414.86</v>
      </c>
      <c r="AM140" s="252">
        <f t="shared" si="158"/>
        <v>1974.8695961363865</v>
      </c>
      <c r="AN140" s="254">
        <v>5793.54</v>
      </c>
      <c r="AO140" s="176">
        <v>-41576.620000000003</v>
      </c>
      <c r="AP140" s="169">
        <f t="shared" si="142"/>
        <v>-47370.16</v>
      </c>
      <c r="AQ140" s="237">
        <f>((AO140/AN140)-1)*100</f>
        <v>-817.63757564459729</v>
      </c>
      <c r="AR140" s="243">
        <v>5793.54</v>
      </c>
      <c r="AS140" s="176">
        <v>-17167.36</v>
      </c>
      <c r="AT140" s="169">
        <f t="shared" si="143"/>
        <v>-22960.9</v>
      </c>
      <c r="AU140" s="252">
        <f t="shared" si="160"/>
        <v>-396.31900357984932</v>
      </c>
      <c r="AV140" s="254">
        <v>5793.54</v>
      </c>
      <c r="AW140" s="136">
        <v>29027.39</v>
      </c>
      <c r="AX140" s="169">
        <f t="shared" si="144"/>
        <v>23233.85</v>
      </c>
      <c r="AY140" s="237">
        <f t="shared" si="161"/>
        <v>401.03028545586977</v>
      </c>
      <c r="AZ140" s="243">
        <v>5793.54</v>
      </c>
      <c r="BA140" s="176">
        <v>313675</v>
      </c>
      <c r="BB140" s="137">
        <f t="shared" si="162"/>
        <v>307881.46000000002</v>
      </c>
      <c r="BC140" s="237">
        <f t="shared" si="163"/>
        <v>5314.2199760422818</v>
      </c>
      <c r="BD140" s="388">
        <f t="shared" si="145"/>
        <v>81170.429999999993</v>
      </c>
      <c r="BE140" s="177">
        <f t="shared" si="140"/>
        <v>583470.38</v>
      </c>
      <c r="BF140" s="118"/>
      <c r="BG140" s="118"/>
      <c r="BH140" s="118"/>
    </row>
    <row r="141" spans="2:60" s="119" customFormat="1" x14ac:dyDescent="0.25">
      <c r="B141" s="170">
        <v>54554</v>
      </c>
      <c r="C141" s="135"/>
      <c r="D141" s="332" t="s">
        <v>3682</v>
      </c>
      <c r="E141" s="341"/>
      <c r="F141" s="256"/>
      <c r="G141" s="535"/>
      <c r="H141" s="212"/>
      <c r="I141" s="87"/>
      <c r="J141" s="138"/>
      <c r="K141" s="371"/>
      <c r="L141" s="136"/>
      <c r="M141" s="87"/>
      <c r="N141" s="137"/>
      <c r="O141" s="237"/>
      <c r="P141" s="136"/>
      <c r="Q141" s="137"/>
      <c r="R141" s="137"/>
      <c r="S141" s="252"/>
      <c r="T141" s="219"/>
      <c r="U141" s="131"/>
      <c r="V141" s="137"/>
      <c r="W141" s="237"/>
      <c r="X141" s="129"/>
      <c r="Y141" s="131"/>
      <c r="Z141" s="137"/>
      <c r="AA141" s="240"/>
      <c r="AB141" s="212"/>
      <c r="AC141" s="137"/>
      <c r="AD141" s="137"/>
      <c r="AE141" s="252"/>
      <c r="AF141" s="212">
        <v>0</v>
      </c>
      <c r="AG141" s="212">
        <v>740</v>
      </c>
      <c r="AH141" s="137">
        <f>AG141-AF141</f>
        <v>740</v>
      </c>
      <c r="AI141" s="237"/>
      <c r="AJ141" s="136">
        <v>0</v>
      </c>
      <c r="AK141" s="136">
        <v>64611.26</v>
      </c>
      <c r="AL141" s="169">
        <f>AK141-AJ141</f>
        <v>64611.26</v>
      </c>
      <c r="AM141" s="252"/>
      <c r="AN141" s="254">
        <v>0</v>
      </c>
      <c r="AO141" s="176">
        <v>111114.54</v>
      </c>
      <c r="AP141" s="169">
        <f>AO141-AN141</f>
        <v>111114.54</v>
      </c>
      <c r="AQ141" s="237"/>
      <c r="AR141" s="243">
        <v>0</v>
      </c>
      <c r="AS141" s="176">
        <v>130534.74</v>
      </c>
      <c r="AT141" s="169">
        <f t="shared" si="143"/>
        <v>130534.74</v>
      </c>
      <c r="AU141" s="252">
        <v>0</v>
      </c>
      <c r="AV141" s="254">
        <v>0</v>
      </c>
      <c r="AW141" s="136">
        <v>113653.77</v>
      </c>
      <c r="AX141" s="169">
        <f t="shared" si="144"/>
        <v>113653.77</v>
      </c>
      <c r="AY141" s="237"/>
      <c r="AZ141" s="243">
        <v>0</v>
      </c>
      <c r="BA141" s="176">
        <v>124514</v>
      </c>
      <c r="BB141" s="137">
        <f t="shared" si="162"/>
        <v>124514</v>
      </c>
      <c r="BC141" s="237"/>
      <c r="BD141" s="388"/>
      <c r="BE141" s="177"/>
      <c r="BF141" s="118"/>
      <c r="BG141" s="118"/>
      <c r="BH141" s="118"/>
    </row>
    <row r="142" spans="2:60" s="119" customFormat="1" x14ac:dyDescent="0.25">
      <c r="B142" s="170">
        <v>37763</v>
      </c>
      <c r="C142" s="135">
        <v>302</v>
      </c>
      <c r="D142" s="332" t="s">
        <v>80</v>
      </c>
      <c r="E142" s="341"/>
      <c r="F142" s="256"/>
      <c r="G142" s="535"/>
      <c r="H142" s="212">
        <f>38715.4565-10793-1206.46</f>
        <v>26715.996500000001</v>
      </c>
      <c r="I142" s="87">
        <v>27922.18</v>
      </c>
      <c r="J142" s="138">
        <f t="shared" si="139"/>
        <v>1206.1834999999992</v>
      </c>
      <c r="K142" s="371">
        <f t="shared" si="138"/>
        <v>4.5148362704718892</v>
      </c>
      <c r="L142" s="136">
        <f>38715.4565-10793-1206.46</f>
        <v>26715.996500000001</v>
      </c>
      <c r="M142" s="87">
        <v>21454.13</v>
      </c>
      <c r="N142" s="137">
        <f t="shared" si="146"/>
        <v>-5261.8665000000001</v>
      </c>
      <c r="O142" s="237">
        <f t="shared" si="147"/>
        <v>-19.695565164488627</v>
      </c>
      <c r="P142" s="136">
        <f>38715.4565-10793-1206.46</f>
        <v>26715.996500000001</v>
      </c>
      <c r="Q142" s="137">
        <v>20279.03</v>
      </c>
      <c r="R142" s="137">
        <f t="shared" si="148"/>
        <v>-6436.9665000000023</v>
      </c>
      <c r="S142" s="252">
        <f t="shared" si="149"/>
        <v>-24.094053538298677</v>
      </c>
      <c r="T142" s="219">
        <f>38715.4565-10793-1206.46</f>
        <v>26715.996500000001</v>
      </c>
      <c r="U142" s="131">
        <v>22511.43</v>
      </c>
      <c r="V142" s="137">
        <f t="shared" si="150"/>
        <v>-4204.5665000000008</v>
      </c>
      <c r="W142" s="237">
        <f t="shared" si="151"/>
        <v>-15.738011120041884</v>
      </c>
      <c r="X142" s="129">
        <v>22000</v>
      </c>
      <c r="Y142" s="131">
        <v>22775.88</v>
      </c>
      <c r="Z142" s="137">
        <f t="shared" si="152"/>
        <v>775.88000000000102</v>
      </c>
      <c r="AA142" s="240">
        <f t="shared" si="153"/>
        <v>3.5267272727272703</v>
      </c>
      <c r="AB142" s="212">
        <v>22000</v>
      </c>
      <c r="AC142" s="137">
        <v>26140.13</v>
      </c>
      <c r="AD142" s="137">
        <f t="shared" si="154"/>
        <v>4140.130000000001</v>
      </c>
      <c r="AE142" s="252">
        <f t="shared" si="155"/>
        <v>18.818772727272727</v>
      </c>
      <c r="AF142" s="212">
        <v>26715.996500000001</v>
      </c>
      <c r="AG142" s="212">
        <v>28697.75</v>
      </c>
      <c r="AH142" s="137">
        <f t="shared" si="156"/>
        <v>1981.7534999999989</v>
      </c>
      <c r="AI142" s="237">
        <f t="shared" si="157"/>
        <v>7.4178535694897185</v>
      </c>
      <c r="AJ142" s="136">
        <v>26715.996500000001</v>
      </c>
      <c r="AK142" s="136">
        <v>32120.16</v>
      </c>
      <c r="AL142" s="169">
        <f t="shared" si="141"/>
        <v>5404.1634999999987</v>
      </c>
      <c r="AM142" s="252">
        <f t="shared" si="158"/>
        <v>20.228193621750169</v>
      </c>
      <c r="AN142" s="254">
        <v>26715.996500000001</v>
      </c>
      <c r="AO142" s="176">
        <v>33922.53</v>
      </c>
      <c r="AP142" s="169">
        <f t="shared" si="142"/>
        <v>7206.5334999999977</v>
      </c>
      <c r="AQ142" s="237">
        <f t="shared" si="159"/>
        <v>26.97460115328283</v>
      </c>
      <c r="AR142" s="243">
        <v>26715.996500000001</v>
      </c>
      <c r="AS142" s="176">
        <v>33350.86</v>
      </c>
      <c r="AT142" s="169">
        <f t="shared" si="143"/>
        <v>6634.8634999999995</v>
      </c>
      <c r="AU142" s="252">
        <f t="shared" si="160"/>
        <v>24.834797010098431</v>
      </c>
      <c r="AV142" s="254">
        <v>26715.996500000001</v>
      </c>
      <c r="AW142" s="136">
        <v>30165.34</v>
      </c>
      <c r="AX142" s="169">
        <f t="shared" si="144"/>
        <v>3449.343499999999</v>
      </c>
      <c r="AY142" s="237">
        <f t="shared" si="161"/>
        <v>12.911154184347939</v>
      </c>
      <c r="AZ142" s="243">
        <v>26715.996500000001</v>
      </c>
      <c r="BA142" s="176">
        <v>28359</v>
      </c>
      <c r="BB142" s="137">
        <f t="shared" si="162"/>
        <v>1643.0034999999989</v>
      </c>
      <c r="BC142" s="237">
        <f t="shared" si="163"/>
        <v>6.1498866418851383</v>
      </c>
      <c r="BD142" s="388">
        <f t="shared" si="145"/>
        <v>296462.74900000001</v>
      </c>
      <c r="BE142" s="177">
        <f t="shared" si="140"/>
        <v>327698.42000000004</v>
      </c>
      <c r="BF142" s="118"/>
      <c r="BG142" s="118"/>
      <c r="BH142" s="118"/>
    </row>
    <row r="143" spans="2:60" s="119" customFormat="1" x14ac:dyDescent="0.25">
      <c r="B143" s="170">
        <v>37259</v>
      </c>
      <c r="C143" s="135">
        <v>301</v>
      </c>
      <c r="D143" s="332" t="s">
        <v>204</v>
      </c>
      <c r="E143" s="341"/>
      <c r="F143" s="256"/>
      <c r="G143" s="535"/>
      <c r="H143" s="212">
        <f>5146.4-1206.46</f>
        <v>3939.9399999999996</v>
      </c>
      <c r="I143" s="87">
        <v>6003</v>
      </c>
      <c r="J143" s="138">
        <f t="shared" si="139"/>
        <v>2063.0600000000004</v>
      </c>
      <c r="K143" s="371">
        <f t="shared" si="138"/>
        <v>52.362726335934063</v>
      </c>
      <c r="L143" s="136">
        <f>5146.4-1206.46</f>
        <v>3939.9399999999996</v>
      </c>
      <c r="M143" s="87">
        <v>2368</v>
      </c>
      <c r="N143" s="137">
        <f t="shared" si="146"/>
        <v>-1571.9399999999996</v>
      </c>
      <c r="O143" s="237">
        <f t="shared" si="147"/>
        <v>-39.897561891805452</v>
      </c>
      <c r="P143" s="136">
        <f>5146.4-1206.46</f>
        <v>3939.9399999999996</v>
      </c>
      <c r="Q143" s="137">
        <v>4399</v>
      </c>
      <c r="R143" s="137">
        <f t="shared" si="148"/>
        <v>459.0600000000004</v>
      </c>
      <c r="S143" s="252">
        <f t="shared" si="149"/>
        <v>11.651446468727954</v>
      </c>
      <c r="T143" s="211">
        <f>5146.4-1206.46</f>
        <v>3939.9399999999996</v>
      </c>
      <c r="U143" s="125">
        <v>6419.31</v>
      </c>
      <c r="V143" s="137">
        <f t="shared" si="150"/>
        <v>2479.3700000000008</v>
      </c>
      <c r="W143" s="237">
        <f t="shared" si="151"/>
        <v>62.929130900470589</v>
      </c>
      <c r="X143" s="121">
        <v>3939.9399999999996</v>
      </c>
      <c r="Y143" s="125">
        <v>3999.31</v>
      </c>
      <c r="Z143" s="137">
        <f t="shared" si="152"/>
        <v>59.370000000000346</v>
      </c>
      <c r="AA143" s="240">
        <f t="shared" si="153"/>
        <v>1.5068757392244558</v>
      </c>
      <c r="AB143" s="212">
        <v>3939.9399999999996</v>
      </c>
      <c r="AC143" s="137">
        <v>5144.75</v>
      </c>
      <c r="AD143" s="137">
        <f t="shared" si="154"/>
        <v>1204.8100000000004</v>
      </c>
      <c r="AE143" s="252">
        <f t="shared" si="155"/>
        <v>30.579399686289644</v>
      </c>
      <c r="AF143" s="212">
        <v>3939.9399999999996</v>
      </c>
      <c r="AG143" s="212">
        <v>4187.3100000000004</v>
      </c>
      <c r="AH143" s="137">
        <f t="shared" si="156"/>
        <v>247.3700000000008</v>
      </c>
      <c r="AI143" s="237">
        <f t="shared" si="157"/>
        <v>6.2785220079493831</v>
      </c>
      <c r="AJ143" s="136">
        <v>3939.9399999999996</v>
      </c>
      <c r="AK143" s="136">
        <v>4469.3100000000004</v>
      </c>
      <c r="AL143" s="169">
        <f t="shared" si="141"/>
        <v>529.3700000000008</v>
      </c>
      <c r="AM143" s="252">
        <f t="shared" si="158"/>
        <v>13.43599141103673</v>
      </c>
      <c r="AN143" s="254">
        <v>3939.9399999999996</v>
      </c>
      <c r="AO143" s="176">
        <v>4618.6499999999996</v>
      </c>
      <c r="AP143" s="169">
        <f t="shared" si="142"/>
        <v>678.71</v>
      </c>
      <c r="AQ143" s="237">
        <f t="shared" si="159"/>
        <v>17.226404463012134</v>
      </c>
      <c r="AR143" s="243">
        <v>3939.9399999999996</v>
      </c>
      <c r="AS143" s="176">
        <v>6419.31</v>
      </c>
      <c r="AT143" s="169">
        <f t="shared" si="143"/>
        <v>2479.3700000000008</v>
      </c>
      <c r="AU143" s="252">
        <f t="shared" si="160"/>
        <v>62.929130900470589</v>
      </c>
      <c r="AV143" s="254">
        <v>3939.9399999999996</v>
      </c>
      <c r="AW143" s="136">
        <v>4187.3100000000004</v>
      </c>
      <c r="AX143" s="169">
        <f t="shared" si="144"/>
        <v>247.3700000000008</v>
      </c>
      <c r="AY143" s="237">
        <f t="shared" si="161"/>
        <v>6.2785220079493831</v>
      </c>
      <c r="AZ143" s="243">
        <v>3939.9399999999996</v>
      </c>
      <c r="BA143" s="176">
        <v>4895.6499999999996</v>
      </c>
      <c r="BB143" s="137">
        <f t="shared" si="162"/>
        <v>955.71</v>
      </c>
      <c r="BC143" s="237">
        <f t="shared" si="163"/>
        <v>24.25696838022915</v>
      </c>
      <c r="BD143" s="388">
        <f t="shared" si="145"/>
        <v>50708.829999999994</v>
      </c>
      <c r="BE143" s="177">
        <f t="shared" si="140"/>
        <v>57110.91</v>
      </c>
      <c r="BF143" s="118"/>
      <c r="BG143" s="118"/>
      <c r="BH143" s="118"/>
    </row>
    <row r="144" spans="2:60" s="119" customFormat="1" ht="16.5" thickBot="1" x14ac:dyDescent="0.3">
      <c r="B144" s="170">
        <v>12865</v>
      </c>
      <c r="C144" s="135">
        <v>293</v>
      </c>
      <c r="D144" s="332" t="s">
        <v>205</v>
      </c>
      <c r="E144" s="341"/>
      <c r="F144" s="256"/>
      <c r="G144" s="535"/>
      <c r="H144" s="212">
        <f>3494.7045-1206.46</f>
        <v>2288.2444999999998</v>
      </c>
      <c r="I144" s="87">
        <v>3568.29</v>
      </c>
      <c r="J144" s="138">
        <f t="shared" si="139"/>
        <v>1280.0455000000002</v>
      </c>
      <c r="K144" s="371">
        <f t="shared" si="138"/>
        <v>55.940066719268877</v>
      </c>
      <c r="L144" s="136">
        <f>3494.7045-1206.46</f>
        <v>2288.2444999999998</v>
      </c>
      <c r="M144" s="87">
        <v>3568.29</v>
      </c>
      <c r="N144" s="137">
        <f t="shared" si="146"/>
        <v>1280.0455000000002</v>
      </c>
      <c r="O144" s="237">
        <f t="shared" si="147"/>
        <v>55.940066719268877</v>
      </c>
      <c r="P144" s="136">
        <f>3494.7045-1206.46</f>
        <v>2288.2444999999998</v>
      </c>
      <c r="Q144" s="137">
        <v>3568.29</v>
      </c>
      <c r="R144" s="137">
        <f t="shared" si="148"/>
        <v>1280.0455000000002</v>
      </c>
      <c r="S144" s="252">
        <f t="shared" si="149"/>
        <v>55.940066719268877</v>
      </c>
      <c r="T144" s="211">
        <f>3494.7045-1206.46</f>
        <v>2288.2444999999998</v>
      </c>
      <c r="U144" s="125">
        <v>3568.29</v>
      </c>
      <c r="V144" s="137">
        <f t="shared" si="150"/>
        <v>1280.0455000000002</v>
      </c>
      <c r="W144" s="237">
        <f t="shared" si="151"/>
        <v>55.940066719268877</v>
      </c>
      <c r="X144" s="121">
        <v>2288.2444999999998</v>
      </c>
      <c r="Y144" s="125">
        <v>3568.29</v>
      </c>
      <c r="Z144" s="137">
        <f t="shared" si="152"/>
        <v>1280.0455000000002</v>
      </c>
      <c r="AA144" s="240">
        <f t="shared" si="153"/>
        <v>55.940066719268877</v>
      </c>
      <c r="AB144" s="212">
        <v>2288.2444999999998</v>
      </c>
      <c r="AC144" s="137">
        <v>4401.78</v>
      </c>
      <c r="AD144" s="137">
        <f t="shared" si="154"/>
        <v>2113.5355</v>
      </c>
      <c r="AE144" s="252">
        <f t="shared" si="155"/>
        <v>92.364933030539362</v>
      </c>
      <c r="AF144" s="212">
        <v>2288.2444999999998</v>
      </c>
      <c r="AG144" s="212">
        <v>3568.29</v>
      </c>
      <c r="AH144" s="137">
        <f t="shared" si="156"/>
        <v>1280.0455000000002</v>
      </c>
      <c r="AI144" s="237">
        <f t="shared" si="157"/>
        <v>55.940066719268877</v>
      </c>
      <c r="AJ144" s="136">
        <v>2288.2444999999998</v>
      </c>
      <c r="AK144" s="136">
        <v>3568.29</v>
      </c>
      <c r="AL144" s="169">
        <f t="shared" si="141"/>
        <v>1280.0455000000002</v>
      </c>
      <c r="AM144" s="252">
        <f t="shared" si="158"/>
        <v>55.940066719268877</v>
      </c>
      <c r="AN144" s="254">
        <v>2288.2444999999998</v>
      </c>
      <c r="AO144" s="176">
        <v>3568.29</v>
      </c>
      <c r="AP144" s="169">
        <f t="shared" si="142"/>
        <v>1280.0455000000002</v>
      </c>
      <c r="AQ144" s="237">
        <f t="shared" si="159"/>
        <v>55.940066719268877</v>
      </c>
      <c r="AR144" s="243">
        <v>2288.2444999999998</v>
      </c>
      <c r="AS144" s="176">
        <v>3568.29</v>
      </c>
      <c r="AT144" s="169">
        <f t="shared" si="143"/>
        <v>1280.0455000000002</v>
      </c>
      <c r="AU144" s="252">
        <f t="shared" si="160"/>
        <v>55.940066719268877</v>
      </c>
      <c r="AV144" s="254">
        <v>2288.2444999999998</v>
      </c>
      <c r="AW144" s="136">
        <v>3568.29</v>
      </c>
      <c r="AX144" s="169">
        <f t="shared" si="144"/>
        <v>1280.0455000000002</v>
      </c>
      <c r="AY144" s="237">
        <f t="shared" si="161"/>
        <v>55.940066719268877</v>
      </c>
      <c r="AZ144" s="243">
        <v>2288.2444999999998</v>
      </c>
      <c r="BA144" s="176">
        <v>3568.29</v>
      </c>
      <c r="BB144" s="137">
        <f t="shared" si="162"/>
        <v>1280.0455000000002</v>
      </c>
      <c r="BC144" s="237">
        <f t="shared" si="163"/>
        <v>55.940066719268877</v>
      </c>
      <c r="BD144" s="388">
        <f t="shared" si="145"/>
        <v>32579.116000000005</v>
      </c>
      <c r="BE144" s="177">
        <f t="shared" si="140"/>
        <v>43652.97</v>
      </c>
      <c r="BF144" s="118"/>
      <c r="BG144" s="118"/>
      <c r="BH144" s="118"/>
    </row>
    <row r="145" spans="1:60" s="119" customFormat="1" ht="16.5" thickBot="1" x14ac:dyDescent="0.3">
      <c r="A145" s="544"/>
      <c r="B145" s="379">
        <v>54164</v>
      </c>
      <c r="C145" s="507"/>
      <c r="D145" s="509" t="s">
        <v>3652</v>
      </c>
      <c r="E145" s="154"/>
      <c r="F145" s="539"/>
      <c r="G145" s="540"/>
      <c r="H145" s="214">
        <v>0</v>
      </c>
      <c r="I145" s="98">
        <v>0</v>
      </c>
      <c r="J145" s="160">
        <f t="shared" si="139"/>
        <v>0</v>
      </c>
      <c r="K145" s="578"/>
      <c r="L145" s="181">
        <v>9953</v>
      </c>
      <c r="M145" s="98">
        <v>953.93</v>
      </c>
      <c r="N145" s="182">
        <f>M145-L145</f>
        <v>-8999.07</v>
      </c>
      <c r="O145" s="248">
        <f>((M145/L145)-1)*100</f>
        <v>-90.415653571787402</v>
      </c>
      <c r="P145" s="181">
        <v>9953</v>
      </c>
      <c r="Q145" s="182">
        <v>10113.93</v>
      </c>
      <c r="R145" s="137">
        <f>Q145-P145</f>
        <v>160.93000000000029</v>
      </c>
      <c r="S145" s="252">
        <f>((Q145/P145)-1)*100</f>
        <v>1.6168994273083603</v>
      </c>
      <c r="T145" s="181">
        <v>9953</v>
      </c>
      <c r="U145" s="182">
        <v>9953.93</v>
      </c>
      <c r="V145" s="182">
        <f>U145-T145</f>
        <v>0.93000000000029104</v>
      </c>
      <c r="W145" s="248">
        <f>((U145/T145)-1)*100</f>
        <v>9.3439164071229541E-3</v>
      </c>
      <c r="X145" s="181">
        <v>9953</v>
      </c>
      <c r="Y145" s="182">
        <v>9953.93</v>
      </c>
      <c r="Z145" s="182">
        <f>Y145-X145</f>
        <v>0.93000000000029104</v>
      </c>
      <c r="AA145" s="239">
        <f>((Y145/X145)-1)*100</f>
        <v>9.3439164071229541E-3</v>
      </c>
      <c r="AB145" s="181">
        <v>9953</v>
      </c>
      <c r="AC145" s="182">
        <v>9953.93</v>
      </c>
      <c r="AD145" s="182">
        <f>AC145-AB145</f>
        <v>0.93000000000029104</v>
      </c>
      <c r="AE145" s="253">
        <f>((AC145/AB145)-1)*100</f>
        <v>9.3439164071229541E-3</v>
      </c>
      <c r="AF145" s="181">
        <v>9953</v>
      </c>
      <c r="AG145" s="212">
        <v>9953.93</v>
      </c>
      <c r="AH145" s="182">
        <f>AG145-AF145</f>
        <v>0.93000000000029104</v>
      </c>
      <c r="AI145" s="248">
        <f>((AG145/AF145)-1)*100</f>
        <v>9.3439164071229541E-3</v>
      </c>
      <c r="AJ145" s="181">
        <v>9953</v>
      </c>
      <c r="AK145" s="181">
        <v>9953.93</v>
      </c>
      <c r="AL145" s="182">
        <f>AK145-AJ145</f>
        <v>0.93000000000029104</v>
      </c>
      <c r="AM145" s="253">
        <f>((AK145/AJ145)-1)*100</f>
        <v>9.3439164071229541E-3</v>
      </c>
      <c r="AN145" s="255">
        <v>9953</v>
      </c>
      <c r="AO145" s="183">
        <v>9953.93</v>
      </c>
      <c r="AP145" s="182">
        <f>AO145-AN145</f>
        <v>0.93000000000029104</v>
      </c>
      <c r="AQ145" s="248">
        <f>((AO145/AN145)-1)*100</f>
        <v>9.3439164071229541E-3</v>
      </c>
      <c r="AR145" s="545">
        <v>9953</v>
      </c>
      <c r="AS145" s="183">
        <v>11933.93</v>
      </c>
      <c r="AT145" s="182">
        <f>AS145-AR145</f>
        <v>1980.9300000000003</v>
      </c>
      <c r="AU145" s="253">
        <f>((AS145/AR145)-1)*100</f>
        <v>19.902843363809918</v>
      </c>
      <c r="AV145" s="255">
        <v>9953</v>
      </c>
      <c r="AW145" s="136">
        <v>11933.93</v>
      </c>
      <c r="AX145" s="182">
        <f>AW145-AV145</f>
        <v>1980.9300000000003</v>
      </c>
      <c r="AY145" s="248">
        <f>((AW145/AV145)-1)*100</f>
        <v>19.902843363809918</v>
      </c>
      <c r="AZ145" s="545">
        <v>9953</v>
      </c>
      <c r="BA145" s="183">
        <v>22913.93</v>
      </c>
      <c r="BB145" s="183">
        <f>BA145-AZ145</f>
        <v>12960.93</v>
      </c>
      <c r="BC145" s="248">
        <f>((BA145/AZ145)-1)*100</f>
        <v>130.22134029940719</v>
      </c>
      <c r="BD145" s="388">
        <f t="shared" si="145"/>
        <v>100645.78999999998</v>
      </c>
      <c r="BE145" s="184">
        <f>SUM(I145+M145+Q145+U145+Y145+AC145+AG145+AK145+AO145+AS145+AW145+BA145)</f>
        <v>117573.22999999998</v>
      </c>
      <c r="BF145" s="118"/>
      <c r="BG145" s="118"/>
      <c r="BH145" s="118"/>
    </row>
    <row r="146" spans="1:60" s="119" customFormat="1" x14ac:dyDescent="0.25">
      <c r="B146" s="508"/>
      <c r="C146" s="133"/>
      <c r="D146" s="154"/>
      <c r="E146" s="154"/>
      <c r="F146" s="539"/>
      <c r="G146" s="540"/>
      <c r="H146" s="67"/>
      <c r="I146" s="437"/>
      <c r="J146" s="67"/>
      <c r="K146" s="387"/>
      <c r="L146" s="67"/>
      <c r="M146" s="67"/>
      <c r="N146" s="67"/>
      <c r="O146" s="387"/>
      <c r="P146" s="67"/>
      <c r="Q146" s="67"/>
      <c r="R146" s="67"/>
      <c r="S146" s="387"/>
      <c r="T146" s="67"/>
      <c r="U146" s="67"/>
      <c r="V146" s="67"/>
      <c r="W146" s="387"/>
      <c r="X146" s="67"/>
      <c r="Y146" s="67"/>
      <c r="Z146" s="67"/>
      <c r="AA146" s="387"/>
      <c r="AB146" s="67"/>
      <c r="AC146" s="67"/>
      <c r="AD146" s="67"/>
      <c r="AE146" s="387"/>
      <c r="AF146" s="67"/>
      <c r="AG146" s="67"/>
      <c r="AH146" s="67"/>
      <c r="AI146" s="387"/>
      <c r="AJ146" s="67"/>
      <c r="AK146" s="67"/>
      <c r="AL146" s="67"/>
      <c r="AM146" s="387"/>
      <c r="AN146" s="66"/>
      <c r="AO146" s="66"/>
      <c r="AP146" s="67"/>
      <c r="AQ146" s="387"/>
      <c r="AR146" s="66"/>
      <c r="AS146" s="66"/>
      <c r="AT146" s="67"/>
      <c r="AU146" s="387"/>
      <c r="AV146" s="66"/>
      <c r="AW146" s="66"/>
      <c r="AX146" s="67"/>
      <c r="AY146" s="387"/>
      <c r="AZ146" s="66"/>
      <c r="BA146" s="66"/>
      <c r="BB146" s="66"/>
      <c r="BC146" s="387"/>
      <c r="BD146" s="67"/>
      <c r="BE146" s="66"/>
      <c r="BF146" s="118"/>
    </row>
    <row r="147" spans="1:60" s="11" customFormat="1" ht="16.5" thickBot="1" x14ac:dyDescent="0.3">
      <c r="B147" s="161"/>
      <c r="E147" s="346"/>
      <c r="F147" s="347"/>
      <c r="G147" s="333"/>
      <c r="H147" s="334"/>
      <c r="I147" s="415"/>
      <c r="J147" s="118"/>
      <c r="K147" s="12"/>
      <c r="L147" s="119"/>
      <c r="M147" s="119"/>
      <c r="N147" s="118"/>
      <c r="O147" s="119"/>
      <c r="P147" s="119"/>
      <c r="Q147" s="119"/>
      <c r="R147" s="118"/>
      <c r="S147" s="119"/>
      <c r="T147" s="119"/>
      <c r="U147" s="119"/>
      <c r="V147" s="118"/>
      <c r="W147" s="119"/>
      <c r="X147" s="119"/>
      <c r="Y147" s="119"/>
      <c r="Z147" s="118"/>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63"/>
    </row>
    <row r="148" spans="1:60" s="11" customFormat="1" ht="16.5" thickBot="1" x14ac:dyDescent="0.3">
      <c r="B148" s="165"/>
      <c r="C148" s="41"/>
      <c r="D148" s="49" t="s">
        <v>171</v>
      </c>
      <c r="E148" s="50"/>
      <c r="F148" s="50"/>
      <c r="G148" s="510"/>
      <c r="H148" s="870">
        <f>SUM(H149:H164)</f>
        <v>663680.36250000005</v>
      </c>
      <c r="I148" s="532">
        <f>SUM(I149:I164)</f>
        <v>518847.68000000005</v>
      </c>
      <c r="J148" s="530">
        <f>I148-H148</f>
        <v>-144832.6825</v>
      </c>
      <c r="K148" s="533">
        <f t="shared" ref="K148:K164" si="164">((I148/H148)-1)*100</f>
        <v>-21.822656007845943</v>
      </c>
      <c r="L148" s="534">
        <f>SUM(L149:L164)</f>
        <v>663680.36250000005</v>
      </c>
      <c r="M148" s="392">
        <f>SUM(M149:M164)</f>
        <v>479591.85</v>
      </c>
      <c r="N148" s="392">
        <f>M148-L148</f>
        <v>-184088.51250000007</v>
      </c>
      <c r="O148" s="562">
        <f>((M148/L148)-1)*100</f>
        <v>-27.737525908791682</v>
      </c>
      <c r="P148" s="478">
        <f>SUM(P149:P164)</f>
        <v>663680.36250000005</v>
      </c>
      <c r="Q148" s="392">
        <f>SUM(Q149:Q164)</f>
        <v>520192.17</v>
      </c>
      <c r="R148" s="392">
        <f>Q148-P148</f>
        <v>-143488.19250000006</v>
      </c>
      <c r="S148" s="393">
        <f>((Q148/P148)-1)*100</f>
        <v>-21.620075055332087</v>
      </c>
      <c r="T148" s="478">
        <f>SUM(T149:T164)</f>
        <v>663680.36250000005</v>
      </c>
      <c r="U148" s="392">
        <f>SUM(U149:U164)</f>
        <v>503062.47</v>
      </c>
      <c r="V148" s="392">
        <f>U148-T148</f>
        <v>-160617.89250000007</v>
      </c>
      <c r="W148" s="393">
        <f>((U148/T148)-1)*100</f>
        <v>-24.201091606051563</v>
      </c>
      <c r="X148" s="534">
        <f>SUM(X149:X164)</f>
        <v>504302.52250000002</v>
      </c>
      <c r="Y148" s="392">
        <f>SUM(Y149:Y164)</f>
        <v>460603.18000000005</v>
      </c>
      <c r="Z148" s="392">
        <f>Y148-X148</f>
        <v>-43699.34249999997</v>
      </c>
      <c r="AA148" s="563">
        <f>((Y148/X148)-1)*100</f>
        <v>-8.6653031762298873</v>
      </c>
      <c r="AB148" s="478">
        <f>SUM(AB149:AB164)</f>
        <v>534302.52249999996</v>
      </c>
      <c r="AC148" s="392">
        <f>SUM(AC149:AC164)</f>
        <v>536518.79</v>
      </c>
      <c r="AD148" s="392">
        <f>AC148-AB148</f>
        <v>2216.2675000000745</v>
      </c>
      <c r="AE148" s="393">
        <f>((AC148/AB148)-1)*100</f>
        <v>0.4147963759613571</v>
      </c>
      <c r="AF148" s="534">
        <f>SUM(AF149:AF164)</f>
        <v>554302.52249999996</v>
      </c>
      <c r="AG148" s="392">
        <f>SUM(AG149:AG164)</f>
        <v>528777.41</v>
      </c>
      <c r="AH148" s="392">
        <f>AG148-AF148</f>
        <v>-25525.11249999993</v>
      </c>
      <c r="AI148" s="562">
        <f>((AG148/AF148)-1)*100</f>
        <v>-4.6049064299540365</v>
      </c>
      <c r="AJ148" s="478">
        <f>SUM(AJ149:AJ164)</f>
        <v>554302.52249999996</v>
      </c>
      <c r="AK148" s="392">
        <f>SUM(AK149:AK164)</f>
        <v>446875.98000000004</v>
      </c>
      <c r="AL148" s="392">
        <f>AK148-AJ148</f>
        <v>-107426.54249999992</v>
      </c>
      <c r="AM148" s="393">
        <f>((AK148/AJ148)-1)*100</f>
        <v>-19.380489559291135</v>
      </c>
      <c r="AN148" s="395">
        <f>SUM(AN149:AN164)</f>
        <v>554302.52249999996</v>
      </c>
      <c r="AO148" s="396">
        <f>SUM(AO149:AO164)</f>
        <v>567964.47000000009</v>
      </c>
      <c r="AP148" s="392">
        <f>AO148-AN148</f>
        <v>13661.947500000126</v>
      </c>
      <c r="AQ148" s="562">
        <f>((AO148/AN148)-1)*100</f>
        <v>2.4647096026881421</v>
      </c>
      <c r="AR148" s="487">
        <f>SUM(AR149:AR164)</f>
        <v>554302.52249999996</v>
      </c>
      <c r="AS148" s="396">
        <f>SUM(AS149:AS164)</f>
        <v>476675.19</v>
      </c>
      <c r="AT148" s="392">
        <f>AS148-AR148</f>
        <v>-77627.33249999996</v>
      </c>
      <c r="AU148" s="393">
        <f>((AS148/AR148)-1)*100</f>
        <v>-14.004506447108934</v>
      </c>
      <c r="AV148" s="395">
        <f>SUM(AV149:AV164)</f>
        <v>554302.52249999996</v>
      </c>
      <c r="AW148" s="396">
        <f>SUM(AW149:AW164)</f>
        <v>561887.56999999995</v>
      </c>
      <c r="AX148" s="392">
        <f>AW148-AV148</f>
        <v>7585.047499999986</v>
      </c>
      <c r="AY148" s="562">
        <f>((AW148/AV148)-1)*100</f>
        <v>1.3683949092979208</v>
      </c>
      <c r="AZ148" s="487">
        <f>SUM(AZ149:AZ164)</f>
        <v>554302.52249999996</v>
      </c>
      <c r="BA148" s="396">
        <f>SUM(BA149:BA164)</f>
        <v>758058.64999999979</v>
      </c>
      <c r="BB148" s="392">
        <f>BA148-AZ148</f>
        <v>203756.12749999983</v>
      </c>
      <c r="BC148" s="393">
        <f>((BA148/AZ148)-1)*100</f>
        <v>36.759011411498641</v>
      </c>
      <c r="BD148" s="487">
        <f>+AF148+AJ148+AN148+AR148+AV148+AZ148+AB148+X148+U148+Q148+M148+I148</f>
        <v>6386114.3499999987</v>
      </c>
      <c r="BE148" s="531">
        <f>SUM(I148+M148+Q148+U148+Y148+AC148+AG148+AK148+AO148+AS148+AW148+BA148)</f>
        <v>6359055.4100000001</v>
      </c>
      <c r="BF148" s="63"/>
      <c r="BH148" s="132"/>
    </row>
    <row r="149" spans="1:60" s="119" customFormat="1" x14ac:dyDescent="0.25">
      <c r="B149" s="167">
        <v>12330</v>
      </c>
      <c r="C149" s="168">
        <v>206</v>
      </c>
      <c r="D149" s="331" t="s">
        <v>81</v>
      </c>
      <c r="E149" s="341"/>
      <c r="F149" s="256"/>
      <c r="G149" s="493"/>
      <c r="H149" s="546">
        <f>69825-3000-1676</f>
        <v>65149</v>
      </c>
      <c r="I149" s="99">
        <v>53867.72</v>
      </c>
      <c r="J149" s="213">
        <f t="shared" ref="J149:J164" si="165">I149-H149</f>
        <v>-11281.279999999999</v>
      </c>
      <c r="K149" s="375">
        <f>((I149/H149)-1)*100</f>
        <v>-17.316121506086045</v>
      </c>
      <c r="L149" s="546">
        <f>69825-3000-1676</f>
        <v>65149</v>
      </c>
      <c r="M149" s="546">
        <v>24074.6</v>
      </c>
      <c r="N149" s="190">
        <f>M149-L149</f>
        <v>-41074.400000000001</v>
      </c>
      <c r="O149" s="249">
        <f>((M149/L149)-1)*100</f>
        <v>-63.046861809083786</v>
      </c>
      <c r="P149" s="546">
        <v>65149</v>
      </c>
      <c r="Q149" s="190">
        <v>46607.09</v>
      </c>
      <c r="R149" s="190">
        <f>Q149-P149</f>
        <v>-18541.910000000003</v>
      </c>
      <c r="S149" s="249">
        <f>((Q149/P149)-1)*100</f>
        <v>-28.460774532226129</v>
      </c>
      <c r="T149" s="546">
        <v>65149</v>
      </c>
      <c r="U149" s="815">
        <v>59075.49</v>
      </c>
      <c r="V149" s="190">
        <f>U149-T149</f>
        <v>-6073.510000000002</v>
      </c>
      <c r="W149" s="249">
        <f>((U149/T149)-1)*100</f>
        <v>-9.3224915194400566</v>
      </c>
      <c r="X149" s="546">
        <v>55000</v>
      </c>
      <c r="Y149" s="190">
        <v>71747.59</v>
      </c>
      <c r="Z149" s="190">
        <f>Y149-X149</f>
        <v>16747.589999999997</v>
      </c>
      <c r="AA149" s="249">
        <f>((Y149/X149)-1)*100</f>
        <v>30.450163636363637</v>
      </c>
      <c r="AB149" s="546">
        <v>55000</v>
      </c>
      <c r="AC149" s="190">
        <v>49274.87</v>
      </c>
      <c r="AD149" s="190">
        <f>AC149-AB149</f>
        <v>-5725.1299999999974</v>
      </c>
      <c r="AE149" s="249">
        <f>((AC149/AB149)-1)*100</f>
        <v>-10.409327272727264</v>
      </c>
      <c r="AF149" s="546">
        <v>55000</v>
      </c>
      <c r="AG149" s="260">
        <v>68044.52</v>
      </c>
      <c r="AH149" s="190">
        <f>AG149-AF149</f>
        <v>13044.520000000004</v>
      </c>
      <c r="AI149" s="249">
        <f>((AG149/AF149)-1)*100</f>
        <v>23.717309090909101</v>
      </c>
      <c r="AJ149" s="546">
        <v>55000</v>
      </c>
      <c r="AK149" s="260">
        <v>55096.79</v>
      </c>
      <c r="AL149" s="169">
        <f t="shared" ref="AL149:AL164" si="166">AK149-AJ149</f>
        <v>96.790000000000873</v>
      </c>
      <c r="AM149" s="249">
        <f>((AK149/AJ149)-1)*100</f>
        <v>0.17598181818181402</v>
      </c>
      <c r="AN149" s="546">
        <v>55000</v>
      </c>
      <c r="AO149" s="192">
        <v>56358.9</v>
      </c>
      <c r="AP149" s="169">
        <f t="shared" ref="AP149:AP164" si="167">AO149-AN149</f>
        <v>1358.9000000000015</v>
      </c>
      <c r="AQ149" s="249">
        <f>((AO149/AN149)-1)*100</f>
        <v>2.47072727272728</v>
      </c>
      <c r="AR149" s="546">
        <v>55000</v>
      </c>
      <c r="AS149" s="192">
        <v>45287.06</v>
      </c>
      <c r="AT149" s="169">
        <f t="shared" ref="AT149:AT164" si="168">AS149-AR149</f>
        <v>-9712.9400000000023</v>
      </c>
      <c r="AU149" s="249">
        <f>((AS149/AR149)-1)*100</f>
        <v>-17.659890909090915</v>
      </c>
      <c r="AV149" s="546">
        <v>55000</v>
      </c>
      <c r="AW149" s="260">
        <v>92919.67</v>
      </c>
      <c r="AX149" s="169">
        <f t="shared" ref="AX149:AX164" si="169">AW149-AV149</f>
        <v>37919.67</v>
      </c>
      <c r="AY149" s="249">
        <f>((AW149/AV149)-1)*100</f>
        <v>68.944854545454533</v>
      </c>
      <c r="AZ149" s="543">
        <v>55000</v>
      </c>
      <c r="BA149" s="192">
        <v>157696.29</v>
      </c>
      <c r="BB149" s="190">
        <f>BA149-AZ149</f>
        <v>102696.29000000001</v>
      </c>
      <c r="BC149" s="249">
        <f>((BA149/AZ149)-1)*100</f>
        <v>186.72052727272731</v>
      </c>
      <c r="BD149" s="177">
        <f>+AF149+AJ149+AN149+AR149+AV149+AZ149+AB149+X149+U149+Q149+M149+I149</f>
        <v>623624.89999999991</v>
      </c>
      <c r="BE149" s="193">
        <f t="shared" ref="BE149:BE164" si="170">SUM(I149+M149+Q149+U149+Y149+AC149+AG149+AK149+AO149+AS149+AW149+BA149)</f>
        <v>780050.59000000008</v>
      </c>
      <c r="BF149" s="118"/>
      <c r="BG149" s="334"/>
    </row>
    <row r="150" spans="1:60" s="119" customFormat="1" x14ac:dyDescent="0.25">
      <c r="B150" s="170">
        <v>12893</v>
      </c>
      <c r="C150" s="135">
        <v>205</v>
      </c>
      <c r="D150" s="332" t="s">
        <v>206</v>
      </c>
      <c r="E150" s="341"/>
      <c r="F150" s="256"/>
      <c r="G150" s="328"/>
      <c r="H150" s="260">
        <v>9975</v>
      </c>
      <c r="I150" s="416">
        <v>1454.27</v>
      </c>
      <c r="J150" s="138">
        <f t="shared" si="165"/>
        <v>-8520.73</v>
      </c>
      <c r="K150" s="371">
        <f t="shared" si="164"/>
        <v>-85.420852130325812</v>
      </c>
      <c r="L150" s="260">
        <v>9975</v>
      </c>
      <c r="M150" s="260">
        <v>704.9</v>
      </c>
      <c r="N150" s="137">
        <f>M150-L150</f>
        <v>-9270.1</v>
      </c>
      <c r="O150" s="237">
        <f t="shared" ref="O150:O164" si="171">((M150/L150)-1)*100</f>
        <v>-92.933333333333337</v>
      </c>
      <c r="P150" s="260">
        <v>9975</v>
      </c>
      <c r="Q150" s="137">
        <v>1442.61</v>
      </c>
      <c r="R150" s="137">
        <f>Q150-P150</f>
        <v>-8532.39</v>
      </c>
      <c r="S150" s="237">
        <f t="shared" ref="S150:S164" si="172">((Q150/P150)-1)*100</f>
        <v>-85.537744360902252</v>
      </c>
      <c r="T150" s="260">
        <v>9975</v>
      </c>
      <c r="U150" s="816">
        <v>3486.68</v>
      </c>
      <c r="V150" s="137">
        <f>U150-T150</f>
        <v>-6488.32</v>
      </c>
      <c r="W150" s="237">
        <f t="shared" ref="W150:W164" si="173">((U150/T150)-1)*100</f>
        <v>-65.045814536340856</v>
      </c>
      <c r="X150" s="260">
        <v>5000</v>
      </c>
      <c r="Y150" s="137">
        <v>3133.28</v>
      </c>
      <c r="Z150" s="137">
        <f>Y150-X150</f>
        <v>-1866.7199999999998</v>
      </c>
      <c r="AA150" s="237">
        <f t="shared" ref="AA150:AA164" si="174">((Y150/X150)-1)*100</f>
        <v>-37.334400000000002</v>
      </c>
      <c r="AB150" s="260">
        <v>5000</v>
      </c>
      <c r="AC150" s="137">
        <v>4323.7</v>
      </c>
      <c r="AD150" s="137">
        <f>AC150-AB150</f>
        <v>-676.30000000000018</v>
      </c>
      <c r="AE150" s="237">
        <f t="shared" ref="AE150:AE164" si="175">((AC150/AB150)-1)*100</f>
        <v>-13.526000000000005</v>
      </c>
      <c r="AF150" s="260">
        <v>5000</v>
      </c>
      <c r="AG150" s="260">
        <v>5983.21</v>
      </c>
      <c r="AH150" s="137">
        <f>AG150-AF150</f>
        <v>983.21</v>
      </c>
      <c r="AI150" s="237">
        <f t="shared" ref="AI150:AI164" si="176">((AG150/AF150)-1)*100</f>
        <v>19.664199999999997</v>
      </c>
      <c r="AJ150" s="260">
        <v>5000</v>
      </c>
      <c r="AK150" s="260">
        <v>1269.5</v>
      </c>
      <c r="AL150" s="169">
        <f t="shared" si="166"/>
        <v>-3730.5</v>
      </c>
      <c r="AM150" s="237">
        <f t="shared" ref="AM150:AM164" si="177">((AK150/AJ150)-1)*100</f>
        <v>-74.61</v>
      </c>
      <c r="AN150" s="260">
        <v>5000</v>
      </c>
      <c r="AO150" s="176">
        <v>2676.24</v>
      </c>
      <c r="AP150" s="169">
        <f t="shared" si="167"/>
        <v>-2323.7600000000002</v>
      </c>
      <c r="AQ150" s="237">
        <f t="shared" ref="AQ150:AQ164" si="178">((AO150/AN150)-1)*100</f>
        <v>-46.475200000000008</v>
      </c>
      <c r="AR150" s="260">
        <v>5000</v>
      </c>
      <c r="AS150" s="176">
        <v>6847.25</v>
      </c>
      <c r="AT150" s="169">
        <f t="shared" si="168"/>
        <v>1847.25</v>
      </c>
      <c r="AU150" s="237">
        <f t="shared" ref="AU150:AU164" si="179">((AS150/AR150)-1)*100</f>
        <v>36.945000000000007</v>
      </c>
      <c r="AV150" s="260">
        <v>5000</v>
      </c>
      <c r="AW150" s="260">
        <v>22204.78</v>
      </c>
      <c r="AX150" s="169">
        <f t="shared" si="169"/>
        <v>17204.78</v>
      </c>
      <c r="AY150" s="237">
        <f t="shared" ref="AY150:AY164" si="180">((AW150/AV150)-1)*100</f>
        <v>344.09559999999999</v>
      </c>
      <c r="AZ150" s="136">
        <v>5000</v>
      </c>
      <c r="BA150" s="176">
        <v>-9232.32</v>
      </c>
      <c r="BB150" s="137">
        <f>BA150-AZ150</f>
        <v>-14232.32</v>
      </c>
      <c r="BC150" s="237">
        <f t="shared" ref="BC150:BC164" si="181">((BA150/AZ150)-1)*100</f>
        <v>-284.64640000000003</v>
      </c>
      <c r="BD150" s="177">
        <f t="shared" ref="BD150:BD164" si="182">+AF150+AJ150+AN150+AR150+AV150+AZ150+AB150+X150+U150+Q150+M150+I150</f>
        <v>47088.46</v>
      </c>
      <c r="BE150" s="177">
        <f t="shared" si="170"/>
        <v>44294.1</v>
      </c>
      <c r="BF150" s="118"/>
    </row>
    <row r="151" spans="1:60" s="119" customFormat="1" x14ac:dyDescent="0.25">
      <c r="B151" s="170">
        <v>12334</v>
      </c>
      <c r="C151" s="135">
        <v>375</v>
      </c>
      <c r="D151" s="332" t="s">
        <v>82</v>
      </c>
      <c r="E151" s="341"/>
      <c r="F151" s="256"/>
      <c r="G151" s="328"/>
      <c r="H151" s="260">
        <v>25935</v>
      </c>
      <c r="I151" s="87">
        <v>17712.11</v>
      </c>
      <c r="J151" s="138">
        <f t="shared" si="165"/>
        <v>-8222.89</v>
      </c>
      <c r="K151" s="371">
        <f t="shared" si="164"/>
        <v>-31.70576441102757</v>
      </c>
      <c r="L151" s="260">
        <v>25935</v>
      </c>
      <c r="M151" s="260">
        <v>20446.009999999998</v>
      </c>
      <c r="N151" s="137">
        <f t="shared" ref="N151:N164" si="183">M151-L151</f>
        <v>-5488.9900000000016</v>
      </c>
      <c r="O151" s="252">
        <f t="shared" si="171"/>
        <v>-21.164411027568931</v>
      </c>
      <c r="P151" s="260">
        <v>25935</v>
      </c>
      <c r="Q151" s="137">
        <v>21338.66</v>
      </c>
      <c r="R151" s="137">
        <f t="shared" ref="R151:R164" si="184">Q151-P151</f>
        <v>-4596.34</v>
      </c>
      <c r="S151" s="237">
        <f t="shared" si="172"/>
        <v>-17.722537112010794</v>
      </c>
      <c r="T151" s="260">
        <v>25935</v>
      </c>
      <c r="U151" s="816">
        <v>21105.06</v>
      </c>
      <c r="V151" s="137">
        <f t="shared" ref="V151:V164" si="185">U151-T151</f>
        <v>-4829.9399999999987</v>
      </c>
      <c r="W151" s="237">
        <f t="shared" si="173"/>
        <v>-18.623250433776739</v>
      </c>
      <c r="X151" s="260">
        <v>20000</v>
      </c>
      <c r="Y151" s="137">
        <v>16907.900000000001</v>
      </c>
      <c r="Z151" s="137">
        <f t="shared" ref="Z151:Z164" si="186">Y151-X151</f>
        <v>-3092.0999999999985</v>
      </c>
      <c r="AA151" s="240">
        <f t="shared" si="174"/>
        <v>-15.460499999999989</v>
      </c>
      <c r="AB151" s="260">
        <v>20000</v>
      </c>
      <c r="AC151" s="137">
        <v>24744.09</v>
      </c>
      <c r="AD151" s="137">
        <f t="shared" ref="AD151:AD164" si="187">AC151-AB151</f>
        <v>4744.09</v>
      </c>
      <c r="AE151" s="237">
        <f t="shared" si="175"/>
        <v>23.720450000000003</v>
      </c>
      <c r="AF151" s="260">
        <v>20000</v>
      </c>
      <c r="AG151" s="260">
        <v>47653.19</v>
      </c>
      <c r="AH151" s="137">
        <f t="shared" ref="AH151:AH164" si="188">AG151-AF151</f>
        <v>27653.190000000002</v>
      </c>
      <c r="AI151" s="252">
        <f t="shared" si="176"/>
        <v>138.26595</v>
      </c>
      <c r="AJ151" s="260">
        <v>20000</v>
      </c>
      <c r="AK151" s="260">
        <v>41643.910000000003</v>
      </c>
      <c r="AL151" s="169">
        <f t="shared" si="166"/>
        <v>21643.910000000003</v>
      </c>
      <c r="AM151" s="237">
        <f t="shared" si="177"/>
        <v>108.21955000000001</v>
      </c>
      <c r="AN151" s="260">
        <v>20000</v>
      </c>
      <c r="AO151" s="176">
        <v>31030.29</v>
      </c>
      <c r="AP151" s="169">
        <f t="shared" si="167"/>
        <v>11030.29</v>
      </c>
      <c r="AQ151" s="252">
        <f t="shared" si="178"/>
        <v>55.151450000000011</v>
      </c>
      <c r="AR151" s="260">
        <v>20000</v>
      </c>
      <c r="AS151" s="176">
        <v>18854.59</v>
      </c>
      <c r="AT151" s="169">
        <f t="shared" si="168"/>
        <v>-1145.4099999999999</v>
      </c>
      <c r="AU151" s="237">
        <f t="shared" si="179"/>
        <v>-5.7270500000000002</v>
      </c>
      <c r="AV151" s="260">
        <v>20000</v>
      </c>
      <c r="AW151" s="260">
        <v>15711.85</v>
      </c>
      <c r="AX151" s="169">
        <f t="shared" si="169"/>
        <v>-4288.1499999999996</v>
      </c>
      <c r="AY151" s="252">
        <f t="shared" si="180"/>
        <v>-21.440749999999998</v>
      </c>
      <c r="AZ151" s="254">
        <v>20000</v>
      </c>
      <c r="BA151" s="176">
        <v>37318.68</v>
      </c>
      <c r="BB151" s="137">
        <f t="shared" ref="BB151:BB164" si="189">BA151-AZ151</f>
        <v>17318.68</v>
      </c>
      <c r="BC151" s="237">
        <f t="shared" si="181"/>
        <v>86.593400000000003</v>
      </c>
      <c r="BD151" s="177">
        <f t="shared" si="182"/>
        <v>240601.84000000003</v>
      </c>
      <c r="BE151" s="177">
        <f t="shared" si="170"/>
        <v>314466.33999999997</v>
      </c>
      <c r="BF151" s="118"/>
    </row>
    <row r="152" spans="1:60" s="119" customFormat="1" x14ac:dyDescent="0.25">
      <c r="B152" s="170">
        <v>12284</v>
      </c>
      <c r="C152" s="135">
        <v>211</v>
      </c>
      <c r="D152" s="332" t="s">
        <v>207</v>
      </c>
      <c r="E152" s="341"/>
      <c r="F152" s="256"/>
      <c r="G152" s="328"/>
      <c r="H152" s="260">
        <v>8657.3024999999998</v>
      </c>
      <c r="I152" s="87">
        <v>0</v>
      </c>
      <c r="J152" s="138">
        <f t="shared" si="165"/>
        <v>-8657.3024999999998</v>
      </c>
      <c r="K152" s="371">
        <f t="shared" si="164"/>
        <v>-100</v>
      </c>
      <c r="L152" s="260">
        <v>8657.3024999999998</v>
      </c>
      <c r="M152" s="260">
        <v>468</v>
      </c>
      <c r="N152" s="137">
        <f t="shared" si="183"/>
        <v>-8189.3024999999998</v>
      </c>
      <c r="O152" s="252">
        <f t="shared" si="171"/>
        <v>-94.594159092858305</v>
      </c>
      <c r="P152" s="260">
        <v>8657.3024999999998</v>
      </c>
      <c r="Q152" s="137">
        <v>10196</v>
      </c>
      <c r="R152" s="137">
        <f t="shared" si="184"/>
        <v>1538.6975000000002</v>
      </c>
      <c r="S152" s="237">
        <f t="shared" si="172"/>
        <v>17.773405746189418</v>
      </c>
      <c r="T152" s="260">
        <v>8657.3024999999998</v>
      </c>
      <c r="U152" s="816">
        <v>5855</v>
      </c>
      <c r="V152" s="137">
        <f t="shared" si="185"/>
        <v>-2802.3024999999998</v>
      </c>
      <c r="W152" s="237">
        <f t="shared" si="173"/>
        <v>-32.369233950182519</v>
      </c>
      <c r="X152" s="260">
        <v>8657.3024999999998</v>
      </c>
      <c r="Y152" s="137">
        <v>4550</v>
      </c>
      <c r="Z152" s="137">
        <f t="shared" si="186"/>
        <v>-4107.3024999999998</v>
      </c>
      <c r="AA152" s="240">
        <f t="shared" si="174"/>
        <v>-47.443213402789141</v>
      </c>
      <c r="AB152" s="260">
        <v>8657.3024999999998</v>
      </c>
      <c r="AC152" s="137">
        <v>49624.6</v>
      </c>
      <c r="AD152" s="137">
        <f t="shared" si="187"/>
        <v>40967.297500000001</v>
      </c>
      <c r="AE152" s="237">
        <f t="shared" si="175"/>
        <v>473.21088179603288</v>
      </c>
      <c r="AF152" s="260">
        <v>8657.3024999999998</v>
      </c>
      <c r="AG152" s="260">
        <v>6924</v>
      </c>
      <c r="AH152" s="137">
        <f t="shared" si="188"/>
        <v>-1733.3024999999998</v>
      </c>
      <c r="AI152" s="252">
        <f t="shared" si="176"/>
        <v>-20.021276835365288</v>
      </c>
      <c r="AJ152" s="260">
        <v>8657.3024999999998</v>
      </c>
      <c r="AK152" s="260">
        <v>4014.7</v>
      </c>
      <c r="AL152" s="169">
        <f t="shared" si="166"/>
        <v>-4642.6025</v>
      </c>
      <c r="AM152" s="237">
        <f t="shared" si="177"/>
        <v>-53.626432713885187</v>
      </c>
      <c r="AN152" s="260">
        <v>8657.3024999999998</v>
      </c>
      <c r="AO152" s="176">
        <v>45048.5</v>
      </c>
      <c r="AP152" s="169">
        <f t="shared" si="167"/>
        <v>36391.197500000002</v>
      </c>
      <c r="AQ152" s="252">
        <f t="shared" si="178"/>
        <v>420.35261560976994</v>
      </c>
      <c r="AR152" s="260">
        <v>8657.3024999999998</v>
      </c>
      <c r="AS152" s="176">
        <v>1552</v>
      </c>
      <c r="AT152" s="169">
        <f t="shared" si="168"/>
        <v>-7105.3024999999998</v>
      </c>
      <c r="AU152" s="237">
        <f t="shared" si="179"/>
        <v>-82.072937846401928</v>
      </c>
      <c r="AV152" s="260">
        <v>8657.3024999999998</v>
      </c>
      <c r="AW152" s="260">
        <v>16470</v>
      </c>
      <c r="AX152" s="169">
        <f t="shared" si="169"/>
        <v>7812.6975000000002</v>
      </c>
      <c r="AY152" s="252">
        <f t="shared" si="180"/>
        <v>90.244016539794018</v>
      </c>
      <c r="AZ152" s="254">
        <v>8657.3024999999998</v>
      </c>
      <c r="BA152" s="176">
        <v>6596</v>
      </c>
      <c r="BB152" s="137">
        <f t="shared" si="189"/>
        <v>-2061.3024999999998</v>
      </c>
      <c r="BC152" s="237">
        <f t="shared" si="181"/>
        <v>-23.809985847208182</v>
      </c>
      <c r="BD152" s="177">
        <f t="shared" si="182"/>
        <v>85777.42</v>
      </c>
      <c r="BE152" s="177">
        <f t="shared" si="170"/>
        <v>151298.79999999999</v>
      </c>
      <c r="BF152" s="118"/>
    </row>
    <row r="153" spans="1:60" s="119" customFormat="1" x14ac:dyDescent="0.25">
      <c r="B153" s="170">
        <v>12280</v>
      </c>
      <c r="C153" s="135">
        <v>225</v>
      </c>
      <c r="D153" s="332" t="s">
        <v>209</v>
      </c>
      <c r="E153" s="341"/>
      <c r="F153" s="256"/>
      <c r="G153" s="328"/>
      <c r="H153" s="251">
        <v>11471.25</v>
      </c>
      <c r="I153" s="87">
        <v>9669.6299999999992</v>
      </c>
      <c r="J153" s="138">
        <f t="shared" si="165"/>
        <v>-1801.6200000000008</v>
      </c>
      <c r="K153" s="371">
        <f t="shared" si="164"/>
        <v>-15.70552468126839</v>
      </c>
      <c r="L153" s="251">
        <v>11471.25</v>
      </c>
      <c r="M153" s="251">
        <v>9062.19</v>
      </c>
      <c r="N153" s="137">
        <f t="shared" si="183"/>
        <v>-2409.0599999999995</v>
      </c>
      <c r="O153" s="252">
        <f t="shared" si="171"/>
        <v>-21.000849950964362</v>
      </c>
      <c r="P153" s="251">
        <v>11471.25</v>
      </c>
      <c r="Q153" s="137">
        <v>18103.11</v>
      </c>
      <c r="R153" s="137">
        <f t="shared" si="184"/>
        <v>6631.8600000000006</v>
      </c>
      <c r="S153" s="237">
        <f t="shared" si="172"/>
        <v>57.812880026152349</v>
      </c>
      <c r="T153" s="251">
        <v>11471.25</v>
      </c>
      <c r="U153" s="816">
        <v>17676.189999999999</v>
      </c>
      <c r="V153" s="137">
        <f t="shared" si="185"/>
        <v>6204.9399999999987</v>
      </c>
      <c r="W153" s="237">
        <f t="shared" si="173"/>
        <v>54.091228070175433</v>
      </c>
      <c r="X153" s="251">
        <v>11471.25</v>
      </c>
      <c r="Y153" s="137">
        <v>14250.16</v>
      </c>
      <c r="Z153" s="137">
        <f t="shared" si="186"/>
        <v>2778.91</v>
      </c>
      <c r="AA153" s="240">
        <f t="shared" si="174"/>
        <v>24.224997275798188</v>
      </c>
      <c r="AB153" s="251">
        <v>11471.25</v>
      </c>
      <c r="AC153" s="137">
        <v>14946.19</v>
      </c>
      <c r="AD153" s="137">
        <f t="shared" si="187"/>
        <v>3474.9400000000005</v>
      </c>
      <c r="AE153" s="237">
        <f t="shared" si="175"/>
        <v>30.292601067887116</v>
      </c>
      <c r="AF153" s="251">
        <v>11471.25</v>
      </c>
      <c r="AG153" s="260">
        <v>8993.19</v>
      </c>
      <c r="AH153" s="137">
        <f t="shared" si="188"/>
        <v>-2478.0599999999995</v>
      </c>
      <c r="AI153" s="252">
        <f t="shared" si="176"/>
        <v>-21.602353710362856</v>
      </c>
      <c r="AJ153" s="251">
        <v>11471.25</v>
      </c>
      <c r="AK153" s="260">
        <v>14703.61</v>
      </c>
      <c r="AL153" s="169">
        <f t="shared" si="166"/>
        <v>3232.3600000000006</v>
      </c>
      <c r="AM153" s="237">
        <f t="shared" si="177"/>
        <v>28.17792306854092</v>
      </c>
      <c r="AN153" s="251">
        <v>11471.25</v>
      </c>
      <c r="AO153" s="176">
        <v>8813.67</v>
      </c>
      <c r="AP153" s="169">
        <f t="shared" si="167"/>
        <v>-2657.58</v>
      </c>
      <c r="AQ153" s="252">
        <f t="shared" si="178"/>
        <v>-23.167309578293562</v>
      </c>
      <c r="AR153" s="251">
        <v>11471.25</v>
      </c>
      <c r="AS153" s="176">
        <v>11974.78</v>
      </c>
      <c r="AT153" s="169">
        <f t="shared" si="168"/>
        <v>503.53000000000065</v>
      </c>
      <c r="AU153" s="237">
        <f t="shared" si="179"/>
        <v>4.3894954778250117</v>
      </c>
      <c r="AV153" s="251">
        <v>11471.25</v>
      </c>
      <c r="AW153" s="260">
        <v>13268.6</v>
      </c>
      <c r="AX153" s="169">
        <f t="shared" si="169"/>
        <v>1797.3500000000004</v>
      </c>
      <c r="AY153" s="252">
        <f t="shared" si="180"/>
        <v>15.668301187751998</v>
      </c>
      <c r="AZ153" s="254">
        <v>11471.25</v>
      </c>
      <c r="BA153" s="176">
        <v>16017.78</v>
      </c>
      <c r="BB153" s="137">
        <f t="shared" si="189"/>
        <v>4546.5300000000007</v>
      </c>
      <c r="BC153" s="237">
        <f t="shared" si="181"/>
        <v>39.634128800261536</v>
      </c>
      <c r="BD153" s="177">
        <f t="shared" si="182"/>
        <v>146281.12</v>
      </c>
      <c r="BE153" s="177">
        <f t="shared" si="170"/>
        <v>157479.1</v>
      </c>
      <c r="BF153" s="118"/>
    </row>
    <row r="154" spans="1:60" s="119" customFormat="1" ht="31.5" x14ac:dyDescent="0.25">
      <c r="B154" s="170" t="s">
        <v>3656</v>
      </c>
      <c r="C154" s="135" t="s">
        <v>83</v>
      </c>
      <c r="D154" s="332" t="s">
        <v>208</v>
      </c>
      <c r="E154" s="341"/>
      <c r="F154" s="256"/>
      <c r="G154" s="328"/>
      <c r="H154" s="251">
        <f>8536.605+3000</f>
        <v>11536.605</v>
      </c>
      <c r="I154" s="87">
        <f>5569.49+0+2982</f>
        <v>8551.49</v>
      </c>
      <c r="J154" s="138">
        <f t="shared" si="165"/>
        <v>-2985.1149999999998</v>
      </c>
      <c r="K154" s="371">
        <f t="shared" si="164"/>
        <v>-25.875159979907437</v>
      </c>
      <c r="L154" s="251">
        <f>8536.605+3000</f>
        <v>11536.605</v>
      </c>
      <c r="M154" s="251">
        <f>4621.23+1000+3356+2712.5</f>
        <v>11689.73</v>
      </c>
      <c r="N154" s="137">
        <f t="shared" si="183"/>
        <v>153.125</v>
      </c>
      <c r="O154" s="252">
        <f t="shared" si="171"/>
        <v>1.3272968954038067</v>
      </c>
      <c r="P154" s="251">
        <v>11536.605</v>
      </c>
      <c r="Q154" s="137">
        <f>3736.48+0+3730+843.75</f>
        <v>8310.23</v>
      </c>
      <c r="R154" s="137">
        <f t="shared" si="184"/>
        <v>-3226.375</v>
      </c>
      <c r="S154" s="237">
        <f t="shared" si="172"/>
        <v>-27.966416463075571</v>
      </c>
      <c r="T154" s="251">
        <v>11536.605</v>
      </c>
      <c r="U154" s="816">
        <v>6908.31</v>
      </c>
      <c r="V154" s="137">
        <f t="shared" si="185"/>
        <v>-4628.2949999999992</v>
      </c>
      <c r="W154" s="237">
        <f t="shared" si="173"/>
        <v>-40.118345041717205</v>
      </c>
      <c r="X154" s="251">
        <v>8800</v>
      </c>
      <c r="Y154" s="137">
        <f>6329.49+855.81+6056+0</f>
        <v>13241.3</v>
      </c>
      <c r="Z154" s="137">
        <f t="shared" si="186"/>
        <v>4441.2999999999993</v>
      </c>
      <c r="AA154" s="240">
        <f t="shared" si="174"/>
        <v>50.469318181818167</v>
      </c>
      <c r="AB154" s="251">
        <v>8800</v>
      </c>
      <c r="AC154" s="137">
        <v>6198.59</v>
      </c>
      <c r="AD154" s="137">
        <f t="shared" si="187"/>
        <v>-2601.41</v>
      </c>
      <c r="AE154" s="237">
        <f t="shared" si="175"/>
        <v>-29.561477272727267</v>
      </c>
      <c r="AF154" s="251">
        <v>8800</v>
      </c>
      <c r="AG154" s="260">
        <v>14925.45</v>
      </c>
      <c r="AH154" s="137">
        <f t="shared" si="188"/>
        <v>6125.4500000000007</v>
      </c>
      <c r="AI154" s="252">
        <f t="shared" si="176"/>
        <v>69.607386363636365</v>
      </c>
      <c r="AJ154" s="251">
        <v>8800</v>
      </c>
      <c r="AK154" s="260">
        <v>19539.78</v>
      </c>
      <c r="AL154" s="169">
        <f t="shared" si="166"/>
        <v>10739.779999999999</v>
      </c>
      <c r="AM154" s="237">
        <f t="shared" si="177"/>
        <v>122.04295454545453</v>
      </c>
      <c r="AN154" s="251">
        <v>8800</v>
      </c>
      <c r="AO154" s="176">
        <v>19725.490000000002</v>
      </c>
      <c r="AP154" s="169">
        <f t="shared" si="167"/>
        <v>10925.490000000002</v>
      </c>
      <c r="AQ154" s="252">
        <f t="shared" si="178"/>
        <v>124.15329545454546</v>
      </c>
      <c r="AR154" s="251">
        <v>8800</v>
      </c>
      <c r="AS154" s="176">
        <v>17873.46</v>
      </c>
      <c r="AT154" s="169">
        <f t="shared" si="168"/>
        <v>9073.4599999999991</v>
      </c>
      <c r="AU154" s="237">
        <f t="shared" si="179"/>
        <v>103.1075</v>
      </c>
      <c r="AV154" s="251">
        <v>8800</v>
      </c>
      <c r="AW154" s="260">
        <v>17846.46</v>
      </c>
      <c r="AX154" s="169">
        <f t="shared" si="169"/>
        <v>9046.4599999999991</v>
      </c>
      <c r="AY154" s="252">
        <f t="shared" si="180"/>
        <v>102.80068181818183</v>
      </c>
      <c r="AZ154" s="254">
        <v>8800</v>
      </c>
      <c r="BA154" s="176">
        <v>27203.919999999998</v>
      </c>
      <c r="BB154" s="137">
        <f t="shared" si="189"/>
        <v>18403.919999999998</v>
      </c>
      <c r="BC154" s="237">
        <f t="shared" si="181"/>
        <v>209.13545454545454</v>
      </c>
      <c r="BD154" s="177">
        <f t="shared" si="182"/>
        <v>105859.76</v>
      </c>
      <c r="BE154" s="177">
        <f t="shared" si="170"/>
        <v>172014.20999999996</v>
      </c>
      <c r="BF154" s="118"/>
    </row>
    <row r="155" spans="1:60" s="119" customFormat="1" x14ac:dyDescent="0.25">
      <c r="B155" s="170">
        <v>51090</v>
      </c>
      <c r="C155" s="135">
        <v>356</v>
      </c>
      <c r="D155" s="332" t="s">
        <v>210</v>
      </c>
      <c r="E155" s="341"/>
      <c r="F155" s="320"/>
      <c r="G155" s="328"/>
      <c r="H155" s="212">
        <v>10650.307499999999</v>
      </c>
      <c r="I155" s="87">
        <v>10713.75</v>
      </c>
      <c r="J155" s="138">
        <f t="shared" si="165"/>
        <v>63.442500000001019</v>
      </c>
      <c r="K155" s="371">
        <f t="shared" si="164"/>
        <v>0.59568702593799649</v>
      </c>
      <c r="L155" s="212">
        <v>10650.307499999999</v>
      </c>
      <c r="M155" s="212">
        <v>5900</v>
      </c>
      <c r="N155" s="137">
        <f t="shared" si="183"/>
        <v>-4750.307499999999</v>
      </c>
      <c r="O155" s="252">
        <f t="shared" si="171"/>
        <v>-44.602538471307042</v>
      </c>
      <c r="P155" s="212">
        <v>10650.307499999999</v>
      </c>
      <c r="Q155" s="137">
        <v>7700</v>
      </c>
      <c r="R155" s="137">
        <f t="shared" si="184"/>
        <v>-2950.307499999999</v>
      </c>
      <c r="S155" s="237">
        <f t="shared" si="172"/>
        <v>-27.701618004926143</v>
      </c>
      <c r="T155" s="212">
        <v>10650.307499999999</v>
      </c>
      <c r="U155" s="137">
        <v>4220</v>
      </c>
      <c r="V155" s="137">
        <f t="shared" si="185"/>
        <v>-6430.307499999999</v>
      </c>
      <c r="W155" s="237">
        <f t="shared" si="173"/>
        <v>-60.376730906595888</v>
      </c>
      <c r="X155" s="212">
        <v>8000</v>
      </c>
      <c r="Y155" s="137">
        <v>4720</v>
      </c>
      <c r="Z155" s="137">
        <f t="shared" si="186"/>
        <v>-3280</v>
      </c>
      <c r="AA155" s="240">
        <f t="shared" si="174"/>
        <v>-41</v>
      </c>
      <c r="AB155" s="212">
        <v>8000</v>
      </c>
      <c r="AC155" s="137">
        <v>15536.66</v>
      </c>
      <c r="AD155" s="137">
        <f t="shared" si="187"/>
        <v>7536.66</v>
      </c>
      <c r="AE155" s="237">
        <f t="shared" si="175"/>
        <v>94.208249999999992</v>
      </c>
      <c r="AF155" s="212">
        <v>8000</v>
      </c>
      <c r="AG155" s="260">
        <v>1160</v>
      </c>
      <c r="AH155" s="137">
        <f t="shared" si="188"/>
        <v>-6840</v>
      </c>
      <c r="AI155" s="252">
        <f t="shared" si="176"/>
        <v>-85.5</v>
      </c>
      <c r="AJ155" s="212">
        <v>8000</v>
      </c>
      <c r="AK155" s="260">
        <v>1160</v>
      </c>
      <c r="AL155" s="169">
        <f t="shared" si="166"/>
        <v>-6840</v>
      </c>
      <c r="AM155" s="237">
        <f t="shared" si="177"/>
        <v>-85.5</v>
      </c>
      <c r="AN155" s="212">
        <v>8000</v>
      </c>
      <c r="AO155" s="176">
        <v>2320</v>
      </c>
      <c r="AP155" s="169">
        <f t="shared" si="167"/>
        <v>-5680</v>
      </c>
      <c r="AQ155" s="252">
        <f t="shared" si="178"/>
        <v>-71</v>
      </c>
      <c r="AR155" s="212">
        <v>8000</v>
      </c>
      <c r="AS155" s="176">
        <v>7510</v>
      </c>
      <c r="AT155" s="169">
        <f t="shared" si="168"/>
        <v>-490</v>
      </c>
      <c r="AU155" s="237">
        <f t="shared" si="179"/>
        <v>-6.1250000000000027</v>
      </c>
      <c r="AV155" s="212">
        <v>8000</v>
      </c>
      <c r="AW155" s="260">
        <v>2320</v>
      </c>
      <c r="AX155" s="169">
        <f t="shared" si="169"/>
        <v>-5680</v>
      </c>
      <c r="AY155" s="252">
        <f t="shared" si="180"/>
        <v>-71</v>
      </c>
      <c r="AZ155" s="254">
        <v>8000</v>
      </c>
      <c r="BA155" s="176">
        <v>4366</v>
      </c>
      <c r="BB155" s="137">
        <f t="shared" si="189"/>
        <v>-3634</v>
      </c>
      <c r="BC155" s="237">
        <f t="shared" si="181"/>
        <v>-45.425000000000004</v>
      </c>
      <c r="BD155" s="177">
        <f t="shared" si="182"/>
        <v>92533.75</v>
      </c>
      <c r="BE155" s="177">
        <f t="shared" si="170"/>
        <v>67626.41</v>
      </c>
      <c r="BF155" s="118"/>
    </row>
    <row r="156" spans="1:60" s="119" customFormat="1" x14ac:dyDescent="0.25">
      <c r="B156" s="170">
        <v>12282</v>
      </c>
      <c r="C156" s="135">
        <v>344</v>
      </c>
      <c r="D156" s="332" t="s">
        <v>211</v>
      </c>
      <c r="E156" s="341"/>
      <c r="F156" s="256"/>
      <c r="G156" s="328"/>
      <c r="H156" s="212">
        <v>18453.75</v>
      </c>
      <c r="I156" s="87">
        <v>15242.47</v>
      </c>
      <c r="J156" s="138">
        <f t="shared" si="165"/>
        <v>-3211.2800000000007</v>
      </c>
      <c r="K156" s="371">
        <f t="shared" si="164"/>
        <v>-17.401774707037866</v>
      </c>
      <c r="L156" s="212">
        <v>18453.75</v>
      </c>
      <c r="M156" s="212">
        <v>15945.72</v>
      </c>
      <c r="N156" s="137">
        <f t="shared" si="183"/>
        <v>-2508.0300000000007</v>
      </c>
      <c r="O156" s="252">
        <f t="shared" si="171"/>
        <v>-13.590896159317211</v>
      </c>
      <c r="P156" s="212">
        <v>18453.75</v>
      </c>
      <c r="Q156" s="137">
        <v>23960.33</v>
      </c>
      <c r="R156" s="137">
        <f t="shared" si="184"/>
        <v>5506.5800000000017</v>
      </c>
      <c r="S156" s="237">
        <f t="shared" si="172"/>
        <v>29.839897039897046</v>
      </c>
      <c r="T156" s="212">
        <v>18453.75</v>
      </c>
      <c r="U156" s="137">
        <v>20302.72</v>
      </c>
      <c r="V156" s="137">
        <f t="shared" si="185"/>
        <v>1848.9700000000012</v>
      </c>
      <c r="W156" s="237">
        <f t="shared" si="173"/>
        <v>10.019481135270624</v>
      </c>
      <c r="X156" s="212">
        <v>18453.75</v>
      </c>
      <c r="Y156" s="137">
        <v>12896.72</v>
      </c>
      <c r="Z156" s="137">
        <f t="shared" si="186"/>
        <v>-5557.0300000000007</v>
      </c>
      <c r="AA156" s="240">
        <f t="shared" si="174"/>
        <v>-30.113283208020057</v>
      </c>
      <c r="AB156" s="212">
        <v>18453.75</v>
      </c>
      <c r="AC156" s="137">
        <v>10646.72</v>
      </c>
      <c r="AD156" s="137">
        <f t="shared" si="187"/>
        <v>-7807.0300000000007</v>
      </c>
      <c r="AE156" s="237">
        <f t="shared" si="175"/>
        <v>-42.305926979611201</v>
      </c>
      <c r="AF156" s="212">
        <v>18453.75</v>
      </c>
      <c r="AG156" s="260">
        <v>14568.72</v>
      </c>
      <c r="AH156" s="137">
        <f t="shared" si="188"/>
        <v>-3885.0300000000007</v>
      </c>
      <c r="AI156" s="252">
        <f t="shared" si="176"/>
        <v>-21.052794147530996</v>
      </c>
      <c r="AJ156" s="212">
        <v>18453.75</v>
      </c>
      <c r="AK156" s="260">
        <v>8568.7199999999993</v>
      </c>
      <c r="AL156" s="169">
        <f t="shared" si="166"/>
        <v>-9885.0300000000007</v>
      </c>
      <c r="AM156" s="237">
        <f t="shared" si="177"/>
        <v>-53.566510871774028</v>
      </c>
      <c r="AN156" s="212">
        <v>18453.75</v>
      </c>
      <c r="AO156" s="176">
        <v>26064.720000000001</v>
      </c>
      <c r="AP156" s="169">
        <f t="shared" si="167"/>
        <v>7610.9700000000012</v>
      </c>
      <c r="AQ156" s="252">
        <f t="shared" si="178"/>
        <v>41.243487096118692</v>
      </c>
      <c r="AR156" s="212">
        <v>18453.75</v>
      </c>
      <c r="AS156" s="176">
        <v>17549.16</v>
      </c>
      <c r="AT156" s="169">
        <f t="shared" si="168"/>
        <v>-904.59000000000015</v>
      </c>
      <c r="AU156" s="237">
        <f t="shared" si="179"/>
        <v>-4.9019305019305071</v>
      </c>
      <c r="AV156" s="212">
        <v>18453.75</v>
      </c>
      <c r="AW156" s="260">
        <v>20493.189999999999</v>
      </c>
      <c r="AX156" s="169">
        <f t="shared" si="169"/>
        <v>2039.4399999999987</v>
      </c>
      <c r="AY156" s="252">
        <f t="shared" si="180"/>
        <v>11.05162907268169</v>
      </c>
      <c r="AZ156" s="254">
        <v>18453.75</v>
      </c>
      <c r="BA156" s="176">
        <v>38647</v>
      </c>
      <c r="BB156" s="137">
        <f t="shared" si="189"/>
        <v>20193.25</v>
      </c>
      <c r="BC156" s="237">
        <f t="shared" si="181"/>
        <v>109.4262683736368</v>
      </c>
      <c r="BD156" s="177">
        <f t="shared" si="182"/>
        <v>223081.24</v>
      </c>
      <c r="BE156" s="177">
        <f t="shared" si="170"/>
        <v>224886.19000000003</v>
      </c>
      <c r="BF156" s="118"/>
    </row>
    <row r="157" spans="1:60" s="119" customFormat="1" x14ac:dyDescent="0.25">
      <c r="B157" s="170">
        <v>51665</v>
      </c>
      <c r="C157" s="135">
        <v>365</v>
      </c>
      <c r="D157" s="152" t="s">
        <v>212</v>
      </c>
      <c r="E157" s="341"/>
      <c r="F157" s="256"/>
      <c r="G157" s="328"/>
      <c r="H157" s="212">
        <f>79348.1325-1676</f>
        <v>77672.132500000007</v>
      </c>
      <c r="I157" s="87">
        <v>39825.519999999997</v>
      </c>
      <c r="J157" s="138">
        <f t="shared" si="165"/>
        <v>-37846.61250000001</v>
      </c>
      <c r="K157" s="371">
        <f t="shared" si="164"/>
        <v>-48.726114864942083</v>
      </c>
      <c r="L157" s="212">
        <f>79348.1325-1676</f>
        <v>77672.132500000007</v>
      </c>
      <c r="M157" s="212">
        <v>44929.41</v>
      </c>
      <c r="N157" s="137">
        <f t="shared" si="183"/>
        <v>-32742.722500000003</v>
      </c>
      <c r="O157" s="252">
        <f t="shared" si="171"/>
        <v>-42.155045118659515</v>
      </c>
      <c r="P157" s="212">
        <v>77672.132500000007</v>
      </c>
      <c r="Q157" s="137">
        <v>60176.07</v>
      </c>
      <c r="R157" s="137">
        <f t="shared" si="184"/>
        <v>-17496.062500000007</v>
      </c>
      <c r="S157" s="237">
        <f t="shared" si="172"/>
        <v>-22.525533852183088</v>
      </c>
      <c r="T157" s="212">
        <v>77672.132500000007</v>
      </c>
      <c r="U157" s="137">
        <v>59729.96</v>
      </c>
      <c r="V157" s="137">
        <f t="shared" si="185"/>
        <v>-17942.172500000008</v>
      </c>
      <c r="W157" s="237">
        <f t="shared" si="173"/>
        <v>-23.099883989923931</v>
      </c>
      <c r="X157" s="212">
        <v>55000</v>
      </c>
      <c r="Y157" s="137">
        <v>17631.189999999999</v>
      </c>
      <c r="Z157" s="137">
        <f t="shared" si="186"/>
        <v>-37368.81</v>
      </c>
      <c r="AA157" s="240">
        <f t="shared" si="174"/>
        <v>-67.943290909090905</v>
      </c>
      <c r="AB157" s="212">
        <v>55000</v>
      </c>
      <c r="AC157" s="137">
        <v>39018.92</v>
      </c>
      <c r="AD157" s="137">
        <f t="shared" si="187"/>
        <v>-15981.080000000002</v>
      </c>
      <c r="AE157" s="237">
        <f t="shared" si="175"/>
        <v>-29.056509090909099</v>
      </c>
      <c r="AF157" s="212">
        <v>55000</v>
      </c>
      <c r="AG157" s="260">
        <v>40161.129999999997</v>
      </c>
      <c r="AH157" s="137">
        <f t="shared" si="188"/>
        <v>-14838.870000000003</v>
      </c>
      <c r="AI157" s="252">
        <f t="shared" si="176"/>
        <v>-26.979763636363639</v>
      </c>
      <c r="AJ157" s="212">
        <v>55000</v>
      </c>
      <c r="AK157" s="260">
        <v>37788.410000000003</v>
      </c>
      <c r="AL157" s="169">
        <f t="shared" si="166"/>
        <v>-17211.589999999997</v>
      </c>
      <c r="AM157" s="237">
        <f t="shared" si="177"/>
        <v>-31.293799999999994</v>
      </c>
      <c r="AN157" s="212">
        <v>55000</v>
      </c>
      <c r="AO157" s="176">
        <v>34911.129999999997</v>
      </c>
      <c r="AP157" s="169">
        <f t="shared" si="167"/>
        <v>-20088.870000000003</v>
      </c>
      <c r="AQ157" s="252">
        <f t="shared" si="178"/>
        <v>-36.52521818181819</v>
      </c>
      <c r="AR157" s="212">
        <v>55000</v>
      </c>
      <c r="AS157" s="176">
        <v>43076.83</v>
      </c>
      <c r="AT157" s="169">
        <f t="shared" si="168"/>
        <v>-11923.169999999998</v>
      </c>
      <c r="AU157" s="237">
        <f t="shared" si="179"/>
        <v>-21.678490909090907</v>
      </c>
      <c r="AV157" s="212">
        <v>55000</v>
      </c>
      <c r="AW157" s="260">
        <v>48874.39</v>
      </c>
      <c r="AX157" s="169">
        <f t="shared" si="169"/>
        <v>-6125.6100000000006</v>
      </c>
      <c r="AY157" s="252">
        <f t="shared" si="180"/>
        <v>-11.137472727272723</v>
      </c>
      <c r="AZ157" s="254">
        <v>55000</v>
      </c>
      <c r="BA157" s="176">
        <v>46566.11</v>
      </c>
      <c r="BB157" s="137">
        <f t="shared" si="189"/>
        <v>-8433.89</v>
      </c>
      <c r="BC157" s="237">
        <f t="shared" si="181"/>
        <v>-15.334345454545451</v>
      </c>
      <c r="BD157" s="177">
        <f t="shared" si="182"/>
        <v>644660.96000000008</v>
      </c>
      <c r="BE157" s="177">
        <f t="shared" si="170"/>
        <v>512689.07</v>
      </c>
      <c r="BF157" s="118"/>
    </row>
    <row r="158" spans="1:60" s="119" customFormat="1" x14ac:dyDescent="0.25">
      <c r="B158" s="170">
        <v>51666</v>
      </c>
      <c r="C158" s="135">
        <v>367</v>
      </c>
      <c r="D158" s="152" t="s">
        <v>84</v>
      </c>
      <c r="E158" s="341"/>
      <c r="F158" s="256"/>
      <c r="G158" s="328"/>
      <c r="H158" s="212">
        <f>78435.42-1676-1676</f>
        <v>75083.42</v>
      </c>
      <c r="I158" s="87">
        <v>19100</v>
      </c>
      <c r="J158" s="138">
        <f t="shared" si="165"/>
        <v>-55983.42</v>
      </c>
      <c r="K158" s="371">
        <f t="shared" si="164"/>
        <v>-74.561627587022542</v>
      </c>
      <c r="L158" s="212">
        <f>78435.42-1676-1676</f>
        <v>75083.42</v>
      </c>
      <c r="M158" s="212">
        <v>35693.050000000003</v>
      </c>
      <c r="N158" s="137">
        <f t="shared" si="183"/>
        <v>-39390.369999999995</v>
      </c>
      <c r="O158" s="252">
        <f t="shared" si="171"/>
        <v>-52.462141442145274</v>
      </c>
      <c r="P158" s="212">
        <v>75083.42</v>
      </c>
      <c r="Q158" s="137">
        <v>2580</v>
      </c>
      <c r="R158" s="137">
        <f t="shared" si="184"/>
        <v>-72503.42</v>
      </c>
      <c r="S158" s="237">
        <f t="shared" si="172"/>
        <v>-96.563821946309844</v>
      </c>
      <c r="T158" s="212">
        <v>75083.42</v>
      </c>
      <c r="U158" s="137">
        <v>13931.05</v>
      </c>
      <c r="V158" s="137">
        <f t="shared" si="185"/>
        <v>-61152.369999999995</v>
      </c>
      <c r="W158" s="237">
        <f t="shared" si="173"/>
        <v>-81.445903769434054</v>
      </c>
      <c r="X158" s="212">
        <v>20000</v>
      </c>
      <c r="Y158" s="137">
        <v>13504.5</v>
      </c>
      <c r="Z158" s="137">
        <f t="shared" si="186"/>
        <v>-6495.5</v>
      </c>
      <c r="AA158" s="240">
        <f t="shared" si="174"/>
        <v>-32.477500000000006</v>
      </c>
      <c r="AB158" s="212">
        <v>20000</v>
      </c>
      <c r="AC158" s="137">
        <v>21422.34</v>
      </c>
      <c r="AD158" s="137">
        <f t="shared" si="187"/>
        <v>1422.3400000000001</v>
      </c>
      <c r="AE158" s="237">
        <f t="shared" si="175"/>
        <v>7.1117000000000097</v>
      </c>
      <c r="AF158" s="212">
        <v>20000</v>
      </c>
      <c r="AG158" s="260">
        <v>22539.31</v>
      </c>
      <c r="AH158" s="137">
        <f t="shared" si="188"/>
        <v>2539.3100000000013</v>
      </c>
      <c r="AI158" s="252">
        <f t="shared" si="176"/>
        <v>12.696550000000006</v>
      </c>
      <c r="AJ158" s="212">
        <v>20000</v>
      </c>
      <c r="AK158" s="260">
        <v>3590</v>
      </c>
      <c r="AL158" s="169">
        <f t="shared" si="166"/>
        <v>-16410</v>
      </c>
      <c r="AM158" s="237">
        <f t="shared" si="177"/>
        <v>-82.05</v>
      </c>
      <c r="AN158" s="212">
        <v>20000</v>
      </c>
      <c r="AO158" s="176">
        <v>10563</v>
      </c>
      <c r="AP158" s="169">
        <f t="shared" si="167"/>
        <v>-9437</v>
      </c>
      <c r="AQ158" s="252">
        <f t="shared" si="178"/>
        <v>-47.185000000000002</v>
      </c>
      <c r="AR158" s="212">
        <v>20000</v>
      </c>
      <c r="AS158" s="176">
        <v>5290</v>
      </c>
      <c r="AT158" s="169">
        <f t="shared" si="168"/>
        <v>-14710</v>
      </c>
      <c r="AU158" s="237">
        <f t="shared" si="179"/>
        <v>-73.550000000000011</v>
      </c>
      <c r="AV158" s="212">
        <v>20000</v>
      </c>
      <c r="AW158" s="260">
        <v>15049.6</v>
      </c>
      <c r="AX158" s="169">
        <f t="shared" si="169"/>
        <v>-4950.3999999999996</v>
      </c>
      <c r="AY158" s="252">
        <f t="shared" si="180"/>
        <v>-24.751999999999995</v>
      </c>
      <c r="AZ158" s="254">
        <v>20000</v>
      </c>
      <c r="BA158" s="176">
        <v>36508.870000000003</v>
      </c>
      <c r="BB158" s="137">
        <f t="shared" si="189"/>
        <v>16508.870000000003</v>
      </c>
      <c r="BC158" s="237">
        <f t="shared" si="181"/>
        <v>82.544350000000023</v>
      </c>
      <c r="BD158" s="177">
        <f t="shared" si="182"/>
        <v>231304.09999999998</v>
      </c>
      <c r="BE158" s="177">
        <f t="shared" si="170"/>
        <v>199771.72</v>
      </c>
      <c r="BF158" s="118"/>
    </row>
    <row r="159" spans="1:60" s="119" customFormat="1" x14ac:dyDescent="0.25">
      <c r="B159" s="170">
        <v>51667</v>
      </c>
      <c r="C159" s="135">
        <v>366</v>
      </c>
      <c r="D159" s="152" t="s">
        <v>85</v>
      </c>
      <c r="E159" s="341"/>
      <c r="F159" s="256"/>
      <c r="G159" s="328"/>
      <c r="H159" s="212">
        <v>11970</v>
      </c>
      <c r="I159" s="87">
        <v>18697.87</v>
      </c>
      <c r="J159" s="138">
        <f t="shared" si="165"/>
        <v>6727.869999999999</v>
      </c>
      <c r="K159" s="371">
        <f t="shared" si="164"/>
        <v>56.206098579782783</v>
      </c>
      <c r="L159" s="212">
        <v>11970</v>
      </c>
      <c r="M159" s="212">
        <v>12299.37</v>
      </c>
      <c r="N159" s="137">
        <f t="shared" si="183"/>
        <v>329.3700000000008</v>
      </c>
      <c r="O159" s="252">
        <f t="shared" si="171"/>
        <v>2.7516290726817161</v>
      </c>
      <c r="P159" s="212">
        <v>11970</v>
      </c>
      <c r="Q159" s="137">
        <v>11900.37</v>
      </c>
      <c r="R159" s="137">
        <f t="shared" si="184"/>
        <v>-69.6299999999992</v>
      </c>
      <c r="S159" s="237">
        <f t="shared" si="172"/>
        <v>-0.58170426065162761</v>
      </c>
      <c r="T159" s="212">
        <v>11970</v>
      </c>
      <c r="U159" s="137">
        <v>20814.37</v>
      </c>
      <c r="V159" s="137">
        <f t="shared" si="185"/>
        <v>8844.369999999999</v>
      </c>
      <c r="W159" s="237">
        <f t="shared" si="173"/>
        <v>73.887802840434418</v>
      </c>
      <c r="X159" s="212">
        <v>11970</v>
      </c>
      <c r="Y159" s="137">
        <v>17179.37</v>
      </c>
      <c r="Z159" s="137">
        <f t="shared" si="186"/>
        <v>5209.369999999999</v>
      </c>
      <c r="AA159" s="240">
        <f t="shared" si="174"/>
        <v>43.520217209690884</v>
      </c>
      <c r="AB159" s="212">
        <v>11970</v>
      </c>
      <c r="AC159" s="137">
        <v>31666.77</v>
      </c>
      <c r="AD159" s="137">
        <f t="shared" si="187"/>
        <v>19696.77</v>
      </c>
      <c r="AE159" s="237">
        <f t="shared" si="175"/>
        <v>164.55112781954887</v>
      </c>
      <c r="AF159" s="212">
        <v>11970</v>
      </c>
      <c r="AG159" s="260">
        <v>15726.3</v>
      </c>
      <c r="AH159" s="137">
        <f t="shared" si="188"/>
        <v>3756.2999999999993</v>
      </c>
      <c r="AI159" s="252">
        <f t="shared" si="176"/>
        <v>31.380952380952376</v>
      </c>
      <c r="AJ159" s="212">
        <v>11970</v>
      </c>
      <c r="AK159" s="260">
        <v>6512</v>
      </c>
      <c r="AL159" s="169">
        <f t="shared" si="166"/>
        <v>-5458</v>
      </c>
      <c r="AM159" s="237">
        <f t="shared" si="177"/>
        <v>-45.597326649958227</v>
      </c>
      <c r="AN159" s="212">
        <v>11970</v>
      </c>
      <c r="AO159" s="176">
        <v>9398.07</v>
      </c>
      <c r="AP159" s="169">
        <f t="shared" si="167"/>
        <v>-2571.9300000000003</v>
      </c>
      <c r="AQ159" s="252">
        <f t="shared" si="178"/>
        <v>-21.486466165413532</v>
      </c>
      <c r="AR159" s="212">
        <v>11970</v>
      </c>
      <c r="AS159" s="176">
        <v>7647.57</v>
      </c>
      <c r="AT159" s="169">
        <f t="shared" si="168"/>
        <v>-4322.43</v>
      </c>
      <c r="AU159" s="237">
        <f t="shared" si="179"/>
        <v>-36.110526315789471</v>
      </c>
      <c r="AV159" s="212">
        <v>11970</v>
      </c>
      <c r="AW159" s="260">
        <v>8468.57</v>
      </c>
      <c r="AX159" s="169">
        <f t="shared" si="169"/>
        <v>-3501.4300000000003</v>
      </c>
      <c r="AY159" s="252">
        <f t="shared" si="180"/>
        <v>-29.251712614870517</v>
      </c>
      <c r="AZ159" s="254">
        <v>11970</v>
      </c>
      <c r="BA159" s="176">
        <v>7161.98</v>
      </c>
      <c r="BB159" s="137">
        <f t="shared" si="189"/>
        <v>-4808.0200000000004</v>
      </c>
      <c r="BC159" s="237">
        <f t="shared" si="181"/>
        <v>-40.167251461988307</v>
      </c>
      <c r="BD159" s="177">
        <f t="shared" si="182"/>
        <v>159471.97999999998</v>
      </c>
      <c r="BE159" s="177">
        <f t="shared" si="170"/>
        <v>167472.61000000002</v>
      </c>
      <c r="BF159" s="118"/>
    </row>
    <row r="160" spans="1:60" s="119" customFormat="1" x14ac:dyDescent="0.25">
      <c r="B160" s="170">
        <v>12900</v>
      </c>
      <c r="C160" s="135">
        <v>197</v>
      </c>
      <c r="D160" s="152" t="s">
        <v>87</v>
      </c>
      <c r="E160" s="341"/>
      <c r="F160" s="320"/>
      <c r="G160" s="328"/>
      <c r="H160" s="212">
        <v>9426.375</v>
      </c>
      <c r="I160" s="87">
        <v>7326.29</v>
      </c>
      <c r="J160" s="138">
        <f t="shared" si="165"/>
        <v>-2100.085</v>
      </c>
      <c r="K160" s="371">
        <f t="shared" si="164"/>
        <v>-22.278818739971619</v>
      </c>
      <c r="L160" s="212">
        <v>9426.375</v>
      </c>
      <c r="M160" s="212">
        <v>7767.56</v>
      </c>
      <c r="N160" s="137">
        <f t="shared" si="183"/>
        <v>-1658.8149999999996</v>
      </c>
      <c r="O160" s="252">
        <f t="shared" si="171"/>
        <v>-17.597591863256024</v>
      </c>
      <c r="P160" s="212">
        <v>9426.375</v>
      </c>
      <c r="Q160" s="137">
        <v>7332.91</v>
      </c>
      <c r="R160" s="137">
        <f t="shared" si="184"/>
        <v>-2093.4650000000001</v>
      </c>
      <c r="S160" s="237">
        <f t="shared" si="172"/>
        <v>-22.208590258715578</v>
      </c>
      <c r="T160" s="212">
        <v>9426.375</v>
      </c>
      <c r="U160" s="137">
        <v>7767.56</v>
      </c>
      <c r="V160" s="137">
        <f t="shared" si="185"/>
        <v>-1658.8149999999996</v>
      </c>
      <c r="W160" s="237">
        <f t="shared" si="173"/>
        <v>-17.597591863256024</v>
      </c>
      <c r="X160" s="212">
        <v>7500</v>
      </c>
      <c r="Y160" s="137">
        <v>7567.66</v>
      </c>
      <c r="Z160" s="137">
        <f t="shared" si="186"/>
        <v>67.659999999999854</v>
      </c>
      <c r="AA160" s="240">
        <f t="shared" si="174"/>
        <v>0.90213333333333257</v>
      </c>
      <c r="AB160" s="212">
        <v>7500</v>
      </c>
      <c r="AC160" s="137">
        <v>7806.23</v>
      </c>
      <c r="AD160" s="137">
        <f t="shared" si="187"/>
        <v>306.22999999999956</v>
      </c>
      <c r="AE160" s="237">
        <f t="shared" si="175"/>
        <v>4.0830666666666682</v>
      </c>
      <c r="AF160" s="212">
        <v>7500</v>
      </c>
      <c r="AG160" s="260">
        <v>7587.61</v>
      </c>
      <c r="AH160" s="137">
        <f t="shared" si="188"/>
        <v>87.609999999999673</v>
      </c>
      <c r="AI160" s="252">
        <f t="shared" si="176"/>
        <v>1.168133333333321</v>
      </c>
      <c r="AJ160" s="212">
        <v>7500</v>
      </c>
      <c r="AK160" s="260">
        <v>7804.97</v>
      </c>
      <c r="AL160" s="169">
        <f t="shared" si="166"/>
        <v>304.97000000000025</v>
      </c>
      <c r="AM160" s="237">
        <f t="shared" si="177"/>
        <v>4.0662666666666736</v>
      </c>
      <c r="AN160" s="212">
        <v>7500</v>
      </c>
      <c r="AO160" s="176">
        <v>0</v>
      </c>
      <c r="AP160" s="169">
        <f t="shared" si="167"/>
        <v>-7500</v>
      </c>
      <c r="AQ160" s="252">
        <f t="shared" si="178"/>
        <v>-100</v>
      </c>
      <c r="AR160" s="212">
        <v>7500</v>
      </c>
      <c r="AS160" s="176">
        <v>0</v>
      </c>
      <c r="AT160" s="169">
        <f t="shared" si="168"/>
        <v>-7500</v>
      </c>
      <c r="AU160" s="237">
        <f t="shared" si="179"/>
        <v>-100</v>
      </c>
      <c r="AV160" s="212">
        <v>7500</v>
      </c>
      <c r="AW160" s="260">
        <v>3090.21</v>
      </c>
      <c r="AX160" s="169">
        <f t="shared" si="169"/>
        <v>-4409.79</v>
      </c>
      <c r="AY160" s="252">
        <f t="shared" si="180"/>
        <v>-58.797199999999997</v>
      </c>
      <c r="AZ160" s="254">
        <v>7500</v>
      </c>
      <c r="BA160" s="176">
        <v>27540.3</v>
      </c>
      <c r="BB160" s="137">
        <f t="shared" si="189"/>
        <v>20040.3</v>
      </c>
      <c r="BC160" s="237">
        <f t="shared" si="181"/>
        <v>267.20400000000001</v>
      </c>
      <c r="BD160" s="177">
        <f t="shared" si="182"/>
        <v>90194.319999999992</v>
      </c>
      <c r="BE160" s="177">
        <f t="shared" si="170"/>
        <v>91591.3</v>
      </c>
      <c r="BF160" s="118"/>
    </row>
    <row r="161" spans="2:60" s="119" customFormat="1" x14ac:dyDescent="0.25">
      <c r="B161" s="170" t="s">
        <v>88</v>
      </c>
      <c r="C161" s="135" t="s">
        <v>89</v>
      </c>
      <c r="D161" s="152" t="s">
        <v>213</v>
      </c>
      <c r="E161" s="341"/>
      <c r="F161" s="320"/>
      <c r="G161" s="328"/>
      <c r="H161" s="212">
        <f>56230.0725</f>
        <v>56230.072500000002</v>
      </c>
      <c r="I161" s="87">
        <f>24561.16+22231.39</f>
        <v>46792.55</v>
      </c>
      <c r="J161" s="138">
        <f t="shared" si="165"/>
        <v>-9437.5224999999991</v>
      </c>
      <c r="K161" s="371">
        <f t="shared" si="164"/>
        <v>-16.783763705799949</v>
      </c>
      <c r="L161" s="212">
        <f>56230.0725</f>
        <v>56230.072500000002</v>
      </c>
      <c r="M161" s="212">
        <f>26256.6+24711.42</f>
        <v>50968.02</v>
      </c>
      <c r="N161" s="137">
        <f t="shared" si="183"/>
        <v>-5262.0525000000052</v>
      </c>
      <c r="O161" s="252">
        <f t="shared" si="171"/>
        <v>-9.3580752541267067</v>
      </c>
      <c r="P161" s="212">
        <v>56230.072500000002</v>
      </c>
      <c r="Q161" s="137">
        <f>36557.79+24924.45</f>
        <v>61482.240000000005</v>
      </c>
      <c r="R161" s="137">
        <f t="shared" si="184"/>
        <v>5252.1675000000032</v>
      </c>
      <c r="S161" s="237">
        <f t="shared" si="172"/>
        <v>9.34049569294082</v>
      </c>
      <c r="T161" s="212">
        <v>56230.072500000002</v>
      </c>
      <c r="U161" s="137">
        <v>53358.85</v>
      </c>
      <c r="V161" s="137">
        <f t="shared" si="185"/>
        <v>-2871.2225000000035</v>
      </c>
      <c r="W161" s="237">
        <f t="shared" si="173"/>
        <v>-5.1062045136079153</v>
      </c>
      <c r="X161" s="212">
        <v>56230.072500000002</v>
      </c>
      <c r="Y161" s="137">
        <f>25297.67+23601.97</f>
        <v>48899.64</v>
      </c>
      <c r="Z161" s="137">
        <f t="shared" si="186"/>
        <v>-7330.4325000000026</v>
      </c>
      <c r="AA161" s="240">
        <f t="shared" si="174"/>
        <v>-13.036498396832052</v>
      </c>
      <c r="AB161" s="212">
        <v>56230.072500000002</v>
      </c>
      <c r="AC161" s="137">
        <v>49514.46</v>
      </c>
      <c r="AD161" s="137">
        <f t="shared" si="187"/>
        <v>-6715.6125000000029</v>
      </c>
      <c r="AE161" s="237">
        <f t="shared" si="175"/>
        <v>-11.943097708081385</v>
      </c>
      <c r="AF161" s="212">
        <v>56230.072500000002</v>
      </c>
      <c r="AG161" s="260">
        <v>50483.41</v>
      </c>
      <c r="AH161" s="137">
        <f t="shared" si="188"/>
        <v>-5746.6624999999985</v>
      </c>
      <c r="AI161" s="252">
        <f t="shared" si="176"/>
        <v>-10.21990946214768</v>
      </c>
      <c r="AJ161" s="212">
        <v>56230.072500000002</v>
      </c>
      <c r="AK161" s="260">
        <v>49110.34</v>
      </c>
      <c r="AL161" s="169">
        <f t="shared" si="166"/>
        <v>-7119.7325000000055</v>
      </c>
      <c r="AM161" s="237">
        <f t="shared" si="177"/>
        <v>-12.661787871605545</v>
      </c>
      <c r="AN161" s="212">
        <v>56230.072500000002</v>
      </c>
      <c r="AO161" s="176">
        <v>56231.08</v>
      </c>
      <c r="AP161" s="169">
        <f t="shared" si="167"/>
        <v>1.007499999999709</v>
      </c>
      <c r="AQ161" s="252">
        <f t="shared" si="178"/>
        <v>1.7917458669414188E-3</v>
      </c>
      <c r="AR161" s="212">
        <v>56230.072500000002</v>
      </c>
      <c r="AS161" s="176">
        <v>54921.98</v>
      </c>
      <c r="AT161" s="169">
        <f t="shared" si="168"/>
        <v>-1308.0924999999988</v>
      </c>
      <c r="AU161" s="237">
        <f t="shared" si="179"/>
        <v>-2.3263219160885806</v>
      </c>
      <c r="AV161" s="212">
        <v>56230.072500000002</v>
      </c>
      <c r="AW161" s="260">
        <v>52730.5</v>
      </c>
      <c r="AX161" s="169">
        <f t="shared" si="169"/>
        <v>-3499.572500000002</v>
      </c>
      <c r="AY161" s="252">
        <f t="shared" si="180"/>
        <v>-6.2236670600060222</v>
      </c>
      <c r="AZ161" s="254">
        <v>56230.072500000002</v>
      </c>
      <c r="BA161" s="176">
        <v>49664.89</v>
      </c>
      <c r="BB161" s="137">
        <f t="shared" si="189"/>
        <v>-6565.1825000000026</v>
      </c>
      <c r="BC161" s="237">
        <f t="shared" si="181"/>
        <v>-11.67557182146618</v>
      </c>
      <c r="BD161" s="177">
        <f t="shared" si="182"/>
        <v>662442.24000000011</v>
      </c>
      <c r="BE161" s="177">
        <f t="shared" si="170"/>
        <v>624157.96000000008</v>
      </c>
      <c r="BF161" s="118"/>
    </row>
    <row r="162" spans="2:60" s="119" customFormat="1" x14ac:dyDescent="0.25">
      <c r="B162" s="170" t="s">
        <v>90</v>
      </c>
      <c r="C162" s="135" t="s">
        <v>91</v>
      </c>
      <c r="D162" s="152" t="s">
        <v>92</v>
      </c>
      <c r="E162" s="341"/>
      <c r="F162" s="320"/>
      <c r="G162" s="328"/>
      <c r="H162" s="212">
        <v>190000</v>
      </c>
      <c r="I162" s="87">
        <f>11790.66+172598.15</f>
        <v>184388.81</v>
      </c>
      <c r="J162" s="138">
        <f t="shared" si="165"/>
        <v>-5611.1900000000023</v>
      </c>
      <c r="K162" s="371">
        <f t="shared" si="164"/>
        <v>-2.9532578947368382</v>
      </c>
      <c r="L162" s="212">
        <v>190000</v>
      </c>
      <c r="M162" s="212">
        <f>15023.92+157171.38</f>
        <v>172195.30000000002</v>
      </c>
      <c r="N162" s="137">
        <f t="shared" si="183"/>
        <v>-17804.699999999983</v>
      </c>
      <c r="O162" s="252">
        <f t="shared" si="171"/>
        <v>-9.3708947368420947</v>
      </c>
      <c r="P162" s="212">
        <v>190000</v>
      </c>
      <c r="Q162" s="137">
        <f>14557.18+147249.36</f>
        <v>161806.53999999998</v>
      </c>
      <c r="R162" s="137">
        <f t="shared" si="184"/>
        <v>-28193.460000000021</v>
      </c>
      <c r="S162" s="237">
        <f t="shared" si="172"/>
        <v>-14.83866315789475</v>
      </c>
      <c r="T162" s="212">
        <v>190000</v>
      </c>
      <c r="U162" s="137">
        <v>137434.75</v>
      </c>
      <c r="V162" s="137">
        <f t="shared" si="185"/>
        <v>-52565.25</v>
      </c>
      <c r="W162" s="237">
        <f t="shared" si="173"/>
        <v>-27.665921052631582</v>
      </c>
      <c r="X162" s="212">
        <v>140000</v>
      </c>
      <c r="Y162" s="137">
        <f>9903.72+110019.37</f>
        <v>119923.09</v>
      </c>
      <c r="Z162" s="137">
        <f t="shared" si="186"/>
        <v>-20076.910000000003</v>
      </c>
      <c r="AA162" s="240">
        <f t="shared" si="174"/>
        <v>-14.34065</v>
      </c>
      <c r="AB162" s="212">
        <v>170000</v>
      </c>
      <c r="AC162" s="137">
        <v>125569.43</v>
      </c>
      <c r="AD162" s="137">
        <f t="shared" si="187"/>
        <v>-44430.570000000007</v>
      </c>
      <c r="AE162" s="237">
        <f t="shared" si="175"/>
        <v>-26.135629411764704</v>
      </c>
      <c r="AF162" s="212">
        <v>190000</v>
      </c>
      <c r="AG162" s="260">
        <v>120894.07</v>
      </c>
      <c r="AH162" s="137">
        <f t="shared" si="188"/>
        <v>-69105.929999999993</v>
      </c>
      <c r="AI162" s="252">
        <f t="shared" si="176"/>
        <v>-36.371542105263153</v>
      </c>
      <c r="AJ162" s="212">
        <v>190000</v>
      </c>
      <c r="AK162" s="260">
        <v>114725.06</v>
      </c>
      <c r="AL162" s="169">
        <f t="shared" si="166"/>
        <v>-75274.94</v>
      </c>
      <c r="AM162" s="237">
        <f t="shared" si="177"/>
        <v>-39.618389473684211</v>
      </c>
      <c r="AN162" s="212">
        <v>190000</v>
      </c>
      <c r="AO162" s="176">
        <v>164662.39000000001</v>
      </c>
      <c r="AP162" s="169">
        <f t="shared" si="167"/>
        <v>-25337.609999999986</v>
      </c>
      <c r="AQ162" s="252">
        <f t="shared" si="178"/>
        <v>-13.335584210526308</v>
      </c>
      <c r="AR162" s="212">
        <v>190000</v>
      </c>
      <c r="AS162" s="176">
        <v>179310.73</v>
      </c>
      <c r="AT162" s="169">
        <f t="shared" si="168"/>
        <v>-10689.26999999999</v>
      </c>
      <c r="AU162" s="237">
        <f t="shared" si="179"/>
        <v>-5.6259315789473625</v>
      </c>
      <c r="AV162" s="212">
        <v>190000</v>
      </c>
      <c r="AW162" s="260">
        <v>166858.92000000001</v>
      </c>
      <c r="AX162" s="169">
        <f t="shared" si="169"/>
        <v>-23141.079999999987</v>
      </c>
      <c r="AY162" s="252">
        <f t="shared" si="180"/>
        <v>-12.179515789473683</v>
      </c>
      <c r="AZ162" s="254">
        <v>190000</v>
      </c>
      <c r="BA162" s="176">
        <v>208336.88</v>
      </c>
      <c r="BB162" s="137">
        <f t="shared" si="189"/>
        <v>18336.880000000005</v>
      </c>
      <c r="BC162" s="237">
        <f t="shared" si="181"/>
        <v>9.6509894736842128</v>
      </c>
      <c r="BD162" s="177">
        <f t="shared" si="182"/>
        <v>2105825.4</v>
      </c>
      <c r="BE162" s="177">
        <f t="shared" si="170"/>
        <v>1856105.9699999997</v>
      </c>
      <c r="BF162" s="118"/>
    </row>
    <row r="163" spans="2:60" s="119" customFormat="1" x14ac:dyDescent="0.25">
      <c r="B163" s="170">
        <v>12869</v>
      </c>
      <c r="C163" s="135" t="s">
        <v>93</v>
      </c>
      <c r="D163" s="152" t="s">
        <v>94</v>
      </c>
      <c r="E163" s="341"/>
      <c r="F163" s="320"/>
      <c r="G163" s="328"/>
      <c r="H163" s="212">
        <v>48220.147499999999</v>
      </c>
      <c r="I163" s="87">
        <v>57370.43</v>
      </c>
      <c r="J163" s="138">
        <f t="shared" si="165"/>
        <v>9150.2825000000012</v>
      </c>
      <c r="K163" s="371">
        <f t="shared" si="164"/>
        <v>18.976056636906801</v>
      </c>
      <c r="L163" s="212">
        <v>48220.147499999999</v>
      </c>
      <c r="M163" s="212">
        <v>38140.97</v>
      </c>
      <c r="N163" s="137">
        <f t="shared" si="183"/>
        <v>-10079.177499999998</v>
      </c>
      <c r="O163" s="252">
        <f t="shared" si="171"/>
        <v>-20.902419471031276</v>
      </c>
      <c r="P163" s="212">
        <v>48220.147499999999</v>
      </c>
      <c r="Q163" s="137">
        <v>50748.14</v>
      </c>
      <c r="R163" s="137">
        <f t="shared" si="184"/>
        <v>2527.9925000000003</v>
      </c>
      <c r="S163" s="237">
        <f t="shared" si="172"/>
        <v>5.2426063192776429</v>
      </c>
      <c r="T163" s="212">
        <v>48220.147499999999</v>
      </c>
      <c r="U163" s="137">
        <v>45671.63</v>
      </c>
      <c r="V163" s="137">
        <f t="shared" si="185"/>
        <v>-2548.5175000000017</v>
      </c>
      <c r="W163" s="237">
        <f t="shared" si="173"/>
        <v>-5.2851715146661533</v>
      </c>
      <c r="X163" s="212">
        <v>48220.147499999999</v>
      </c>
      <c r="Y163" s="137">
        <v>65349.07</v>
      </c>
      <c r="Z163" s="137">
        <f t="shared" si="186"/>
        <v>17128.922500000001</v>
      </c>
      <c r="AA163" s="240">
        <f t="shared" si="174"/>
        <v>35.522335347481061</v>
      </c>
      <c r="AB163" s="212">
        <v>48220.147499999999</v>
      </c>
      <c r="AC163" s="137">
        <v>56351.1</v>
      </c>
      <c r="AD163" s="137">
        <f t="shared" si="187"/>
        <v>8130.9524999999994</v>
      </c>
      <c r="AE163" s="237">
        <f t="shared" si="175"/>
        <v>16.862147715329989</v>
      </c>
      <c r="AF163" s="212">
        <v>48220.147499999999</v>
      </c>
      <c r="AG163" s="260">
        <v>76595.34</v>
      </c>
      <c r="AH163" s="137">
        <f t="shared" si="188"/>
        <v>28375.192499999997</v>
      </c>
      <c r="AI163" s="252">
        <f t="shared" si="176"/>
        <v>58.845096855002367</v>
      </c>
      <c r="AJ163" s="212">
        <v>48220.147499999999</v>
      </c>
      <c r="AK163" s="212">
        <v>53544.1</v>
      </c>
      <c r="AL163" s="169">
        <f t="shared" si="166"/>
        <v>5323.9524999999994</v>
      </c>
      <c r="AM163" s="237">
        <f t="shared" si="177"/>
        <v>11.04092952017619</v>
      </c>
      <c r="AN163" s="212">
        <v>48220.147499999999</v>
      </c>
      <c r="AO163" s="176">
        <v>72939.679999999993</v>
      </c>
      <c r="AP163" s="169">
        <f t="shared" si="167"/>
        <v>24719.532499999994</v>
      </c>
      <c r="AQ163" s="252">
        <f t="shared" si="178"/>
        <v>51.26390892935364</v>
      </c>
      <c r="AR163" s="212">
        <v>48220.147499999999</v>
      </c>
      <c r="AS163" s="176">
        <v>48711.17</v>
      </c>
      <c r="AT163" s="169">
        <f t="shared" si="168"/>
        <v>491.02249999999913</v>
      </c>
      <c r="AU163" s="237">
        <f t="shared" si="179"/>
        <v>1.0182932352083673</v>
      </c>
      <c r="AV163" s="212">
        <v>48220.147499999999</v>
      </c>
      <c r="AW163" s="260">
        <v>43786.2</v>
      </c>
      <c r="AX163" s="169">
        <f t="shared" si="169"/>
        <v>-4433.947500000002</v>
      </c>
      <c r="AY163" s="252">
        <f t="shared" si="180"/>
        <v>-9.1952176214309631</v>
      </c>
      <c r="AZ163" s="254">
        <v>48220.147499999999</v>
      </c>
      <c r="BA163" s="176">
        <v>83854.83</v>
      </c>
      <c r="BB163" s="137">
        <f t="shared" si="189"/>
        <v>35634.682500000003</v>
      </c>
      <c r="BC163" s="237">
        <f t="shared" si="181"/>
        <v>73.899986514972824</v>
      </c>
      <c r="BD163" s="177">
        <f t="shared" si="182"/>
        <v>577692.35000000009</v>
      </c>
      <c r="BE163" s="177">
        <f t="shared" si="170"/>
        <v>693062.6599999998</v>
      </c>
      <c r="BF163" s="118"/>
    </row>
    <row r="164" spans="2:60" s="119" customFormat="1" ht="16.5" thickBot="1" x14ac:dyDescent="0.3">
      <c r="B164" s="178">
        <v>32937</v>
      </c>
      <c r="C164" s="179">
        <v>231</v>
      </c>
      <c r="D164" s="180" t="s">
        <v>95</v>
      </c>
      <c r="E164" s="348"/>
      <c r="F164" s="547"/>
      <c r="G164" s="548"/>
      <c r="H164" s="214">
        <v>33250</v>
      </c>
      <c r="I164" s="98">
        <v>28134.77</v>
      </c>
      <c r="J164" s="250">
        <f t="shared" si="165"/>
        <v>-5115.2299999999996</v>
      </c>
      <c r="K164" s="374">
        <f t="shared" si="164"/>
        <v>-15.384150375939853</v>
      </c>
      <c r="L164" s="214">
        <v>33250</v>
      </c>
      <c r="M164" s="214">
        <v>29307.02</v>
      </c>
      <c r="N164" s="182">
        <f t="shared" si="183"/>
        <v>-3942.9799999999996</v>
      </c>
      <c r="O164" s="253">
        <f t="shared" si="171"/>
        <v>-11.858586466165411</v>
      </c>
      <c r="P164" s="214">
        <v>33250</v>
      </c>
      <c r="Q164" s="182">
        <v>26507.87</v>
      </c>
      <c r="R164" s="182">
        <f t="shared" si="184"/>
        <v>-6742.130000000001</v>
      </c>
      <c r="S164" s="248">
        <f t="shared" si="172"/>
        <v>-20.277082706766926</v>
      </c>
      <c r="T164" s="214">
        <v>33250</v>
      </c>
      <c r="U164" s="182">
        <v>25724.85</v>
      </c>
      <c r="V164" s="182">
        <f t="shared" si="185"/>
        <v>-7525.1500000000015</v>
      </c>
      <c r="W164" s="248">
        <f t="shared" si="173"/>
        <v>-22.63203007518797</v>
      </c>
      <c r="X164" s="214">
        <v>30000</v>
      </c>
      <c r="Y164" s="182">
        <v>29101.71</v>
      </c>
      <c r="Z164" s="182">
        <f t="shared" si="186"/>
        <v>-898.29000000000087</v>
      </c>
      <c r="AA164" s="239">
        <f t="shared" si="174"/>
        <v>-2.9943000000000053</v>
      </c>
      <c r="AB164" s="214">
        <v>30000</v>
      </c>
      <c r="AC164" s="182">
        <v>29874.12</v>
      </c>
      <c r="AD164" s="182">
        <f t="shared" si="187"/>
        <v>-125.88000000000102</v>
      </c>
      <c r="AE164" s="248">
        <f t="shared" si="175"/>
        <v>-0.41960000000000885</v>
      </c>
      <c r="AF164" s="214">
        <v>30000</v>
      </c>
      <c r="AG164" s="260">
        <v>26537.96</v>
      </c>
      <c r="AH164" s="182">
        <f t="shared" si="188"/>
        <v>-3462.0400000000009</v>
      </c>
      <c r="AI164" s="253">
        <f t="shared" si="176"/>
        <v>-11.540133333333335</v>
      </c>
      <c r="AJ164" s="214">
        <v>30000</v>
      </c>
      <c r="AK164" s="214">
        <v>27804.09</v>
      </c>
      <c r="AL164" s="182">
        <f t="shared" si="166"/>
        <v>-2195.91</v>
      </c>
      <c r="AM164" s="248">
        <f t="shared" si="177"/>
        <v>-7.3196999999999957</v>
      </c>
      <c r="AN164" s="214">
        <v>30000</v>
      </c>
      <c r="AO164" s="183">
        <v>27221.31</v>
      </c>
      <c r="AP164" s="182">
        <f t="shared" si="167"/>
        <v>-2778.6899999999987</v>
      </c>
      <c r="AQ164" s="253">
        <f t="shared" si="178"/>
        <v>-9.2623000000000015</v>
      </c>
      <c r="AR164" s="214">
        <v>30000</v>
      </c>
      <c r="AS164" s="183">
        <v>10268.61</v>
      </c>
      <c r="AT164" s="182">
        <f t="shared" si="168"/>
        <v>-19731.39</v>
      </c>
      <c r="AU164" s="248">
        <f t="shared" si="179"/>
        <v>-65.771299999999997</v>
      </c>
      <c r="AV164" s="214">
        <v>30000</v>
      </c>
      <c r="AW164" s="260">
        <v>21794.63</v>
      </c>
      <c r="AX164" s="182">
        <f t="shared" si="169"/>
        <v>-8205.369999999999</v>
      </c>
      <c r="AY164" s="253">
        <f t="shared" si="180"/>
        <v>-27.351233333333326</v>
      </c>
      <c r="AZ164" s="255">
        <v>30000</v>
      </c>
      <c r="BA164" s="183">
        <v>19811.439999999999</v>
      </c>
      <c r="BB164" s="183">
        <f t="shared" si="189"/>
        <v>-10188.560000000001</v>
      </c>
      <c r="BC164" s="248">
        <f t="shared" si="181"/>
        <v>-33.961866666666673</v>
      </c>
      <c r="BD164" s="177">
        <f t="shared" si="182"/>
        <v>349674.51</v>
      </c>
      <c r="BE164" s="184">
        <f t="shared" si="170"/>
        <v>302088.38</v>
      </c>
      <c r="BF164" s="118"/>
    </row>
    <row r="165" spans="2:60" s="119" customFormat="1" ht="16.5" thickBot="1" x14ac:dyDescent="0.3">
      <c r="B165" s="161"/>
      <c r="E165" s="549"/>
      <c r="F165" s="550"/>
      <c r="G165" s="334"/>
      <c r="H165" s="334"/>
      <c r="I165" s="414"/>
      <c r="J165" s="118"/>
      <c r="K165" s="12"/>
      <c r="M165" s="118"/>
      <c r="N165" s="118"/>
      <c r="R165" s="118"/>
      <c r="V165" s="118"/>
      <c r="Z165" s="118"/>
      <c r="BF165" s="118"/>
    </row>
    <row r="166" spans="2:60" s="551" customFormat="1" ht="16.5" thickBot="1" x14ac:dyDescent="0.3">
      <c r="B166" s="557"/>
      <c r="C166" s="558"/>
      <c r="D166" s="559" t="s">
        <v>172</v>
      </c>
      <c r="E166" s="560"/>
      <c r="F166" s="560"/>
      <c r="G166" s="561"/>
      <c r="H166" s="478">
        <f>SUM(H167:H199)</f>
        <v>1069882.7247749995</v>
      </c>
      <c r="I166" s="532">
        <f>SUM(I167:I199)</f>
        <v>1170736.2500000002</v>
      </c>
      <c r="J166" s="530">
        <f t="shared" ref="J166:J201" si="190">I166-H166</f>
        <v>100853.52522500069</v>
      </c>
      <c r="K166" s="533">
        <f t="shared" ref="K166:K185" si="191">((I166/H166)-1)*100</f>
        <v>9.4265962885054186</v>
      </c>
      <c r="L166" s="534">
        <f>SUM(L167:L199)</f>
        <v>1071384.4406083329</v>
      </c>
      <c r="M166" s="392">
        <f>SUM(M167:M201)</f>
        <v>1211945.7199999997</v>
      </c>
      <c r="N166" s="392">
        <f>M166-L166</f>
        <v>140561.27939166687</v>
      </c>
      <c r="O166" s="562">
        <f>((M166/L166)-1)*100</f>
        <v>13.119593123067585</v>
      </c>
      <c r="P166" s="478">
        <f>SUM(P167:P199)</f>
        <v>1071384.4406083329</v>
      </c>
      <c r="Q166" s="392">
        <f>SUM(Q167:Q199)</f>
        <v>1272205.1199999996</v>
      </c>
      <c r="R166" s="392">
        <f>Q166-P166</f>
        <v>200820.67939166678</v>
      </c>
      <c r="S166" s="393">
        <f>((Q166/P166)-1)*100</f>
        <v>18.744035453570774</v>
      </c>
      <c r="T166" s="534">
        <f>SUM(T167:T199)</f>
        <v>1011384.4406083329</v>
      </c>
      <c r="U166" s="392">
        <f>SUM(U167:U201)</f>
        <v>953291.37999999989</v>
      </c>
      <c r="V166" s="392">
        <f>U166-T166</f>
        <v>-58093.060608332977</v>
      </c>
      <c r="W166" s="562">
        <f>((U166/T166)-1)*100</f>
        <v>-5.7439148038890941</v>
      </c>
      <c r="X166" s="478">
        <f>SUM(X167:X201)</f>
        <v>968564.15712499991</v>
      </c>
      <c r="Y166" s="392">
        <f>SUM(Y167:Y199)</f>
        <v>2837876.2000000007</v>
      </c>
      <c r="Z166" s="392">
        <f>Y166-X166</f>
        <v>1869312.0428750007</v>
      </c>
      <c r="AA166" s="393">
        <f>((Y166/X166)-1)*100</f>
        <v>192.99826749977007</v>
      </c>
      <c r="AB166" s="478">
        <f>SUM(AB167:AB199)</f>
        <v>869805.34879166656</v>
      </c>
      <c r="AC166" s="392">
        <f>SUM(AC167:AC199)</f>
        <v>943383.06000000017</v>
      </c>
      <c r="AD166" s="392">
        <f>AC166-AB166</f>
        <v>73577.711208333611</v>
      </c>
      <c r="AE166" s="393">
        <f>((AC166/AB166)-1)*100</f>
        <v>8.4591007988796374</v>
      </c>
      <c r="AF166" s="534">
        <f>SUM(AF167:AF199)</f>
        <v>869805.34879166656</v>
      </c>
      <c r="AG166" s="392">
        <f>SUM(AG167:AG199)</f>
        <v>854522.15999999992</v>
      </c>
      <c r="AH166" s="392">
        <f>AG166-AF166</f>
        <v>-15283.188791666646</v>
      </c>
      <c r="AI166" s="562">
        <f>((AG166/AF166)-1)*100</f>
        <v>-1.7570814910368271</v>
      </c>
      <c r="AJ166" s="478">
        <f>SUM(AJ167:AJ199)</f>
        <v>872105.34879166656</v>
      </c>
      <c r="AK166" s="392">
        <f>SUM(AK167:AK199)</f>
        <v>624357.6100000001</v>
      </c>
      <c r="AL166" s="392">
        <f>AK166-AJ166</f>
        <v>-247747.73879166646</v>
      </c>
      <c r="AM166" s="393">
        <f>((AK166/AJ166)-1)*100</f>
        <v>-28.408005883111475</v>
      </c>
      <c r="AN166" s="395">
        <f>SUM(AN167:AN199)</f>
        <v>872105.34879166656</v>
      </c>
      <c r="AO166" s="396">
        <f>SUM(AO167:AO199)</f>
        <v>1118739.9599999997</v>
      </c>
      <c r="AP166" s="392">
        <f>AO166-AN166</f>
        <v>246634.61120833317</v>
      </c>
      <c r="AQ166" s="562">
        <f>((AO166/AN166)-1)*100</f>
        <v>28.280369057483057</v>
      </c>
      <c r="AR166" s="487">
        <f>SUM(AR167:AR199)</f>
        <v>872105.34879166656</v>
      </c>
      <c r="AS166" s="396">
        <f>SUM(AS167:AS201)</f>
        <v>1172770.32</v>
      </c>
      <c r="AT166" s="392">
        <f>AS166-AR166</f>
        <v>300664.9712083335</v>
      </c>
      <c r="AU166" s="393">
        <f>((AS166/AR166)-1)*100</f>
        <v>34.475762776242071</v>
      </c>
      <c r="AV166" s="395">
        <f>SUM(AV167:AV199)</f>
        <v>880316.18879166665</v>
      </c>
      <c r="AW166" s="396">
        <f>SUM(AW167:AW199)</f>
        <v>1396010.9099999997</v>
      </c>
      <c r="AX166" s="392">
        <f>AW166-AV166</f>
        <v>515694.72120833304</v>
      </c>
      <c r="AY166" s="562">
        <f>((AW166/AV166)-1)*100</f>
        <v>58.580624527214731</v>
      </c>
      <c r="AZ166" s="487">
        <f>SUM(AZ167:AZ199)</f>
        <v>880317.18879166665</v>
      </c>
      <c r="BA166" s="396">
        <f>SUM(BA167:BA201)</f>
        <v>2457969.75</v>
      </c>
      <c r="BB166" s="392">
        <f>BA166-AZ166</f>
        <v>1577652.5612083334</v>
      </c>
      <c r="BC166" s="393">
        <f>((BA166/AZ166)-1)*100</f>
        <v>179.21410388156082</v>
      </c>
      <c r="BD166" s="487">
        <f>+AF166+AJ166+AN166+AR166+AV166+AZ166+AB166+X166+U166+Q166+M166+I166</f>
        <v>11693302.748666666</v>
      </c>
      <c r="BE166" s="397">
        <f>SUM(I166+M166+Q166+U166+Y166+AC166+AG166+AK166+AO166+AS166+AW166+BA166)</f>
        <v>16013808.439999999</v>
      </c>
      <c r="BF166" s="118"/>
    </row>
    <row r="167" spans="2:60" s="119" customFormat="1" x14ac:dyDescent="0.25">
      <c r="B167" s="170" t="s">
        <v>96</v>
      </c>
      <c r="C167" s="135">
        <v>255</v>
      </c>
      <c r="D167" s="189" t="s">
        <v>97</v>
      </c>
      <c r="E167" s="344"/>
      <c r="F167" s="541"/>
      <c r="G167" s="493"/>
      <c r="H167" s="439">
        <v>186295.13673333335</v>
      </c>
      <c r="I167" s="99">
        <f>133267.79+40348.87</f>
        <v>173616.66</v>
      </c>
      <c r="J167" s="489">
        <f t="shared" si="190"/>
        <v>-12678.476733333344</v>
      </c>
      <c r="K167" s="445">
        <f t="shared" si="191"/>
        <v>-6.8055865309471724</v>
      </c>
      <c r="L167" s="100">
        <v>186295.13673333335</v>
      </c>
      <c r="M167" s="99">
        <f>130158.52+40348.87</f>
        <v>170507.39</v>
      </c>
      <c r="N167" s="99">
        <f>M167-L167</f>
        <v>-15787.746733333333</v>
      </c>
      <c r="O167" s="446">
        <f>((M167/L167)-1)*100</f>
        <v>-8.4745887682147298</v>
      </c>
      <c r="P167" s="439">
        <v>186295.13673333335</v>
      </c>
      <c r="Q167" s="99">
        <f>131495.56+40092.21</f>
        <v>171587.77</v>
      </c>
      <c r="R167" s="99">
        <f>Q167-P167</f>
        <v>-14707.366733333358</v>
      </c>
      <c r="S167" s="447">
        <f>((Q167/P167)-1)*100</f>
        <v>-7.8946595124411605</v>
      </c>
      <c r="T167" s="439">
        <v>186295.13673333335</v>
      </c>
      <c r="U167" s="99">
        <v>200083.41</v>
      </c>
      <c r="V167" s="99">
        <f>U167-T167</f>
        <v>13788.273266666656</v>
      </c>
      <c r="W167" s="446">
        <f>((U167/T167)-1)*100</f>
        <v>7.4013060718828516</v>
      </c>
      <c r="X167" s="439">
        <v>171000</v>
      </c>
      <c r="Y167" s="99">
        <f>103243.15+40092.21</f>
        <v>143335.35999999999</v>
      </c>
      <c r="Z167" s="99">
        <f>Y167-X167</f>
        <v>-27664.640000000014</v>
      </c>
      <c r="AA167" s="447">
        <f>((Y167/X167)-1)*100</f>
        <v>-16.178152046783634</v>
      </c>
      <c r="AB167" s="439">
        <v>171000</v>
      </c>
      <c r="AC167" s="853">
        <v>171626.23999999999</v>
      </c>
      <c r="AD167" s="99">
        <f>AC167-AB167</f>
        <v>626.23999999999069</v>
      </c>
      <c r="AE167" s="447">
        <f>((AC167/AB167)-1)*100</f>
        <v>0.36622222222222334</v>
      </c>
      <c r="AF167" s="439">
        <v>171000</v>
      </c>
      <c r="AG167" s="440">
        <v>174075.28</v>
      </c>
      <c r="AH167" s="99">
        <f>AG167-AF167</f>
        <v>3075.2799999999988</v>
      </c>
      <c r="AI167" s="446">
        <f>((AG167/AF167)-1)*100</f>
        <v>1.7984093567251502</v>
      </c>
      <c r="AJ167" s="439">
        <v>171000</v>
      </c>
      <c r="AK167" s="439">
        <v>202265.19</v>
      </c>
      <c r="AL167" s="96">
        <f t="shared" ref="AL167:AL201" si="192">AK167-AJ167</f>
        <v>31265.190000000002</v>
      </c>
      <c r="AM167" s="447">
        <f>((AK167/AJ167)-1)*100</f>
        <v>18.28373684210527</v>
      </c>
      <c r="AN167" s="439">
        <v>171000</v>
      </c>
      <c r="AO167" s="45">
        <v>175939.02</v>
      </c>
      <c r="AP167" s="96">
        <f t="shared" ref="AP167:AP197" si="193">AO167-AN167</f>
        <v>4939.0199999999895</v>
      </c>
      <c r="AQ167" s="446">
        <f>((AO167/AN167)-1)*100</f>
        <v>2.8883157894736833</v>
      </c>
      <c r="AR167" s="439">
        <v>171000</v>
      </c>
      <c r="AS167" s="45">
        <v>176403.15</v>
      </c>
      <c r="AT167" s="96">
        <f t="shared" ref="AT167:AT201" si="194">AS167-AR167</f>
        <v>5403.1499999999942</v>
      </c>
      <c r="AU167" s="448">
        <f>((AS167/AR167)-1)*100</f>
        <v>3.1597368421052652</v>
      </c>
      <c r="AV167" s="439">
        <v>171000</v>
      </c>
      <c r="AW167" s="440">
        <v>177430.7</v>
      </c>
      <c r="AX167" s="96">
        <f t="shared" ref="AX167:AX201" si="195">AW167-AV167</f>
        <v>6430.7000000000116</v>
      </c>
      <c r="AY167" s="449">
        <f>((AW167/AV167)-1)*100</f>
        <v>3.7606432748538143</v>
      </c>
      <c r="AZ167" s="439">
        <v>171000</v>
      </c>
      <c r="BA167" s="45">
        <v>180277.8</v>
      </c>
      <c r="BB167" s="99">
        <f>BA167-AZ167</f>
        <v>9277.7999999999884</v>
      </c>
      <c r="BC167" s="448">
        <f>((BA167/AZ167)-1)*100</f>
        <v>5.4256140350877224</v>
      </c>
      <c r="BD167" s="868">
        <f>+AF167+AJ167+AN167+AR167+AV167+AZ167+AB167+X167+U167+Q167+M167+I167</f>
        <v>2083795.2299999997</v>
      </c>
      <c r="BE167" s="194">
        <f t="shared" ref="BE167:BE201" si="196">SUM(I167+M167+Q167+U167+Y167+AC167+AG167+AK167+AO167+AS167+AW167+BA167)</f>
        <v>2117147.9699999997</v>
      </c>
      <c r="BF167" s="118"/>
      <c r="BG167" s="805"/>
      <c r="BH167" s="804"/>
    </row>
    <row r="168" spans="2:60" s="119" customFormat="1" x14ac:dyDescent="0.25">
      <c r="B168" s="170">
        <v>33736</v>
      </c>
      <c r="C168" s="135">
        <v>218</v>
      </c>
      <c r="D168" s="152" t="s">
        <v>98</v>
      </c>
      <c r="E168" s="341"/>
      <c r="F168" s="256"/>
      <c r="G168" s="328"/>
      <c r="H168" s="440">
        <v>32662.124166666665</v>
      </c>
      <c r="I168" s="87">
        <v>32771.47</v>
      </c>
      <c r="J168" s="490">
        <f t="shared" si="190"/>
        <v>109.34583333333649</v>
      </c>
      <c r="K168" s="450">
        <f t="shared" si="191"/>
        <v>0.33477869588447451</v>
      </c>
      <c r="L168" s="86">
        <v>32662.124166666665</v>
      </c>
      <c r="M168" s="87">
        <v>32771.47</v>
      </c>
      <c r="N168" s="451">
        <f>M168-L168</f>
        <v>109.34583333333649</v>
      </c>
      <c r="O168" s="452">
        <f t="shared" ref="O168:O197" si="197">((M168/L168)-1)*100</f>
        <v>0.33477869588447451</v>
      </c>
      <c r="P168" s="440">
        <v>32662.124166666665</v>
      </c>
      <c r="Q168" s="87">
        <v>32771.47</v>
      </c>
      <c r="R168" s="451">
        <f>Q168-P168</f>
        <v>109.34583333333649</v>
      </c>
      <c r="S168" s="453">
        <f t="shared" ref="S168:S197" si="198">((Q168/P168)-1)*100</f>
        <v>0.33477869588447451</v>
      </c>
      <c r="T168" s="440">
        <v>32662.124166666665</v>
      </c>
      <c r="U168" s="87">
        <v>32771.47</v>
      </c>
      <c r="V168" s="451">
        <f>U168-T168</f>
        <v>109.34583333333649</v>
      </c>
      <c r="W168" s="452">
        <f t="shared" ref="W168:W197" si="199">((U168/T168)-1)*100</f>
        <v>0.33477869588447451</v>
      </c>
      <c r="X168" s="440">
        <v>32662.124166666665</v>
      </c>
      <c r="Y168" s="87">
        <v>32771.47</v>
      </c>
      <c r="Z168" s="451">
        <f>Y168-X168</f>
        <v>109.34583333333649</v>
      </c>
      <c r="AA168" s="453">
        <f t="shared" ref="AA168:AA199" si="200">((Y168/X168)-1)*100</f>
        <v>0.33477869588447451</v>
      </c>
      <c r="AB168" s="440">
        <v>32662.124166666665</v>
      </c>
      <c r="AC168" s="853">
        <v>32771.47</v>
      </c>
      <c r="AD168" s="451">
        <f>AC168-AB168</f>
        <v>109.34583333333649</v>
      </c>
      <c r="AE168" s="453">
        <f t="shared" ref="AE168:AE199" si="201">((AC168/AB168)-1)*100</f>
        <v>0.33477869588447451</v>
      </c>
      <c r="AF168" s="440">
        <v>32662.124166666665</v>
      </c>
      <c r="AG168" s="440">
        <v>32771.47</v>
      </c>
      <c r="AH168" s="451">
        <f>AG168-AF168</f>
        <v>109.34583333333649</v>
      </c>
      <c r="AI168" s="452">
        <f t="shared" ref="AI168:AI197" si="202">((AG168/AF168)-1)*100</f>
        <v>0.33477869588447451</v>
      </c>
      <c r="AJ168" s="440">
        <v>32662.124166666665</v>
      </c>
      <c r="AK168" s="440">
        <v>32771.47</v>
      </c>
      <c r="AL168" s="96">
        <f t="shared" si="192"/>
        <v>109.34583333333649</v>
      </c>
      <c r="AM168" s="453">
        <f t="shared" ref="AM168:AM199" si="203">((AK168/AJ168)-1)*100</f>
        <v>0.33477869588447451</v>
      </c>
      <c r="AN168" s="440">
        <v>32662.124166666665</v>
      </c>
      <c r="AO168" s="46">
        <v>32771.47</v>
      </c>
      <c r="AP168" s="96">
        <f t="shared" si="193"/>
        <v>109.34583333333649</v>
      </c>
      <c r="AQ168" s="452">
        <f t="shared" ref="AQ168:AQ195" si="204">((AO168/AN168)-1)*100</f>
        <v>0.33477869588447451</v>
      </c>
      <c r="AR168" s="440">
        <v>32662.124166666665</v>
      </c>
      <c r="AS168" s="46">
        <v>32771.47</v>
      </c>
      <c r="AT168" s="96">
        <f t="shared" si="194"/>
        <v>109.34583333333649</v>
      </c>
      <c r="AU168" s="448">
        <f t="shared" ref="AU168:AU199" si="205">((AS168/AR168)-1)*100</f>
        <v>0.33477869588447451</v>
      </c>
      <c r="AV168" s="440">
        <v>32662.124166666665</v>
      </c>
      <c r="AW168" s="440">
        <v>32771.47</v>
      </c>
      <c r="AX168" s="96">
        <f t="shared" si="195"/>
        <v>109.34583333333649</v>
      </c>
      <c r="AY168" s="449">
        <f t="shared" ref="AY168:AY199" si="206">((AW168/AV168)-1)*100</f>
        <v>0.33477869588447451</v>
      </c>
      <c r="AZ168" s="440">
        <v>32662.124166666665</v>
      </c>
      <c r="BA168" s="46">
        <v>32771.47</v>
      </c>
      <c r="BB168" s="87">
        <f>BA168-AZ168</f>
        <v>109.34583333333649</v>
      </c>
      <c r="BC168" s="448">
        <f t="shared" ref="BC168:BC195" si="207">((BA168/AZ168)-1)*100</f>
        <v>0.33477869588447451</v>
      </c>
      <c r="BD168" s="868">
        <f t="shared" ref="BD168:BD201" si="208">+AF168+AJ168+AN168+AR168+AV168+AZ168+AB168+X168+U168+Q168+M168+I168</f>
        <v>392382.87333333329</v>
      </c>
      <c r="BE168" s="188">
        <f t="shared" si="196"/>
        <v>393257.6399999999</v>
      </c>
      <c r="BF168" s="118"/>
      <c r="BG168" s="805"/>
      <c r="BH168" s="804"/>
    </row>
    <row r="169" spans="2:60" s="119" customFormat="1" x14ac:dyDescent="0.25">
      <c r="B169" s="170">
        <v>11761</v>
      </c>
      <c r="C169" s="135">
        <v>250</v>
      </c>
      <c r="D169" s="152" t="s">
        <v>99</v>
      </c>
      <c r="E169" s="341"/>
      <c r="F169" s="256"/>
      <c r="G169" s="328"/>
      <c r="H169" s="440">
        <v>16599.016666666666</v>
      </c>
      <c r="I169" s="87">
        <v>16424.18</v>
      </c>
      <c r="J169" s="443">
        <f t="shared" si="190"/>
        <v>-174.83666666666613</v>
      </c>
      <c r="K169" s="450">
        <f t="shared" si="191"/>
        <v>-1.0532953257271216</v>
      </c>
      <c r="L169" s="86">
        <v>16599.016666666666</v>
      </c>
      <c r="M169" s="87">
        <v>16424.18</v>
      </c>
      <c r="N169" s="87">
        <f>M169-L169</f>
        <v>-174.83666666666613</v>
      </c>
      <c r="O169" s="452">
        <f t="shared" si="197"/>
        <v>-1.0532953257271216</v>
      </c>
      <c r="P169" s="440">
        <v>16599.016666666666</v>
      </c>
      <c r="Q169" s="87">
        <v>16424.18</v>
      </c>
      <c r="R169" s="87">
        <f>Q169-P169</f>
        <v>-174.83666666666613</v>
      </c>
      <c r="S169" s="453">
        <f t="shared" si="198"/>
        <v>-1.0532953257271216</v>
      </c>
      <c r="T169" s="440">
        <v>16599.016666666666</v>
      </c>
      <c r="U169" s="87">
        <v>16424.18</v>
      </c>
      <c r="V169" s="87">
        <f>U169-T169</f>
        <v>-174.83666666666613</v>
      </c>
      <c r="W169" s="452">
        <f t="shared" si="199"/>
        <v>-1.0532953257271216</v>
      </c>
      <c r="X169" s="440">
        <v>16599.016666666666</v>
      </c>
      <c r="Y169" s="87">
        <v>16424.18</v>
      </c>
      <c r="Z169" s="87">
        <f>Y169-X169</f>
        <v>-174.83666666666613</v>
      </c>
      <c r="AA169" s="453">
        <f t="shared" si="200"/>
        <v>-1.0532953257271216</v>
      </c>
      <c r="AB169" s="440">
        <v>16599.016666666666</v>
      </c>
      <c r="AC169" s="853">
        <v>16423.88</v>
      </c>
      <c r="AD169" s="87">
        <f>AC169-AB169</f>
        <v>-175.13666666666541</v>
      </c>
      <c r="AE169" s="453">
        <f t="shared" si="201"/>
        <v>-1.0551026617038439</v>
      </c>
      <c r="AF169" s="440">
        <v>16599.016666666666</v>
      </c>
      <c r="AG169" s="440">
        <v>7341.6</v>
      </c>
      <c r="AH169" s="87">
        <f>AG169-AF169</f>
        <v>-9257.4166666666661</v>
      </c>
      <c r="AI169" s="452">
        <f t="shared" si="202"/>
        <v>-55.770873977474565</v>
      </c>
      <c r="AJ169" s="440">
        <v>16599.016666666666</v>
      </c>
      <c r="AK169" s="440">
        <v>7341.6</v>
      </c>
      <c r="AL169" s="96">
        <f t="shared" si="192"/>
        <v>-9257.4166666666661</v>
      </c>
      <c r="AM169" s="453">
        <f t="shared" si="203"/>
        <v>-55.770873977474565</v>
      </c>
      <c r="AN169" s="440">
        <v>16599.016666666666</v>
      </c>
      <c r="AO169" s="46">
        <v>7341.6</v>
      </c>
      <c r="AP169" s="96">
        <f t="shared" si="193"/>
        <v>-9257.4166666666661</v>
      </c>
      <c r="AQ169" s="452">
        <f t="shared" si="204"/>
        <v>-55.770873977474565</v>
      </c>
      <c r="AR169" s="440">
        <v>16599.016666666666</v>
      </c>
      <c r="AS169" s="46">
        <v>7341.6</v>
      </c>
      <c r="AT169" s="96">
        <f t="shared" si="194"/>
        <v>-9257.4166666666661</v>
      </c>
      <c r="AU169" s="448">
        <f t="shared" si="205"/>
        <v>-55.770873977474565</v>
      </c>
      <c r="AV169" s="440">
        <v>16599.016666666666</v>
      </c>
      <c r="AW169" s="440">
        <v>7341.6</v>
      </c>
      <c r="AX169" s="96">
        <f t="shared" si="195"/>
        <v>-9257.4166666666661</v>
      </c>
      <c r="AY169" s="449">
        <f t="shared" si="206"/>
        <v>-55.770873977474565</v>
      </c>
      <c r="AZ169" s="440">
        <v>16599.016666666666</v>
      </c>
      <c r="BA169" s="46">
        <v>7341.6</v>
      </c>
      <c r="BB169" s="87">
        <f t="shared" ref="BB169:BB197" si="209">BA169-AZ169</f>
        <v>-9257.4166666666661</v>
      </c>
      <c r="BC169" s="448">
        <f t="shared" si="207"/>
        <v>-55.770873977474565</v>
      </c>
      <c r="BD169" s="868">
        <f t="shared" si="208"/>
        <v>198488.8533333333</v>
      </c>
      <c r="BE169" s="188">
        <f t="shared" si="196"/>
        <v>142594.38000000003</v>
      </c>
      <c r="BF169" s="118"/>
      <c r="BG169" s="805"/>
      <c r="BH169" s="804"/>
    </row>
    <row r="170" spans="2:60" s="119" customFormat="1" x14ac:dyDescent="0.25">
      <c r="B170" s="170" t="s">
        <v>100</v>
      </c>
      <c r="C170" s="135" t="s">
        <v>101</v>
      </c>
      <c r="D170" s="152" t="s">
        <v>102</v>
      </c>
      <c r="E170" s="341"/>
      <c r="F170" s="536"/>
      <c r="G170" s="328"/>
      <c r="H170" s="440">
        <v>7300</v>
      </c>
      <c r="I170" s="87">
        <f>15843.41+2030.75</f>
        <v>17874.16</v>
      </c>
      <c r="J170" s="443">
        <f t="shared" si="190"/>
        <v>10574.16</v>
      </c>
      <c r="K170" s="450">
        <f t="shared" si="191"/>
        <v>144.85150684931506</v>
      </c>
      <c r="L170" s="86">
        <v>7300</v>
      </c>
      <c r="M170" s="87">
        <f>14.12+406.45</f>
        <v>420.57</v>
      </c>
      <c r="N170" s="87">
        <f t="shared" ref="N170:N201" si="210">M170-L170</f>
        <v>-6879.43</v>
      </c>
      <c r="O170" s="452">
        <f t="shared" si="197"/>
        <v>-94.238767123287673</v>
      </c>
      <c r="P170" s="440">
        <v>7300</v>
      </c>
      <c r="Q170" s="87">
        <f>758.73+99.46</f>
        <v>858.19</v>
      </c>
      <c r="R170" s="87">
        <f t="shared" ref="R170:R199" si="211">Q170-P170</f>
        <v>-6441.8099999999995</v>
      </c>
      <c r="S170" s="453">
        <f t="shared" si="198"/>
        <v>-88.243972602739731</v>
      </c>
      <c r="T170" s="440">
        <v>7300</v>
      </c>
      <c r="U170" s="87">
        <v>516.04999999999995</v>
      </c>
      <c r="V170" s="87">
        <f t="shared" ref="V170:V199" si="212">U170-T170</f>
        <v>-6783.95</v>
      </c>
      <c r="W170" s="452">
        <f t="shared" si="199"/>
        <v>-92.930821917808217</v>
      </c>
      <c r="X170" s="440">
        <v>1000</v>
      </c>
      <c r="Y170" s="87">
        <v>3188.9</v>
      </c>
      <c r="Z170" s="87">
        <f t="shared" ref="Z170:Z199" si="213">Y170-X170</f>
        <v>2188.9</v>
      </c>
      <c r="AA170" s="453">
        <f t="shared" si="200"/>
        <v>218.89000000000004</v>
      </c>
      <c r="AB170" s="440">
        <v>1000</v>
      </c>
      <c r="AC170" s="853">
        <v>18739.7</v>
      </c>
      <c r="AD170" s="87">
        <f t="shared" ref="AD170:AD199" si="214">AC170-AB170</f>
        <v>17739.7</v>
      </c>
      <c r="AE170" s="453">
        <f t="shared" si="201"/>
        <v>1773.9699999999998</v>
      </c>
      <c r="AF170" s="440">
        <v>1000</v>
      </c>
      <c r="AG170" s="440">
        <v>8482.2999999999993</v>
      </c>
      <c r="AH170" s="87">
        <f t="shared" ref="AH170:AH199" si="215">AG170-AF170</f>
        <v>7482.2999999999993</v>
      </c>
      <c r="AI170" s="452">
        <f t="shared" si="202"/>
        <v>748.2299999999999</v>
      </c>
      <c r="AJ170" s="440">
        <v>7300</v>
      </c>
      <c r="AK170" s="440">
        <v>9291.42</v>
      </c>
      <c r="AL170" s="96">
        <f t="shared" si="192"/>
        <v>1991.42</v>
      </c>
      <c r="AM170" s="453">
        <f t="shared" si="203"/>
        <v>27.279726027397256</v>
      </c>
      <c r="AN170" s="440">
        <v>7300</v>
      </c>
      <c r="AO170" s="46">
        <v>1007.6</v>
      </c>
      <c r="AP170" s="96">
        <f t="shared" si="193"/>
        <v>-6292.4</v>
      </c>
      <c r="AQ170" s="452">
        <f t="shared" si="204"/>
        <v>-86.197260273972603</v>
      </c>
      <c r="AR170" s="440">
        <v>7300</v>
      </c>
      <c r="AS170" s="46">
        <v>1598.71</v>
      </c>
      <c r="AT170" s="96">
        <f t="shared" si="194"/>
        <v>-5701.29</v>
      </c>
      <c r="AU170" s="448">
        <f t="shared" si="205"/>
        <v>-78.099863013698624</v>
      </c>
      <c r="AV170" s="440">
        <v>7300</v>
      </c>
      <c r="AW170" s="440">
        <v>4461.95</v>
      </c>
      <c r="AX170" s="96">
        <f t="shared" si="195"/>
        <v>-2838.05</v>
      </c>
      <c r="AY170" s="449">
        <f t="shared" si="206"/>
        <v>-38.877397260273973</v>
      </c>
      <c r="AZ170" s="440">
        <v>7300</v>
      </c>
      <c r="BA170" s="46">
        <v>34.119999999999997</v>
      </c>
      <c r="BB170" s="87">
        <f t="shared" si="209"/>
        <v>-7265.88</v>
      </c>
      <c r="BC170" s="448">
        <f t="shared" si="207"/>
        <v>-99.53260273972603</v>
      </c>
      <c r="BD170" s="868">
        <f t="shared" si="208"/>
        <v>59168.97</v>
      </c>
      <c r="BE170" s="188">
        <f t="shared" si="196"/>
        <v>66473.669999999984</v>
      </c>
      <c r="BF170" s="118"/>
      <c r="BG170" s="805"/>
      <c r="BH170" s="804"/>
    </row>
    <row r="171" spans="2:60" s="119" customFormat="1" ht="47.25" x14ac:dyDescent="0.25">
      <c r="B171" s="170" t="s">
        <v>138</v>
      </c>
      <c r="C171" s="135" t="s">
        <v>103</v>
      </c>
      <c r="D171" s="152" t="s">
        <v>214</v>
      </c>
      <c r="E171" s="341"/>
      <c r="F171" s="536"/>
      <c r="G171" s="328"/>
      <c r="H171" s="440">
        <v>2018.1916666666668</v>
      </c>
      <c r="I171" s="87">
        <f>3007.29+46302.82+960.23+-534.42+0</f>
        <v>49735.920000000006</v>
      </c>
      <c r="J171" s="443">
        <f t="shared" si="190"/>
        <v>47717.72833333334</v>
      </c>
      <c r="K171" s="450">
        <f t="shared" si="191"/>
        <v>2364.3804065520703</v>
      </c>
      <c r="L171" s="440">
        <v>2018.1916666666668</v>
      </c>
      <c r="M171" s="87">
        <f>17833.51+1207.46+43.91+297.63+0</f>
        <v>19382.509999999998</v>
      </c>
      <c r="N171" s="87">
        <f t="shared" si="210"/>
        <v>17364.318333333333</v>
      </c>
      <c r="O171" s="452">
        <f t="shared" si="197"/>
        <v>860.38995305203071</v>
      </c>
      <c r="P171" s="440">
        <v>2018.1916666666668</v>
      </c>
      <c r="Q171" s="87">
        <f>-513.67-19939.73+53.88+242</f>
        <v>-20157.519999999997</v>
      </c>
      <c r="R171" s="87">
        <f t="shared" si="211"/>
        <v>-22175.711666666662</v>
      </c>
      <c r="S171" s="453">
        <f t="shared" si="198"/>
        <v>-1098.7911620551399</v>
      </c>
      <c r="T171" s="440">
        <v>2018.1916666666668</v>
      </c>
      <c r="U171" s="87">
        <v>9725.5</v>
      </c>
      <c r="V171" s="87">
        <f t="shared" si="212"/>
        <v>7707.3083333333334</v>
      </c>
      <c r="W171" s="452">
        <f t="shared" si="199"/>
        <v>381.89179257008129</v>
      </c>
      <c r="X171" s="440">
        <v>20000</v>
      </c>
      <c r="Y171" s="87">
        <f>-924.57+-1057.99+-12.21</f>
        <v>-1994.77</v>
      </c>
      <c r="Z171" s="87">
        <f t="shared" si="213"/>
        <v>-21994.77</v>
      </c>
      <c r="AA171" s="453">
        <f t="shared" si="200"/>
        <v>-109.97385</v>
      </c>
      <c r="AB171" s="440">
        <v>2018.1916666666668</v>
      </c>
      <c r="AC171" s="854">
        <v>2836.23</v>
      </c>
      <c r="AD171" s="87">
        <f t="shared" si="214"/>
        <v>818.03833333333318</v>
      </c>
      <c r="AE171" s="453">
        <f t="shared" si="201"/>
        <v>40.53323313362209</v>
      </c>
      <c r="AF171" s="440">
        <v>2018.1916666666668</v>
      </c>
      <c r="AG171" s="440">
        <v>-12322.15</v>
      </c>
      <c r="AH171" s="87">
        <f t="shared" si="215"/>
        <v>-14340.341666666667</v>
      </c>
      <c r="AI171" s="452">
        <f t="shared" si="202"/>
        <v>-710.55400255178927</v>
      </c>
      <c r="AJ171" s="440">
        <v>2018.1916666666668</v>
      </c>
      <c r="AK171" s="440">
        <v>4070.53</v>
      </c>
      <c r="AL171" s="96">
        <f t="shared" si="192"/>
        <v>2052.3383333333331</v>
      </c>
      <c r="AM171" s="453">
        <f t="shared" si="203"/>
        <v>101.69194369546997</v>
      </c>
      <c r="AN171" s="440">
        <v>2018.1916666666668</v>
      </c>
      <c r="AO171" s="46">
        <v>17462.669999999998</v>
      </c>
      <c r="AP171" s="96">
        <f t="shared" si="193"/>
        <v>15444.478333333331</v>
      </c>
      <c r="AQ171" s="452">
        <f t="shared" si="204"/>
        <v>765.26321005190266</v>
      </c>
      <c r="AR171" s="440">
        <v>2018.1916666666668</v>
      </c>
      <c r="AS171" s="46">
        <v>75.75</v>
      </c>
      <c r="AT171" s="96">
        <f t="shared" si="194"/>
        <v>-1942.4416666666668</v>
      </c>
      <c r="AU171" s="448">
        <f t="shared" si="205"/>
        <v>-96.246639937567863</v>
      </c>
      <c r="AV171" s="440">
        <v>2018.1916666666668</v>
      </c>
      <c r="AW171" s="440">
        <v>1010.61</v>
      </c>
      <c r="AX171" s="96">
        <f t="shared" si="195"/>
        <v>-1007.5816666666668</v>
      </c>
      <c r="AY171" s="449">
        <f t="shared" si="206"/>
        <v>-49.924974089841157</v>
      </c>
      <c r="AZ171" s="440">
        <v>2018.1916666666668</v>
      </c>
      <c r="BA171" s="46">
        <v>280</v>
      </c>
      <c r="BB171" s="87">
        <f t="shared" si="209"/>
        <v>-1738.1916666666668</v>
      </c>
      <c r="BC171" s="448">
        <f t="shared" si="207"/>
        <v>-86.126193828633717</v>
      </c>
      <c r="BD171" s="868">
        <f t="shared" si="208"/>
        <v>92813.751666666678</v>
      </c>
      <c r="BE171" s="111">
        <f t="shared" si="196"/>
        <v>70105.280000000013</v>
      </c>
      <c r="BF171" s="118"/>
      <c r="BG171" s="805"/>
      <c r="BH171" s="804"/>
    </row>
    <row r="172" spans="2:60" s="119" customFormat="1" ht="47.25" x14ac:dyDescent="0.25">
      <c r="B172" s="170" t="s">
        <v>3637</v>
      </c>
      <c r="C172" s="135" t="s">
        <v>104</v>
      </c>
      <c r="D172" s="152" t="s">
        <v>216</v>
      </c>
      <c r="E172" s="341"/>
      <c r="F172" s="536"/>
      <c r="G172" s="328"/>
      <c r="H172" s="440">
        <f>580549.770833333-1789.16</f>
        <v>578760.61083333299</v>
      </c>
      <c r="I172" s="87">
        <f>2233.02+2050.68+494036.95+63822.12+0+0</f>
        <v>562142.77</v>
      </c>
      <c r="J172" s="443">
        <f t="shared" si="190"/>
        <v>-16617.840833332972</v>
      </c>
      <c r="K172" s="450">
        <f t="shared" si="191"/>
        <v>-2.8712805471342695</v>
      </c>
      <c r="L172" s="440">
        <v>578760.61083333299</v>
      </c>
      <c r="M172" s="87">
        <f>41672.57+2097.51+506082.11+48989.82</f>
        <v>598842.00999999989</v>
      </c>
      <c r="N172" s="87">
        <f t="shared" si="210"/>
        <v>20081.399166666903</v>
      </c>
      <c r="O172" s="452">
        <f t="shared" si="197"/>
        <v>3.4697245788293252</v>
      </c>
      <c r="P172" s="440">
        <v>578760.61083333299</v>
      </c>
      <c r="Q172" s="87">
        <f>2997.06+4978.07+672434.79+113147.75</f>
        <v>793557.67</v>
      </c>
      <c r="R172" s="87">
        <f t="shared" si="211"/>
        <v>214797.05916666705</v>
      </c>
      <c r="S172" s="453">
        <f t="shared" si="198"/>
        <v>37.113282270089144</v>
      </c>
      <c r="T172" s="440">
        <v>578760.61083333299</v>
      </c>
      <c r="U172" s="87">
        <v>573730.13</v>
      </c>
      <c r="V172" s="87">
        <f t="shared" si="212"/>
        <v>-5030.4808333329856</v>
      </c>
      <c r="W172" s="452">
        <f t="shared" si="199"/>
        <v>-0.86918161657369986</v>
      </c>
      <c r="X172" s="440">
        <v>560777</v>
      </c>
      <c r="Y172" s="87">
        <f>140+2413.68+2360582.13+51455.89</f>
        <v>2414591.7000000002</v>
      </c>
      <c r="Z172" s="87">
        <f t="shared" si="213"/>
        <v>1853814.7000000002</v>
      </c>
      <c r="AA172" s="453">
        <f t="shared" si="200"/>
        <v>330.57966000745392</v>
      </c>
      <c r="AB172" s="440">
        <v>480000</v>
      </c>
      <c r="AC172" s="855">
        <v>169001.64</v>
      </c>
      <c r="AD172" s="87">
        <f t="shared" si="214"/>
        <v>-310998.36</v>
      </c>
      <c r="AE172" s="453">
        <f t="shared" si="201"/>
        <v>-64.791325000000001</v>
      </c>
      <c r="AF172" s="440">
        <v>480000</v>
      </c>
      <c r="AG172" s="440">
        <v>346081.88</v>
      </c>
      <c r="AH172" s="87">
        <f t="shared" si="215"/>
        <v>-133918.12</v>
      </c>
      <c r="AI172" s="452">
        <f t="shared" si="202"/>
        <v>-27.899608333333337</v>
      </c>
      <c r="AJ172" s="440">
        <v>480000</v>
      </c>
      <c r="AK172" s="440">
        <v>129728.63</v>
      </c>
      <c r="AL172" s="96">
        <f t="shared" si="192"/>
        <v>-350271.37</v>
      </c>
      <c r="AM172" s="453">
        <f t="shared" si="203"/>
        <v>-72.973202083333334</v>
      </c>
      <c r="AN172" s="440">
        <v>480000</v>
      </c>
      <c r="AO172" s="46">
        <v>642528.06000000006</v>
      </c>
      <c r="AP172" s="96">
        <f t="shared" si="193"/>
        <v>162528.06000000006</v>
      </c>
      <c r="AQ172" s="452">
        <f t="shared" si="204"/>
        <v>33.860012500000011</v>
      </c>
      <c r="AR172" s="440">
        <v>480000</v>
      </c>
      <c r="AS172" s="46">
        <v>718309.87</v>
      </c>
      <c r="AT172" s="96">
        <f t="shared" si="194"/>
        <v>238309.87</v>
      </c>
      <c r="AU172" s="448">
        <f t="shared" si="205"/>
        <v>49.647889583333324</v>
      </c>
      <c r="AV172" s="440">
        <v>480000</v>
      </c>
      <c r="AW172" s="440">
        <v>715171.89</v>
      </c>
      <c r="AX172" s="96">
        <f t="shared" si="195"/>
        <v>235171.89</v>
      </c>
      <c r="AY172" s="449">
        <f t="shared" si="206"/>
        <v>48.994143749999999</v>
      </c>
      <c r="AZ172" s="440">
        <v>480000</v>
      </c>
      <c r="BA172" s="46">
        <v>703703.24</v>
      </c>
      <c r="BB172" s="87">
        <f t="shared" si="209"/>
        <v>223703.24</v>
      </c>
      <c r="BC172" s="448">
        <f t="shared" si="207"/>
        <v>46.604841666666672</v>
      </c>
      <c r="BD172" s="868">
        <f t="shared" si="208"/>
        <v>6449049.5800000001</v>
      </c>
      <c r="BE172" s="188">
        <f t="shared" si="196"/>
        <v>8367389.4899999984</v>
      </c>
      <c r="BF172" s="118"/>
      <c r="BG172" s="805"/>
      <c r="BH172" s="804"/>
    </row>
    <row r="173" spans="2:60" s="119" customFormat="1" x14ac:dyDescent="0.25">
      <c r="B173" s="170">
        <v>12867</v>
      </c>
      <c r="C173" s="135">
        <v>232</v>
      </c>
      <c r="D173" s="152" t="s">
        <v>215</v>
      </c>
      <c r="E173" s="341"/>
      <c r="F173" s="536"/>
      <c r="G173" s="328"/>
      <c r="H173" s="440">
        <v>15000</v>
      </c>
      <c r="I173" s="87">
        <v>15988.3</v>
      </c>
      <c r="J173" s="443">
        <f t="shared" si="190"/>
        <v>988.29999999999927</v>
      </c>
      <c r="K173" s="450">
        <f t="shared" si="191"/>
        <v>6.5886666666666649</v>
      </c>
      <c r="L173" s="86">
        <v>15000</v>
      </c>
      <c r="M173" s="87">
        <v>13316.09</v>
      </c>
      <c r="N173" s="87">
        <f t="shared" si="210"/>
        <v>-1683.9099999999999</v>
      </c>
      <c r="O173" s="452">
        <f t="shared" si="197"/>
        <v>-11.226066666666668</v>
      </c>
      <c r="P173" s="440">
        <v>15000</v>
      </c>
      <c r="Q173" s="87">
        <v>17135.47</v>
      </c>
      <c r="R173" s="87">
        <f t="shared" si="211"/>
        <v>2135.4700000000012</v>
      </c>
      <c r="S173" s="453">
        <f t="shared" si="198"/>
        <v>14.236466666666669</v>
      </c>
      <c r="T173" s="440">
        <v>15000</v>
      </c>
      <c r="U173" s="87">
        <v>15413.5</v>
      </c>
      <c r="V173" s="87">
        <f t="shared" si="212"/>
        <v>413.5</v>
      </c>
      <c r="W173" s="452">
        <f t="shared" si="199"/>
        <v>2.7566666666666739</v>
      </c>
      <c r="X173" s="440">
        <v>12000</v>
      </c>
      <c r="Y173" s="87">
        <v>13774.62</v>
      </c>
      <c r="Z173" s="87">
        <f t="shared" si="213"/>
        <v>1774.6200000000008</v>
      </c>
      <c r="AA173" s="453">
        <f t="shared" si="200"/>
        <v>14.788500000000004</v>
      </c>
      <c r="AB173" s="440">
        <v>12000</v>
      </c>
      <c r="AC173" s="853">
        <v>12017.64</v>
      </c>
      <c r="AD173" s="87">
        <f t="shared" si="214"/>
        <v>17.639999999999418</v>
      </c>
      <c r="AE173" s="453">
        <f t="shared" si="201"/>
        <v>0.14699999999998603</v>
      </c>
      <c r="AF173" s="440">
        <v>12000</v>
      </c>
      <c r="AG173" s="440">
        <v>34688.800000000003</v>
      </c>
      <c r="AH173" s="87">
        <f t="shared" si="215"/>
        <v>22688.800000000003</v>
      </c>
      <c r="AI173" s="452">
        <f t="shared" si="202"/>
        <v>189.07333333333332</v>
      </c>
      <c r="AJ173" s="440">
        <v>12000</v>
      </c>
      <c r="AK173" s="440">
        <v>19603.52</v>
      </c>
      <c r="AL173" s="96">
        <f t="shared" si="192"/>
        <v>7603.52</v>
      </c>
      <c r="AM173" s="453">
        <f t="shared" si="203"/>
        <v>63.362666666666676</v>
      </c>
      <c r="AN173" s="440">
        <v>12000</v>
      </c>
      <c r="AO173" s="46">
        <v>15533.24</v>
      </c>
      <c r="AP173" s="96">
        <f t="shared" si="193"/>
        <v>3533.24</v>
      </c>
      <c r="AQ173" s="452">
        <f t="shared" si="204"/>
        <v>29.443666666666669</v>
      </c>
      <c r="AR173" s="440">
        <v>12000</v>
      </c>
      <c r="AS173" s="46">
        <v>15724.09</v>
      </c>
      <c r="AT173" s="96">
        <f t="shared" si="194"/>
        <v>3724.09</v>
      </c>
      <c r="AU173" s="448">
        <f t="shared" si="205"/>
        <v>31.034083333333328</v>
      </c>
      <c r="AV173" s="440">
        <v>12000</v>
      </c>
      <c r="AW173" s="440">
        <v>15507.04</v>
      </c>
      <c r="AX173" s="96">
        <f t="shared" si="195"/>
        <v>3507.0400000000009</v>
      </c>
      <c r="AY173" s="449">
        <f t="shared" si="206"/>
        <v>29.225333333333346</v>
      </c>
      <c r="AZ173" s="440">
        <v>12000</v>
      </c>
      <c r="BA173" s="46">
        <v>18390.89</v>
      </c>
      <c r="BB173" s="87">
        <f t="shared" si="209"/>
        <v>6390.8899999999994</v>
      </c>
      <c r="BC173" s="448">
        <f t="shared" si="207"/>
        <v>53.257416666666657</v>
      </c>
      <c r="BD173" s="868">
        <f t="shared" si="208"/>
        <v>157853.35999999999</v>
      </c>
      <c r="BE173" s="188">
        <f t="shared" si="196"/>
        <v>207093.2</v>
      </c>
      <c r="BF173" s="118"/>
      <c r="BG173" s="805"/>
      <c r="BH173" s="804"/>
    </row>
    <row r="174" spans="2:60" s="119" customFormat="1" x14ac:dyDescent="0.25">
      <c r="B174" s="170">
        <v>11510</v>
      </c>
      <c r="C174" s="135">
        <v>287</v>
      </c>
      <c r="D174" s="152" t="s">
        <v>105</v>
      </c>
      <c r="E174" s="341"/>
      <c r="F174" s="536"/>
      <c r="G174" s="328"/>
      <c r="H174" s="440">
        <v>11000</v>
      </c>
      <c r="I174" s="87">
        <v>11029.14</v>
      </c>
      <c r="J174" s="443">
        <f t="shared" si="190"/>
        <v>29.139999999999418</v>
      </c>
      <c r="K174" s="450">
        <f t="shared" si="191"/>
        <v>0.26490909090908232</v>
      </c>
      <c r="L174" s="86">
        <v>11000</v>
      </c>
      <c r="M174" s="87">
        <v>11029.14</v>
      </c>
      <c r="N174" s="87">
        <f t="shared" si="210"/>
        <v>29.139999999999418</v>
      </c>
      <c r="O174" s="452">
        <f t="shared" si="197"/>
        <v>0.26490909090908232</v>
      </c>
      <c r="P174" s="440">
        <v>11000</v>
      </c>
      <c r="Q174" s="87">
        <v>11085.57</v>
      </c>
      <c r="R174" s="87">
        <f t="shared" si="211"/>
        <v>85.569999999999709</v>
      </c>
      <c r="S174" s="453">
        <f t="shared" si="198"/>
        <v>0.77790909090909022</v>
      </c>
      <c r="T174" s="440">
        <v>11000</v>
      </c>
      <c r="U174" s="87">
        <v>11029.14</v>
      </c>
      <c r="V174" s="87">
        <f t="shared" si="212"/>
        <v>29.139999999999418</v>
      </c>
      <c r="W174" s="452">
        <f t="shared" si="199"/>
        <v>0.26490909090908232</v>
      </c>
      <c r="X174" s="440">
        <v>11000</v>
      </c>
      <c r="Y174" s="87">
        <v>11029.14</v>
      </c>
      <c r="Z174" s="87">
        <f t="shared" si="213"/>
        <v>29.139999999999418</v>
      </c>
      <c r="AA174" s="453">
        <f t="shared" si="200"/>
        <v>0.26490909090908232</v>
      </c>
      <c r="AB174" s="440">
        <v>11000</v>
      </c>
      <c r="AC174" s="853">
        <v>11389.1</v>
      </c>
      <c r="AD174" s="87">
        <f t="shared" si="214"/>
        <v>389.10000000000036</v>
      </c>
      <c r="AE174" s="453">
        <f t="shared" si="201"/>
        <v>3.5372727272727333</v>
      </c>
      <c r="AF174" s="440">
        <v>11000</v>
      </c>
      <c r="AG174" s="440">
        <v>5889.1</v>
      </c>
      <c r="AH174" s="87">
        <f t="shared" si="215"/>
        <v>-5110.8999999999996</v>
      </c>
      <c r="AI174" s="452">
        <f t="shared" si="202"/>
        <v>-46.462727272727264</v>
      </c>
      <c r="AJ174" s="440">
        <v>11000</v>
      </c>
      <c r="AK174" s="440">
        <v>5889.1</v>
      </c>
      <c r="AL174" s="96">
        <f t="shared" si="192"/>
        <v>-5110.8999999999996</v>
      </c>
      <c r="AM174" s="453">
        <f t="shared" si="203"/>
        <v>-46.462727272727264</v>
      </c>
      <c r="AN174" s="440">
        <v>11000</v>
      </c>
      <c r="AO174" s="46">
        <v>5889.1</v>
      </c>
      <c r="AP174" s="96">
        <f t="shared" si="193"/>
        <v>-5110.8999999999996</v>
      </c>
      <c r="AQ174" s="452">
        <f t="shared" si="204"/>
        <v>-46.462727272727264</v>
      </c>
      <c r="AR174" s="440">
        <v>11000</v>
      </c>
      <c r="AS174" s="46">
        <v>5889.1</v>
      </c>
      <c r="AT174" s="96">
        <f t="shared" si="194"/>
        <v>-5110.8999999999996</v>
      </c>
      <c r="AU174" s="448">
        <f t="shared" si="205"/>
        <v>-46.462727272727264</v>
      </c>
      <c r="AV174" s="440">
        <v>11000</v>
      </c>
      <c r="AW174" s="440">
        <v>6060.15</v>
      </c>
      <c r="AX174" s="96">
        <f t="shared" si="195"/>
        <v>-4939.8500000000004</v>
      </c>
      <c r="AY174" s="449">
        <f t="shared" si="206"/>
        <v>-44.907727272727271</v>
      </c>
      <c r="AZ174" s="440">
        <v>11000</v>
      </c>
      <c r="BA174" s="46">
        <v>23000</v>
      </c>
      <c r="BB174" s="87">
        <f t="shared" si="209"/>
        <v>12000</v>
      </c>
      <c r="BC174" s="448">
        <f t="shared" si="207"/>
        <v>109.09090909090908</v>
      </c>
      <c r="BD174" s="868">
        <f t="shared" si="208"/>
        <v>132172.99</v>
      </c>
      <c r="BE174" s="188">
        <f t="shared" si="196"/>
        <v>119207.78000000001</v>
      </c>
      <c r="BF174" s="118"/>
      <c r="BG174" s="805"/>
      <c r="BH174" s="804"/>
    </row>
    <row r="175" spans="2:60" s="119" customFormat="1" x14ac:dyDescent="0.25">
      <c r="B175" s="170" t="s">
        <v>106</v>
      </c>
      <c r="C175" s="135">
        <v>214</v>
      </c>
      <c r="D175" s="152" t="s">
        <v>217</v>
      </c>
      <c r="E175" s="341"/>
      <c r="F175" s="536"/>
      <c r="G175" s="328"/>
      <c r="H175" s="440">
        <f>18000-1789.16</f>
        <v>16210.84</v>
      </c>
      <c r="I175" s="87">
        <f>10031.91+773.64</f>
        <v>10805.55</v>
      </c>
      <c r="J175" s="443">
        <f t="shared" si="190"/>
        <v>-5405.2900000000009</v>
      </c>
      <c r="K175" s="450">
        <f t="shared" si="191"/>
        <v>-33.343676206785098</v>
      </c>
      <c r="L175" s="86">
        <v>16210.84</v>
      </c>
      <c r="M175" s="87">
        <f>13295.54+1745.45</f>
        <v>15040.990000000002</v>
      </c>
      <c r="N175" s="87">
        <f t="shared" si="210"/>
        <v>-1169.8499999999985</v>
      </c>
      <c r="O175" s="452">
        <f t="shared" si="197"/>
        <v>-7.2164674995250033</v>
      </c>
      <c r="P175" s="440">
        <v>16210.84</v>
      </c>
      <c r="Q175" s="87">
        <f>6962.09+1111.5</f>
        <v>8073.59</v>
      </c>
      <c r="R175" s="87">
        <f t="shared" si="211"/>
        <v>-8137.25</v>
      </c>
      <c r="S175" s="453">
        <f t="shared" si="198"/>
        <v>-50.196350096602025</v>
      </c>
      <c r="T175" s="440">
        <v>16210.84</v>
      </c>
      <c r="U175" s="87">
        <v>3804.91</v>
      </c>
      <c r="V175" s="87">
        <f t="shared" si="212"/>
        <v>-12405.93</v>
      </c>
      <c r="W175" s="452">
        <f t="shared" si="199"/>
        <v>-76.528606784102493</v>
      </c>
      <c r="X175" s="440">
        <v>4000</v>
      </c>
      <c r="Y175" s="87">
        <f>1325.26+788.71</f>
        <v>2113.9700000000003</v>
      </c>
      <c r="Z175" s="87">
        <f t="shared" si="213"/>
        <v>-1886.0299999999997</v>
      </c>
      <c r="AA175" s="453">
        <f t="shared" si="200"/>
        <v>-47.150749999999995</v>
      </c>
      <c r="AB175" s="440">
        <v>4000</v>
      </c>
      <c r="AC175" s="853">
        <v>7116.19</v>
      </c>
      <c r="AD175" s="87">
        <f t="shared" si="214"/>
        <v>3116.1899999999996</v>
      </c>
      <c r="AE175" s="453">
        <f t="shared" si="201"/>
        <v>77.904749999999993</v>
      </c>
      <c r="AF175" s="440">
        <v>4000</v>
      </c>
      <c r="AG175" s="440">
        <v>6519.42</v>
      </c>
      <c r="AH175" s="87">
        <f t="shared" si="215"/>
        <v>2519.42</v>
      </c>
      <c r="AI175" s="452">
        <f t="shared" si="202"/>
        <v>62.985500000000002</v>
      </c>
      <c r="AJ175" s="440">
        <v>8000</v>
      </c>
      <c r="AK175" s="440">
        <v>8533.7900000000009</v>
      </c>
      <c r="AL175" s="96">
        <f t="shared" si="192"/>
        <v>533.79000000000087</v>
      </c>
      <c r="AM175" s="453">
        <f t="shared" si="203"/>
        <v>6.6723750000000193</v>
      </c>
      <c r="AN175" s="440">
        <v>8000</v>
      </c>
      <c r="AO175" s="46">
        <v>9595.34</v>
      </c>
      <c r="AP175" s="96">
        <f t="shared" si="193"/>
        <v>1595.3400000000001</v>
      </c>
      <c r="AQ175" s="452">
        <f t="shared" si="204"/>
        <v>19.941750000000003</v>
      </c>
      <c r="AR175" s="440">
        <v>8000</v>
      </c>
      <c r="AS175" s="46">
        <v>557.23</v>
      </c>
      <c r="AT175" s="96">
        <f t="shared" si="194"/>
        <v>-7442.77</v>
      </c>
      <c r="AU175" s="448">
        <f t="shared" si="205"/>
        <v>-93.034625000000005</v>
      </c>
      <c r="AV175" s="440">
        <v>16210.84</v>
      </c>
      <c r="AW175" s="440">
        <v>7920.19</v>
      </c>
      <c r="AX175" s="96">
        <f t="shared" si="195"/>
        <v>-8290.6500000000015</v>
      </c>
      <c r="AY175" s="449">
        <f t="shared" si="206"/>
        <v>-51.142630486760709</v>
      </c>
      <c r="AZ175" s="440">
        <v>16210.84</v>
      </c>
      <c r="BA175" s="46">
        <v>9405.59</v>
      </c>
      <c r="BB175" s="87">
        <f t="shared" si="209"/>
        <v>-6805.25</v>
      </c>
      <c r="BC175" s="448">
        <f t="shared" si="207"/>
        <v>-41.979625978666121</v>
      </c>
      <c r="BD175" s="868">
        <f t="shared" si="208"/>
        <v>106146.72</v>
      </c>
      <c r="BE175" s="188">
        <f t="shared" si="196"/>
        <v>89486.760000000009</v>
      </c>
      <c r="BF175" s="118"/>
      <c r="BG175" s="805"/>
      <c r="BH175" s="804"/>
    </row>
    <row r="176" spans="2:60" s="119" customFormat="1" x14ac:dyDescent="0.25">
      <c r="B176" s="170">
        <v>11669</v>
      </c>
      <c r="C176" s="135">
        <v>311</v>
      </c>
      <c r="D176" s="152" t="s">
        <v>334</v>
      </c>
      <c r="E176" s="341"/>
      <c r="F176" s="536"/>
      <c r="G176" s="328"/>
      <c r="H176" s="440">
        <v>2266.7172500000001</v>
      </c>
      <c r="I176" s="87">
        <v>4040.5</v>
      </c>
      <c r="J176" s="443">
        <f t="shared" si="190"/>
        <v>1773.7827499999999</v>
      </c>
      <c r="K176" s="450">
        <f t="shared" si="191"/>
        <v>78.253375007403321</v>
      </c>
      <c r="L176" s="86">
        <v>2266.7172500000001</v>
      </c>
      <c r="M176" s="87">
        <v>0</v>
      </c>
      <c r="N176" s="87">
        <f t="shared" si="210"/>
        <v>-2266.7172500000001</v>
      </c>
      <c r="O176" s="452">
        <f t="shared" si="197"/>
        <v>-100</v>
      </c>
      <c r="P176" s="440">
        <v>2266.7172500000001</v>
      </c>
      <c r="Q176" s="87">
        <v>2082.83</v>
      </c>
      <c r="R176" s="87">
        <f t="shared" si="211"/>
        <v>-183.88725000000022</v>
      </c>
      <c r="S176" s="453">
        <f t="shared" si="198"/>
        <v>-8.1124917543200503</v>
      </c>
      <c r="T176" s="440">
        <v>2266.7172500000001</v>
      </c>
      <c r="U176" s="87">
        <v>2416.65</v>
      </c>
      <c r="V176" s="87">
        <f t="shared" si="212"/>
        <v>149.93274999999994</v>
      </c>
      <c r="W176" s="452">
        <f t="shared" si="199"/>
        <v>6.614532535983475</v>
      </c>
      <c r="X176" s="440">
        <v>2266.7172500000001</v>
      </c>
      <c r="Y176" s="87">
        <v>1144.96</v>
      </c>
      <c r="Z176" s="87">
        <f t="shared" si="213"/>
        <v>-1121.7572500000001</v>
      </c>
      <c r="AA176" s="453">
        <f t="shared" si="200"/>
        <v>-49.488186054083286</v>
      </c>
      <c r="AB176" s="440">
        <v>2266.7172500000001</v>
      </c>
      <c r="AC176" s="853">
        <v>1061.6600000000001</v>
      </c>
      <c r="AD176" s="87">
        <f t="shared" si="214"/>
        <v>-1205.0572500000001</v>
      </c>
      <c r="AE176" s="453">
        <f t="shared" si="201"/>
        <v>-53.163104043964893</v>
      </c>
      <c r="AF176" s="440">
        <v>2266.7172500000001</v>
      </c>
      <c r="AG176" s="440">
        <v>951.38</v>
      </c>
      <c r="AH176" s="87">
        <f t="shared" si="215"/>
        <v>-1315.33725</v>
      </c>
      <c r="AI176" s="452">
        <f t="shared" si="202"/>
        <v>-58.028289589272774</v>
      </c>
      <c r="AJ176" s="440">
        <v>2266.7172500000001</v>
      </c>
      <c r="AK176" s="440">
        <v>1578.15</v>
      </c>
      <c r="AL176" s="96">
        <f t="shared" si="192"/>
        <v>-688.56725000000006</v>
      </c>
      <c r="AM176" s="453">
        <f t="shared" si="203"/>
        <v>-30.377289006822529</v>
      </c>
      <c r="AN176" s="440">
        <v>2266.7172500000001</v>
      </c>
      <c r="AO176" s="46">
        <v>4073.49</v>
      </c>
      <c r="AP176" s="96">
        <f t="shared" si="193"/>
        <v>1806.7727499999996</v>
      </c>
      <c r="AQ176" s="452">
        <f t="shared" si="204"/>
        <v>79.708783704716566</v>
      </c>
      <c r="AR176" s="440">
        <v>2266.7172500000001</v>
      </c>
      <c r="AS176" s="46" t="s">
        <v>3681</v>
      </c>
      <c r="AT176" s="96">
        <f t="shared" si="194"/>
        <v>-2266.7172500000001</v>
      </c>
      <c r="AU176" s="448">
        <f t="shared" si="205"/>
        <v>-100</v>
      </c>
      <c r="AV176" s="440">
        <v>2266.7172500000001</v>
      </c>
      <c r="AW176" s="440">
        <v>2000</v>
      </c>
      <c r="AX176" s="96">
        <f t="shared" si="195"/>
        <v>-266.71725000000015</v>
      </c>
      <c r="AY176" s="449">
        <f t="shared" si="206"/>
        <v>-11.766674912806174</v>
      </c>
      <c r="AZ176" s="440">
        <v>2266.7172500000001</v>
      </c>
      <c r="BA176" s="46">
        <v>2000</v>
      </c>
      <c r="BB176" s="87">
        <f t="shared" si="209"/>
        <v>-266.71725000000015</v>
      </c>
      <c r="BC176" s="448">
        <f t="shared" si="207"/>
        <v>-11.766674912806174</v>
      </c>
      <c r="BD176" s="868">
        <f t="shared" si="208"/>
        <v>26673.718000000001</v>
      </c>
      <c r="BE176" s="188">
        <f t="shared" si="196"/>
        <v>21349.619999999995</v>
      </c>
      <c r="BF176" s="118"/>
      <c r="BG176" s="805"/>
      <c r="BH176" s="804"/>
    </row>
    <row r="177" spans="2:60" s="119" customFormat="1" ht="47.25" x14ac:dyDescent="0.25">
      <c r="B177" s="170" t="s">
        <v>3629</v>
      </c>
      <c r="C177" s="135" t="s">
        <v>107</v>
      </c>
      <c r="D177" s="152" t="s">
        <v>3628</v>
      </c>
      <c r="E177" s="341"/>
      <c r="F177" s="536"/>
      <c r="G177" s="328"/>
      <c r="H177" s="440">
        <v>10000</v>
      </c>
      <c r="I177" s="87">
        <f>606.32+4280+0+0+0</f>
        <v>4886.32</v>
      </c>
      <c r="J177" s="443">
        <f t="shared" si="190"/>
        <v>-5113.68</v>
      </c>
      <c r="K177" s="450">
        <f t="shared" si="191"/>
        <v>-51.136800000000008</v>
      </c>
      <c r="L177" s="86">
        <v>10000</v>
      </c>
      <c r="M177" s="87">
        <f>1400+4314.8+0+13104</f>
        <v>18818.8</v>
      </c>
      <c r="N177" s="87">
        <f t="shared" si="210"/>
        <v>8818.7999999999993</v>
      </c>
      <c r="O177" s="452">
        <f t="shared" si="197"/>
        <v>88.188000000000002</v>
      </c>
      <c r="P177" s="440">
        <v>10000</v>
      </c>
      <c r="Q177" s="87">
        <f>0+13666</f>
        <v>13666</v>
      </c>
      <c r="R177" s="87">
        <f t="shared" si="211"/>
        <v>3666</v>
      </c>
      <c r="S177" s="453">
        <f t="shared" si="198"/>
        <v>36.660000000000004</v>
      </c>
      <c r="T177" s="440">
        <v>10000</v>
      </c>
      <c r="U177" s="87">
        <v>5480</v>
      </c>
      <c r="V177" s="87">
        <f t="shared" si="212"/>
        <v>-4520</v>
      </c>
      <c r="W177" s="452">
        <f t="shared" si="199"/>
        <v>-45.199999999999996</v>
      </c>
      <c r="X177" s="440">
        <v>10000</v>
      </c>
      <c r="Y177" s="87">
        <f>380+21765.6</f>
        <v>22145.599999999999</v>
      </c>
      <c r="Z177" s="87">
        <f t="shared" si="213"/>
        <v>12145.599999999999</v>
      </c>
      <c r="AA177" s="453">
        <f t="shared" si="200"/>
        <v>121.45599999999996</v>
      </c>
      <c r="AB177" s="440">
        <v>10000</v>
      </c>
      <c r="AC177" s="853">
        <v>9476.4</v>
      </c>
      <c r="AD177" s="87">
        <f t="shared" si="214"/>
        <v>-523.60000000000036</v>
      </c>
      <c r="AE177" s="453">
        <f t="shared" si="201"/>
        <v>-5.2360000000000078</v>
      </c>
      <c r="AF177" s="440">
        <v>10000</v>
      </c>
      <c r="AG177" s="440">
        <v>2266</v>
      </c>
      <c r="AH177" s="87">
        <f t="shared" si="215"/>
        <v>-7734</v>
      </c>
      <c r="AI177" s="452">
        <f t="shared" si="202"/>
        <v>-77.34</v>
      </c>
      <c r="AJ177" s="440">
        <v>10000</v>
      </c>
      <c r="AK177" s="440">
        <v>7455</v>
      </c>
      <c r="AL177" s="96">
        <f t="shared" si="192"/>
        <v>-2545</v>
      </c>
      <c r="AM177" s="453">
        <f t="shared" si="203"/>
        <v>-25.449999999999996</v>
      </c>
      <c r="AN177" s="440">
        <v>10000</v>
      </c>
      <c r="AO177" s="46">
        <v>30206</v>
      </c>
      <c r="AP177" s="96">
        <f t="shared" si="193"/>
        <v>20206</v>
      </c>
      <c r="AQ177" s="452">
        <f t="shared" si="204"/>
        <v>202.06</v>
      </c>
      <c r="AR177" s="440">
        <v>10000</v>
      </c>
      <c r="AS177" s="46">
        <v>61036.800000000003</v>
      </c>
      <c r="AT177" s="96">
        <f t="shared" si="194"/>
        <v>51036.800000000003</v>
      </c>
      <c r="AU177" s="448">
        <f t="shared" si="205"/>
        <v>510.36800000000005</v>
      </c>
      <c r="AV177" s="440">
        <v>10000</v>
      </c>
      <c r="AW177" s="440">
        <v>50133.01</v>
      </c>
      <c r="AX177" s="96">
        <f t="shared" si="195"/>
        <v>40133.01</v>
      </c>
      <c r="AY177" s="449">
        <f t="shared" si="206"/>
        <v>401.33010000000002</v>
      </c>
      <c r="AZ177" s="440">
        <v>10000</v>
      </c>
      <c r="BA177" s="46">
        <v>32736</v>
      </c>
      <c r="BB177" s="87">
        <f t="shared" si="209"/>
        <v>22736</v>
      </c>
      <c r="BC177" s="448">
        <f t="shared" si="207"/>
        <v>227.36</v>
      </c>
      <c r="BD177" s="868">
        <f t="shared" si="208"/>
        <v>122851.12</v>
      </c>
      <c r="BE177" s="188">
        <f t="shared" si="196"/>
        <v>258305.93</v>
      </c>
      <c r="BF177" s="118"/>
      <c r="BG177" s="805"/>
      <c r="BH177" s="804"/>
    </row>
    <row r="178" spans="2:60" s="119" customFormat="1" x14ac:dyDescent="0.25">
      <c r="B178" s="170">
        <v>11891</v>
      </c>
      <c r="C178" s="135">
        <v>263</v>
      </c>
      <c r="D178" s="152" t="s">
        <v>327</v>
      </c>
      <c r="E178" s="341"/>
      <c r="F178" s="536"/>
      <c r="G178" s="328"/>
      <c r="H178" s="440">
        <v>0</v>
      </c>
      <c r="I178" s="87">
        <v>0</v>
      </c>
      <c r="J178" s="443">
        <f t="shared" si="190"/>
        <v>0</v>
      </c>
      <c r="K178" s="450"/>
      <c r="L178" s="440">
        <v>0</v>
      </c>
      <c r="M178" s="87">
        <v>0</v>
      </c>
      <c r="N178" s="87">
        <f t="shared" si="210"/>
        <v>0</v>
      </c>
      <c r="O178" s="452"/>
      <c r="P178" s="440">
        <v>0</v>
      </c>
      <c r="Q178" s="87">
        <v>0</v>
      </c>
      <c r="R178" s="87">
        <f t="shared" si="211"/>
        <v>0</v>
      </c>
      <c r="S178" s="453"/>
      <c r="T178" s="440">
        <v>0</v>
      </c>
      <c r="U178" s="87">
        <v>0</v>
      </c>
      <c r="V178" s="87">
        <f t="shared" si="212"/>
        <v>0</v>
      </c>
      <c r="W178" s="452"/>
      <c r="X178" s="440">
        <v>0</v>
      </c>
      <c r="Y178" s="87">
        <v>0</v>
      </c>
      <c r="Z178" s="87">
        <f t="shared" si="213"/>
        <v>0</v>
      </c>
      <c r="AA178" s="453"/>
      <c r="AB178" s="440">
        <v>0</v>
      </c>
      <c r="AC178" s="853">
        <v>0</v>
      </c>
      <c r="AD178" s="87">
        <f t="shared" si="214"/>
        <v>0</v>
      </c>
      <c r="AE178" s="453"/>
      <c r="AF178" s="440">
        <v>0</v>
      </c>
      <c r="AG178" s="440">
        <v>0</v>
      </c>
      <c r="AH178" s="87">
        <f t="shared" si="215"/>
        <v>0</v>
      </c>
      <c r="AI178" s="452"/>
      <c r="AJ178" s="440">
        <v>0</v>
      </c>
      <c r="AK178" s="863">
        <v>0</v>
      </c>
      <c r="AL178" s="96">
        <f t="shared" si="192"/>
        <v>0</v>
      </c>
      <c r="AM178" s="453"/>
      <c r="AN178" s="440">
        <v>0</v>
      </c>
      <c r="AO178" s="46">
        <v>0</v>
      </c>
      <c r="AP178" s="96">
        <f t="shared" si="193"/>
        <v>0</v>
      </c>
      <c r="AQ178" s="452"/>
      <c r="AR178" s="440">
        <v>0</v>
      </c>
      <c r="AS178" s="46" t="s">
        <v>3681</v>
      </c>
      <c r="AT178" s="96">
        <f t="shared" si="194"/>
        <v>0</v>
      </c>
      <c r="AU178" s="448">
        <v>0</v>
      </c>
      <c r="AV178" s="440">
        <v>0</v>
      </c>
      <c r="AW178" s="440">
        <v>0</v>
      </c>
      <c r="AX178" s="96">
        <f t="shared" si="195"/>
        <v>0</v>
      </c>
      <c r="AY178" s="449"/>
      <c r="AZ178" s="440">
        <v>0</v>
      </c>
      <c r="BA178" s="46">
        <v>0</v>
      </c>
      <c r="BB178" s="87">
        <f t="shared" si="209"/>
        <v>0</v>
      </c>
      <c r="BC178" s="448"/>
      <c r="BD178" s="868">
        <f t="shared" si="208"/>
        <v>0</v>
      </c>
      <c r="BE178" s="188">
        <f t="shared" si="196"/>
        <v>0</v>
      </c>
      <c r="BF178" s="118"/>
      <c r="BG178" s="805"/>
      <c r="BH178" s="804"/>
    </row>
    <row r="179" spans="2:60" s="119" customFormat="1" x14ac:dyDescent="0.25">
      <c r="B179" s="170">
        <v>11972</v>
      </c>
      <c r="C179" s="135">
        <v>173</v>
      </c>
      <c r="D179" s="152" t="s">
        <v>328</v>
      </c>
      <c r="E179" s="341"/>
      <c r="F179" s="536"/>
      <c r="G179" s="328"/>
      <c r="H179" s="440">
        <f>40000-2000</f>
        <v>38000</v>
      </c>
      <c r="I179" s="87">
        <v>28445.91</v>
      </c>
      <c r="J179" s="443">
        <f t="shared" si="190"/>
        <v>-9554.09</v>
      </c>
      <c r="K179" s="450">
        <f t="shared" si="191"/>
        <v>-25.142342105263161</v>
      </c>
      <c r="L179" s="86">
        <v>38000</v>
      </c>
      <c r="M179" s="87">
        <f>113852.74</f>
        <v>113852.74</v>
      </c>
      <c r="N179" s="87">
        <f t="shared" si="210"/>
        <v>75852.740000000005</v>
      </c>
      <c r="O179" s="452">
        <f t="shared" si="197"/>
        <v>199.61247368421056</v>
      </c>
      <c r="P179" s="440">
        <v>38000</v>
      </c>
      <c r="Q179" s="87">
        <v>12807.57</v>
      </c>
      <c r="R179" s="87">
        <f t="shared" si="211"/>
        <v>-25192.43</v>
      </c>
      <c r="S179" s="453">
        <f t="shared" si="198"/>
        <v>-66.295868421052646</v>
      </c>
      <c r="T179" s="440">
        <v>38000</v>
      </c>
      <c r="U179" s="87">
        <v>14715.63</v>
      </c>
      <c r="V179" s="87">
        <f t="shared" si="212"/>
        <v>-23284.370000000003</v>
      </c>
      <c r="W179" s="452">
        <f t="shared" si="199"/>
        <v>-61.274657894736848</v>
      </c>
      <c r="X179" s="440">
        <v>38000</v>
      </c>
      <c r="Y179" s="87">
        <v>77450.64</v>
      </c>
      <c r="Z179" s="87">
        <f t="shared" si="213"/>
        <v>39450.639999999999</v>
      </c>
      <c r="AA179" s="453">
        <f t="shared" si="200"/>
        <v>103.81747368421053</v>
      </c>
      <c r="AB179" s="440">
        <v>38000</v>
      </c>
      <c r="AC179" s="853">
        <v>243827.79</v>
      </c>
      <c r="AD179" s="87">
        <f t="shared" si="214"/>
        <v>205827.79</v>
      </c>
      <c r="AE179" s="453">
        <f t="shared" si="201"/>
        <v>541.65207894736841</v>
      </c>
      <c r="AF179" s="440">
        <v>38000</v>
      </c>
      <c r="AG179" s="440">
        <v>5165.6899999999996</v>
      </c>
      <c r="AH179" s="87">
        <f t="shared" si="215"/>
        <v>-32834.31</v>
      </c>
      <c r="AI179" s="452">
        <f t="shared" si="202"/>
        <v>-86.406078947368428</v>
      </c>
      <c r="AJ179" s="440">
        <v>38000</v>
      </c>
      <c r="AK179" s="440">
        <v>13629.97</v>
      </c>
      <c r="AL179" s="96">
        <f t="shared" si="192"/>
        <v>-24370.03</v>
      </c>
      <c r="AM179" s="453">
        <f t="shared" si="203"/>
        <v>-64.131657894736847</v>
      </c>
      <c r="AN179" s="440">
        <v>38000</v>
      </c>
      <c r="AO179" s="46">
        <v>14757.95</v>
      </c>
      <c r="AP179" s="96">
        <f t="shared" si="193"/>
        <v>-23242.05</v>
      </c>
      <c r="AQ179" s="452">
        <f t="shared" si="204"/>
        <v>-61.163289473684216</v>
      </c>
      <c r="AR179" s="440">
        <v>38000</v>
      </c>
      <c r="AS179" s="46">
        <v>11897.91</v>
      </c>
      <c r="AT179" s="96">
        <f t="shared" si="194"/>
        <v>-26102.09</v>
      </c>
      <c r="AU179" s="448">
        <f t="shared" si="205"/>
        <v>-68.689710526315778</v>
      </c>
      <c r="AV179" s="440">
        <v>38000</v>
      </c>
      <c r="AW179" s="440">
        <v>21897.47</v>
      </c>
      <c r="AX179" s="96">
        <f t="shared" si="195"/>
        <v>-16102.529999999999</v>
      </c>
      <c r="AY179" s="449">
        <f t="shared" si="206"/>
        <v>-42.375078947368415</v>
      </c>
      <c r="AZ179" s="440">
        <v>38000</v>
      </c>
      <c r="BA179" s="46">
        <v>80203.72</v>
      </c>
      <c r="BB179" s="87">
        <f t="shared" si="209"/>
        <v>42203.72</v>
      </c>
      <c r="BC179" s="448">
        <f t="shared" si="207"/>
        <v>111.06242105263161</v>
      </c>
      <c r="BD179" s="868">
        <f t="shared" si="208"/>
        <v>473821.85</v>
      </c>
      <c r="BE179" s="188">
        <f t="shared" si="196"/>
        <v>638652.99</v>
      </c>
      <c r="BF179" s="118"/>
      <c r="BG179" s="805"/>
      <c r="BH179" s="804"/>
    </row>
    <row r="180" spans="2:60" s="552" customFormat="1" ht="31.5" x14ac:dyDescent="0.25">
      <c r="B180" s="170" t="s">
        <v>3635</v>
      </c>
      <c r="C180" s="135">
        <v>360</v>
      </c>
      <c r="D180" s="152" t="s">
        <v>108</v>
      </c>
      <c r="E180" s="341"/>
      <c r="F180" s="536"/>
      <c r="G180" s="328"/>
      <c r="H180" s="440">
        <v>19315.305833333332</v>
      </c>
      <c r="I180" s="87">
        <f>16225.47+0+5427.7</f>
        <v>21653.17</v>
      </c>
      <c r="J180" s="443">
        <f t="shared" si="190"/>
        <v>2337.8641666666663</v>
      </c>
      <c r="K180" s="450">
        <f t="shared" si="191"/>
        <v>12.103687028512411</v>
      </c>
      <c r="L180" s="86">
        <v>19315.305833333332</v>
      </c>
      <c r="M180" s="87">
        <f>11769.17+9957.86</f>
        <v>21727.03</v>
      </c>
      <c r="N180" s="87">
        <f t="shared" si="210"/>
        <v>2411.7241666666669</v>
      </c>
      <c r="O180" s="452">
        <f t="shared" si="197"/>
        <v>12.486078074438979</v>
      </c>
      <c r="P180" s="440">
        <v>19315.305833333332</v>
      </c>
      <c r="Q180" s="87">
        <f>11798.57+9984.79</f>
        <v>21783.360000000001</v>
      </c>
      <c r="R180" s="87">
        <f t="shared" si="211"/>
        <v>2468.0541666666686</v>
      </c>
      <c r="S180" s="453">
        <f t="shared" si="198"/>
        <v>12.777712079543836</v>
      </c>
      <c r="T180" s="440">
        <v>19315.305833333332</v>
      </c>
      <c r="U180" s="87">
        <v>21849.35</v>
      </c>
      <c r="V180" s="87">
        <f t="shared" si="212"/>
        <v>2534.0441666666666</v>
      </c>
      <c r="W180" s="452">
        <f t="shared" si="199"/>
        <v>13.119358236065558</v>
      </c>
      <c r="X180" s="440">
        <v>19315.305833333332</v>
      </c>
      <c r="Y180" s="87">
        <f>11861.46+10042.33</f>
        <v>21903.79</v>
      </c>
      <c r="Z180" s="87">
        <f t="shared" si="213"/>
        <v>2588.4841666666689</v>
      </c>
      <c r="AA180" s="453">
        <f t="shared" si="200"/>
        <v>13.401207255023628</v>
      </c>
      <c r="AB180" s="440">
        <v>19315.305833333332</v>
      </c>
      <c r="AC180" s="853">
        <v>21950.41</v>
      </c>
      <c r="AD180" s="87">
        <f t="shared" si="214"/>
        <v>2635.1041666666679</v>
      </c>
      <c r="AE180" s="453">
        <f t="shared" si="201"/>
        <v>13.642570246644215</v>
      </c>
      <c r="AF180" s="440">
        <v>19315.305833333332</v>
      </c>
      <c r="AG180" s="440">
        <v>21991.200000000001</v>
      </c>
      <c r="AH180" s="87">
        <f t="shared" si="215"/>
        <v>2675.8941666666688</v>
      </c>
      <c r="AI180" s="452">
        <f t="shared" si="202"/>
        <v>13.85374992120887</v>
      </c>
      <c r="AJ180" s="440">
        <v>19315.305833333332</v>
      </c>
      <c r="AK180" s="440">
        <v>22028.11</v>
      </c>
      <c r="AL180" s="96">
        <f t="shared" si="192"/>
        <v>2712.8041666666686</v>
      </c>
      <c r="AM180" s="453">
        <f t="shared" si="203"/>
        <v>14.044841899345206</v>
      </c>
      <c r="AN180" s="440">
        <v>19315.305833333332</v>
      </c>
      <c r="AO180" s="46">
        <v>26637.15</v>
      </c>
      <c r="AP180" s="96">
        <f t="shared" si="193"/>
        <v>7321.8441666666695</v>
      </c>
      <c r="AQ180" s="452">
        <f t="shared" si="204"/>
        <v>37.906954359640622</v>
      </c>
      <c r="AR180" s="440">
        <v>19315.305833333332</v>
      </c>
      <c r="AS180" s="46">
        <v>15591.91</v>
      </c>
      <c r="AT180" s="96">
        <f t="shared" si="194"/>
        <v>-3723.3958333333321</v>
      </c>
      <c r="AU180" s="448">
        <f t="shared" si="205"/>
        <v>-19.276918861453861</v>
      </c>
      <c r="AV180" s="440">
        <v>19315.305833333332</v>
      </c>
      <c r="AW180" s="440">
        <v>20196.169999999998</v>
      </c>
      <c r="AX180" s="96">
        <f t="shared" si="195"/>
        <v>880.86416666666628</v>
      </c>
      <c r="AY180" s="449">
        <f t="shared" si="206"/>
        <v>4.5604463852004784</v>
      </c>
      <c r="AZ180" s="440">
        <v>19315.305833333332</v>
      </c>
      <c r="BA180" s="46">
        <v>20223</v>
      </c>
      <c r="BB180" s="87">
        <f t="shared" si="209"/>
        <v>907.69416666666802</v>
      </c>
      <c r="BC180" s="448">
        <f t="shared" si="207"/>
        <v>4.6993517705539833</v>
      </c>
      <c r="BD180" s="868">
        <f t="shared" si="208"/>
        <v>241535.35666666669</v>
      </c>
      <c r="BE180" s="188">
        <f t="shared" si="196"/>
        <v>257534.65000000002</v>
      </c>
      <c r="BF180" s="118"/>
      <c r="BG180" s="828"/>
      <c r="BH180" s="804"/>
    </row>
    <row r="181" spans="2:60" s="119" customFormat="1" x14ac:dyDescent="0.25">
      <c r="B181" s="170">
        <v>11983</v>
      </c>
      <c r="C181" s="135">
        <v>242</v>
      </c>
      <c r="D181" s="152" t="s">
        <v>218</v>
      </c>
      <c r="E181" s="341"/>
      <c r="F181" s="536"/>
      <c r="G181" s="328"/>
      <c r="H181" s="440">
        <v>1663.533375</v>
      </c>
      <c r="I181" s="87">
        <v>1605.23</v>
      </c>
      <c r="J181" s="443">
        <f t="shared" si="190"/>
        <v>-58.30337499999996</v>
      </c>
      <c r="K181" s="450">
        <f t="shared" si="191"/>
        <v>-3.5047914202502861</v>
      </c>
      <c r="L181" s="86">
        <v>1663.533375</v>
      </c>
      <c r="M181" s="87">
        <v>1605.23</v>
      </c>
      <c r="N181" s="87">
        <f t="shared" si="210"/>
        <v>-58.30337499999996</v>
      </c>
      <c r="O181" s="452">
        <f t="shared" si="197"/>
        <v>-3.5047914202502861</v>
      </c>
      <c r="P181" s="440">
        <v>1663.533375</v>
      </c>
      <c r="Q181" s="87">
        <v>1605.23</v>
      </c>
      <c r="R181" s="87">
        <f t="shared" si="211"/>
        <v>-58.30337499999996</v>
      </c>
      <c r="S181" s="453">
        <f t="shared" si="198"/>
        <v>-3.5047914202502861</v>
      </c>
      <c r="T181" s="440">
        <v>1663.533375</v>
      </c>
      <c r="U181" s="87">
        <v>1605.23</v>
      </c>
      <c r="V181" s="87">
        <f t="shared" si="212"/>
        <v>-58.30337499999996</v>
      </c>
      <c r="W181" s="452">
        <f t="shared" si="199"/>
        <v>-3.5047914202502861</v>
      </c>
      <c r="X181" s="440">
        <v>1663.533375</v>
      </c>
      <c r="Y181" s="87">
        <v>1605.23</v>
      </c>
      <c r="Z181" s="87">
        <f t="shared" si="213"/>
        <v>-58.30337499999996</v>
      </c>
      <c r="AA181" s="453">
        <f t="shared" si="200"/>
        <v>-3.5047914202502861</v>
      </c>
      <c r="AB181" s="440">
        <v>1663.533375</v>
      </c>
      <c r="AC181" s="853">
        <v>1605.23</v>
      </c>
      <c r="AD181" s="87">
        <f t="shared" si="214"/>
        <v>-58.30337499999996</v>
      </c>
      <c r="AE181" s="453">
        <f t="shared" si="201"/>
        <v>-3.5047914202502861</v>
      </c>
      <c r="AF181" s="440">
        <v>1663.533375</v>
      </c>
      <c r="AG181" s="440">
        <v>1605.23</v>
      </c>
      <c r="AH181" s="87">
        <f t="shared" si="215"/>
        <v>-58.30337499999996</v>
      </c>
      <c r="AI181" s="452">
        <f t="shared" si="202"/>
        <v>-3.5047914202502861</v>
      </c>
      <c r="AJ181" s="440">
        <v>1663.533375</v>
      </c>
      <c r="AK181" s="440">
        <v>1605.23</v>
      </c>
      <c r="AL181" s="96">
        <f t="shared" si="192"/>
        <v>-58.30337499999996</v>
      </c>
      <c r="AM181" s="453">
        <f t="shared" si="203"/>
        <v>-3.5047914202502861</v>
      </c>
      <c r="AN181" s="440">
        <v>1663.533375</v>
      </c>
      <c r="AO181" s="46">
        <v>1814.23</v>
      </c>
      <c r="AP181" s="96">
        <f t="shared" si="193"/>
        <v>150.69662500000004</v>
      </c>
      <c r="AQ181" s="452">
        <f t="shared" si="204"/>
        <v>9.0588278699247571</v>
      </c>
      <c r="AR181" s="440">
        <v>1663.533375</v>
      </c>
      <c r="AS181" s="46">
        <v>1814.23</v>
      </c>
      <c r="AT181" s="96">
        <f t="shared" si="194"/>
        <v>150.69662500000004</v>
      </c>
      <c r="AU181" s="448">
        <f t="shared" si="205"/>
        <v>9.0588278699247571</v>
      </c>
      <c r="AV181" s="440">
        <v>1663.533375</v>
      </c>
      <c r="AW181" s="440">
        <v>1814.23</v>
      </c>
      <c r="AX181" s="96">
        <f t="shared" si="195"/>
        <v>150.69662500000004</v>
      </c>
      <c r="AY181" s="449">
        <f t="shared" si="206"/>
        <v>9.0588278699247571</v>
      </c>
      <c r="AZ181" s="440">
        <v>1663.533375</v>
      </c>
      <c r="BA181" s="46">
        <v>1814.23</v>
      </c>
      <c r="BB181" s="87">
        <f t="shared" si="209"/>
        <v>150.69662500000004</v>
      </c>
      <c r="BC181" s="448">
        <f t="shared" si="207"/>
        <v>9.0588278699247571</v>
      </c>
      <c r="BD181" s="868">
        <f t="shared" si="208"/>
        <v>19729.186999999994</v>
      </c>
      <c r="BE181" s="188">
        <f t="shared" si="196"/>
        <v>20098.759999999998</v>
      </c>
      <c r="BF181" s="118"/>
      <c r="BG181" s="805"/>
      <c r="BH181" s="804"/>
    </row>
    <row r="182" spans="2:60" s="119" customFormat="1" x14ac:dyDescent="0.25">
      <c r="B182" s="170">
        <v>11704</v>
      </c>
      <c r="C182" s="135">
        <v>214</v>
      </c>
      <c r="D182" s="152" t="s">
        <v>109</v>
      </c>
      <c r="E182" s="341"/>
      <c r="F182" s="536"/>
      <c r="G182" s="328"/>
      <c r="H182" s="440">
        <v>6556.3924999999999</v>
      </c>
      <c r="I182" s="87">
        <v>6525</v>
      </c>
      <c r="J182" s="443">
        <f t="shared" si="190"/>
        <v>-31.392499999999927</v>
      </c>
      <c r="K182" s="450">
        <f t="shared" si="191"/>
        <v>-0.47880751495582574</v>
      </c>
      <c r="L182" s="86">
        <v>6556.3924999999999</v>
      </c>
      <c r="M182" s="87">
        <v>8032.2</v>
      </c>
      <c r="N182" s="87">
        <f t="shared" si="210"/>
        <v>1475.8074999999999</v>
      </c>
      <c r="O182" s="452">
        <f t="shared" si="197"/>
        <v>22.509444027336677</v>
      </c>
      <c r="P182" s="440">
        <v>6556.3924999999999</v>
      </c>
      <c r="Q182" s="87">
        <v>6369.4</v>
      </c>
      <c r="R182" s="87">
        <f t="shared" si="211"/>
        <v>-186.99250000000029</v>
      </c>
      <c r="S182" s="453">
        <f t="shared" si="198"/>
        <v>-2.8520638445608704</v>
      </c>
      <c r="T182" s="440">
        <v>6556.3924999999999</v>
      </c>
      <c r="U182" s="87">
        <v>4580</v>
      </c>
      <c r="V182" s="87">
        <f t="shared" si="212"/>
        <v>-1976.3924999999999</v>
      </c>
      <c r="W182" s="452">
        <f t="shared" si="199"/>
        <v>-30.144511635018802</v>
      </c>
      <c r="X182" s="440">
        <v>6556.3924999999999</v>
      </c>
      <c r="Y182" s="87">
        <v>4680</v>
      </c>
      <c r="Z182" s="87">
        <f t="shared" si="213"/>
        <v>-1876.3924999999999</v>
      </c>
      <c r="AA182" s="453">
        <f t="shared" si="200"/>
        <v>-28.619282631416588</v>
      </c>
      <c r="AB182" s="440">
        <v>6556.3924999999999</v>
      </c>
      <c r="AC182" s="853">
        <v>5710</v>
      </c>
      <c r="AD182" s="87">
        <f t="shared" si="214"/>
        <v>-846.39249999999993</v>
      </c>
      <c r="AE182" s="453">
        <f t="shared" si="201"/>
        <v>-12.909423894313832</v>
      </c>
      <c r="AF182" s="440">
        <v>6556.3924999999999</v>
      </c>
      <c r="AG182" s="440">
        <v>7018</v>
      </c>
      <c r="AH182" s="87">
        <f t="shared" si="215"/>
        <v>461.60750000000007</v>
      </c>
      <c r="AI182" s="452">
        <f t="shared" si="202"/>
        <v>7.040571472803081</v>
      </c>
      <c r="AJ182" s="440">
        <v>6556.3924999999999</v>
      </c>
      <c r="AK182" s="440">
        <v>6521</v>
      </c>
      <c r="AL182" s="96">
        <f t="shared" si="192"/>
        <v>-35.392499999999927</v>
      </c>
      <c r="AM182" s="453">
        <f t="shared" si="203"/>
        <v>-0.53981667509991338</v>
      </c>
      <c r="AN182" s="440">
        <v>6556.3924999999999</v>
      </c>
      <c r="AO182" s="46">
        <v>6549</v>
      </c>
      <c r="AP182" s="96">
        <f t="shared" si="193"/>
        <v>-7.3924999999999272</v>
      </c>
      <c r="AQ182" s="452">
        <f t="shared" si="204"/>
        <v>-0.11275255409128881</v>
      </c>
      <c r="AR182" s="440">
        <v>6556.3924999999999</v>
      </c>
      <c r="AS182" s="46">
        <v>8022</v>
      </c>
      <c r="AT182" s="96">
        <f t="shared" si="194"/>
        <v>1465.6075000000001</v>
      </c>
      <c r="AU182" s="448">
        <f t="shared" si="205"/>
        <v>22.353870668969257</v>
      </c>
      <c r="AV182" s="440">
        <v>6556.3924999999999</v>
      </c>
      <c r="AW182" s="440">
        <v>4352</v>
      </c>
      <c r="AX182" s="96">
        <f t="shared" si="195"/>
        <v>-2204.3924999999999</v>
      </c>
      <c r="AY182" s="449">
        <f t="shared" si="206"/>
        <v>-33.62203376323184</v>
      </c>
      <c r="AZ182" s="440">
        <v>6556.3924999999999</v>
      </c>
      <c r="BA182" s="46">
        <v>11417</v>
      </c>
      <c r="BB182" s="87">
        <f t="shared" si="209"/>
        <v>4860.6075000000001</v>
      </c>
      <c r="BC182" s="448">
        <f t="shared" si="207"/>
        <v>74.135395341264271</v>
      </c>
      <c r="BD182" s="868">
        <f t="shared" si="208"/>
        <v>77957.740000000005</v>
      </c>
      <c r="BE182" s="188">
        <f t="shared" si="196"/>
        <v>79775.600000000006</v>
      </c>
      <c r="BF182" s="118"/>
      <c r="BG182" s="805"/>
      <c r="BH182" s="804"/>
    </row>
    <row r="183" spans="2:60" s="119" customFormat="1" x14ac:dyDescent="0.25">
      <c r="B183" s="170">
        <v>12314</v>
      </c>
      <c r="C183" s="135">
        <v>233</v>
      </c>
      <c r="D183" s="152" t="s">
        <v>325</v>
      </c>
      <c r="E183" s="341"/>
      <c r="F183" s="536"/>
      <c r="G183" s="328"/>
      <c r="H183" s="440">
        <v>1649.2612500000002</v>
      </c>
      <c r="I183" s="87">
        <v>3637.62</v>
      </c>
      <c r="J183" s="443">
        <f t="shared" si="190"/>
        <v>1988.3587499999996</v>
      </c>
      <c r="K183" s="450">
        <f t="shared" si="191"/>
        <v>120.56056916392106</v>
      </c>
      <c r="L183" s="86">
        <v>1649.2612500000002</v>
      </c>
      <c r="M183" s="87">
        <v>11234.55</v>
      </c>
      <c r="N183" s="87">
        <f t="shared" si="210"/>
        <v>9585.2887499999997</v>
      </c>
      <c r="O183" s="452">
        <f t="shared" si="197"/>
        <v>581.18680409183185</v>
      </c>
      <c r="P183" s="440">
        <v>1649.2612500000002</v>
      </c>
      <c r="Q183" s="87">
        <v>50</v>
      </c>
      <c r="R183" s="87">
        <f t="shared" si="211"/>
        <v>-1599.2612500000002</v>
      </c>
      <c r="S183" s="453">
        <f t="shared" si="198"/>
        <v>-96.968339612659918</v>
      </c>
      <c r="T183" s="440">
        <v>1649.2612500000002</v>
      </c>
      <c r="U183" s="87">
        <v>356.02</v>
      </c>
      <c r="V183" s="87">
        <f t="shared" si="212"/>
        <v>-1293.2412500000003</v>
      </c>
      <c r="W183" s="452">
        <f t="shared" si="199"/>
        <v>-78.413365377983638</v>
      </c>
      <c r="X183" s="440">
        <v>1649.2612500000002</v>
      </c>
      <c r="Y183" s="87">
        <v>42.33</v>
      </c>
      <c r="Z183" s="87">
        <f t="shared" si="213"/>
        <v>-1606.9312500000003</v>
      </c>
      <c r="AA183" s="453">
        <f t="shared" si="200"/>
        <v>-97.433396316077875</v>
      </c>
      <c r="AB183" s="440">
        <v>1649.2612500000002</v>
      </c>
      <c r="AC183" s="853">
        <v>71657.490000000005</v>
      </c>
      <c r="AD183" s="87">
        <f t="shared" si="214"/>
        <v>70008.228750000009</v>
      </c>
      <c r="AE183" s="453">
        <f t="shared" si="201"/>
        <v>4244.8234777843718</v>
      </c>
      <c r="AF183" s="440">
        <v>1649.2612500000002</v>
      </c>
      <c r="AG183" s="440">
        <v>11470.37</v>
      </c>
      <c r="AH183" s="87">
        <f t="shared" si="215"/>
        <v>9821.1087500000012</v>
      </c>
      <c r="AI183" s="452">
        <f t="shared" si="202"/>
        <v>595.48532714268276</v>
      </c>
      <c r="AJ183" s="440">
        <v>1649.2612500000002</v>
      </c>
      <c r="AK183" s="440">
        <v>7342.51</v>
      </c>
      <c r="AL183" s="96">
        <f t="shared" si="192"/>
        <v>5693.2487499999997</v>
      </c>
      <c r="AM183" s="453">
        <f t="shared" si="203"/>
        <v>345.19993421296948</v>
      </c>
      <c r="AN183" s="440">
        <v>1649.2612500000002</v>
      </c>
      <c r="AO183" s="46">
        <v>1196.6099999999999</v>
      </c>
      <c r="AP183" s="96">
        <f t="shared" si="193"/>
        <v>-452.65125000000035</v>
      </c>
      <c r="AQ183" s="452">
        <f t="shared" si="204"/>
        <v>-27.445697278099534</v>
      </c>
      <c r="AR183" s="440">
        <v>1649.2612500000002</v>
      </c>
      <c r="AS183" s="46">
        <v>146.83000000000001</v>
      </c>
      <c r="AT183" s="96">
        <f t="shared" si="194"/>
        <v>-1502.4312500000003</v>
      </c>
      <c r="AU183" s="448">
        <f t="shared" si="205"/>
        <v>-91.097226106537093</v>
      </c>
      <c r="AV183" s="440">
        <v>1649.2612500000002</v>
      </c>
      <c r="AW183" s="440">
        <v>179751.67</v>
      </c>
      <c r="AX183" s="96">
        <f t="shared" si="195"/>
        <v>178102.40875</v>
      </c>
      <c r="AY183" s="449">
        <f t="shared" si="206"/>
        <v>10798.920349944558</v>
      </c>
      <c r="AZ183" s="440">
        <v>1649.2612500000002</v>
      </c>
      <c r="BA183" s="46">
        <v>775</v>
      </c>
      <c r="BB183" s="87">
        <f t="shared" si="209"/>
        <v>-874.26125000000025</v>
      </c>
      <c r="BC183" s="448">
        <f t="shared" si="207"/>
        <v>-53.009263996228626</v>
      </c>
      <c r="BD183" s="868">
        <f t="shared" si="208"/>
        <v>28472.28</v>
      </c>
      <c r="BE183" s="188">
        <f t="shared" si="196"/>
        <v>287661</v>
      </c>
      <c r="BF183" s="118"/>
      <c r="BG183" s="805"/>
      <c r="BH183" s="804"/>
    </row>
    <row r="184" spans="2:60" s="119" customFormat="1" x14ac:dyDescent="0.25">
      <c r="B184" s="170">
        <v>11259</v>
      </c>
      <c r="C184" s="135">
        <v>169</v>
      </c>
      <c r="D184" s="152" t="s">
        <v>110</v>
      </c>
      <c r="E184" s="341"/>
      <c r="F184" s="536"/>
      <c r="G184" s="328"/>
      <c r="H184" s="440">
        <v>29.980125000000008</v>
      </c>
      <c r="I184" s="87">
        <v>765.3</v>
      </c>
      <c r="J184" s="443">
        <f t="shared" si="190"/>
        <v>735.31987499999991</v>
      </c>
      <c r="K184" s="450">
        <f t="shared" si="191"/>
        <v>2452.6911578921026</v>
      </c>
      <c r="L184" s="86">
        <v>29.980125000000008</v>
      </c>
      <c r="M184" s="87">
        <v>5073.13</v>
      </c>
      <c r="N184" s="87">
        <f t="shared" si="210"/>
        <v>5043.1498750000001</v>
      </c>
      <c r="O184" s="452">
        <f t="shared" si="197"/>
        <v>16821.64392243194</v>
      </c>
      <c r="P184" s="440">
        <v>29.980125000000008</v>
      </c>
      <c r="Q184" s="87">
        <v>0</v>
      </c>
      <c r="R184" s="87">
        <f t="shared" si="211"/>
        <v>-29.980125000000008</v>
      </c>
      <c r="S184" s="453">
        <f t="shared" si="198"/>
        <v>-100</v>
      </c>
      <c r="T184" s="440">
        <v>29.980125000000008</v>
      </c>
      <c r="U184" s="87">
        <v>-5832.92</v>
      </c>
      <c r="V184" s="87">
        <f t="shared" si="212"/>
        <v>-5862.9001250000001</v>
      </c>
      <c r="W184" s="452">
        <f t="shared" si="199"/>
        <v>-19555.95623767412</v>
      </c>
      <c r="X184" s="440">
        <v>29.980125000000008</v>
      </c>
      <c r="Y184" s="87">
        <v>0</v>
      </c>
      <c r="Z184" s="87">
        <f t="shared" si="213"/>
        <v>-29.980125000000008</v>
      </c>
      <c r="AA184" s="453">
        <f t="shared" si="200"/>
        <v>-100</v>
      </c>
      <c r="AB184" s="440">
        <v>29.980125000000008</v>
      </c>
      <c r="AC184" s="853">
        <v>0</v>
      </c>
      <c r="AD184" s="87">
        <f t="shared" si="214"/>
        <v>-29.980125000000008</v>
      </c>
      <c r="AE184" s="453">
        <f t="shared" si="201"/>
        <v>-100</v>
      </c>
      <c r="AF184" s="440">
        <v>29.980125000000008</v>
      </c>
      <c r="AG184" s="440">
        <v>0.99</v>
      </c>
      <c r="AH184" s="87">
        <f t="shared" si="215"/>
        <v>-28.99012500000001</v>
      </c>
      <c r="AI184" s="452">
        <f t="shared" si="202"/>
        <v>-96.697812300649176</v>
      </c>
      <c r="AJ184" s="440">
        <v>29.980125000000008</v>
      </c>
      <c r="AK184" s="440">
        <v>5.32</v>
      </c>
      <c r="AL184" s="96">
        <f t="shared" si="192"/>
        <v>-24.660125000000008</v>
      </c>
      <c r="AM184" s="453">
        <f t="shared" si="203"/>
        <v>-82.254910544902671</v>
      </c>
      <c r="AN184" s="440">
        <v>29.980125000000008</v>
      </c>
      <c r="AO184" s="46">
        <v>5.42</v>
      </c>
      <c r="AP184" s="96">
        <f t="shared" si="193"/>
        <v>-24.560125000000006</v>
      </c>
      <c r="AQ184" s="452">
        <f t="shared" si="204"/>
        <v>-81.921356231836924</v>
      </c>
      <c r="AR184" s="440">
        <v>29.980125000000008</v>
      </c>
      <c r="AS184" s="46">
        <v>5.22</v>
      </c>
      <c r="AT184" s="96">
        <f t="shared" si="194"/>
        <v>-24.760125000000009</v>
      </c>
      <c r="AU184" s="448">
        <f t="shared" si="205"/>
        <v>-82.588464857968418</v>
      </c>
      <c r="AV184" s="440">
        <v>29.980125000000008</v>
      </c>
      <c r="AW184" s="440">
        <v>5.59</v>
      </c>
      <c r="AX184" s="96">
        <f t="shared" si="195"/>
        <v>-24.390125000000008</v>
      </c>
      <c r="AY184" s="449">
        <f t="shared" si="206"/>
        <v>-81.354313899625168</v>
      </c>
      <c r="AZ184" s="440">
        <v>29.980125000000008</v>
      </c>
      <c r="BA184" s="46">
        <v>40.799999999999997</v>
      </c>
      <c r="BB184" s="87">
        <f t="shared" si="209"/>
        <v>10.819874999999989</v>
      </c>
      <c r="BC184" s="448">
        <f t="shared" si="207"/>
        <v>36.090159730821611</v>
      </c>
      <c r="BD184" s="868">
        <f t="shared" si="208"/>
        <v>245.35100000000034</v>
      </c>
      <c r="BE184" s="188">
        <f t="shared" si="196"/>
        <v>68.850000000000222</v>
      </c>
      <c r="BF184" s="118"/>
      <c r="BG184" s="805"/>
      <c r="BH184" s="804"/>
    </row>
    <row r="185" spans="2:60" s="119" customFormat="1" x14ac:dyDescent="0.25">
      <c r="B185" s="170">
        <v>51872</v>
      </c>
      <c r="C185" s="135">
        <v>215</v>
      </c>
      <c r="D185" s="152" t="s">
        <v>219</v>
      </c>
      <c r="E185" s="341"/>
      <c r="F185" s="553"/>
      <c r="G185" s="328"/>
      <c r="H185" s="440">
        <v>60000</v>
      </c>
      <c r="I185" s="87">
        <v>120000</v>
      </c>
      <c r="J185" s="443">
        <f t="shared" si="190"/>
        <v>60000</v>
      </c>
      <c r="K185" s="450">
        <f t="shared" si="191"/>
        <v>100</v>
      </c>
      <c r="L185" s="86">
        <v>60000</v>
      </c>
      <c r="M185" s="87">
        <v>0</v>
      </c>
      <c r="N185" s="87">
        <f t="shared" si="210"/>
        <v>-60000</v>
      </c>
      <c r="O185" s="452">
        <f t="shared" si="197"/>
        <v>-100</v>
      </c>
      <c r="P185" s="440">
        <v>60000</v>
      </c>
      <c r="Q185" s="87">
        <v>54716.72</v>
      </c>
      <c r="R185" s="87">
        <f t="shared" si="211"/>
        <v>-5283.2799999999988</v>
      </c>
      <c r="S185" s="453">
        <f t="shared" si="198"/>
        <v>-8.8054666666666606</v>
      </c>
      <c r="T185" s="440">
        <v>0</v>
      </c>
      <c r="U185" s="87">
        <v>0</v>
      </c>
      <c r="V185" s="87">
        <f t="shared" si="212"/>
        <v>0</v>
      </c>
      <c r="W185" s="452"/>
      <c r="X185" s="440">
        <v>0</v>
      </c>
      <c r="Y185" s="87">
        <v>0</v>
      </c>
      <c r="Z185" s="87">
        <f t="shared" si="213"/>
        <v>0</v>
      </c>
      <c r="AA185" s="453"/>
      <c r="AB185" s="440">
        <v>0</v>
      </c>
      <c r="AC185" s="853">
        <v>0</v>
      </c>
      <c r="AD185" s="87">
        <f t="shared" si="214"/>
        <v>0</v>
      </c>
      <c r="AE185" s="453"/>
      <c r="AF185" s="440">
        <v>0</v>
      </c>
      <c r="AG185" s="440">
        <v>0</v>
      </c>
      <c r="AH185" s="87">
        <f t="shared" si="215"/>
        <v>0</v>
      </c>
      <c r="AI185" s="452"/>
      <c r="AJ185" s="440">
        <v>0</v>
      </c>
      <c r="AK185" s="440">
        <v>0</v>
      </c>
      <c r="AL185" s="96">
        <f t="shared" si="192"/>
        <v>0</v>
      </c>
      <c r="AM185" s="453"/>
      <c r="AN185" s="440">
        <v>0</v>
      </c>
      <c r="AO185" s="46">
        <v>0</v>
      </c>
      <c r="AP185" s="96">
        <f t="shared" si="193"/>
        <v>0</v>
      </c>
      <c r="AQ185" s="452">
        <v>0</v>
      </c>
      <c r="AR185" s="440">
        <v>0</v>
      </c>
      <c r="AS185" s="46" t="s">
        <v>3681</v>
      </c>
      <c r="AT185" s="96">
        <f t="shared" si="194"/>
        <v>0</v>
      </c>
      <c r="AU185" s="448">
        <v>0</v>
      </c>
      <c r="AV185" s="440">
        <v>0</v>
      </c>
      <c r="AW185" s="440">
        <v>0</v>
      </c>
      <c r="AX185" s="96">
        <f t="shared" si="195"/>
        <v>0</v>
      </c>
      <c r="AY185" s="449"/>
      <c r="AZ185" s="440">
        <v>0</v>
      </c>
      <c r="BA185" s="46">
        <v>50000</v>
      </c>
      <c r="BB185" s="87">
        <f t="shared" si="209"/>
        <v>50000</v>
      </c>
      <c r="BC185" s="448"/>
      <c r="BD185" s="868">
        <f t="shared" si="208"/>
        <v>174716.72</v>
      </c>
      <c r="BE185" s="188">
        <f t="shared" si="196"/>
        <v>224716.72</v>
      </c>
      <c r="BF185" s="118"/>
      <c r="BG185" s="805"/>
      <c r="BH185" s="804"/>
    </row>
    <row r="186" spans="2:60" s="119" customFormat="1" x14ac:dyDescent="0.25">
      <c r="B186" s="170">
        <v>11563</v>
      </c>
      <c r="C186" s="135"/>
      <c r="D186" s="152" t="s">
        <v>3679</v>
      </c>
      <c r="E186" s="341"/>
      <c r="F186" s="553"/>
      <c r="G186" s="328"/>
      <c r="H186" s="440">
        <v>11025</v>
      </c>
      <c r="I186" s="87">
        <v>11266.52</v>
      </c>
      <c r="J186" s="443">
        <f t="shared" si="190"/>
        <v>241.52000000000044</v>
      </c>
      <c r="K186" s="450"/>
      <c r="L186" s="86">
        <v>11025</v>
      </c>
      <c r="M186" s="87">
        <v>11266.52</v>
      </c>
      <c r="N186" s="87">
        <f t="shared" si="210"/>
        <v>241.52000000000044</v>
      </c>
      <c r="O186" s="452">
        <v>0</v>
      </c>
      <c r="P186" s="440">
        <v>11025</v>
      </c>
      <c r="Q186" s="87">
        <v>11266.52</v>
      </c>
      <c r="R186" s="87">
        <f t="shared" si="211"/>
        <v>241.52000000000044</v>
      </c>
      <c r="S186" s="453">
        <f t="shared" si="198"/>
        <v>2.1906575963718922</v>
      </c>
      <c r="T186" s="440">
        <v>11025</v>
      </c>
      <c r="U186" s="87">
        <v>14066.52</v>
      </c>
      <c r="V186" s="87"/>
      <c r="W186" s="452"/>
      <c r="X186" s="440">
        <v>11025</v>
      </c>
      <c r="Y186" s="87">
        <v>14066.52</v>
      </c>
      <c r="Z186" s="87">
        <f t="shared" si="213"/>
        <v>3041.5200000000004</v>
      </c>
      <c r="AA186" s="453">
        <f t="shared" si="200"/>
        <v>27.587482993197288</v>
      </c>
      <c r="AB186" s="440">
        <v>11025</v>
      </c>
      <c r="AC186" s="853">
        <v>59789.22</v>
      </c>
      <c r="AD186" s="87">
        <f t="shared" si="214"/>
        <v>48764.22</v>
      </c>
      <c r="AE186" s="453">
        <f t="shared" si="201"/>
        <v>442.30585034013609</v>
      </c>
      <c r="AF186" s="440">
        <v>11025</v>
      </c>
      <c r="AG186" s="440">
        <v>57171.97</v>
      </c>
      <c r="AH186" s="87">
        <f t="shared" si="215"/>
        <v>46146.97</v>
      </c>
      <c r="AI186" s="452">
        <f t="shared" si="202"/>
        <v>418.56662131519278</v>
      </c>
      <c r="AJ186" s="440">
        <v>11025</v>
      </c>
      <c r="AK186" s="440">
        <v>57171.97</v>
      </c>
      <c r="AL186" s="96"/>
      <c r="AM186" s="453"/>
      <c r="AN186" s="440">
        <v>11025</v>
      </c>
      <c r="AO186" s="46">
        <v>57171.99</v>
      </c>
      <c r="AP186" s="96">
        <f>AO186-AN186</f>
        <v>46146.99</v>
      </c>
      <c r="AQ186" s="452">
        <f>((AO186/AN186)-1)*100</f>
        <v>418.56680272108838</v>
      </c>
      <c r="AR186" s="440">
        <v>11025</v>
      </c>
      <c r="AS186" s="46">
        <v>57171.97</v>
      </c>
      <c r="AT186" s="96">
        <f t="shared" si="194"/>
        <v>46146.97</v>
      </c>
      <c r="AU186" s="448">
        <f t="shared" si="205"/>
        <v>418.56662131519278</v>
      </c>
      <c r="AV186" s="440">
        <v>11025</v>
      </c>
      <c r="AW186" s="440">
        <v>57171.97</v>
      </c>
      <c r="AX186" s="96">
        <f t="shared" si="195"/>
        <v>46146.97</v>
      </c>
      <c r="AY186" s="449">
        <f t="shared" si="206"/>
        <v>418.56662131519278</v>
      </c>
      <c r="AZ186" s="440">
        <v>11025</v>
      </c>
      <c r="BA186" s="46">
        <v>57171.97</v>
      </c>
      <c r="BB186" s="87">
        <f t="shared" si="209"/>
        <v>46146.97</v>
      </c>
      <c r="BC186" s="448">
        <f t="shared" si="207"/>
        <v>418.56662131519278</v>
      </c>
      <c r="BD186" s="868">
        <f t="shared" si="208"/>
        <v>136066.08000000002</v>
      </c>
      <c r="BE186" s="188">
        <f t="shared" si="196"/>
        <v>464753.65999999992</v>
      </c>
      <c r="BF186" s="118"/>
      <c r="BG186" s="805"/>
      <c r="BH186" s="804"/>
    </row>
    <row r="187" spans="2:60" s="119" customFormat="1" x14ac:dyDescent="0.25">
      <c r="B187" s="170">
        <v>11516</v>
      </c>
      <c r="C187" s="135">
        <v>288</v>
      </c>
      <c r="D187" s="152" t="s">
        <v>326</v>
      </c>
      <c r="E187" s="341"/>
      <c r="F187" s="536"/>
      <c r="G187" s="328"/>
      <c r="H187" s="440">
        <v>1567.780375</v>
      </c>
      <c r="I187" s="87">
        <v>1247.3900000000001</v>
      </c>
      <c r="J187" s="443">
        <f t="shared" si="190"/>
        <v>-320.39037499999995</v>
      </c>
      <c r="K187" s="450">
        <f t="shared" ref="K187:K197" si="216">((I187/H187)-1)*100</f>
        <v>-20.435922027662834</v>
      </c>
      <c r="L187" s="86">
        <v>1567.780375</v>
      </c>
      <c r="M187" s="87">
        <v>1247.3900000000001</v>
      </c>
      <c r="N187" s="87">
        <f t="shared" si="210"/>
        <v>-320.39037499999995</v>
      </c>
      <c r="O187" s="452">
        <f t="shared" si="197"/>
        <v>-20.435922027662834</v>
      </c>
      <c r="P187" s="440">
        <v>1567.780375</v>
      </c>
      <c r="Q187" s="87">
        <v>1247.3900000000001</v>
      </c>
      <c r="R187" s="87">
        <f t="shared" si="211"/>
        <v>-320.39037499999995</v>
      </c>
      <c r="S187" s="453">
        <f t="shared" si="198"/>
        <v>-20.435922027662834</v>
      </c>
      <c r="T187" s="440">
        <v>1567.780375</v>
      </c>
      <c r="U187" s="87">
        <v>1247.3900000000001</v>
      </c>
      <c r="V187" s="87">
        <f t="shared" si="212"/>
        <v>-320.39037499999995</v>
      </c>
      <c r="W187" s="452">
        <f t="shared" si="199"/>
        <v>-20.435922027662834</v>
      </c>
      <c r="X187" s="440">
        <v>1567.780375</v>
      </c>
      <c r="Y187" s="87">
        <v>1247.3900000000001</v>
      </c>
      <c r="Z187" s="87">
        <f t="shared" si="213"/>
        <v>-320.39037499999995</v>
      </c>
      <c r="AA187" s="453">
        <f t="shared" si="200"/>
        <v>-20.435922027662834</v>
      </c>
      <c r="AB187" s="440">
        <v>1567.780375</v>
      </c>
      <c r="AC187" s="853">
        <v>1247.3900000000001</v>
      </c>
      <c r="AD187" s="87">
        <f t="shared" si="214"/>
        <v>-320.39037499999995</v>
      </c>
      <c r="AE187" s="453">
        <f t="shared" si="201"/>
        <v>-20.435922027662834</v>
      </c>
      <c r="AF187" s="440">
        <v>1567.780375</v>
      </c>
      <c r="AG187" s="440">
        <v>1247.3900000000001</v>
      </c>
      <c r="AH187" s="87">
        <f t="shared" si="215"/>
        <v>-320.39037499999995</v>
      </c>
      <c r="AI187" s="452">
        <f t="shared" si="202"/>
        <v>-20.435922027662834</v>
      </c>
      <c r="AJ187" s="440">
        <v>1567.780375</v>
      </c>
      <c r="AK187" s="440">
        <v>1247.3900000000001</v>
      </c>
      <c r="AL187" s="96">
        <f t="shared" si="192"/>
        <v>-320.39037499999995</v>
      </c>
      <c r="AM187" s="453">
        <f t="shared" si="203"/>
        <v>-20.435922027662834</v>
      </c>
      <c r="AN187" s="440">
        <v>1567.780375</v>
      </c>
      <c r="AO187" s="46">
        <v>1247.3900000000001</v>
      </c>
      <c r="AP187" s="96">
        <f t="shared" si="193"/>
        <v>-320.39037499999995</v>
      </c>
      <c r="AQ187" s="452">
        <f t="shared" si="204"/>
        <v>-20.435922027662834</v>
      </c>
      <c r="AR187" s="440">
        <v>1567.780375</v>
      </c>
      <c r="AS187" s="46">
        <v>1247.3900000000001</v>
      </c>
      <c r="AT187" s="96">
        <f t="shared" si="194"/>
        <v>-320.39037499999995</v>
      </c>
      <c r="AU187" s="448">
        <f t="shared" si="205"/>
        <v>-20.435922027662834</v>
      </c>
      <c r="AV187" s="440">
        <v>1567.780375</v>
      </c>
      <c r="AW187" s="440">
        <v>1313</v>
      </c>
      <c r="AX187" s="96">
        <f t="shared" si="195"/>
        <v>-254.78037500000005</v>
      </c>
      <c r="AY187" s="449">
        <f t="shared" si="206"/>
        <v>-16.251024637299729</v>
      </c>
      <c r="AZ187" s="440">
        <v>1567.780375</v>
      </c>
      <c r="BA187" s="46">
        <v>1313</v>
      </c>
      <c r="BB187" s="87">
        <f t="shared" si="209"/>
        <v>-254.78037500000005</v>
      </c>
      <c r="BC187" s="448">
        <f t="shared" si="207"/>
        <v>-16.251024637299729</v>
      </c>
      <c r="BD187" s="868">
        <f t="shared" si="208"/>
        <v>17531.803</v>
      </c>
      <c r="BE187" s="188">
        <f t="shared" si="196"/>
        <v>15099.9</v>
      </c>
      <c r="BF187" s="118"/>
      <c r="BG187" s="805"/>
      <c r="BH187" s="804"/>
    </row>
    <row r="188" spans="2:60" s="119" customFormat="1" x14ac:dyDescent="0.25">
      <c r="B188" s="170">
        <v>53717</v>
      </c>
      <c r="C188" s="135"/>
      <c r="D188" s="152" t="s">
        <v>3683</v>
      </c>
      <c r="E188" s="341"/>
      <c r="F188" s="536"/>
      <c r="G188" s="328"/>
      <c r="H188" s="440"/>
      <c r="I188" s="87"/>
      <c r="J188" s="443"/>
      <c r="K188" s="450"/>
      <c r="L188" s="86"/>
      <c r="M188" s="87"/>
      <c r="N188" s="87"/>
      <c r="O188" s="452"/>
      <c r="P188" s="440"/>
      <c r="Q188" s="87"/>
      <c r="R188" s="87"/>
      <c r="S188" s="453"/>
      <c r="T188" s="440"/>
      <c r="U188" s="87"/>
      <c r="V188" s="87"/>
      <c r="W188" s="452"/>
      <c r="X188" s="440"/>
      <c r="Y188" s="87"/>
      <c r="Z188" s="87"/>
      <c r="AA188" s="453"/>
      <c r="AB188" s="440"/>
      <c r="AC188" s="853"/>
      <c r="AD188" s="87"/>
      <c r="AE188" s="453"/>
      <c r="AF188" s="440"/>
      <c r="AG188" s="440"/>
      <c r="AH188" s="87"/>
      <c r="AI188" s="452"/>
      <c r="AJ188" s="440"/>
      <c r="AK188" s="440"/>
      <c r="AL188" s="96"/>
      <c r="AM188" s="453"/>
      <c r="AN188" s="440"/>
      <c r="AO188" s="46"/>
      <c r="AP188" s="96"/>
      <c r="AQ188" s="452"/>
      <c r="AR188" s="440"/>
      <c r="AS188" s="46"/>
      <c r="AT188" s="96"/>
      <c r="AU188" s="448"/>
      <c r="AV188" s="440">
        <v>0</v>
      </c>
      <c r="AW188" s="440">
        <v>3975.74</v>
      </c>
      <c r="AX188" s="96">
        <f t="shared" si="195"/>
        <v>3975.74</v>
      </c>
      <c r="AY188" s="449"/>
      <c r="AZ188" s="440">
        <v>0</v>
      </c>
      <c r="BA188" s="46">
        <v>0</v>
      </c>
      <c r="BB188" s="87">
        <f t="shared" si="209"/>
        <v>0</v>
      </c>
      <c r="BC188" s="448"/>
      <c r="BD188" s="868"/>
      <c r="BE188" s="188"/>
      <c r="BF188" s="118"/>
      <c r="BG188" s="805"/>
      <c r="BH188" s="804"/>
    </row>
    <row r="189" spans="2:60" s="119" customFormat="1" x14ac:dyDescent="0.25">
      <c r="B189" s="170">
        <v>11522</v>
      </c>
      <c r="C189" s="135">
        <v>289</v>
      </c>
      <c r="D189" s="152" t="s">
        <v>111</v>
      </c>
      <c r="E189" s="341"/>
      <c r="F189" s="536"/>
      <c r="G189" s="328"/>
      <c r="H189" s="440">
        <f>87759.56875-3000-1789.16</f>
        <v>82970.408750000002</v>
      </c>
      <c r="I189" s="87">
        <v>79501.88</v>
      </c>
      <c r="J189" s="443">
        <f t="shared" si="190"/>
        <v>-3468.5287499999977</v>
      </c>
      <c r="K189" s="450">
        <f t="shared" si="216"/>
        <v>-4.1804407164620532</v>
      </c>
      <c r="L189" s="86">
        <v>82970.408750000002</v>
      </c>
      <c r="M189" s="87">
        <v>139239</v>
      </c>
      <c r="N189" s="87">
        <f t="shared" si="210"/>
        <v>56268.591249999998</v>
      </c>
      <c r="O189" s="452">
        <f t="shared" si="197"/>
        <v>67.817661860078516</v>
      </c>
      <c r="P189" s="440">
        <v>82970.408750000002</v>
      </c>
      <c r="Q189" s="87">
        <v>112936.01</v>
      </c>
      <c r="R189" s="87">
        <f t="shared" si="211"/>
        <v>29965.601249999992</v>
      </c>
      <c r="S189" s="453">
        <f t="shared" si="198"/>
        <v>36.116010155247061</v>
      </c>
      <c r="T189" s="440">
        <v>82970.408750000002</v>
      </c>
      <c r="U189" s="87">
        <v>86834.89</v>
      </c>
      <c r="V189" s="87">
        <f t="shared" si="212"/>
        <v>3864.4812499999971</v>
      </c>
      <c r="W189" s="452">
        <f t="shared" si="199"/>
        <v>4.6576620607524655</v>
      </c>
      <c r="X189" s="440">
        <v>82970.408750000002</v>
      </c>
      <c r="Y189" s="87">
        <v>83504.63</v>
      </c>
      <c r="Z189" s="87">
        <f t="shared" si="213"/>
        <v>534.22125000000233</v>
      </c>
      <c r="AA189" s="453">
        <f t="shared" si="200"/>
        <v>0.64386961333369186</v>
      </c>
      <c r="AB189" s="440">
        <v>82970.408750000002</v>
      </c>
      <c r="AC189" s="853">
        <v>118856.91</v>
      </c>
      <c r="AD189" s="87">
        <f t="shared" si="214"/>
        <v>35886.501250000001</v>
      </c>
      <c r="AE189" s="453">
        <f t="shared" si="201"/>
        <v>43.252168804097877</v>
      </c>
      <c r="AF189" s="440">
        <v>82970.408750000002</v>
      </c>
      <c r="AG189" s="440">
        <v>165963.35</v>
      </c>
      <c r="AH189" s="87">
        <f t="shared" si="215"/>
        <v>82992.941250000003</v>
      </c>
      <c r="AI189" s="452">
        <f t="shared" si="202"/>
        <v>100.02715727250168</v>
      </c>
      <c r="AJ189" s="440">
        <v>82970.408750000002</v>
      </c>
      <c r="AK189" s="440">
        <v>114274.42</v>
      </c>
      <c r="AL189" s="96">
        <f t="shared" si="192"/>
        <v>31304.011249999996</v>
      </c>
      <c r="AM189" s="453">
        <f t="shared" si="203"/>
        <v>37.729127434243239</v>
      </c>
      <c r="AN189" s="440">
        <v>82970.408750000002</v>
      </c>
      <c r="AO189" s="46">
        <v>91938.11</v>
      </c>
      <c r="AP189" s="96">
        <f t="shared" si="193"/>
        <v>8967.7012499999983</v>
      </c>
      <c r="AQ189" s="452">
        <f t="shared" si="204"/>
        <v>10.808312728723291</v>
      </c>
      <c r="AR189" s="440">
        <v>82970.408750000002</v>
      </c>
      <c r="AS189" s="46">
        <v>73379.08</v>
      </c>
      <c r="AT189" s="96">
        <f t="shared" si="194"/>
        <v>-9591.3287500000006</v>
      </c>
      <c r="AU189" s="448">
        <f t="shared" si="205"/>
        <v>-11.559939133118945</v>
      </c>
      <c r="AV189" s="440">
        <v>82970.408750000002</v>
      </c>
      <c r="AW189" s="440">
        <v>109765.62</v>
      </c>
      <c r="AX189" s="96">
        <f t="shared" si="195"/>
        <v>26795.211249999993</v>
      </c>
      <c r="AY189" s="449">
        <f t="shared" si="206"/>
        <v>32.294900861266385</v>
      </c>
      <c r="AZ189" s="440">
        <v>82970.408750000002</v>
      </c>
      <c r="BA189" s="46">
        <v>134831.22</v>
      </c>
      <c r="BB189" s="87">
        <f t="shared" si="209"/>
        <v>51860.811249999999</v>
      </c>
      <c r="BC189" s="448">
        <f t="shared" si="207"/>
        <v>62.505189538432873</v>
      </c>
      <c r="BD189" s="868">
        <f t="shared" si="208"/>
        <v>1082275.05</v>
      </c>
      <c r="BE189" s="188">
        <f t="shared" si="196"/>
        <v>1311025.1199999999</v>
      </c>
      <c r="BF189" s="118"/>
      <c r="BG189" s="805"/>
      <c r="BH189" s="804"/>
    </row>
    <row r="190" spans="2:60" s="119" customFormat="1" x14ac:dyDescent="0.25">
      <c r="B190" s="170">
        <v>11527</v>
      </c>
      <c r="C190" s="135">
        <v>323</v>
      </c>
      <c r="D190" s="152" t="s">
        <v>112</v>
      </c>
      <c r="E190" s="341"/>
      <c r="F190" s="536"/>
      <c r="G190" s="328"/>
      <c r="H190" s="440">
        <v>2374.1934999999999</v>
      </c>
      <c r="I190" s="87">
        <v>2531.31</v>
      </c>
      <c r="J190" s="443">
        <f t="shared" si="190"/>
        <v>157.11650000000009</v>
      </c>
      <c r="K190" s="450">
        <f t="shared" si="216"/>
        <v>6.6176788033494471</v>
      </c>
      <c r="L190" s="86">
        <v>2374.1934999999999</v>
      </c>
      <c r="M190" s="87">
        <v>2044.57</v>
      </c>
      <c r="N190" s="87">
        <f t="shared" si="210"/>
        <v>-329.62349999999992</v>
      </c>
      <c r="O190" s="452">
        <f t="shared" si="197"/>
        <v>-13.883598788388563</v>
      </c>
      <c r="P190" s="440">
        <v>2374.1934999999999</v>
      </c>
      <c r="Q190" s="87">
        <v>1992.94</v>
      </c>
      <c r="R190" s="87">
        <f t="shared" si="211"/>
        <v>-381.2534999999998</v>
      </c>
      <c r="S190" s="453">
        <f t="shared" si="198"/>
        <v>-16.058231984882443</v>
      </c>
      <c r="T190" s="440">
        <v>2374.1934999999999</v>
      </c>
      <c r="U190" s="87">
        <v>1954.57</v>
      </c>
      <c r="V190" s="87">
        <f t="shared" si="212"/>
        <v>-419.62349999999992</v>
      </c>
      <c r="W190" s="452">
        <f t="shared" si="199"/>
        <v>-17.67435973521113</v>
      </c>
      <c r="X190" s="440">
        <v>2374.1934999999999</v>
      </c>
      <c r="Y190" s="87">
        <v>2013.03</v>
      </c>
      <c r="Z190" s="87">
        <f t="shared" si="213"/>
        <v>-361.16349999999989</v>
      </c>
      <c r="AA190" s="453">
        <f t="shared" si="200"/>
        <v>-15.212049902419489</v>
      </c>
      <c r="AB190" s="440">
        <v>2374.1934999999999</v>
      </c>
      <c r="AC190" s="853">
        <v>2016.09</v>
      </c>
      <c r="AD190" s="87">
        <f t="shared" si="214"/>
        <v>-358.10349999999994</v>
      </c>
      <c r="AE190" s="453">
        <f t="shared" si="201"/>
        <v>-15.083164030227525</v>
      </c>
      <c r="AF190" s="440">
        <v>2374.1934999999999</v>
      </c>
      <c r="AG190" s="440">
        <v>2127.04</v>
      </c>
      <c r="AH190" s="87">
        <f t="shared" si="215"/>
        <v>-247.15349999999989</v>
      </c>
      <c r="AI190" s="452">
        <f t="shared" si="202"/>
        <v>-10.409998174116808</v>
      </c>
      <c r="AJ190" s="440">
        <v>2374.1934999999999</v>
      </c>
      <c r="AK190" s="440">
        <v>2094.52</v>
      </c>
      <c r="AL190" s="96">
        <f t="shared" si="192"/>
        <v>-279.67349999999988</v>
      </c>
      <c r="AM190" s="453">
        <f t="shared" si="203"/>
        <v>-11.77972646290203</v>
      </c>
      <c r="AN190" s="440">
        <v>2374.1934999999999</v>
      </c>
      <c r="AO190" s="46">
        <v>2077.7800000000002</v>
      </c>
      <c r="AP190" s="96">
        <f t="shared" si="193"/>
        <v>-296.41349999999966</v>
      </c>
      <c r="AQ190" s="452">
        <f t="shared" si="204"/>
        <v>-12.484807999011016</v>
      </c>
      <c r="AR190" s="440">
        <v>2374.1934999999999</v>
      </c>
      <c r="AS190" s="46">
        <v>2185.44</v>
      </c>
      <c r="AT190" s="96">
        <f t="shared" si="194"/>
        <v>-188.7534999999998</v>
      </c>
      <c r="AU190" s="448">
        <f t="shared" si="205"/>
        <v>-7.9502155152897158</v>
      </c>
      <c r="AV190" s="440">
        <v>2374.1934999999999</v>
      </c>
      <c r="AW190" s="440">
        <v>2086.4699999999998</v>
      </c>
      <c r="AX190" s="96">
        <f t="shared" si="195"/>
        <v>-287.72350000000006</v>
      </c>
      <c r="AY190" s="449">
        <f t="shared" si="206"/>
        <v>-12.118788969812277</v>
      </c>
      <c r="AZ190" s="440">
        <v>2375.1934999999999</v>
      </c>
      <c r="BA190" s="46">
        <v>2094.44</v>
      </c>
      <c r="BB190" s="87">
        <f t="shared" si="209"/>
        <v>-280.7534999999998</v>
      </c>
      <c r="BC190" s="448">
        <f t="shared" si="207"/>
        <v>-11.820236961746478</v>
      </c>
      <c r="BD190" s="868">
        <f t="shared" si="208"/>
        <v>27517.937999999998</v>
      </c>
      <c r="BE190" s="188">
        <f t="shared" si="196"/>
        <v>25218.199999999997</v>
      </c>
      <c r="BF190" s="118"/>
      <c r="BG190" s="805"/>
      <c r="BH190" s="804"/>
    </row>
    <row r="191" spans="2:60" s="119" customFormat="1" x14ac:dyDescent="0.25">
      <c r="B191" s="170" t="s">
        <v>113</v>
      </c>
      <c r="C191" s="135" t="s">
        <v>114</v>
      </c>
      <c r="D191" s="152" t="s">
        <v>220</v>
      </c>
      <c r="E191" s="341"/>
      <c r="F191" s="536"/>
      <c r="G191" s="328"/>
      <c r="H191" s="440">
        <v>2000</v>
      </c>
      <c r="I191" s="87">
        <f>0+820</f>
        <v>820</v>
      </c>
      <c r="J191" s="443">
        <f t="shared" si="190"/>
        <v>-1180</v>
      </c>
      <c r="K191" s="450">
        <f t="shared" si="216"/>
        <v>-59.000000000000007</v>
      </c>
      <c r="L191" s="86">
        <v>2000</v>
      </c>
      <c r="M191" s="87">
        <f>382.57+2320</f>
        <v>2702.57</v>
      </c>
      <c r="N191" s="87">
        <f t="shared" si="210"/>
        <v>702.57000000000016</v>
      </c>
      <c r="O191" s="452">
        <f t="shared" si="197"/>
        <v>35.12850000000001</v>
      </c>
      <c r="P191" s="440">
        <v>2000</v>
      </c>
      <c r="Q191" s="87">
        <f>0+1360</f>
        <v>1360</v>
      </c>
      <c r="R191" s="87">
        <f t="shared" si="211"/>
        <v>-640</v>
      </c>
      <c r="S191" s="453">
        <f t="shared" si="198"/>
        <v>-31.999999999999996</v>
      </c>
      <c r="T191" s="440">
        <v>2000</v>
      </c>
      <c r="U191" s="87">
        <v>1290</v>
      </c>
      <c r="V191" s="87">
        <f t="shared" si="212"/>
        <v>-710</v>
      </c>
      <c r="W191" s="452">
        <f t="shared" si="199"/>
        <v>-35.5</v>
      </c>
      <c r="X191" s="440">
        <v>2000</v>
      </c>
      <c r="Y191" s="87">
        <v>860</v>
      </c>
      <c r="Z191" s="87">
        <f t="shared" si="213"/>
        <v>-1140</v>
      </c>
      <c r="AA191" s="453">
        <f t="shared" si="200"/>
        <v>-57.000000000000007</v>
      </c>
      <c r="AB191" s="440">
        <v>2000</v>
      </c>
      <c r="AC191" s="853">
        <v>860</v>
      </c>
      <c r="AD191" s="87">
        <f t="shared" si="214"/>
        <v>-1140</v>
      </c>
      <c r="AE191" s="453">
        <f t="shared" si="201"/>
        <v>-57.000000000000007</v>
      </c>
      <c r="AF191" s="440">
        <v>2000</v>
      </c>
      <c r="AG191" s="440">
        <v>1955</v>
      </c>
      <c r="AH191" s="87">
        <f t="shared" si="215"/>
        <v>-45</v>
      </c>
      <c r="AI191" s="452">
        <f t="shared" si="202"/>
        <v>-2.2499999999999964</v>
      </c>
      <c r="AJ191" s="440">
        <v>2000</v>
      </c>
      <c r="AK191" s="440">
        <v>1575</v>
      </c>
      <c r="AL191" s="96">
        <f t="shared" si="192"/>
        <v>-425</v>
      </c>
      <c r="AM191" s="453">
        <f t="shared" si="203"/>
        <v>-21.250000000000004</v>
      </c>
      <c r="AN191" s="440">
        <v>2000</v>
      </c>
      <c r="AO191" s="46">
        <v>1230</v>
      </c>
      <c r="AP191" s="96">
        <f t="shared" si="193"/>
        <v>-770</v>
      </c>
      <c r="AQ191" s="452">
        <f t="shared" si="204"/>
        <v>-38.5</v>
      </c>
      <c r="AR191" s="440">
        <v>2000</v>
      </c>
      <c r="AS191" s="46">
        <v>1680</v>
      </c>
      <c r="AT191" s="96">
        <f t="shared" si="194"/>
        <v>-320</v>
      </c>
      <c r="AU191" s="448">
        <f t="shared" si="205"/>
        <v>-16.000000000000004</v>
      </c>
      <c r="AV191" s="440">
        <v>2000</v>
      </c>
      <c r="AW191" s="440">
        <v>1138.28</v>
      </c>
      <c r="AX191" s="96">
        <f t="shared" si="195"/>
        <v>-861.72</v>
      </c>
      <c r="AY191" s="449">
        <f t="shared" si="206"/>
        <v>-43.085999999999999</v>
      </c>
      <c r="AZ191" s="440">
        <v>2000</v>
      </c>
      <c r="BA191" s="46">
        <v>1535</v>
      </c>
      <c r="BB191" s="87">
        <f t="shared" si="209"/>
        <v>-465</v>
      </c>
      <c r="BC191" s="448">
        <f t="shared" si="207"/>
        <v>-23.250000000000004</v>
      </c>
      <c r="BD191" s="868">
        <f t="shared" si="208"/>
        <v>22172.57</v>
      </c>
      <c r="BE191" s="188">
        <f t="shared" si="196"/>
        <v>17005.849999999999</v>
      </c>
      <c r="BF191" s="118"/>
      <c r="BG191" s="805"/>
      <c r="BH191" s="804"/>
    </row>
    <row r="192" spans="2:60" s="119" customFormat="1" x14ac:dyDescent="0.25">
      <c r="B192" s="170">
        <v>11534</v>
      </c>
      <c r="C192" s="135">
        <v>222</v>
      </c>
      <c r="D192" s="152" t="s">
        <v>115</v>
      </c>
      <c r="E192" s="341"/>
      <c r="F192" s="536"/>
      <c r="G192" s="328"/>
      <c r="H192" s="440">
        <v>3000</v>
      </c>
      <c r="I192" s="87">
        <v>6088.65</v>
      </c>
      <c r="J192" s="443">
        <f t="shared" si="190"/>
        <v>3088.6499999999996</v>
      </c>
      <c r="K192" s="450">
        <f t="shared" si="216"/>
        <v>102.955</v>
      </c>
      <c r="L192" s="86">
        <v>3000</v>
      </c>
      <c r="M192" s="87">
        <v>1050</v>
      </c>
      <c r="N192" s="87">
        <f t="shared" si="210"/>
        <v>-1950</v>
      </c>
      <c r="O192" s="452">
        <f t="shared" si="197"/>
        <v>-65</v>
      </c>
      <c r="P192" s="440">
        <v>3000</v>
      </c>
      <c r="Q192" s="87">
        <v>5450</v>
      </c>
      <c r="R192" s="87">
        <f t="shared" si="211"/>
        <v>2450</v>
      </c>
      <c r="S192" s="453">
        <f t="shared" si="198"/>
        <v>81.666666666666671</v>
      </c>
      <c r="T192" s="440">
        <v>3000</v>
      </c>
      <c r="U192" s="87">
        <v>350</v>
      </c>
      <c r="V192" s="87">
        <f t="shared" si="212"/>
        <v>-2650</v>
      </c>
      <c r="W192" s="452">
        <f t="shared" si="199"/>
        <v>-88.333333333333329</v>
      </c>
      <c r="X192" s="440">
        <v>3000</v>
      </c>
      <c r="Y192" s="87">
        <v>-1300</v>
      </c>
      <c r="Z192" s="87">
        <f t="shared" si="213"/>
        <v>-4300</v>
      </c>
      <c r="AA192" s="453">
        <f t="shared" si="200"/>
        <v>-143.33333333333334</v>
      </c>
      <c r="AB192" s="440">
        <v>3000</v>
      </c>
      <c r="AC192" s="853">
        <v>1050</v>
      </c>
      <c r="AD192" s="87">
        <f t="shared" si="214"/>
        <v>-1950</v>
      </c>
      <c r="AE192" s="453">
        <f t="shared" si="201"/>
        <v>-65</v>
      </c>
      <c r="AF192" s="440">
        <v>3000</v>
      </c>
      <c r="AG192" s="440">
        <v>1059.95</v>
      </c>
      <c r="AH192" s="87">
        <f t="shared" si="215"/>
        <v>-1940.05</v>
      </c>
      <c r="AI192" s="452">
        <f t="shared" si="202"/>
        <v>-64.668333333333322</v>
      </c>
      <c r="AJ192" s="440">
        <v>3000</v>
      </c>
      <c r="AK192" s="440">
        <v>1750</v>
      </c>
      <c r="AL192" s="96">
        <f t="shared" si="192"/>
        <v>-1250</v>
      </c>
      <c r="AM192" s="453">
        <f t="shared" si="203"/>
        <v>-41.666666666666664</v>
      </c>
      <c r="AN192" s="440">
        <v>3000</v>
      </c>
      <c r="AO192" s="46">
        <v>1304.28</v>
      </c>
      <c r="AP192" s="96">
        <f t="shared" si="193"/>
        <v>-1695.72</v>
      </c>
      <c r="AQ192" s="452">
        <f t="shared" si="204"/>
        <v>-56.523999999999994</v>
      </c>
      <c r="AR192" s="440">
        <v>3000</v>
      </c>
      <c r="AS192" s="46">
        <v>2940.92</v>
      </c>
      <c r="AT192" s="96">
        <f t="shared" si="194"/>
        <v>-59.079999999999927</v>
      </c>
      <c r="AU192" s="448">
        <f t="shared" si="205"/>
        <v>-1.969333333333334</v>
      </c>
      <c r="AV192" s="440">
        <v>3000</v>
      </c>
      <c r="AW192" s="440">
        <v>2560.92</v>
      </c>
      <c r="AX192" s="96">
        <f t="shared" si="195"/>
        <v>-439.07999999999993</v>
      </c>
      <c r="AY192" s="449">
        <f t="shared" si="206"/>
        <v>-14.635999999999994</v>
      </c>
      <c r="AZ192" s="440">
        <v>3000</v>
      </c>
      <c r="BA192" s="46">
        <v>1280.46</v>
      </c>
      <c r="BB192" s="87">
        <f t="shared" si="209"/>
        <v>-1719.54</v>
      </c>
      <c r="BC192" s="448">
        <f t="shared" si="207"/>
        <v>-57.318000000000005</v>
      </c>
      <c r="BD192" s="868">
        <f t="shared" si="208"/>
        <v>36938.65</v>
      </c>
      <c r="BE192" s="188">
        <f t="shared" si="196"/>
        <v>23585.18</v>
      </c>
      <c r="BF192" s="118"/>
      <c r="BG192" s="805"/>
      <c r="BH192" s="804"/>
    </row>
    <row r="193" spans="2:63" s="119" customFormat="1" x14ac:dyDescent="0.25">
      <c r="B193" s="170">
        <v>38908</v>
      </c>
      <c r="C193" s="135">
        <v>246</v>
      </c>
      <c r="D193" s="152" t="s">
        <v>221</v>
      </c>
      <c r="E193" s="341"/>
      <c r="F193" s="554"/>
      <c r="G193" s="555"/>
      <c r="H193" s="441">
        <v>-83495.272499999992</v>
      </c>
      <c r="I193" s="103">
        <v>-60330.91</v>
      </c>
      <c r="J193" s="443">
        <f t="shared" si="190"/>
        <v>23164.362499999988</v>
      </c>
      <c r="K193" s="450">
        <f t="shared" si="216"/>
        <v>-27.743322234201926</v>
      </c>
      <c r="L193" s="444">
        <v>-83495.272499999992</v>
      </c>
      <c r="M193" s="817">
        <v>-65381.11</v>
      </c>
      <c r="N193" s="87">
        <f t="shared" si="210"/>
        <v>18114.162499999991</v>
      </c>
      <c r="O193" s="452">
        <f t="shared" si="197"/>
        <v>-21.694836075898781</v>
      </c>
      <c r="P193" s="441">
        <v>-83495.272499999992</v>
      </c>
      <c r="Q193" s="103">
        <v>-62919.16</v>
      </c>
      <c r="R193" s="87">
        <f t="shared" si="211"/>
        <v>20576.112499999988</v>
      </c>
      <c r="S193" s="453">
        <f t="shared" si="198"/>
        <v>-24.643446130438097</v>
      </c>
      <c r="T193" s="441">
        <v>-83495.272499999992</v>
      </c>
      <c r="U193" s="103">
        <v>-102813.75</v>
      </c>
      <c r="V193" s="87">
        <f t="shared" si="212"/>
        <v>-19318.477500000008</v>
      </c>
      <c r="W193" s="452">
        <f t="shared" si="199"/>
        <v>23.137211151685278</v>
      </c>
      <c r="X193" s="441">
        <v>-83495.272499999992</v>
      </c>
      <c r="Y193" s="103">
        <v>-58890.7</v>
      </c>
      <c r="Z193" s="87">
        <f t="shared" si="213"/>
        <v>24604.572499999995</v>
      </c>
      <c r="AA193" s="453">
        <f t="shared" si="200"/>
        <v>-29.468222287675026</v>
      </c>
      <c r="AB193" s="441">
        <v>-83495.272499999992</v>
      </c>
      <c r="AC193" s="856">
        <v>-67898.38</v>
      </c>
      <c r="AD193" s="87">
        <f t="shared" si="214"/>
        <v>15596.892499999987</v>
      </c>
      <c r="AE193" s="453">
        <f t="shared" si="201"/>
        <v>-18.679970773195553</v>
      </c>
      <c r="AF193" s="441">
        <v>-83495.272499999992</v>
      </c>
      <c r="AG193" s="440">
        <v>-56506.3</v>
      </c>
      <c r="AH193" s="87">
        <f t="shared" si="215"/>
        <v>26988.972499999989</v>
      </c>
      <c r="AI193" s="452">
        <f t="shared" si="202"/>
        <v>-32.323952832179806</v>
      </c>
      <c r="AJ193" s="441">
        <v>-83495.272499999992</v>
      </c>
      <c r="AK193" s="440">
        <v>-57509.63</v>
      </c>
      <c r="AL193" s="96">
        <f t="shared" si="192"/>
        <v>25985.642499999994</v>
      </c>
      <c r="AM193" s="453">
        <f t="shared" si="203"/>
        <v>-31.122291983656915</v>
      </c>
      <c r="AN193" s="441">
        <v>-83495.272499999992</v>
      </c>
      <c r="AO193" s="454">
        <v>-57117.279999999999</v>
      </c>
      <c r="AP193" s="96">
        <f t="shared" si="193"/>
        <v>26377.992499999993</v>
      </c>
      <c r="AQ193" s="452">
        <f t="shared" si="204"/>
        <v>-31.592198827783925</v>
      </c>
      <c r="AR193" s="441">
        <v>-83495.272499999992</v>
      </c>
      <c r="AS193" s="454">
        <v>-57957.74</v>
      </c>
      <c r="AT193" s="96">
        <f t="shared" si="194"/>
        <v>25537.532499999994</v>
      </c>
      <c r="AU193" s="448">
        <f t="shared" si="205"/>
        <v>-30.585602915422538</v>
      </c>
      <c r="AV193" s="441">
        <v>-83495.272499999992</v>
      </c>
      <c r="AW193" s="440">
        <v>-59840.4</v>
      </c>
      <c r="AX193" s="96">
        <f t="shared" si="195"/>
        <v>23654.87249999999</v>
      </c>
      <c r="AY193" s="449">
        <f t="shared" si="206"/>
        <v>-28.330792620624113</v>
      </c>
      <c r="AZ193" s="441">
        <v>-83495.272499999992</v>
      </c>
      <c r="BA193" s="454">
        <v>-58265</v>
      </c>
      <c r="BB193" s="87">
        <f t="shared" si="209"/>
        <v>25230.272499999992</v>
      </c>
      <c r="BC193" s="448">
        <f t="shared" si="207"/>
        <v>-30.217606032724774</v>
      </c>
      <c r="BD193" s="868">
        <f t="shared" si="208"/>
        <v>-959407.10999999987</v>
      </c>
      <c r="BE193" s="233">
        <f t="shared" si="196"/>
        <v>-765430.36</v>
      </c>
      <c r="BF193" s="118"/>
      <c r="BG193" s="805"/>
      <c r="BH193" s="804"/>
    </row>
    <row r="194" spans="2:63" s="119" customFormat="1" x14ac:dyDescent="0.25">
      <c r="B194" s="170">
        <v>11611</v>
      </c>
      <c r="C194" s="135">
        <v>173</v>
      </c>
      <c r="D194" s="152" t="s">
        <v>329</v>
      </c>
      <c r="E194" s="341"/>
      <c r="F194" s="536"/>
      <c r="G194" s="328"/>
      <c r="H194" s="440">
        <v>1000</v>
      </c>
      <c r="I194" s="87">
        <v>251.16</v>
      </c>
      <c r="J194" s="443">
        <f t="shared" si="190"/>
        <v>-748.84</v>
      </c>
      <c r="K194" s="450">
        <f t="shared" si="216"/>
        <v>-74.884</v>
      </c>
      <c r="L194" s="86">
        <v>1000</v>
      </c>
      <c r="M194" s="87">
        <v>48</v>
      </c>
      <c r="N194" s="87">
        <f t="shared" si="210"/>
        <v>-952</v>
      </c>
      <c r="O194" s="452">
        <f t="shared" si="197"/>
        <v>-95.199999999999989</v>
      </c>
      <c r="P194" s="440">
        <v>1000</v>
      </c>
      <c r="Q194" s="87">
        <v>286.83</v>
      </c>
      <c r="R194" s="87">
        <f t="shared" si="211"/>
        <v>-713.17000000000007</v>
      </c>
      <c r="S194" s="453">
        <f t="shared" si="198"/>
        <v>-71.317000000000007</v>
      </c>
      <c r="T194" s="440">
        <v>1000</v>
      </c>
      <c r="U194" s="87">
        <v>0</v>
      </c>
      <c r="V194" s="87">
        <f t="shared" si="212"/>
        <v>-1000</v>
      </c>
      <c r="W194" s="452">
        <f t="shared" si="199"/>
        <v>-100</v>
      </c>
      <c r="X194" s="440">
        <v>1000</v>
      </c>
      <c r="Y194" s="87">
        <v>99.71</v>
      </c>
      <c r="Z194" s="87">
        <f t="shared" si="213"/>
        <v>-900.29</v>
      </c>
      <c r="AA194" s="453">
        <f t="shared" si="200"/>
        <v>-90.028999999999996</v>
      </c>
      <c r="AB194" s="440">
        <v>1000</v>
      </c>
      <c r="AC194" s="853">
        <v>0</v>
      </c>
      <c r="AD194" s="87">
        <f t="shared" si="214"/>
        <v>-1000</v>
      </c>
      <c r="AE194" s="453">
        <f t="shared" si="201"/>
        <v>-100</v>
      </c>
      <c r="AF194" s="440">
        <v>1000</v>
      </c>
      <c r="AG194" s="440">
        <v>311.92</v>
      </c>
      <c r="AH194" s="87">
        <f t="shared" si="215"/>
        <v>-688.07999999999993</v>
      </c>
      <c r="AI194" s="452">
        <f t="shared" si="202"/>
        <v>-68.808000000000007</v>
      </c>
      <c r="AJ194" s="440">
        <v>1000</v>
      </c>
      <c r="AK194" s="440">
        <v>29.37</v>
      </c>
      <c r="AL194" s="96">
        <f t="shared" si="192"/>
        <v>-970.63</v>
      </c>
      <c r="AM194" s="453">
        <f t="shared" si="203"/>
        <v>-97.063000000000002</v>
      </c>
      <c r="AN194" s="440">
        <v>1000</v>
      </c>
      <c r="AO194" s="46">
        <v>-29.37</v>
      </c>
      <c r="AP194" s="96">
        <f t="shared" si="193"/>
        <v>-1029.3699999999999</v>
      </c>
      <c r="AQ194" s="452">
        <f t="shared" si="204"/>
        <v>-102.93699999999998</v>
      </c>
      <c r="AR194" s="440">
        <v>1000</v>
      </c>
      <c r="AS194" s="46">
        <v>83.35</v>
      </c>
      <c r="AT194" s="96">
        <f t="shared" si="194"/>
        <v>-916.65</v>
      </c>
      <c r="AU194" s="448">
        <f t="shared" si="205"/>
        <v>-91.664999999999992</v>
      </c>
      <c r="AV194" s="440">
        <v>1000</v>
      </c>
      <c r="AW194" s="440">
        <v>0</v>
      </c>
      <c r="AX194" s="96">
        <f t="shared" si="195"/>
        <v>-1000</v>
      </c>
      <c r="AY194" s="449">
        <f t="shared" si="206"/>
        <v>-100</v>
      </c>
      <c r="AZ194" s="440">
        <v>1000</v>
      </c>
      <c r="BA194" s="46">
        <v>0</v>
      </c>
      <c r="BB194" s="87">
        <f t="shared" si="209"/>
        <v>-1000</v>
      </c>
      <c r="BC194" s="448">
        <f t="shared" si="207"/>
        <v>-100</v>
      </c>
      <c r="BD194" s="868">
        <f t="shared" si="208"/>
        <v>8585.99</v>
      </c>
      <c r="BE194" s="188">
        <f t="shared" si="196"/>
        <v>1080.97</v>
      </c>
      <c r="BF194" s="118"/>
      <c r="BG194" s="805"/>
      <c r="BH194" s="804"/>
    </row>
    <row r="195" spans="2:63" s="119" customFormat="1" x14ac:dyDescent="0.25">
      <c r="B195" s="170">
        <v>11820</v>
      </c>
      <c r="C195" s="135">
        <v>39</v>
      </c>
      <c r="D195" s="152" t="s">
        <v>330</v>
      </c>
      <c r="E195" s="341"/>
      <c r="F195" s="536"/>
      <c r="G195" s="328"/>
      <c r="H195" s="440">
        <v>1</v>
      </c>
      <c r="I195" s="87">
        <v>3169.67</v>
      </c>
      <c r="J195" s="443">
        <f t="shared" si="190"/>
        <v>3168.67</v>
      </c>
      <c r="K195" s="450">
        <f t="shared" si="216"/>
        <v>316867</v>
      </c>
      <c r="L195" s="86">
        <v>1502.7158333333334</v>
      </c>
      <c r="M195" s="87">
        <v>10679.91</v>
      </c>
      <c r="N195" s="87">
        <f t="shared" si="210"/>
        <v>9177.1941666666662</v>
      </c>
      <c r="O195" s="452">
        <f t="shared" si="197"/>
        <v>610.70722508524841</v>
      </c>
      <c r="P195" s="440">
        <v>1502.7158333333334</v>
      </c>
      <c r="Q195" s="87">
        <v>4035.89</v>
      </c>
      <c r="R195" s="87">
        <f t="shared" si="211"/>
        <v>2533.1741666666667</v>
      </c>
      <c r="S195" s="453">
        <f t="shared" si="198"/>
        <v>168.57306687503012</v>
      </c>
      <c r="T195" s="440">
        <v>1502.7158333333334</v>
      </c>
      <c r="U195" s="87">
        <v>350</v>
      </c>
      <c r="V195" s="87">
        <f t="shared" si="212"/>
        <v>-1152.7158333333334</v>
      </c>
      <c r="W195" s="452">
        <f t="shared" si="199"/>
        <v>-76.708836611934288</v>
      </c>
      <c r="X195" s="440">
        <v>1502.7158333333334</v>
      </c>
      <c r="Y195" s="87">
        <v>350</v>
      </c>
      <c r="Z195" s="87">
        <f t="shared" si="213"/>
        <v>-1152.7158333333334</v>
      </c>
      <c r="AA195" s="453">
        <f t="shared" si="200"/>
        <v>-76.708836611934288</v>
      </c>
      <c r="AB195" s="440">
        <v>1502.7158333333334</v>
      </c>
      <c r="AC195" s="853">
        <v>1090.81</v>
      </c>
      <c r="AD195" s="87">
        <f t="shared" si="214"/>
        <v>-411.90583333333348</v>
      </c>
      <c r="AE195" s="453">
        <f t="shared" si="201"/>
        <v>-27.410760184754391</v>
      </c>
      <c r="AF195" s="440">
        <v>1502.7158333333334</v>
      </c>
      <c r="AG195" s="440">
        <v>0</v>
      </c>
      <c r="AH195" s="87">
        <f t="shared" si="215"/>
        <v>-1502.7158333333334</v>
      </c>
      <c r="AI195" s="452">
        <f t="shared" si="202"/>
        <v>-100</v>
      </c>
      <c r="AJ195" s="440">
        <v>1502.7158333333334</v>
      </c>
      <c r="AK195" s="440">
        <v>0</v>
      </c>
      <c r="AL195" s="96"/>
      <c r="AM195" s="453">
        <f t="shared" si="203"/>
        <v>-100</v>
      </c>
      <c r="AN195" s="440">
        <v>1502.7158333333334</v>
      </c>
      <c r="AO195" s="46">
        <v>0</v>
      </c>
      <c r="AP195" s="96">
        <f t="shared" si="193"/>
        <v>-1502.7158333333334</v>
      </c>
      <c r="AQ195" s="452">
        <f t="shared" si="204"/>
        <v>-100</v>
      </c>
      <c r="AR195" s="440">
        <v>1502.7158333333334</v>
      </c>
      <c r="AS195" s="46">
        <v>3939.47</v>
      </c>
      <c r="AT195" s="96">
        <f t="shared" si="194"/>
        <v>2436.7541666666666</v>
      </c>
      <c r="AU195" s="448">
        <f t="shared" si="205"/>
        <v>162.15668409252356</v>
      </c>
      <c r="AV195" s="440">
        <v>1502.7158333333334</v>
      </c>
      <c r="AW195" s="440">
        <v>840</v>
      </c>
      <c r="AX195" s="96">
        <f t="shared" si="195"/>
        <v>-662.71583333333342</v>
      </c>
      <c r="AY195" s="449">
        <f t="shared" si="206"/>
        <v>-44.101207868642277</v>
      </c>
      <c r="AZ195" s="440">
        <v>1502.7158333333334</v>
      </c>
      <c r="BA195" s="46">
        <v>2725.74</v>
      </c>
      <c r="BB195" s="87">
        <f t="shared" si="209"/>
        <v>1223.0241666666664</v>
      </c>
      <c r="BC195" s="448">
        <f t="shared" si="207"/>
        <v>81.387587695389271</v>
      </c>
      <c r="BD195" s="868">
        <f t="shared" si="208"/>
        <v>30257.19666666667</v>
      </c>
      <c r="BE195" s="188">
        <f t="shared" si="196"/>
        <v>27181.490000000005</v>
      </c>
      <c r="BF195" s="118"/>
      <c r="BG195" s="805"/>
      <c r="BH195" s="804"/>
    </row>
    <row r="196" spans="2:63" s="119" customFormat="1" x14ac:dyDescent="0.25">
      <c r="B196" s="170">
        <v>11908</v>
      </c>
      <c r="C196" s="135">
        <v>263</v>
      </c>
      <c r="D196" s="152" t="s">
        <v>225</v>
      </c>
      <c r="E196" s="341"/>
      <c r="F196" s="536"/>
      <c r="G196" s="328"/>
      <c r="H196" s="440"/>
      <c r="I196" s="87">
        <v>0</v>
      </c>
      <c r="J196" s="443">
        <f t="shared" si="190"/>
        <v>0</v>
      </c>
      <c r="K196" s="450"/>
      <c r="L196" s="86"/>
      <c r="M196" s="87">
        <v>0</v>
      </c>
      <c r="N196" s="87">
        <f t="shared" si="210"/>
        <v>0</v>
      </c>
      <c r="O196" s="452"/>
      <c r="P196" s="440"/>
      <c r="Q196" s="87">
        <v>0</v>
      </c>
      <c r="R196" s="87">
        <f t="shared" si="211"/>
        <v>0</v>
      </c>
      <c r="S196" s="453"/>
      <c r="T196" s="440"/>
      <c r="U196" s="87">
        <v>0</v>
      </c>
      <c r="V196" s="87">
        <f t="shared" si="212"/>
        <v>0</v>
      </c>
      <c r="W196" s="452"/>
      <c r="X196" s="440"/>
      <c r="Y196" s="87">
        <v>0</v>
      </c>
      <c r="Z196" s="87">
        <f t="shared" si="213"/>
        <v>0</v>
      </c>
      <c r="AA196" s="453"/>
      <c r="AB196" s="440"/>
      <c r="AC196" s="853">
        <v>0</v>
      </c>
      <c r="AD196" s="87">
        <f t="shared" si="214"/>
        <v>0</v>
      </c>
      <c r="AE196" s="453"/>
      <c r="AF196" s="440"/>
      <c r="AG196" s="440">
        <v>0</v>
      </c>
      <c r="AH196" s="87">
        <f t="shared" si="215"/>
        <v>0</v>
      </c>
      <c r="AI196" s="452"/>
      <c r="AJ196" s="440">
        <v>0</v>
      </c>
      <c r="AK196" s="440">
        <v>0</v>
      </c>
      <c r="AL196" s="87">
        <f t="shared" si="192"/>
        <v>0</v>
      </c>
      <c r="AM196" s="453"/>
      <c r="AN196" s="440"/>
      <c r="AO196" s="46">
        <v>0</v>
      </c>
      <c r="AP196" s="96">
        <f t="shared" si="193"/>
        <v>0</v>
      </c>
      <c r="AQ196" s="452">
        <v>0</v>
      </c>
      <c r="AR196" s="440"/>
      <c r="AS196" s="46" t="s">
        <v>3681</v>
      </c>
      <c r="AT196" s="96">
        <f t="shared" si="194"/>
        <v>0</v>
      </c>
      <c r="AU196" s="448">
        <v>0</v>
      </c>
      <c r="AV196" s="440"/>
      <c r="AW196" s="440">
        <v>0</v>
      </c>
      <c r="AX196" s="96">
        <f t="shared" si="195"/>
        <v>0</v>
      </c>
      <c r="AY196" s="449"/>
      <c r="AZ196" s="440"/>
      <c r="BA196" s="46">
        <v>226105.15</v>
      </c>
      <c r="BB196" s="87">
        <f t="shared" si="209"/>
        <v>226105.15</v>
      </c>
      <c r="BC196" s="448"/>
      <c r="BD196" s="868">
        <f t="shared" si="208"/>
        <v>0</v>
      </c>
      <c r="BE196" s="188">
        <f t="shared" si="196"/>
        <v>226105.15</v>
      </c>
      <c r="BF196" s="118"/>
      <c r="BG196" s="805"/>
      <c r="BH196" s="804"/>
    </row>
    <row r="197" spans="2:63" s="119" customFormat="1" x14ac:dyDescent="0.25">
      <c r="B197" s="170">
        <v>53474</v>
      </c>
      <c r="C197" s="135"/>
      <c r="D197" s="152" t="s">
        <v>140</v>
      </c>
      <c r="E197" s="341"/>
      <c r="F197" s="536"/>
      <c r="G197" s="328"/>
      <c r="H197" s="440">
        <v>20000</v>
      </c>
      <c r="I197" s="87">
        <v>26971.279999999999</v>
      </c>
      <c r="J197" s="443">
        <f t="shared" si="190"/>
        <v>6971.2799999999988</v>
      </c>
      <c r="K197" s="450">
        <f t="shared" si="216"/>
        <v>34.856399999999987</v>
      </c>
      <c r="L197" s="86">
        <v>20000</v>
      </c>
      <c r="M197" s="87">
        <v>22006.05</v>
      </c>
      <c r="N197" s="87">
        <f t="shared" si="210"/>
        <v>2006.0499999999993</v>
      </c>
      <c r="O197" s="452">
        <f t="shared" si="197"/>
        <v>10.030249999999995</v>
      </c>
      <c r="P197" s="440">
        <v>20000</v>
      </c>
      <c r="Q197" s="87">
        <v>21183.38</v>
      </c>
      <c r="R197" s="87">
        <f t="shared" si="211"/>
        <v>1183.380000000001</v>
      </c>
      <c r="S197" s="453">
        <f t="shared" si="198"/>
        <v>5.9169000000000027</v>
      </c>
      <c r="T197" s="440">
        <v>20000</v>
      </c>
      <c r="U197" s="87">
        <v>8476.57</v>
      </c>
      <c r="V197" s="87">
        <f t="shared" si="212"/>
        <v>-11523.43</v>
      </c>
      <c r="W197" s="452">
        <f t="shared" si="199"/>
        <v>-57.617150000000009</v>
      </c>
      <c r="X197" s="440">
        <v>8000</v>
      </c>
      <c r="Y197" s="87">
        <v>7977.67</v>
      </c>
      <c r="Z197" s="87">
        <f t="shared" si="213"/>
        <v>-22.329999999999927</v>
      </c>
      <c r="AA197" s="453">
        <f t="shared" si="200"/>
        <v>-0.27912500000000229</v>
      </c>
      <c r="AB197" s="440">
        <v>8000</v>
      </c>
      <c r="AC197" s="853">
        <v>7977.67</v>
      </c>
      <c r="AD197" s="87">
        <f t="shared" si="214"/>
        <v>-22.329999999999927</v>
      </c>
      <c r="AE197" s="453">
        <f t="shared" si="201"/>
        <v>-0.27912500000000229</v>
      </c>
      <c r="AF197" s="440">
        <v>8000</v>
      </c>
      <c r="AG197" s="440">
        <v>2827.97</v>
      </c>
      <c r="AH197" s="87">
        <f t="shared" si="215"/>
        <v>-5172.0300000000007</v>
      </c>
      <c r="AI197" s="452">
        <f t="shared" si="202"/>
        <v>-64.650375000000011</v>
      </c>
      <c r="AJ197" s="440">
        <v>0</v>
      </c>
      <c r="AK197" s="440">
        <v>0</v>
      </c>
      <c r="AL197" s="87">
        <f t="shared" si="192"/>
        <v>0</v>
      </c>
      <c r="AM197" s="453"/>
      <c r="AN197" s="440"/>
      <c r="AO197" s="46">
        <v>2827.67</v>
      </c>
      <c r="AP197" s="96">
        <f t="shared" si="193"/>
        <v>2827.67</v>
      </c>
      <c r="AQ197" s="452">
        <v>0</v>
      </c>
      <c r="AR197" s="440"/>
      <c r="AS197" s="46">
        <v>5655.34</v>
      </c>
      <c r="AT197" s="96">
        <f t="shared" si="194"/>
        <v>5655.34</v>
      </c>
      <c r="AU197" s="448">
        <v>0</v>
      </c>
      <c r="AV197" s="440"/>
      <c r="AW197" s="440">
        <v>2827.67</v>
      </c>
      <c r="AX197" s="96">
        <f t="shared" si="195"/>
        <v>2827.67</v>
      </c>
      <c r="AY197" s="449"/>
      <c r="AZ197" s="440"/>
      <c r="BA197" s="46">
        <v>1419</v>
      </c>
      <c r="BB197" s="87">
        <f t="shared" si="209"/>
        <v>1419</v>
      </c>
      <c r="BC197" s="448"/>
      <c r="BD197" s="868">
        <f t="shared" si="208"/>
        <v>102637.28</v>
      </c>
      <c r="BE197" s="188">
        <f t="shared" si="196"/>
        <v>110150.26999999999</v>
      </c>
      <c r="BF197" s="118"/>
      <c r="BG197" s="805"/>
      <c r="BH197" s="804"/>
    </row>
    <row r="198" spans="2:63" s="119" customFormat="1" x14ac:dyDescent="0.25">
      <c r="B198" s="366" t="s">
        <v>3626</v>
      </c>
      <c r="C198" s="367"/>
      <c r="D198" s="329" t="s">
        <v>3625</v>
      </c>
      <c r="E198" s="154"/>
      <c r="F198" s="556"/>
      <c r="G198" s="108"/>
      <c r="H198" s="442">
        <v>24012.504250000002</v>
      </c>
      <c r="I198" s="87">
        <f>3069.16+13949.94</f>
        <v>17019.099999999999</v>
      </c>
      <c r="J198" s="443">
        <f t="shared" si="190"/>
        <v>-6993.4042500000032</v>
      </c>
      <c r="K198" s="450">
        <v>0</v>
      </c>
      <c r="L198" s="83">
        <v>24012.504250000002</v>
      </c>
      <c r="M198" s="85">
        <f>19438.27+13949.94</f>
        <v>33388.21</v>
      </c>
      <c r="N198" s="87">
        <f t="shared" si="210"/>
        <v>9375.7057499999974</v>
      </c>
      <c r="O198" s="452">
        <v>0</v>
      </c>
      <c r="P198" s="442">
        <v>24012.504250000002</v>
      </c>
      <c r="Q198" s="85">
        <f>16997.88+13949.94</f>
        <v>30947.82</v>
      </c>
      <c r="R198" s="87">
        <f t="shared" si="211"/>
        <v>6935.3157499999979</v>
      </c>
      <c r="S198" s="455"/>
      <c r="T198" s="442">
        <v>24012.504250000002</v>
      </c>
      <c r="U198" s="85">
        <v>32866.94</v>
      </c>
      <c r="V198" s="85"/>
      <c r="W198" s="456"/>
      <c r="X198" s="442">
        <v>30000</v>
      </c>
      <c r="Y198" s="85">
        <f>9790.89+13949.94</f>
        <v>23740.83</v>
      </c>
      <c r="Z198" s="87">
        <f t="shared" si="213"/>
        <v>-6259.1699999999983</v>
      </c>
      <c r="AA198" s="453">
        <f t="shared" si="200"/>
        <v>-20.86389999999999</v>
      </c>
      <c r="AB198" s="442">
        <v>30000</v>
      </c>
      <c r="AC198" s="853">
        <v>21182.28</v>
      </c>
      <c r="AD198" s="87">
        <f t="shared" si="214"/>
        <v>-8817.7200000000012</v>
      </c>
      <c r="AE198" s="453">
        <f t="shared" si="201"/>
        <v>-29.392400000000009</v>
      </c>
      <c r="AF198" s="442">
        <v>30000</v>
      </c>
      <c r="AG198" s="440">
        <v>24367.31</v>
      </c>
      <c r="AH198" s="440">
        <f t="shared" si="215"/>
        <v>-5632.6899999999987</v>
      </c>
      <c r="AI198" s="452">
        <v>0</v>
      </c>
      <c r="AJ198" s="442">
        <v>30000</v>
      </c>
      <c r="AK198" s="440">
        <v>24064.03</v>
      </c>
      <c r="AL198" s="87">
        <f t="shared" si="192"/>
        <v>-5935.9700000000012</v>
      </c>
      <c r="AM198" s="453">
        <f t="shared" si="203"/>
        <v>-19.786566666666673</v>
      </c>
      <c r="AN198" s="442">
        <v>30000</v>
      </c>
      <c r="AO198" s="457">
        <v>24781.439999999999</v>
      </c>
      <c r="AP198" s="96">
        <f>AO198-AN198</f>
        <v>-5218.5600000000013</v>
      </c>
      <c r="AQ198" s="452">
        <f>((AO198/AN198)-1)*100</f>
        <v>-17.395199999999999</v>
      </c>
      <c r="AR198" s="442">
        <v>30000</v>
      </c>
      <c r="AS198" s="457">
        <v>25259.23</v>
      </c>
      <c r="AT198" s="96">
        <f t="shared" si="194"/>
        <v>-4740.7700000000004</v>
      </c>
      <c r="AU198" s="448">
        <f t="shared" si="205"/>
        <v>-15.802566666666673</v>
      </c>
      <c r="AV198" s="442">
        <v>30000</v>
      </c>
      <c r="AW198" s="440">
        <v>26345.9</v>
      </c>
      <c r="AX198" s="96">
        <f t="shared" si="195"/>
        <v>-3654.0999999999985</v>
      </c>
      <c r="AY198" s="449">
        <f t="shared" si="206"/>
        <v>-12.180333333333326</v>
      </c>
      <c r="AZ198" s="442">
        <v>30000</v>
      </c>
      <c r="BA198" s="457">
        <v>24899.31</v>
      </c>
      <c r="BB198" s="87">
        <f>BA198-AZ198</f>
        <v>-5100.6899999999987</v>
      </c>
      <c r="BC198" s="448">
        <f>((BA198/AZ198)-1)*100</f>
        <v>-17.002299999999991</v>
      </c>
      <c r="BD198" s="868">
        <f t="shared" si="208"/>
        <v>354222.07</v>
      </c>
      <c r="BE198" s="188">
        <f t="shared" si="196"/>
        <v>308862.40000000002</v>
      </c>
      <c r="BF198" s="118"/>
      <c r="BG198" s="805"/>
      <c r="BH198" s="804"/>
    </row>
    <row r="199" spans="2:63" s="119" customFormat="1" ht="19.5" customHeight="1" outlineLevel="1" x14ac:dyDescent="0.25">
      <c r="B199" s="579">
        <v>37992</v>
      </c>
      <c r="C199" s="128">
        <v>304</v>
      </c>
      <c r="D199" s="147" t="s">
        <v>222</v>
      </c>
      <c r="E199" s="340"/>
      <c r="F199" s="580"/>
      <c r="G199" s="581"/>
      <c r="H199" s="582">
        <v>100</v>
      </c>
      <c r="I199" s="583">
        <v>253</v>
      </c>
      <c r="J199" s="584">
        <f t="shared" si="190"/>
        <v>153</v>
      </c>
      <c r="K199" s="102">
        <v>0</v>
      </c>
      <c r="L199" s="84">
        <v>100</v>
      </c>
      <c r="M199" s="583">
        <v>240</v>
      </c>
      <c r="N199" s="583">
        <f t="shared" si="210"/>
        <v>140</v>
      </c>
      <c r="O199" s="456">
        <v>0</v>
      </c>
      <c r="P199" s="582">
        <v>100</v>
      </c>
      <c r="Q199" s="583">
        <v>0</v>
      </c>
      <c r="R199" s="583">
        <f t="shared" si="211"/>
        <v>-100</v>
      </c>
      <c r="S199" s="585"/>
      <c r="T199" s="582">
        <v>100</v>
      </c>
      <c r="U199" s="583">
        <v>0</v>
      </c>
      <c r="V199" s="583">
        <f t="shared" si="212"/>
        <v>-100</v>
      </c>
      <c r="W199" s="586"/>
      <c r="X199" s="582">
        <v>100</v>
      </c>
      <c r="Y199" s="583">
        <v>0</v>
      </c>
      <c r="Z199" s="583">
        <f t="shared" si="213"/>
        <v>-100</v>
      </c>
      <c r="AA199" s="585">
        <f t="shared" si="200"/>
        <v>-100</v>
      </c>
      <c r="AB199" s="582">
        <v>100</v>
      </c>
      <c r="AC199" s="852">
        <v>0</v>
      </c>
      <c r="AD199" s="583">
        <f t="shared" si="214"/>
        <v>-100</v>
      </c>
      <c r="AE199" s="453">
        <f t="shared" si="201"/>
        <v>-100</v>
      </c>
      <c r="AF199" s="582">
        <v>100</v>
      </c>
      <c r="AG199" s="440">
        <v>0</v>
      </c>
      <c r="AH199" s="440">
        <f t="shared" si="215"/>
        <v>-100</v>
      </c>
      <c r="AI199" s="456">
        <v>0</v>
      </c>
      <c r="AJ199" s="582">
        <v>100</v>
      </c>
      <c r="AK199" s="440">
        <v>0</v>
      </c>
      <c r="AL199" s="583">
        <f t="shared" si="192"/>
        <v>-100</v>
      </c>
      <c r="AM199" s="453">
        <f t="shared" si="203"/>
        <v>-100</v>
      </c>
      <c r="AN199" s="582">
        <v>100</v>
      </c>
      <c r="AO199" s="587" t="s">
        <v>3681</v>
      </c>
      <c r="AP199" s="96">
        <f>AO199-AN199</f>
        <v>-100</v>
      </c>
      <c r="AQ199" s="452">
        <f>((AO199/AN199)-1)*100</f>
        <v>-100</v>
      </c>
      <c r="AR199" s="582">
        <v>100</v>
      </c>
      <c r="AS199" s="587" t="s">
        <v>3681</v>
      </c>
      <c r="AT199" s="588">
        <f t="shared" si="194"/>
        <v>-100</v>
      </c>
      <c r="AU199" s="448">
        <f t="shared" si="205"/>
        <v>-100</v>
      </c>
      <c r="AV199" s="582">
        <v>100</v>
      </c>
      <c r="AW199" s="440">
        <v>0</v>
      </c>
      <c r="AX199" s="588">
        <f t="shared" si="195"/>
        <v>-100</v>
      </c>
      <c r="AY199" s="449">
        <f t="shared" si="206"/>
        <v>-100</v>
      </c>
      <c r="AZ199" s="582">
        <v>100</v>
      </c>
      <c r="BA199" s="587">
        <v>0</v>
      </c>
      <c r="BB199" s="87">
        <f>BA199-AZ199</f>
        <v>-100</v>
      </c>
      <c r="BC199" s="448">
        <f>((BA199/AZ199)-1)*100</f>
        <v>-100</v>
      </c>
      <c r="BD199" s="868">
        <f t="shared" si="208"/>
        <v>1293</v>
      </c>
      <c r="BE199" s="368">
        <f t="shared" si="196"/>
        <v>493</v>
      </c>
      <c r="BF199" s="118"/>
      <c r="BG199" s="805"/>
      <c r="BH199" s="804"/>
    </row>
    <row r="200" spans="2:63" s="119" customFormat="1" ht="19.5" customHeight="1" outlineLevel="1" x14ac:dyDescent="0.25">
      <c r="B200" s="436">
        <v>52100</v>
      </c>
      <c r="C200" s="133"/>
      <c r="D200" s="927" t="s">
        <v>3712</v>
      </c>
      <c r="E200" s="154"/>
      <c r="F200" s="556"/>
      <c r="G200" s="540"/>
      <c r="H200" s="83"/>
      <c r="I200" s="85"/>
      <c r="J200" s="968"/>
      <c r="K200" s="437"/>
      <c r="L200" s="83"/>
      <c r="M200" s="85"/>
      <c r="N200" s="85"/>
      <c r="O200" s="456"/>
      <c r="P200" s="83"/>
      <c r="Q200" s="85"/>
      <c r="R200" s="85"/>
      <c r="S200" s="456"/>
      <c r="T200" s="83"/>
      <c r="U200" s="85"/>
      <c r="V200" s="85"/>
      <c r="W200" s="456"/>
      <c r="X200" s="83"/>
      <c r="Y200" s="85"/>
      <c r="Z200" s="85"/>
      <c r="AA200" s="456"/>
      <c r="AB200" s="83"/>
      <c r="AC200" s="852"/>
      <c r="AD200" s="85"/>
      <c r="AE200" s="456"/>
      <c r="AF200" s="83"/>
      <c r="AG200" s="83"/>
      <c r="AH200" s="83"/>
      <c r="AI200" s="456"/>
      <c r="AJ200" s="83"/>
      <c r="AK200" s="83"/>
      <c r="AL200" s="583"/>
      <c r="AM200" s="453"/>
      <c r="AN200" s="83"/>
      <c r="AO200" s="457"/>
      <c r="AP200" s="96"/>
      <c r="AQ200" s="452"/>
      <c r="AR200" s="83"/>
      <c r="AS200" s="457"/>
      <c r="AT200" s="1033"/>
      <c r="AU200" s="448"/>
      <c r="AV200" s="83"/>
      <c r="AW200" s="440"/>
      <c r="AX200" s="1033"/>
      <c r="AY200" s="449"/>
      <c r="AZ200" s="83"/>
      <c r="BA200" s="457">
        <v>888445</v>
      </c>
      <c r="BB200" s="87"/>
      <c r="BC200" s="448"/>
      <c r="BD200" s="868"/>
      <c r="BE200" s="66"/>
      <c r="BF200" s="118"/>
      <c r="BG200" s="805"/>
      <c r="BH200" s="804"/>
    </row>
    <row r="201" spans="2:63" s="119" customFormat="1" ht="19.5" customHeight="1" outlineLevel="1" x14ac:dyDescent="0.25">
      <c r="B201" s="390">
        <v>11870</v>
      </c>
      <c r="C201" s="391"/>
      <c r="D201" s="589" t="s">
        <v>3654</v>
      </c>
      <c r="E201" s="589"/>
      <c r="F201" s="590"/>
      <c r="G201" s="591"/>
      <c r="H201" s="592">
        <v>0</v>
      </c>
      <c r="I201" s="592">
        <v>0</v>
      </c>
      <c r="J201" s="592">
        <f t="shared" si="190"/>
        <v>0</v>
      </c>
      <c r="K201" s="592">
        <v>0</v>
      </c>
      <c r="L201" s="592">
        <v>0</v>
      </c>
      <c r="M201" s="592">
        <v>-4663.42</v>
      </c>
      <c r="N201" s="592">
        <f t="shared" si="210"/>
        <v>-4663.42</v>
      </c>
      <c r="O201" s="593">
        <v>0</v>
      </c>
      <c r="P201" s="592"/>
      <c r="Q201" s="592">
        <v>0</v>
      </c>
      <c r="R201" s="592"/>
      <c r="S201" s="593"/>
      <c r="T201" s="592"/>
      <c r="U201" s="592">
        <v>0</v>
      </c>
      <c r="V201" s="592"/>
      <c r="W201" s="593"/>
      <c r="X201" s="592"/>
      <c r="Y201" s="592">
        <v>0</v>
      </c>
      <c r="Z201" s="592"/>
      <c r="AA201" s="593"/>
      <c r="AB201" s="592"/>
      <c r="AC201" s="852">
        <v>0</v>
      </c>
      <c r="AD201" s="592"/>
      <c r="AE201" s="593"/>
      <c r="AF201" s="592"/>
      <c r="AG201" s="592">
        <v>0</v>
      </c>
      <c r="AH201" s="592"/>
      <c r="AI201" s="593"/>
      <c r="AJ201" s="593" t="s">
        <v>3681</v>
      </c>
      <c r="AK201" s="593">
        <v>0</v>
      </c>
      <c r="AL201" s="583">
        <f t="shared" si="192"/>
        <v>0</v>
      </c>
      <c r="AM201" s="453"/>
      <c r="AN201" s="592"/>
      <c r="AO201" s="594" t="s">
        <v>3681</v>
      </c>
      <c r="AP201" s="96">
        <f>AO201-AN201</f>
        <v>0</v>
      </c>
      <c r="AQ201" s="452"/>
      <c r="AR201" s="592">
        <v>0</v>
      </c>
      <c r="AS201" s="594" t="s">
        <v>3681</v>
      </c>
      <c r="AT201" s="595">
        <f t="shared" si="194"/>
        <v>0</v>
      </c>
      <c r="AU201" s="448">
        <v>0</v>
      </c>
      <c r="AV201" s="592">
        <v>0</v>
      </c>
      <c r="AW201" s="440">
        <v>0</v>
      </c>
      <c r="AX201" s="595">
        <f t="shared" si="195"/>
        <v>0</v>
      </c>
      <c r="AY201" s="449"/>
      <c r="AZ201" s="592">
        <v>0</v>
      </c>
      <c r="BA201" s="594">
        <v>0</v>
      </c>
      <c r="BB201" s="87">
        <f>BA201-AZ201</f>
        <v>0</v>
      </c>
      <c r="BC201" s="448"/>
      <c r="BD201" s="868">
        <f t="shared" si="208"/>
        <v>-4663.42</v>
      </c>
      <c r="BE201" s="596">
        <f t="shared" si="196"/>
        <v>-4663.42</v>
      </c>
      <c r="BF201" s="118"/>
      <c r="BG201" s="805"/>
      <c r="BH201" s="804"/>
    </row>
    <row r="202" spans="2:63" ht="16.5" thickBot="1" x14ac:dyDescent="0.3">
      <c r="H202" s="94"/>
      <c r="I202" s="25"/>
      <c r="J202" s="93"/>
      <c r="L202" s="25"/>
      <c r="M202" s="25"/>
      <c r="N202" s="93"/>
      <c r="O202" s="25"/>
      <c r="P202" s="25"/>
      <c r="Q202" s="92"/>
      <c r="R202" s="93"/>
      <c r="S202" s="25"/>
      <c r="T202" s="25"/>
      <c r="U202" s="25"/>
      <c r="V202" s="93"/>
      <c r="W202" s="25"/>
      <c r="X202" s="25"/>
      <c r="Y202" s="25"/>
      <c r="Z202" s="93"/>
      <c r="AA202" s="25"/>
      <c r="AB202" s="25"/>
      <c r="AC202" s="25"/>
      <c r="AD202" s="25"/>
      <c r="AE202" s="25"/>
      <c r="AF202" s="25"/>
      <c r="AG202" s="25"/>
      <c r="AH202" s="25"/>
      <c r="AI202" s="25"/>
      <c r="AJ202" s="25"/>
      <c r="AK202" s="25"/>
      <c r="BF202" s="63"/>
    </row>
    <row r="203" spans="2:63" s="8" customFormat="1" ht="23.1" customHeight="1" thickBot="1" x14ac:dyDescent="0.3">
      <c r="B203" s="315"/>
      <c r="C203" s="314"/>
      <c r="D203" s="2689" t="s">
        <v>3653</v>
      </c>
      <c r="E203" s="2690"/>
      <c r="F203" s="2690"/>
      <c r="G203" s="2691"/>
      <c r="H203" s="80">
        <f>H7-H45</f>
        <v>615295.56312614121</v>
      </c>
      <c r="I203" s="80">
        <f>I7-I45</f>
        <v>195743.09000000358</v>
      </c>
      <c r="J203" s="80">
        <f>J7-J45</f>
        <v>-419552.47312613763</v>
      </c>
      <c r="K203" s="69">
        <f>((I203/H203)-1)*100</f>
        <v>-68.187144239186651</v>
      </c>
      <c r="L203" s="80">
        <f>L7-L45</f>
        <v>582696.57858810388</v>
      </c>
      <c r="M203" s="80">
        <f>M7-M45</f>
        <v>673884.75999999791</v>
      </c>
      <c r="N203" s="80">
        <f>N7-N45</f>
        <v>91188.181411894038</v>
      </c>
      <c r="O203" s="69">
        <f>((M203/L203)-1)*100</f>
        <v>15.64934217270444</v>
      </c>
      <c r="P203" s="80">
        <f t="shared" ref="P203:V203" si="217">P7-P45</f>
        <v>830310.32414940372</v>
      </c>
      <c r="Q203" s="80">
        <f t="shared" si="217"/>
        <v>601098.44999999925</v>
      </c>
      <c r="R203" s="80">
        <f t="shared" si="217"/>
        <v>-229211.87414940447</v>
      </c>
      <c r="S203" s="80">
        <f t="shared" si="217"/>
        <v>-1.8457805900330415</v>
      </c>
      <c r="T203" s="80">
        <f t="shared" si="217"/>
        <v>752114.3905717954</v>
      </c>
      <c r="U203" s="80">
        <f t="shared" si="217"/>
        <v>-1924636.3400000036</v>
      </c>
      <c r="V203" s="80">
        <f t="shared" si="217"/>
        <v>-2676750.730571799</v>
      </c>
      <c r="W203" s="80">
        <f>((U203/T203)-1)*100</f>
        <v>-355.89675774409761</v>
      </c>
      <c r="X203" s="80">
        <f>X7-X45</f>
        <v>-380814.28652223013</v>
      </c>
      <c r="Y203" s="80">
        <f>Y7-Y45</f>
        <v>-56671</v>
      </c>
      <c r="Z203" s="80">
        <f>Z7-Z45</f>
        <v>324143.28652223013</v>
      </c>
      <c r="AA203" s="80">
        <f>((Y203/X203)-1)*100</f>
        <v>-85.118467976202922</v>
      </c>
      <c r="AB203" s="104">
        <f>AB7-AB45</f>
        <v>171170.54475889914</v>
      </c>
      <c r="AC203" s="104">
        <f>AC7-AC45</f>
        <v>2177564.1299999971</v>
      </c>
      <c r="AD203" s="104">
        <f>AD7-AD45</f>
        <v>2006393.585241098</v>
      </c>
      <c r="AE203" s="80">
        <f>((AC203/AB203)-1)*100</f>
        <v>1172.1605420296974</v>
      </c>
      <c r="AF203" s="104">
        <f>AF7-AF45</f>
        <v>-153742.77465766296</v>
      </c>
      <c r="AG203" s="104">
        <f>AG7-AG45</f>
        <v>2570832.6900000013</v>
      </c>
      <c r="AH203" s="104">
        <f>AH7-AH45</f>
        <v>2724575.4646576643</v>
      </c>
      <c r="AI203" s="80">
        <f>((AG203/AF203)-1)*100</f>
        <v>-1772.1648843169646</v>
      </c>
      <c r="AJ203" s="104">
        <f>AJ7-AJ45</f>
        <v>2460935.3958323617</v>
      </c>
      <c r="AK203" s="104">
        <f>AK7-AK45</f>
        <v>2426815.5100000035</v>
      </c>
      <c r="AL203" s="104">
        <f>AL7-AL45</f>
        <v>-34119.885832358152</v>
      </c>
      <c r="AM203" s="80">
        <f>((AK203/AJ203)-1)*100</f>
        <v>-1.3864600383309833</v>
      </c>
      <c r="AN203" s="51">
        <f>AN7-AN45</f>
        <v>2432679.1855823603</v>
      </c>
      <c r="AO203" s="51">
        <f>AO7-AO45</f>
        <v>2016620.3100000024</v>
      </c>
      <c r="AP203" s="104">
        <f>AP7-AP45</f>
        <v>-416058.87558235787</v>
      </c>
      <c r="AQ203" s="80">
        <f>((AO203/AN203)-1)*100</f>
        <v>-17.102907693221258</v>
      </c>
      <c r="AR203" s="51">
        <f>AR7-AR45</f>
        <v>2181390.8455905151</v>
      </c>
      <c r="AS203" s="51">
        <f>AS7-AS45</f>
        <v>2590155.959999999</v>
      </c>
      <c r="AT203" s="104">
        <f>AT7-AT45</f>
        <v>408765.11440948397</v>
      </c>
      <c r="AU203" s="80">
        <f>((AS203/AR203)-1)*100</f>
        <v>18.738737958663656</v>
      </c>
      <c r="AV203" s="51">
        <f>AV7-AV45</f>
        <v>1962767.156703176</v>
      </c>
      <c r="AW203" s="51">
        <f>AW7-AW45</f>
        <v>975363.07000000402</v>
      </c>
      <c r="AX203" s="104">
        <f>AX7-AX45</f>
        <v>-987404.08670317195</v>
      </c>
      <c r="AY203" s="80">
        <f>((AW203/AV203)-1)*100</f>
        <v>-50.306735739439233</v>
      </c>
      <c r="AZ203" s="51">
        <f>AZ7-AZ45</f>
        <v>1779524.1923487969</v>
      </c>
      <c r="BA203" s="51">
        <f>BA7-BA45</f>
        <v>-2723557.8399999961</v>
      </c>
      <c r="BB203" s="104">
        <f>BB7-BB45</f>
        <v>-4503082.032348793</v>
      </c>
      <c r="BC203" s="80">
        <f>((BA203/AZ203)-1)*100</f>
        <v>-253.04977879537381</v>
      </c>
      <c r="BD203" s="851">
        <f>+AF203+AJ203+AN203+AR203+AV203+AZ203+AB203+X203+U203+Q203+M203+I203</f>
        <v>10000000.219636213</v>
      </c>
      <c r="BE203" s="59">
        <f>SUM(I203+M203+Q203+U203+Y203+AC203+AG203+AK203+AO203+AS203+AW203+BA203)</f>
        <v>9523212.7900000084</v>
      </c>
      <c r="BF203" s="63"/>
      <c r="BG203" s="132"/>
      <c r="BH203" s="64"/>
      <c r="BI203" s="9"/>
      <c r="BK203" s="9"/>
    </row>
    <row r="204" spans="2:63" x14ac:dyDescent="0.25">
      <c r="B204" s="52"/>
      <c r="F204" s="14"/>
      <c r="G204" s="15"/>
      <c r="H204" s="16"/>
      <c r="J204" s="43"/>
      <c r="N204" s="43"/>
      <c r="R204" s="43"/>
      <c r="V204" s="43"/>
      <c r="Z204" s="43"/>
      <c r="BA204" s="43"/>
      <c r="BE204" s="43"/>
    </row>
    <row r="205" spans="2:63" hidden="1" x14ac:dyDescent="0.25">
      <c r="B205" s="52"/>
      <c r="D205" s="2692" t="s">
        <v>116</v>
      </c>
      <c r="E205" s="2693"/>
      <c r="F205" s="2693"/>
      <c r="G205" s="2694"/>
      <c r="H205" s="17">
        <f>H209</f>
        <v>1124365.2429999998</v>
      </c>
      <c r="I205" s="17">
        <v>1124365.2429999998</v>
      </c>
      <c r="J205" s="17">
        <f>J209</f>
        <v>0</v>
      </c>
      <c r="K205" s="72"/>
      <c r="L205" s="17">
        <f>H205</f>
        <v>1124365.2429999998</v>
      </c>
      <c r="M205" s="17">
        <f>I205</f>
        <v>1124365.2429999998</v>
      </c>
      <c r="N205" s="17">
        <f>N209</f>
        <v>0</v>
      </c>
      <c r="O205" s="72"/>
      <c r="P205" s="17">
        <f>L205</f>
        <v>1124365.2429999998</v>
      </c>
      <c r="Q205" s="17">
        <f>M205</f>
        <v>1124365.2429999998</v>
      </c>
      <c r="R205" s="17">
        <f>R209</f>
        <v>0</v>
      </c>
      <c r="S205" s="72"/>
      <c r="T205" s="17">
        <f>P205</f>
        <v>1124365.2429999998</v>
      </c>
      <c r="U205" s="17">
        <f>Q205</f>
        <v>1124365.2429999998</v>
      </c>
      <c r="V205" s="17">
        <f>V209</f>
        <v>0</v>
      </c>
      <c r="W205" s="72"/>
      <c r="X205" s="17">
        <f>T205</f>
        <v>1124365.2429999998</v>
      </c>
      <c r="Y205" s="17">
        <f>U205</f>
        <v>1124365.2429999998</v>
      </c>
      <c r="Z205" s="17">
        <f>Z209</f>
        <v>0</v>
      </c>
      <c r="AA205" s="72"/>
      <c r="AB205" s="17"/>
      <c r="AC205" s="17"/>
      <c r="AD205" s="17"/>
      <c r="AE205" s="72"/>
      <c r="AF205" s="17"/>
      <c r="AG205" s="17"/>
      <c r="AH205" s="17"/>
      <c r="AI205" s="72"/>
      <c r="AJ205" s="17"/>
      <c r="AK205" s="17"/>
      <c r="AL205" s="17"/>
      <c r="AM205" s="72"/>
      <c r="AN205" s="17"/>
      <c r="AO205" s="17"/>
      <c r="AP205" s="17"/>
      <c r="AQ205" s="72"/>
      <c r="AR205" s="17"/>
      <c r="AS205" s="17"/>
      <c r="AT205" s="17"/>
      <c r="AU205" s="72"/>
      <c r="AV205" s="17"/>
      <c r="AW205" s="17"/>
      <c r="AX205" s="17"/>
      <c r="AY205" s="72"/>
      <c r="AZ205" s="17"/>
      <c r="BA205" s="17"/>
      <c r="BB205" s="17"/>
      <c r="BC205" s="72"/>
      <c r="BD205" s="17"/>
      <c r="BE205" s="65"/>
    </row>
    <row r="206" spans="2:63" s="23" customFormat="1" ht="16.5" hidden="1" thickBot="1" x14ac:dyDescent="0.3">
      <c r="B206" s="53"/>
      <c r="D206" s="19" t="s">
        <v>117</v>
      </c>
      <c r="E206" s="345"/>
      <c r="F206" s="20"/>
      <c r="G206" s="20"/>
      <c r="H206" s="21">
        <f>H205-H203</f>
        <v>509069.67987385858</v>
      </c>
      <c r="I206" s="21">
        <f>I205-I203</f>
        <v>928622.15299999621</v>
      </c>
      <c r="J206" s="21">
        <f>I206-H206</f>
        <v>419552.47312613763</v>
      </c>
      <c r="K206" s="73"/>
      <c r="L206" s="21">
        <f t="shared" ref="L206:Y206" si="218">L205-L203</f>
        <v>541668.66441189591</v>
      </c>
      <c r="M206" s="21">
        <f t="shared" si="218"/>
        <v>450480.48300000187</v>
      </c>
      <c r="N206" s="21">
        <f>M206-L206</f>
        <v>-91188.181411894038</v>
      </c>
      <c r="O206" s="73"/>
      <c r="P206" s="21">
        <f t="shared" si="218"/>
        <v>294054.91885059606</v>
      </c>
      <c r="Q206" s="21">
        <f t="shared" si="218"/>
        <v>523266.79300000053</v>
      </c>
      <c r="R206" s="21">
        <f>Q206-P206</f>
        <v>229211.87414940447</v>
      </c>
      <c r="S206" s="73"/>
      <c r="T206" s="21">
        <f t="shared" si="218"/>
        <v>372250.85242820438</v>
      </c>
      <c r="U206" s="21">
        <f t="shared" si="218"/>
        <v>3049001.5830000034</v>
      </c>
      <c r="V206" s="21">
        <f>U206-T206</f>
        <v>2676750.730571799</v>
      </c>
      <c r="W206" s="73"/>
      <c r="X206" s="21">
        <f t="shared" si="218"/>
        <v>1505179.5295222299</v>
      </c>
      <c r="Y206" s="21">
        <f t="shared" si="218"/>
        <v>1181036.2429999998</v>
      </c>
      <c r="Z206" s="21">
        <f>Y206-X206</f>
        <v>-324143.28652223013</v>
      </c>
      <c r="AA206" s="73"/>
      <c r="AB206" s="21"/>
      <c r="AC206" s="21"/>
      <c r="AD206" s="21"/>
      <c r="AE206" s="73"/>
      <c r="AF206" s="21"/>
      <c r="AG206" s="21"/>
      <c r="AH206" s="21"/>
      <c r="AI206" s="73"/>
      <c r="AJ206" s="21"/>
      <c r="AK206" s="21"/>
      <c r="AL206" s="21"/>
      <c r="AM206" s="73"/>
      <c r="AN206" s="21"/>
      <c r="AO206" s="21"/>
      <c r="AP206" s="21"/>
      <c r="AQ206" s="73"/>
      <c r="AR206" s="21"/>
      <c r="AS206" s="21"/>
      <c r="AT206" s="21"/>
      <c r="AU206" s="73"/>
      <c r="AV206" s="21"/>
      <c r="AW206" s="21"/>
      <c r="AX206" s="21"/>
      <c r="AY206" s="73"/>
      <c r="AZ206" s="21"/>
      <c r="BA206" s="21"/>
      <c r="BB206" s="21"/>
      <c r="BC206" s="73"/>
      <c r="BD206" s="21"/>
      <c r="BE206" s="22"/>
      <c r="BG206" s="105"/>
    </row>
    <row r="207" spans="2:63" s="23" customFormat="1" hidden="1" x14ac:dyDescent="0.25">
      <c r="B207" s="53"/>
      <c r="D207" s="54"/>
      <c r="E207" s="54"/>
      <c r="F207" s="54"/>
      <c r="G207" s="54"/>
      <c r="H207" s="22"/>
      <c r="I207" s="22"/>
      <c r="J207" s="22"/>
      <c r="K207" s="74"/>
      <c r="L207" s="22"/>
      <c r="M207" s="22"/>
      <c r="N207" s="22"/>
      <c r="O207" s="74"/>
      <c r="P207" s="22"/>
      <c r="Q207" s="22"/>
      <c r="R207" s="22"/>
      <c r="S207" s="74"/>
      <c r="T207" s="22"/>
      <c r="U207" s="22"/>
      <c r="V207" s="22"/>
      <c r="W207" s="74"/>
      <c r="X207" s="22"/>
      <c r="Y207" s="22"/>
      <c r="Z207" s="22"/>
      <c r="AA207" s="74"/>
      <c r="AB207" s="22"/>
      <c r="AC207" s="22"/>
      <c r="AD207" s="22"/>
      <c r="AE207" s="74"/>
      <c r="AF207" s="22"/>
      <c r="AG207" s="22"/>
      <c r="AH207" s="22"/>
      <c r="AI207" s="74"/>
      <c r="AJ207" s="22"/>
      <c r="AK207" s="22"/>
      <c r="AL207" s="22"/>
      <c r="AM207" s="74"/>
      <c r="AN207" s="22"/>
      <c r="AO207" s="22"/>
      <c r="AP207" s="22"/>
      <c r="AQ207" s="74"/>
      <c r="AR207" s="22"/>
      <c r="AS207" s="22"/>
      <c r="AT207" s="22"/>
      <c r="AU207" s="74"/>
      <c r="AV207" s="22"/>
      <c r="AW207" s="22"/>
      <c r="AX207" s="22"/>
      <c r="AY207" s="74"/>
      <c r="AZ207" s="22"/>
      <c r="BA207" s="22"/>
      <c r="BB207" s="22"/>
      <c r="BC207" s="74"/>
      <c r="BD207" s="22"/>
      <c r="BE207" s="22"/>
    </row>
    <row r="208" spans="2:63" hidden="1" x14ac:dyDescent="0.25">
      <c r="B208" s="52"/>
      <c r="F208" s="14"/>
      <c r="G208" s="15"/>
      <c r="H208" s="16"/>
    </row>
    <row r="209" spans="2:57" s="25" customFormat="1" ht="16.5" hidden="1" thickBot="1" x14ac:dyDescent="0.3">
      <c r="B209" s="24"/>
      <c r="D209" s="2673" t="s">
        <v>118</v>
      </c>
      <c r="E209" s="2674"/>
      <c r="F209" s="2674"/>
      <c r="G209" s="26"/>
      <c r="H209" s="60">
        <f t="shared" ref="H209:P209" si="219">H210+H211</f>
        <v>1124365.2429999998</v>
      </c>
      <c r="I209" s="27">
        <f t="shared" si="219"/>
        <v>0</v>
      </c>
      <c r="J209" s="27">
        <f t="shared" si="219"/>
        <v>0</v>
      </c>
      <c r="K209" s="75"/>
      <c r="L209" s="27">
        <f t="shared" si="219"/>
        <v>1126844.3229999999</v>
      </c>
      <c r="M209" s="27">
        <f t="shared" si="219"/>
        <v>0</v>
      </c>
      <c r="N209" s="27">
        <f t="shared" si="219"/>
        <v>0</v>
      </c>
      <c r="O209" s="75"/>
      <c r="P209" s="27">
        <f t="shared" si="219"/>
        <v>1111435.3129999998</v>
      </c>
      <c r="Q209" s="27"/>
      <c r="R209" s="27">
        <f t="shared" ref="R209:Z209" si="220">R210+R211</f>
        <v>0</v>
      </c>
      <c r="S209" s="75"/>
      <c r="T209" s="27">
        <f t="shared" si="220"/>
        <v>1108830.2329999998</v>
      </c>
      <c r="U209" s="27">
        <f t="shared" si="220"/>
        <v>0</v>
      </c>
      <c r="V209" s="27">
        <f t="shared" si="220"/>
        <v>0</v>
      </c>
      <c r="W209" s="75"/>
      <c r="X209" s="27">
        <f t="shared" si="220"/>
        <v>1100602.8329999999</v>
      </c>
      <c r="Y209" s="27">
        <f t="shared" si="220"/>
        <v>0</v>
      </c>
      <c r="Z209" s="27">
        <f t="shared" si="220"/>
        <v>0</v>
      </c>
      <c r="AA209" s="75"/>
      <c r="AB209" s="27"/>
      <c r="AC209" s="27"/>
      <c r="AD209" s="27"/>
      <c r="AE209" s="75"/>
      <c r="AF209" s="27"/>
      <c r="AG209" s="27"/>
      <c r="AH209" s="27"/>
      <c r="AI209" s="75"/>
      <c r="AJ209" s="27"/>
      <c r="AK209" s="27"/>
      <c r="AL209" s="27"/>
      <c r="AM209" s="75"/>
      <c r="AN209" s="27"/>
      <c r="AO209" s="27"/>
      <c r="AP209" s="27"/>
      <c r="AQ209" s="75"/>
      <c r="AR209" s="27"/>
      <c r="AS209" s="27"/>
      <c r="AT209" s="27"/>
      <c r="AU209" s="75"/>
      <c r="AV209" s="27"/>
      <c r="AW209" s="27"/>
      <c r="AX209" s="27"/>
      <c r="AY209" s="75"/>
      <c r="AZ209" s="27"/>
      <c r="BA209" s="27"/>
      <c r="BB209" s="27"/>
      <c r="BC209" s="75"/>
      <c r="BD209" s="27"/>
      <c r="BE209" s="106"/>
    </row>
    <row r="210" spans="2:57" s="25" customFormat="1" hidden="1" x14ac:dyDescent="0.25">
      <c r="B210" s="24"/>
      <c r="D210" s="2675" t="s">
        <v>119</v>
      </c>
      <c r="E210" s="2676"/>
      <c r="F210" s="2677"/>
      <c r="G210" s="28"/>
      <c r="H210" s="61">
        <v>501587.39000000007</v>
      </c>
      <c r="I210" s="30"/>
      <c r="J210" s="31"/>
      <c r="K210" s="76"/>
      <c r="L210" s="29">
        <v>504066.47000000009</v>
      </c>
      <c r="M210" s="29"/>
      <c r="N210" s="31"/>
      <c r="O210" s="76"/>
      <c r="P210" s="29">
        <v>506324.12000000011</v>
      </c>
      <c r="Q210" s="29"/>
      <c r="R210" s="31"/>
      <c r="S210" s="76"/>
      <c r="T210" s="29">
        <v>508878.14000000007</v>
      </c>
      <c r="U210" s="29"/>
      <c r="V210" s="31"/>
      <c r="W210" s="76"/>
      <c r="X210" s="29">
        <v>511470.46000000008</v>
      </c>
      <c r="Y210" s="29"/>
      <c r="Z210" s="31"/>
      <c r="AA210" s="76"/>
      <c r="AB210" s="29"/>
      <c r="AC210" s="29"/>
      <c r="AD210" s="29"/>
      <c r="AE210" s="76"/>
      <c r="AF210" s="29"/>
      <c r="AG210" s="29"/>
      <c r="AH210" s="29"/>
      <c r="AI210" s="76"/>
      <c r="AJ210" s="29"/>
      <c r="AK210" s="29"/>
      <c r="AL210" s="29"/>
      <c r="AM210" s="76"/>
      <c r="AN210" s="29"/>
      <c r="AO210" s="29"/>
      <c r="AP210" s="29"/>
      <c r="AQ210" s="76"/>
      <c r="AR210" s="29"/>
      <c r="AS210" s="29"/>
      <c r="AT210" s="29"/>
      <c r="AU210" s="76"/>
      <c r="AV210" s="29"/>
      <c r="AW210" s="29"/>
      <c r="AX210" s="29"/>
      <c r="AY210" s="76"/>
      <c r="AZ210" s="29"/>
      <c r="BA210" s="29"/>
      <c r="BB210" s="29"/>
      <c r="BC210" s="76"/>
      <c r="BD210" s="29"/>
      <c r="BE210" s="32"/>
    </row>
    <row r="211" spans="2:57" s="34" customFormat="1" ht="16.5" hidden="1" thickBot="1" x14ac:dyDescent="0.3">
      <c r="B211" s="33"/>
      <c r="D211" s="2678" t="s">
        <v>120</v>
      </c>
      <c r="E211" s="2679"/>
      <c r="F211" s="2680"/>
      <c r="G211" s="35"/>
      <c r="H211" s="62">
        <v>622777.85299999977</v>
      </c>
      <c r="I211" s="35"/>
      <c r="J211" s="35"/>
      <c r="K211" s="77"/>
      <c r="L211" s="35">
        <v>622777.85299999977</v>
      </c>
      <c r="M211" s="35"/>
      <c r="N211" s="35"/>
      <c r="O211" s="77"/>
      <c r="P211" s="35">
        <v>605111.19299999974</v>
      </c>
      <c r="Q211" s="36" t="s">
        <v>121</v>
      </c>
      <c r="R211" s="35"/>
      <c r="S211" s="77"/>
      <c r="T211" s="35">
        <v>599952.09299999976</v>
      </c>
      <c r="U211" s="35"/>
      <c r="V211" s="35"/>
      <c r="W211" s="77"/>
      <c r="X211" s="35">
        <v>589132.37299999979</v>
      </c>
      <c r="Y211" s="35"/>
      <c r="Z211" s="35"/>
      <c r="AA211" s="77"/>
      <c r="AB211" s="35"/>
      <c r="AC211" s="36"/>
      <c r="AD211" s="35"/>
      <c r="AE211" s="77"/>
      <c r="AF211" s="36"/>
      <c r="AG211" s="35"/>
      <c r="AH211" s="36"/>
      <c r="AI211" s="77"/>
      <c r="AJ211" s="35"/>
      <c r="AK211" s="36"/>
      <c r="AL211" s="35"/>
      <c r="AM211" s="77"/>
      <c r="AN211" s="36"/>
      <c r="AO211" s="35"/>
      <c r="AP211" s="36"/>
      <c r="AQ211" s="77"/>
      <c r="AR211" s="35"/>
      <c r="AS211" s="36"/>
      <c r="AT211" s="35"/>
      <c r="AU211" s="77"/>
      <c r="AV211" s="35"/>
      <c r="AW211" s="35"/>
      <c r="AX211" s="35"/>
      <c r="AY211" s="77"/>
      <c r="AZ211" s="35"/>
      <c r="BA211" s="35"/>
      <c r="BB211" s="35"/>
      <c r="BC211" s="77"/>
      <c r="BD211" s="35"/>
      <c r="BE211" s="107"/>
    </row>
    <row r="212" spans="2:57" hidden="1" x14ac:dyDescent="0.25">
      <c r="G212" s="37"/>
      <c r="H212" s="55"/>
      <c r="I212" s="55"/>
      <c r="J212" s="55"/>
      <c r="K212" s="78"/>
      <c r="L212" s="55"/>
      <c r="M212" s="55"/>
      <c r="N212" s="55"/>
      <c r="O212" s="78"/>
      <c r="P212" s="55"/>
      <c r="Q212" s="55"/>
      <c r="R212" s="55"/>
      <c r="S212" s="78"/>
      <c r="T212" s="55"/>
      <c r="U212" s="55"/>
      <c r="V212" s="55"/>
      <c r="W212" s="78"/>
      <c r="Z212" s="55"/>
      <c r="AA212" s="78"/>
      <c r="AB212" s="55"/>
      <c r="AC212" s="55"/>
      <c r="AD212" s="55"/>
      <c r="AE212" s="78"/>
      <c r="AF212" s="55"/>
      <c r="AG212" s="55"/>
      <c r="AH212" s="55"/>
      <c r="AI212" s="78"/>
      <c r="AJ212" s="55"/>
      <c r="AK212" s="55"/>
      <c r="AL212" s="55"/>
      <c r="AM212" s="78"/>
      <c r="AN212" s="55"/>
      <c r="AO212" s="55"/>
      <c r="AP212" s="55"/>
      <c r="AQ212" s="78"/>
      <c r="AR212" s="55"/>
      <c r="AS212" s="55"/>
      <c r="AT212" s="55"/>
      <c r="AU212" s="78"/>
      <c r="AV212" s="55"/>
      <c r="AW212" s="55"/>
      <c r="AX212" s="55"/>
      <c r="AY212" s="78"/>
      <c r="AZ212" s="55"/>
      <c r="BA212" s="55"/>
      <c r="BB212" s="55"/>
      <c r="BC212" s="78"/>
      <c r="BD212" s="55"/>
      <c r="BE212" s="55"/>
    </row>
    <row r="213" spans="2:57" hidden="1" x14ac:dyDescent="0.25">
      <c r="G213" s="37"/>
      <c r="H213" s="56"/>
      <c r="I213" s="57"/>
      <c r="J213" s="57"/>
      <c r="K213" s="70"/>
      <c r="L213" s="57"/>
      <c r="M213" s="57"/>
      <c r="N213" s="57"/>
      <c r="O213" s="70"/>
      <c r="P213" s="57"/>
      <c r="Q213" s="57"/>
      <c r="R213" s="57"/>
      <c r="S213" s="70"/>
      <c r="T213" s="57"/>
      <c r="U213" s="57"/>
      <c r="V213" s="57"/>
      <c r="W213" s="70"/>
      <c r="Z213" s="57"/>
      <c r="AA213" s="70"/>
      <c r="AB213" s="57"/>
      <c r="AC213" s="57"/>
      <c r="AD213" s="57"/>
      <c r="AE213" s="70"/>
      <c r="AF213" s="57"/>
      <c r="AG213" s="57"/>
      <c r="AH213" s="57"/>
      <c r="AI213" s="70"/>
      <c r="AJ213" s="57"/>
      <c r="AK213" s="57"/>
      <c r="AL213" s="57"/>
      <c r="AM213" s="70"/>
      <c r="AN213" s="57"/>
      <c r="AO213" s="57"/>
      <c r="AP213" s="57"/>
      <c r="AQ213" s="70"/>
      <c r="AR213" s="57"/>
      <c r="AS213" s="57"/>
      <c r="AT213" s="57"/>
      <c r="AU213" s="70"/>
      <c r="AV213" s="57"/>
      <c r="AW213" s="57"/>
      <c r="AX213" s="57"/>
      <c r="AY213" s="70"/>
      <c r="AZ213" s="57"/>
      <c r="BA213" s="57"/>
      <c r="BB213" s="57"/>
      <c r="BC213" s="70"/>
      <c r="BD213" s="57"/>
      <c r="BE213" s="57"/>
    </row>
    <row r="214" spans="2:57" x14ac:dyDescent="0.25">
      <c r="G214" s="37"/>
      <c r="H214" s="55"/>
      <c r="I214" s="55"/>
      <c r="J214" s="55"/>
      <c r="K214" s="78"/>
      <c r="L214" s="55"/>
      <c r="M214" s="55"/>
      <c r="N214" s="55"/>
      <c r="O214" s="78"/>
      <c r="P214" s="55"/>
      <c r="Q214" s="55"/>
      <c r="R214" s="55"/>
      <c r="S214" s="78"/>
      <c r="T214" s="55"/>
      <c r="U214" s="55"/>
      <c r="V214" s="55"/>
      <c r="W214" s="78"/>
      <c r="Z214" s="55"/>
      <c r="AA214" s="78"/>
      <c r="AB214" s="55"/>
      <c r="AC214" s="55"/>
      <c r="AD214" s="55"/>
      <c r="AE214" s="78"/>
      <c r="AF214" s="55"/>
      <c r="AG214" s="55"/>
      <c r="AH214" s="55"/>
      <c r="AI214" s="78"/>
      <c r="AJ214" s="55"/>
      <c r="AK214" s="55"/>
      <c r="AL214" s="55"/>
      <c r="AM214" s="78"/>
      <c r="AN214" s="55"/>
      <c r="AO214" s="55"/>
      <c r="AP214" s="55"/>
      <c r="AQ214" s="78"/>
      <c r="AR214" s="55"/>
      <c r="AS214" s="55"/>
      <c r="AT214" s="55"/>
      <c r="AU214" s="78"/>
      <c r="AV214" s="55"/>
      <c r="AW214" s="55"/>
      <c r="AX214" s="55"/>
      <c r="AY214" s="78"/>
      <c r="AZ214" s="55"/>
      <c r="BA214" s="55"/>
      <c r="BB214" s="55"/>
      <c r="BC214" s="78"/>
      <c r="BD214" s="55"/>
      <c r="BE214" s="55"/>
    </row>
    <row r="215" spans="2:57" x14ac:dyDescent="0.25">
      <c r="F215" s="317"/>
      <c r="H215" s="13"/>
      <c r="I215" s="317"/>
      <c r="J215" s="25"/>
      <c r="AF215" s="109"/>
      <c r="BC215" s="317"/>
      <c r="BD215" s="43"/>
    </row>
    <row r="216" spans="2:57" x14ac:dyDescent="0.25">
      <c r="F216" s="317"/>
      <c r="H216" s="317"/>
      <c r="I216" s="25"/>
      <c r="J216" s="25"/>
      <c r="BD216" s="109"/>
      <c r="BE216" s="43"/>
    </row>
    <row r="217" spans="2:57" x14ac:dyDescent="0.25">
      <c r="F217" s="317"/>
      <c r="H217" s="317"/>
      <c r="I217" s="25"/>
      <c r="J217" s="25"/>
      <c r="M217" s="43"/>
      <c r="BC217" s="68"/>
      <c r="BD217" s="109"/>
      <c r="BE217" s="43"/>
    </row>
    <row r="218" spans="2:57" x14ac:dyDescent="0.25">
      <c r="F218" s="317"/>
      <c r="G218" s="316"/>
      <c r="H218" s="317"/>
      <c r="I218" s="316"/>
      <c r="J218" s="316"/>
      <c r="L218" s="109"/>
      <c r="BD218" s="43"/>
      <c r="BE218" s="109"/>
    </row>
    <row r="219" spans="2:57" x14ac:dyDescent="0.25">
      <c r="H219" s="402"/>
      <c r="I219" s="109"/>
      <c r="J219" s="110"/>
      <c r="L219" s="109"/>
      <c r="N219" s="109"/>
      <c r="BD219" s="43"/>
      <c r="BE219" s="109"/>
    </row>
    <row r="220" spans="2:57" x14ac:dyDescent="0.25">
      <c r="I220" s="109"/>
      <c r="L220" s="109"/>
      <c r="N220" s="109"/>
      <c r="AF220" s="43"/>
      <c r="AG220" s="109"/>
      <c r="BD220" s="43"/>
      <c r="BE220" s="43"/>
    </row>
    <row r="221" spans="2:57" x14ac:dyDescent="0.25">
      <c r="I221" s="109"/>
      <c r="J221" s="110"/>
      <c r="L221" s="109"/>
      <c r="N221" s="109"/>
      <c r="AF221" s="109"/>
      <c r="BB221" s="43"/>
      <c r="BD221" s="109"/>
      <c r="BE221" s="43"/>
    </row>
    <row r="222" spans="2:57" x14ac:dyDescent="0.25">
      <c r="H222" s="402"/>
      <c r="I222" s="109"/>
      <c r="J222" s="109"/>
      <c r="L222" s="109"/>
      <c r="N222" s="109"/>
      <c r="AG222" s="110"/>
      <c r="BD222" s="109"/>
    </row>
    <row r="223" spans="2:57" x14ac:dyDescent="0.25">
      <c r="D223" s="109"/>
      <c r="H223" s="109"/>
      <c r="I223" s="109"/>
      <c r="J223" s="403"/>
      <c r="L223" s="109"/>
      <c r="N223" s="109"/>
      <c r="AG223" s="109"/>
      <c r="BD223" s="43"/>
    </row>
    <row r="224" spans="2:57" x14ac:dyDescent="0.25">
      <c r="D224" s="109"/>
      <c r="H224" s="402"/>
      <c r="I224" s="110"/>
      <c r="J224" s="404"/>
      <c r="L224" s="109"/>
      <c r="N224" s="109"/>
      <c r="AG224" s="110"/>
      <c r="BD224" s="109"/>
      <c r="BE224" s="109"/>
    </row>
    <row r="225" spans="4:56" x14ac:dyDescent="0.25">
      <c r="D225" s="109"/>
      <c r="J225" s="109"/>
      <c r="L225" s="109"/>
      <c r="N225" s="109"/>
      <c r="BD225" s="110"/>
    </row>
    <row r="226" spans="4:56" x14ac:dyDescent="0.25">
      <c r="D226" s="109"/>
      <c r="I226" s="43"/>
      <c r="J226" s="110"/>
      <c r="L226" s="109"/>
      <c r="N226" s="109"/>
    </row>
    <row r="227" spans="4:56" x14ac:dyDescent="0.25">
      <c r="D227" s="110"/>
      <c r="L227" s="109"/>
      <c r="N227" s="109"/>
      <c r="P227" s="110"/>
    </row>
    <row r="228" spans="4:56" x14ac:dyDescent="0.25">
      <c r="J228" s="110"/>
      <c r="L228" s="109"/>
      <c r="N228" s="109"/>
    </row>
    <row r="229" spans="4:56" x14ac:dyDescent="0.25">
      <c r="D229" s="110"/>
      <c r="L229" s="110"/>
    </row>
    <row r="231" spans="4:56" x14ac:dyDescent="0.25">
      <c r="L231" s="110"/>
    </row>
  </sheetData>
  <mergeCells count="26">
    <mergeCell ref="D209:F209"/>
    <mergeCell ref="D210:F210"/>
    <mergeCell ref="D211:F211"/>
    <mergeCell ref="BD5:BD6"/>
    <mergeCell ref="BE5:BE6"/>
    <mergeCell ref="D7:G7"/>
    <mergeCell ref="D45:G45"/>
    <mergeCell ref="D203:G203"/>
    <mergeCell ref="D205:G205"/>
    <mergeCell ref="AF5:AI5"/>
    <mergeCell ref="AJ5:AM5"/>
    <mergeCell ref="AN5:AQ5"/>
    <mergeCell ref="AR5:AU5"/>
    <mergeCell ref="AV5:AY5"/>
    <mergeCell ref="AZ5:BC5"/>
    <mergeCell ref="L5:O5"/>
    <mergeCell ref="P5:S5"/>
    <mergeCell ref="T5:W5"/>
    <mergeCell ref="X5:AA5"/>
    <mergeCell ref="AB5:AE5"/>
    <mergeCell ref="B5:B6"/>
    <mergeCell ref="C5:C6"/>
    <mergeCell ref="D5:D6"/>
    <mergeCell ref="F5:F6"/>
    <mergeCell ref="G5:G6"/>
    <mergeCell ref="H5:K5"/>
  </mergeCells>
  <pageMargins left="0.511811024" right="0.511811024" top="0.78740157499999996" bottom="0.78740157499999996" header="0.31496062000000002" footer="0.31496062000000002"/>
  <pageSetup paperSize="9" orientation="portrait" horizontalDpi="300" verticalDpi="300" r:id="rId1"/>
  <ignoredErrors>
    <ignoredError sqref="AY203" formula="1"/>
    <ignoredError sqref="B40 AO69" numberStoredAsText="1"/>
    <ignoredError sqref="AR166" formulaRange="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224"/>
  <sheetViews>
    <sheetView workbookViewId="0">
      <selection activeCell="A9" sqref="A9"/>
    </sheetView>
  </sheetViews>
  <sheetFormatPr defaultColWidth="9.140625" defaultRowHeight="15.75" outlineLevelRow="1" x14ac:dyDescent="0.25"/>
  <cols>
    <col min="1" max="1" width="2.140625" style="13" customWidth="1"/>
    <col min="2" max="2" width="15.28515625" style="38" customWidth="1"/>
    <col min="3" max="3" width="11.85546875" style="13" hidden="1" customWidth="1"/>
    <col min="4" max="4" width="46.140625" style="13" customWidth="1"/>
    <col min="5" max="5" width="6.85546875" style="13" hidden="1" customWidth="1"/>
    <col min="6" max="6" width="16.140625" style="39" hidden="1" customWidth="1"/>
    <col min="7" max="7" width="1.140625" style="25" hidden="1" customWidth="1"/>
    <col min="8" max="8" width="18" style="40" customWidth="1"/>
    <col min="9" max="9" width="17.42578125" style="13" customWidth="1"/>
    <col min="10" max="10" width="17.28515625" style="13" customWidth="1"/>
    <col min="11" max="11" width="13.7109375" style="71" customWidth="1"/>
    <col min="12" max="12" width="16.28515625" style="13" customWidth="1"/>
    <col min="13" max="13" width="14.7109375" style="13" customWidth="1"/>
    <col min="14" max="14" width="15.140625" style="13" customWidth="1"/>
    <col min="15" max="15" width="9.7109375" style="71" customWidth="1"/>
    <col min="16" max="18" width="14.7109375" style="13" customWidth="1"/>
    <col min="19" max="19" width="10.85546875" style="71" customWidth="1"/>
    <col min="20" max="20" width="14.7109375" style="13" customWidth="1"/>
    <col min="21" max="21" width="16" style="13" customWidth="1"/>
    <col min="22" max="22" width="14.7109375" style="13" customWidth="1"/>
    <col min="23" max="23" width="9.7109375" style="71" customWidth="1"/>
    <col min="24" max="26" width="14.7109375" style="13" customWidth="1"/>
    <col min="27" max="27" width="9.7109375" style="71" customWidth="1"/>
    <col min="28" max="30" width="14.7109375" style="13" customWidth="1"/>
    <col min="31" max="31" width="9.7109375" style="71" customWidth="1"/>
    <col min="32" max="34" width="14.7109375" style="13" customWidth="1"/>
    <col min="35" max="35" width="15.7109375" style="13" bestFit="1" customWidth="1"/>
    <col min="36" max="36" width="14.7109375" style="13" customWidth="1"/>
    <col min="37" max="37" width="9.7109375" style="71" customWidth="1"/>
    <col min="38" max="40" width="14.7109375" style="13" customWidth="1"/>
    <col min="41" max="41" width="9.7109375" style="71" customWidth="1"/>
    <col min="42" max="42" width="14.7109375" style="13" customWidth="1"/>
    <col min="43" max="43" width="16.28515625" style="13" customWidth="1"/>
    <col min="44" max="44" width="14.7109375" style="13" customWidth="1"/>
    <col min="45" max="45" width="9.7109375" style="71" customWidth="1"/>
    <col min="46" max="48" width="14.7109375" style="13" customWidth="1"/>
    <col min="49" max="49" width="9.7109375" style="71" customWidth="1"/>
    <col min="50" max="52" width="14.7109375" style="13" customWidth="1"/>
    <col min="53" max="53" width="9.7109375" style="71" customWidth="1"/>
    <col min="54" max="56" width="14.7109375" style="13" customWidth="1"/>
    <col min="57" max="57" width="12.7109375" style="71" bestFit="1" customWidth="1"/>
    <col min="58" max="58" width="15.7109375" style="13" bestFit="1" customWidth="1"/>
    <col min="59" max="59" width="14.7109375" style="13" customWidth="1"/>
    <col min="60" max="60" width="17" style="13" customWidth="1"/>
    <col min="61" max="61" width="17.42578125" style="13" customWidth="1"/>
    <col min="62" max="62" width="24.42578125" style="13" bestFit="1" customWidth="1"/>
    <col min="63" max="63" width="18.140625" style="13" customWidth="1"/>
    <col min="64" max="64" width="13" style="13" customWidth="1"/>
    <col min="65" max="65" width="14.28515625" style="13" bestFit="1" customWidth="1"/>
    <col min="66" max="16384" width="9.140625" style="13"/>
  </cols>
  <sheetData>
    <row r="1" spans="2:64" x14ac:dyDescent="0.25">
      <c r="U1" s="109"/>
    </row>
    <row r="2" spans="2:64" x14ac:dyDescent="0.25">
      <c r="G2" s="261"/>
      <c r="H2" s="109"/>
      <c r="I2" s="109"/>
      <c r="J2" s="362"/>
      <c r="K2" s="365"/>
      <c r="U2" s="109"/>
      <c r="AH2" s="109"/>
      <c r="AI2" s="109">
        <f>AH7+AL7+AP7+AT7+AX7+BB7</f>
        <v>85963297.040000007</v>
      </c>
      <c r="AJ2" s="43"/>
    </row>
    <row r="3" spans="2:64" x14ac:dyDescent="0.25">
      <c r="G3" s="261"/>
      <c r="H3" s="109"/>
      <c r="I3" s="109"/>
      <c r="J3" s="109"/>
      <c r="L3" s="110"/>
      <c r="U3" s="109"/>
      <c r="AI3" s="43"/>
      <c r="AJ3" s="43"/>
      <c r="AL3" s="43"/>
      <c r="AQ3" s="109"/>
      <c r="AU3" s="43"/>
    </row>
    <row r="4" spans="2:64" ht="16.5" thickBot="1" x14ac:dyDescent="0.3">
      <c r="F4" s="317"/>
      <c r="G4" s="261"/>
      <c r="H4" s="109"/>
      <c r="I4" s="109"/>
      <c r="J4" s="109"/>
      <c r="N4" s="109"/>
      <c r="U4" s="109"/>
      <c r="AH4" s="43"/>
      <c r="AQ4" s="321"/>
    </row>
    <row r="5" spans="2:64" s="11" customFormat="1" ht="32.25" thickBot="1" x14ac:dyDescent="0.3">
      <c r="B5" s="2663" t="s">
        <v>0</v>
      </c>
      <c r="C5" s="2665" t="s">
        <v>1</v>
      </c>
      <c r="D5" s="2667" t="s">
        <v>145</v>
      </c>
      <c r="E5" s="335"/>
      <c r="F5" s="2669" t="s">
        <v>2</v>
      </c>
      <c r="G5" s="2671" t="s">
        <v>3658</v>
      </c>
      <c r="H5" s="2660" t="s">
        <v>146</v>
      </c>
      <c r="I5" s="2661"/>
      <c r="J5" s="2661"/>
      <c r="K5" s="2662"/>
      <c r="L5" s="2660" t="s">
        <v>147</v>
      </c>
      <c r="M5" s="2661"/>
      <c r="N5" s="2661"/>
      <c r="O5" s="2662"/>
      <c r="P5" s="2660" t="s">
        <v>148</v>
      </c>
      <c r="Q5" s="2661"/>
      <c r="R5" s="2661"/>
      <c r="S5" s="2662"/>
      <c r="T5" s="2660" t="s">
        <v>149</v>
      </c>
      <c r="U5" s="2661"/>
      <c r="V5" s="2661"/>
      <c r="W5" s="2662"/>
      <c r="X5" s="2660" t="s">
        <v>150</v>
      </c>
      <c r="Y5" s="2661"/>
      <c r="Z5" s="2661"/>
      <c r="AA5" s="2662"/>
      <c r="AB5" s="2660" t="s">
        <v>151</v>
      </c>
      <c r="AC5" s="2661"/>
      <c r="AD5" s="2661"/>
      <c r="AE5" s="2662"/>
      <c r="AF5" s="2683" t="s">
        <v>162</v>
      </c>
      <c r="AG5" s="602" t="s">
        <v>3659</v>
      </c>
      <c r="AH5" s="2660" t="s">
        <v>152</v>
      </c>
      <c r="AI5" s="2661"/>
      <c r="AJ5" s="2661"/>
      <c r="AK5" s="2662"/>
      <c r="AL5" s="2660" t="s">
        <v>153</v>
      </c>
      <c r="AM5" s="2661"/>
      <c r="AN5" s="2661"/>
      <c r="AO5" s="2662"/>
      <c r="AP5" s="2660" t="s">
        <v>154</v>
      </c>
      <c r="AQ5" s="2661"/>
      <c r="AR5" s="2661"/>
      <c r="AS5" s="2662"/>
      <c r="AT5" s="2660" t="s">
        <v>155</v>
      </c>
      <c r="AU5" s="2661"/>
      <c r="AV5" s="2661"/>
      <c r="AW5" s="2662"/>
      <c r="AX5" s="2661" t="s">
        <v>156</v>
      </c>
      <c r="AY5" s="2661"/>
      <c r="AZ5" s="2661"/>
      <c r="BA5" s="2661"/>
      <c r="BB5" s="2660" t="s">
        <v>157</v>
      </c>
      <c r="BC5" s="2661"/>
      <c r="BD5" s="2661"/>
      <c r="BE5" s="2662"/>
      <c r="BF5" s="2681" t="s">
        <v>162</v>
      </c>
      <c r="BG5" s="2683" t="s">
        <v>163</v>
      </c>
    </row>
    <row r="6" spans="2:64" s="11" customFormat="1" ht="16.5" thickBot="1" x14ac:dyDescent="0.3">
      <c r="B6" s="2664"/>
      <c r="C6" s="2666"/>
      <c r="D6" s="2668"/>
      <c r="E6" s="336"/>
      <c r="F6" s="2670"/>
      <c r="G6" s="2672"/>
      <c r="H6" s="228" t="s">
        <v>4</v>
      </c>
      <c r="I6" s="199" t="s">
        <v>5</v>
      </c>
      <c r="J6" s="199" t="s">
        <v>6</v>
      </c>
      <c r="K6" s="225" t="s">
        <v>158</v>
      </c>
      <c r="L6" s="226" t="s">
        <v>4</v>
      </c>
      <c r="M6" s="197" t="s">
        <v>5</v>
      </c>
      <c r="N6" s="197" t="s">
        <v>6</v>
      </c>
      <c r="O6" s="227" t="s">
        <v>158</v>
      </c>
      <c r="P6" s="226" t="s">
        <v>4</v>
      </c>
      <c r="Q6" s="197" t="s">
        <v>5</v>
      </c>
      <c r="R6" s="197" t="s">
        <v>6</v>
      </c>
      <c r="S6" s="227" t="s">
        <v>158</v>
      </c>
      <c r="T6" s="226" t="s">
        <v>4</v>
      </c>
      <c r="U6" s="197" t="s">
        <v>5</v>
      </c>
      <c r="V6" s="197" t="s">
        <v>6</v>
      </c>
      <c r="W6" s="227" t="s">
        <v>158</v>
      </c>
      <c r="X6" s="226" t="s">
        <v>4</v>
      </c>
      <c r="Y6" s="197" t="s">
        <v>5</v>
      </c>
      <c r="Z6" s="197" t="s">
        <v>6</v>
      </c>
      <c r="AA6" s="227" t="s">
        <v>158</v>
      </c>
      <c r="AB6" s="226" t="s">
        <v>4</v>
      </c>
      <c r="AC6" s="197" t="s">
        <v>5</v>
      </c>
      <c r="AD6" s="197" t="s">
        <v>6</v>
      </c>
      <c r="AE6" s="227" t="s">
        <v>158</v>
      </c>
      <c r="AF6" s="2684"/>
      <c r="AG6" s="603"/>
      <c r="AH6" s="226" t="s">
        <v>4</v>
      </c>
      <c r="AI6" s="197" t="s">
        <v>5</v>
      </c>
      <c r="AJ6" s="197" t="s">
        <v>6</v>
      </c>
      <c r="AK6" s="227" t="s">
        <v>158</v>
      </c>
      <c r="AL6" s="226" t="s">
        <v>4</v>
      </c>
      <c r="AM6" s="197" t="s">
        <v>5</v>
      </c>
      <c r="AN6" s="197" t="s">
        <v>6</v>
      </c>
      <c r="AO6" s="227" t="s">
        <v>158</v>
      </c>
      <c r="AP6" s="226" t="s">
        <v>4</v>
      </c>
      <c r="AQ6" s="197" t="s">
        <v>5</v>
      </c>
      <c r="AR6" s="197" t="s">
        <v>6</v>
      </c>
      <c r="AS6" s="227" t="s">
        <v>158</v>
      </c>
      <c r="AT6" s="226" t="s">
        <v>4</v>
      </c>
      <c r="AU6" s="197" t="s">
        <v>5</v>
      </c>
      <c r="AV6" s="197" t="s">
        <v>6</v>
      </c>
      <c r="AW6" s="227" t="s">
        <v>158</v>
      </c>
      <c r="AX6" s="200" t="s">
        <v>4</v>
      </c>
      <c r="AY6" s="197" t="s">
        <v>5</v>
      </c>
      <c r="AZ6" s="197" t="s">
        <v>6</v>
      </c>
      <c r="BA6" s="198" t="s">
        <v>158</v>
      </c>
      <c r="BB6" s="226" t="s">
        <v>4</v>
      </c>
      <c r="BC6" s="197" t="s">
        <v>5</v>
      </c>
      <c r="BD6" s="198" t="s">
        <v>6</v>
      </c>
      <c r="BE6" s="227" t="s">
        <v>158</v>
      </c>
      <c r="BF6" s="2682"/>
      <c r="BG6" s="2684"/>
    </row>
    <row r="7" spans="2:64" s="1" customFormat="1" ht="16.5" thickBot="1" x14ac:dyDescent="0.3">
      <c r="B7" s="58"/>
      <c r="C7" s="44"/>
      <c r="D7" s="2695" t="s">
        <v>139</v>
      </c>
      <c r="E7" s="2696"/>
      <c r="F7" s="2696"/>
      <c r="G7" s="2696">
        <f>SUM(G9:G13)</f>
        <v>12895937.991666663</v>
      </c>
      <c r="H7" s="604">
        <f>SUM(H8+H15+H19)</f>
        <v>13629272.173333334</v>
      </c>
      <c r="I7" s="605">
        <f>SUM(I8+I15+I19)</f>
        <v>14952229.67</v>
      </c>
      <c r="J7" s="605">
        <f>I7-H7</f>
        <v>1322957.4966666661</v>
      </c>
      <c r="K7" s="606">
        <f>((I7/H7)-1)*100</f>
        <v>9.7067362060252229</v>
      </c>
      <c r="L7" s="607">
        <f>SUM(L8+L15+L19)</f>
        <v>13659483.173333334</v>
      </c>
      <c r="M7" s="605">
        <f>SUM(M8+M15+M19)</f>
        <v>12142239.809999997</v>
      </c>
      <c r="N7" s="605">
        <f>M7-L7</f>
        <v>-1517243.363333337</v>
      </c>
      <c r="O7" s="606">
        <f>((M7/L7)-1)*100</f>
        <v>-11.107619110328926</v>
      </c>
      <c r="P7" s="607">
        <f>SUM(P8+P15+P19)</f>
        <v>13669272.173333334</v>
      </c>
      <c r="Q7" s="605">
        <f>SUM(Q8+Q15+Q19)</f>
        <v>13819267.109999999</v>
      </c>
      <c r="R7" s="605">
        <f>Q7-P7</f>
        <v>149994.9366666656</v>
      </c>
      <c r="S7" s="606">
        <f>((Q7/P7)-1)*100</f>
        <v>1.0973147272558048</v>
      </c>
      <c r="T7" s="607">
        <f>SUM(T8+T15+T19)</f>
        <v>14578872.173333334</v>
      </c>
      <c r="U7" s="605">
        <f>SUM(U8+U15+U19)</f>
        <v>13238173.949999997</v>
      </c>
      <c r="V7" s="605">
        <f>U7-T7</f>
        <v>-1340698.2233333364</v>
      </c>
      <c r="W7" s="606">
        <f>((U7/T7)-1)*100</f>
        <v>-9.1961724294808533</v>
      </c>
      <c r="X7" s="607">
        <f>SUM(X8+X15+X19)</f>
        <v>14578872.173333334</v>
      </c>
      <c r="Y7" s="605">
        <f>SUM(Y8+Y15+Y19)</f>
        <v>15012006.200000001</v>
      </c>
      <c r="Z7" s="605">
        <f>Y7-X7</f>
        <v>433134.02666666731</v>
      </c>
      <c r="AA7" s="606">
        <f>((Y7/X7)-1)*100</f>
        <v>2.9709707411998965</v>
      </c>
      <c r="AB7" s="607">
        <f>SUM(AB8+AB15+AB19)</f>
        <v>14578872.173333334</v>
      </c>
      <c r="AC7" s="605">
        <f>SUM(AC8+AC15+AC19)</f>
        <v>13731571.529999997</v>
      </c>
      <c r="AD7" s="605">
        <f>AC7-AB7</f>
        <v>-847300.64333333634</v>
      </c>
      <c r="AE7" s="606">
        <f>((AC7/AB7)-1)*100</f>
        <v>-5.8118394431303173</v>
      </c>
      <c r="AF7" s="608">
        <f>SUM(I7+M7+Q7+U7+Y7+AC7)</f>
        <v>82895488.269999996</v>
      </c>
      <c r="AG7" s="609">
        <f>AF7/6</f>
        <v>13815914.711666666</v>
      </c>
      <c r="AH7" s="610">
        <f>SUM(AH8+AH15+AH19)</f>
        <v>14402216.173333334</v>
      </c>
      <c r="AI7" s="605">
        <f>SUM(AI8+AI15+AI19)</f>
        <v>16131378.610000003</v>
      </c>
      <c r="AJ7" s="605">
        <f>AI7-AH7</f>
        <v>1729162.4366666693</v>
      </c>
      <c r="AK7" s="606">
        <f>((AI7/AH7)-1)*100</f>
        <v>12.006224707752477</v>
      </c>
      <c r="AL7" s="607">
        <f>SUM(AL8+AL15+AL19)</f>
        <v>14402216.173333334</v>
      </c>
      <c r="AM7" s="605">
        <f>SUM(AM8+AM15+AM19)</f>
        <v>15175398.76</v>
      </c>
      <c r="AN7" s="611">
        <f>AM7-AL7</f>
        <v>773182.58666666597</v>
      </c>
      <c r="AO7" s="606">
        <f>((AM7/AL7)-1)*100</f>
        <v>5.3684973018129245</v>
      </c>
      <c r="AP7" s="612">
        <f>SUM(AP8+AP15+AP19)</f>
        <v>14402216.173333334</v>
      </c>
      <c r="AQ7" s="605">
        <f>SUM(AQ8+AQ15+AQ19)</f>
        <v>15029751.747</v>
      </c>
      <c r="AR7" s="611">
        <f>AQ7-AP7</f>
        <v>627535.5736666657</v>
      </c>
      <c r="AS7" s="606">
        <f>((AQ7/AP7)-1)*100</f>
        <v>4.3572153487640986</v>
      </c>
      <c r="AT7" s="612">
        <f>SUM(AT8+AT15+AT19)</f>
        <v>14252216.173333334</v>
      </c>
      <c r="AU7" s="605">
        <f>SUM(AU8+AU15+AU19)</f>
        <v>15596551.830000002</v>
      </c>
      <c r="AV7" s="611">
        <f>AU7-AT7</f>
        <v>1344335.6566666681</v>
      </c>
      <c r="AW7" s="606">
        <f>((AU7/AT7)-1)*100</f>
        <v>9.4324674865793323</v>
      </c>
      <c r="AX7" s="613">
        <f>SUM(AX8+AX15+AX19)</f>
        <v>14252216.173333334</v>
      </c>
      <c r="AY7" s="605">
        <f>SUM(AY8+AY15+AY19)</f>
        <v>16256812.329999998</v>
      </c>
      <c r="AZ7" s="611">
        <f>AY7-AX7</f>
        <v>2004596.1566666644</v>
      </c>
      <c r="BA7" s="606">
        <f>((AY7/AX7)-1)*100</f>
        <v>14.065154024378135</v>
      </c>
      <c r="BB7" s="612">
        <f>SUM(BB8+BB15+BB19)</f>
        <v>14252216.173333334</v>
      </c>
      <c r="BC7" s="611">
        <f>SUM(BC8+BC15+BC19)</f>
        <v>14923181.929999998</v>
      </c>
      <c r="BD7" s="611">
        <f>BC7-BB7</f>
        <v>670965.75666666403</v>
      </c>
      <c r="BE7" s="606">
        <f>((BC7/BB7)-1)*100</f>
        <v>4.7077994643533128</v>
      </c>
      <c r="BF7" s="612">
        <f>AF7+AH7+AL7+AP7+AT7+AX7+BB7</f>
        <v>168858785.31000003</v>
      </c>
      <c r="BG7" s="614">
        <f>SUM(I7+M7+Q7+U7+Y7+AC7+AI7+AM7+AQ7+AU7+AY7+BC7)</f>
        <v>176008563.477</v>
      </c>
      <c r="BH7" s="398"/>
      <c r="BI7" s="399"/>
      <c r="BJ7" s="398"/>
      <c r="BK7" s="2"/>
      <c r="BL7" s="2"/>
    </row>
    <row r="8" spans="2:64" s="119" customFormat="1" ht="16.5" thickBot="1" x14ac:dyDescent="0.3">
      <c r="B8" s="376"/>
      <c r="C8" s="377"/>
      <c r="D8" s="378" t="s">
        <v>161</v>
      </c>
      <c r="E8" s="337"/>
      <c r="F8" s="114"/>
      <c r="G8" s="259"/>
      <c r="H8" s="4">
        <f>SUM(H9:H14)</f>
        <v>12646608</v>
      </c>
      <c r="I8" s="115">
        <f>SUM(I9:I14)</f>
        <v>12836754.91</v>
      </c>
      <c r="J8" s="115">
        <f>I8-H8</f>
        <v>190146.91000000015</v>
      </c>
      <c r="K8" s="234">
        <f>((I8/H8)-1)*100</f>
        <v>1.5035407913331467</v>
      </c>
      <c r="L8" s="4">
        <f>SUM(L9:L14)</f>
        <v>12636819</v>
      </c>
      <c r="M8" s="115">
        <f>SUM(M9:M14)</f>
        <v>10911638.499999998</v>
      </c>
      <c r="N8" s="115">
        <f t="shared" ref="N8:N18" si="0">M8-L8</f>
        <v>-1725180.5000000019</v>
      </c>
      <c r="O8" s="241">
        <f t="shared" ref="O8:O14" si="1">((M8/L8)-1)*100</f>
        <v>-13.652015590315902</v>
      </c>
      <c r="P8" s="4">
        <f>SUM(P9:P14)</f>
        <v>12646608</v>
      </c>
      <c r="Q8" s="115">
        <f>SUM(Q9:Q14)</f>
        <v>12030940.380000001</v>
      </c>
      <c r="R8" s="115">
        <f t="shared" ref="R8:R15" si="2">Q8-P8</f>
        <v>-615667.61999999918</v>
      </c>
      <c r="S8" s="241">
        <f t="shared" ref="S8:S14" si="3">((Q8/P8)-1)*100</f>
        <v>-4.8682430893722595</v>
      </c>
      <c r="T8" s="4">
        <f>SUM(T9:T14)</f>
        <v>13556208</v>
      </c>
      <c r="U8" s="115">
        <f>SUM(U9:U14)</f>
        <v>11972973.899999999</v>
      </c>
      <c r="V8" s="115">
        <f>U8-T8</f>
        <v>-1583234.1000000015</v>
      </c>
      <c r="W8" s="241">
        <f t="shared" ref="W8:W14" si="4">((U8/T8)-1)*100</f>
        <v>-11.67903369437826</v>
      </c>
      <c r="X8" s="4">
        <f>SUM(X9:X14)</f>
        <v>13556208</v>
      </c>
      <c r="Y8" s="115">
        <f>SUM(Y9:Y14)</f>
        <v>13540921.020000001</v>
      </c>
      <c r="Z8" s="115">
        <f>Y8-X8</f>
        <v>-15286.979999998584</v>
      </c>
      <c r="AA8" s="241">
        <f t="shared" ref="AA8:AA14" si="5">((Y8/X8)-1)*100</f>
        <v>-0.112767375655487</v>
      </c>
      <c r="AB8" s="4">
        <f>SUM(AB9:AB14)</f>
        <v>13556208</v>
      </c>
      <c r="AC8" s="115">
        <f>SUM(AC9:AC14)</f>
        <v>12498219.809999999</v>
      </c>
      <c r="AD8" s="115">
        <f>AC8-AB8</f>
        <v>-1057988.1900000013</v>
      </c>
      <c r="AE8" s="241">
        <f t="shared" ref="AE8:AE14" si="6">((AC8/AB8)-1)*100</f>
        <v>-7.8044552724478855</v>
      </c>
      <c r="AF8" s="115">
        <f t="shared" ref="AF8:AF70" si="7">SUM(I8+M8+Q8+U8+Y8+AC8)</f>
        <v>73791448.519999996</v>
      </c>
      <c r="AG8" s="615">
        <f t="shared" ref="AG8:AG70" si="8">AF8/6</f>
        <v>12298574.753333332</v>
      </c>
      <c r="AH8" s="4">
        <f>SUM(AH9:AH14)</f>
        <v>13366552</v>
      </c>
      <c r="AI8" s="115">
        <f>SUM(AI9:AI14)</f>
        <v>14944937.590000004</v>
      </c>
      <c r="AJ8" s="115">
        <f>AI8-AH8</f>
        <v>1578385.5900000036</v>
      </c>
      <c r="AK8" s="241">
        <f t="shared" ref="AK8:AK14" si="9">((AI8/AH8)-1)*100</f>
        <v>11.808472297118989</v>
      </c>
      <c r="AL8" s="4">
        <f>SUM(AL9:AL14)</f>
        <v>13366552</v>
      </c>
      <c r="AM8" s="115">
        <f>SUM(AM9:AM14)</f>
        <v>13976044.26</v>
      </c>
      <c r="AN8" s="117">
        <f>AM8-AL8</f>
        <v>609492.25999999978</v>
      </c>
      <c r="AO8" s="241">
        <f t="shared" ref="AO8:AO14" si="10">((AM8/AL8)-1)*100</f>
        <v>4.5598315855876592</v>
      </c>
      <c r="AP8" s="4">
        <f>SUM(AP9:AP14)</f>
        <v>13366552</v>
      </c>
      <c r="AQ8" s="115">
        <f>SUM(AQ9:AQ14)</f>
        <v>13845825.935999999</v>
      </c>
      <c r="AR8" s="117">
        <f>AQ8-AP8</f>
        <v>479273.93599999882</v>
      </c>
      <c r="AS8" s="241">
        <f t="shared" ref="AS8:AS14" si="11">((AQ8/AP8)-1)*100</f>
        <v>3.5856213030854844</v>
      </c>
      <c r="AT8" s="209">
        <f>SUM(AT9:AT14)</f>
        <v>13216552</v>
      </c>
      <c r="AU8" s="116">
        <f>SUM(AU9:AU14)</f>
        <v>14384838.660000002</v>
      </c>
      <c r="AV8" s="117">
        <f>AU8-AT8</f>
        <v>1168286.660000002</v>
      </c>
      <c r="AW8" s="241">
        <f t="shared" ref="AW8:AW14" si="12">((AU8/AT8)-1)*100</f>
        <v>8.839572227310132</v>
      </c>
      <c r="AX8" s="116">
        <f>SUM(AX9:AX14)</f>
        <v>13216552</v>
      </c>
      <c r="AY8" s="116">
        <f>SUM(AY9:AY14)</f>
        <v>14484084.609999999</v>
      </c>
      <c r="AZ8" s="117">
        <f>AY8-AX8</f>
        <v>1267532.6099999994</v>
      </c>
      <c r="BA8" s="616">
        <f t="shared" ref="BA8:BA14" si="13">((AY8/AX8)-1)*100</f>
        <v>9.5904938746505195</v>
      </c>
      <c r="BB8" s="209">
        <f>SUM(BB9:BB14)</f>
        <v>13216552</v>
      </c>
      <c r="BC8" s="116">
        <f>SUM(BC9:BC14)</f>
        <v>12842571.989999998</v>
      </c>
      <c r="BD8" s="117">
        <f>BC8-BB8</f>
        <v>-373980.01000000164</v>
      </c>
      <c r="BE8" s="241">
        <f t="shared" ref="BE8:BE14" si="14">((BC8/BB8)-1)*100</f>
        <v>-2.8296337047665765</v>
      </c>
      <c r="BF8" s="209">
        <f>AF8+AH8+AL8+AP8+AT8+AX8+BB8</f>
        <v>153540760.51999998</v>
      </c>
      <c r="BG8" s="115">
        <f>SUM(I8+M8+Q8+U8+Y8+AC8+AI8+AM8+AQ8+AU8+AY8+BC8)</f>
        <v>158269751.56600001</v>
      </c>
      <c r="BH8" s="118"/>
      <c r="BJ8" s="334"/>
    </row>
    <row r="9" spans="2:64" s="1" customFormat="1" ht="31.5" x14ac:dyDescent="0.25">
      <c r="B9" s="617" t="s">
        <v>3633</v>
      </c>
      <c r="C9" s="618"/>
      <c r="D9" s="381" t="s">
        <v>337</v>
      </c>
      <c r="E9" s="154"/>
      <c r="F9" s="148"/>
      <c r="G9" s="619">
        <v>2166251.7999999998</v>
      </c>
      <c r="H9" s="210">
        <v>1500000</v>
      </c>
      <c r="I9" s="871">
        <f>1014033.53+261718.31+890499.96</f>
        <v>2166251.7999999998</v>
      </c>
      <c r="J9" s="213">
        <f>I9-H9</f>
        <v>666251.79999999981</v>
      </c>
      <c r="K9" s="620">
        <f>((I9/H9)-1)*100</f>
        <v>44.416786666666667</v>
      </c>
      <c r="L9" s="120">
        <f>$H$9</f>
        <v>1500000</v>
      </c>
      <c r="M9" s="120">
        <f>(863086.69+244488.64+168452.69+163401.74+1058676.47)-M11</f>
        <v>2166251.7999999998</v>
      </c>
      <c r="N9" s="125">
        <f t="shared" si="0"/>
        <v>666251.79999999981</v>
      </c>
      <c r="O9" s="235">
        <f t="shared" si="1"/>
        <v>44.416786666666667</v>
      </c>
      <c r="P9" s="120">
        <f>$H$9</f>
        <v>1500000</v>
      </c>
      <c r="Q9" s="120">
        <f>(1218389.06+261252.39+137824.91+164716.5+685705.95)-Q11</f>
        <v>2165347.4</v>
      </c>
      <c r="R9" s="125">
        <f t="shared" si="2"/>
        <v>665347.39999999991</v>
      </c>
      <c r="S9" s="235">
        <f t="shared" si="3"/>
        <v>44.356493333333333</v>
      </c>
      <c r="T9" s="210">
        <f>$H$9</f>
        <v>1500000</v>
      </c>
      <c r="U9" s="120">
        <f>(1210996.46+311794.99+130992.2+424045.5+643460.35)-U11</f>
        <v>2166251.7999999998</v>
      </c>
      <c r="V9" s="125">
        <f>U9-T9</f>
        <v>666251.79999999981</v>
      </c>
      <c r="W9" s="235">
        <f t="shared" si="4"/>
        <v>44.416786666666667</v>
      </c>
      <c r="X9" s="210">
        <f>$H$9</f>
        <v>1500000</v>
      </c>
      <c r="Y9" s="120">
        <f>(1215094.1+329545.37+120211.76+194400.65+621612.33)-Y11</f>
        <v>2166251.7999999998</v>
      </c>
      <c r="Z9" s="125">
        <f>Y9-X9</f>
        <v>666251.79999999981</v>
      </c>
      <c r="AA9" s="235">
        <f t="shared" si="5"/>
        <v>44.416786666666667</v>
      </c>
      <c r="AB9" s="210">
        <f>$H$9</f>
        <v>1500000</v>
      </c>
      <c r="AC9" s="120">
        <f>(1262917.22+400318.03+149844.17+32479.56+503016.55)-AC11</f>
        <v>2166251.7999999998</v>
      </c>
      <c r="AD9" s="125">
        <f>AC9-AB9</f>
        <v>666251.79999999981</v>
      </c>
      <c r="AE9" s="235">
        <f t="shared" si="6"/>
        <v>44.416786666666667</v>
      </c>
      <c r="AF9" s="120">
        <f t="shared" si="7"/>
        <v>12996606.400000002</v>
      </c>
      <c r="AG9" s="120">
        <f t="shared" si="8"/>
        <v>2166101.0666666669</v>
      </c>
      <c r="AH9" s="210">
        <v>2166252</v>
      </c>
      <c r="AI9" s="120">
        <f>1343089.81+483041.39+340120.6</f>
        <v>2166251.8000000003</v>
      </c>
      <c r="AJ9" s="125">
        <f>AI9-AH9</f>
        <v>-0.19999999972060323</v>
      </c>
      <c r="AK9" s="235">
        <f t="shared" si="9"/>
        <v>-9.2325361800149608E-6</v>
      </c>
      <c r="AL9" s="210">
        <f>$AH$9</f>
        <v>2166252</v>
      </c>
      <c r="AM9" s="120">
        <f>1491609.74+550389.51+124282.55</f>
        <v>2166281.7999999998</v>
      </c>
      <c r="AN9" s="125">
        <f>AM9-AL9</f>
        <v>29.799999999813735</v>
      </c>
      <c r="AO9" s="235">
        <f t="shared" si="10"/>
        <v>1.3756478932203109E-3</v>
      </c>
      <c r="AP9" s="210">
        <f>$AH$9</f>
        <v>2166252</v>
      </c>
      <c r="AQ9" s="120">
        <f>1182063.59+496663.34+487494.87</f>
        <v>2166221.8000000003</v>
      </c>
      <c r="AR9" s="125">
        <f>AQ9-AP9</f>
        <v>-30.199999999720603</v>
      </c>
      <c r="AS9" s="235">
        <f t="shared" si="11"/>
        <v>-1.3941129656025453E-3</v>
      </c>
      <c r="AT9" s="210">
        <f>1866252+150000</f>
        <v>2016252</v>
      </c>
      <c r="AU9" s="120">
        <v>2166251.8000000003</v>
      </c>
      <c r="AV9" s="125">
        <f>AU9-AT9</f>
        <v>149999.80000000028</v>
      </c>
      <c r="AW9" s="235">
        <f t="shared" si="12"/>
        <v>7.4395363278003002</v>
      </c>
      <c r="AX9" s="210">
        <f>1866252+150000</f>
        <v>2016252</v>
      </c>
      <c r="AY9" s="120">
        <f>1201618.44+619910.24+344723.12</f>
        <v>2166251.7999999998</v>
      </c>
      <c r="AZ9" s="125">
        <f>AY9-AX9</f>
        <v>149999.79999999981</v>
      </c>
      <c r="BA9" s="319">
        <f t="shared" si="13"/>
        <v>7.439536327800278</v>
      </c>
      <c r="BB9" s="125">
        <f>AX9</f>
        <v>2016252</v>
      </c>
      <c r="BC9" s="125">
        <f>1369115.13+590594.52+206542.15</f>
        <v>2166251.7999999998</v>
      </c>
      <c r="BD9" s="125">
        <f>BC9-BB9</f>
        <v>149999.79999999981</v>
      </c>
      <c r="BE9" s="235">
        <f t="shared" si="14"/>
        <v>7.439536327800278</v>
      </c>
      <c r="BF9" s="125">
        <f t="shared" ref="BF9:BF70" si="15">AF9+AH9+AL9+AP9+AT9+AX9+BB9</f>
        <v>25544118.400000002</v>
      </c>
      <c r="BG9" s="126">
        <f t="shared" ref="BG9:BG19" si="16">SUM(I9+M9+Q9+U9+Y9+AC9+AI9+AM9+AQ9+AU9+AY9+BC9)</f>
        <v>25994117.200000007</v>
      </c>
      <c r="BH9" s="63"/>
      <c r="BJ9" s="398"/>
    </row>
    <row r="10" spans="2:64" s="1" customFormat="1" x14ac:dyDescent="0.25">
      <c r="B10" s="621">
        <v>53935</v>
      </c>
      <c r="C10" s="622"/>
      <c r="D10" s="383" t="s">
        <v>3632</v>
      </c>
      <c r="E10" s="154"/>
      <c r="F10" s="148"/>
      <c r="G10" s="619"/>
      <c r="H10" s="219"/>
      <c r="I10" s="129"/>
      <c r="J10" s="138"/>
      <c r="K10" s="620"/>
      <c r="L10" s="129"/>
      <c r="M10" s="129">
        <v>-437053.41</v>
      </c>
      <c r="N10" s="125"/>
      <c r="O10" s="235"/>
      <c r="P10" s="129"/>
      <c r="Q10" s="129"/>
      <c r="R10" s="125"/>
      <c r="S10" s="235"/>
      <c r="T10" s="219"/>
      <c r="U10" s="129">
        <v>-887373.4</v>
      </c>
      <c r="V10" s="125"/>
      <c r="W10" s="235"/>
      <c r="X10" s="219"/>
      <c r="Y10" s="129">
        <v>-1031789.22</v>
      </c>
      <c r="Z10" s="125"/>
      <c r="AA10" s="235"/>
      <c r="AB10" s="219"/>
      <c r="AC10" s="129"/>
      <c r="AD10" s="125"/>
      <c r="AE10" s="235"/>
      <c r="AF10" s="129">
        <f t="shared" si="7"/>
        <v>-2356216.0300000003</v>
      </c>
      <c r="AG10" s="129">
        <f t="shared" si="8"/>
        <v>-392702.67166666669</v>
      </c>
      <c r="AH10" s="219"/>
      <c r="AI10" s="129"/>
      <c r="AJ10" s="125"/>
      <c r="AK10" s="235"/>
      <c r="AL10" s="219"/>
      <c r="AM10" s="129">
        <v>0</v>
      </c>
      <c r="AN10" s="125"/>
      <c r="AO10" s="235"/>
      <c r="AP10" s="219"/>
      <c r="AQ10" s="129">
        <v>0</v>
      </c>
      <c r="AR10" s="125"/>
      <c r="AS10" s="235"/>
      <c r="AT10" s="219"/>
      <c r="AU10" s="129">
        <v>0</v>
      </c>
      <c r="AV10" s="125"/>
      <c r="AW10" s="235"/>
      <c r="AX10" s="219"/>
      <c r="AY10" s="129">
        <v>0</v>
      </c>
      <c r="AZ10" s="125"/>
      <c r="BA10" s="319"/>
      <c r="BB10" s="219"/>
      <c r="BC10" s="129">
        <v>0</v>
      </c>
      <c r="BD10" s="125"/>
      <c r="BE10" s="235"/>
      <c r="BF10" s="219">
        <f t="shared" si="15"/>
        <v>-2356216.0300000003</v>
      </c>
      <c r="BG10" s="126">
        <f t="shared" si="16"/>
        <v>-2356216.0300000003</v>
      </c>
      <c r="BH10" s="63"/>
      <c r="BJ10" s="398"/>
    </row>
    <row r="11" spans="2:64" s="1" customFormat="1" x14ac:dyDescent="0.25">
      <c r="B11" s="623" t="s">
        <v>3634</v>
      </c>
      <c r="C11" s="624"/>
      <c r="D11" s="625" t="s">
        <v>7</v>
      </c>
      <c r="E11" s="626"/>
      <c r="F11" s="148"/>
      <c r="G11" s="619">
        <v>410000</v>
      </c>
      <c r="H11" s="211">
        <f>$G$11</f>
        <v>410000</v>
      </c>
      <c r="I11" s="872">
        <f>170952.24+558504.73</f>
        <v>729456.97</v>
      </c>
      <c r="J11" s="126">
        <f t="shared" ref="J11:J43" si="17">I11-H11</f>
        <v>319456.96999999997</v>
      </c>
      <c r="K11" s="620">
        <f t="shared" ref="K11:K19" si="18">((I11/H11)-1)*100</f>
        <v>77.916334146341455</v>
      </c>
      <c r="L11" s="121">
        <f>$G$11</f>
        <v>410000</v>
      </c>
      <c r="M11" s="121">
        <f>168452.69+163401.74</f>
        <v>331854.43</v>
      </c>
      <c r="N11" s="125">
        <f>M11-L11</f>
        <v>-78145.570000000007</v>
      </c>
      <c r="O11" s="235">
        <f t="shared" si="1"/>
        <v>-19.059895121951222</v>
      </c>
      <c r="P11" s="125">
        <f>$G$11</f>
        <v>410000</v>
      </c>
      <c r="Q11" s="125">
        <f>137824.91+164716.5</f>
        <v>302541.41000000003</v>
      </c>
      <c r="R11" s="125">
        <f>Q11-P11</f>
        <v>-107458.58999999997</v>
      </c>
      <c r="S11" s="235">
        <f t="shared" si="3"/>
        <v>-26.209412195121939</v>
      </c>
      <c r="T11" s="211">
        <f>$G$11</f>
        <v>410000</v>
      </c>
      <c r="U11" s="121">
        <f>130992.2+424045.5</f>
        <v>555037.69999999995</v>
      </c>
      <c r="V11" s="125">
        <f t="shared" ref="V11:V19" si="19">U11-T11</f>
        <v>145037.69999999995</v>
      </c>
      <c r="W11" s="235">
        <f t="shared" si="4"/>
        <v>35.375048780487781</v>
      </c>
      <c r="X11" s="211">
        <f>$G$11</f>
        <v>410000</v>
      </c>
      <c r="Y11" s="121">
        <f>120211.76+194400.65</f>
        <v>314612.40999999997</v>
      </c>
      <c r="Z11" s="125">
        <f t="shared" ref="Z11:Z19" si="20">Y11-X11</f>
        <v>-95387.590000000026</v>
      </c>
      <c r="AA11" s="235">
        <f t="shared" si="5"/>
        <v>-23.265265853658544</v>
      </c>
      <c r="AB11" s="211">
        <f>$G$11</f>
        <v>410000</v>
      </c>
      <c r="AC11" s="121">
        <f>149844.17+32479.56</f>
        <v>182323.73</v>
      </c>
      <c r="AD11" s="125">
        <f t="shared" ref="AD11:AD19" si="21">AC11-AB11</f>
        <v>-227676.27</v>
      </c>
      <c r="AE11" s="235">
        <f t="shared" si="6"/>
        <v>-55.530797560975607</v>
      </c>
      <c r="AF11" s="129">
        <f t="shared" si="7"/>
        <v>2415826.65</v>
      </c>
      <c r="AG11" s="121">
        <f t="shared" si="8"/>
        <v>402637.77499999997</v>
      </c>
      <c r="AH11" s="211">
        <v>403000</v>
      </c>
      <c r="AI11" s="121">
        <f>145148.38+343490.16</f>
        <v>488638.54</v>
      </c>
      <c r="AJ11" s="125">
        <f t="shared" ref="AJ11:AJ19" si="22">AI11-AH11</f>
        <v>85638.539999999979</v>
      </c>
      <c r="AK11" s="235">
        <f t="shared" si="9"/>
        <v>21.250258064516125</v>
      </c>
      <c r="AL11" s="211">
        <f>AH11</f>
        <v>403000</v>
      </c>
      <c r="AM11" s="121">
        <f>145317.36+327607.67</f>
        <v>472925.02999999997</v>
      </c>
      <c r="AN11" s="125">
        <f>AM11-AL11</f>
        <v>69925.02999999997</v>
      </c>
      <c r="AO11" s="235">
        <f t="shared" si="10"/>
        <v>17.351124069478896</v>
      </c>
      <c r="AP11" s="211">
        <f>AL11</f>
        <v>403000</v>
      </c>
      <c r="AQ11" s="121">
        <f>136169.01+150979.56</f>
        <v>287148.57</v>
      </c>
      <c r="AR11" s="125">
        <f>AQ11-AP11</f>
        <v>-115851.43</v>
      </c>
      <c r="AS11" s="235">
        <f t="shared" si="11"/>
        <v>-28.74725310173697</v>
      </c>
      <c r="AT11" s="211">
        <f>AP11</f>
        <v>403000</v>
      </c>
      <c r="AU11" s="121">
        <v>478167.27</v>
      </c>
      <c r="AV11" s="125">
        <f>AU11-AT11</f>
        <v>75167.270000000019</v>
      </c>
      <c r="AW11" s="235">
        <f t="shared" si="12"/>
        <v>18.651928039702238</v>
      </c>
      <c r="AX11" s="211">
        <f>AT11</f>
        <v>403000</v>
      </c>
      <c r="AY11" s="121">
        <f>191217.79+248055.56</f>
        <v>439273.35</v>
      </c>
      <c r="AZ11" s="125">
        <f>AY11-AX11</f>
        <v>36273.349999999977</v>
      </c>
      <c r="BA11" s="319">
        <f t="shared" si="13"/>
        <v>9.0008312655086797</v>
      </c>
      <c r="BB11" s="211">
        <f>AX11</f>
        <v>403000</v>
      </c>
      <c r="BC11" s="121">
        <f>79707.43+228853.8</f>
        <v>308561.23</v>
      </c>
      <c r="BD11" s="125">
        <f t="shared" ref="BD11:BD19" si="23">BC11-BB11</f>
        <v>-94438.770000000019</v>
      </c>
      <c r="BE11" s="235">
        <f t="shared" si="14"/>
        <v>-23.433937965260554</v>
      </c>
      <c r="BF11" s="211">
        <f t="shared" si="15"/>
        <v>4833826.6500000004</v>
      </c>
      <c r="BG11" s="126">
        <f t="shared" si="16"/>
        <v>4890540.6399999987</v>
      </c>
      <c r="BH11" s="63"/>
    </row>
    <row r="12" spans="2:64" s="11" customFormat="1" x14ac:dyDescent="0.25">
      <c r="B12" s="122">
        <v>4882</v>
      </c>
      <c r="C12" s="380"/>
      <c r="D12" s="382" t="s">
        <v>8</v>
      </c>
      <c r="E12" s="338"/>
      <c r="F12" s="148"/>
      <c r="G12" s="619">
        <v>880000</v>
      </c>
      <c r="H12" s="211">
        <f>$G$12</f>
        <v>880000</v>
      </c>
      <c r="I12" s="822">
        <v>917018.83</v>
      </c>
      <c r="J12" s="125">
        <f t="shared" si="17"/>
        <v>37018.829999999958</v>
      </c>
      <c r="K12" s="235">
        <f t="shared" si="18"/>
        <v>4.2066852272727218</v>
      </c>
      <c r="L12" s="211">
        <f>$G$12</f>
        <v>880000</v>
      </c>
      <c r="M12" s="121">
        <v>807642.07</v>
      </c>
      <c r="N12" s="125">
        <f>M12-L12</f>
        <v>-72357.930000000051</v>
      </c>
      <c r="O12" s="235">
        <f t="shared" si="1"/>
        <v>-8.2224920454545547</v>
      </c>
      <c r="P12" s="211">
        <f>$G$12</f>
        <v>880000</v>
      </c>
      <c r="Q12" s="121">
        <v>848408.12</v>
      </c>
      <c r="R12" s="125">
        <f t="shared" si="2"/>
        <v>-31591.880000000005</v>
      </c>
      <c r="S12" s="235">
        <f t="shared" si="3"/>
        <v>-3.589986363636366</v>
      </c>
      <c r="T12" s="211">
        <f>$G$12</f>
        <v>880000</v>
      </c>
      <c r="U12" s="125">
        <v>854903.54</v>
      </c>
      <c r="V12" s="125">
        <f t="shared" si="19"/>
        <v>-25096.459999999963</v>
      </c>
      <c r="W12" s="235">
        <f t="shared" si="4"/>
        <v>-2.8518704545454465</v>
      </c>
      <c r="X12" s="211">
        <f>$G$12</f>
        <v>880000</v>
      </c>
      <c r="Y12" s="121">
        <v>876955.66</v>
      </c>
      <c r="Z12" s="125">
        <f t="shared" si="20"/>
        <v>-3044.3399999999674</v>
      </c>
      <c r="AA12" s="235">
        <f t="shared" si="5"/>
        <v>-0.34594772727272183</v>
      </c>
      <c r="AB12" s="211">
        <f>$G$12</f>
        <v>880000</v>
      </c>
      <c r="AC12" s="125">
        <v>837742.28</v>
      </c>
      <c r="AD12" s="125">
        <f t="shared" si="21"/>
        <v>-42257.719999999972</v>
      </c>
      <c r="AE12" s="235">
        <f t="shared" si="6"/>
        <v>-4.8020136363636334</v>
      </c>
      <c r="AF12" s="129">
        <f t="shared" si="7"/>
        <v>5142670.5</v>
      </c>
      <c r="AG12" s="125">
        <f t="shared" si="8"/>
        <v>857111.75</v>
      </c>
      <c r="AH12" s="211">
        <v>857000</v>
      </c>
      <c r="AI12" s="125">
        <v>897974.69</v>
      </c>
      <c r="AJ12" s="125">
        <f t="shared" si="22"/>
        <v>40974.689999999944</v>
      </c>
      <c r="AK12" s="235">
        <f t="shared" si="9"/>
        <v>4.781177362893807</v>
      </c>
      <c r="AL12" s="211">
        <f>AH12</f>
        <v>857000</v>
      </c>
      <c r="AM12" s="125">
        <v>914682.51</v>
      </c>
      <c r="AN12" s="125">
        <f t="shared" ref="AN12:AN19" si="24">AM12-AL12</f>
        <v>57682.510000000009</v>
      </c>
      <c r="AO12" s="235">
        <f t="shared" si="10"/>
        <v>6.7307479579929996</v>
      </c>
      <c r="AP12" s="211">
        <f>AL12</f>
        <v>857000</v>
      </c>
      <c r="AQ12" s="125">
        <f>833970.32</f>
        <v>833970.32</v>
      </c>
      <c r="AR12" s="125">
        <f t="shared" ref="AR12:AR19" si="25">AQ12-AP12</f>
        <v>-23029.680000000051</v>
      </c>
      <c r="AS12" s="235">
        <f t="shared" si="11"/>
        <v>-2.6872438739790061</v>
      </c>
      <c r="AT12" s="211">
        <f>AP12</f>
        <v>857000</v>
      </c>
      <c r="AU12" s="125">
        <v>929452.45</v>
      </c>
      <c r="AV12" s="125">
        <f t="shared" ref="AV12:AV19" si="26">AU12-AT12</f>
        <v>72452.449999999953</v>
      </c>
      <c r="AW12" s="627">
        <f t="shared" si="12"/>
        <v>8.45419486581096</v>
      </c>
      <c r="AX12" s="211">
        <f>AT12</f>
        <v>857000</v>
      </c>
      <c r="AY12" s="125">
        <v>881459.69</v>
      </c>
      <c r="AZ12" s="125">
        <f t="shared" ref="AZ12:AZ19" si="27">AY12-AX12</f>
        <v>24459.689999999944</v>
      </c>
      <c r="BA12" s="319">
        <f t="shared" si="13"/>
        <v>2.8541061843640581</v>
      </c>
      <c r="BB12" s="211">
        <f>AX12</f>
        <v>857000</v>
      </c>
      <c r="BC12" s="125">
        <v>908661.78</v>
      </c>
      <c r="BD12" s="125">
        <f t="shared" si="23"/>
        <v>51661.780000000028</v>
      </c>
      <c r="BE12" s="235">
        <f t="shared" si="14"/>
        <v>6.0282123687281253</v>
      </c>
      <c r="BF12" s="211">
        <f t="shared" si="15"/>
        <v>10284670.5</v>
      </c>
      <c r="BG12" s="126">
        <f t="shared" si="16"/>
        <v>10508871.939999998</v>
      </c>
      <c r="BH12" s="63"/>
    </row>
    <row r="13" spans="2:64" s="11" customFormat="1" x14ac:dyDescent="0.25">
      <c r="B13" s="127" t="s">
        <v>135</v>
      </c>
      <c r="C13" s="380"/>
      <c r="D13" s="383" t="s">
        <v>338</v>
      </c>
      <c r="E13" s="338"/>
      <c r="F13" s="258"/>
      <c r="G13" s="619">
        <v>9439686.1916666646</v>
      </c>
      <c r="H13" s="219">
        <f>8439000+211908</f>
        <v>8650908</v>
      </c>
      <c r="I13" s="129">
        <f>7835355.69+99429.25</f>
        <v>7934784.9400000004</v>
      </c>
      <c r="J13" s="125">
        <f t="shared" si="17"/>
        <v>-716123.05999999959</v>
      </c>
      <c r="K13" s="236">
        <f t="shared" si="18"/>
        <v>-8.2780103545200046</v>
      </c>
      <c r="L13" s="219">
        <f>8650908-9789</f>
        <v>8641119</v>
      </c>
      <c r="M13" s="130">
        <f>6854416.4+67045.68</f>
        <v>6921462.0800000001</v>
      </c>
      <c r="N13" s="125">
        <f>M13-L13</f>
        <v>-1719656.92</v>
      </c>
      <c r="O13" s="236">
        <f t="shared" si="1"/>
        <v>-19.900859136415082</v>
      </c>
      <c r="P13" s="219">
        <f>$H$13</f>
        <v>8650908</v>
      </c>
      <c r="Q13" s="628">
        <f>7423160.42+87667.2</f>
        <v>7510827.6200000001</v>
      </c>
      <c r="R13" s="201">
        <f t="shared" si="2"/>
        <v>-1140080.3799999999</v>
      </c>
      <c r="S13" s="236">
        <f t="shared" si="3"/>
        <v>-13.178736613543919</v>
      </c>
      <c r="T13" s="219">
        <f>9235000+211908</f>
        <v>9446908</v>
      </c>
      <c r="U13" s="131">
        <f>8160918.96+67900.69</f>
        <v>8228819.6500000004</v>
      </c>
      <c r="V13" s="201">
        <f t="shared" si="19"/>
        <v>-1218088.3499999996</v>
      </c>
      <c r="W13" s="236">
        <f t="shared" si="4"/>
        <v>-12.894042685712614</v>
      </c>
      <c r="X13" s="219">
        <f>$T$13</f>
        <v>9446908</v>
      </c>
      <c r="Y13" s="131">
        <f>9962484.41+65366.14</f>
        <v>10027850.550000001</v>
      </c>
      <c r="Z13" s="201">
        <f t="shared" si="20"/>
        <v>580942.55000000075</v>
      </c>
      <c r="AA13" s="236">
        <f t="shared" si="5"/>
        <v>6.1495523191291923</v>
      </c>
      <c r="AB13" s="219">
        <f>$T$13</f>
        <v>9446908</v>
      </c>
      <c r="AC13" s="628">
        <f>8015871.21+61997.85</f>
        <v>8077869.0599999996</v>
      </c>
      <c r="AD13" s="201">
        <f t="shared" si="21"/>
        <v>-1369038.9400000004</v>
      </c>
      <c r="AE13" s="236">
        <f t="shared" si="6"/>
        <v>-14.491926247191145</v>
      </c>
      <c r="AF13" s="628">
        <f t="shared" si="7"/>
        <v>48701613.900000006</v>
      </c>
      <c r="AG13" s="628">
        <f t="shared" si="8"/>
        <v>8116935.6500000013</v>
      </c>
      <c r="AH13" s="219">
        <f>8790300</f>
        <v>8790300</v>
      </c>
      <c r="AI13" s="131">
        <f>9946549.97+32452.88</f>
        <v>9979002.8500000015</v>
      </c>
      <c r="AJ13" s="201">
        <f t="shared" si="22"/>
        <v>1188702.8500000015</v>
      </c>
      <c r="AK13" s="236">
        <f t="shared" si="9"/>
        <v>13.52289284779815</v>
      </c>
      <c r="AL13" s="219">
        <f>AH13</f>
        <v>8790300</v>
      </c>
      <c r="AM13" s="628">
        <f>8996687.92+60844.86</f>
        <v>9057532.7799999993</v>
      </c>
      <c r="AN13" s="125">
        <f t="shared" si="24"/>
        <v>267232.77999999933</v>
      </c>
      <c r="AO13" s="236">
        <f t="shared" si="10"/>
        <v>3.040087141508252</v>
      </c>
      <c r="AP13" s="219">
        <f>AL13</f>
        <v>8790300</v>
      </c>
      <c r="AQ13" s="131">
        <f>8962731.93+118820.286</f>
        <v>9081552.216</v>
      </c>
      <c r="AR13" s="125">
        <f t="shared" si="25"/>
        <v>291252.21600000001</v>
      </c>
      <c r="AS13" s="236">
        <f t="shared" si="11"/>
        <v>3.3133364731579018</v>
      </c>
      <c r="AT13" s="219">
        <f>AP13</f>
        <v>8790300</v>
      </c>
      <c r="AU13" s="628">
        <f>108506.13+8983741.91</f>
        <v>9092248.040000001</v>
      </c>
      <c r="AV13" s="125">
        <f t="shared" si="26"/>
        <v>301948.04000000097</v>
      </c>
      <c r="AW13" s="236">
        <f t="shared" si="12"/>
        <v>3.4350140495773784</v>
      </c>
      <c r="AX13" s="219">
        <f>AT13</f>
        <v>8790300</v>
      </c>
      <c r="AY13" s="131">
        <f>9435699.83+75437.53</f>
        <v>9511137.3599999994</v>
      </c>
      <c r="AZ13" s="125">
        <f t="shared" si="27"/>
        <v>720837.3599999994</v>
      </c>
      <c r="BA13" s="629">
        <f t="shared" si="13"/>
        <v>8.2003726835261581</v>
      </c>
      <c r="BB13" s="219">
        <f>AX13</f>
        <v>8790300</v>
      </c>
      <c r="BC13" s="131">
        <f>7857397.75+75552.59</f>
        <v>7932950.3399999999</v>
      </c>
      <c r="BD13" s="201">
        <f t="shared" si="23"/>
        <v>-857349.66000000015</v>
      </c>
      <c r="BE13" s="236">
        <f t="shared" si="14"/>
        <v>-9.7533606361557617</v>
      </c>
      <c r="BF13" s="219">
        <f t="shared" si="15"/>
        <v>101443413.90000001</v>
      </c>
      <c r="BG13" s="630">
        <f t="shared" si="16"/>
        <v>103356037.48600002</v>
      </c>
      <c r="BH13" s="63"/>
      <c r="BJ13" s="132"/>
      <c r="BK13" s="132"/>
    </row>
    <row r="14" spans="2:64" s="11" customFormat="1" ht="16.5" thickBot="1" x14ac:dyDescent="0.3">
      <c r="B14" s="379"/>
      <c r="C14" s="631"/>
      <c r="D14" s="384" t="s">
        <v>127</v>
      </c>
      <c r="E14" s="338"/>
      <c r="F14" s="148"/>
      <c r="G14" s="619">
        <f>H73</f>
        <v>1205700</v>
      </c>
      <c r="H14" s="211">
        <f>$G$14</f>
        <v>1205700</v>
      </c>
      <c r="I14" s="125">
        <v>1089242.3700000001</v>
      </c>
      <c r="J14" s="125">
        <f t="shared" si="17"/>
        <v>-116457.62999999989</v>
      </c>
      <c r="K14" s="236">
        <f t="shared" si="18"/>
        <v>-9.6589226175665459</v>
      </c>
      <c r="L14" s="211">
        <f>$G$14</f>
        <v>1205700</v>
      </c>
      <c r="M14" s="632">
        <v>1121481.53</v>
      </c>
      <c r="N14" s="125">
        <f>M14-L14</f>
        <v>-84218.469999999972</v>
      </c>
      <c r="O14" s="236">
        <f t="shared" si="1"/>
        <v>-6.9850269552956812</v>
      </c>
      <c r="P14" s="211">
        <f>$G$14</f>
        <v>1205700</v>
      </c>
      <c r="Q14" s="201">
        <v>1203815.83</v>
      </c>
      <c r="R14" s="201">
        <f t="shared" si="2"/>
        <v>-1884.1699999999255</v>
      </c>
      <c r="S14" s="236">
        <f t="shared" si="3"/>
        <v>-0.15627187525918407</v>
      </c>
      <c r="T14" s="211">
        <v>1319300</v>
      </c>
      <c r="U14" s="125">
        <v>1055334.6100000001</v>
      </c>
      <c r="V14" s="201">
        <f t="shared" si="19"/>
        <v>-263965.3899999999</v>
      </c>
      <c r="W14" s="236">
        <f t="shared" si="4"/>
        <v>-20.007988327143178</v>
      </c>
      <c r="X14" s="211">
        <f>T14</f>
        <v>1319300</v>
      </c>
      <c r="Y14" s="125">
        <v>1187039.82</v>
      </c>
      <c r="Z14" s="201">
        <f t="shared" si="20"/>
        <v>-132260.17999999993</v>
      </c>
      <c r="AA14" s="236">
        <f t="shared" si="5"/>
        <v>-10.02502690820889</v>
      </c>
      <c r="AB14" s="211">
        <f>X14</f>
        <v>1319300</v>
      </c>
      <c r="AC14" s="125">
        <v>1234032.94</v>
      </c>
      <c r="AD14" s="201">
        <f t="shared" si="21"/>
        <v>-85267.060000000056</v>
      </c>
      <c r="AE14" s="236">
        <f t="shared" si="6"/>
        <v>-6.4630531342378621</v>
      </c>
      <c r="AF14" s="125">
        <f t="shared" si="7"/>
        <v>6890947.1000000015</v>
      </c>
      <c r="AG14" s="125">
        <f t="shared" si="8"/>
        <v>1148491.1833333336</v>
      </c>
      <c r="AH14" s="211">
        <v>1150000</v>
      </c>
      <c r="AI14" s="125">
        <v>1413069.71</v>
      </c>
      <c r="AJ14" s="201">
        <f t="shared" si="22"/>
        <v>263069.70999999996</v>
      </c>
      <c r="AK14" s="236">
        <f t="shared" si="9"/>
        <v>22.875626956521742</v>
      </c>
      <c r="AL14" s="211">
        <f>AH14</f>
        <v>1150000</v>
      </c>
      <c r="AM14" s="121">
        <v>1364622.14</v>
      </c>
      <c r="AN14" s="125">
        <f t="shared" si="24"/>
        <v>214622.1399999999</v>
      </c>
      <c r="AO14" s="236">
        <f t="shared" si="10"/>
        <v>18.662794782608682</v>
      </c>
      <c r="AP14" s="211">
        <f>AL14</f>
        <v>1150000</v>
      </c>
      <c r="AQ14" s="125">
        <v>1476933.03</v>
      </c>
      <c r="AR14" s="125">
        <f t="shared" si="25"/>
        <v>326933.03000000003</v>
      </c>
      <c r="AS14" s="236">
        <f t="shared" si="11"/>
        <v>28.428959130434794</v>
      </c>
      <c r="AT14" s="211">
        <f>AP14</f>
        <v>1150000</v>
      </c>
      <c r="AU14" s="125">
        <v>1718719.1</v>
      </c>
      <c r="AV14" s="125">
        <f t="shared" si="26"/>
        <v>568719.10000000009</v>
      </c>
      <c r="AW14" s="236">
        <f t="shared" si="12"/>
        <v>49.453834782608695</v>
      </c>
      <c r="AX14" s="211">
        <f>AT14</f>
        <v>1150000</v>
      </c>
      <c r="AY14" s="125">
        <v>1485962.41</v>
      </c>
      <c r="AZ14" s="125">
        <f t="shared" si="27"/>
        <v>335962.40999999992</v>
      </c>
      <c r="BA14" s="629">
        <f t="shared" si="13"/>
        <v>29.214122608695646</v>
      </c>
      <c r="BB14" s="211">
        <f>AX14</f>
        <v>1150000</v>
      </c>
      <c r="BC14" s="125">
        <v>1526146.84</v>
      </c>
      <c r="BD14" s="201">
        <f t="shared" si="23"/>
        <v>376146.84000000008</v>
      </c>
      <c r="BE14" s="236">
        <f t="shared" si="14"/>
        <v>32.708420869565224</v>
      </c>
      <c r="BF14" s="211">
        <f t="shared" si="15"/>
        <v>13790947.100000001</v>
      </c>
      <c r="BG14" s="126">
        <f t="shared" si="16"/>
        <v>15876400.33</v>
      </c>
      <c r="BH14" s="63"/>
      <c r="BJ14" s="132"/>
      <c r="BK14" s="132"/>
    </row>
    <row r="15" spans="2:64" s="11" customFormat="1" ht="16.5" thickBot="1" x14ac:dyDescent="0.3">
      <c r="B15" s="633"/>
      <c r="C15" s="133"/>
      <c r="D15" s="634" t="s">
        <v>159</v>
      </c>
      <c r="E15" s="635"/>
      <c r="F15" s="3"/>
      <c r="G15" s="203"/>
      <c r="H15" s="4">
        <f>SUM(H16:H18)</f>
        <v>802664.17333333334</v>
      </c>
      <c r="I15" s="115">
        <f>SUM(I16:I18)</f>
        <v>802664.28</v>
      </c>
      <c r="J15" s="4">
        <f t="shared" si="17"/>
        <v>0.10666666668839753</v>
      </c>
      <c r="K15" s="242">
        <f t="shared" si="18"/>
        <v>1.3289077838152252E-5</v>
      </c>
      <c r="L15" s="4">
        <f>SUM(L16:L18)</f>
        <v>802664.17333333334</v>
      </c>
      <c r="M15" s="115">
        <f>SUM(M16:M18)</f>
        <v>802664.28</v>
      </c>
      <c r="N15" s="4">
        <f t="shared" si="0"/>
        <v>0.10666666668839753</v>
      </c>
      <c r="O15" s="242">
        <f>((M15/L15)-1)*100</f>
        <v>1.3289077838152252E-5</v>
      </c>
      <c r="P15" s="203">
        <f>SUM(P16:P18)</f>
        <v>802664.17333333334</v>
      </c>
      <c r="Q15" s="4">
        <f>SUM(Q16:Q18)</f>
        <v>802664.28</v>
      </c>
      <c r="R15" s="115">
        <f t="shared" si="2"/>
        <v>0.10666666668839753</v>
      </c>
      <c r="S15" s="242">
        <f>((Q15/P15)-1)*100</f>
        <v>1.3289077838152252E-5</v>
      </c>
      <c r="T15" s="4">
        <f>SUM(T16:T18)</f>
        <v>802664.17333333334</v>
      </c>
      <c r="U15" s="115">
        <f>SUM(U16:U18)</f>
        <v>802664.28</v>
      </c>
      <c r="V15" s="4">
        <f t="shared" si="19"/>
        <v>0.10666666668839753</v>
      </c>
      <c r="W15" s="242">
        <f>((U15/T15)-1)*100</f>
        <v>1.3289077838152252E-5</v>
      </c>
      <c r="X15" s="4">
        <f>SUM(X16:X18)</f>
        <v>802664.17333333334</v>
      </c>
      <c r="Y15" s="115">
        <f>SUM(Y16:Y18)</f>
        <v>802664.28</v>
      </c>
      <c r="Z15" s="4">
        <f t="shared" si="20"/>
        <v>0.10666666668839753</v>
      </c>
      <c r="AA15" s="242">
        <f>((Y15/X15)-1)*100</f>
        <v>1.3289077838152252E-5</v>
      </c>
      <c r="AB15" s="4">
        <f>SUM(AB16:AB18)</f>
        <v>802664.17333333334</v>
      </c>
      <c r="AC15" s="115">
        <f>SUM(AC16:AC18)</f>
        <v>802664.28</v>
      </c>
      <c r="AD15" s="4">
        <f t="shared" si="21"/>
        <v>0.10666666668839753</v>
      </c>
      <c r="AE15" s="242">
        <f>((AC15/AB15)-1)*100</f>
        <v>1.3289077838152252E-5</v>
      </c>
      <c r="AF15" s="115">
        <f t="shared" si="7"/>
        <v>4815985.6800000006</v>
      </c>
      <c r="AG15" s="115">
        <f t="shared" si="8"/>
        <v>802664.28000000014</v>
      </c>
      <c r="AH15" s="4">
        <f>SUM(AH16:AH18)</f>
        <v>802664.17333333334</v>
      </c>
      <c r="AI15" s="115">
        <f>SUM(AI16:AI18)</f>
        <v>802664.28</v>
      </c>
      <c r="AJ15" s="4">
        <f t="shared" si="22"/>
        <v>0.10666666668839753</v>
      </c>
      <c r="AK15" s="242">
        <f>((AI15/AH15)-1)*100</f>
        <v>1.3289077838152252E-5</v>
      </c>
      <c r="AL15" s="4">
        <f>SUM(AL16:AL18)</f>
        <v>802664.17333333334</v>
      </c>
      <c r="AM15" s="115">
        <f>SUM(AM16:AM18)</f>
        <v>802664.28</v>
      </c>
      <c r="AN15" s="4">
        <f t="shared" si="24"/>
        <v>0.10666666668839753</v>
      </c>
      <c r="AO15" s="242">
        <f>((AM15/AL15)-1)*100</f>
        <v>1.3289077838152252E-5</v>
      </c>
      <c r="AP15" s="4">
        <f>SUM(AP16:AP18)</f>
        <v>802664.17333333334</v>
      </c>
      <c r="AQ15" s="115">
        <f>SUM(AQ16:AQ18)</f>
        <v>802664</v>
      </c>
      <c r="AR15" s="4">
        <f t="shared" si="25"/>
        <v>-0.17333333333954215</v>
      </c>
      <c r="AS15" s="242">
        <f>((AQ15/AP15)-1)*100</f>
        <v>-2.1594751464792949E-5</v>
      </c>
      <c r="AT15" s="4">
        <f>SUM(AT16:AT18)</f>
        <v>802664.17333333334</v>
      </c>
      <c r="AU15" s="115">
        <f>SUM(AU16:AU18)</f>
        <v>802664.28</v>
      </c>
      <c r="AV15" s="4">
        <f t="shared" si="26"/>
        <v>0.10666666668839753</v>
      </c>
      <c r="AW15" s="242">
        <f>((AU15/AT15)-1)*100</f>
        <v>1.3289077838152252E-5</v>
      </c>
      <c r="AX15" s="4">
        <f>SUM(AX16:AX18)</f>
        <v>802664.17333333334</v>
      </c>
      <c r="AY15" s="115">
        <f>SUM(AY16:AY18)</f>
        <v>802664.28</v>
      </c>
      <c r="AZ15" s="4">
        <f t="shared" si="27"/>
        <v>0.10666666668839753</v>
      </c>
      <c r="BA15" s="318">
        <f>((AY15/AX15)-1)*100</f>
        <v>1.3289077838152252E-5</v>
      </c>
      <c r="BB15" s="4">
        <f>SUM(BB16:BB18)</f>
        <v>802664.17333333334</v>
      </c>
      <c r="BC15" s="115">
        <f>SUM(BC16:BC18)</f>
        <v>802664.28</v>
      </c>
      <c r="BD15" s="4">
        <f t="shared" si="23"/>
        <v>0.10666666668839753</v>
      </c>
      <c r="BE15" s="242">
        <f>((BC15/BB15)-1)*100</f>
        <v>1.3289077838152252E-5</v>
      </c>
      <c r="BF15" s="4">
        <f t="shared" si="15"/>
        <v>9631970.7200000025</v>
      </c>
      <c r="BG15" s="115">
        <f t="shared" si="16"/>
        <v>9631971.0800000001</v>
      </c>
      <c r="BH15" s="63"/>
      <c r="BJ15" s="333"/>
    </row>
    <row r="16" spans="2:64" s="11" customFormat="1" x14ac:dyDescent="0.25">
      <c r="B16" s="134">
        <v>51680</v>
      </c>
      <c r="C16" s="380"/>
      <c r="D16" s="636" t="s">
        <v>9</v>
      </c>
      <c r="E16" s="338"/>
      <c r="F16" s="256"/>
      <c r="G16" s="619">
        <v>199045.21</v>
      </c>
      <c r="H16" s="212">
        <f>$G$16</f>
        <v>199045.21</v>
      </c>
      <c r="I16" s="137">
        <v>199045.21</v>
      </c>
      <c r="J16" s="137">
        <f t="shared" si="17"/>
        <v>0</v>
      </c>
      <c r="K16" s="237">
        <f t="shared" si="18"/>
        <v>0</v>
      </c>
      <c r="L16" s="212">
        <f>$G$16</f>
        <v>199045.21</v>
      </c>
      <c r="M16" s="204">
        <v>199045.21</v>
      </c>
      <c r="N16" s="190">
        <f t="shared" si="0"/>
        <v>0</v>
      </c>
      <c r="O16" s="371">
        <f>((M16/L16)-1)*100</f>
        <v>0</v>
      </c>
      <c r="P16" s="212">
        <f>$G$16</f>
        <v>199045.21</v>
      </c>
      <c r="Q16" s="137">
        <v>199045.21</v>
      </c>
      <c r="R16" s="137">
        <f>Q16-P16</f>
        <v>0</v>
      </c>
      <c r="S16" s="237">
        <f>((Q16/P16)-1)*100</f>
        <v>0</v>
      </c>
      <c r="T16" s="212">
        <f>$G$16</f>
        <v>199045.21</v>
      </c>
      <c r="U16" s="137">
        <v>199045.21</v>
      </c>
      <c r="V16" s="137">
        <f t="shared" si="19"/>
        <v>0</v>
      </c>
      <c r="W16" s="237">
        <f>((U16/T16)-1)*100</f>
        <v>0</v>
      </c>
      <c r="X16" s="212">
        <f>$G$16</f>
        <v>199045.21</v>
      </c>
      <c r="Y16" s="137">
        <v>199045.21</v>
      </c>
      <c r="Z16" s="137">
        <f t="shared" si="20"/>
        <v>0</v>
      </c>
      <c r="AA16" s="237">
        <f>((Y16/X16)-1)*100</f>
        <v>0</v>
      </c>
      <c r="AB16" s="212">
        <f>$G$16</f>
        <v>199045.21</v>
      </c>
      <c r="AC16" s="137">
        <v>199045.21</v>
      </c>
      <c r="AD16" s="137">
        <f t="shared" si="21"/>
        <v>0</v>
      </c>
      <c r="AE16" s="237">
        <f>((AC16/AB16)-1)*100</f>
        <v>0</v>
      </c>
      <c r="AF16" s="137">
        <f t="shared" si="7"/>
        <v>1194271.26</v>
      </c>
      <c r="AG16" s="137">
        <f t="shared" si="8"/>
        <v>199045.21</v>
      </c>
      <c r="AH16" s="212">
        <f>$G$16</f>
        <v>199045.21</v>
      </c>
      <c r="AI16" s="125">
        <v>199045.21</v>
      </c>
      <c r="AJ16" s="137">
        <f t="shared" si="22"/>
        <v>0</v>
      </c>
      <c r="AK16" s="237">
        <f>((AI16/AH16)-1)*100</f>
        <v>0</v>
      </c>
      <c r="AL16" s="211">
        <f>$G$16</f>
        <v>199045.21</v>
      </c>
      <c r="AM16" s="137">
        <v>199045.21</v>
      </c>
      <c r="AN16" s="137">
        <f t="shared" si="24"/>
        <v>0</v>
      </c>
      <c r="AO16" s="237">
        <f>((AM16/AL16)-1)*100</f>
        <v>0</v>
      </c>
      <c r="AP16" s="212">
        <f>$G$16</f>
        <v>199045.21</v>
      </c>
      <c r="AQ16" s="137">
        <v>199045</v>
      </c>
      <c r="AR16" s="137">
        <f t="shared" si="25"/>
        <v>-0.20999999999185093</v>
      </c>
      <c r="AS16" s="237">
        <f>((AQ16/AP16)-1)*100</f>
        <v>-1.055036692343414E-4</v>
      </c>
      <c r="AT16" s="212">
        <f>$G$16</f>
        <v>199045.21</v>
      </c>
      <c r="AU16" s="137">
        <v>199045.21</v>
      </c>
      <c r="AV16" s="137">
        <f t="shared" si="26"/>
        <v>0</v>
      </c>
      <c r="AW16" s="237">
        <f>((AU16/AT16)-1)*100</f>
        <v>0</v>
      </c>
      <c r="AX16" s="136">
        <f>$G$16</f>
        <v>199045.21</v>
      </c>
      <c r="AY16" s="137">
        <v>199045.21</v>
      </c>
      <c r="AZ16" s="137">
        <f t="shared" si="27"/>
        <v>0</v>
      </c>
      <c r="BA16" s="252">
        <f>((AY16/AX16)-1)*100</f>
        <v>0</v>
      </c>
      <c r="BB16" s="212">
        <f>$G$16</f>
        <v>199045.21</v>
      </c>
      <c r="BC16" s="137">
        <v>199045.21</v>
      </c>
      <c r="BD16" s="137">
        <f t="shared" si="23"/>
        <v>0</v>
      </c>
      <c r="BE16" s="237">
        <f>((BC16/BB16)-1)*100</f>
        <v>0</v>
      </c>
      <c r="BF16" s="212">
        <f t="shared" si="15"/>
        <v>2388542.52</v>
      </c>
      <c r="BG16" s="138">
        <f t="shared" si="16"/>
        <v>2388542.31</v>
      </c>
      <c r="BH16" s="63"/>
      <c r="BJ16" s="400"/>
    </row>
    <row r="17" spans="2:65" s="11" customFormat="1" x14ac:dyDescent="0.25">
      <c r="B17" s="139">
        <v>51681</v>
      </c>
      <c r="C17" s="380"/>
      <c r="D17" s="382" t="s">
        <v>10</v>
      </c>
      <c r="E17" s="338"/>
      <c r="F17" s="148"/>
      <c r="G17" s="619">
        <v>70360.213333333362</v>
      </c>
      <c r="H17" s="211">
        <f>$G$17</f>
        <v>70360.213333333362</v>
      </c>
      <c r="I17" s="125">
        <v>70360.320000000007</v>
      </c>
      <c r="J17" s="125">
        <f t="shared" si="17"/>
        <v>0.10666666664474178</v>
      </c>
      <c r="K17" s="237">
        <f t="shared" si="18"/>
        <v>1.5160082891263471E-4</v>
      </c>
      <c r="L17" s="211">
        <f>$G$17</f>
        <v>70360.213333333362</v>
      </c>
      <c r="M17" s="125">
        <v>70360.320000000007</v>
      </c>
      <c r="N17" s="137">
        <f t="shared" si="0"/>
        <v>0.10666666664474178</v>
      </c>
      <c r="O17" s="235">
        <f>((M17/L17)-1)*100</f>
        <v>1.5160082891263471E-4</v>
      </c>
      <c r="P17" s="211">
        <f>$G$17</f>
        <v>70360.213333333362</v>
      </c>
      <c r="Q17" s="125">
        <v>70360.320000000007</v>
      </c>
      <c r="R17" s="125">
        <f>Q17-P17</f>
        <v>0.10666666664474178</v>
      </c>
      <c r="S17" s="235">
        <f>((Q17/P17)-1)*100</f>
        <v>1.5160082891263471E-4</v>
      </c>
      <c r="T17" s="211">
        <f>$G$17</f>
        <v>70360.213333333362</v>
      </c>
      <c r="U17" s="125">
        <v>70360.320000000007</v>
      </c>
      <c r="V17" s="125">
        <f t="shared" si="19"/>
        <v>0.10666666664474178</v>
      </c>
      <c r="W17" s="235">
        <f>((U17/T17)-1)*100</f>
        <v>1.5160082891263471E-4</v>
      </c>
      <c r="X17" s="211">
        <f>$G$17</f>
        <v>70360.213333333362</v>
      </c>
      <c r="Y17" s="125">
        <v>70360.320000000007</v>
      </c>
      <c r="Z17" s="125">
        <f t="shared" si="20"/>
        <v>0.10666666664474178</v>
      </c>
      <c r="AA17" s="235">
        <f>((Y17/X17)-1)*100</f>
        <v>1.5160082891263471E-4</v>
      </c>
      <c r="AB17" s="211">
        <f>$G$17</f>
        <v>70360.213333333362</v>
      </c>
      <c r="AC17" s="125">
        <v>70360.320000000007</v>
      </c>
      <c r="AD17" s="125">
        <f t="shared" si="21"/>
        <v>0.10666666664474178</v>
      </c>
      <c r="AE17" s="235">
        <f>((AC17/AB17)-1)*100</f>
        <v>1.5160082891263471E-4</v>
      </c>
      <c r="AF17" s="125">
        <f t="shared" si="7"/>
        <v>422161.92000000004</v>
      </c>
      <c r="AG17" s="125">
        <f t="shared" si="8"/>
        <v>70360.320000000007</v>
      </c>
      <c r="AH17" s="211">
        <f>$G$17</f>
        <v>70360.213333333362</v>
      </c>
      <c r="AI17" s="125">
        <v>70360.320000000007</v>
      </c>
      <c r="AJ17" s="125">
        <f t="shared" si="22"/>
        <v>0.10666666664474178</v>
      </c>
      <c r="AK17" s="235">
        <f>((AI17/AH17)-1)*100</f>
        <v>1.5160082891263471E-4</v>
      </c>
      <c r="AL17" s="211">
        <f>$G$17</f>
        <v>70360.213333333362</v>
      </c>
      <c r="AM17" s="125">
        <v>70360.320000000007</v>
      </c>
      <c r="AN17" s="137">
        <f t="shared" si="24"/>
        <v>0.10666666664474178</v>
      </c>
      <c r="AO17" s="235">
        <f>((AM17/AL17)-1)*100</f>
        <v>1.5160082891263471E-4</v>
      </c>
      <c r="AP17" s="211">
        <f>$G$17</f>
        <v>70360.213333333362</v>
      </c>
      <c r="AQ17" s="125">
        <v>70360</v>
      </c>
      <c r="AR17" s="137">
        <f t="shared" si="25"/>
        <v>-0.21333333336224314</v>
      </c>
      <c r="AS17" s="235">
        <f>((AQ17/AP17)-1)*100</f>
        <v>-3.0320165794739395E-4</v>
      </c>
      <c r="AT17" s="211">
        <f>$G$17</f>
        <v>70360.213333333362</v>
      </c>
      <c r="AU17" s="125">
        <v>70360.320000000007</v>
      </c>
      <c r="AV17" s="137">
        <f t="shared" si="26"/>
        <v>0.10666666664474178</v>
      </c>
      <c r="AW17" s="235">
        <f>((AU17/AT17)-1)*100</f>
        <v>1.5160082891263471E-4</v>
      </c>
      <c r="AX17" s="121">
        <f>$G$17</f>
        <v>70360.213333333362</v>
      </c>
      <c r="AY17" s="125">
        <v>70360.320000000007</v>
      </c>
      <c r="AZ17" s="137">
        <f t="shared" si="27"/>
        <v>0.10666666664474178</v>
      </c>
      <c r="BA17" s="319">
        <f>((AY17/AX17)-1)*100</f>
        <v>1.5160082891263471E-4</v>
      </c>
      <c r="BB17" s="211">
        <f>$G$17</f>
        <v>70360.213333333362</v>
      </c>
      <c r="BC17" s="125">
        <v>70360.320000000007</v>
      </c>
      <c r="BD17" s="125">
        <f t="shared" si="23"/>
        <v>0.10666666664474178</v>
      </c>
      <c r="BE17" s="235">
        <f>((BC17/BB17)-1)*100</f>
        <v>1.5160082891263471E-4</v>
      </c>
      <c r="BF17" s="211">
        <f t="shared" si="15"/>
        <v>844323.2000000003</v>
      </c>
      <c r="BG17" s="126">
        <f t="shared" si="16"/>
        <v>844323.52000000025</v>
      </c>
      <c r="BH17" s="63"/>
      <c r="BJ17" s="400"/>
    </row>
    <row r="18" spans="2:65" s="11" customFormat="1" ht="16.5" thickBot="1" x14ac:dyDescent="0.3">
      <c r="B18" s="127">
        <v>5186</v>
      </c>
      <c r="C18" s="380"/>
      <c r="D18" s="384" t="s">
        <v>11</v>
      </c>
      <c r="E18" s="338"/>
      <c r="F18" s="148"/>
      <c r="G18" s="619">
        <v>533258.75</v>
      </c>
      <c r="H18" s="211">
        <f>$G$18</f>
        <v>533258.75</v>
      </c>
      <c r="I18" s="130">
        <v>533258.75</v>
      </c>
      <c r="J18" s="125">
        <f t="shared" si="17"/>
        <v>0</v>
      </c>
      <c r="K18" s="327">
        <f t="shared" si="18"/>
        <v>0</v>
      </c>
      <c r="L18" s="211">
        <f>$G$18</f>
        <v>533258.75</v>
      </c>
      <c r="M18" s="121">
        <v>533258.75</v>
      </c>
      <c r="N18" s="121">
        <f t="shared" si="0"/>
        <v>0</v>
      </c>
      <c r="O18" s="235">
        <f>((M18/L18)-1)*100</f>
        <v>0</v>
      </c>
      <c r="P18" s="211">
        <f>$G$18</f>
        <v>533258.75</v>
      </c>
      <c r="Q18" s="125">
        <v>533258.75</v>
      </c>
      <c r="R18" s="125">
        <f>Q18-P18</f>
        <v>0</v>
      </c>
      <c r="S18" s="235">
        <f>((Q18/P18)-1)*100</f>
        <v>0</v>
      </c>
      <c r="T18" s="211">
        <f>$G$18</f>
        <v>533258.75</v>
      </c>
      <c r="U18" s="125">
        <v>533258.75</v>
      </c>
      <c r="V18" s="125">
        <f t="shared" si="19"/>
        <v>0</v>
      </c>
      <c r="W18" s="235">
        <f>((U18/T18)-1)*100</f>
        <v>0</v>
      </c>
      <c r="X18" s="211">
        <f>$G$18</f>
        <v>533258.75</v>
      </c>
      <c r="Y18" s="125">
        <v>533258.75</v>
      </c>
      <c r="Z18" s="125">
        <f t="shared" si="20"/>
        <v>0</v>
      </c>
      <c r="AA18" s="235">
        <f>((Y18/X18)-1)*100</f>
        <v>0</v>
      </c>
      <c r="AB18" s="211">
        <f>$G$18</f>
        <v>533258.75</v>
      </c>
      <c r="AC18" s="125">
        <v>533258.75</v>
      </c>
      <c r="AD18" s="125">
        <f t="shared" si="21"/>
        <v>0</v>
      </c>
      <c r="AE18" s="235">
        <f>((AC18/AB18)-1)*100</f>
        <v>0</v>
      </c>
      <c r="AF18" s="125">
        <f t="shared" si="7"/>
        <v>3199552.5</v>
      </c>
      <c r="AG18" s="125">
        <f t="shared" si="8"/>
        <v>533258.75</v>
      </c>
      <c r="AH18" s="211">
        <f>$G$18</f>
        <v>533258.75</v>
      </c>
      <c r="AI18" s="125">
        <v>533258.75</v>
      </c>
      <c r="AJ18" s="125">
        <f t="shared" si="22"/>
        <v>0</v>
      </c>
      <c r="AK18" s="235">
        <f>((AI18/AH18)-1)*100</f>
        <v>0</v>
      </c>
      <c r="AL18" s="211">
        <f>$G$18</f>
        <v>533258.75</v>
      </c>
      <c r="AM18" s="125">
        <v>533258.75</v>
      </c>
      <c r="AN18" s="137">
        <f t="shared" si="24"/>
        <v>0</v>
      </c>
      <c r="AO18" s="235">
        <f>((AM18/AL18)-1)*100</f>
        <v>0</v>
      </c>
      <c r="AP18" s="211">
        <f>$G$18</f>
        <v>533258.75</v>
      </c>
      <c r="AQ18" s="125">
        <v>533259</v>
      </c>
      <c r="AR18" s="137">
        <f t="shared" si="25"/>
        <v>0.25</v>
      </c>
      <c r="AS18" s="235">
        <f>((AQ18/AP18)-1)*100</f>
        <v>4.6881556081679321E-5</v>
      </c>
      <c r="AT18" s="211">
        <f>$G$18</f>
        <v>533258.75</v>
      </c>
      <c r="AU18" s="125">
        <v>533258.75</v>
      </c>
      <c r="AV18" s="137">
        <f t="shared" si="26"/>
        <v>0</v>
      </c>
      <c r="AW18" s="235">
        <f>((AU18/AT18)-1)*100</f>
        <v>0</v>
      </c>
      <c r="AX18" s="121">
        <f>$G$18</f>
        <v>533258.75</v>
      </c>
      <c r="AY18" s="125">
        <v>533258.75</v>
      </c>
      <c r="AZ18" s="137">
        <f t="shared" si="27"/>
        <v>0</v>
      </c>
      <c r="BA18" s="319">
        <f>((AY18/AX18)-1)*100</f>
        <v>0</v>
      </c>
      <c r="BB18" s="211">
        <f>$G$18</f>
        <v>533258.75</v>
      </c>
      <c r="BC18" s="125">
        <v>533258.75</v>
      </c>
      <c r="BD18" s="125">
        <f t="shared" si="23"/>
        <v>0</v>
      </c>
      <c r="BE18" s="235">
        <f>((BC18/BB18)-1)*100</f>
        <v>0</v>
      </c>
      <c r="BF18" s="211">
        <f t="shared" si="15"/>
        <v>6399105</v>
      </c>
      <c r="BG18" s="126">
        <f t="shared" si="16"/>
        <v>6399105.25</v>
      </c>
      <c r="BH18" s="63"/>
      <c r="BJ18" s="400"/>
    </row>
    <row r="19" spans="2:65" s="11" customFormat="1" ht="16.5" thickBot="1" x14ac:dyDescent="0.3">
      <c r="B19" s="140"/>
      <c r="C19" s="367"/>
      <c r="D19" s="5" t="s">
        <v>160</v>
      </c>
      <c r="E19" s="637"/>
      <c r="F19" s="6"/>
      <c r="G19" s="221"/>
      <c r="H19" s="7">
        <f>SUM(H20:H43)</f>
        <v>180000</v>
      </c>
      <c r="I19" s="191">
        <f>SUM(I20:I43)</f>
        <v>1312810.48</v>
      </c>
      <c r="J19" s="4">
        <f t="shared" si="17"/>
        <v>1132810.48</v>
      </c>
      <c r="K19" s="242">
        <f t="shared" si="18"/>
        <v>629.33915555555552</v>
      </c>
      <c r="L19" s="7">
        <f>SUM(L20:L43)</f>
        <v>220000</v>
      </c>
      <c r="M19" s="191">
        <f>SUM(M20:M43)</f>
        <v>427937.02999999997</v>
      </c>
      <c r="N19" s="4">
        <f>M19-L19</f>
        <v>207937.02999999997</v>
      </c>
      <c r="O19" s="242">
        <f>((M19/L19)-1)*100</f>
        <v>94.516831818181799</v>
      </c>
      <c r="P19" s="7">
        <f>SUM(P20:P43)</f>
        <v>220000</v>
      </c>
      <c r="Q19" s="191">
        <f>SUM(Q20:Q43)</f>
        <v>985662.45</v>
      </c>
      <c r="R19" s="191">
        <f>Q19-P19</f>
        <v>765662.45</v>
      </c>
      <c r="S19" s="242">
        <f>((Q19/P19)-1)*100</f>
        <v>348.02838636363634</v>
      </c>
      <c r="T19" s="7">
        <f>SUM(T20:T43)</f>
        <v>220000</v>
      </c>
      <c r="U19" s="191">
        <f>SUM(U20:U43)</f>
        <v>462535.76999999996</v>
      </c>
      <c r="V19" s="191">
        <f t="shared" si="19"/>
        <v>242535.76999999996</v>
      </c>
      <c r="W19" s="242">
        <f>((U19/T19)-1)*100</f>
        <v>110.24353181818181</v>
      </c>
      <c r="X19" s="7">
        <f>SUM(X20:X43)</f>
        <v>220000</v>
      </c>
      <c r="Y19" s="191">
        <f>SUM(Y20:Y43)</f>
        <v>668420.89999999991</v>
      </c>
      <c r="Z19" s="191">
        <f t="shared" si="20"/>
        <v>448420.89999999991</v>
      </c>
      <c r="AA19" s="242">
        <f>((Y19/X19)-1)*100</f>
        <v>203.82768181818176</v>
      </c>
      <c r="AB19" s="7">
        <f>SUM(AB20:AB40)</f>
        <v>220000</v>
      </c>
      <c r="AC19" s="191">
        <f>SUM(AC20:AC43)</f>
        <v>430687.44000000006</v>
      </c>
      <c r="AD19" s="191">
        <f t="shared" si="21"/>
        <v>210687.44000000006</v>
      </c>
      <c r="AE19" s="242">
        <f>((AC19/AB19)-1)*100</f>
        <v>95.767018181818202</v>
      </c>
      <c r="AF19" s="191">
        <f t="shared" si="7"/>
        <v>4288054.07</v>
      </c>
      <c r="AG19" s="191">
        <f t="shared" si="8"/>
        <v>714675.67833333334</v>
      </c>
      <c r="AH19" s="7">
        <f>SUM(AH20:AH40)</f>
        <v>233000</v>
      </c>
      <c r="AI19" s="191">
        <f>SUM(AI20:AI43)</f>
        <v>383776.74</v>
      </c>
      <c r="AJ19" s="191">
        <f t="shared" si="22"/>
        <v>150776.74</v>
      </c>
      <c r="AK19" s="242">
        <f>((AI19/AH19)-1)*100</f>
        <v>64.711047210300435</v>
      </c>
      <c r="AL19" s="7">
        <f>SUM(AL20:AL40)</f>
        <v>233000</v>
      </c>
      <c r="AM19" s="191">
        <f>SUM(AM20:AM40)</f>
        <v>396690.22</v>
      </c>
      <c r="AN19" s="191">
        <f t="shared" si="24"/>
        <v>163690.21999999997</v>
      </c>
      <c r="AO19" s="242">
        <f>((AM19/AL19)-1)*100</f>
        <v>70.253313304721019</v>
      </c>
      <c r="AP19" s="4">
        <f>SUM(AP20:AP40)</f>
        <v>233000</v>
      </c>
      <c r="AQ19" s="191">
        <f>SUM(AQ20:AQ43)</f>
        <v>381261.81099999999</v>
      </c>
      <c r="AR19" s="191">
        <f t="shared" si="25"/>
        <v>148261.81099999999</v>
      </c>
      <c r="AS19" s="242">
        <f>((AQ19/AP19)-1)*100</f>
        <v>63.631678540772519</v>
      </c>
      <c r="AT19" s="7">
        <f>SUM(AT20:AT40)</f>
        <v>233000</v>
      </c>
      <c r="AU19" s="191">
        <f>SUM(AU20:AU43)</f>
        <v>409048.89000000007</v>
      </c>
      <c r="AV19" s="191">
        <f t="shared" si="26"/>
        <v>176048.89000000007</v>
      </c>
      <c r="AW19" s="242">
        <f>((AU19/AT19)-1)*100</f>
        <v>75.557463519313345</v>
      </c>
      <c r="AX19" s="7">
        <f>SUM(AX20:AX40)</f>
        <v>233000</v>
      </c>
      <c r="AY19" s="191">
        <f>SUM(AY20:AY43)</f>
        <v>970063.44000000006</v>
      </c>
      <c r="AZ19" s="191">
        <f t="shared" si="27"/>
        <v>737063.44000000006</v>
      </c>
      <c r="BA19" s="242">
        <f>((AY19/AX19)-1)*100</f>
        <v>316.3362403433477</v>
      </c>
      <c r="BB19" s="7">
        <f>SUM(BB20:BB40)</f>
        <v>233000</v>
      </c>
      <c r="BC19" s="191">
        <f>SUM(BC20:BC43)</f>
        <v>1277945.6600000001</v>
      </c>
      <c r="BD19" s="191">
        <f t="shared" si="23"/>
        <v>1044945.6600000001</v>
      </c>
      <c r="BE19" s="242">
        <f>((BC19/BB19)-1)*100</f>
        <v>448.47453218884129</v>
      </c>
      <c r="BF19" s="7">
        <f t="shared" si="15"/>
        <v>5686054.0700000003</v>
      </c>
      <c r="BG19" s="191">
        <f t="shared" si="16"/>
        <v>8106840.8310000002</v>
      </c>
      <c r="BH19" s="63"/>
      <c r="BJ19" s="333"/>
      <c r="BK19" s="333"/>
    </row>
    <row r="20" spans="2:65" s="119" customFormat="1" ht="16.5" thickBot="1" x14ac:dyDescent="0.3">
      <c r="B20" s="141">
        <v>4962</v>
      </c>
      <c r="C20" s="142"/>
      <c r="D20" s="113" t="s">
        <v>164</v>
      </c>
      <c r="E20" s="339"/>
      <c r="F20" s="143"/>
      <c r="G20" s="222"/>
      <c r="H20" s="577"/>
      <c r="I20" s="144">
        <v>-33109.33</v>
      </c>
      <c r="J20" s="137">
        <f t="shared" si="17"/>
        <v>-33109.33</v>
      </c>
      <c r="K20" s="638"/>
      <c r="L20" s="210"/>
      <c r="M20" s="144">
        <v>-18887.62</v>
      </c>
      <c r="N20" s="212">
        <f t="shared" ref="N20:N43" si="28">M20-L20</f>
        <v>-18887.62</v>
      </c>
      <c r="O20" s="126">
        <v>0</v>
      </c>
      <c r="P20" s="210"/>
      <c r="Q20" s="145">
        <v>-39253.589999999997</v>
      </c>
      <c r="R20" s="190"/>
      <c r="S20" s="213"/>
      <c r="T20" s="210"/>
      <c r="U20" s="144">
        <v>-38452.53</v>
      </c>
      <c r="V20" s="190"/>
      <c r="W20" s="213"/>
      <c r="X20" s="210"/>
      <c r="Y20" s="144">
        <v>-36023.980000000003</v>
      </c>
      <c r="Z20" s="190"/>
      <c r="AA20" s="213"/>
      <c r="AB20" s="210"/>
      <c r="AC20" s="144">
        <v>-18958.88</v>
      </c>
      <c r="AD20" s="190"/>
      <c r="AE20" s="213"/>
      <c r="AF20" s="144">
        <f t="shared" si="7"/>
        <v>-184685.93</v>
      </c>
      <c r="AG20" s="144">
        <f t="shared" si="8"/>
        <v>-30780.988333333331</v>
      </c>
      <c r="AH20" s="210"/>
      <c r="AI20" s="145">
        <v>-34836.129999999997</v>
      </c>
      <c r="AJ20" s="190"/>
      <c r="AK20" s="213"/>
      <c r="AL20" s="210"/>
      <c r="AM20" s="144">
        <v>-29748.71</v>
      </c>
      <c r="AN20" s="190"/>
      <c r="AO20" s="213"/>
      <c r="AP20" s="639"/>
      <c r="AQ20" s="144">
        <v>-61783.6</v>
      </c>
      <c r="AR20" s="190"/>
      <c r="AS20" s="213"/>
      <c r="AT20" s="210"/>
      <c r="AU20" s="144">
        <v>-29725.33</v>
      </c>
      <c r="AV20" s="190"/>
      <c r="AW20" s="213"/>
      <c r="AX20" s="120"/>
      <c r="AY20" s="145">
        <v>-18700.23</v>
      </c>
      <c r="AZ20" s="190"/>
      <c r="BA20" s="205"/>
      <c r="BB20" s="210"/>
      <c r="BC20" s="145">
        <v>-47840.4</v>
      </c>
      <c r="BD20" s="190"/>
      <c r="BE20" s="213"/>
      <c r="BF20" s="210">
        <f t="shared" si="15"/>
        <v>-184685.93</v>
      </c>
      <c r="BG20" s="640">
        <f>SUM(I20+M20+Q20+U20+Y20+AC20+AI20+AM20+AQ20+AU20+AY20+BC20)</f>
        <v>-407320.33</v>
      </c>
      <c r="BH20" s="63"/>
      <c r="BJ20" s="334"/>
      <c r="BK20" s="334"/>
    </row>
    <row r="21" spans="2:65" s="119" customFormat="1" x14ac:dyDescent="0.25">
      <c r="B21" s="127">
        <v>5001</v>
      </c>
      <c r="C21" s="128"/>
      <c r="D21" s="329" t="s">
        <v>12</v>
      </c>
      <c r="E21" s="340"/>
      <c r="F21" s="148"/>
      <c r="G21" s="641">
        <v>150000</v>
      </c>
      <c r="H21" s="224">
        <f>$G$21</f>
        <v>150000</v>
      </c>
      <c r="I21" s="149">
        <v>199784.83</v>
      </c>
      <c r="J21" s="125">
        <f t="shared" si="17"/>
        <v>49784.829999999987</v>
      </c>
      <c r="K21" s="126">
        <f>((I21/H21)-1)*100</f>
        <v>33.189886666666666</v>
      </c>
      <c r="L21" s="224">
        <f>$G$21</f>
        <v>150000</v>
      </c>
      <c r="M21" s="121">
        <v>142097.66</v>
      </c>
      <c r="N21" s="211">
        <f t="shared" si="28"/>
        <v>-7902.3399999999965</v>
      </c>
      <c r="O21" s="126">
        <f>((M21/L21)-1)*100</f>
        <v>-5.2682266666666644</v>
      </c>
      <c r="P21" s="224">
        <f>$G$21</f>
        <v>150000</v>
      </c>
      <c r="Q21" s="125">
        <v>155996.48000000001</v>
      </c>
      <c r="R21" s="125">
        <f>Q21-P21</f>
        <v>5996.4800000000105</v>
      </c>
      <c r="S21" s="126">
        <f>((Q21/P21)-1)*100</f>
        <v>3.9976533333333508</v>
      </c>
      <c r="T21" s="224">
        <f>$G$21</f>
        <v>150000</v>
      </c>
      <c r="U21" s="149">
        <v>161917.06</v>
      </c>
      <c r="V21" s="125">
        <f>U21-T21</f>
        <v>11917.059999999998</v>
      </c>
      <c r="W21" s="126">
        <f>((U21/T21)-1)*100</f>
        <v>7.9447066666666677</v>
      </c>
      <c r="X21" s="224">
        <f>$G$21</f>
        <v>150000</v>
      </c>
      <c r="Y21" s="149">
        <v>162733</v>
      </c>
      <c r="Z21" s="125">
        <f>Y21-X21</f>
        <v>12733</v>
      </c>
      <c r="AA21" s="126">
        <f>((Y21/X21)-1)*100</f>
        <v>8.4886666666666777</v>
      </c>
      <c r="AB21" s="224">
        <f>$G$21</f>
        <v>150000</v>
      </c>
      <c r="AC21" s="149">
        <v>152607.79</v>
      </c>
      <c r="AD21" s="125">
        <f>AC21-AB21</f>
        <v>2607.7900000000081</v>
      </c>
      <c r="AE21" s="126">
        <f>((AC21/AB21)-1)*100</f>
        <v>1.7385266666666732</v>
      </c>
      <c r="AF21" s="149">
        <f t="shared" si="7"/>
        <v>975136.82000000007</v>
      </c>
      <c r="AG21" s="149">
        <f t="shared" si="8"/>
        <v>162522.80333333334</v>
      </c>
      <c r="AH21" s="224">
        <v>163000</v>
      </c>
      <c r="AI21" s="125">
        <v>141685.92000000001</v>
      </c>
      <c r="AJ21" s="125">
        <f>AI21-AH21</f>
        <v>-21314.079999999987</v>
      </c>
      <c r="AK21" s="126">
        <f>((AI21/AH21)-1)*100</f>
        <v>-13.076122699386495</v>
      </c>
      <c r="AL21" s="224">
        <f>AH21</f>
        <v>163000</v>
      </c>
      <c r="AM21" s="149">
        <v>154194.73000000001</v>
      </c>
      <c r="AN21" s="125">
        <f>AM21-AL21</f>
        <v>-8805.2699999999895</v>
      </c>
      <c r="AO21" s="126">
        <f>((AM21/AL21)-1)*100</f>
        <v>-5.4020061349693176</v>
      </c>
      <c r="AP21" s="224">
        <f>AL21</f>
        <v>163000</v>
      </c>
      <c r="AQ21" s="125">
        <v>152004.99</v>
      </c>
      <c r="AR21" s="125">
        <f>AQ21-AP21</f>
        <v>-10995.010000000009</v>
      </c>
      <c r="AS21" s="126">
        <f>((AQ21/AP21)-1)*100</f>
        <v>-6.7454049079754608</v>
      </c>
      <c r="AT21" s="224">
        <f>AP21</f>
        <v>163000</v>
      </c>
      <c r="AU21" s="149">
        <v>142258.59</v>
      </c>
      <c r="AV21" s="125">
        <f>AU21-AT21</f>
        <v>-20741.410000000003</v>
      </c>
      <c r="AW21" s="126">
        <f>((AU21/AT21)-1)*100</f>
        <v>-12.724791411042947</v>
      </c>
      <c r="AX21" s="224">
        <f>AT21</f>
        <v>163000</v>
      </c>
      <c r="AY21" s="125">
        <v>152750.34</v>
      </c>
      <c r="AZ21" s="125">
        <f>AY21-AX21</f>
        <v>-10249.660000000003</v>
      </c>
      <c r="BA21" s="126">
        <f>((AY21/AX21)-1)*100</f>
        <v>-6.2881349693251547</v>
      </c>
      <c r="BB21" s="224">
        <f>AX21</f>
        <v>163000</v>
      </c>
      <c r="BC21" s="125">
        <v>147883.07999999999</v>
      </c>
      <c r="BD21" s="125">
        <f>BC21-BB21</f>
        <v>-15116.920000000013</v>
      </c>
      <c r="BE21" s="126">
        <f>((BC21/BB21)-1)*100</f>
        <v>-9.2741840490797589</v>
      </c>
      <c r="BF21" s="224">
        <f t="shared" si="15"/>
        <v>1953136.82</v>
      </c>
      <c r="BG21" s="126">
        <f t="shared" ref="BG21:BG43" si="29">SUM(I21+M21+Q21+U21+Y21+AC21+AI21+AM21+AQ21+AU21+AY21+BC21)</f>
        <v>1865914.4700000002</v>
      </c>
      <c r="BH21" s="63"/>
      <c r="BJ21" s="334"/>
      <c r="BK21" s="334"/>
    </row>
    <row r="22" spans="2:65" s="119" customFormat="1" x14ac:dyDescent="0.25">
      <c r="B22" s="127">
        <v>4993</v>
      </c>
      <c r="C22" s="128"/>
      <c r="D22" s="147" t="s">
        <v>13</v>
      </c>
      <c r="E22" s="340"/>
      <c r="F22" s="148"/>
      <c r="G22" s="220"/>
      <c r="H22" s="224"/>
      <c r="I22" s="149">
        <v>15844.71</v>
      </c>
      <c r="J22" s="125">
        <f t="shared" si="17"/>
        <v>15844.71</v>
      </c>
      <c r="K22" s="216"/>
      <c r="L22" s="211"/>
      <c r="M22" s="149">
        <v>15598.23</v>
      </c>
      <c r="N22" s="211">
        <f t="shared" si="28"/>
        <v>15598.23</v>
      </c>
      <c r="O22" s="126">
        <v>0</v>
      </c>
      <c r="P22" s="211"/>
      <c r="Q22" s="149">
        <v>14865.16</v>
      </c>
      <c r="R22" s="125"/>
      <c r="S22" s="126"/>
      <c r="T22" s="211"/>
      <c r="U22" s="149">
        <v>12914.01</v>
      </c>
      <c r="V22" s="125"/>
      <c r="W22" s="126"/>
      <c r="X22" s="211"/>
      <c r="Y22" s="149">
        <v>14805.53</v>
      </c>
      <c r="Z22" s="125"/>
      <c r="AA22" s="126"/>
      <c r="AB22" s="211"/>
      <c r="AC22" s="149">
        <v>14805.53</v>
      </c>
      <c r="AD22" s="125"/>
      <c r="AE22" s="126"/>
      <c r="AF22" s="149">
        <f t="shared" si="7"/>
        <v>88833.17</v>
      </c>
      <c r="AG22" s="149">
        <f t="shared" si="8"/>
        <v>14805.528333333334</v>
      </c>
      <c r="AH22" s="211"/>
      <c r="AI22" s="125">
        <v>14864.86</v>
      </c>
      <c r="AJ22" s="125"/>
      <c r="AK22" s="126"/>
      <c r="AL22" s="211"/>
      <c r="AM22" s="149">
        <v>18912.669999999998</v>
      </c>
      <c r="AN22" s="125"/>
      <c r="AO22" s="126"/>
      <c r="AP22" s="224"/>
      <c r="AQ22" s="125">
        <v>12017.22</v>
      </c>
      <c r="AR22" s="125"/>
      <c r="AS22" s="126"/>
      <c r="AT22" s="211"/>
      <c r="AU22" s="149">
        <v>15820.98</v>
      </c>
      <c r="AV22" s="125"/>
      <c r="AW22" s="126"/>
      <c r="AX22" s="121"/>
      <c r="AY22" s="125">
        <v>1955.91</v>
      </c>
      <c r="AZ22" s="125"/>
      <c r="BA22" s="202"/>
      <c r="BB22" s="211"/>
      <c r="BC22" s="125">
        <v>2020.1</v>
      </c>
      <c r="BD22" s="125"/>
      <c r="BE22" s="126"/>
      <c r="BF22" s="211">
        <f t="shared" si="15"/>
        <v>88833.17</v>
      </c>
      <c r="BG22" s="126">
        <f t="shared" si="29"/>
        <v>154424.91</v>
      </c>
      <c r="BH22" s="63"/>
      <c r="BJ22" s="334"/>
      <c r="BK22" s="334"/>
      <c r="BM22" s="334"/>
    </row>
    <row r="23" spans="2:65" s="119" customFormat="1" x14ac:dyDescent="0.25">
      <c r="B23" s="127">
        <v>4998</v>
      </c>
      <c r="C23" s="128"/>
      <c r="D23" s="147" t="s">
        <v>3660</v>
      </c>
      <c r="E23" s="340"/>
      <c r="F23" s="148"/>
      <c r="G23" s="220"/>
      <c r="H23" s="224"/>
      <c r="I23" s="149">
        <v>0</v>
      </c>
      <c r="J23" s="125">
        <f t="shared" si="17"/>
        <v>0</v>
      </c>
      <c r="K23" s="216"/>
      <c r="L23" s="211"/>
      <c r="M23" s="149">
        <v>0</v>
      </c>
      <c r="N23" s="211">
        <f t="shared" si="28"/>
        <v>0</v>
      </c>
      <c r="O23" s="126">
        <v>0</v>
      </c>
      <c r="P23" s="211"/>
      <c r="Q23" s="149">
        <v>0</v>
      </c>
      <c r="R23" s="125"/>
      <c r="S23" s="126"/>
      <c r="T23" s="211"/>
      <c r="U23" s="149">
        <v>0</v>
      </c>
      <c r="V23" s="125"/>
      <c r="W23" s="126"/>
      <c r="X23" s="211"/>
      <c r="Y23" s="149">
        <v>0</v>
      </c>
      <c r="Z23" s="125"/>
      <c r="AA23" s="126"/>
      <c r="AB23" s="211"/>
      <c r="AC23" s="149">
        <v>0</v>
      </c>
      <c r="AD23" s="125"/>
      <c r="AE23" s="126"/>
      <c r="AF23" s="149">
        <f t="shared" si="7"/>
        <v>0</v>
      </c>
      <c r="AG23" s="149">
        <f t="shared" si="8"/>
        <v>0</v>
      </c>
      <c r="AH23" s="211"/>
      <c r="AI23" s="125"/>
      <c r="AJ23" s="125"/>
      <c r="AK23" s="126"/>
      <c r="AL23" s="211"/>
      <c r="AM23" s="149"/>
      <c r="AN23" s="125"/>
      <c r="AO23" s="126"/>
      <c r="AP23" s="224"/>
      <c r="AQ23" s="125"/>
      <c r="AR23" s="125"/>
      <c r="AS23" s="126"/>
      <c r="AT23" s="211"/>
      <c r="AU23" s="149"/>
      <c r="AV23" s="125"/>
      <c r="AW23" s="126"/>
      <c r="AX23" s="121"/>
      <c r="AY23" s="125"/>
      <c r="AZ23" s="125"/>
      <c r="BA23" s="202"/>
      <c r="BB23" s="211"/>
      <c r="BC23" s="125"/>
      <c r="BD23" s="125"/>
      <c r="BE23" s="126"/>
      <c r="BF23" s="211">
        <f t="shared" si="15"/>
        <v>0</v>
      </c>
      <c r="BG23" s="126">
        <f t="shared" si="29"/>
        <v>0</v>
      </c>
      <c r="BH23" s="63"/>
      <c r="BK23" s="334"/>
      <c r="BM23" s="334"/>
    </row>
    <row r="24" spans="2:65" s="119" customFormat="1" x14ac:dyDescent="0.25">
      <c r="B24" s="127">
        <v>4985</v>
      </c>
      <c r="C24" s="128"/>
      <c r="D24" s="147" t="s">
        <v>122</v>
      </c>
      <c r="E24" s="340"/>
      <c r="F24" s="148"/>
      <c r="G24" s="220"/>
      <c r="H24" s="224"/>
      <c r="I24" s="149">
        <v>0</v>
      </c>
      <c r="J24" s="125">
        <f t="shared" si="17"/>
        <v>0</v>
      </c>
      <c r="K24" s="216"/>
      <c r="L24" s="211"/>
      <c r="M24" s="149">
        <v>0</v>
      </c>
      <c r="N24" s="211">
        <f t="shared" si="28"/>
        <v>0</v>
      </c>
      <c r="O24" s="126">
        <v>0</v>
      </c>
      <c r="P24" s="211"/>
      <c r="Q24" s="149">
        <v>0</v>
      </c>
      <c r="R24" s="125"/>
      <c r="S24" s="126"/>
      <c r="T24" s="211"/>
      <c r="U24" s="149">
        <v>0</v>
      </c>
      <c r="V24" s="125"/>
      <c r="W24" s="126"/>
      <c r="X24" s="211"/>
      <c r="Y24" s="149"/>
      <c r="Z24" s="125"/>
      <c r="AA24" s="126"/>
      <c r="AB24" s="211"/>
      <c r="AC24" s="149">
        <v>0</v>
      </c>
      <c r="AD24" s="125"/>
      <c r="AE24" s="126"/>
      <c r="AF24" s="149">
        <f t="shared" si="7"/>
        <v>0</v>
      </c>
      <c r="AG24" s="149">
        <f t="shared" si="8"/>
        <v>0</v>
      </c>
      <c r="AH24" s="211"/>
      <c r="AI24" s="125"/>
      <c r="AJ24" s="125"/>
      <c r="AK24" s="126"/>
      <c r="AL24" s="211"/>
      <c r="AM24" s="149"/>
      <c r="AN24" s="125"/>
      <c r="AO24" s="126"/>
      <c r="AP24" s="224"/>
      <c r="AQ24" s="125"/>
      <c r="AR24" s="125"/>
      <c r="AS24" s="126"/>
      <c r="AT24" s="211"/>
      <c r="AU24" s="149"/>
      <c r="AV24" s="125"/>
      <c r="AW24" s="126"/>
      <c r="AX24" s="121"/>
      <c r="AY24" s="125"/>
      <c r="AZ24" s="125"/>
      <c r="BA24" s="202"/>
      <c r="BB24" s="211"/>
      <c r="BC24" s="125"/>
      <c r="BD24" s="125"/>
      <c r="BE24" s="126"/>
      <c r="BF24" s="211">
        <f t="shared" si="15"/>
        <v>0</v>
      </c>
      <c r="BG24" s="126">
        <f t="shared" si="29"/>
        <v>0</v>
      </c>
      <c r="BH24" s="63"/>
      <c r="BM24" s="334"/>
    </row>
    <row r="25" spans="2:65" s="119" customFormat="1" x14ac:dyDescent="0.25">
      <c r="B25" s="127">
        <v>27449</v>
      </c>
      <c r="C25" s="128"/>
      <c r="D25" s="147" t="s">
        <v>123</v>
      </c>
      <c r="E25" s="340"/>
      <c r="F25" s="148"/>
      <c r="G25" s="220"/>
      <c r="H25" s="224"/>
      <c r="I25" s="149">
        <v>0</v>
      </c>
      <c r="J25" s="125">
        <f t="shared" si="17"/>
        <v>0</v>
      </c>
      <c r="K25" s="642"/>
      <c r="L25" s="211"/>
      <c r="M25" s="149">
        <v>0</v>
      </c>
      <c r="N25" s="211">
        <f t="shared" si="28"/>
        <v>0</v>
      </c>
      <c r="O25" s="126">
        <v>0</v>
      </c>
      <c r="P25" s="211"/>
      <c r="Q25" s="149">
        <v>0</v>
      </c>
      <c r="R25" s="137"/>
      <c r="S25" s="138"/>
      <c r="T25" s="211"/>
      <c r="U25" s="149">
        <v>0</v>
      </c>
      <c r="V25" s="137"/>
      <c r="W25" s="138"/>
      <c r="X25" s="211"/>
      <c r="Y25" s="149"/>
      <c r="Z25" s="137"/>
      <c r="AA25" s="138"/>
      <c r="AB25" s="211"/>
      <c r="AC25" s="149">
        <v>0</v>
      </c>
      <c r="AD25" s="137"/>
      <c r="AE25" s="138"/>
      <c r="AF25" s="149">
        <f t="shared" si="7"/>
        <v>0</v>
      </c>
      <c r="AG25" s="149">
        <f t="shared" si="8"/>
        <v>0</v>
      </c>
      <c r="AH25" s="211"/>
      <c r="AI25" s="125"/>
      <c r="AJ25" s="137"/>
      <c r="AK25" s="138"/>
      <c r="AL25" s="211"/>
      <c r="AM25" s="149"/>
      <c r="AN25" s="125"/>
      <c r="AO25" s="138"/>
      <c r="AP25" s="224"/>
      <c r="AQ25" s="125"/>
      <c r="AR25" s="125"/>
      <c r="AS25" s="138"/>
      <c r="AT25" s="211"/>
      <c r="AU25" s="149"/>
      <c r="AV25" s="125"/>
      <c r="AW25" s="138"/>
      <c r="AX25" s="121"/>
      <c r="AY25" s="125"/>
      <c r="AZ25" s="125"/>
      <c r="BA25" s="204"/>
      <c r="BB25" s="211"/>
      <c r="BC25" s="125"/>
      <c r="BD25" s="137"/>
      <c r="BE25" s="138"/>
      <c r="BF25" s="211">
        <f t="shared" si="15"/>
        <v>0</v>
      </c>
      <c r="BG25" s="126">
        <f t="shared" si="29"/>
        <v>0</v>
      </c>
      <c r="BH25" s="63"/>
      <c r="BJ25" s="401"/>
      <c r="BK25" s="401"/>
    </row>
    <row r="26" spans="2:65" s="119" customFormat="1" ht="31.5" x14ac:dyDescent="0.25">
      <c r="B26" s="150" t="s">
        <v>143</v>
      </c>
      <c r="C26" s="128"/>
      <c r="D26" s="147" t="s">
        <v>166</v>
      </c>
      <c r="E26" s="340"/>
      <c r="F26" s="148"/>
      <c r="G26" s="220"/>
      <c r="H26" s="224"/>
      <c r="I26" s="149">
        <f>782.67+11549.99</f>
        <v>12332.66</v>
      </c>
      <c r="J26" s="125">
        <f t="shared" si="17"/>
        <v>12332.66</v>
      </c>
      <c r="K26" s="216"/>
      <c r="L26" s="211"/>
      <c r="M26" s="149">
        <f>786.59+0+11881.16</f>
        <v>12667.75</v>
      </c>
      <c r="N26" s="211">
        <f t="shared" si="28"/>
        <v>12667.75</v>
      </c>
      <c r="O26" s="126">
        <v>0</v>
      </c>
      <c r="P26" s="211"/>
      <c r="Q26" s="149">
        <f>790.52+11928.67</f>
        <v>12719.19</v>
      </c>
      <c r="R26" s="125"/>
      <c r="S26" s="126"/>
      <c r="T26" s="211"/>
      <c r="U26" s="149">
        <f>794.47+0+11976.39</f>
        <v>12770.859999999999</v>
      </c>
      <c r="V26" s="125"/>
      <c r="W26" s="126"/>
      <c r="X26" s="211"/>
      <c r="Y26" s="149">
        <f>4489.44+8333.32</f>
        <v>12822.759999999998</v>
      </c>
      <c r="Z26" s="125"/>
      <c r="AA26" s="126"/>
      <c r="AB26" s="211"/>
      <c r="AC26" s="149">
        <f>802.44+0+12072.4</f>
        <v>12874.84</v>
      </c>
      <c r="AD26" s="125"/>
      <c r="AE26" s="126"/>
      <c r="AF26" s="149">
        <f t="shared" si="7"/>
        <v>76188.06</v>
      </c>
      <c r="AG26" s="149">
        <f t="shared" si="8"/>
        <v>12698.01</v>
      </c>
      <c r="AH26" s="211"/>
      <c r="AI26" s="125">
        <f>806.45+12120.69</f>
        <v>12927.140000000001</v>
      </c>
      <c r="AJ26" s="125"/>
      <c r="AK26" s="126"/>
      <c r="AL26" s="211"/>
      <c r="AM26" s="149">
        <f>810.48+0+12169.17</f>
        <v>12979.65</v>
      </c>
      <c r="AN26" s="125"/>
      <c r="AO26" s="126"/>
      <c r="AP26" s="224"/>
      <c r="AQ26" s="125">
        <f>814.53+12217.85</f>
        <v>13032.380000000001</v>
      </c>
      <c r="AR26" s="125"/>
      <c r="AS26" s="126"/>
      <c r="AT26" s="211"/>
      <c r="AU26" s="149">
        <v>13085.33</v>
      </c>
      <c r="AV26" s="125"/>
      <c r="AW26" s="126"/>
      <c r="AX26" s="121"/>
      <c r="AY26" s="125">
        <f>822.7+0+12315.78</f>
        <v>13138.480000000001</v>
      </c>
      <c r="AZ26" s="125"/>
      <c r="BA26" s="202"/>
      <c r="BB26" s="211"/>
      <c r="BC26" s="125">
        <f>0+8029.5</f>
        <v>8029.5</v>
      </c>
      <c r="BD26" s="125"/>
      <c r="BE26" s="126"/>
      <c r="BF26" s="211">
        <f t="shared" si="15"/>
        <v>76188.06</v>
      </c>
      <c r="BG26" s="126">
        <f t="shared" si="29"/>
        <v>149380.54</v>
      </c>
      <c r="BH26" s="63"/>
    </row>
    <row r="27" spans="2:65" s="119" customFormat="1" x14ac:dyDescent="0.25">
      <c r="B27" s="127">
        <v>38583</v>
      </c>
      <c r="C27" s="128"/>
      <c r="D27" s="147" t="s">
        <v>14</v>
      </c>
      <c r="E27" s="340"/>
      <c r="F27" s="148"/>
      <c r="G27" s="220"/>
      <c r="H27" s="224"/>
      <c r="I27" s="149"/>
      <c r="J27" s="125">
        <f t="shared" si="17"/>
        <v>0</v>
      </c>
      <c r="K27" s="216"/>
      <c r="L27" s="211"/>
      <c r="M27" s="149">
        <v>0</v>
      </c>
      <c r="N27" s="211">
        <f t="shared" si="28"/>
        <v>0</v>
      </c>
      <c r="O27" s="126">
        <v>0</v>
      </c>
      <c r="P27" s="211"/>
      <c r="Q27" s="149">
        <v>0</v>
      </c>
      <c r="R27" s="125"/>
      <c r="S27" s="126"/>
      <c r="T27" s="211"/>
      <c r="U27" s="149">
        <v>0</v>
      </c>
      <c r="V27" s="125"/>
      <c r="W27" s="126"/>
      <c r="X27" s="211"/>
      <c r="Y27" s="149"/>
      <c r="Z27" s="125"/>
      <c r="AA27" s="126"/>
      <c r="AB27" s="211"/>
      <c r="AC27" s="149">
        <v>0</v>
      </c>
      <c r="AD27" s="125"/>
      <c r="AE27" s="126"/>
      <c r="AF27" s="149">
        <f t="shared" si="7"/>
        <v>0</v>
      </c>
      <c r="AG27" s="149">
        <f t="shared" si="8"/>
        <v>0</v>
      </c>
      <c r="AH27" s="211"/>
      <c r="AI27" s="125">
        <v>9690.42</v>
      </c>
      <c r="AJ27" s="125"/>
      <c r="AK27" s="126"/>
      <c r="AL27" s="211"/>
      <c r="AM27" s="149">
        <v>0</v>
      </c>
      <c r="AN27" s="125"/>
      <c r="AO27" s="126"/>
      <c r="AP27" s="224"/>
      <c r="AQ27" s="125">
        <v>0</v>
      </c>
      <c r="AR27" s="125"/>
      <c r="AS27" s="126"/>
      <c r="AT27" s="211"/>
      <c r="AU27" s="149">
        <v>0</v>
      </c>
      <c r="AV27" s="125"/>
      <c r="AW27" s="126"/>
      <c r="AX27" s="121"/>
      <c r="AY27" s="125">
        <v>0</v>
      </c>
      <c r="AZ27" s="125"/>
      <c r="BA27" s="202"/>
      <c r="BB27" s="211"/>
      <c r="BC27" s="125">
        <v>0</v>
      </c>
      <c r="BD27" s="125"/>
      <c r="BE27" s="126"/>
      <c r="BF27" s="211">
        <f t="shared" si="15"/>
        <v>0</v>
      </c>
      <c r="BG27" s="126">
        <f t="shared" si="29"/>
        <v>9690.42</v>
      </c>
      <c r="BH27" s="63"/>
    </row>
    <row r="28" spans="2:65" s="119" customFormat="1" x14ac:dyDescent="0.25">
      <c r="B28" s="150" t="s">
        <v>142</v>
      </c>
      <c r="C28" s="128"/>
      <c r="D28" s="147" t="s">
        <v>15</v>
      </c>
      <c r="E28" s="340"/>
      <c r="F28" s="148"/>
      <c r="G28" s="220"/>
      <c r="H28" s="224"/>
      <c r="I28" s="125">
        <f>30174.06+54539.76</f>
        <v>84713.82</v>
      </c>
      <c r="J28" s="125">
        <f t="shared" si="17"/>
        <v>84713.82</v>
      </c>
      <c r="K28" s="642"/>
      <c r="L28" s="211"/>
      <c r="M28" s="149">
        <f>116.78+56301.58</f>
        <v>56418.36</v>
      </c>
      <c r="N28" s="211">
        <f t="shared" si="28"/>
        <v>56418.36</v>
      </c>
      <c r="O28" s="126">
        <v>0</v>
      </c>
      <c r="P28" s="211"/>
      <c r="Q28" s="149">
        <f>27809.98+50609.42</f>
        <v>78419.399999999994</v>
      </c>
      <c r="R28" s="137"/>
      <c r="S28" s="138"/>
      <c r="T28" s="211"/>
      <c r="U28" s="149">
        <f>12802.09+51981.77</f>
        <v>64783.86</v>
      </c>
      <c r="V28" s="137"/>
      <c r="W28" s="138"/>
      <c r="X28" s="211"/>
      <c r="Y28" s="149">
        <f>5858.43+52092.42</f>
        <v>57950.85</v>
      </c>
      <c r="Z28" s="137"/>
      <c r="AA28" s="138"/>
      <c r="AB28" s="211"/>
      <c r="AC28" s="149">
        <f>7249.47+41201.13</f>
        <v>48450.6</v>
      </c>
      <c r="AD28" s="137"/>
      <c r="AE28" s="138"/>
      <c r="AF28" s="149">
        <f t="shared" si="7"/>
        <v>390736.88999999996</v>
      </c>
      <c r="AG28" s="149">
        <f t="shared" si="8"/>
        <v>65122.814999999995</v>
      </c>
      <c r="AH28" s="211"/>
      <c r="AI28" s="125">
        <f>7461.57+45898.4</f>
        <v>53359.97</v>
      </c>
      <c r="AJ28" s="137"/>
      <c r="AK28" s="138"/>
      <c r="AL28" s="211"/>
      <c r="AM28" s="149">
        <f>5582+36298.12</f>
        <v>41880.120000000003</v>
      </c>
      <c r="AN28" s="125"/>
      <c r="AO28" s="138"/>
      <c r="AP28" s="224"/>
      <c r="AQ28" s="125">
        <f>3923.69+41681.46</f>
        <v>45605.15</v>
      </c>
      <c r="AR28" s="125"/>
      <c r="AS28" s="138"/>
      <c r="AT28" s="211"/>
      <c r="AU28" s="149">
        <v>49749.05</v>
      </c>
      <c r="AV28" s="125"/>
      <c r="AW28" s="138"/>
      <c r="AX28" s="121"/>
      <c r="AY28" s="125">
        <f>8097.24+23949.85</f>
        <v>32047.089999999997</v>
      </c>
      <c r="AZ28" s="125"/>
      <c r="BA28" s="204"/>
      <c r="BB28" s="211"/>
      <c r="BC28" s="125">
        <f>9481.89+30123.29</f>
        <v>39605.18</v>
      </c>
      <c r="BD28" s="137"/>
      <c r="BE28" s="138"/>
      <c r="BF28" s="211">
        <f t="shared" si="15"/>
        <v>390736.88999999996</v>
      </c>
      <c r="BG28" s="126">
        <f t="shared" si="29"/>
        <v>652983.45000000007</v>
      </c>
      <c r="BH28" s="63"/>
      <c r="BJ28" s="334"/>
    </row>
    <row r="29" spans="2:65" s="119" customFormat="1" x14ac:dyDescent="0.25">
      <c r="B29" s="127">
        <v>27432</v>
      </c>
      <c r="C29" s="128"/>
      <c r="D29" s="147" t="s">
        <v>16</v>
      </c>
      <c r="E29" s="340"/>
      <c r="F29" s="148"/>
      <c r="G29" s="220"/>
      <c r="H29" s="224"/>
      <c r="I29" s="149">
        <v>10300</v>
      </c>
      <c r="J29" s="125">
        <f t="shared" si="17"/>
        <v>10300</v>
      </c>
      <c r="K29" s="216"/>
      <c r="L29" s="211"/>
      <c r="M29" s="149">
        <v>10300</v>
      </c>
      <c r="N29" s="211">
        <f t="shared" si="28"/>
        <v>10300</v>
      </c>
      <c r="O29" s="126">
        <v>0</v>
      </c>
      <c r="P29" s="211"/>
      <c r="Q29" s="149">
        <v>10300</v>
      </c>
      <c r="R29" s="125"/>
      <c r="S29" s="126"/>
      <c r="T29" s="211"/>
      <c r="U29" s="149">
        <v>10300</v>
      </c>
      <c r="V29" s="125"/>
      <c r="W29" s="126"/>
      <c r="X29" s="211"/>
      <c r="Y29" s="149">
        <v>10300</v>
      </c>
      <c r="Z29" s="125"/>
      <c r="AA29" s="126"/>
      <c r="AB29" s="211"/>
      <c r="AC29" s="149">
        <v>10300</v>
      </c>
      <c r="AD29" s="125"/>
      <c r="AE29" s="126"/>
      <c r="AF29" s="149">
        <f t="shared" si="7"/>
        <v>61800</v>
      </c>
      <c r="AG29" s="149">
        <f t="shared" si="8"/>
        <v>10300</v>
      </c>
      <c r="AH29" s="211"/>
      <c r="AI29" s="125">
        <v>10300</v>
      </c>
      <c r="AJ29" s="125"/>
      <c r="AK29" s="126"/>
      <c r="AL29" s="211"/>
      <c r="AM29" s="149">
        <v>10687</v>
      </c>
      <c r="AN29" s="125"/>
      <c r="AO29" s="126"/>
      <c r="AP29" s="224"/>
      <c r="AQ29" s="125">
        <v>12072.11</v>
      </c>
      <c r="AR29" s="125"/>
      <c r="AS29" s="126"/>
      <c r="AT29" s="211"/>
      <c r="AU29" s="149">
        <v>12072.11</v>
      </c>
      <c r="AV29" s="125"/>
      <c r="AW29" s="126"/>
      <c r="AX29" s="121"/>
      <c r="AY29" s="125">
        <v>13151.74</v>
      </c>
      <c r="AZ29" s="125"/>
      <c r="BA29" s="202"/>
      <c r="BB29" s="211"/>
      <c r="BC29" s="125">
        <v>13296.75</v>
      </c>
      <c r="BD29" s="125"/>
      <c r="BE29" s="126"/>
      <c r="BF29" s="211">
        <f t="shared" si="15"/>
        <v>61800</v>
      </c>
      <c r="BG29" s="126">
        <f t="shared" si="29"/>
        <v>133379.71000000002</v>
      </c>
      <c r="BH29" s="63"/>
      <c r="BJ29" s="334"/>
    </row>
    <row r="30" spans="2:65" s="119" customFormat="1" x14ac:dyDescent="0.25">
      <c r="B30" s="151" t="s">
        <v>17</v>
      </c>
      <c r="C30" s="123"/>
      <c r="D30" s="124" t="s">
        <v>18</v>
      </c>
      <c r="E30" s="338"/>
      <c r="F30" s="148"/>
      <c r="G30" s="220"/>
      <c r="H30" s="224"/>
      <c r="I30" s="125">
        <f>21950.31+15000</f>
        <v>36950.31</v>
      </c>
      <c r="J30" s="125">
        <f t="shared" si="17"/>
        <v>36950.31</v>
      </c>
      <c r="K30" s="216"/>
      <c r="L30" s="211"/>
      <c r="M30" s="125">
        <f>21705.32+26500</f>
        <v>48205.32</v>
      </c>
      <c r="N30" s="211">
        <f t="shared" si="28"/>
        <v>48205.32</v>
      </c>
      <c r="O30" s="126">
        <v>0</v>
      </c>
      <c r="P30" s="211"/>
      <c r="Q30" s="125">
        <f>33661.39+34000</f>
        <v>67661.39</v>
      </c>
      <c r="R30" s="125"/>
      <c r="S30" s="126"/>
      <c r="T30" s="211"/>
      <c r="U30" s="125">
        <f>32019.98+46000</f>
        <v>78019.98</v>
      </c>
      <c r="V30" s="125"/>
      <c r="W30" s="126"/>
      <c r="X30" s="211"/>
      <c r="Y30" s="125">
        <f>83665.84+7000</f>
        <v>90665.84</v>
      </c>
      <c r="Z30" s="125"/>
      <c r="AA30" s="126"/>
      <c r="AB30" s="211"/>
      <c r="AC30" s="125">
        <f>57830.06+10000</f>
        <v>67830.06</v>
      </c>
      <c r="AD30" s="125"/>
      <c r="AE30" s="126"/>
      <c r="AF30" s="125">
        <f t="shared" si="7"/>
        <v>389332.89999999997</v>
      </c>
      <c r="AG30" s="125">
        <f t="shared" si="8"/>
        <v>64888.816666666658</v>
      </c>
      <c r="AH30" s="211"/>
      <c r="AI30" s="125">
        <f>44648.55+7000</f>
        <v>51648.55</v>
      </c>
      <c r="AJ30" s="125"/>
      <c r="AK30" s="126"/>
      <c r="AL30" s="211"/>
      <c r="AM30" s="125">
        <f>48606.46+0+10000</f>
        <v>58606.46</v>
      </c>
      <c r="AN30" s="125"/>
      <c r="AO30" s="126"/>
      <c r="AP30" s="211"/>
      <c r="AQ30" s="125">
        <f>71825.88+7000.001</f>
        <v>78825.881000000008</v>
      </c>
      <c r="AR30" s="125"/>
      <c r="AS30" s="126"/>
      <c r="AT30" s="211"/>
      <c r="AU30" s="125">
        <v>62358.29</v>
      </c>
      <c r="AV30" s="125"/>
      <c r="AW30" s="126"/>
      <c r="AX30" s="121"/>
      <c r="AY30" s="125">
        <f>55820.5+7500</f>
        <v>63320.5</v>
      </c>
      <c r="AZ30" s="125"/>
      <c r="BA30" s="202"/>
      <c r="BB30" s="211"/>
      <c r="BC30" s="125">
        <f>52474.83+8500</f>
        <v>60974.83</v>
      </c>
      <c r="BD30" s="125"/>
      <c r="BE30" s="126"/>
      <c r="BF30" s="211">
        <f t="shared" si="15"/>
        <v>389332.89999999997</v>
      </c>
      <c r="BG30" s="126">
        <f t="shared" si="29"/>
        <v>765067.41099999996</v>
      </c>
      <c r="BH30" s="63"/>
      <c r="BJ30" s="334"/>
    </row>
    <row r="31" spans="2:65" s="119" customFormat="1" x14ac:dyDescent="0.25">
      <c r="B31" s="127">
        <v>5181</v>
      </c>
      <c r="C31" s="135"/>
      <c r="D31" s="152" t="s">
        <v>19</v>
      </c>
      <c r="E31" s="341"/>
      <c r="F31" s="148"/>
      <c r="G31" s="220"/>
      <c r="H31" s="224"/>
      <c r="I31" s="125">
        <f>905295.12</f>
        <v>905295.12</v>
      </c>
      <c r="J31" s="125">
        <f t="shared" si="17"/>
        <v>905295.12</v>
      </c>
      <c r="K31" s="642"/>
      <c r="L31" s="211"/>
      <c r="M31" s="125">
        <v>3361</v>
      </c>
      <c r="N31" s="211">
        <f t="shared" si="28"/>
        <v>3361</v>
      </c>
      <c r="O31" s="126">
        <v>0</v>
      </c>
      <c r="P31" s="211"/>
      <c r="Q31" s="125">
        <v>3474.25</v>
      </c>
      <c r="R31" s="137"/>
      <c r="S31" s="138"/>
      <c r="T31" s="211"/>
      <c r="U31" s="125">
        <v>1527.8</v>
      </c>
      <c r="V31" s="137"/>
      <c r="W31" s="138"/>
      <c r="X31" s="211"/>
      <c r="Y31" s="125">
        <v>5045.91</v>
      </c>
      <c r="Z31" s="137"/>
      <c r="AA31" s="138"/>
      <c r="AB31" s="211"/>
      <c r="AC31" s="125">
        <v>4788.7</v>
      </c>
      <c r="AD31" s="137"/>
      <c r="AE31" s="138"/>
      <c r="AF31" s="125">
        <f t="shared" si="7"/>
        <v>923492.78</v>
      </c>
      <c r="AG31" s="125">
        <f t="shared" si="8"/>
        <v>153915.46333333335</v>
      </c>
      <c r="AH31" s="211"/>
      <c r="AI31" s="125">
        <v>2760.98</v>
      </c>
      <c r="AJ31" s="137"/>
      <c r="AK31" s="138"/>
      <c r="AL31" s="211"/>
      <c r="AM31" s="125">
        <f>1308.7</f>
        <v>1308.7</v>
      </c>
      <c r="AN31" s="125"/>
      <c r="AO31" s="138"/>
      <c r="AP31" s="211"/>
      <c r="AQ31" s="125">
        <v>1746.15</v>
      </c>
      <c r="AR31" s="125"/>
      <c r="AS31" s="138"/>
      <c r="AT31" s="211"/>
      <c r="AU31" s="153">
        <v>2165.15</v>
      </c>
      <c r="AV31" s="125"/>
      <c r="AW31" s="138"/>
      <c r="AX31" s="121"/>
      <c r="AY31" s="125">
        <v>1384.3</v>
      </c>
      <c r="AZ31" s="125"/>
      <c r="BA31" s="204"/>
      <c r="BB31" s="211"/>
      <c r="BC31" s="125">
        <v>2133.6999999999998</v>
      </c>
      <c r="BD31" s="137"/>
      <c r="BE31" s="138"/>
      <c r="BF31" s="211">
        <f t="shared" si="15"/>
        <v>923492.78</v>
      </c>
      <c r="BG31" s="126">
        <f t="shared" si="29"/>
        <v>934991.76</v>
      </c>
      <c r="BH31" s="63"/>
      <c r="BJ31" s="334"/>
    </row>
    <row r="32" spans="2:65" s="119" customFormat="1" x14ac:dyDescent="0.25">
      <c r="B32" s="127">
        <v>5193</v>
      </c>
      <c r="C32" s="135"/>
      <c r="D32" s="152" t="s">
        <v>128</v>
      </c>
      <c r="E32" s="341"/>
      <c r="F32" s="148"/>
      <c r="G32" s="220"/>
      <c r="H32" s="224"/>
      <c r="I32" s="125">
        <f>10000</f>
        <v>10000</v>
      </c>
      <c r="J32" s="125">
        <f t="shared" si="17"/>
        <v>10000</v>
      </c>
      <c r="K32" s="216"/>
      <c r="L32" s="211"/>
      <c r="M32" s="125">
        <v>78240.53</v>
      </c>
      <c r="N32" s="211">
        <f t="shared" si="28"/>
        <v>78240.53</v>
      </c>
      <c r="O32" s="126">
        <v>0</v>
      </c>
      <c r="P32" s="211"/>
      <c r="Q32" s="125">
        <v>0</v>
      </c>
      <c r="R32" s="125"/>
      <c r="S32" s="126"/>
      <c r="T32" s="211"/>
      <c r="U32" s="125">
        <v>46480.37</v>
      </c>
      <c r="V32" s="125"/>
      <c r="W32" s="126"/>
      <c r="X32" s="211"/>
      <c r="Y32" s="125">
        <v>236382.19</v>
      </c>
      <c r="Z32" s="125"/>
      <c r="AA32" s="126"/>
      <c r="AB32" s="211"/>
      <c r="AC32" s="125">
        <v>27946.39</v>
      </c>
      <c r="AD32" s="125"/>
      <c r="AE32" s="126"/>
      <c r="AF32" s="125">
        <f t="shared" si="7"/>
        <v>399049.48</v>
      </c>
      <c r="AG32" s="125">
        <f t="shared" si="8"/>
        <v>66508.246666666659</v>
      </c>
      <c r="AH32" s="211"/>
      <c r="AI32" s="125">
        <v>10000</v>
      </c>
      <c r="AJ32" s="125"/>
      <c r="AK32" s="126"/>
      <c r="AL32" s="211"/>
      <c r="AM32" s="125">
        <v>17156.91</v>
      </c>
      <c r="AN32" s="125"/>
      <c r="AO32" s="126"/>
      <c r="AP32" s="211"/>
      <c r="AQ32" s="125">
        <v>17271.91</v>
      </c>
      <c r="AR32" s="125"/>
      <c r="AS32" s="126"/>
      <c r="AT32" s="211"/>
      <c r="AU32" s="125">
        <v>30812.880000000001</v>
      </c>
      <c r="AV32" s="125"/>
      <c r="AW32" s="126"/>
      <c r="AX32" s="121"/>
      <c r="AY32" s="125">
        <v>230197.54</v>
      </c>
      <c r="AZ32" s="125"/>
      <c r="BA32" s="202"/>
      <c r="BB32" s="211"/>
      <c r="BC32" s="125">
        <v>14831.02</v>
      </c>
      <c r="BD32" s="125"/>
      <c r="BE32" s="126"/>
      <c r="BF32" s="211">
        <f t="shared" si="15"/>
        <v>399049.48</v>
      </c>
      <c r="BG32" s="126">
        <f t="shared" si="29"/>
        <v>719319.74</v>
      </c>
      <c r="BH32" s="63"/>
      <c r="BJ32" s="334"/>
    </row>
    <row r="33" spans="1:65" s="119" customFormat="1" x14ac:dyDescent="0.25">
      <c r="B33" s="127">
        <v>5194</v>
      </c>
      <c r="C33" s="123"/>
      <c r="D33" s="124" t="s">
        <v>20</v>
      </c>
      <c r="E33" s="338"/>
      <c r="F33" s="148"/>
      <c r="G33" s="220"/>
      <c r="H33" s="224"/>
      <c r="I33" s="125">
        <f>6.2</f>
        <v>6.2</v>
      </c>
      <c r="J33" s="125">
        <f t="shared" si="17"/>
        <v>6.2</v>
      </c>
      <c r="K33" s="216"/>
      <c r="L33" s="211"/>
      <c r="M33" s="125">
        <v>4084.47</v>
      </c>
      <c r="N33" s="211">
        <f t="shared" si="28"/>
        <v>4084.47</v>
      </c>
      <c r="O33" s="126">
        <v>0</v>
      </c>
      <c r="P33" s="211"/>
      <c r="Q33" s="125">
        <v>540.66</v>
      </c>
      <c r="R33" s="125"/>
      <c r="S33" s="126"/>
      <c r="T33" s="211"/>
      <c r="U33" s="125">
        <v>1345.03</v>
      </c>
      <c r="V33" s="125"/>
      <c r="W33" s="126"/>
      <c r="X33" s="211"/>
      <c r="Y33" s="125">
        <v>947.72</v>
      </c>
      <c r="Z33" s="125"/>
      <c r="AA33" s="126"/>
      <c r="AB33" s="211"/>
      <c r="AC33" s="125">
        <v>0.21</v>
      </c>
      <c r="AD33" s="125"/>
      <c r="AE33" s="126"/>
      <c r="AF33" s="125">
        <f t="shared" si="7"/>
        <v>6924.29</v>
      </c>
      <c r="AG33" s="125">
        <f t="shared" si="8"/>
        <v>1154.0483333333334</v>
      </c>
      <c r="AH33" s="211"/>
      <c r="AI33" s="125">
        <v>1026.1600000000001</v>
      </c>
      <c r="AJ33" s="125"/>
      <c r="AK33" s="126"/>
      <c r="AL33" s="211"/>
      <c r="AM33" s="125">
        <v>312.47000000000003</v>
      </c>
      <c r="AN33" s="125"/>
      <c r="AO33" s="126"/>
      <c r="AP33" s="211"/>
      <c r="AQ33" s="125">
        <v>0.95</v>
      </c>
      <c r="AR33" s="125"/>
      <c r="AS33" s="126"/>
      <c r="AT33" s="211"/>
      <c r="AU33" s="125">
        <v>27.64</v>
      </c>
      <c r="AV33" s="125"/>
      <c r="AW33" s="126"/>
      <c r="AX33" s="121"/>
      <c r="AY33" s="125">
        <v>0.1</v>
      </c>
      <c r="AZ33" s="125"/>
      <c r="BA33" s="202"/>
      <c r="BB33" s="211"/>
      <c r="BC33" s="125">
        <v>0.13</v>
      </c>
      <c r="BD33" s="125"/>
      <c r="BE33" s="126"/>
      <c r="BF33" s="211">
        <f t="shared" si="15"/>
        <v>6924.29</v>
      </c>
      <c r="BG33" s="126">
        <f t="shared" si="29"/>
        <v>8291.74</v>
      </c>
      <c r="BH33" s="63"/>
      <c r="BJ33" s="334"/>
    </row>
    <row r="34" spans="1:65" s="119" customFormat="1" x14ac:dyDescent="0.25">
      <c r="B34" s="127">
        <v>5195</v>
      </c>
      <c r="C34" s="123"/>
      <c r="D34" s="124" t="s">
        <v>21</v>
      </c>
      <c r="E34" s="338"/>
      <c r="F34" s="148"/>
      <c r="G34" s="220"/>
      <c r="H34" s="224"/>
      <c r="I34" s="125">
        <v>0</v>
      </c>
      <c r="J34" s="125">
        <f t="shared" si="17"/>
        <v>0</v>
      </c>
      <c r="K34" s="642"/>
      <c r="L34" s="211"/>
      <c r="M34" s="125">
        <v>0</v>
      </c>
      <c r="N34" s="211">
        <f t="shared" si="28"/>
        <v>0</v>
      </c>
      <c r="O34" s="126">
        <v>0</v>
      </c>
      <c r="P34" s="211"/>
      <c r="Q34" s="125">
        <v>0</v>
      </c>
      <c r="R34" s="137"/>
      <c r="S34" s="138"/>
      <c r="T34" s="211"/>
      <c r="U34" s="125">
        <v>0</v>
      </c>
      <c r="V34" s="137"/>
      <c r="W34" s="138"/>
      <c r="X34" s="211"/>
      <c r="Y34" s="125"/>
      <c r="Z34" s="137"/>
      <c r="AA34" s="138"/>
      <c r="AB34" s="211"/>
      <c r="AC34" s="125">
        <v>0.02</v>
      </c>
      <c r="AD34" s="137"/>
      <c r="AE34" s="138"/>
      <c r="AF34" s="125">
        <f t="shared" si="7"/>
        <v>0.02</v>
      </c>
      <c r="AG34" s="125">
        <f t="shared" si="8"/>
        <v>3.3333333333333335E-3</v>
      </c>
      <c r="AH34" s="211"/>
      <c r="AI34" s="125"/>
      <c r="AJ34" s="137"/>
      <c r="AK34" s="138"/>
      <c r="AL34" s="211"/>
      <c r="AM34" s="125">
        <v>0</v>
      </c>
      <c r="AN34" s="125"/>
      <c r="AO34" s="138"/>
      <c r="AP34" s="211"/>
      <c r="AQ34" s="125">
        <v>0.1</v>
      </c>
      <c r="AR34" s="125"/>
      <c r="AS34" s="138"/>
      <c r="AT34" s="211"/>
      <c r="AU34" s="125">
        <v>0.03</v>
      </c>
      <c r="AV34" s="125"/>
      <c r="AW34" s="138"/>
      <c r="AX34" s="121"/>
      <c r="AY34" s="125">
        <v>455</v>
      </c>
      <c r="AZ34" s="125"/>
      <c r="BA34" s="204"/>
      <c r="BB34" s="211"/>
      <c r="BC34" s="125">
        <v>0</v>
      </c>
      <c r="BD34" s="137"/>
      <c r="BE34" s="138"/>
      <c r="BF34" s="211">
        <f t="shared" si="15"/>
        <v>0.02</v>
      </c>
      <c r="BG34" s="126">
        <f t="shared" si="29"/>
        <v>455.15</v>
      </c>
      <c r="BH34" s="63"/>
    </row>
    <row r="35" spans="1:65" s="119" customFormat="1" x14ac:dyDescent="0.25">
      <c r="B35" s="127"/>
      <c r="C35" s="123"/>
      <c r="D35" s="124" t="s">
        <v>124</v>
      </c>
      <c r="E35" s="338"/>
      <c r="F35" s="148"/>
      <c r="G35" s="220"/>
      <c r="H35" s="224"/>
      <c r="I35" s="125">
        <v>0</v>
      </c>
      <c r="J35" s="125">
        <f t="shared" si="17"/>
        <v>0</v>
      </c>
      <c r="K35" s="216"/>
      <c r="L35" s="211"/>
      <c r="M35" s="125">
        <v>0</v>
      </c>
      <c r="N35" s="211">
        <f t="shared" si="28"/>
        <v>0</v>
      </c>
      <c r="O35" s="126">
        <v>0</v>
      </c>
      <c r="P35" s="211"/>
      <c r="Q35" s="125">
        <v>0</v>
      </c>
      <c r="R35" s="125"/>
      <c r="S35" s="126"/>
      <c r="T35" s="211"/>
      <c r="U35" s="125">
        <v>0</v>
      </c>
      <c r="V35" s="125"/>
      <c r="W35" s="126"/>
      <c r="X35" s="211"/>
      <c r="Y35" s="125"/>
      <c r="Z35" s="125"/>
      <c r="AA35" s="126"/>
      <c r="AB35" s="211"/>
      <c r="AC35" s="125">
        <v>0</v>
      </c>
      <c r="AD35" s="125"/>
      <c r="AE35" s="126"/>
      <c r="AF35" s="125">
        <f t="shared" si="7"/>
        <v>0</v>
      </c>
      <c r="AG35" s="125">
        <f t="shared" si="8"/>
        <v>0</v>
      </c>
      <c r="AH35" s="211"/>
      <c r="AI35" s="125"/>
      <c r="AJ35" s="125"/>
      <c r="AK35" s="126"/>
      <c r="AL35" s="211"/>
      <c r="AM35" s="125"/>
      <c r="AN35" s="125"/>
      <c r="AO35" s="126"/>
      <c r="AP35" s="211"/>
      <c r="AQ35" s="125"/>
      <c r="AR35" s="125"/>
      <c r="AS35" s="126"/>
      <c r="AT35" s="211"/>
      <c r="AU35" s="125"/>
      <c r="AV35" s="125"/>
      <c r="AW35" s="126"/>
      <c r="AX35" s="121"/>
      <c r="AY35" s="125"/>
      <c r="AZ35" s="125"/>
      <c r="BA35" s="202"/>
      <c r="BB35" s="211"/>
      <c r="BC35" s="125"/>
      <c r="BD35" s="125"/>
      <c r="BE35" s="126"/>
      <c r="BF35" s="211">
        <f t="shared" si="15"/>
        <v>0</v>
      </c>
      <c r="BG35" s="126">
        <f t="shared" si="29"/>
        <v>0</v>
      </c>
      <c r="BH35" s="63"/>
      <c r="BJ35" s="401"/>
    </row>
    <row r="36" spans="1:65" s="119" customFormat="1" x14ac:dyDescent="0.25">
      <c r="B36" s="127">
        <v>51260</v>
      </c>
      <c r="C36" s="123"/>
      <c r="D36" s="124" t="s">
        <v>22</v>
      </c>
      <c r="E36" s="338"/>
      <c r="F36" s="148"/>
      <c r="G36" s="220"/>
      <c r="H36" s="224"/>
      <c r="I36" s="125">
        <v>38805.39</v>
      </c>
      <c r="J36" s="125">
        <f t="shared" si="17"/>
        <v>38805.39</v>
      </c>
      <c r="K36" s="216"/>
      <c r="L36" s="211"/>
      <c r="M36" s="125">
        <v>39581.01</v>
      </c>
      <c r="N36" s="211">
        <f t="shared" si="28"/>
        <v>39581.01</v>
      </c>
      <c r="O36" s="126">
        <v>0</v>
      </c>
      <c r="P36" s="211"/>
      <c r="Q36" s="125">
        <v>39982.04</v>
      </c>
      <c r="R36" s="125"/>
      <c r="S36" s="126"/>
      <c r="T36" s="211"/>
      <c r="U36" s="125">
        <v>40087.85</v>
      </c>
      <c r="V36" s="125"/>
      <c r="W36" s="126"/>
      <c r="X36" s="211"/>
      <c r="Y36" s="125">
        <v>40246.239999999998</v>
      </c>
      <c r="Z36" s="125"/>
      <c r="AA36" s="126"/>
      <c r="AB36" s="211"/>
      <c r="AC36" s="125">
        <v>40348.870000000003</v>
      </c>
      <c r="AD36" s="125"/>
      <c r="AE36" s="126"/>
      <c r="AF36" s="125">
        <f t="shared" si="7"/>
        <v>239051.4</v>
      </c>
      <c r="AG36" s="125">
        <f t="shared" si="8"/>
        <v>39841.9</v>
      </c>
      <c r="AH36" s="211"/>
      <c r="AI36" s="125">
        <v>40348.870000000003</v>
      </c>
      <c r="AJ36" s="125"/>
      <c r="AK36" s="126"/>
      <c r="AL36" s="211"/>
      <c r="AM36" s="125">
        <v>40348.870000000003</v>
      </c>
      <c r="AN36" s="125"/>
      <c r="AO36" s="126"/>
      <c r="AP36" s="211"/>
      <c r="AQ36" s="125">
        <v>40348.870000000003</v>
      </c>
      <c r="AR36" s="125"/>
      <c r="AS36" s="126"/>
      <c r="AT36" s="211"/>
      <c r="AU36" s="125">
        <v>40348.870000000003</v>
      </c>
      <c r="AV36" s="125"/>
      <c r="AW36" s="126"/>
      <c r="AX36" s="121"/>
      <c r="AY36" s="125">
        <v>40348.870000000003</v>
      </c>
      <c r="AZ36" s="125"/>
      <c r="BA36" s="202"/>
      <c r="BB36" s="211"/>
      <c r="BC36" s="125">
        <v>40348.870000000003</v>
      </c>
      <c r="BD36" s="125"/>
      <c r="BE36" s="126"/>
      <c r="BF36" s="211">
        <f t="shared" si="15"/>
        <v>239051.4</v>
      </c>
      <c r="BG36" s="126">
        <f t="shared" si="29"/>
        <v>481144.62</v>
      </c>
      <c r="BH36" s="63"/>
    </row>
    <row r="37" spans="1:65" s="119" customFormat="1" x14ac:dyDescent="0.25">
      <c r="B37" s="127">
        <v>32733</v>
      </c>
      <c r="C37" s="123"/>
      <c r="D37" s="124" t="s">
        <v>144</v>
      </c>
      <c r="E37" s="338"/>
      <c r="F37" s="148"/>
      <c r="G37" s="220"/>
      <c r="H37" s="224"/>
      <c r="I37" s="125">
        <v>1886.77</v>
      </c>
      <c r="J37" s="125">
        <f t="shared" si="17"/>
        <v>1886.77</v>
      </c>
      <c r="K37" s="216"/>
      <c r="L37" s="211"/>
      <c r="M37" s="125">
        <v>1270.32</v>
      </c>
      <c r="N37" s="211">
        <f t="shared" si="28"/>
        <v>1270.32</v>
      </c>
      <c r="O37" s="126">
        <v>0</v>
      </c>
      <c r="P37" s="211"/>
      <c r="Q37" s="125">
        <v>957.47</v>
      </c>
      <c r="R37" s="125"/>
      <c r="S37" s="126"/>
      <c r="T37" s="211"/>
      <c r="U37" s="125">
        <v>641.48</v>
      </c>
      <c r="V37" s="125"/>
      <c r="W37" s="126"/>
      <c r="X37" s="211"/>
      <c r="Y37" s="125">
        <v>322.33999999999997</v>
      </c>
      <c r="Z37" s="125"/>
      <c r="AA37" s="126"/>
      <c r="AB37" s="211"/>
      <c r="AC37" s="125">
        <v>-306.69</v>
      </c>
      <c r="AD37" s="125"/>
      <c r="AE37" s="126"/>
      <c r="AF37" s="125">
        <f t="shared" si="7"/>
        <v>4771.6900000000014</v>
      </c>
      <c r="AG37" s="125">
        <f t="shared" si="8"/>
        <v>795.28166666666687</v>
      </c>
      <c r="AH37" s="211"/>
      <c r="AI37" s="125"/>
      <c r="AJ37" s="125"/>
      <c r="AK37" s="126"/>
      <c r="AL37" s="211"/>
      <c r="AM37" s="125">
        <v>51.34</v>
      </c>
      <c r="AN37" s="125"/>
      <c r="AO37" s="126"/>
      <c r="AP37" s="211"/>
      <c r="AQ37" s="125">
        <v>119.7</v>
      </c>
      <c r="AR37" s="125"/>
      <c r="AS37" s="126"/>
      <c r="AT37" s="211"/>
      <c r="AU37" s="125">
        <v>48.9</v>
      </c>
      <c r="AV37" s="125"/>
      <c r="AW37" s="126"/>
      <c r="AX37" s="121"/>
      <c r="AY37" s="125">
        <v>13.8</v>
      </c>
      <c r="AZ37" s="125"/>
      <c r="BA37" s="202"/>
      <c r="BB37" s="211"/>
      <c r="BC37" s="125">
        <v>697.9</v>
      </c>
      <c r="BD37" s="125"/>
      <c r="BE37" s="126"/>
      <c r="BF37" s="211">
        <f t="shared" si="15"/>
        <v>4771.6900000000014</v>
      </c>
      <c r="BG37" s="126">
        <f t="shared" si="29"/>
        <v>5703.3300000000008</v>
      </c>
      <c r="BH37" s="63"/>
    </row>
    <row r="38" spans="1:65" s="119" customFormat="1" x14ac:dyDescent="0.25">
      <c r="B38" s="127">
        <v>53260</v>
      </c>
      <c r="C38" s="123"/>
      <c r="D38" s="124" t="s">
        <v>133</v>
      </c>
      <c r="E38" s="338"/>
      <c r="F38" s="148"/>
      <c r="G38" s="220"/>
      <c r="H38" s="224"/>
      <c r="I38" s="125">
        <v>0</v>
      </c>
      <c r="J38" s="125">
        <f t="shared" si="17"/>
        <v>0</v>
      </c>
      <c r="K38" s="216"/>
      <c r="L38" s="211"/>
      <c r="M38" s="125">
        <v>0</v>
      </c>
      <c r="N38" s="211">
        <f t="shared" si="28"/>
        <v>0</v>
      </c>
      <c r="O38" s="126">
        <v>0</v>
      </c>
      <c r="P38" s="211"/>
      <c r="Q38" s="125">
        <v>500000</v>
      </c>
      <c r="R38" s="125"/>
      <c r="S38" s="126"/>
      <c r="T38" s="211"/>
      <c r="U38" s="125">
        <v>0</v>
      </c>
      <c r="V38" s="125"/>
      <c r="W38" s="126"/>
      <c r="X38" s="211"/>
      <c r="Y38" s="125">
        <v>0</v>
      </c>
      <c r="Z38" s="125"/>
      <c r="AA38" s="126"/>
      <c r="AB38" s="211"/>
      <c r="AC38" s="125">
        <v>0</v>
      </c>
      <c r="AD38" s="125"/>
      <c r="AE38" s="126"/>
      <c r="AF38" s="125">
        <f t="shared" si="7"/>
        <v>500000</v>
      </c>
      <c r="AG38" s="125">
        <f t="shared" si="8"/>
        <v>83333.333333333328</v>
      </c>
      <c r="AH38" s="211"/>
      <c r="AI38" s="125"/>
      <c r="AJ38" s="125"/>
      <c r="AK38" s="126"/>
      <c r="AL38" s="211"/>
      <c r="AM38" s="125">
        <v>0.01</v>
      </c>
      <c r="AN38" s="125"/>
      <c r="AO38" s="126"/>
      <c r="AP38" s="211"/>
      <c r="AQ38" s="125"/>
      <c r="AR38" s="125"/>
      <c r="AS38" s="126"/>
      <c r="AT38" s="211"/>
      <c r="AU38" s="125">
        <v>26.4</v>
      </c>
      <c r="AV38" s="125"/>
      <c r="AW38" s="126"/>
      <c r="AX38" s="121"/>
      <c r="AY38" s="125">
        <v>370000</v>
      </c>
      <c r="AZ38" s="125"/>
      <c r="BA38" s="202"/>
      <c r="BB38" s="211"/>
      <c r="BC38" s="125">
        <v>925965</v>
      </c>
      <c r="BD38" s="125"/>
      <c r="BE38" s="126"/>
      <c r="BF38" s="211">
        <f t="shared" si="15"/>
        <v>500000</v>
      </c>
      <c r="BG38" s="126">
        <f t="shared" si="29"/>
        <v>1795991.4100000001</v>
      </c>
      <c r="BH38" s="63"/>
    </row>
    <row r="39" spans="1:65" s="119" customFormat="1" x14ac:dyDescent="0.25">
      <c r="B39" s="127">
        <v>53475</v>
      </c>
      <c r="C39" s="123"/>
      <c r="D39" s="124" t="s">
        <v>140</v>
      </c>
      <c r="E39" s="338"/>
      <c r="F39" s="148"/>
      <c r="G39" s="619">
        <v>30000</v>
      </c>
      <c r="H39" s="224">
        <f>G39</f>
        <v>30000</v>
      </c>
      <c r="I39" s="125">
        <f>30000</f>
        <v>30000</v>
      </c>
      <c r="J39" s="125">
        <f t="shared" si="17"/>
        <v>0</v>
      </c>
      <c r="K39" s="216">
        <f>((I39/H39)-1)*100</f>
        <v>0</v>
      </c>
      <c r="L39" s="211">
        <v>70000</v>
      </c>
      <c r="M39" s="125">
        <v>35000</v>
      </c>
      <c r="N39" s="211">
        <f t="shared" si="28"/>
        <v>-35000</v>
      </c>
      <c r="O39" s="126">
        <f>((M39/L39)-1)*100</f>
        <v>-50</v>
      </c>
      <c r="P39" s="211">
        <f>$L$39</f>
        <v>70000</v>
      </c>
      <c r="Q39" s="125">
        <v>140000</v>
      </c>
      <c r="R39" s="125">
        <f>Q39-P39</f>
        <v>70000</v>
      </c>
      <c r="S39" s="216">
        <f>((Q39/P39)-1)*100</f>
        <v>100</v>
      </c>
      <c r="T39" s="211">
        <f>$L$39</f>
        <v>70000</v>
      </c>
      <c r="U39" s="125">
        <v>70000</v>
      </c>
      <c r="V39" s="125">
        <f>U39-T39</f>
        <v>0</v>
      </c>
      <c r="W39" s="216">
        <f>((U39/T39)-1)*100</f>
        <v>0</v>
      </c>
      <c r="X39" s="211">
        <f>$L$39</f>
        <v>70000</v>
      </c>
      <c r="Y39" s="125">
        <v>70000</v>
      </c>
      <c r="Z39" s="125">
        <f>Y39-X39</f>
        <v>0</v>
      </c>
      <c r="AA39" s="216">
        <f>((Y39/X39)-1)*100</f>
        <v>0</v>
      </c>
      <c r="AB39" s="211">
        <f>$L$39</f>
        <v>70000</v>
      </c>
      <c r="AC39" s="125">
        <v>70000</v>
      </c>
      <c r="AD39" s="125">
        <f>AC39-AB39</f>
        <v>0</v>
      </c>
      <c r="AE39" s="216">
        <f>((AC39/AB39)-1)*100</f>
        <v>0</v>
      </c>
      <c r="AF39" s="125">
        <f t="shared" si="7"/>
        <v>415000</v>
      </c>
      <c r="AG39" s="125">
        <f t="shared" si="8"/>
        <v>69166.666666666672</v>
      </c>
      <c r="AH39" s="211">
        <f>$L$39</f>
        <v>70000</v>
      </c>
      <c r="AI39" s="125">
        <v>70000</v>
      </c>
      <c r="AJ39" s="125">
        <f>AI39-AH39</f>
        <v>0</v>
      </c>
      <c r="AK39" s="216">
        <f>((AI39/AH39)-1)*100</f>
        <v>0</v>
      </c>
      <c r="AL39" s="211">
        <f>$L$39</f>
        <v>70000</v>
      </c>
      <c r="AM39" s="125">
        <v>70000</v>
      </c>
      <c r="AN39" s="125">
        <f>AM39-AL39</f>
        <v>0</v>
      </c>
      <c r="AO39" s="216">
        <f>((AM39/AL39)-1)*100</f>
        <v>0</v>
      </c>
      <c r="AP39" s="211">
        <f>$L$39</f>
        <v>70000</v>
      </c>
      <c r="AQ39" s="125">
        <v>70000</v>
      </c>
      <c r="AR39" s="125">
        <f>AQ39-AP39</f>
        <v>0</v>
      </c>
      <c r="AS39" s="216">
        <f>((AQ39/AP39)-1)*100</f>
        <v>0</v>
      </c>
      <c r="AT39" s="211">
        <f>$L$39</f>
        <v>70000</v>
      </c>
      <c r="AU39" s="125">
        <v>70000</v>
      </c>
      <c r="AV39" s="125">
        <f>AU39-AT39</f>
        <v>0</v>
      </c>
      <c r="AW39" s="216">
        <f>((AU39/AT39)-1)*100</f>
        <v>0</v>
      </c>
      <c r="AX39" s="211">
        <f>$L$39</f>
        <v>70000</v>
      </c>
      <c r="AY39" s="125">
        <v>70000</v>
      </c>
      <c r="AZ39" s="125">
        <f>AY39-AX39</f>
        <v>0</v>
      </c>
      <c r="BA39" s="216">
        <f>((AY39/AX39)-1)*100</f>
        <v>0</v>
      </c>
      <c r="BB39" s="211">
        <f>$L$39</f>
        <v>70000</v>
      </c>
      <c r="BC39" s="125">
        <v>70000</v>
      </c>
      <c r="BD39" s="125">
        <f>BC39-BB39</f>
        <v>0</v>
      </c>
      <c r="BE39" s="216">
        <f>((BC39/BB39)-1)*100</f>
        <v>0</v>
      </c>
      <c r="BF39" s="211">
        <f t="shared" si="15"/>
        <v>835000</v>
      </c>
      <c r="BG39" s="126">
        <f t="shared" si="29"/>
        <v>835000</v>
      </c>
      <c r="BH39" s="63"/>
    </row>
    <row r="40" spans="1:65" s="119" customFormat="1" x14ac:dyDescent="0.25">
      <c r="B40" s="127">
        <v>5177</v>
      </c>
      <c r="C40" s="123"/>
      <c r="D40" s="124" t="s">
        <v>23</v>
      </c>
      <c r="E40" s="338"/>
      <c r="F40" s="148"/>
      <c r="G40" s="220"/>
      <c r="H40" s="224"/>
      <c r="I40" s="125">
        <v>0</v>
      </c>
      <c r="J40" s="125">
        <f t="shared" si="17"/>
        <v>0</v>
      </c>
      <c r="K40" s="216"/>
      <c r="L40" s="211"/>
      <c r="M40" s="202">
        <v>0</v>
      </c>
      <c r="N40" s="211">
        <f t="shared" si="28"/>
        <v>0</v>
      </c>
      <c r="O40" s="126">
        <v>0</v>
      </c>
      <c r="P40" s="211"/>
      <c r="Q40" s="125">
        <v>0</v>
      </c>
      <c r="R40" s="125"/>
      <c r="S40" s="126"/>
      <c r="T40" s="211"/>
      <c r="U40" s="125">
        <v>200</v>
      </c>
      <c r="V40" s="125"/>
      <c r="W40" s="126"/>
      <c r="X40" s="211"/>
      <c r="Y40" s="125">
        <v>2222.5</v>
      </c>
      <c r="Z40" s="125"/>
      <c r="AA40" s="126"/>
      <c r="AB40" s="211"/>
      <c r="AC40" s="125">
        <v>0</v>
      </c>
      <c r="AD40" s="125"/>
      <c r="AE40" s="126"/>
      <c r="AF40" s="125">
        <f t="shared" si="7"/>
        <v>2422.5</v>
      </c>
      <c r="AG40" s="125">
        <f t="shared" si="8"/>
        <v>403.75</v>
      </c>
      <c r="AH40" s="211"/>
      <c r="AI40" s="125"/>
      <c r="AJ40" s="125"/>
      <c r="AK40" s="126"/>
      <c r="AL40" s="211"/>
      <c r="AM40" s="125">
        <v>0</v>
      </c>
      <c r="AN40" s="125"/>
      <c r="AO40" s="138"/>
      <c r="AP40" s="211"/>
      <c r="AQ40" s="125"/>
      <c r="AR40" s="125"/>
      <c r="AS40" s="126"/>
      <c r="AT40" s="211"/>
      <c r="AU40" s="125">
        <v>0</v>
      </c>
      <c r="AV40" s="125"/>
      <c r="AW40" s="126"/>
      <c r="AX40" s="121"/>
      <c r="AY40" s="125">
        <v>0</v>
      </c>
      <c r="AZ40" s="125"/>
      <c r="BA40" s="202"/>
      <c r="BB40" s="211"/>
      <c r="BC40" s="125">
        <v>0</v>
      </c>
      <c r="BD40" s="125"/>
      <c r="BE40" s="126"/>
      <c r="BF40" s="211">
        <f t="shared" si="15"/>
        <v>2422.5</v>
      </c>
      <c r="BG40" s="126">
        <f t="shared" si="29"/>
        <v>2422.5</v>
      </c>
      <c r="BH40" s="63"/>
      <c r="BL40" s="401"/>
    </row>
    <row r="41" spans="1:65" s="119" customFormat="1" x14ac:dyDescent="0.25">
      <c r="B41" s="127">
        <v>5199</v>
      </c>
      <c r="C41" s="123"/>
      <c r="D41" s="152" t="s">
        <v>129</v>
      </c>
      <c r="E41" s="341"/>
      <c r="F41" s="148"/>
      <c r="G41" s="220"/>
      <c r="H41" s="224"/>
      <c r="I41" s="125">
        <v>0</v>
      </c>
      <c r="J41" s="125">
        <f t="shared" si="17"/>
        <v>0</v>
      </c>
      <c r="K41" s="216"/>
      <c r="L41" s="211"/>
      <c r="M41" s="202">
        <v>0</v>
      </c>
      <c r="N41" s="211">
        <f t="shared" si="28"/>
        <v>0</v>
      </c>
      <c r="O41" s="126">
        <v>0</v>
      </c>
      <c r="P41" s="211"/>
      <c r="Q41" s="125">
        <v>0</v>
      </c>
      <c r="R41" s="125"/>
      <c r="S41" s="126"/>
      <c r="T41" s="211"/>
      <c r="U41" s="125">
        <v>0</v>
      </c>
      <c r="V41" s="125"/>
      <c r="W41" s="126"/>
      <c r="X41" s="211"/>
      <c r="Y41" s="125"/>
      <c r="Z41" s="125"/>
      <c r="AA41" s="126"/>
      <c r="AB41" s="211"/>
      <c r="AC41" s="125">
        <v>0</v>
      </c>
      <c r="AD41" s="125"/>
      <c r="AE41" s="126"/>
      <c r="AF41" s="125">
        <f t="shared" si="7"/>
        <v>0</v>
      </c>
      <c r="AG41" s="125">
        <f t="shared" si="8"/>
        <v>0</v>
      </c>
      <c r="AH41" s="211"/>
      <c r="AI41" s="125"/>
      <c r="AJ41" s="125"/>
      <c r="AK41" s="126"/>
      <c r="AL41" s="211"/>
      <c r="AM41" s="125">
        <v>0</v>
      </c>
      <c r="AN41" s="125"/>
      <c r="AO41" s="126"/>
      <c r="AP41" s="211"/>
      <c r="AQ41" s="125"/>
      <c r="AR41" s="125"/>
      <c r="AS41" s="126"/>
      <c r="AT41" s="211"/>
      <c r="AU41" s="125"/>
      <c r="AV41" s="125"/>
      <c r="AW41" s="126"/>
      <c r="AX41" s="121"/>
      <c r="AY41" s="125">
        <v>0</v>
      </c>
      <c r="AZ41" s="125"/>
      <c r="BA41" s="202"/>
      <c r="BB41" s="211"/>
      <c r="BC41" s="125">
        <v>0</v>
      </c>
      <c r="BD41" s="125"/>
      <c r="BE41" s="126"/>
      <c r="BF41" s="211">
        <f t="shared" si="15"/>
        <v>0</v>
      </c>
      <c r="BG41" s="126">
        <f t="shared" si="29"/>
        <v>0</v>
      </c>
      <c r="BH41" s="63"/>
      <c r="BL41" s="401"/>
    </row>
    <row r="42" spans="1:65" s="119" customFormat="1" x14ac:dyDescent="0.25">
      <c r="B42" s="127">
        <v>53327</v>
      </c>
      <c r="C42" s="128"/>
      <c r="D42" s="147" t="s">
        <v>131</v>
      </c>
      <c r="E42" s="340"/>
      <c r="F42" s="148"/>
      <c r="G42" s="220"/>
      <c r="H42" s="224"/>
      <c r="I42" s="149">
        <v>0</v>
      </c>
      <c r="J42" s="125">
        <f t="shared" si="17"/>
        <v>0</v>
      </c>
      <c r="K42" s="642"/>
      <c r="L42" s="211"/>
      <c r="M42" s="643">
        <v>0</v>
      </c>
      <c r="N42" s="211">
        <f t="shared" si="28"/>
        <v>0</v>
      </c>
      <c r="O42" s="126">
        <v>0</v>
      </c>
      <c r="P42" s="211"/>
      <c r="Q42" s="149">
        <v>0</v>
      </c>
      <c r="R42" s="137"/>
      <c r="S42" s="138"/>
      <c r="T42" s="211"/>
      <c r="U42" s="149">
        <v>0</v>
      </c>
      <c r="V42" s="137"/>
      <c r="W42" s="138"/>
      <c r="X42" s="211"/>
      <c r="Y42" s="149"/>
      <c r="Z42" s="137"/>
      <c r="AA42" s="138"/>
      <c r="AB42" s="211"/>
      <c r="AC42" s="149">
        <v>0</v>
      </c>
      <c r="AD42" s="137"/>
      <c r="AE42" s="138"/>
      <c r="AF42" s="149">
        <f t="shared" si="7"/>
        <v>0</v>
      </c>
      <c r="AG42" s="149">
        <f t="shared" si="8"/>
        <v>0</v>
      </c>
      <c r="AH42" s="211"/>
      <c r="AI42" s="125"/>
      <c r="AJ42" s="137"/>
      <c r="AK42" s="138"/>
      <c r="AL42" s="211"/>
      <c r="AM42" s="149">
        <v>0</v>
      </c>
      <c r="AN42" s="125"/>
      <c r="AO42" s="138"/>
      <c r="AP42" s="224"/>
      <c r="AQ42" s="125"/>
      <c r="AR42" s="125"/>
      <c r="AS42" s="138"/>
      <c r="AT42" s="211"/>
      <c r="AU42" s="149"/>
      <c r="AV42" s="125"/>
      <c r="AW42" s="138"/>
      <c r="AX42" s="121"/>
      <c r="AY42" s="125">
        <v>0</v>
      </c>
      <c r="AZ42" s="125"/>
      <c r="BA42" s="204"/>
      <c r="BB42" s="211"/>
      <c r="BC42" s="125">
        <v>0</v>
      </c>
      <c r="BD42" s="137"/>
      <c r="BE42" s="138"/>
      <c r="BF42" s="211">
        <f t="shared" si="15"/>
        <v>0</v>
      </c>
      <c r="BG42" s="126">
        <f t="shared" si="29"/>
        <v>0</v>
      </c>
      <c r="BH42" s="63"/>
    </row>
    <row r="43" spans="1:65" s="119" customFormat="1" ht="16.5" thickBot="1" x14ac:dyDescent="0.3">
      <c r="B43" s="155">
        <v>27455</v>
      </c>
      <c r="C43" s="156"/>
      <c r="D43" s="157" t="s">
        <v>130</v>
      </c>
      <c r="E43" s="342"/>
      <c r="F43" s="158"/>
      <c r="G43" s="223"/>
      <c r="H43" s="229"/>
      <c r="I43" s="159">
        <v>0</v>
      </c>
      <c r="J43" s="159">
        <f t="shared" si="17"/>
        <v>0</v>
      </c>
      <c r="K43" s="217"/>
      <c r="L43" s="214"/>
      <c r="M43" s="206">
        <v>0</v>
      </c>
      <c r="N43" s="214">
        <f t="shared" si="28"/>
        <v>0</v>
      </c>
      <c r="O43" s="214">
        <v>0</v>
      </c>
      <c r="P43" s="214"/>
      <c r="Q43" s="159">
        <v>0</v>
      </c>
      <c r="R43" s="159"/>
      <c r="S43" s="160"/>
      <c r="T43" s="214"/>
      <c r="U43" s="159">
        <v>0</v>
      </c>
      <c r="V43" s="159"/>
      <c r="W43" s="160"/>
      <c r="X43" s="214"/>
      <c r="Y43" s="159"/>
      <c r="Z43" s="159"/>
      <c r="AA43" s="160"/>
      <c r="AB43" s="214"/>
      <c r="AC43" s="159">
        <v>0</v>
      </c>
      <c r="AD43" s="159"/>
      <c r="AE43" s="160"/>
      <c r="AF43" s="159">
        <f t="shared" si="7"/>
        <v>0</v>
      </c>
      <c r="AG43" s="159">
        <f t="shared" si="8"/>
        <v>0</v>
      </c>
      <c r="AH43" s="214"/>
      <c r="AI43" s="159"/>
      <c r="AJ43" s="159"/>
      <c r="AK43" s="160"/>
      <c r="AL43" s="214"/>
      <c r="AM43" s="159">
        <v>0</v>
      </c>
      <c r="AN43" s="159"/>
      <c r="AO43" s="160"/>
      <c r="AP43" s="214"/>
      <c r="AQ43" s="159"/>
      <c r="AR43" s="159"/>
      <c r="AS43" s="160"/>
      <c r="AT43" s="214"/>
      <c r="AU43" s="159"/>
      <c r="AV43" s="159"/>
      <c r="AW43" s="160"/>
      <c r="AX43" s="208"/>
      <c r="AY43" s="159">
        <v>0</v>
      </c>
      <c r="AZ43" s="159"/>
      <c r="BA43" s="206"/>
      <c r="BB43" s="214"/>
      <c r="BC43" s="159">
        <v>0</v>
      </c>
      <c r="BD43" s="159"/>
      <c r="BE43" s="160"/>
      <c r="BF43" s="214">
        <f t="shared" si="15"/>
        <v>0</v>
      </c>
      <c r="BG43" s="160">
        <f t="shared" si="29"/>
        <v>0</v>
      </c>
      <c r="BH43" s="63"/>
    </row>
    <row r="44" spans="1:65" s="11" customFormat="1" ht="16.5" thickBot="1" x14ac:dyDescent="0.3">
      <c r="B44" s="161"/>
      <c r="F44" s="162"/>
      <c r="H44" s="163"/>
      <c r="I44" s="132"/>
      <c r="J44" s="163"/>
      <c r="K44" s="195"/>
      <c r="L44" s="163"/>
      <c r="M44" s="118"/>
      <c r="N44" s="163"/>
      <c r="O44" s="132"/>
      <c r="S44" s="132"/>
      <c r="U44" s="132"/>
      <c r="W44" s="132"/>
      <c r="AA44" s="132"/>
      <c r="AE44" s="132"/>
      <c r="AG44" s="11">
        <f t="shared" si="8"/>
        <v>0</v>
      </c>
      <c r="AK44" s="132"/>
      <c r="AM44" s="132"/>
      <c r="AO44" s="132"/>
      <c r="AQ44" s="163"/>
      <c r="AS44" s="132"/>
      <c r="AW44" s="132"/>
      <c r="AY44" s="164"/>
      <c r="BA44" s="132"/>
      <c r="BE44" s="132"/>
      <c r="BH44" s="63"/>
    </row>
    <row r="45" spans="1:65" s="8" customFormat="1" ht="16.5" thickBot="1" x14ac:dyDescent="0.3">
      <c r="A45" s="8">
        <v>0</v>
      </c>
      <c r="B45" s="165"/>
      <c r="C45" s="41"/>
      <c r="D45" s="2687" t="s">
        <v>24</v>
      </c>
      <c r="E45" s="2688"/>
      <c r="F45" s="2688"/>
      <c r="G45" s="2688">
        <f>G47+G72+G110+G121+G142+G162</f>
        <v>12652239.270000001</v>
      </c>
      <c r="H45" s="95">
        <f>H47+H72+H110+H121+H142+H162</f>
        <v>12610409.656666668</v>
      </c>
      <c r="I45" s="95">
        <f>I47+I72+I110+I121+I142+I162</f>
        <v>13334991.240000002</v>
      </c>
      <c r="J45" s="95">
        <f>I45-H45</f>
        <v>724581.58333333395</v>
      </c>
      <c r="K45" s="238">
        <f>((I45/H45)-1)*100</f>
        <v>5.7459004351240406</v>
      </c>
      <c r="L45" s="95">
        <f>L47+L72+L110+L121+L142+L162</f>
        <v>12595419.656666668</v>
      </c>
      <c r="M45" s="370">
        <f>M47+M72+M110+M121+M142+M162</f>
        <v>12913178.08</v>
      </c>
      <c r="N45" s="95">
        <f>M45-L45</f>
        <v>317758.42333333194</v>
      </c>
      <c r="O45" s="238">
        <f>((M45/L45)-1)*100</f>
        <v>2.5228093385927464</v>
      </c>
      <c r="P45" s="95">
        <f>P47+P72+P110+P121+P142+P162</f>
        <v>12650419.656666668</v>
      </c>
      <c r="Q45" s="95">
        <f>Q47+Q72+Q110+Q121+Q142+Q162</f>
        <v>12714510.16</v>
      </c>
      <c r="R45" s="95">
        <f>Q45-P45</f>
        <v>64090.503333332017</v>
      </c>
      <c r="S45" s="238">
        <f>((Q45/P45)-1)*100</f>
        <v>0.50662748804193303</v>
      </c>
      <c r="T45" s="405">
        <f>T47+T72+T110+T121+T142+T162</f>
        <v>12779019.656666668</v>
      </c>
      <c r="U45" s="95">
        <f>U47+U72+U110+U121+U142+U162</f>
        <v>13153847.889999999</v>
      </c>
      <c r="V45" s="95">
        <f>U45-T45</f>
        <v>374828.2333333306</v>
      </c>
      <c r="W45" s="238">
        <f>((U45/T45)-1)*100</f>
        <v>2.9331532731291077</v>
      </c>
      <c r="X45" s="95">
        <f>X47+X72+X110+X121+X142+X162</f>
        <v>12886759.656666668</v>
      </c>
      <c r="Y45" s="95">
        <f>Y47+Y72+Y110+Y121+Y142+Y162</f>
        <v>14360067.629999997</v>
      </c>
      <c r="Z45" s="95">
        <f>Y45-X45</f>
        <v>1473307.973333329</v>
      </c>
      <c r="AA45" s="238">
        <f>((Y45/X45)-1)*100</f>
        <v>11.432726399697746</v>
      </c>
      <c r="AB45" s="405">
        <f>AB47+AB72+AB110+AB121+AB142+AB162</f>
        <v>12955379.656666668</v>
      </c>
      <c r="AC45" s="95">
        <f>AC47+AC72+AC110+AC121+AC142+AC162</f>
        <v>13063918.019999998</v>
      </c>
      <c r="AD45" s="95">
        <f>AC45-AB45</f>
        <v>108538.36333332956</v>
      </c>
      <c r="AE45" s="238">
        <f>((AC45/AB45)-1)*100</f>
        <v>0.83778604880542229</v>
      </c>
      <c r="AF45" s="614">
        <f t="shared" si="7"/>
        <v>79540513.019999996</v>
      </c>
      <c r="AG45" s="610">
        <f t="shared" si="8"/>
        <v>13256752.17</v>
      </c>
      <c r="AH45" s="95">
        <f>AH47+AH72+AH110+AH121+AH142+AH162</f>
        <v>13643633.421666667</v>
      </c>
      <c r="AI45" s="95">
        <f>AI47+AI72+AI110+AI121+AI142+AI162</f>
        <v>14321201.310000001</v>
      </c>
      <c r="AJ45" s="95">
        <f>AI45-AH45</f>
        <v>677567.88833333366</v>
      </c>
      <c r="AK45" s="238">
        <f>((AI45/AH45)-1)*100</f>
        <v>4.9661836212729682</v>
      </c>
      <c r="AL45" s="405">
        <f>AL47+AL72+AL110+AL121+AL142+AL162</f>
        <v>13622126.619999999</v>
      </c>
      <c r="AM45" s="405">
        <f>AM47+AM72+AM110+AM121+AM142+AM162</f>
        <v>14845710.51</v>
      </c>
      <c r="AN45" s="95">
        <f>AM45-AL45</f>
        <v>1223583.8900000006</v>
      </c>
      <c r="AO45" s="238">
        <f>((AM45/AL45)-1)*100</f>
        <v>8.9823265054924448</v>
      </c>
      <c r="AP45" s="18">
        <f>AP47+AP72+AP110+AP121+AP142+AP162</f>
        <v>13519269.030449999</v>
      </c>
      <c r="AQ45" s="18">
        <f>AQ47+AQ72+AQ110+AQ121+AQ142+AQ162</f>
        <v>14483770</v>
      </c>
      <c r="AR45" s="95">
        <f>AQ45-AP45</f>
        <v>964500.9695500005</v>
      </c>
      <c r="AS45" s="238">
        <f>((AQ45/AP45)-1)*100</f>
        <v>7.1342686307789061</v>
      </c>
      <c r="AT45" s="18">
        <f>AT47+AT72+AT110+AT121+AT142+AT162</f>
        <v>13506585.700449999</v>
      </c>
      <c r="AU45" s="18">
        <f>AU47+AU72+AU110+AU121+AU142+AU162</f>
        <v>14691126.509999996</v>
      </c>
      <c r="AV45" s="95">
        <f>AU45-AT45</f>
        <v>1184540.8095499966</v>
      </c>
      <c r="AW45" s="238">
        <f>((AU45/AT45)-1)*100</f>
        <v>8.7700980530596375</v>
      </c>
      <c r="AX45" s="18">
        <f>AX47+AX72+AX110+AX121+AX142+AX162</f>
        <v>13507411.700449999</v>
      </c>
      <c r="AY45" s="18">
        <f>AY47+AY72+AY110+AY121+AY142+AY162</f>
        <v>14805028.75</v>
      </c>
      <c r="AZ45" s="95">
        <f>AY45-AX45</f>
        <v>1297617.0495500006</v>
      </c>
      <c r="BA45" s="238">
        <f>((AY45/AX45)-1)*100</f>
        <v>9.6067039217200279</v>
      </c>
      <c r="BB45" s="18">
        <f>BB47+BB72+BB110+BB121+BB142+BB162</f>
        <v>13509536.700449999</v>
      </c>
      <c r="BC45" s="18">
        <f>BC47+BC72+BC110+BC121+BC142+BC162</f>
        <v>14468721.59</v>
      </c>
      <c r="BD45" s="95">
        <f>BC45-BB45</f>
        <v>959184.88955000043</v>
      </c>
      <c r="BE45" s="196">
        <f>((BC45/BB45)-1)*100</f>
        <v>7.1000576172093988</v>
      </c>
      <c r="BF45" s="18">
        <f>AF45+AH45+AL45+AP45+AT45+AX45+BB45</f>
        <v>160849076.19346666</v>
      </c>
      <c r="BG45" s="112">
        <f>SUM(I45+M45+Q45+U45+Y45+AC45+AI45+AM45+AQ45+AU45+AY45+BC45)</f>
        <v>167156071.69</v>
      </c>
      <c r="BH45" s="63"/>
      <c r="BI45" s="64"/>
      <c r="BK45" s="9"/>
      <c r="BL45" s="10"/>
    </row>
    <row r="46" spans="1:65" s="11" customFormat="1" ht="16.5" thickBot="1" x14ac:dyDescent="0.3">
      <c r="B46" s="161"/>
      <c r="F46" s="347"/>
      <c r="G46" s="333"/>
      <c r="H46" s="333"/>
      <c r="I46" s="132"/>
      <c r="J46" s="132"/>
      <c r="K46" s="369"/>
      <c r="M46" s="119"/>
      <c r="N46" s="132"/>
      <c r="O46" s="132"/>
      <c r="P46" s="163"/>
      <c r="Q46" s="163"/>
      <c r="R46" s="132"/>
      <c r="S46" s="132"/>
      <c r="U46" s="132"/>
      <c r="V46" s="132"/>
      <c r="W46" s="132"/>
      <c r="Y46" s="132"/>
      <c r="Z46" s="132"/>
      <c r="AA46" s="132"/>
      <c r="AB46" s="163"/>
      <c r="AC46" s="163"/>
      <c r="AD46" s="163"/>
      <c r="AE46" s="132"/>
      <c r="AF46" s="163"/>
      <c r="AG46" s="163"/>
      <c r="AH46" s="163">
        <f>AH45+AL45+AP45+AT45+AX45+BB45</f>
        <v>81308563.173466668</v>
      </c>
      <c r="AI46" s="163"/>
      <c r="AJ46" s="163"/>
      <c r="AK46" s="132"/>
      <c r="AL46" s="163"/>
      <c r="AM46" s="163"/>
      <c r="AN46" s="163"/>
      <c r="AO46" s="132"/>
      <c r="AP46" s="163"/>
      <c r="AQ46" s="163"/>
      <c r="AR46" s="163"/>
      <c r="AS46" s="132"/>
      <c r="AT46" s="163"/>
      <c r="AU46" s="163"/>
      <c r="AV46" s="163"/>
      <c r="AW46" s="132"/>
      <c r="AX46" s="163"/>
      <c r="AY46" s="163"/>
      <c r="AZ46" s="163"/>
      <c r="BA46" s="132"/>
      <c r="BB46" s="163"/>
      <c r="BC46" s="163"/>
      <c r="BD46" s="163"/>
      <c r="BE46" s="132"/>
      <c r="BF46" s="163"/>
      <c r="BG46" s="163"/>
      <c r="BH46" s="63"/>
    </row>
    <row r="47" spans="1:65" s="11" customFormat="1" ht="16.5" thickBot="1" x14ac:dyDescent="0.3">
      <c r="B47" s="166"/>
      <c r="C47" s="44"/>
      <c r="D47" s="819" t="s">
        <v>167</v>
      </c>
      <c r="E47" s="820"/>
      <c r="F47" s="820"/>
      <c r="G47" s="818">
        <f>SUM(G48:G70)</f>
        <v>4482032.5516666668</v>
      </c>
      <c r="H47" s="218">
        <f>SUM(H48:H70)</f>
        <v>4488600</v>
      </c>
      <c r="I47" s="80">
        <f>SUM(I48:I70)</f>
        <v>4410271.91</v>
      </c>
      <c r="J47" s="80">
        <f t="shared" ref="J47:J70" si="30">I47-H47</f>
        <v>-78328.089999999851</v>
      </c>
      <c r="K47" s="244">
        <f t="shared" ref="K47:K70" si="31">((I47/H47)-1)*100</f>
        <v>-1.7450450028962172</v>
      </c>
      <c r="L47" s="104">
        <f>SUM(L48:L70)</f>
        <v>4522580</v>
      </c>
      <c r="M47" s="392">
        <f>SUM(M48:M70)</f>
        <v>4537697.2400000012</v>
      </c>
      <c r="N47" s="80">
        <f>M47-L47</f>
        <v>15117.240000001155</v>
      </c>
      <c r="O47" s="244">
        <f>((M47/L47)-1)*100</f>
        <v>0.33426141715571234</v>
      </c>
      <c r="P47" s="104">
        <f>SUM(P48:P70)</f>
        <v>4522580</v>
      </c>
      <c r="Q47" s="80">
        <f>SUM(Q48:Q70)</f>
        <v>4485069.18</v>
      </c>
      <c r="R47" s="80">
        <f>Q47-P47</f>
        <v>-37510.820000000298</v>
      </c>
      <c r="S47" s="244">
        <f>((Q47/P47)-1)*100</f>
        <v>-0.82941197281198864</v>
      </c>
      <c r="T47" s="104">
        <f>SUM(T48:T70)</f>
        <v>4527580</v>
      </c>
      <c r="U47" s="80">
        <f>SUM(U48:U70)</f>
        <v>4659992.6999999993</v>
      </c>
      <c r="V47" s="80">
        <f>U47-T47</f>
        <v>132412.69999999925</v>
      </c>
      <c r="W47" s="244">
        <f>((U47/T47)-1)*100</f>
        <v>2.9245800184645843</v>
      </c>
      <c r="X47" s="104">
        <f>SUM(X48:X70)</f>
        <v>4646080</v>
      </c>
      <c r="Y47" s="80">
        <f>SUM(Y48:Y70)</f>
        <v>4833002.2200000007</v>
      </c>
      <c r="Z47" s="80">
        <f>Y47-X47</f>
        <v>186922.22000000067</v>
      </c>
      <c r="AA47" s="244">
        <f>((Y47/X47)-1)*100</f>
        <v>4.0232243095254638</v>
      </c>
      <c r="AB47" s="104">
        <f>SUM(AB48:AB70)</f>
        <v>4646080</v>
      </c>
      <c r="AC47" s="80">
        <f>SUM(AC48:AC70)</f>
        <v>4908030.0499999989</v>
      </c>
      <c r="AD47" s="80">
        <f>AC47-AB47</f>
        <v>261950.04999999888</v>
      </c>
      <c r="AE47" s="244">
        <f>((AC47/AB47)-1)*100</f>
        <v>5.6380873768854256</v>
      </c>
      <c r="AF47" s="80">
        <f t="shared" si="7"/>
        <v>27834063.299999997</v>
      </c>
      <c r="AG47" s="80">
        <f t="shared" si="8"/>
        <v>4639010.55</v>
      </c>
      <c r="AH47" s="104">
        <f>SUM(AH48:AH70)</f>
        <v>4918030.0499999989</v>
      </c>
      <c r="AI47" s="80">
        <f>SUM(AI48:AI70)</f>
        <v>4811366.5299999993</v>
      </c>
      <c r="AJ47" s="80">
        <f>AI47-AH47</f>
        <v>-106663.51999999955</v>
      </c>
      <c r="AK47" s="244">
        <f>((AI47/AH47)-1)*100</f>
        <v>-2.1688261136183939</v>
      </c>
      <c r="AL47" s="104">
        <f>SUM(AL48:AL70)</f>
        <v>4957888.7899999982</v>
      </c>
      <c r="AM47" s="80">
        <f>SUM(AM48:AM70)</f>
        <v>5009896.78</v>
      </c>
      <c r="AN47" s="80">
        <f>AM47-AL47</f>
        <v>52007.990000002086</v>
      </c>
      <c r="AO47" s="244">
        <f>((AM47/AL47)-1)*100</f>
        <v>1.0489946871116151</v>
      </c>
      <c r="AP47" s="51">
        <f>SUM(AP48:AP70)</f>
        <v>4993948.2004499985</v>
      </c>
      <c r="AQ47" s="42">
        <f>SUM(AQ48:AQ70)</f>
        <v>5001639.0999999987</v>
      </c>
      <c r="AR47" s="80">
        <f>AQ47-AP47</f>
        <v>7690.8995500002056</v>
      </c>
      <c r="AS47" s="244">
        <f>((AQ47/AP47)-1)*100</f>
        <v>0.15400439174173552</v>
      </c>
      <c r="AT47" s="51">
        <f>SUM(AT48:AT70)</f>
        <v>4993948.2004499985</v>
      </c>
      <c r="AU47" s="42">
        <f>SUM(AU48:AU70)</f>
        <v>5055764.8699999982</v>
      </c>
      <c r="AV47" s="80">
        <f>AU47-AT47</f>
        <v>61816.669549999759</v>
      </c>
      <c r="AW47" s="244">
        <f>((AU47/AT47)-1)*100</f>
        <v>1.2378316127594102</v>
      </c>
      <c r="AX47" s="51">
        <f>SUM(AX48:AX70)</f>
        <v>4993948.2004499985</v>
      </c>
      <c r="AY47" s="42">
        <f>SUM(AY48:AY70)</f>
        <v>5208019.8199999984</v>
      </c>
      <c r="AZ47" s="80">
        <f>AY47-AX47</f>
        <v>214071.61954999994</v>
      </c>
      <c r="BA47" s="244">
        <f>((AY47/AX47)-1)*100</f>
        <v>4.2866207448990057</v>
      </c>
      <c r="BB47" s="51">
        <f>SUM(BB48:BB70)</f>
        <v>4993948.2004499985</v>
      </c>
      <c r="BC47" s="42">
        <f>SUM(BC48:BC70)</f>
        <v>4829866.8199999984</v>
      </c>
      <c r="BD47" s="80">
        <f>BC47-BB47</f>
        <v>-164081.38045000006</v>
      </c>
      <c r="BE47" s="215">
        <f>((BC47/BB47)-1)*100</f>
        <v>-3.285604372812978</v>
      </c>
      <c r="BF47" s="51">
        <f t="shared" si="15"/>
        <v>57685774.941799976</v>
      </c>
      <c r="BG47" s="79">
        <f t="shared" ref="BG47:BG70" si="32">SUM(I47+M47+Q47+U47+Y47+AC47+AI47+AM47+AQ47+AU47+AY47+BC47)</f>
        <v>57750617.219999999</v>
      </c>
      <c r="BH47" s="63"/>
      <c r="BM47" s="400"/>
    </row>
    <row r="48" spans="1:65" s="11" customFormat="1" x14ac:dyDescent="0.25">
      <c r="B48" s="167" t="s">
        <v>25</v>
      </c>
      <c r="C48" s="168">
        <v>252</v>
      </c>
      <c r="D48" s="331" t="s">
        <v>26</v>
      </c>
      <c r="E48" s="341"/>
      <c r="F48" s="320">
        <v>0.03</v>
      </c>
      <c r="G48" s="619">
        <v>2756000</v>
      </c>
      <c r="H48" s="575">
        <f>$G$48</f>
        <v>2756000</v>
      </c>
      <c r="I48" s="169">
        <f>2479042.27+223227.56</f>
        <v>2702269.83</v>
      </c>
      <c r="J48" s="565">
        <f t="shared" si="30"/>
        <v>-53730.169999999925</v>
      </c>
      <c r="K48" s="566">
        <f t="shared" si="31"/>
        <v>-1.9495707547169783</v>
      </c>
      <c r="L48" s="644">
        <f>$G$48</f>
        <v>2756000</v>
      </c>
      <c r="M48" s="169">
        <f>2523666.58+228352.13</f>
        <v>2752018.71</v>
      </c>
      <c r="N48" s="169">
        <f>M48-L48</f>
        <v>-3981.2900000000373</v>
      </c>
      <c r="O48" s="567">
        <f>((M48/L48)-1)*100</f>
        <v>-0.14445899854862443</v>
      </c>
      <c r="P48" s="644">
        <f>$H$48</f>
        <v>2756000</v>
      </c>
      <c r="Q48" s="169">
        <f>227772.55+2608967.2</f>
        <v>2836739.75</v>
      </c>
      <c r="R48" s="169">
        <f>Q48-P48</f>
        <v>80739.75</v>
      </c>
      <c r="S48" s="567">
        <f>((Q48/P48)-1)*100</f>
        <v>2.9295990566037711</v>
      </c>
      <c r="T48" s="644">
        <f>$H$48</f>
        <v>2756000</v>
      </c>
      <c r="U48" s="169">
        <f>2651080.45+233069.83</f>
        <v>2884150.2800000003</v>
      </c>
      <c r="V48" s="169">
        <f>U48-T48</f>
        <v>128150.28000000026</v>
      </c>
      <c r="W48" s="567">
        <f>((U48/T48)-1)*100</f>
        <v>4.6498650217706938</v>
      </c>
      <c r="X48" s="644">
        <v>2838700</v>
      </c>
      <c r="Y48" s="169">
        <f>2772322.94+232950.37</f>
        <v>3005273.31</v>
      </c>
      <c r="Z48" s="169">
        <f>Y48-X48</f>
        <v>166573.31000000006</v>
      </c>
      <c r="AA48" s="567">
        <f>((Y48/X48)-1)*100</f>
        <v>5.8679434248071427</v>
      </c>
      <c r="AB48" s="644">
        <f>$X$48</f>
        <v>2838700</v>
      </c>
      <c r="AC48" s="169">
        <f>2797916.5+233423.61</f>
        <v>3031340.11</v>
      </c>
      <c r="AD48" s="169">
        <f>AC48-AB48</f>
        <v>192640.10999999987</v>
      </c>
      <c r="AE48" s="567">
        <f>((AC48/AB48)-1)*100</f>
        <v>6.7862088279846411</v>
      </c>
      <c r="AF48" s="169">
        <f t="shared" si="7"/>
        <v>17211791.990000002</v>
      </c>
      <c r="AG48" s="169">
        <f t="shared" si="8"/>
        <v>2868631.9983333335</v>
      </c>
      <c r="AH48" s="169">
        <f>2797916.5+233423.61</f>
        <v>3031340.11</v>
      </c>
      <c r="AI48" s="169">
        <f>2712493.78+228253.65</f>
        <v>2940747.4299999997</v>
      </c>
      <c r="AJ48" s="169">
        <f>AI48-AH48</f>
        <v>-90592.680000000168</v>
      </c>
      <c r="AK48" s="567">
        <f>((AI48/AH48)-1)*100</f>
        <v>-2.9885356546151542</v>
      </c>
      <c r="AL48" s="644">
        <f>$AH$48+17826.94+10070</f>
        <v>3059237.05</v>
      </c>
      <c r="AM48" s="169">
        <f>2805822.17+238090.51</f>
        <v>3043912.6799999997</v>
      </c>
      <c r="AN48" s="169">
        <f>AM48-AL48</f>
        <v>-15324.370000000112</v>
      </c>
      <c r="AO48" s="567">
        <f>((AM48/AL48)-1)*100</f>
        <v>-0.50092129996922585</v>
      </c>
      <c r="AP48" s="644">
        <f>(AL48*1.5%)+AL48</f>
        <v>3105125.6057499996</v>
      </c>
      <c r="AQ48" s="568">
        <f>2837662.77+232492.1</f>
        <v>3070154.87</v>
      </c>
      <c r="AR48" s="169">
        <f>AQ48-AP48</f>
        <v>-34970.735749999527</v>
      </c>
      <c r="AS48" s="567">
        <f>((AQ48/AP48)-1)*100</f>
        <v>-1.1262261238399351</v>
      </c>
      <c r="AT48" s="570">
        <f t="shared" ref="AT48:AT70" si="33">AP48</f>
        <v>3105125.6057499996</v>
      </c>
      <c r="AU48" s="568">
        <f>2877784.9+234600.01</f>
        <v>3112384.91</v>
      </c>
      <c r="AV48" s="169">
        <f>AU48-AT48</f>
        <v>7259.3042500005104</v>
      </c>
      <c r="AW48" s="567">
        <f>((AU48/AT48)-1)*100</f>
        <v>0.23378456048792629</v>
      </c>
      <c r="AX48" s="570">
        <f t="shared" ref="AX48:AX70" si="34">AT48</f>
        <v>3105125.6057499996</v>
      </c>
      <c r="AY48" s="568">
        <f>2929232.24+237682.79</f>
        <v>3166915.0300000003</v>
      </c>
      <c r="AZ48" s="169">
        <f>AY48-AX48</f>
        <v>61789.424250000622</v>
      </c>
      <c r="BA48" s="567">
        <f>((AY48/AX48)-1)*100</f>
        <v>1.9899170627938556</v>
      </c>
      <c r="BB48" s="570">
        <f t="shared" ref="BB48:BB70" si="35">AX48</f>
        <v>3105125.6057499996</v>
      </c>
      <c r="BC48" s="568">
        <f>2832422.53+236240.93</f>
        <v>3068663.46</v>
      </c>
      <c r="BD48" s="169">
        <f>BC48-BB48</f>
        <v>-36462.145749999676</v>
      </c>
      <c r="BE48" s="569">
        <f>((BC48/BB48)-1)*100</f>
        <v>-1.1742567090516354</v>
      </c>
      <c r="BF48" s="570">
        <f t="shared" si="15"/>
        <v>35722871.572999999</v>
      </c>
      <c r="BG48" s="571">
        <f t="shared" si="32"/>
        <v>35614570.370000005</v>
      </c>
      <c r="BH48" s="63"/>
      <c r="BM48" s="400"/>
    </row>
    <row r="49" spans="2:60" s="11" customFormat="1" x14ac:dyDescent="0.25">
      <c r="B49" s="170">
        <v>11316</v>
      </c>
      <c r="C49" s="135">
        <v>187</v>
      </c>
      <c r="D49" s="332" t="s">
        <v>27</v>
      </c>
      <c r="E49" s="341"/>
      <c r="F49" s="320">
        <v>0.03</v>
      </c>
      <c r="G49" s="619">
        <v>286000</v>
      </c>
      <c r="H49" s="576">
        <f>$G$49</f>
        <v>286000</v>
      </c>
      <c r="I49" s="172">
        <v>268069.28000000003</v>
      </c>
      <c r="J49" s="373">
        <f t="shared" si="30"/>
        <v>-17930.719999999972</v>
      </c>
      <c r="K49" s="372">
        <f t="shared" si="31"/>
        <v>-6.2694825174825048</v>
      </c>
      <c r="L49" s="576">
        <f>$G$49</f>
        <v>286000</v>
      </c>
      <c r="M49" s="172">
        <v>287762.43</v>
      </c>
      <c r="N49" s="172">
        <f>M49-L49</f>
        <v>1762.429999999993</v>
      </c>
      <c r="O49" s="245">
        <f>((M49/L49)-1)*100</f>
        <v>0.61623426573427231</v>
      </c>
      <c r="P49" s="171">
        <f>$H$49</f>
        <v>286000</v>
      </c>
      <c r="Q49" s="172">
        <v>292010.15999999997</v>
      </c>
      <c r="R49" s="172">
        <f>Q49-P49</f>
        <v>6010.1599999999744</v>
      </c>
      <c r="S49" s="245">
        <f>((Q49/P49)-1)*100</f>
        <v>2.1014545454545397</v>
      </c>
      <c r="T49" s="576">
        <f>$G$49</f>
        <v>286000</v>
      </c>
      <c r="U49" s="172">
        <v>296356.5</v>
      </c>
      <c r="V49" s="172">
        <f>U49-T49</f>
        <v>10356.5</v>
      </c>
      <c r="W49" s="245">
        <f>((U49/T49)-1)*100</f>
        <v>3.6211538461538462</v>
      </c>
      <c r="X49" s="171">
        <v>294500</v>
      </c>
      <c r="Y49" s="172">
        <v>309081.78000000003</v>
      </c>
      <c r="Z49" s="172">
        <f>Y49-X49</f>
        <v>14581.780000000028</v>
      </c>
      <c r="AA49" s="245">
        <f>((Y49/X49)-1)*100</f>
        <v>4.9513684210526376</v>
      </c>
      <c r="AB49" s="171">
        <f>$X$49</f>
        <v>294500</v>
      </c>
      <c r="AC49" s="172">
        <v>309958.77</v>
      </c>
      <c r="AD49" s="172">
        <f>AC49-AB49</f>
        <v>15458.770000000019</v>
      </c>
      <c r="AE49" s="245">
        <f>((AC49/AB49)-1)*100</f>
        <v>5.2491578947368556</v>
      </c>
      <c r="AF49" s="172">
        <f t="shared" si="7"/>
        <v>1763238.92</v>
      </c>
      <c r="AG49" s="172">
        <f t="shared" si="8"/>
        <v>293873.15333333332</v>
      </c>
      <c r="AH49" s="172">
        <v>309958.77</v>
      </c>
      <c r="AI49" s="172">
        <v>312753.26</v>
      </c>
      <c r="AJ49" s="172">
        <f>AI49-AH49</f>
        <v>2794.4899999999907</v>
      </c>
      <c r="AK49" s="245">
        <f>((AI49/AH49)-1)*100</f>
        <v>0.90156829568008856</v>
      </c>
      <c r="AL49" s="644">
        <f>AH49+1485.58</f>
        <v>311444.35000000003</v>
      </c>
      <c r="AM49" s="172">
        <v>315270.86</v>
      </c>
      <c r="AN49" s="169">
        <f>AM49-AL49</f>
        <v>3826.5099999999511</v>
      </c>
      <c r="AO49" s="245">
        <f>((AM49/AL49)-1)*100</f>
        <v>1.2286336226680517</v>
      </c>
      <c r="AP49" s="644">
        <f>(AL49*1.5%)+AL49</f>
        <v>316116.01525000005</v>
      </c>
      <c r="AQ49" s="173">
        <v>317790.36</v>
      </c>
      <c r="AR49" s="169">
        <f>AQ49-AP49</f>
        <v>1674.3447499999311</v>
      </c>
      <c r="AS49" s="245">
        <f>((AQ49/AP49)-1)*100</f>
        <v>0.52966147528963337</v>
      </c>
      <c r="AT49" s="172">
        <f t="shared" si="33"/>
        <v>316116.01525000005</v>
      </c>
      <c r="AU49" s="173">
        <v>320680.28000000003</v>
      </c>
      <c r="AV49" s="169">
        <f>AU49-AT49</f>
        <v>4564.264749999973</v>
      </c>
      <c r="AW49" s="245">
        <f>((AU49/AT49)-1)*100</f>
        <v>1.4438574858000486</v>
      </c>
      <c r="AX49" s="172">
        <f t="shared" si="34"/>
        <v>316116.01525000005</v>
      </c>
      <c r="AY49" s="173">
        <v>321554.77</v>
      </c>
      <c r="AZ49" s="169">
        <f>AY49-AX49</f>
        <v>5438.7547499999637</v>
      </c>
      <c r="BA49" s="245">
        <f>((AY49/AX49)-1)*100</f>
        <v>1.7204932643791304</v>
      </c>
      <c r="BB49" s="172">
        <f t="shared" si="35"/>
        <v>316116.01525000005</v>
      </c>
      <c r="BC49" s="173">
        <v>105838.17</v>
      </c>
      <c r="BD49" s="172">
        <f>BC49-BB49</f>
        <v>-210277.84525000007</v>
      </c>
      <c r="BE49" s="246">
        <f>((BC49/BB49)-1)*100</f>
        <v>-66.519200263770898</v>
      </c>
      <c r="BF49" s="172">
        <f t="shared" si="15"/>
        <v>3649106.1010000007</v>
      </c>
      <c r="BG49" s="174">
        <f t="shared" si="32"/>
        <v>3457126.6199999996</v>
      </c>
      <c r="BH49" s="63"/>
    </row>
    <row r="50" spans="2:60" s="11" customFormat="1" x14ac:dyDescent="0.25">
      <c r="B50" s="122">
        <v>11322</v>
      </c>
      <c r="C50" s="123">
        <v>187</v>
      </c>
      <c r="D50" s="332" t="s">
        <v>28</v>
      </c>
      <c r="E50" s="341"/>
      <c r="F50" s="320">
        <v>0.03</v>
      </c>
      <c r="G50" s="619">
        <v>320000</v>
      </c>
      <c r="H50" s="576">
        <f>$G$50</f>
        <v>320000</v>
      </c>
      <c r="I50" s="172">
        <v>348434.84</v>
      </c>
      <c r="J50" s="373">
        <f t="shared" si="30"/>
        <v>28434.840000000026</v>
      </c>
      <c r="K50" s="372">
        <f t="shared" si="31"/>
        <v>8.8858875000000115</v>
      </c>
      <c r="L50" s="576">
        <f>$G$50</f>
        <v>320000</v>
      </c>
      <c r="M50" s="172">
        <v>350219.36</v>
      </c>
      <c r="N50" s="172">
        <f>M50-L50</f>
        <v>30219.359999999986</v>
      </c>
      <c r="O50" s="245">
        <f t="shared" ref="O50:O70" si="36">((M50/L50)-1)*100</f>
        <v>9.4435499999999895</v>
      </c>
      <c r="P50" s="171">
        <f>$H$50</f>
        <v>320000</v>
      </c>
      <c r="Q50" s="172">
        <v>356866.5</v>
      </c>
      <c r="R50" s="172">
        <f>Q50-P50</f>
        <v>36866.5</v>
      </c>
      <c r="S50" s="245">
        <f t="shared" ref="S50:S70" si="37">((Q50/P50)-1)*100</f>
        <v>11.520781250000001</v>
      </c>
      <c r="T50" s="576">
        <f>$G$50</f>
        <v>320000</v>
      </c>
      <c r="U50" s="172">
        <v>362916</v>
      </c>
      <c r="V50" s="172">
        <f>U50-T50</f>
        <v>42916</v>
      </c>
      <c r="W50" s="245">
        <f t="shared" ref="W50:W70" si="38">((U50/T50)-1)*100</f>
        <v>13.411250000000008</v>
      </c>
      <c r="X50" s="171">
        <f>F50*G50+G50</f>
        <v>329600</v>
      </c>
      <c r="Y50" s="172">
        <v>373253.88</v>
      </c>
      <c r="Z50" s="172">
        <f>Y50-X50</f>
        <v>43653.880000000005</v>
      </c>
      <c r="AA50" s="245">
        <f t="shared" ref="AA50:AA70" si="39">((Y50/X50)-1)*100</f>
        <v>13.244502427184468</v>
      </c>
      <c r="AB50" s="171">
        <f>$X$50</f>
        <v>329600</v>
      </c>
      <c r="AC50" s="172">
        <v>376004.83</v>
      </c>
      <c r="AD50" s="172">
        <f>AC50-AB50</f>
        <v>46404.830000000016</v>
      </c>
      <c r="AE50" s="245">
        <f t="shared" ref="AE50:AE70" si="40">((AC50/AB50)-1)*100</f>
        <v>14.079135315533975</v>
      </c>
      <c r="AF50" s="172">
        <f t="shared" si="7"/>
        <v>2167695.41</v>
      </c>
      <c r="AG50" s="172">
        <f t="shared" si="8"/>
        <v>361282.56833333336</v>
      </c>
      <c r="AH50" s="172">
        <v>376004.83</v>
      </c>
      <c r="AI50" s="172">
        <v>378698.77</v>
      </c>
      <c r="AJ50" s="172">
        <f>AI50-AH50</f>
        <v>2693.9400000000023</v>
      </c>
      <c r="AK50" s="245">
        <f t="shared" ref="AK50:AK70" si="41">((AI50/AH50)-1)*100</f>
        <v>0.71646420073911976</v>
      </c>
      <c r="AL50" s="644">
        <f>AH50+1980.77</f>
        <v>377985.60000000003</v>
      </c>
      <c r="AM50" s="172">
        <v>379300.06</v>
      </c>
      <c r="AN50" s="169">
        <f>AM50-AL50</f>
        <v>1314.4599999999627</v>
      </c>
      <c r="AO50" s="245">
        <f t="shared" ref="AO50:AO70" si="42">((AM50/AL50)-1)*100</f>
        <v>0.34775398851172312</v>
      </c>
      <c r="AP50" s="644">
        <f>(AL50*1.5%)+AL50</f>
        <v>383655.38400000002</v>
      </c>
      <c r="AQ50" s="173">
        <v>387538.12</v>
      </c>
      <c r="AR50" s="169">
        <f>AQ50-AP50</f>
        <v>3882.7359999999753</v>
      </c>
      <c r="AS50" s="245">
        <f t="shared" ref="AS50:AS70" si="43">((AQ50/AP50)-1)*100</f>
        <v>1.0120374069870985</v>
      </c>
      <c r="AT50" s="172">
        <f t="shared" si="33"/>
        <v>383655.38400000002</v>
      </c>
      <c r="AU50" s="173">
        <v>389629.76</v>
      </c>
      <c r="AV50" s="169">
        <f>AU50-AT50</f>
        <v>5974.3759999999893</v>
      </c>
      <c r="AW50" s="245">
        <f t="shared" ref="AW50:AW70" si="44">((AU50/AT50)-1)*100</f>
        <v>1.557224595080875</v>
      </c>
      <c r="AX50" s="172">
        <f t="shared" si="34"/>
        <v>383655.38400000002</v>
      </c>
      <c r="AY50" s="173">
        <v>389280.86</v>
      </c>
      <c r="AZ50" s="169">
        <f>AY50-AX50</f>
        <v>5625.475999999966</v>
      </c>
      <c r="BA50" s="245">
        <f t="shared" ref="BA50:BA70" si="45">((AY50/AX50)-1)*100</f>
        <v>1.4662836062271811</v>
      </c>
      <c r="BB50" s="172">
        <f t="shared" si="35"/>
        <v>383655.38400000002</v>
      </c>
      <c r="BC50" s="173">
        <v>392946.57</v>
      </c>
      <c r="BD50" s="172">
        <f>BC50-BB50</f>
        <v>9291.185999999987</v>
      </c>
      <c r="BE50" s="246">
        <f t="shared" ref="BE50:BE70" si="46">((BC50/BB50)-1)*100</f>
        <v>2.4217530595113335</v>
      </c>
      <c r="BF50" s="172">
        <f t="shared" si="15"/>
        <v>4456307.3760000002</v>
      </c>
      <c r="BG50" s="174">
        <f t="shared" si="32"/>
        <v>4485089.55</v>
      </c>
      <c r="BH50" s="63"/>
    </row>
    <row r="51" spans="2:60" s="11" customFormat="1" x14ac:dyDescent="0.25">
      <c r="B51" s="122">
        <v>11304</v>
      </c>
      <c r="C51" s="123">
        <v>253</v>
      </c>
      <c r="D51" s="332" t="s">
        <v>141</v>
      </c>
      <c r="E51" s="341"/>
      <c r="F51" s="320">
        <v>0.03</v>
      </c>
      <c r="G51" s="619">
        <v>25000</v>
      </c>
      <c r="H51" s="576">
        <f>G$51</f>
        <v>25000</v>
      </c>
      <c r="I51" s="172">
        <v>18406.13</v>
      </c>
      <c r="J51" s="373">
        <f t="shared" si="30"/>
        <v>-6593.869999999999</v>
      </c>
      <c r="K51" s="372">
        <f t="shared" si="31"/>
        <v>-26.375479999999996</v>
      </c>
      <c r="L51" s="576">
        <f>$G$51</f>
        <v>25000</v>
      </c>
      <c r="M51" s="172">
        <v>30238.21</v>
      </c>
      <c r="N51" s="172">
        <f>M51-L51</f>
        <v>5238.2099999999991</v>
      </c>
      <c r="O51" s="245">
        <f t="shared" si="36"/>
        <v>20.952839999999995</v>
      </c>
      <c r="P51" s="576">
        <f>$G$51</f>
        <v>25000</v>
      </c>
      <c r="Q51" s="172">
        <v>25685.58</v>
      </c>
      <c r="R51" s="172">
        <f>Q51-P51</f>
        <v>685.58000000000175</v>
      </c>
      <c r="S51" s="245">
        <f t="shared" si="37"/>
        <v>2.7423200000000092</v>
      </c>
      <c r="T51" s="576">
        <f>$G$51</f>
        <v>25000</v>
      </c>
      <c r="U51" s="172">
        <v>26543.14</v>
      </c>
      <c r="V51" s="172">
        <f>U51-T51</f>
        <v>1543.1399999999994</v>
      </c>
      <c r="W51" s="245">
        <f t="shared" si="38"/>
        <v>6.1725599999999936</v>
      </c>
      <c r="X51" s="171">
        <v>25700</v>
      </c>
      <c r="Y51" s="172">
        <v>39755.49</v>
      </c>
      <c r="Z51" s="172">
        <f>Y51-X51</f>
        <v>14055.489999999998</v>
      </c>
      <c r="AA51" s="245">
        <f t="shared" si="39"/>
        <v>54.690622568093382</v>
      </c>
      <c r="AB51" s="171">
        <f>$X$51</f>
        <v>25700</v>
      </c>
      <c r="AC51" s="172">
        <v>31697.9</v>
      </c>
      <c r="AD51" s="172">
        <f>AC51-AB51</f>
        <v>5997.9000000000015</v>
      </c>
      <c r="AE51" s="245">
        <f t="shared" si="40"/>
        <v>23.338132295719859</v>
      </c>
      <c r="AF51" s="172">
        <f t="shared" si="7"/>
        <v>172326.44999999998</v>
      </c>
      <c r="AG51" s="172">
        <f t="shared" si="8"/>
        <v>28721.074999999997</v>
      </c>
      <c r="AH51" s="172">
        <v>31697.9</v>
      </c>
      <c r="AI51" s="172">
        <v>38440.69</v>
      </c>
      <c r="AJ51" s="172">
        <f>AI51-AH51</f>
        <v>6742.7900000000009</v>
      </c>
      <c r="AK51" s="245">
        <f t="shared" si="41"/>
        <v>21.272040103603086</v>
      </c>
      <c r="AL51" s="644">
        <f t="shared" ref="AL51:AL70" si="47">AH51</f>
        <v>31697.9</v>
      </c>
      <c r="AM51" s="172">
        <v>31965.66</v>
      </c>
      <c r="AN51" s="169">
        <f>AM51-AL51</f>
        <v>267.7599999999984</v>
      </c>
      <c r="AO51" s="245">
        <f t="shared" si="42"/>
        <v>0.84472472939847165</v>
      </c>
      <c r="AP51" s="644">
        <f>(AL51*1.5%)+AL51</f>
        <v>32173.3685</v>
      </c>
      <c r="AQ51" s="173">
        <v>36176.44</v>
      </c>
      <c r="AR51" s="169">
        <f>AQ51-AP51</f>
        <v>4003.0715000000018</v>
      </c>
      <c r="AS51" s="245">
        <f t="shared" si="43"/>
        <v>12.44218957054497</v>
      </c>
      <c r="AT51" s="172">
        <f t="shared" si="33"/>
        <v>32173.3685</v>
      </c>
      <c r="AU51" s="173">
        <v>35568.480000000003</v>
      </c>
      <c r="AV51" s="169">
        <f>AU51-AT51</f>
        <v>3395.1115000000027</v>
      </c>
      <c r="AW51" s="245">
        <f t="shared" si="44"/>
        <v>10.552552183026798</v>
      </c>
      <c r="AX51" s="172">
        <f t="shared" si="34"/>
        <v>32173.3685</v>
      </c>
      <c r="AY51" s="173">
        <v>39213.160000000003</v>
      </c>
      <c r="AZ51" s="169">
        <f>AY51-AX51</f>
        <v>7039.791500000003</v>
      </c>
      <c r="BA51" s="245">
        <f t="shared" si="45"/>
        <v>21.880803373137645</v>
      </c>
      <c r="BB51" s="172">
        <f t="shared" si="35"/>
        <v>32173.3685</v>
      </c>
      <c r="BC51" s="173">
        <v>38695.660000000003</v>
      </c>
      <c r="BD51" s="172">
        <f>BC51-BB51</f>
        <v>6522.291500000003</v>
      </c>
      <c r="BE51" s="246">
        <f t="shared" si="46"/>
        <v>20.272330203783294</v>
      </c>
      <c r="BF51" s="172">
        <f t="shared" si="15"/>
        <v>364415.72399999993</v>
      </c>
      <c r="BG51" s="174">
        <f t="shared" si="32"/>
        <v>392386.54000000004</v>
      </c>
      <c r="BH51" s="63"/>
    </row>
    <row r="52" spans="2:60" s="11" customFormat="1" x14ac:dyDescent="0.25">
      <c r="B52" s="122">
        <v>53468</v>
      </c>
      <c r="C52" s="123"/>
      <c r="D52" s="332" t="s">
        <v>125</v>
      </c>
      <c r="E52" s="341"/>
      <c r="F52" s="256"/>
      <c r="G52" s="619">
        <v>45000</v>
      </c>
      <c r="H52" s="211">
        <f>$G$52</f>
        <v>45000</v>
      </c>
      <c r="I52" s="172">
        <v>22666.67</v>
      </c>
      <c r="J52" s="373">
        <f t="shared" si="30"/>
        <v>-22333.33</v>
      </c>
      <c r="K52" s="372">
        <f t="shared" si="31"/>
        <v>-49.629622222222224</v>
      </c>
      <c r="L52" s="211">
        <f>$G$52</f>
        <v>45000</v>
      </c>
      <c r="M52" s="172">
        <v>33133.339999999997</v>
      </c>
      <c r="N52" s="172">
        <f t="shared" ref="N52:N70" si="48">M52-L52</f>
        <v>-11866.660000000003</v>
      </c>
      <c r="O52" s="245">
        <f t="shared" si="36"/>
        <v>-26.370355555555559</v>
      </c>
      <c r="P52" s="211">
        <f>$G$52</f>
        <v>45000</v>
      </c>
      <c r="Q52" s="172">
        <v>0</v>
      </c>
      <c r="R52" s="172">
        <f t="shared" ref="R52:R70" si="49">Q52-P52</f>
        <v>-45000</v>
      </c>
      <c r="S52" s="245">
        <f t="shared" si="37"/>
        <v>-100</v>
      </c>
      <c r="T52" s="211">
        <f>$G$52</f>
        <v>45000</v>
      </c>
      <c r="U52" s="172">
        <v>32716.67</v>
      </c>
      <c r="V52" s="172">
        <f t="shared" ref="V52:V70" si="50">U52-T52</f>
        <v>-12283.330000000002</v>
      </c>
      <c r="W52" s="245">
        <f t="shared" si="38"/>
        <v>-27.296288888888899</v>
      </c>
      <c r="X52" s="211">
        <f>$G$52</f>
        <v>45000</v>
      </c>
      <c r="Y52" s="172">
        <v>0</v>
      </c>
      <c r="Z52" s="172">
        <f t="shared" ref="Z52:Z70" si="51">Y52-X52</f>
        <v>-45000</v>
      </c>
      <c r="AA52" s="245">
        <f t="shared" si="39"/>
        <v>-100</v>
      </c>
      <c r="AB52" s="171">
        <f>$G$52</f>
        <v>45000</v>
      </c>
      <c r="AC52" s="172">
        <v>25000</v>
      </c>
      <c r="AD52" s="172">
        <f t="shared" ref="AD52:AD70" si="52">AC52-AB52</f>
        <v>-20000</v>
      </c>
      <c r="AE52" s="245">
        <f t="shared" si="40"/>
        <v>-44.444444444444443</v>
      </c>
      <c r="AF52" s="172">
        <f t="shared" si="7"/>
        <v>113516.68</v>
      </c>
      <c r="AG52" s="172">
        <f t="shared" si="8"/>
        <v>18919.446666666667</v>
      </c>
      <c r="AH52" s="172">
        <v>35000</v>
      </c>
      <c r="AI52" s="172">
        <v>29483.35</v>
      </c>
      <c r="AJ52" s="172">
        <f t="shared" ref="AJ52:AJ70" si="53">AI52-AH52</f>
        <v>-5516.6500000000015</v>
      </c>
      <c r="AK52" s="245">
        <f t="shared" si="41"/>
        <v>-15.761857142857149</v>
      </c>
      <c r="AL52" s="644">
        <f t="shared" si="47"/>
        <v>35000</v>
      </c>
      <c r="AM52" s="172">
        <v>34550.01</v>
      </c>
      <c r="AN52" s="169">
        <f t="shared" ref="AN52:AN70" si="54">AM52-AL52</f>
        <v>-449.98999999999796</v>
      </c>
      <c r="AO52" s="245">
        <f t="shared" si="42"/>
        <v>-1.2856857142857114</v>
      </c>
      <c r="AP52" s="644">
        <f t="shared" ref="AP52:AP70" si="55">AL52</f>
        <v>35000</v>
      </c>
      <c r="AQ52" s="173">
        <v>43300.01</v>
      </c>
      <c r="AR52" s="169">
        <f t="shared" ref="AR52:AR70" si="56">AQ52-AP52</f>
        <v>8300.010000000002</v>
      </c>
      <c r="AS52" s="245">
        <f t="shared" si="43"/>
        <v>23.714314285714288</v>
      </c>
      <c r="AT52" s="211">
        <f t="shared" si="33"/>
        <v>35000</v>
      </c>
      <c r="AU52" s="173">
        <v>26666.68</v>
      </c>
      <c r="AV52" s="169">
        <f t="shared" ref="AV52:AV70" si="57">AU52-AT52</f>
        <v>-8333.32</v>
      </c>
      <c r="AW52" s="245">
        <f t="shared" si="44"/>
        <v>-23.809485714285717</v>
      </c>
      <c r="AX52" s="211">
        <f t="shared" si="34"/>
        <v>35000</v>
      </c>
      <c r="AY52" s="173">
        <v>42816.68</v>
      </c>
      <c r="AZ52" s="169">
        <f t="shared" ref="AZ52:AZ70" si="58">AY52-AX52</f>
        <v>7816.68</v>
      </c>
      <c r="BA52" s="245">
        <f t="shared" si="45"/>
        <v>22.333371428571436</v>
      </c>
      <c r="BB52" s="211">
        <f t="shared" si="35"/>
        <v>35000</v>
      </c>
      <c r="BC52" s="173">
        <v>34600.01</v>
      </c>
      <c r="BD52" s="172">
        <f t="shared" ref="BD52:BD70" si="59">BC52-BB52</f>
        <v>-399.98999999999796</v>
      </c>
      <c r="BE52" s="246">
        <f t="shared" si="46"/>
        <v>-1.1428285714285669</v>
      </c>
      <c r="BF52" s="211">
        <f t="shared" si="15"/>
        <v>323516.68</v>
      </c>
      <c r="BG52" s="174">
        <f t="shared" si="32"/>
        <v>324933.42000000004</v>
      </c>
      <c r="BH52" s="63"/>
    </row>
    <row r="53" spans="2:60" s="11" customFormat="1" x14ac:dyDescent="0.25">
      <c r="B53" s="122">
        <v>53469</v>
      </c>
      <c r="C53" s="123"/>
      <c r="D53" s="332" t="s">
        <v>333</v>
      </c>
      <c r="E53" s="341"/>
      <c r="F53" s="256">
        <v>0.03</v>
      </c>
      <c r="G53" s="619">
        <v>26500</v>
      </c>
      <c r="H53" s="211">
        <f>$G$53</f>
        <v>26500</v>
      </c>
      <c r="I53" s="172">
        <v>28558.63</v>
      </c>
      <c r="J53" s="373">
        <f t="shared" si="30"/>
        <v>2058.630000000001</v>
      </c>
      <c r="K53" s="372">
        <f t="shared" si="31"/>
        <v>7.7684150943396313</v>
      </c>
      <c r="L53" s="211">
        <f>$G$53</f>
        <v>26500</v>
      </c>
      <c r="M53" s="172">
        <v>27217.62</v>
      </c>
      <c r="N53" s="172">
        <f t="shared" si="48"/>
        <v>717.61999999999898</v>
      </c>
      <c r="O53" s="245">
        <f t="shared" si="36"/>
        <v>2.7079999999999993</v>
      </c>
      <c r="P53" s="211">
        <f>$G$53</f>
        <v>26500</v>
      </c>
      <c r="Q53" s="172">
        <v>21940.95</v>
      </c>
      <c r="R53" s="172">
        <f t="shared" si="49"/>
        <v>-4559.0499999999993</v>
      </c>
      <c r="S53" s="245">
        <f t="shared" si="37"/>
        <v>-17.203962264150942</v>
      </c>
      <c r="T53" s="211">
        <f>$G$53</f>
        <v>26500</v>
      </c>
      <c r="U53" s="172">
        <v>16779.75</v>
      </c>
      <c r="V53" s="172">
        <f t="shared" si="50"/>
        <v>-9720.25</v>
      </c>
      <c r="W53" s="245">
        <f t="shared" si="38"/>
        <v>-36.680188679245283</v>
      </c>
      <c r="X53" s="171">
        <v>27300</v>
      </c>
      <c r="Y53" s="172">
        <v>22914.67</v>
      </c>
      <c r="Z53" s="172">
        <f t="shared" si="51"/>
        <v>-4385.3300000000017</v>
      </c>
      <c r="AA53" s="245">
        <f t="shared" si="39"/>
        <v>-16.063479853479855</v>
      </c>
      <c r="AB53" s="171">
        <f>$X$53</f>
        <v>27300</v>
      </c>
      <c r="AC53" s="172">
        <v>15046.97</v>
      </c>
      <c r="AD53" s="172">
        <f t="shared" si="52"/>
        <v>-12253.03</v>
      </c>
      <c r="AE53" s="245">
        <f t="shared" si="40"/>
        <v>-44.882893772893773</v>
      </c>
      <c r="AF53" s="172">
        <f t="shared" si="7"/>
        <v>132458.59</v>
      </c>
      <c r="AG53" s="172">
        <f t="shared" si="8"/>
        <v>22076.431666666667</v>
      </c>
      <c r="AH53" s="172">
        <v>15046.97</v>
      </c>
      <c r="AI53" s="172">
        <v>14239.8</v>
      </c>
      <c r="AJ53" s="172">
        <f t="shared" si="53"/>
        <v>-807.17000000000007</v>
      </c>
      <c r="AK53" s="245">
        <f t="shared" si="41"/>
        <v>-5.3643358098009131</v>
      </c>
      <c r="AL53" s="644">
        <f t="shared" si="47"/>
        <v>15046.97</v>
      </c>
      <c r="AM53" s="172">
        <v>15966.14</v>
      </c>
      <c r="AN53" s="169">
        <f t="shared" si="54"/>
        <v>919.17000000000007</v>
      </c>
      <c r="AO53" s="245">
        <f t="shared" si="42"/>
        <v>6.1086717126437984</v>
      </c>
      <c r="AP53" s="644">
        <f t="shared" si="55"/>
        <v>15046.97</v>
      </c>
      <c r="AQ53" s="173">
        <v>14626.9</v>
      </c>
      <c r="AR53" s="169">
        <f t="shared" si="56"/>
        <v>-420.06999999999971</v>
      </c>
      <c r="AS53" s="245">
        <f t="shared" si="43"/>
        <v>-2.7917248456001409</v>
      </c>
      <c r="AT53" s="171">
        <f t="shared" si="33"/>
        <v>15046.97</v>
      </c>
      <c r="AU53" s="173">
        <v>15501.1</v>
      </c>
      <c r="AV53" s="169">
        <f t="shared" si="57"/>
        <v>454.13000000000102</v>
      </c>
      <c r="AW53" s="245">
        <f t="shared" si="44"/>
        <v>3.0180827103396979</v>
      </c>
      <c r="AX53" s="171">
        <f t="shared" si="34"/>
        <v>15046.97</v>
      </c>
      <c r="AY53" s="173">
        <v>16059.37</v>
      </c>
      <c r="AZ53" s="169">
        <f t="shared" si="58"/>
        <v>1012.4000000000015</v>
      </c>
      <c r="BA53" s="245">
        <f t="shared" si="45"/>
        <v>6.7282648931977773</v>
      </c>
      <c r="BB53" s="171">
        <f t="shared" si="35"/>
        <v>15046.97</v>
      </c>
      <c r="BC53" s="173">
        <v>18439.73</v>
      </c>
      <c r="BD53" s="172">
        <f t="shared" si="59"/>
        <v>3392.76</v>
      </c>
      <c r="BE53" s="246">
        <f t="shared" si="46"/>
        <v>22.547795336868482</v>
      </c>
      <c r="BF53" s="171">
        <f t="shared" si="15"/>
        <v>222740.41</v>
      </c>
      <c r="BG53" s="174">
        <f t="shared" si="32"/>
        <v>227291.62999999998</v>
      </c>
      <c r="BH53" s="63"/>
    </row>
    <row r="54" spans="2:60" s="11" customFormat="1" x14ac:dyDescent="0.25">
      <c r="B54" s="122">
        <v>11369</v>
      </c>
      <c r="C54" s="123">
        <v>238</v>
      </c>
      <c r="D54" s="332" t="s">
        <v>224</v>
      </c>
      <c r="E54" s="341"/>
      <c r="F54" s="320">
        <v>0.03</v>
      </c>
      <c r="G54" s="619">
        <v>37500</v>
      </c>
      <c r="H54" s="576">
        <f>$G$54</f>
        <v>37500</v>
      </c>
      <c r="I54" s="172">
        <v>29751.51</v>
      </c>
      <c r="J54" s="373">
        <f t="shared" si="30"/>
        <v>-7748.4900000000016</v>
      </c>
      <c r="K54" s="372">
        <f t="shared" si="31"/>
        <v>-20.66264</v>
      </c>
      <c r="L54" s="576">
        <f>$G$54</f>
        <v>37500</v>
      </c>
      <c r="M54" s="172">
        <v>37067.43</v>
      </c>
      <c r="N54" s="172">
        <f t="shared" si="48"/>
        <v>-432.56999999999971</v>
      </c>
      <c r="O54" s="245">
        <f t="shared" si="36"/>
        <v>-1.1535199999999968</v>
      </c>
      <c r="P54" s="576">
        <f>$G$54</f>
        <v>37500</v>
      </c>
      <c r="Q54" s="172">
        <v>14641.32</v>
      </c>
      <c r="R54" s="172">
        <f t="shared" si="49"/>
        <v>-22858.68</v>
      </c>
      <c r="S54" s="245">
        <f t="shared" si="37"/>
        <v>-60.956479999999999</v>
      </c>
      <c r="T54" s="576">
        <f>$G$54</f>
        <v>37500</v>
      </c>
      <c r="U54" s="172">
        <v>29640.400000000001</v>
      </c>
      <c r="V54" s="172">
        <f t="shared" si="50"/>
        <v>-7859.5999999999985</v>
      </c>
      <c r="W54" s="245">
        <f t="shared" si="38"/>
        <v>-20.958933333333331</v>
      </c>
      <c r="X54" s="171">
        <v>38600</v>
      </c>
      <c r="Y54" s="172">
        <v>44526.73</v>
      </c>
      <c r="Z54" s="172">
        <f t="shared" si="51"/>
        <v>5926.7300000000032</v>
      </c>
      <c r="AA54" s="245">
        <f t="shared" si="39"/>
        <v>15.354222797927463</v>
      </c>
      <c r="AB54" s="171">
        <f>$X$54</f>
        <v>38600</v>
      </c>
      <c r="AC54" s="172">
        <v>47356.19</v>
      </c>
      <c r="AD54" s="172">
        <f t="shared" si="52"/>
        <v>8756.1900000000023</v>
      </c>
      <c r="AE54" s="245">
        <f t="shared" si="40"/>
        <v>22.684430051813486</v>
      </c>
      <c r="AF54" s="172">
        <f t="shared" si="7"/>
        <v>202983.58000000002</v>
      </c>
      <c r="AG54" s="172">
        <f t="shared" si="8"/>
        <v>33830.596666666672</v>
      </c>
      <c r="AH54" s="172">
        <v>47356.19</v>
      </c>
      <c r="AI54" s="172">
        <v>38276.82</v>
      </c>
      <c r="AJ54" s="172">
        <f t="shared" si="53"/>
        <v>-9079.3700000000026</v>
      </c>
      <c r="AK54" s="245">
        <f t="shared" si="41"/>
        <v>-19.17250944385518</v>
      </c>
      <c r="AL54" s="644">
        <f t="shared" si="47"/>
        <v>47356.19</v>
      </c>
      <c r="AM54" s="172">
        <v>58198.9</v>
      </c>
      <c r="AN54" s="169">
        <f t="shared" si="54"/>
        <v>10842.71</v>
      </c>
      <c r="AO54" s="245">
        <f t="shared" si="42"/>
        <v>22.896077577186837</v>
      </c>
      <c r="AP54" s="644">
        <f t="shared" si="55"/>
        <v>47356.19</v>
      </c>
      <c r="AQ54" s="173">
        <v>35418.339999999997</v>
      </c>
      <c r="AR54" s="169">
        <f t="shared" si="56"/>
        <v>-11937.850000000006</v>
      </c>
      <c r="AS54" s="245">
        <f t="shared" si="43"/>
        <v>-25.208636927928541</v>
      </c>
      <c r="AT54" s="172">
        <f t="shared" si="33"/>
        <v>47356.19</v>
      </c>
      <c r="AU54" s="173">
        <v>28151.58</v>
      </c>
      <c r="AV54" s="169">
        <f t="shared" si="57"/>
        <v>-19204.61</v>
      </c>
      <c r="AW54" s="245">
        <f t="shared" si="44"/>
        <v>-40.553536929385579</v>
      </c>
      <c r="AX54" s="172">
        <f t="shared" si="34"/>
        <v>47356.19</v>
      </c>
      <c r="AY54" s="173">
        <v>53083.89</v>
      </c>
      <c r="AZ54" s="169">
        <f t="shared" si="58"/>
        <v>5727.6999999999971</v>
      </c>
      <c r="BA54" s="245">
        <f t="shared" si="45"/>
        <v>12.094934157498738</v>
      </c>
      <c r="BB54" s="172">
        <f t="shared" si="35"/>
        <v>47356.19</v>
      </c>
      <c r="BC54" s="173">
        <v>25135.8</v>
      </c>
      <c r="BD54" s="172">
        <f t="shared" si="59"/>
        <v>-22220.390000000003</v>
      </c>
      <c r="BE54" s="246">
        <f t="shared" si="46"/>
        <v>-46.921827959555031</v>
      </c>
      <c r="BF54" s="172">
        <f t="shared" si="15"/>
        <v>487120.72000000003</v>
      </c>
      <c r="BG54" s="174">
        <f t="shared" si="32"/>
        <v>441248.91000000003</v>
      </c>
      <c r="BH54" s="63"/>
    </row>
    <row r="55" spans="2:60" s="11" customFormat="1" x14ac:dyDescent="0.25">
      <c r="B55" s="122" t="s">
        <v>3661</v>
      </c>
      <c r="C55" s="123">
        <v>189</v>
      </c>
      <c r="D55" s="332" t="s">
        <v>29</v>
      </c>
      <c r="E55" s="341"/>
      <c r="F55" s="320">
        <v>0.03</v>
      </c>
      <c r="G55" s="619">
        <v>310500</v>
      </c>
      <c r="H55" s="576">
        <f>$G$55</f>
        <v>310500</v>
      </c>
      <c r="I55" s="172">
        <f>307861.85</f>
        <v>307861.84999999998</v>
      </c>
      <c r="J55" s="373">
        <f t="shared" si="30"/>
        <v>-2638.1500000000233</v>
      </c>
      <c r="K55" s="372">
        <f t="shared" si="31"/>
        <v>-0.84964573268921928</v>
      </c>
      <c r="L55" s="576">
        <f>$G$55</f>
        <v>310500</v>
      </c>
      <c r="M55" s="172">
        <f>263696.78+55577.65+13184.08+0</f>
        <v>332458.51000000007</v>
      </c>
      <c r="N55" s="172">
        <f t="shared" si="48"/>
        <v>21958.510000000068</v>
      </c>
      <c r="O55" s="245">
        <f t="shared" si="36"/>
        <v>7.0719838969404369</v>
      </c>
      <c r="P55" s="576">
        <f>$G$55</f>
        <v>310500</v>
      </c>
      <c r="Q55" s="172">
        <f>263901.31+22152.81+0</f>
        <v>286054.12</v>
      </c>
      <c r="R55" s="172">
        <f t="shared" si="49"/>
        <v>-24445.880000000005</v>
      </c>
      <c r="S55" s="245">
        <f t="shared" si="37"/>
        <v>-7.8730692431562055</v>
      </c>
      <c r="T55" s="576">
        <f>$G$55</f>
        <v>310500</v>
      </c>
      <c r="U55" s="172">
        <f>268756.85+53610.8+0+0</f>
        <v>322367.64999999997</v>
      </c>
      <c r="V55" s="172">
        <f t="shared" si="50"/>
        <v>11867.649999999965</v>
      </c>
      <c r="W55" s="245">
        <f t="shared" si="38"/>
        <v>3.8221095008051487</v>
      </c>
      <c r="X55" s="171">
        <v>319800</v>
      </c>
      <c r="Y55" s="172">
        <f>275359.29+76886.39+0+0</f>
        <v>352245.68</v>
      </c>
      <c r="Z55" s="172">
        <f t="shared" si="51"/>
        <v>32445.679999999993</v>
      </c>
      <c r="AA55" s="245">
        <f t="shared" si="39"/>
        <v>10.145616010006254</v>
      </c>
      <c r="AB55" s="171">
        <f>$X$55</f>
        <v>319800</v>
      </c>
      <c r="AC55" s="172">
        <f>275341.79+65218.99+0.25</f>
        <v>340561.02999999997</v>
      </c>
      <c r="AD55" s="172">
        <f t="shared" si="52"/>
        <v>20761.02999999997</v>
      </c>
      <c r="AE55" s="245">
        <f t="shared" si="40"/>
        <v>6.4918792995622088</v>
      </c>
      <c r="AF55" s="172">
        <f t="shared" si="7"/>
        <v>1941548.84</v>
      </c>
      <c r="AG55" s="172">
        <f t="shared" si="8"/>
        <v>323591.47333333333</v>
      </c>
      <c r="AH55" s="172">
        <f>275341.79+65218.99+0.25</f>
        <v>340561.02999999997</v>
      </c>
      <c r="AI55" s="172">
        <f>335040.4</f>
        <v>335040.40000000002</v>
      </c>
      <c r="AJ55" s="172">
        <f t="shared" si="53"/>
        <v>-5520.6299999999464</v>
      </c>
      <c r="AK55" s="245">
        <f t="shared" si="41"/>
        <v>-1.6210398471016907</v>
      </c>
      <c r="AL55" s="644">
        <f>AH55+386.25</f>
        <v>340947.27999999997</v>
      </c>
      <c r="AM55" s="172">
        <f>368060.16</f>
        <v>368060.15999999997</v>
      </c>
      <c r="AN55" s="169">
        <f t="shared" si="54"/>
        <v>27112.880000000005</v>
      </c>
      <c r="AO55" s="245">
        <f t="shared" si="42"/>
        <v>7.9522206483066737</v>
      </c>
      <c r="AP55" s="644">
        <f>(AL55*1.5%)+AL55</f>
        <v>346061.48919999995</v>
      </c>
      <c r="AQ55" s="173">
        <f>350683.91+0</f>
        <v>350683.91</v>
      </c>
      <c r="AR55" s="169">
        <f t="shared" si="56"/>
        <v>4622.4208000000217</v>
      </c>
      <c r="AS55" s="245">
        <f t="shared" si="43"/>
        <v>1.3357223916147909</v>
      </c>
      <c r="AT55" s="172">
        <f t="shared" si="33"/>
        <v>346061.48919999995</v>
      </c>
      <c r="AU55" s="173">
        <f>356475.91+0</f>
        <v>356475.91</v>
      </c>
      <c r="AV55" s="169">
        <f t="shared" si="57"/>
        <v>10414.420800000022</v>
      </c>
      <c r="AW55" s="245">
        <f t="shared" si="44"/>
        <v>3.009413391844129</v>
      </c>
      <c r="AX55" s="172">
        <f t="shared" si="34"/>
        <v>346061.48919999995</v>
      </c>
      <c r="AY55" s="173">
        <f>444331.78+0</f>
        <v>444331.78</v>
      </c>
      <c r="AZ55" s="169">
        <f t="shared" si="58"/>
        <v>98270.290800000075</v>
      </c>
      <c r="BA55" s="245">
        <f t="shared" si="45"/>
        <v>28.396771633611785</v>
      </c>
      <c r="BB55" s="172">
        <f t="shared" si="35"/>
        <v>346061.48919999995</v>
      </c>
      <c r="BC55" s="173">
        <f>447647.56+0</f>
        <v>447647.56</v>
      </c>
      <c r="BD55" s="172">
        <f t="shared" si="59"/>
        <v>101586.07080000004</v>
      </c>
      <c r="BE55" s="246">
        <f t="shared" si="46"/>
        <v>29.3549192760048</v>
      </c>
      <c r="BF55" s="172">
        <f t="shared" si="15"/>
        <v>4007303.1067999993</v>
      </c>
      <c r="BG55" s="174">
        <f t="shared" si="32"/>
        <v>4243788.5600000005</v>
      </c>
      <c r="BH55" s="63"/>
    </row>
    <row r="56" spans="2:60" s="11" customFormat="1" x14ac:dyDescent="0.25">
      <c r="B56" s="170">
        <v>11481</v>
      </c>
      <c r="C56" s="135">
        <v>239</v>
      </c>
      <c r="D56" s="332" t="s">
        <v>30</v>
      </c>
      <c r="E56" s="341"/>
      <c r="F56" s="256">
        <v>0.03</v>
      </c>
      <c r="G56" s="619">
        <v>165000</v>
      </c>
      <c r="H56" s="211">
        <v>170000</v>
      </c>
      <c r="I56" s="125">
        <v>170793.65</v>
      </c>
      <c r="J56" s="373">
        <f t="shared" si="30"/>
        <v>793.64999999999418</v>
      </c>
      <c r="K56" s="372">
        <f t="shared" si="31"/>
        <v>0.46685294117647658</v>
      </c>
      <c r="L56" s="121">
        <f>$H$56</f>
        <v>170000</v>
      </c>
      <c r="M56" s="125">
        <v>167027.74</v>
      </c>
      <c r="N56" s="172">
        <f t="shared" si="48"/>
        <v>-2972.2600000000093</v>
      </c>
      <c r="O56" s="245">
        <f t="shared" si="36"/>
        <v>-1.7483882352941182</v>
      </c>
      <c r="P56" s="121">
        <f>$H$56</f>
        <v>170000</v>
      </c>
      <c r="Q56" s="125">
        <v>137189.53</v>
      </c>
      <c r="R56" s="172">
        <f t="shared" si="49"/>
        <v>-32810.47</v>
      </c>
      <c r="S56" s="245">
        <f t="shared" si="37"/>
        <v>-19.300276470588241</v>
      </c>
      <c r="T56" s="121">
        <v>175000</v>
      </c>
      <c r="U56" s="125">
        <v>157271.99</v>
      </c>
      <c r="V56" s="172">
        <f t="shared" si="50"/>
        <v>-17728.010000000009</v>
      </c>
      <c r="W56" s="245">
        <f t="shared" si="38"/>
        <v>-10.130291428571436</v>
      </c>
      <c r="X56" s="121">
        <f>$T$56</f>
        <v>175000</v>
      </c>
      <c r="Y56" s="125">
        <v>131987.99</v>
      </c>
      <c r="Z56" s="172">
        <f t="shared" si="51"/>
        <v>-43012.010000000009</v>
      </c>
      <c r="AA56" s="245">
        <f t="shared" si="39"/>
        <v>-24.578291428571429</v>
      </c>
      <c r="AB56" s="121">
        <f>$T$56</f>
        <v>175000</v>
      </c>
      <c r="AC56" s="125">
        <v>180705.69</v>
      </c>
      <c r="AD56" s="172">
        <f t="shared" si="52"/>
        <v>5705.6900000000023</v>
      </c>
      <c r="AE56" s="245">
        <f t="shared" si="40"/>
        <v>3.2603942857142965</v>
      </c>
      <c r="AF56" s="125">
        <f t="shared" si="7"/>
        <v>944976.59000000008</v>
      </c>
      <c r="AG56" s="125">
        <f t="shared" si="8"/>
        <v>157496.09833333336</v>
      </c>
      <c r="AH56" s="125">
        <v>180705.69</v>
      </c>
      <c r="AI56" s="125">
        <v>173954.91</v>
      </c>
      <c r="AJ56" s="172">
        <f t="shared" si="53"/>
        <v>-6750.7799999999988</v>
      </c>
      <c r="AK56" s="245">
        <f t="shared" si="41"/>
        <v>-3.7357871796953379</v>
      </c>
      <c r="AL56" s="644">
        <f>AH56+8109.2</f>
        <v>188814.89</v>
      </c>
      <c r="AM56" s="125">
        <v>185480.99</v>
      </c>
      <c r="AN56" s="169">
        <f t="shared" si="54"/>
        <v>-3333.9000000000233</v>
      </c>
      <c r="AO56" s="245">
        <f t="shared" si="42"/>
        <v>-1.7656976099713395</v>
      </c>
      <c r="AP56" s="644">
        <f>(AL56*1.5%)+AL56</f>
        <v>191647.11335</v>
      </c>
      <c r="AQ56" s="153">
        <v>180553.79</v>
      </c>
      <c r="AR56" s="169">
        <f t="shared" si="56"/>
        <v>-11093.323349999991</v>
      </c>
      <c r="AS56" s="245">
        <f t="shared" si="43"/>
        <v>-5.788411396387982</v>
      </c>
      <c r="AT56" s="121">
        <f t="shared" si="33"/>
        <v>191647.11335</v>
      </c>
      <c r="AU56" s="153">
        <v>173893.27</v>
      </c>
      <c r="AV56" s="169">
        <f t="shared" si="57"/>
        <v>-17753.84335000001</v>
      </c>
      <c r="AW56" s="245">
        <f t="shared" si="44"/>
        <v>-9.2638198612345573</v>
      </c>
      <c r="AX56" s="121">
        <f t="shared" si="34"/>
        <v>191647.11335</v>
      </c>
      <c r="AY56" s="153">
        <v>173145.02</v>
      </c>
      <c r="AZ56" s="169">
        <f t="shared" si="58"/>
        <v>-18502.09335000001</v>
      </c>
      <c r="BA56" s="245">
        <f t="shared" si="45"/>
        <v>-9.6542509963143175</v>
      </c>
      <c r="BB56" s="121">
        <f t="shared" si="35"/>
        <v>191647.11335</v>
      </c>
      <c r="BC56" s="153">
        <v>172052.28</v>
      </c>
      <c r="BD56" s="172">
        <f t="shared" si="59"/>
        <v>-19594.833350000001</v>
      </c>
      <c r="BE56" s="246">
        <f t="shared" si="46"/>
        <v>-10.224434382277636</v>
      </c>
      <c r="BF56" s="121">
        <f t="shared" si="15"/>
        <v>2081085.6233999999</v>
      </c>
      <c r="BG56" s="175">
        <f t="shared" si="32"/>
        <v>2004056.85</v>
      </c>
      <c r="BH56" s="63"/>
    </row>
    <row r="57" spans="2:60" s="11" customFormat="1" x14ac:dyDescent="0.25">
      <c r="B57" s="170">
        <v>11428</v>
      </c>
      <c r="C57" s="135">
        <v>188</v>
      </c>
      <c r="D57" s="332" t="s">
        <v>31</v>
      </c>
      <c r="E57" s="341"/>
      <c r="F57" s="256">
        <v>0.2</v>
      </c>
      <c r="G57" s="619">
        <v>226000</v>
      </c>
      <c r="H57" s="211">
        <v>226020</v>
      </c>
      <c r="I57" s="137">
        <v>210496.61</v>
      </c>
      <c r="J57" s="373">
        <f t="shared" si="30"/>
        <v>-15523.390000000014</v>
      </c>
      <c r="K57" s="372">
        <f t="shared" si="31"/>
        <v>-6.8681488363861671</v>
      </c>
      <c r="L57" s="136">
        <v>260000</v>
      </c>
      <c r="M57" s="137">
        <v>225007.24</v>
      </c>
      <c r="N57" s="172">
        <f t="shared" si="48"/>
        <v>-34992.760000000009</v>
      </c>
      <c r="O57" s="245">
        <f t="shared" si="36"/>
        <v>-13.458753846153847</v>
      </c>
      <c r="P57" s="136">
        <f>$L$57</f>
        <v>260000</v>
      </c>
      <c r="Q57" s="137">
        <v>186482.91</v>
      </c>
      <c r="R57" s="172">
        <f t="shared" si="49"/>
        <v>-73517.09</v>
      </c>
      <c r="S57" s="245">
        <f t="shared" si="37"/>
        <v>-28.275803846153845</v>
      </c>
      <c r="T57" s="136">
        <f>$L$57</f>
        <v>260000</v>
      </c>
      <c r="U57" s="137">
        <v>226863.29</v>
      </c>
      <c r="V57" s="172">
        <f t="shared" si="50"/>
        <v>-33136.709999999992</v>
      </c>
      <c r="W57" s="245">
        <f t="shared" si="38"/>
        <v>-12.744888461538462</v>
      </c>
      <c r="X57" s="136">
        <f>$L$57</f>
        <v>260000</v>
      </c>
      <c r="Y57" s="137">
        <v>251363.54</v>
      </c>
      <c r="Z57" s="172">
        <f t="shared" si="51"/>
        <v>-8636.4599999999919</v>
      </c>
      <c r="AA57" s="245">
        <f t="shared" si="39"/>
        <v>-3.3217153846153868</v>
      </c>
      <c r="AB57" s="136">
        <f>$L$57</f>
        <v>260000</v>
      </c>
      <c r="AC57" s="137">
        <v>240771.39</v>
      </c>
      <c r="AD57" s="172">
        <f t="shared" si="52"/>
        <v>-19228.609999999986</v>
      </c>
      <c r="AE57" s="245">
        <f t="shared" si="40"/>
        <v>-7.3956192307692241</v>
      </c>
      <c r="AF57" s="137">
        <f t="shared" si="7"/>
        <v>1340984.98</v>
      </c>
      <c r="AG57" s="137">
        <f t="shared" si="8"/>
        <v>223497.49666666667</v>
      </c>
      <c r="AH57" s="137">
        <v>240771.39</v>
      </c>
      <c r="AI57" s="137">
        <v>234684.21</v>
      </c>
      <c r="AJ57" s="172">
        <f t="shared" si="53"/>
        <v>-6087.1800000000221</v>
      </c>
      <c r="AK57" s="245">
        <f t="shared" si="41"/>
        <v>-2.5281990522212916</v>
      </c>
      <c r="AL57" s="644">
        <f t="shared" si="47"/>
        <v>240771.39</v>
      </c>
      <c r="AM57" s="137">
        <v>216354.69</v>
      </c>
      <c r="AN57" s="169">
        <f t="shared" si="54"/>
        <v>-24416.700000000012</v>
      </c>
      <c r="AO57" s="245">
        <f t="shared" si="42"/>
        <v>-10.141030460471246</v>
      </c>
      <c r="AP57" s="644">
        <f t="shared" si="55"/>
        <v>240771.39</v>
      </c>
      <c r="AQ57" s="176">
        <v>240918.32</v>
      </c>
      <c r="AR57" s="169">
        <f t="shared" si="56"/>
        <v>146.92999999999302</v>
      </c>
      <c r="AS57" s="245">
        <f t="shared" si="43"/>
        <v>6.1024692344058273E-2</v>
      </c>
      <c r="AT57" s="136">
        <f t="shared" si="33"/>
        <v>240771.39</v>
      </c>
      <c r="AU57" s="176">
        <v>223314.72</v>
      </c>
      <c r="AV57" s="169">
        <f t="shared" si="57"/>
        <v>-17456.670000000013</v>
      </c>
      <c r="AW57" s="245">
        <f t="shared" si="44"/>
        <v>-7.2503091002631193</v>
      </c>
      <c r="AX57" s="136">
        <f t="shared" si="34"/>
        <v>240771.39</v>
      </c>
      <c r="AY57" s="176">
        <v>127077.31</v>
      </c>
      <c r="AZ57" s="169">
        <f t="shared" si="58"/>
        <v>-113694.08000000002</v>
      </c>
      <c r="BA57" s="245">
        <f t="shared" si="45"/>
        <v>-47.220759908392772</v>
      </c>
      <c r="BB57" s="136">
        <f t="shared" si="35"/>
        <v>240771.39</v>
      </c>
      <c r="BC57" s="176">
        <v>146031.65</v>
      </c>
      <c r="BD57" s="172">
        <f t="shared" si="59"/>
        <v>-94739.74000000002</v>
      </c>
      <c r="BE57" s="246">
        <f t="shared" si="46"/>
        <v>-39.34842092326668</v>
      </c>
      <c r="BF57" s="136">
        <f t="shared" si="15"/>
        <v>2785613.3200000008</v>
      </c>
      <c r="BG57" s="177">
        <f t="shared" si="32"/>
        <v>2529365.88</v>
      </c>
      <c r="BH57" s="63"/>
    </row>
    <row r="58" spans="2:60" s="11" customFormat="1" x14ac:dyDescent="0.25">
      <c r="B58" s="170">
        <v>11434</v>
      </c>
      <c r="C58" s="135" t="s">
        <v>32</v>
      </c>
      <c r="D58" s="332" t="s">
        <v>173</v>
      </c>
      <c r="E58" s="341"/>
      <c r="F58" s="256">
        <v>0.03</v>
      </c>
      <c r="G58" s="619">
        <v>25000</v>
      </c>
      <c r="H58" s="212">
        <f>F58*G58+G58</f>
        <v>25750</v>
      </c>
      <c r="I58" s="137">
        <v>25884.93</v>
      </c>
      <c r="J58" s="373">
        <f t="shared" si="30"/>
        <v>134.93000000000029</v>
      </c>
      <c r="K58" s="372">
        <f t="shared" si="31"/>
        <v>0.52399999999999114</v>
      </c>
      <c r="L58" s="136">
        <f>$H$58</f>
        <v>25750</v>
      </c>
      <c r="M58" s="137">
        <v>21600.83</v>
      </c>
      <c r="N58" s="172">
        <f t="shared" si="48"/>
        <v>-4149.1699999999983</v>
      </c>
      <c r="O58" s="245">
        <f t="shared" si="36"/>
        <v>-16.11328155339805</v>
      </c>
      <c r="P58" s="136">
        <f>$H$58</f>
        <v>25750</v>
      </c>
      <c r="Q58" s="137">
        <v>23949.58</v>
      </c>
      <c r="R58" s="172">
        <f t="shared" si="49"/>
        <v>-1800.4199999999983</v>
      </c>
      <c r="S58" s="245">
        <f t="shared" si="37"/>
        <v>-6.9919223300970774</v>
      </c>
      <c r="T58" s="136">
        <f>$H$58</f>
        <v>25750</v>
      </c>
      <c r="U58" s="137">
        <v>19200.169999999998</v>
      </c>
      <c r="V58" s="172">
        <f t="shared" si="50"/>
        <v>-6549.8300000000017</v>
      </c>
      <c r="W58" s="245">
        <f t="shared" si="38"/>
        <v>-25.436233009708744</v>
      </c>
      <c r="X58" s="136">
        <f>$H$58</f>
        <v>25750</v>
      </c>
      <c r="Y58" s="137">
        <v>20465.64</v>
      </c>
      <c r="Z58" s="172">
        <f t="shared" si="51"/>
        <v>-5284.3600000000006</v>
      </c>
      <c r="AA58" s="245">
        <f t="shared" si="39"/>
        <v>-20.521786407766996</v>
      </c>
      <c r="AB58" s="136">
        <f>$H$58</f>
        <v>25750</v>
      </c>
      <c r="AC58" s="137">
        <v>27447.47</v>
      </c>
      <c r="AD58" s="172">
        <f t="shared" si="52"/>
        <v>1697.4700000000012</v>
      </c>
      <c r="AE58" s="245">
        <f t="shared" si="40"/>
        <v>6.5921165048543839</v>
      </c>
      <c r="AF58" s="137">
        <f t="shared" si="7"/>
        <v>138548.62</v>
      </c>
      <c r="AG58" s="137">
        <f t="shared" si="8"/>
        <v>23091.436666666665</v>
      </c>
      <c r="AH58" s="137">
        <v>27447.47</v>
      </c>
      <c r="AI58" s="137">
        <v>28648.6</v>
      </c>
      <c r="AJ58" s="172">
        <f t="shared" si="53"/>
        <v>1201.1299999999974</v>
      </c>
      <c r="AK58" s="245">
        <f t="shared" si="41"/>
        <v>4.3761046100059486</v>
      </c>
      <c r="AL58" s="644">
        <f t="shared" si="47"/>
        <v>27447.47</v>
      </c>
      <c r="AM58" s="137">
        <v>33950.04</v>
      </c>
      <c r="AN58" s="169">
        <f t="shared" si="54"/>
        <v>6502.57</v>
      </c>
      <c r="AO58" s="245">
        <f t="shared" si="42"/>
        <v>23.690963137950426</v>
      </c>
      <c r="AP58" s="644">
        <f t="shared" si="55"/>
        <v>27447.47</v>
      </c>
      <c r="AQ58" s="176">
        <v>40100.839999999997</v>
      </c>
      <c r="AR58" s="169">
        <f t="shared" si="56"/>
        <v>12653.369999999995</v>
      </c>
      <c r="AS58" s="245">
        <f t="shared" si="43"/>
        <v>46.10031452807852</v>
      </c>
      <c r="AT58" s="136">
        <f t="shared" si="33"/>
        <v>27447.47</v>
      </c>
      <c r="AU58" s="176">
        <v>29620.18</v>
      </c>
      <c r="AV58" s="169">
        <f t="shared" si="57"/>
        <v>2172.7099999999991</v>
      </c>
      <c r="AW58" s="245">
        <f t="shared" si="44"/>
        <v>7.9158844148476959</v>
      </c>
      <c r="AX58" s="136">
        <f t="shared" si="34"/>
        <v>27447.47</v>
      </c>
      <c r="AY58" s="176">
        <v>29339.74</v>
      </c>
      <c r="AZ58" s="169">
        <f t="shared" si="58"/>
        <v>1892.2700000000004</v>
      </c>
      <c r="BA58" s="245">
        <f t="shared" si="45"/>
        <v>6.8941508998825674</v>
      </c>
      <c r="BB58" s="136">
        <f t="shared" si="35"/>
        <v>27447.47</v>
      </c>
      <c r="BC58" s="176">
        <v>22267.56</v>
      </c>
      <c r="BD58" s="172">
        <f t="shared" si="59"/>
        <v>-5179.91</v>
      </c>
      <c r="BE58" s="246">
        <f t="shared" si="46"/>
        <v>-18.872085478187973</v>
      </c>
      <c r="BF58" s="136">
        <f t="shared" si="15"/>
        <v>303233.43999999994</v>
      </c>
      <c r="BG58" s="177">
        <f t="shared" si="32"/>
        <v>322475.58</v>
      </c>
      <c r="BH58" s="63"/>
    </row>
    <row r="59" spans="2:60" s="11" customFormat="1" x14ac:dyDescent="0.25">
      <c r="B59" s="170">
        <v>11498</v>
      </c>
      <c r="C59" s="135">
        <v>188</v>
      </c>
      <c r="D59" s="332" t="s">
        <v>174</v>
      </c>
      <c r="E59" s="341"/>
      <c r="F59" s="320">
        <v>0.03</v>
      </c>
      <c r="G59" s="619">
        <v>9000</v>
      </c>
      <c r="H59" s="212">
        <f>$G$59</f>
        <v>9000</v>
      </c>
      <c r="I59" s="137">
        <v>7268.6</v>
      </c>
      <c r="J59" s="373">
        <f t="shared" si="30"/>
        <v>-1731.3999999999996</v>
      </c>
      <c r="K59" s="372">
        <f t="shared" si="31"/>
        <v>-19.237777777777776</v>
      </c>
      <c r="L59" s="212">
        <f>$G$59</f>
        <v>9000</v>
      </c>
      <c r="M59" s="137">
        <v>7303.73</v>
      </c>
      <c r="N59" s="172">
        <f t="shared" si="48"/>
        <v>-1696.2700000000004</v>
      </c>
      <c r="O59" s="245">
        <f t="shared" si="36"/>
        <v>-18.847444444444449</v>
      </c>
      <c r="P59" s="212">
        <f>$G$59</f>
        <v>9000</v>
      </c>
      <c r="Q59" s="137">
        <v>7656.5</v>
      </c>
      <c r="R59" s="172">
        <f t="shared" si="49"/>
        <v>-1343.5</v>
      </c>
      <c r="S59" s="245">
        <f t="shared" si="37"/>
        <v>-14.927777777777774</v>
      </c>
      <c r="T59" s="212">
        <f>$G$59</f>
        <v>9000</v>
      </c>
      <c r="U59" s="137">
        <v>8999.5</v>
      </c>
      <c r="V59" s="172">
        <f t="shared" si="50"/>
        <v>-0.5</v>
      </c>
      <c r="W59" s="245">
        <f t="shared" si="38"/>
        <v>-5.5555555555586444E-3</v>
      </c>
      <c r="X59" s="136">
        <v>9250</v>
      </c>
      <c r="Y59" s="137">
        <v>8685.7000000000007</v>
      </c>
      <c r="Z59" s="172">
        <f t="shared" si="51"/>
        <v>-564.29999999999927</v>
      </c>
      <c r="AA59" s="245">
        <f t="shared" si="39"/>
        <v>-6.1005405405405337</v>
      </c>
      <c r="AB59" s="136">
        <f>$X$59</f>
        <v>9250</v>
      </c>
      <c r="AC59" s="137">
        <v>9382.9599999999991</v>
      </c>
      <c r="AD59" s="172">
        <f t="shared" si="52"/>
        <v>132.95999999999913</v>
      </c>
      <c r="AE59" s="245">
        <f t="shared" si="40"/>
        <v>1.4374054054054008</v>
      </c>
      <c r="AF59" s="137">
        <f t="shared" si="7"/>
        <v>49296.99</v>
      </c>
      <c r="AG59" s="137">
        <f t="shared" si="8"/>
        <v>8216.1649999999991</v>
      </c>
      <c r="AH59" s="137">
        <v>9382.9599999999991</v>
      </c>
      <c r="AI59" s="137">
        <v>9954.11</v>
      </c>
      <c r="AJ59" s="172">
        <f t="shared" si="53"/>
        <v>571.15000000000146</v>
      </c>
      <c r="AK59" s="245">
        <f t="shared" si="41"/>
        <v>6.0870983143912039</v>
      </c>
      <c r="AL59" s="644">
        <f t="shared" si="47"/>
        <v>9382.9599999999991</v>
      </c>
      <c r="AM59" s="137">
        <v>9713.61</v>
      </c>
      <c r="AN59" s="169">
        <f t="shared" si="54"/>
        <v>330.65000000000146</v>
      </c>
      <c r="AO59" s="245">
        <f t="shared" si="42"/>
        <v>3.5239412722637864</v>
      </c>
      <c r="AP59" s="644">
        <f>(AL59*1.5%)+AL59</f>
        <v>9523.7043999999987</v>
      </c>
      <c r="AQ59" s="176">
        <v>10232.219999999999</v>
      </c>
      <c r="AR59" s="169">
        <f t="shared" si="56"/>
        <v>708.51560000000063</v>
      </c>
      <c r="AS59" s="245">
        <f t="shared" si="43"/>
        <v>7.4394959171559361</v>
      </c>
      <c r="AT59" s="137">
        <f t="shared" si="33"/>
        <v>9523.7043999999987</v>
      </c>
      <c r="AU59" s="176">
        <v>10794.82</v>
      </c>
      <c r="AV59" s="169">
        <f t="shared" si="57"/>
        <v>1271.115600000001</v>
      </c>
      <c r="AW59" s="245">
        <f t="shared" si="44"/>
        <v>13.346861122653086</v>
      </c>
      <c r="AX59" s="137">
        <f t="shared" si="34"/>
        <v>9523.7043999999987</v>
      </c>
      <c r="AY59" s="176">
        <v>10840.1</v>
      </c>
      <c r="AZ59" s="169">
        <f t="shared" si="58"/>
        <v>1316.3956000000017</v>
      </c>
      <c r="BA59" s="245">
        <f t="shared" si="45"/>
        <v>13.822306370617742</v>
      </c>
      <c r="BB59" s="137">
        <f t="shared" si="35"/>
        <v>9523.7043999999987</v>
      </c>
      <c r="BC59" s="176">
        <v>10745.81</v>
      </c>
      <c r="BD59" s="172">
        <f t="shared" si="59"/>
        <v>1222.1056000000008</v>
      </c>
      <c r="BE59" s="246">
        <f t="shared" si="46"/>
        <v>12.832250442380388</v>
      </c>
      <c r="BF59" s="137">
        <f t="shared" si="15"/>
        <v>106157.72760000001</v>
      </c>
      <c r="BG59" s="177">
        <f t="shared" si="32"/>
        <v>111577.66</v>
      </c>
      <c r="BH59" s="63"/>
    </row>
    <row r="60" spans="2:60" s="11" customFormat="1" x14ac:dyDescent="0.25">
      <c r="B60" s="170">
        <v>12320</v>
      </c>
      <c r="C60" s="135">
        <v>216</v>
      </c>
      <c r="D60" s="332" t="s">
        <v>175</v>
      </c>
      <c r="E60" s="341"/>
      <c r="F60" s="256">
        <v>0.03</v>
      </c>
      <c r="G60" s="619">
        <v>20000</v>
      </c>
      <c r="H60" s="212">
        <f>F60*G60+G60</f>
        <v>20600</v>
      </c>
      <c r="I60" s="137">
        <v>11762.75</v>
      </c>
      <c r="J60" s="373">
        <f t="shared" si="30"/>
        <v>-8837.25</v>
      </c>
      <c r="K60" s="372">
        <f t="shared" si="31"/>
        <v>-42.899271844660191</v>
      </c>
      <c r="L60" s="136">
        <f>$H$60</f>
        <v>20600</v>
      </c>
      <c r="M60" s="137">
        <v>28086</v>
      </c>
      <c r="N60" s="172">
        <f t="shared" si="48"/>
        <v>7486</v>
      </c>
      <c r="O60" s="245">
        <f t="shared" si="36"/>
        <v>36.339805825242721</v>
      </c>
      <c r="P60" s="136">
        <f>$H$60</f>
        <v>20600</v>
      </c>
      <c r="Q60" s="137">
        <v>28526.5</v>
      </c>
      <c r="R60" s="172">
        <f t="shared" si="49"/>
        <v>7926.5</v>
      </c>
      <c r="S60" s="245">
        <f t="shared" si="37"/>
        <v>38.478155339805831</v>
      </c>
      <c r="T60" s="136">
        <f>$H$60</f>
        <v>20600</v>
      </c>
      <c r="U60" s="137">
        <v>30095.97</v>
      </c>
      <c r="V60" s="172">
        <f t="shared" si="50"/>
        <v>9495.9700000000012</v>
      </c>
      <c r="W60" s="245">
        <f t="shared" si="38"/>
        <v>46.096941747572814</v>
      </c>
      <c r="X60" s="136">
        <f>$H$60</f>
        <v>20600</v>
      </c>
      <c r="Y60" s="137">
        <v>20744</v>
      </c>
      <c r="Z60" s="172">
        <f t="shared" si="51"/>
        <v>144</v>
      </c>
      <c r="AA60" s="245">
        <f t="shared" si="39"/>
        <v>0.69902912621360169</v>
      </c>
      <c r="AB60" s="136">
        <f>$H$60</f>
        <v>20600</v>
      </c>
      <c r="AC60" s="137">
        <v>23939.61</v>
      </c>
      <c r="AD60" s="172">
        <f t="shared" si="52"/>
        <v>3339.6100000000006</v>
      </c>
      <c r="AE60" s="245">
        <f t="shared" si="40"/>
        <v>16.211699029126226</v>
      </c>
      <c r="AF60" s="137">
        <f t="shared" si="7"/>
        <v>143154.83000000002</v>
      </c>
      <c r="AG60" s="137">
        <f t="shared" si="8"/>
        <v>23859.138333333336</v>
      </c>
      <c r="AH60" s="137">
        <v>23939.61</v>
      </c>
      <c r="AI60" s="137">
        <v>23819.5</v>
      </c>
      <c r="AJ60" s="172">
        <f t="shared" si="53"/>
        <v>-120.11000000000058</v>
      </c>
      <c r="AK60" s="245">
        <f t="shared" si="41"/>
        <v>-0.50172078826681288</v>
      </c>
      <c r="AL60" s="644">
        <f t="shared" si="47"/>
        <v>23939.61</v>
      </c>
      <c r="AM60" s="137">
        <v>28782.85</v>
      </c>
      <c r="AN60" s="169">
        <f t="shared" si="54"/>
        <v>4843.239999999998</v>
      </c>
      <c r="AO60" s="245">
        <f t="shared" si="42"/>
        <v>20.231073104365514</v>
      </c>
      <c r="AP60" s="644">
        <f t="shared" si="55"/>
        <v>23939.61</v>
      </c>
      <c r="AQ60" s="176">
        <v>20754.5</v>
      </c>
      <c r="AR60" s="169">
        <f t="shared" si="56"/>
        <v>-3185.1100000000006</v>
      </c>
      <c r="AS60" s="245">
        <f t="shared" si="43"/>
        <v>-13.304769793659965</v>
      </c>
      <c r="AT60" s="136">
        <f t="shared" si="33"/>
        <v>23939.61</v>
      </c>
      <c r="AU60" s="176">
        <v>23927.1</v>
      </c>
      <c r="AV60" s="169">
        <f t="shared" si="57"/>
        <v>-12.510000000002037</v>
      </c>
      <c r="AW60" s="245">
        <f t="shared" si="44"/>
        <v>-5.225649039396485E-2</v>
      </c>
      <c r="AX60" s="136">
        <f t="shared" si="34"/>
        <v>23939.61</v>
      </c>
      <c r="AY60" s="176">
        <v>25654</v>
      </c>
      <c r="AZ60" s="169">
        <f t="shared" si="58"/>
        <v>1714.3899999999994</v>
      </c>
      <c r="BA60" s="245">
        <f t="shared" si="45"/>
        <v>7.1613113162662279</v>
      </c>
      <c r="BB60" s="136">
        <f t="shared" si="35"/>
        <v>23939.61</v>
      </c>
      <c r="BC60" s="176">
        <v>18105.25</v>
      </c>
      <c r="BD60" s="172">
        <f t="shared" si="59"/>
        <v>-5834.3600000000006</v>
      </c>
      <c r="BE60" s="246">
        <f t="shared" si="46"/>
        <v>-24.371157257783228</v>
      </c>
      <c r="BF60" s="136">
        <f t="shared" si="15"/>
        <v>286792.48999999993</v>
      </c>
      <c r="BG60" s="177">
        <f t="shared" si="32"/>
        <v>284198.03000000003</v>
      </c>
      <c r="BH60" s="63"/>
    </row>
    <row r="61" spans="2:60" s="11" customFormat="1" x14ac:dyDescent="0.25">
      <c r="B61" s="170" t="s">
        <v>33</v>
      </c>
      <c r="C61" s="135">
        <v>188</v>
      </c>
      <c r="D61" s="332" t="s">
        <v>176</v>
      </c>
      <c r="E61" s="341"/>
      <c r="F61" s="320">
        <v>0.03</v>
      </c>
      <c r="G61" s="619">
        <v>181500</v>
      </c>
      <c r="H61" s="212">
        <f>$G$61</f>
        <v>181500</v>
      </c>
      <c r="I61" s="137">
        <f>183784.28</f>
        <v>183784.28</v>
      </c>
      <c r="J61" s="373">
        <f t="shared" si="30"/>
        <v>2284.2799999999988</v>
      </c>
      <c r="K61" s="372">
        <f t="shared" si="31"/>
        <v>1.2585564738291977</v>
      </c>
      <c r="L61" s="212">
        <f>$G$61</f>
        <v>181500</v>
      </c>
      <c r="M61" s="137">
        <f>183174.32+0</f>
        <v>183174.32</v>
      </c>
      <c r="N61" s="172">
        <f t="shared" si="48"/>
        <v>1674.320000000007</v>
      </c>
      <c r="O61" s="245">
        <f t="shared" si="36"/>
        <v>0.92249035812672631</v>
      </c>
      <c r="P61" s="212">
        <f>$G$61</f>
        <v>181500</v>
      </c>
      <c r="Q61" s="137">
        <f>184230.26</f>
        <v>184230.26</v>
      </c>
      <c r="R61" s="172">
        <f t="shared" si="49"/>
        <v>2730.2600000000093</v>
      </c>
      <c r="S61" s="245">
        <f t="shared" si="37"/>
        <v>1.5042754820936644</v>
      </c>
      <c r="T61" s="212">
        <f>$G$61</f>
        <v>181500</v>
      </c>
      <c r="U61" s="137">
        <f>187270.98+0</f>
        <v>187270.98</v>
      </c>
      <c r="V61" s="172">
        <f t="shared" si="50"/>
        <v>5770.9800000000105</v>
      </c>
      <c r="W61" s="245">
        <f t="shared" si="38"/>
        <v>3.1796033057851281</v>
      </c>
      <c r="X61" s="136">
        <v>186950</v>
      </c>
      <c r="Y61" s="137">
        <v>189949.98</v>
      </c>
      <c r="Z61" s="172">
        <f t="shared" si="51"/>
        <v>2999.9800000000105</v>
      </c>
      <c r="AA61" s="245">
        <f t="shared" si="39"/>
        <v>1.6046964428991783</v>
      </c>
      <c r="AB61" s="136">
        <f>$X$61</f>
        <v>186950</v>
      </c>
      <c r="AC61" s="137">
        <v>190529.3</v>
      </c>
      <c r="AD61" s="172">
        <f t="shared" si="52"/>
        <v>3579.2999999999884</v>
      </c>
      <c r="AE61" s="245">
        <f t="shared" si="40"/>
        <v>1.9145760898635844</v>
      </c>
      <c r="AF61" s="137">
        <f t="shared" si="7"/>
        <v>1118939.1199999999</v>
      </c>
      <c r="AG61" s="137">
        <f t="shared" si="8"/>
        <v>186489.8533333333</v>
      </c>
      <c r="AH61" s="137">
        <v>190529.3</v>
      </c>
      <c r="AI61" s="137">
        <f>190418.94</f>
        <v>190418.94</v>
      </c>
      <c r="AJ61" s="172">
        <f t="shared" si="53"/>
        <v>-110.35999999998603</v>
      </c>
      <c r="AK61" s="245">
        <f t="shared" si="41"/>
        <v>-5.7922849661440345E-2</v>
      </c>
      <c r="AL61" s="644">
        <f t="shared" si="47"/>
        <v>190529.3</v>
      </c>
      <c r="AM61" s="137">
        <f>208362.78</f>
        <v>208362.78</v>
      </c>
      <c r="AN61" s="169">
        <f t="shared" si="54"/>
        <v>17833.48000000001</v>
      </c>
      <c r="AO61" s="245">
        <f t="shared" si="42"/>
        <v>9.3599672071434714</v>
      </c>
      <c r="AP61" s="644">
        <f t="shared" si="55"/>
        <v>190529.3</v>
      </c>
      <c r="AQ61" s="176">
        <f>206669.76+0</f>
        <v>206669.76</v>
      </c>
      <c r="AR61" s="169">
        <f t="shared" si="56"/>
        <v>16140.460000000021</v>
      </c>
      <c r="AS61" s="245">
        <f t="shared" si="43"/>
        <v>8.4713794676199541</v>
      </c>
      <c r="AT61" s="137">
        <f t="shared" si="33"/>
        <v>190529.3</v>
      </c>
      <c r="AU61" s="176">
        <f>275830.64+0</f>
        <v>275830.64</v>
      </c>
      <c r="AV61" s="169">
        <f t="shared" si="57"/>
        <v>85301.340000000026</v>
      </c>
      <c r="AW61" s="245">
        <f t="shared" si="44"/>
        <v>44.770720303911268</v>
      </c>
      <c r="AX61" s="137">
        <f t="shared" si="34"/>
        <v>190529.3</v>
      </c>
      <c r="AY61" s="176">
        <f>333375.73+327.74</f>
        <v>333703.46999999997</v>
      </c>
      <c r="AZ61" s="169">
        <f t="shared" si="58"/>
        <v>143174.16999999998</v>
      </c>
      <c r="BA61" s="245">
        <f t="shared" si="45"/>
        <v>75.145486809640303</v>
      </c>
      <c r="BB61" s="137">
        <f t="shared" si="35"/>
        <v>190529.3</v>
      </c>
      <c r="BC61" s="176">
        <f>278253.86+15690.99</f>
        <v>293944.84999999998</v>
      </c>
      <c r="BD61" s="172">
        <f t="shared" si="59"/>
        <v>103415.54999999999</v>
      </c>
      <c r="BE61" s="246">
        <f t="shared" si="46"/>
        <v>54.278029678374921</v>
      </c>
      <c r="BF61" s="137">
        <f t="shared" si="15"/>
        <v>2262114.92</v>
      </c>
      <c r="BG61" s="177">
        <f t="shared" si="32"/>
        <v>2627869.56</v>
      </c>
      <c r="BH61" s="63"/>
    </row>
    <row r="62" spans="2:60" s="11" customFormat="1" x14ac:dyDescent="0.25">
      <c r="B62" s="170">
        <v>12276</v>
      </c>
      <c r="C62" s="135">
        <v>190</v>
      </c>
      <c r="D62" s="332" t="s">
        <v>3662</v>
      </c>
      <c r="E62" s="341"/>
      <c r="F62" s="320">
        <v>0.03</v>
      </c>
      <c r="G62" s="619">
        <v>2900</v>
      </c>
      <c r="H62" s="212">
        <f>$G$62</f>
        <v>2900</v>
      </c>
      <c r="I62" s="137">
        <v>8333.16</v>
      </c>
      <c r="J62" s="373">
        <f t="shared" si="30"/>
        <v>5433.16</v>
      </c>
      <c r="K62" s="372">
        <f t="shared" si="31"/>
        <v>187.35034482758621</v>
      </c>
      <c r="L62" s="212">
        <f>$G$62</f>
        <v>2900</v>
      </c>
      <c r="M62" s="137">
        <v>1784</v>
      </c>
      <c r="N62" s="172">
        <f t="shared" si="48"/>
        <v>-1116</v>
      </c>
      <c r="O62" s="245">
        <f t="shared" si="36"/>
        <v>-38.482758620689651</v>
      </c>
      <c r="P62" s="212">
        <f>$G$62</f>
        <v>2900</v>
      </c>
      <c r="Q62" s="137">
        <v>743.5</v>
      </c>
      <c r="R62" s="172">
        <f t="shared" si="49"/>
        <v>-2156.5</v>
      </c>
      <c r="S62" s="245">
        <f t="shared" si="37"/>
        <v>-74.362068965517253</v>
      </c>
      <c r="T62" s="212">
        <f>$G$62</f>
        <v>2900</v>
      </c>
      <c r="U62" s="137">
        <v>4331</v>
      </c>
      <c r="V62" s="172">
        <f t="shared" si="50"/>
        <v>1431</v>
      </c>
      <c r="W62" s="245">
        <f t="shared" si="38"/>
        <v>49.344827586206904</v>
      </c>
      <c r="X62" s="136">
        <v>3000</v>
      </c>
      <c r="Y62" s="137">
        <v>2556</v>
      </c>
      <c r="Z62" s="172">
        <f t="shared" si="51"/>
        <v>-444</v>
      </c>
      <c r="AA62" s="245">
        <f t="shared" si="39"/>
        <v>-14.800000000000002</v>
      </c>
      <c r="AB62" s="136">
        <f>$X$62</f>
        <v>3000</v>
      </c>
      <c r="AC62" s="137">
        <v>681</v>
      </c>
      <c r="AD62" s="172">
        <f t="shared" si="52"/>
        <v>-2319</v>
      </c>
      <c r="AE62" s="245">
        <f t="shared" si="40"/>
        <v>-77.3</v>
      </c>
      <c r="AF62" s="137">
        <f t="shared" si="7"/>
        <v>18428.66</v>
      </c>
      <c r="AG62" s="137">
        <f t="shared" si="8"/>
        <v>3071.4433333333332</v>
      </c>
      <c r="AH62" s="137">
        <v>681</v>
      </c>
      <c r="AI62" s="137">
        <v>2556</v>
      </c>
      <c r="AJ62" s="172">
        <f t="shared" si="53"/>
        <v>1875</v>
      </c>
      <c r="AK62" s="245">
        <f t="shared" si="41"/>
        <v>275.3303964757709</v>
      </c>
      <c r="AL62" s="644">
        <f t="shared" si="47"/>
        <v>681</v>
      </c>
      <c r="AM62" s="137">
        <v>8884</v>
      </c>
      <c r="AN62" s="169">
        <f t="shared" si="54"/>
        <v>8203</v>
      </c>
      <c r="AO62" s="245">
        <f t="shared" si="42"/>
        <v>1204.5521292217327</v>
      </c>
      <c r="AP62" s="644">
        <f t="shared" si="55"/>
        <v>681</v>
      </c>
      <c r="AQ62" s="176">
        <v>10226</v>
      </c>
      <c r="AR62" s="169">
        <f t="shared" si="56"/>
        <v>9545</v>
      </c>
      <c r="AS62" s="245">
        <f t="shared" si="43"/>
        <v>1401.6152716593244</v>
      </c>
      <c r="AT62" s="137">
        <f t="shared" si="33"/>
        <v>681</v>
      </c>
      <c r="AU62" s="176">
        <v>9926</v>
      </c>
      <c r="AV62" s="169">
        <f t="shared" si="57"/>
        <v>9245</v>
      </c>
      <c r="AW62" s="245">
        <f t="shared" si="44"/>
        <v>1357.5624082232011</v>
      </c>
      <c r="AX62" s="137">
        <f t="shared" si="34"/>
        <v>681</v>
      </c>
      <c r="AY62" s="176">
        <v>11034</v>
      </c>
      <c r="AZ62" s="169">
        <f t="shared" si="58"/>
        <v>10353</v>
      </c>
      <c r="BA62" s="245">
        <f t="shared" si="45"/>
        <v>1520.2643171806167</v>
      </c>
      <c r="BB62" s="137">
        <f t="shared" si="35"/>
        <v>681</v>
      </c>
      <c r="BC62" s="176">
        <v>10524</v>
      </c>
      <c r="BD62" s="172">
        <f t="shared" si="59"/>
        <v>9843</v>
      </c>
      <c r="BE62" s="246">
        <f t="shared" si="46"/>
        <v>1445.3744493392071</v>
      </c>
      <c r="BF62" s="137">
        <f t="shared" si="15"/>
        <v>22514.66</v>
      </c>
      <c r="BG62" s="177">
        <f t="shared" si="32"/>
        <v>71578.66</v>
      </c>
      <c r="BH62" s="63"/>
    </row>
    <row r="63" spans="2:60" s="11" customFormat="1" x14ac:dyDescent="0.25">
      <c r="B63" s="170">
        <v>12204</v>
      </c>
      <c r="C63" s="135">
        <v>305</v>
      </c>
      <c r="D63" s="332" t="s">
        <v>177</v>
      </c>
      <c r="E63" s="341"/>
      <c r="F63" s="256">
        <v>0.03</v>
      </c>
      <c r="G63" s="619">
        <v>1900</v>
      </c>
      <c r="H63" s="212">
        <v>1990</v>
      </c>
      <c r="I63" s="137">
        <v>590.69000000000005</v>
      </c>
      <c r="J63" s="373">
        <f t="shared" si="30"/>
        <v>-1399.31</v>
      </c>
      <c r="K63" s="372">
        <f t="shared" si="31"/>
        <v>-70.31708542713568</v>
      </c>
      <c r="L63" s="136">
        <f>$H$63</f>
        <v>1990</v>
      </c>
      <c r="M63" s="137">
        <v>678.28</v>
      </c>
      <c r="N63" s="172">
        <f t="shared" si="48"/>
        <v>-1311.72</v>
      </c>
      <c r="O63" s="245">
        <f t="shared" si="36"/>
        <v>-65.915577889447235</v>
      </c>
      <c r="P63" s="136">
        <f>$H$63</f>
        <v>1990</v>
      </c>
      <c r="Q63" s="137">
        <v>491.7</v>
      </c>
      <c r="R63" s="172">
        <f t="shared" si="49"/>
        <v>-1498.3</v>
      </c>
      <c r="S63" s="245">
        <f t="shared" si="37"/>
        <v>-75.291457286432163</v>
      </c>
      <c r="T63" s="136">
        <f>$H$63</f>
        <v>1990</v>
      </c>
      <c r="U63" s="137">
        <v>563.17999999999995</v>
      </c>
      <c r="V63" s="172">
        <f t="shared" si="50"/>
        <v>-1426.8200000000002</v>
      </c>
      <c r="W63" s="245">
        <f t="shared" si="38"/>
        <v>-71.699497487437185</v>
      </c>
      <c r="X63" s="136">
        <f>$H$63</f>
        <v>1990</v>
      </c>
      <c r="Y63" s="137">
        <v>513.22</v>
      </c>
      <c r="Z63" s="172">
        <f t="shared" si="51"/>
        <v>-1476.78</v>
      </c>
      <c r="AA63" s="245">
        <f t="shared" si="39"/>
        <v>-74.210050251256291</v>
      </c>
      <c r="AB63" s="136">
        <f>$H$63</f>
        <v>1990</v>
      </c>
      <c r="AC63" s="137">
        <v>469.25</v>
      </c>
      <c r="AD63" s="172">
        <f t="shared" si="52"/>
        <v>-1520.75</v>
      </c>
      <c r="AE63" s="245">
        <f t="shared" si="40"/>
        <v>-76.41959798994975</v>
      </c>
      <c r="AF63" s="137">
        <f t="shared" si="7"/>
        <v>3306.3199999999997</v>
      </c>
      <c r="AG63" s="137">
        <f t="shared" si="8"/>
        <v>551.05333333333328</v>
      </c>
      <c r="AH63" s="137">
        <v>469.25</v>
      </c>
      <c r="AI63" s="137">
        <v>850.97</v>
      </c>
      <c r="AJ63" s="172">
        <f t="shared" si="53"/>
        <v>381.72</v>
      </c>
      <c r="AK63" s="245">
        <f t="shared" si="41"/>
        <v>81.34683004794887</v>
      </c>
      <c r="AL63" s="644">
        <f t="shared" si="47"/>
        <v>469.25</v>
      </c>
      <c r="AM63" s="137">
        <v>2740.48</v>
      </c>
      <c r="AN63" s="169">
        <f t="shared" si="54"/>
        <v>2271.23</v>
      </c>
      <c r="AO63" s="245">
        <f t="shared" si="42"/>
        <v>484.01278636121469</v>
      </c>
      <c r="AP63" s="644">
        <f t="shared" si="55"/>
        <v>469.25</v>
      </c>
      <c r="AQ63" s="176">
        <v>1362.17</v>
      </c>
      <c r="AR63" s="169">
        <f t="shared" si="56"/>
        <v>892.92000000000007</v>
      </c>
      <c r="AS63" s="245">
        <f t="shared" si="43"/>
        <v>190.28662759722965</v>
      </c>
      <c r="AT63" s="136">
        <f t="shared" si="33"/>
        <v>469.25</v>
      </c>
      <c r="AU63" s="176">
        <v>717.58</v>
      </c>
      <c r="AV63" s="169">
        <f t="shared" si="57"/>
        <v>248.33000000000004</v>
      </c>
      <c r="AW63" s="245">
        <f t="shared" si="44"/>
        <v>52.920618007458707</v>
      </c>
      <c r="AX63" s="136">
        <f t="shared" si="34"/>
        <v>469.25</v>
      </c>
      <c r="AY63" s="176">
        <v>1214.04</v>
      </c>
      <c r="AZ63" s="169">
        <f t="shared" si="58"/>
        <v>744.79</v>
      </c>
      <c r="BA63" s="245">
        <f t="shared" si="45"/>
        <v>158.71923281832713</v>
      </c>
      <c r="BB63" s="136">
        <f t="shared" si="35"/>
        <v>469.25</v>
      </c>
      <c r="BC63" s="176">
        <v>2468.2399999999998</v>
      </c>
      <c r="BD63" s="172">
        <f t="shared" si="59"/>
        <v>1998.9899999999998</v>
      </c>
      <c r="BE63" s="246">
        <f t="shared" si="46"/>
        <v>425.99680340969621</v>
      </c>
      <c r="BF63" s="136">
        <f t="shared" si="15"/>
        <v>6121.82</v>
      </c>
      <c r="BG63" s="177">
        <f t="shared" si="32"/>
        <v>12659.800000000001</v>
      </c>
      <c r="BH63" s="63"/>
    </row>
    <row r="64" spans="2:60" s="11" customFormat="1" x14ac:dyDescent="0.25">
      <c r="B64" s="170">
        <v>11652</v>
      </c>
      <c r="C64" s="135">
        <v>165</v>
      </c>
      <c r="D64" s="332" t="s">
        <v>178</v>
      </c>
      <c r="E64" s="341"/>
      <c r="F64" s="256"/>
      <c r="G64" s="619">
        <v>4000</v>
      </c>
      <c r="H64" s="212">
        <f>F64*G64+G64</f>
        <v>4000</v>
      </c>
      <c r="I64" s="137">
        <v>4000</v>
      </c>
      <c r="J64" s="373">
        <f t="shared" si="30"/>
        <v>0</v>
      </c>
      <c r="K64" s="372">
        <f t="shared" si="31"/>
        <v>0</v>
      </c>
      <c r="L64" s="136">
        <f>$H$64</f>
        <v>4000</v>
      </c>
      <c r="M64" s="137">
        <v>4066</v>
      </c>
      <c r="N64" s="172">
        <f t="shared" si="48"/>
        <v>66</v>
      </c>
      <c r="O64" s="245">
        <f t="shared" si="36"/>
        <v>1.6499999999999959</v>
      </c>
      <c r="P64" s="136">
        <f>$H$64</f>
        <v>4000</v>
      </c>
      <c r="Q64" s="137">
        <v>4700</v>
      </c>
      <c r="R64" s="172">
        <f t="shared" si="49"/>
        <v>700</v>
      </c>
      <c r="S64" s="245">
        <f t="shared" si="37"/>
        <v>17.500000000000004</v>
      </c>
      <c r="T64" s="136">
        <f>$H$64</f>
        <v>4000</v>
      </c>
      <c r="U64" s="137">
        <v>3359.44</v>
      </c>
      <c r="V64" s="172">
        <f t="shared" si="50"/>
        <v>-640.55999999999995</v>
      </c>
      <c r="W64" s="245">
        <f t="shared" si="38"/>
        <v>-16.013999999999996</v>
      </c>
      <c r="X64" s="136">
        <f>$H$64</f>
        <v>4000</v>
      </c>
      <c r="Y64" s="137">
        <v>7984.94</v>
      </c>
      <c r="Z64" s="172">
        <f t="shared" si="51"/>
        <v>3984.9399999999996</v>
      </c>
      <c r="AA64" s="245">
        <f t="shared" si="39"/>
        <v>99.623499999999993</v>
      </c>
      <c r="AB64" s="136">
        <f>$H$64</f>
        <v>4000</v>
      </c>
      <c r="AC64" s="137">
        <v>5000</v>
      </c>
      <c r="AD64" s="172">
        <f t="shared" si="52"/>
        <v>1000</v>
      </c>
      <c r="AE64" s="245">
        <f t="shared" si="40"/>
        <v>25</v>
      </c>
      <c r="AF64" s="137">
        <f t="shared" si="7"/>
        <v>29110.38</v>
      </c>
      <c r="AG64" s="137">
        <f t="shared" si="8"/>
        <v>4851.7300000000005</v>
      </c>
      <c r="AH64" s="137">
        <v>5000</v>
      </c>
      <c r="AI64" s="137">
        <v>264.95999999999998</v>
      </c>
      <c r="AJ64" s="172">
        <f t="shared" si="53"/>
        <v>-4735.04</v>
      </c>
      <c r="AK64" s="245">
        <f t="shared" si="41"/>
        <v>-94.700800000000001</v>
      </c>
      <c r="AL64" s="644">
        <f t="shared" si="47"/>
        <v>5000</v>
      </c>
      <c r="AM64" s="137">
        <v>5252.32</v>
      </c>
      <c r="AN64" s="169">
        <f t="shared" si="54"/>
        <v>252.31999999999971</v>
      </c>
      <c r="AO64" s="245">
        <f t="shared" si="42"/>
        <v>5.0463999999999842</v>
      </c>
      <c r="AP64" s="644">
        <f t="shared" si="55"/>
        <v>5000</v>
      </c>
      <c r="AQ64" s="176">
        <v>5362.48</v>
      </c>
      <c r="AR64" s="169">
        <f t="shared" si="56"/>
        <v>362.47999999999956</v>
      </c>
      <c r="AS64" s="245">
        <f t="shared" si="43"/>
        <v>7.2495999999999894</v>
      </c>
      <c r="AT64" s="136">
        <f t="shared" si="33"/>
        <v>5000</v>
      </c>
      <c r="AU64" s="176">
        <v>6349.45</v>
      </c>
      <c r="AV64" s="169">
        <f t="shared" si="57"/>
        <v>1349.4499999999998</v>
      </c>
      <c r="AW64" s="245">
        <f t="shared" si="44"/>
        <v>26.988999999999997</v>
      </c>
      <c r="AX64" s="136">
        <f t="shared" si="34"/>
        <v>5000</v>
      </c>
      <c r="AY64" s="176">
        <v>5474.26</v>
      </c>
      <c r="AZ64" s="169">
        <f t="shared" si="58"/>
        <v>474.26000000000022</v>
      </c>
      <c r="BA64" s="245">
        <f t="shared" si="45"/>
        <v>9.4851999999999936</v>
      </c>
      <c r="BB64" s="136">
        <f t="shared" si="35"/>
        <v>5000</v>
      </c>
      <c r="BC64" s="176">
        <v>5592.32</v>
      </c>
      <c r="BD64" s="172">
        <f t="shared" si="59"/>
        <v>592.31999999999971</v>
      </c>
      <c r="BE64" s="246">
        <f t="shared" si="46"/>
        <v>11.84639999999999</v>
      </c>
      <c r="BF64" s="136">
        <f t="shared" si="15"/>
        <v>59110.380000000005</v>
      </c>
      <c r="BG64" s="177">
        <f t="shared" si="32"/>
        <v>57406.17</v>
      </c>
      <c r="BH64" s="63"/>
    </row>
    <row r="65" spans="1:62" s="11" customFormat="1" ht="47.25" x14ac:dyDescent="0.25">
      <c r="B65" s="170" t="s">
        <v>136</v>
      </c>
      <c r="C65" s="135" t="s">
        <v>35</v>
      </c>
      <c r="D65" s="332" t="s">
        <v>36</v>
      </c>
      <c r="E65" s="341"/>
      <c r="F65" s="256">
        <v>0.03</v>
      </c>
      <c r="G65" s="619">
        <v>1100</v>
      </c>
      <c r="H65" s="212">
        <v>1100</v>
      </c>
      <c r="I65" s="137">
        <f>5711.08+210</f>
        <v>5921.08</v>
      </c>
      <c r="J65" s="373">
        <f t="shared" si="30"/>
        <v>4821.08</v>
      </c>
      <c r="K65" s="372">
        <f t="shared" si="31"/>
        <v>438.28</v>
      </c>
      <c r="L65" s="136">
        <f>$H$65</f>
        <v>1100</v>
      </c>
      <c r="M65" s="137">
        <f>0+8413.64+218.54+0+0</f>
        <v>8632.18</v>
      </c>
      <c r="N65" s="172">
        <f t="shared" si="48"/>
        <v>7532.18</v>
      </c>
      <c r="O65" s="245">
        <f t="shared" si="36"/>
        <v>684.74363636363637</v>
      </c>
      <c r="P65" s="136">
        <f>$H$65</f>
        <v>1100</v>
      </c>
      <c r="Q65" s="137">
        <f>0+3223.93+0</f>
        <v>3223.93</v>
      </c>
      <c r="R65" s="172">
        <f t="shared" si="49"/>
        <v>2123.9299999999998</v>
      </c>
      <c r="S65" s="245">
        <f t="shared" si="37"/>
        <v>193.08454545454543</v>
      </c>
      <c r="T65" s="136">
        <f>$H$65</f>
        <v>1100</v>
      </c>
      <c r="U65" s="137">
        <f>0+6774.89+0+0+0</f>
        <v>6774.89</v>
      </c>
      <c r="V65" s="172">
        <f t="shared" si="50"/>
        <v>5674.89</v>
      </c>
      <c r="W65" s="245">
        <f t="shared" si="38"/>
        <v>515.89909090909089</v>
      </c>
      <c r="X65" s="136">
        <f>$H$65</f>
        <v>1100</v>
      </c>
      <c r="Y65" s="137">
        <f>0+10759.74+1241.37+0+0</f>
        <v>12001.11</v>
      </c>
      <c r="Z65" s="172">
        <f t="shared" si="51"/>
        <v>10901.11</v>
      </c>
      <c r="AA65" s="245">
        <f t="shared" si="39"/>
        <v>991.01</v>
      </c>
      <c r="AB65" s="136">
        <f>$H$65</f>
        <v>1100</v>
      </c>
      <c r="AC65" s="137">
        <f>8676.26+360</f>
        <v>9036.26</v>
      </c>
      <c r="AD65" s="172">
        <f t="shared" si="52"/>
        <v>7936.26</v>
      </c>
      <c r="AE65" s="245">
        <f t="shared" si="40"/>
        <v>721.47818181818172</v>
      </c>
      <c r="AF65" s="137">
        <f t="shared" si="7"/>
        <v>45589.450000000004</v>
      </c>
      <c r="AG65" s="137">
        <f t="shared" si="8"/>
        <v>7598.2416666666677</v>
      </c>
      <c r="AH65" s="137">
        <f>8676.26+360</f>
        <v>9036.26</v>
      </c>
      <c r="AI65" s="137">
        <f>5205.38+70</f>
        <v>5275.38</v>
      </c>
      <c r="AJ65" s="172">
        <f t="shared" si="53"/>
        <v>-3760.88</v>
      </c>
      <c r="AK65" s="245">
        <f t="shared" si="41"/>
        <v>-41.619873708813159</v>
      </c>
      <c r="AL65" s="644">
        <f t="shared" si="47"/>
        <v>9036.26</v>
      </c>
      <c r="AM65" s="137">
        <f>2565.26+500</f>
        <v>3065.26</v>
      </c>
      <c r="AN65" s="169">
        <f t="shared" si="54"/>
        <v>-5971</v>
      </c>
      <c r="AO65" s="245">
        <f t="shared" si="42"/>
        <v>-66.078222627502967</v>
      </c>
      <c r="AP65" s="644">
        <f t="shared" si="55"/>
        <v>9036.26</v>
      </c>
      <c r="AQ65" s="176">
        <f>0+9234.19+1100+0</f>
        <v>10334.19</v>
      </c>
      <c r="AR65" s="169">
        <f t="shared" si="56"/>
        <v>1297.9300000000003</v>
      </c>
      <c r="AS65" s="245">
        <f t="shared" si="43"/>
        <v>14.363575195932832</v>
      </c>
      <c r="AT65" s="136">
        <f t="shared" si="33"/>
        <v>9036.26</v>
      </c>
      <c r="AU65" s="176">
        <f>0+7204.19+734.08+0+0</f>
        <v>7938.2699999999995</v>
      </c>
      <c r="AV65" s="169">
        <f t="shared" si="57"/>
        <v>-1097.9900000000007</v>
      </c>
      <c r="AW65" s="245">
        <f t="shared" si="44"/>
        <v>-12.150934125401447</v>
      </c>
      <c r="AX65" s="136">
        <f t="shared" si="34"/>
        <v>9036.26</v>
      </c>
      <c r="AY65" s="176">
        <f>0+1705.72+0+0+0</f>
        <v>1705.72</v>
      </c>
      <c r="AZ65" s="169">
        <f t="shared" si="58"/>
        <v>-7330.54</v>
      </c>
      <c r="BA65" s="245">
        <f t="shared" si="45"/>
        <v>-81.123606447800299</v>
      </c>
      <c r="BB65" s="136">
        <f t="shared" si="35"/>
        <v>9036.26</v>
      </c>
      <c r="BC65" s="176">
        <f>0+1462.51+0+0+0</f>
        <v>1462.51</v>
      </c>
      <c r="BD65" s="172">
        <f t="shared" si="59"/>
        <v>-7573.75</v>
      </c>
      <c r="BE65" s="246">
        <f t="shared" si="46"/>
        <v>-83.815096068506207</v>
      </c>
      <c r="BF65" s="136">
        <f t="shared" si="15"/>
        <v>99807.01</v>
      </c>
      <c r="BG65" s="177">
        <f t="shared" si="32"/>
        <v>75370.78</v>
      </c>
      <c r="BH65" s="63"/>
    </row>
    <row r="66" spans="1:62" s="11" customFormat="1" x14ac:dyDescent="0.25">
      <c r="B66" s="170" t="s">
        <v>37</v>
      </c>
      <c r="C66" s="135" t="s">
        <v>38</v>
      </c>
      <c r="D66" s="332" t="s">
        <v>39</v>
      </c>
      <c r="E66" s="341"/>
      <c r="F66" s="256">
        <v>0.03</v>
      </c>
      <c r="G66" s="619">
        <v>2900</v>
      </c>
      <c r="H66" s="212">
        <v>2900</v>
      </c>
      <c r="I66" s="137">
        <f>2691.96+341.38</f>
        <v>3033.34</v>
      </c>
      <c r="J66" s="373">
        <f t="shared" si="30"/>
        <v>133.34000000000015</v>
      </c>
      <c r="K66" s="372">
        <f t="shared" si="31"/>
        <v>4.5979310344827606</v>
      </c>
      <c r="L66" s="136">
        <f>$H$66</f>
        <v>2900</v>
      </c>
      <c r="M66" s="137">
        <f>2691.96+341.38</f>
        <v>3033.34</v>
      </c>
      <c r="N66" s="172">
        <f t="shared" si="48"/>
        <v>133.34000000000015</v>
      </c>
      <c r="O66" s="245">
        <f t="shared" si="36"/>
        <v>4.5979310344827606</v>
      </c>
      <c r="P66" s="136">
        <f>$H$66</f>
        <v>2900</v>
      </c>
      <c r="Q66" s="137">
        <f>2691.96+315.2</f>
        <v>3007.16</v>
      </c>
      <c r="R66" s="172">
        <f t="shared" si="49"/>
        <v>107.15999999999985</v>
      </c>
      <c r="S66" s="245">
        <f t="shared" si="37"/>
        <v>3.6951724137930908</v>
      </c>
      <c r="T66" s="136">
        <f>$H$66</f>
        <v>2900</v>
      </c>
      <c r="U66" s="137">
        <f>2913.46+370.12</f>
        <v>3283.58</v>
      </c>
      <c r="V66" s="172">
        <f t="shared" si="50"/>
        <v>383.57999999999993</v>
      </c>
      <c r="W66" s="245">
        <f t="shared" si="38"/>
        <v>13.226896551724131</v>
      </c>
      <c r="X66" s="136">
        <f>$H$66</f>
        <v>2900</v>
      </c>
      <c r="Y66" s="137">
        <f>2913.47+322.58</f>
        <v>3236.0499999999997</v>
      </c>
      <c r="Z66" s="172">
        <f t="shared" si="51"/>
        <v>336.04999999999973</v>
      </c>
      <c r="AA66" s="245">
        <f t="shared" si="39"/>
        <v>11.587931034482747</v>
      </c>
      <c r="AB66" s="136">
        <f>$H$66</f>
        <v>2900</v>
      </c>
      <c r="AC66" s="137">
        <f>3247.97+320.66</f>
        <v>3568.6299999999997</v>
      </c>
      <c r="AD66" s="172">
        <f t="shared" si="52"/>
        <v>668.62999999999965</v>
      </c>
      <c r="AE66" s="245">
        <f t="shared" si="40"/>
        <v>23.056206896551721</v>
      </c>
      <c r="AF66" s="137">
        <f t="shared" si="7"/>
        <v>19162.099999999999</v>
      </c>
      <c r="AG66" s="137">
        <f t="shared" si="8"/>
        <v>3193.6833333333329</v>
      </c>
      <c r="AH66" s="137">
        <f>3247.97+320.66</f>
        <v>3568.6299999999997</v>
      </c>
      <c r="AI66" s="137">
        <f>3415.07+124.37</f>
        <v>3539.44</v>
      </c>
      <c r="AJ66" s="172">
        <f t="shared" si="53"/>
        <v>-29.1899999999996</v>
      </c>
      <c r="AK66" s="245">
        <f t="shared" si="41"/>
        <v>-0.8179609542037003</v>
      </c>
      <c r="AL66" s="644">
        <f t="shared" si="47"/>
        <v>3568.6299999999997</v>
      </c>
      <c r="AM66" s="137">
        <f>3206.52+48.4</f>
        <v>3254.92</v>
      </c>
      <c r="AN66" s="169">
        <f t="shared" si="54"/>
        <v>-313.70999999999958</v>
      </c>
      <c r="AO66" s="245">
        <f t="shared" si="42"/>
        <v>-8.7907684461543951</v>
      </c>
      <c r="AP66" s="644">
        <f t="shared" si="55"/>
        <v>3568.6299999999997</v>
      </c>
      <c r="AQ66" s="176">
        <f>3206.52+70.24</f>
        <v>3276.7599999999998</v>
      </c>
      <c r="AR66" s="169">
        <f t="shared" si="56"/>
        <v>-291.86999999999989</v>
      </c>
      <c r="AS66" s="245">
        <f t="shared" si="43"/>
        <v>-8.1787688832969501</v>
      </c>
      <c r="AT66" s="136">
        <f t="shared" si="33"/>
        <v>3568.6299999999997</v>
      </c>
      <c r="AU66" s="176">
        <f>2668.97+13.64</f>
        <v>2682.6099999999997</v>
      </c>
      <c r="AV66" s="169">
        <f t="shared" si="57"/>
        <v>-886.02</v>
      </c>
      <c r="AW66" s="245">
        <f t="shared" si="44"/>
        <v>-24.828015232736377</v>
      </c>
      <c r="AX66" s="136">
        <f t="shared" si="34"/>
        <v>3568.6299999999997</v>
      </c>
      <c r="AY66" s="176">
        <f>2795+48.4</f>
        <v>2843.4</v>
      </c>
      <c r="AZ66" s="169">
        <f t="shared" si="58"/>
        <v>-725.22999999999956</v>
      </c>
      <c r="BA66" s="245">
        <f t="shared" si="45"/>
        <v>-20.322364604904397</v>
      </c>
      <c r="BB66" s="136">
        <f t="shared" si="35"/>
        <v>3568.6299999999997</v>
      </c>
      <c r="BC66" s="176">
        <f>2777.83+105</f>
        <v>2882.83</v>
      </c>
      <c r="BD66" s="172">
        <f t="shared" si="59"/>
        <v>-685.79999999999973</v>
      </c>
      <c r="BE66" s="246">
        <f t="shared" si="46"/>
        <v>-19.217458800716237</v>
      </c>
      <c r="BF66" s="136">
        <f t="shared" si="15"/>
        <v>40573.879999999997</v>
      </c>
      <c r="BG66" s="177">
        <f t="shared" si="32"/>
        <v>37642.06</v>
      </c>
      <c r="BH66" s="63"/>
    </row>
    <row r="67" spans="1:62" s="11" customFormat="1" x14ac:dyDescent="0.25">
      <c r="B67" s="645">
        <v>11634</v>
      </c>
      <c r="C67" s="135">
        <v>312</v>
      </c>
      <c r="D67" s="646" t="s">
        <v>40</v>
      </c>
      <c r="E67" s="341"/>
      <c r="F67" s="256">
        <v>0.03</v>
      </c>
      <c r="G67" s="619">
        <v>23200</v>
      </c>
      <c r="H67" s="212">
        <v>23200</v>
      </c>
      <c r="I67" s="137">
        <f>30795.13</f>
        <v>30795.13</v>
      </c>
      <c r="J67" s="373">
        <f t="shared" si="30"/>
        <v>7595.130000000001</v>
      </c>
      <c r="K67" s="372">
        <f t="shared" si="31"/>
        <v>32.737629310344829</v>
      </c>
      <c r="L67" s="136">
        <f>$H$67</f>
        <v>23200</v>
      </c>
      <c r="M67" s="137">
        <v>21360.880000000001</v>
      </c>
      <c r="N67" s="172">
        <f t="shared" si="48"/>
        <v>-1839.119999999999</v>
      </c>
      <c r="O67" s="245">
        <f t="shared" si="36"/>
        <v>-7.9272413793103453</v>
      </c>
      <c r="P67" s="136">
        <f>$H$67</f>
        <v>23200</v>
      </c>
      <c r="Q67" s="137">
        <f>46717.11</f>
        <v>46717.11</v>
      </c>
      <c r="R67" s="172">
        <f t="shared" si="49"/>
        <v>23517.11</v>
      </c>
      <c r="S67" s="245">
        <f t="shared" si="37"/>
        <v>101.36685344827585</v>
      </c>
      <c r="T67" s="136">
        <f>$H$67</f>
        <v>23200</v>
      </c>
      <c r="U67" s="137">
        <v>28441.14</v>
      </c>
      <c r="V67" s="172">
        <f t="shared" si="50"/>
        <v>5241.1399999999994</v>
      </c>
      <c r="W67" s="245">
        <f t="shared" si="38"/>
        <v>22.591120689655163</v>
      </c>
      <c r="X67" s="136">
        <f>$H$67</f>
        <v>23200</v>
      </c>
      <c r="Y67" s="137">
        <v>27532.68</v>
      </c>
      <c r="Z67" s="172">
        <f t="shared" si="51"/>
        <v>4332.68</v>
      </c>
      <c r="AA67" s="245">
        <f t="shared" si="39"/>
        <v>18.675344827586216</v>
      </c>
      <c r="AB67" s="136">
        <f>$H$67</f>
        <v>23200</v>
      </c>
      <c r="AC67" s="137">
        <f>28733.24</f>
        <v>28733.24</v>
      </c>
      <c r="AD67" s="172">
        <f t="shared" si="52"/>
        <v>5533.2400000000016</v>
      </c>
      <c r="AE67" s="245">
        <f t="shared" si="40"/>
        <v>23.850172413793103</v>
      </c>
      <c r="AF67" s="137">
        <f t="shared" si="7"/>
        <v>183580.18</v>
      </c>
      <c r="AG67" s="137">
        <f t="shared" si="8"/>
        <v>30596.696666666667</v>
      </c>
      <c r="AH67" s="137">
        <f>28733.24</f>
        <v>28733.24</v>
      </c>
      <c r="AI67" s="137">
        <v>35462.67</v>
      </c>
      <c r="AJ67" s="172">
        <f t="shared" si="53"/>
        <v>6729.4299999999967</v>
      </c>
      <c r="AK67" s="245">
        <f t="shared" si="41"/>
        <v>23.420366098636958</v>
      </c>
      <c r="AL67" s="644">
        <f t="shared" si="47"/>
        <v>28733.24</v>
      </c>
      <c r="AM67" s="137">
        <v>44420.27</v>
      </c>
      <c r="AN67" s="169">
        <f t="shared" si="54"/>
        <v>15687.029999999995</v>
      </c>
      <c r="AO67" s="245">
        <f t="shared" si="42"/>
        <v>54.595409358638271</v>
      </c>
      <c r="AP67" s="644">
        <v>0</v>
      </c>
      <c r="AQ67" s="176">
        <v>0</v>
      </c>
      <c r="AR67" s="169">
        <f t="shared" si="56"/>
        <v>0</v>
      </c>
      <c r="AS67" s="245">
        <v>0</v>
      </c>
      <c r="AT67" s="136">
        <f t="shared" si="33"/>
        <v>0</v>
      </c>
      <c r="AU67" s="176">
        <v>0</v>
      </c>
      <c r="AV67" s="169">
        <f t="shared" si="57"/>
        <v>0</v>
      </c>
      <c r="AW67" s="245">
        <v>0</v>
      </c>
      <c r="AX67" s="136">
        <f t="shared" si="34"/>
        <v>0</v>
      </c>
      <c r="AY67" s="176">
        <v>0</v>
      </c>
      <c r="AZ67" s="169">
        <f t="shared" si="58"/>
        <v>0</v>
      </c>
      <c r="BA67" s="245">
        <v>0</v>
      </c>
      <c r="BB67" s="136">
        <f t="shared" si="35"/>
        <v>0</v>
      </c>
      <c r="BC67" s="176">
        <v>0</v>
      </c>
      <c r="BD67" s="172">
        <f t="shared" si="59"/>
        <v>0</v>
      </c>
      <c r="BE67" s="246">
        <v>0</v>
      </c>
      <c r="BF67" s="136">
        <f>AF67+AH67+AL67+AP67+AT67+AX67+BB67</f>
        <v>241046.65999999997</v>
      </c>
      <c r="BG67" s="177">
        <f>SUM(I67+M67+Q67+U67+Y67+AC67+AI67+AM67+AQ67+AU67+AY67+BC67)</f>
        <v>263463.12</v>
      </c>
      <c r="BH67" s="63"/>
    </row>
    <row r="68" spans="1:62" s="11" customFormat="1" ht="31.5" x14ac:dyDescent="0.25">
      <c r="B68" s="170" t="s">
        <v>41</v>
      </c>
      <c r="C68" s="135" t="s">
        <v>42</v>
      </c>
      <c r="D68" s="332" t="s">
        <v>43</v>
      </c>
      <c r="E68" s="341"/>
      <c r="F68" s="256">
        <v>0.03</v>
      </c>
      <c r="G68" s="619">
        <v>1432.5516666666665</v>
      </c>
      <c r="H68" s="212">
        <v>1540</v>
      </c>
      <c r="I68" s="137">
        <f>2454+611.51+280.36</f>
        <v>3345.8700000000003</v>
      </c>
      <c r="J68" s="373">
        <f t="shared" si="30"/>
        <v>1805.8700000000003</v>
      </c>
      <c r="K68" s="372">
        <f t="shared" si="31"/>
        <v>117.26428571428573</v>
      </c>
      <c r="L68" s="136">
        <f>$H$68</f>
        <v>1540</v>
      </c>
      <c r="M68" s="137">
        <f>213.58+611.51+0+0</f>
        <v>825.09</v>
      </c>
      <c r="N68" s="172">
        <f t="shared" si="48"/>
        <v>-714.91</v>
      </c>
      <c r="O68" s="245">
        <f t="shared" si="36"/>
        <v>-46.422727272727272</v>
      </c>
      <c r="P68" s="136">
        <f>$H$68</f>
        <v>1540</v>
      </c>
      <c r="Q68" s="137">
        <f>3808.01+611.51+120.07</f>
        <v>4539.59</v>
      </c>
      <c r="R68" s="172">
        <f t="shared" si="49"/>
        <v>2999.59</v>
      </c>
      <c r="S68" s="245">
        <f t="shared" si="37"/>
        <v>194.77857142857141</v>
      </c>
      <c r="T68" s="136">
        <f>$H$68</f>
        <v>1540</v>
      </c>
      <c r="U68" s="137">
        <f>200+793.78+0+260.32+1263.18</f>
        <v>2517.2799999999997</v>
      </c>
      <c r="V68" s="172">
        <f t="shared" si="50"/>
        <v>977.27999999999975</v>
      </c>
      <c r="W68" s="245">
        <f t="shared" si="38"/>
        <v>63.459740259740236</v>
      </c>
      <c r="X68" s="136">
        <f>$H$68</f>
        <v>1540</v>
      </c>
      <c r="Y68" s="137">
        <f>0+970.65+0+0</f>
        <v>970.65</v>
      </c>
      <c r="Z68" s="172">
        <f t="shared" si="51"/>
        <v>-569.35</v>
      </c>
      <c r="AA68" s="245">
        <f t="shared" si="39"/>
        <v>-36.970779220779228</v>
      </c>
      <c r="AB68" s="136">
        <f>$H$68</f>
        <v>1540</v>
      </c>
      <c r="AC68" s="137">
        <f>878.5+935.65+204.45+260.32</f>
        <v>2278.92</v>
      </c>
      <c r="AD68" s="172">
        <f t="shared" si="52"/>
        <v>738.92000000000007</v>
      </c>
      <c r="AE68" s="245">
        <f t="shared" si="40"/>
        <v>47.981818181818191</v>
      </c>
      <c r="AF68" s="137">
        <f t="shared" si="7"/>
        <v>14477.399999999998</v>
      </c>
      <c r="AG68" s="137">
        <f t="shared" si="8"/>
        <v>2412.8999999999996</v>
      </c>
      <c r="AH68" s="137">
        <f>878.5+935.65+204.45+260.32</f>
        <v>2278.92</v>
      </c>
      <c r="AI68" s="137">
        <f>336.69+793.67+0+0</f>
        <v>1130.3599999999999</v>
      </c>
      <c r="AJ68" s="172">
        <f t="shared" si="53"/>
        <v>-1148.5600000000002</v>
      </c>
      <c r="AK68" s="245">
        <f t="shared" si="41"/>
        <v>-50.39931195478561</v>
      </c>
      <c r="AL68" s="644">
        <f t="shared" si="47"/>
        <v>2278.92</v>
      </c>
      <c r="AM68" s="137">
        <f>570+793.67+191.41+0</f>
        <v>1555.0800000000002</v>
      </c>
      <c r="AN68" s="169">
        <f t="shared" si="54"/>
        <v>-723.83999999999992</v>
      </c>
      <c r="AO68" s="245">
        <f t="shared" si="42"/>
        <v>-31.762413774946019</v>
      </c>
      <c r="AP68" s="644">
        <f t="shared" si="55"/>
        <v>2278.92</v>
      </c>
      <c r="AQ68" s="176">
        <f>2066+991.1+380+0</f>
        <v>3437.1</v>
      </c>
      <c r="AR68" s="169">
        <f t="shared" si="56"/>
        <v>1158.1799999999998</v>
      </c>
      <c r="AS68" s="245">
        <f t="shared" si="43"/>
        <v>50.821441735558935</v>
      </c>
      <c r="AT68" s="136">
        <f t="shared" si="33"/>
        <v>2278.92</v>
      </c>
      <c r="AU68" s="176">
        <f>280+596.2+0+260.31</f>
        <v>1136.51</v>
      </c>
      <c r="AV68" s="169">
        <f t="shared" si="57"/>
        <v>-1142.4100000000001</v>
      </c>
      <c r="AW68" s="245">
        <f t="shared" si="44"/>
        <v>-50.129447282045888</v>
      </c>
      <c r="AX68" s="136">
        <f t="shared" si="34"/>
        <v>2278.92</v>
      </c>
      <c r="AY68" s="176">
        <f>0+921.76+0+208.26</f>
        <v>1130.02</v>
      </c>
      <c r="AZ68" s="169">
        <f t="shared" si="58"/>
        <v>-1148.9000000000001</v>
      </c>
      <c r="BA68" s="245">
        <f t="shared" si="45"/>
        <v>-50.414231302546831</v>
      </c>
      <c r="BB68" s="136">
        <f t="shared" si="35"/>
        <v>2278.92</v>
      </c>
      <c r="BC68" s="176">
        <f>420+793.68+0+208.25</f>
        <v>1421.9299999999998</v>
      </c>
      <c r="BD68" s="172">
        <f t="shared" si="59"/>
        <v>-856.99000000000024</v>
      </c>
      <c r="BE68" s="246">
        <f t="shared" si="46"/>
        <v>-37.605093640847429</v>
      </c>
      <c r="BF68" s="136">
        <f t="shared" si="15"/>
        <v>28150.919999999991</v>
      </c>
      <c r="BG68" s="177">
        <f t="shared" si="32"/>
        <v>24288.399999999998</v>
      </c>
      <c r="BH68" s="63"/>
    </row>
    <row r="69" spans="1:62" s="11" customFormat="1" x14ac:dyDescent="0.25">
      <c r="B69" s="170">
        <v>12267</v>
      </c>
      <c r="C69" s="135">
        <v>290</v>
      </c>
      <c r="D69" s="332" t="s">
        <v>44</v>
      </c>
      <c r="E69" s="341"/>
      <c r="F69" s="256">
        <v>0.03</v>
      </c>
      <c r="G69" s="619">
        <v>9500</v>
      </c>
      <c r="H69" s="212">
        <v>9500</v>
      </c>
      <c r="I69" s="137">
        <v>15963.69</v>
      </c>
      <c r="J69" s="373">
        <f t="shared" si="30"/>
        <v>6463.6900000000005</v>
      </c>
      <c r="K69" s="372">
        <f t="shared" si="31"/>
        <v>68.038842105263171</v>
      </c>
      <c r="L69" s="136">
        <f>$H$69</f>
        <v>9500</v>
      </c>
      <c r="M69" s="137">
        <v>11532.28</v>
      </c>
      <c r="N69" s="172">
        <f t="shared" si="48"/>
        <v>2032.2800000000007</v>
      </c>
      <c r="O69" s="245">
        <f t="shared" si="36"/>
        <v>21.392421052631594</v>
      </c>
      <c r="P69" s="136">
        <f>$H$69</f>
        <v>9500</v>
      </c>
      <c r="Q69" s="137">
        <v>17307.18</v>
      </c>
      <c r="R69" s="172">
        <f t="shared" si="49"/>
        <v>7807.18</v>
      </c>
      <c r="S69" s="245">
        <f t="shared" si="37"/>
        <v>82.180842105263153</v>
      </c>
      <c r="T69" s="136">
        <f>$H$69</f>
        <v>9500</v>
      </c>
      <c r="U69" s="137">
        <v>6098.51</v>
      </c>
      <c r="V69" s="172">
        <f t="shared" si="50"/>
        <v>-3401.49</v>
      </c>
      <c r="W69" s="245">
        <f t="shared" si="38"/>
        <v>-35.805157894736837</v>
      </c>
      <c r="X69" s="136">
        <f>$H$69</f>
        <v>9500</v>
      </c>
      <c r="Y69" s="137">
        <v>6787.18</v>
      </c>
      <c r="Z69" s="172">
        <f t="shared" si="51"/>
        <v>-2712.8199999999997</v>
      </c>
      <c r="AA69" s="245">
        <f t="shared" si="39"/>
        <v>-28.555999999999994</v>
      </c>
      <c r="AB69" s="136">
        <f>$H$69</f>
        <v>9500</v>
      </c>
      <c r="AC69" s="137">
        <v>7327.18</v>
      </c>
      <c r="AD69" s="172">
        <f t="shared" si="52"/>
        <v>-2172.8199999999997</v>
      </c>
      <c r="AE69" s="245">
        <f t="shared" si="40"/>
        <v>-22.871789473684213</v>
      </c>
      <c r="AF69" s="137">
        <f t="shared" si="7"/>
        <v>65016.020000000004</v>
      </c>
      <c r="AG69" s="137">
        <f t="shared" si="8"/>
        <v>10836.003333333334</v>
      </c>
      <c r="AH69" s="137">
        <v>7327.18</v>
      </c>
      <c r="AI69" s="137">
        <v>8567.18</v>
      </c>
      <c r="AJ69" s="172">
        <f t="shared" si="53"/>
        <v>1240</v>
      </c>
      <c r="AK69" s="245">
        <f t="shared" si="41"/>
        <v>16.923291088795423</v>
      </c>
      <c r="AL69" s="644">
        <f t="shared" si="47"/>
        <v>7327.18</v>
      </c>
      <c r="AM69" s="137">
        <v>6967.18</v>
      </c>
      <c r="AN69" s="169">
        <f t="shared" si="54"/>
        <v>-360</v>
      </c>
      <c r="AO69" s="245">
        <f t="shared" si="42"/>
        <v>-4.9132135419083456</v>
      </c>
      <c r="AP69" s="644">
        <f t="shared" si="55"/>
        <v>7327.18</v>
      </c>
      <c r="AQ69" s="176">
        <v>8834.18</v>
      </c>
      <c r="AR69" s="169">
        <f t="shared" si="56"/>
        <v>1507</v>
      </c>
      <c r="AS69" s="245">
        <f t="shared" si="43"/>
        <v>20.567257799044114</v>
      </c>
      <c r="AT69" s="136">
        <f t="shared" si="33"/>
        <v>7327.18</v>
      </c>
      <c r="AU69" s="176">
        <v>687.18</v>
      </c>
      <c r="AV69" s="169">
        <f t="shared" si="57"/>
        <v>-6640</v>
      </c>
      <c r="AW69" s="245">
        <f t="shared" si="44"/>
        <v>-90.621494217420619</v>
      </c>
      <c r="AX69" s="136">
        <f t="shared" si="34"/>
        <v>7327.18</v>
      </c>
      <c r="AY69" s="176">
        <v>7620.6</v>
      </c>
      <c r="AZ69" s="169">
        <f t="shared" si="58"/>
        <v>293.42000000000007</v>
      </c>
      <c r="BA69" s="245">
        <f t="shared" si="45"/>
        <v>4.0045419929631842</v>
      </c>
      <c r="BB69" s="136">
        <f t="shared" si="35"/>
        <v>7327.18</v>
      </c>
      <c r="BC69" s="176">
        <v>7620.18</v>
      </c>
      <c r="BD69" s="172">
        <f t="shared" si="59"/>
        <v>293</v>
      </c>
      <c r="BE69" s="246">
        <f t="shared" si="46"/>
        <v>3.998809910497636</v>
      </c>
      <c r="BF69" s="136">
        <f t="shared" si="15"/>
        <v>108979.09999999998</v>
      </c>
      <c r="BG69" s="177">
        <f t="shared" si="32"/>
        <v>105312.51999999999</v>
      </c>
      <c r="BH69" s="63"/>
    </row>
    <row r="70" spans="1:62" s="11" customFormat="1" ht="16.5" thickBot="1" x14ac:dyDescent="0.3">
      <c r="B70" s="178" t="s">
        <v>45</v>
      </c>
      <c r="C70" s="179" t="s">
        <v>46</v>
      </c>
      <c r="D70" s="385" t="s">
        <v>47</v>
      </c>
      <c r="E70" s="343"/>
      <c r="F70" s="257">
        <v>0.03</v>
      </c>
      <c r="G70" s="647">
        <v>2100</v>
      </c>
      <c r="H70" s="214">
        <v>2100</v>
      </c>
      <c r="I70" s="182">
        <f>2279.39</f>
        <v>2279.39</v>
      </c>
      <c r="J70" s="648">
        <f t="shared" si="30"/>
        <v>179.38999999999987</v>
      </c>
      <c r="K70" s="649">
        <f t="shared" si="31"/>
        <v>8.542380952380956</v>
      </c>
      <c r="L70" s="181">
        <f>$H$70</f>
        <v>2100</v>
      </c>
      <c r="M70" s="182">
        <f>3469.72+0</f>
        <v>3469.72</v>
      </c>
      <c r="N70" s="650">
        <f t="shared" si="48"/>
        <v>1369.7199999999998</v>
      </c>
      <c r="O70" s="651">
        <f t="shared" si="36"/>
        <v>65.224761904761891</v>
      </c>
      <c r="P70" s="181">
        <f>$H$70</f>
        <v>2100</v>
      </c>
      <c r="Q70" s="182">
        <f>2365.35</f>
        <v>2365.35</v>
      </c>
      <c r="R70" s="650">
        <f t="shared" si="49"/>
        <v>265.34999999999991</v>
      </c>
      <c r="S70" s="651">
        <f t="shared" si="37"/>
        <v>12.635714285714283</v>
      </c>
      <c r="T70" s="181">
        <f>$H$70</f>
        <v>2100</v>
      </c>
      <c r="U70" s="182">
        <f>3451.39+0</f>
        <v>3451.39</v>
      </c>
      <c r="V70" s="650">
        <f t="shared" si="50"/>
        <v>1351.3899999999999</v>
      </c>
      <c r="W70" s="651">
        <f t="shared" si="38"/>
        <v>64.351904761904748</v>
      </c>
      <c r="X70" s="181">
        <f>$H$70</f>
        <v>2100</v>
      </c>
      <c r="Y70" s="182">
        <f>1172+0</f>
        <v>1172</v>
      </c>
      <c r="Z70" s="652">
        <f t="shared" si="51"/>
        <v>-928</v>
      </c>
      <c r="AA70" s="651">
        <f t="shared" si="39"/>
        <v>-44.19047619047619</v>
      </c>
      <c r="AB70" s="181">
        <f>$H$70</f>
        <v>2100</v>
      </c>
      <c r="AC70" s="182">
        <v>1193.3499999999999</v>
      </c>
      <c r="AD70" s="652">
        <f t="shared" si="52"/>
        <v>-906.65000000000009</v>
      </c>
      <c r="AE70" s="651">
        <f t="shared" si="40"/>
        <v>-43.173809523809524</v>
      </c>
      <c r="AF70" s="182">
        <f t="shared" si="7"/>
        <v>13931.199999999999</v>
      </c>
      <c r="AG70" s="182">
        <f t="shared" si="8"/>
        <v>2321.8666666666663</v>
      </c>
      <c r="AH70" s="182">
        <v>1193.3499999999999</v>
      </c>
      <c r="AI70" s="182">
        <f>4558.78</f>
        <v>4558.78</v>
      </c>
      <c r="AJ70" s="652">
        <f t="shared" si="53"/>
        <v>3365.43</v>
      </c>
      <c r="AK70" s="651">
        <f t="shared" si="41"/>
        <v>282.01533498135501</v>
      </c>
      <c r="AL70" s="182">
        <f t="shared" si="47"/>
        <v>1193.3499999999999</v>
      </c>
      <c r="AM70" s="182">
        <f>2279.39+1608.45</f>
        <v>3887.84</v>
      </c>
      <c r="AN70" s="652">
        <f t="shared" si="54"/>
        <v>2694.4900000000002</v>
      </c>
      <c r="AO70" s="651">
        <f t="shared" si="42"/>
        <v>225.79209787572805</v>
      </c>
      <c r="AP70" s="182">
        <f t="shared" si="55"/>
        <v>1193.3499999999999</v>
      </c>
      <c r="AQ70" s="183">
        <f>2279.39+1608.45</f>
        <v>3887.84</v>
      </c>
      <c r="AR70" s="230">
        <f t="shared" si="56"/>
        <v>2694.4900000000002</v>
      </c>
      <c r="AS70" s="651">
        <f t="shared" si="43"/>
        <v>225.79209787572805</v>
      </c>
      <c r="AT70" s="181">
        <f t="shared" si="33"/>
        <v>1193.3499999999999</v>
      </c>
      <c r="AU70" s="183">
        <f>2279.39+1608.45</f>
        <v>3887.84</v>
      </c>
      <c r="AV70" s="652">
        <f t="shared" si="57"/>
        <v>2694.4900000000002</v>
      </c>
      <c r="AW70" s="651">
        <f t="shared" si="44"/>
        <v>225.79209787572805</v>
      </c>
      <c r="AX70" s="181">
        <f t="shared" si="34"/>
        <v>1193.3499999999999</v>
      </c>
      <c r="AY70" s="183">
        <f>2374.15+1608.45</f>
        <v>3982.6000000000004</v>
      </c>
      <c r="AZ70" s="652">
        <f t="shared" si="58"/>
        <v>2789.2500000000005</v>
      </c>
      <c r="BA70" s="651">
        <f t="shared" si="45"/>
        <v>233.73276909540377</v>
      </c>
      <c r="BB70" s="181">
        <f t="shared" si="35"/>
        <v>1193.3499999999999</v>
      </c>
      <c r="BC70" s="183">
        <f>1172+1608.45</f>
        <v>2780.45</v>
      </c>
      <c r="BD70" s="652">
        <f t="shared" si="59"/>
        <v>1587.1</v>
      </c>
      <c r="BE70" s="653">
        <f t="shared" si="46"/>
        <v>132.99534922696611</v>
      </c>
      <c r="BF70" s="181">
        <f t="shared" si="15"/>
        <v>21091.299999999996</v>
      </c>
      <c r="BG70" s="184">
        <f t="shared" si="32"/>
        <v>36916.549999999996</v>
      </c>
      <c r="BH70" s="63"/>
    </row>
    <row r="71" spans="1:62" s="11" customFormat="1" ht="16.5" thickBot="1" x14ac:dyDescent="0.3">
      <c r="B71" s="161"/>
      <c r="D71" s="185"/>
      <c r="E71" s="185"/>
      <c r="F71" s="186"/>
      <c r="G71" s="333"/>
      <c r="H71" s="333"/>
      <c r="I71" s="146"/>
      <c r="J71" s="231"/>
      <c r="K71" s="232"/>
      <c r="L71" s="146"/>
      <c r="M71" s="146"/>
      <c r="N71" s="231"/>
      <c r="O71" s="146"/>
      <c r="P71" s="146"/>
      <c r="Q71" s="146"/>
      <c r="R71" s="231"/>
      <c r="S71" s="146"/>
      <c r="T71" s="146"/>
      <c r="U71" s="146"/>
      <c r="V71" s="231"/>
      <c r="W71" s="146"/>
      <c r="X71" s="146"/>
      <c r="Y71" s="146"/>
      <c r="Z71" s="231"/>
      <c r="AA71" s="146"/>
      <c r="AB71" s="146"/>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c r="AY71" s="146"/>
      <c r="AZ71" s="146"/>
      <c r="BA71" s="146"/>
      <c r="BB71" s="146"/>
      <c r="BC71" s="146"/>
      <c r="BD71" s="146"/>
      <c r="BE71" s="146"/>
      <c r="BF71" s="146"/>
      <c r="BG71" s="146"/>
      <c r="BH71" s="63"/>
    </row>
    <row r="72" spans="1:62" s="11" customFormat="1" ht="16.5" thickBot="1" x14ac:dyDescent="0.3">
      <c r="B72" s="187"/>
      <c r="C72" s="41"/>
      <c r="D72" s="330" t="s">
        <v>168</v>
      </c>
      <c r="E72" s="330"/>
      <c r="F72" s="50"/>
      <c r="G72" s="654">
        <f>SUM(G73:G104)</f>
        <v>4281967.4933333341</v>
      </c>
      <c r="H72" s="392">
        <f>SUM(H73:H104)</f>
        <v>4250440.3083333336</v>
      </c>
      <c r="I72" s="392">
        <f>SUM(I73:I104)</f>
        <v>4389675.8599999994</v>
      </c>
      <c r="J72" s="530">
        <f t="shared" ref="J72:J104" si="60">I72-H72</f>
        <v>139235.55166666582</v>
      </c>
      <c r="K72" s="533">
        <f>((I72/H72)-1)*100</f>
        <v>3.2757912490544383</v>
      </c>
      <c r="L72" s="534">
        <f>SUM(L73:L104)</f>
        <v>4260440.3083333336</v>
      </c>
      <c r="M72" s="392">
        <f>SUM(M73:M104)</f>
        <v>4348045.92</v>
      </c>
      <c r="N72" s="392">
        <f>M72-L72</f>
        <v>87605.611666666344</v>
      </c>
      <c r="O72" s="393">
        <f>((M72/L72)-1)*100</f>
        <v>2.0562572252288414</v>
      </c>
      <c r="P72" s="534">
        <f>SUM(P73:P104)</f>
        <v>4315440.3083333336</v>
      </c>
      <c r="Q72" s="392">
        <f>SUM(Q73:Q104)</f>
        <v>4547267.17</v>
      </c>
      <c r="R72" s="392">
        <f>Q72-P72</f>
        <v>231826.86166666634</v>
      </c>
      <c r="S72" s="393">
        <f>((Q72/P72)-1)*100</f>
        <v>5.3720326340511937</v>
      </c>
      <c r="T72" s="534">
        <f>SUM(T73:T104)</f>
        <v>4439040.3083333336</v>
      </c>
      <c r="U72" s="392">
        <f>SUM(U73:U106)</f>
        <v>4383810.589999998</v>
      </c>
      <c r="V72" s="392">
        <f>U72-T72</f>
        <v>-55229.718333335593</v>
      </c>
      <c r="W72" s="393">
        <f>((U72/T72)-1)*100</f>
        <v>-1.2441815008900403</v>
      </c>
      <c r="X72" s="534">
        <f>SUM(X73:X104)</f>
        <v>4449040.3083333336</v>
      </c>
      <c r="Y72" s="392">
        <f>SUM(Y73:Y106)</f>
        <v>4746284.9400000004</v>
      </c>
      <c r="Z72" s="392">
        <f>Y72-X72</f>
        <v>297244.63166666683</v>
      </c>
      <c r="AA72" s="393">
        <f>((Y72/X72)-1)*100</f>
        <v>6.6810954962558844</v>
      </c>
      <c r="AB72" s="534">
        <f>SUM(AB73:AB104)</f>
        <v>4459040.3083333336</v>
      </c>
      <c r="AC72" s="392">
        <f>SUM(AC73:AC107)</f>
        <v>4730015.209999999</v>
      </c>
      <c r="AD72" s="392">
        <f>AC72-AB72</f>
        <v>270974.90166666545</v>
      </c>
      <c r="AE72" s="394">
        <f>((AC72/AB72)-1)*100</f>
        <v>6.0769780699279741</v>
      </c>
      <c r="AF72" s="534">
        <f t="shared" ref="AF72:AF138" si="61">SUM(I72+M72+Q72+U72+Y72+AC72)</f>
        <v>27145099.689999998</v>
      </c>
      <c r="AG72" s="534">
        <f t="shared" ref="AG72:AG138" si="62">AF72/6</f>
        <v>4524183.2816666663</v>
      </c>
      <c r="AH72" s="534">
        <f>SUM(AH73:AH107)</f>
        <v>4568040.3716666671</v>
      </c>
      <c r="AI72" s="392">
        <f>SUM(AI73:AI107)</f>
        <v>5180257.7799999993</v>
      </c>
      <c r="AJ72" s="392">
        <f>AI72-AH72</f>
        <v>612217.40833333228</v>
      </c>
      <c r="AK72" s="393">
        <f>((AI72/AH72)-1)*100</f>
        <v>13.402189090328953</v>
      </c>
      <c r="AL72" s="534">
        <f>SUM(AL73:AL107)</f>
        <v>4722490.3716666671</v>
      </c>
      <c r="AM72" s="392">
        <f>SUM(AM73:AM107)</f>
        <v>5193896.46</v>
      </c>
      <c r="AN72" s="392">
        <f>AM72-AL72</f>
        <v>471406.08833333291</v>
      </c>
      <c r="AO72" s="393">
        <f>((AM72/AL72)-1)*100</f>
        <v>9.982150332409546</v>
      </c>
      <c r="AP72" s="395">
        <f>SUM(AP73:AP107)</f>
        <v>4554840.3716666671</v>
      </c>
      <c r="AQ72" s="396">
        <f>SUM(AQ73:AQ108)</f>
        <v>5152057.330000001</v>
      </c>
      <c r="AR72" s="392">
        <f>AQ72-AP72</f>
        <v>597216.95833333395</v>
      </c>
      <c r="AS72" s="393">
        <f>((AQ72/AP72)-1)*100</f>
        <v>13.111698975189444</v>
      </c>
      <c r="AT72" s="395">
        <f>SUM(AT73:AT107)</f>
        <v>4554840.3716666671</v>
      </c>
      <c r="AU72" s="396">
        <f>SUM(AU73:AU107)</f>
        <v>5548764.25</v>
      </c>
      <c r="AV72" s="392">
        <f>AU72-AT72</f>
        <v>993923.87833333295</v>
      </c>
      <c r="AW72" s="393">
        <f>((AU72/AT72)-1)*100</f>
        <v>21.821266987006283</v>
      </c>
      <c r="AX72" s="395">
        <f>SUM(AX73:AX107)</f>
        <v>4554840.3716666671</v>
      </c>
      <c r="AY72" s="396">
        <f>SUM(AY73:AY108)</f>
        <v>5299959.3800000008</v>
      </c>
      <c r="AZ72" s="392">
        <f>AY72-AX72</f>
        <v>745119.00833333377</v>
      </c>
      <c r="BA72" s="393">
        <f>((AY72/AX72)-1)*100</f>
        <v>16.358839114721512</v>
      </c>
      <c r="BB72" s="395">
        <f>SUM(BB73:BB107)</f>
        <v>4554840.3716666671</v>
      </c>
      <c r="BC72" s="396">
        <f>SUM(BC73:BC108)</f>
        <v>5071348.120000001</v>
      </c>
      <c r="BD72" s="392">
        <f>BC72-BB72</f>
        <v>516507.74833333399</v>
      </c>
      <c r="BE72" s="393">
        <f>((BC72/BB72)-1)*100</f>
        <v>11.339755209562652</v>
      </c>
      <c r="BF72" s="395">
        <f t="shared" ref="BF72:BF138" si="63">AF72+AH72+AL72+AP72+AT72+AX72+BB72</f>
        <v>54654991.920000009</v>
      </c>
      <c r="BG72" s="397">
        <f t="shared" ref="BG72:BG107" si="64">SUM(I72+M72+Q72+U72+Y72+AC72+AI72+AM72+AQ72+AU72+AY72+BC72)</f>
        <v>58591383.010000005</v>
      </c>
      <c r="BH72" s="63"/>
    </row>
    <row r="73" spans="1:62" s="12" customFormat="1" ht="16.5" thickBot="1" x14ac:dyDescent="0.3">
      <c r="B73" s="262"/>
      <c r="C73" s="263"/>
      <c r="D73" s="331" t="s">
        <v>335</v>
      </c>
      <c r="E73" s="331"/>
      <c r="F73" s="655"/>
      <c r="G73" s="656">
        <v>1262476.7233333334</v>
      </c>
      <c r="H73" s="136">
        <f>1205700</f>
        <v>1205700</v>
      </c>
      <c r="I73" s="125">
        <v>1089242.3700000001</v>
      </c>
      <c r="J73" s="213">
        <f t="shared" si="60"/>
        <v>-116457.62999999989</v>
      </c>
      <c r="K73" s="566">
        <f>((I73/H73)-1)*100</f>
        <v>-9.6589226175665459</v>
      </c>
      <c r="L73" s="657">
        <f>$H$73</f>
        <v>1205700</v>
      </c>
      <c r="M73" s="632">
        <v>1121481.53</v>
      </c>
      <c r="N73" s="190">
        <f>M73-L73</f>
        <v>-84218.469999999972</v>
      </c>
      <c r="O73" s="567">
        <f>((M73/L73)-1)*100</f>
        <v>-6.9850269552956812</v>
      </c>
      <c r="P73" s="657">
        <f>$H$73</f>
        <v>1205700</v>
      </c>
      <c r="Q73" s="125">
        <v>1203815.83</v>
      </c>
      <c r="R73" s="169">
        <f>Q73-P73</f>
        <v>-1884.1699999999255</v>
      </c>
      <c r="S73" s="567">
        <f>((Q73/P73)-1)*100</f>
        <v>-0.15627187525918407</v>
      </c>
      <c r="T73" s="657">
        <v>1319300</v>
      </c>
      <c r="U73" s="125">
        <v>1055334.6100000001</v>
      </c>
      <c r="V73" s="190">
        <f>U73-T73</f>
        <v>-263965.3899999999</v>
      </c>
      <c r="W73" s="567">
        <f>((U73/T73)-1)*100</f>
        <v>-20.007988327143178</v>
      </c>
      <c r="X73" s="657">
        <f>T73</f>
        <v>1319300</v>
      </c>
      <c r="Y73" s="125">
        <v>1187039.82</v>
      </c>
      <c r="Z73" s="190">
        <f>Y73-X73</f>
        <v>-132260.17999999993</v>
      </c>
      <c r="AA73" s="249">
        <f>((Y73/X73)-1)*100</f>
        <v>-10.02502690820889</v>
      </c>
      <c r="AB73" s="657">
        <f>T73</f>
        <v>1319300</v>
      </c>
      <c r="AC73" s="125">
        <v>1234032.94</v>
      </c>
      <c r="AD73" s="190">
        <f>AC73-AB73</f>
        <v>-85267.060000000056</v>
      </c>
      <c r="AE73" s="638">
        <f>((AC73/AB73)-1)*100</f>
        <v>-6.4630531342378621</v>
      </c>
      <c r="AF73" s="657">
        <f t="shared" si="61"/>
        <v>6890947.1000000015</v>
      </c>
      <c r="AG73" s="657">
        <f t="shared" si="62"/>
        <v>1148491.1833333336</v>
      </c>
      <c r="AH73" s="657">
        <f>AH14</f>
        <v>1150000</v>
      </c>
      <c r="AI73" s="125">
        <v>1413069.71</v>
      </c>
      <c r="AJ73" s="145">
        <f>AI73-AH73</f>
        <v>263069.70999999996</v>
      </c>
      <c r="AK73" s="237">
        <f>((AI73/AH73)-1)*100</f>
        <v>22.875626956521742</v>
      </c>
      <c r="AL73" s="657">
        <f t="shared" ref="AL73:AL106" si="65">AH73</f>
        <v>1150000</v>
      </c>
      <c r="AM73" s="658">
        <v>1364622.14</v>
      </c>
      <c r="AN73" s="659">
        <f>AM73-AL73</f>
        <v>214622.1399999999</v>
      </c>
      <c r="AO73" s="249">
        <f>((AM73/AL73)-1)*100</f>
        <v>18.662794782608682</v>
      </c>
      <c r="AP73" s="657">
        <f t="shared" ref="AP73:AP106" si="66">AL73</f>
        <v>1150000</v>
      </c>
      <c r="AQ73" s="660">
        <v>1476933.03</v>
      </c>
      <c r="AR73" s="169">
        <f>AQ73-AP73</f>
        <v>326933.03000000003</v>
      </c>
      <c r="AS73" s="249">
        <f>((AQ73/AP73)-1)*100</f>
        <v>28.428959130434794</v>
      </c>
      <c r="AT73" s="657">
        <f t="shared" ref="AT73:AT108" si="67">AP73</f>
        <v>1150000</v>
      </c>
      <c r="AU73" s="125">
        <v>1718719.1</v>
      </c>
      <c r="AV73" s="169">
        <f>AU73-AT73</f>
        <v>568719.10000000009</v>
      </c>
      <c r="AW73" s="249">
        <f>((AU73/AT73)-1)*100</f>
        <v>49.453834782608695</v>
      </c>
      <c r="AX73" s="657">
        <f t="shared" ref="AX73:AX108" si="68">AT73</f>
        <v>1150000</v>
      </c>
      <c r="AY73" s="660">
        <v>1485962.41</v>
      </c>
      <c r="AZ73" s="169">
        <f>AY73-AX73</f>
        <v>335962.40999999992</v>
      </c>
      <c r="BA73" s="249">
        <f>((AY73/AX73)-1)*100</f>
        <v>29.214122608695646</v>
      </c>
      <c r="BB73" s="657">
        <f t="shared" ref="BB73:BB108" si="69">AX73</f>
        <v>1150000</v>
      </c>
      <c r="BC73" s="660">
        <v>1526146.84</v>
      </c>
      <c r="BD73" s="190">
        <f>BC73-BB73</f>
        <v>376146.84000000008</v>
      </c>
      <c r="BE73" s="249">
        <f>((BC73/BB73)-1)*100</f>
        <v>32.708420869565224</v>
      </c>
      <c r="BF73" s="657">
        <f t="shared" si="63"/>
        <v>13790947.100000001</v>
      </c>
      <c r="BG73" s="657">
        <f t="shared" si="64"/>
        <v>15876400.33</v>
      </c>
      <c r="BH73" s="63"/>
    </row>
    <row r="74" spans="1:62" s="12" customFormat="1" ht="16.5" thickBot="1" x14ac:dyDescent="0.3">
      <c r="B74" s="661">
        <v>53495</v>
      </c>
      <c r="C74" s="328"/>
      <c r="D74" s="332" t="s">
        <v>3663</v>
      </c>
      <c r="E74" s="332"/>
      <c r="F74" s="662"/>
      <c r="G74" s="663"/>
      <c r="H74" s="136"/>
      <c r="I74" s="137">
        <v>139208.25</v>
      </c>
      <c r="J74" s="138">
        <f t="shared" si="60"/>
        <v>139208.25</v>
      </c>
      <c r="K74" s="566"/>
      <c r="L74" s="664"/>
      <c r="M74" s="136">
        <v>227553.42</v>
      </c>
      <c r="N74" s="137"/>
      <c r="O74" s="567">
        <v>0</v>
      </c>
      <c r="P74" s="664"/>
      <c r="Q74" s="137">
        <v>225635.12</v>
      </c>
      <c r="R74" s="169"/>
      <c r="S74" s="567"/>
      <c r="T74" s="664"/>
      <c r="U74" s="137">
        <v>211198.89</v>
      </c>
      <c r="V74" s="137"/>
      <c r="W74" s="567"/>
      <c r="X74" s="664"/>
      <c r="Y74" s="137">
        <v>297160.11</v>
      </c>
      <c r="Z74" s="137"/>
      <c r="AA74" s="237"/>
      <c r="AB74" s="664"/>
      <c r="AC74" s="137">
        <v>224010.86</v>
      </c>
      <c r="AD74" s="137"/>
      <c r="AE74" s="642"/>
      <c r="AF74" s="664">
        <f t="shared" si="61"/>
        <v>1324766.6499999999</v>
      </c>
      <c r="AG74" s="664">
        <f t="shared" si="62"/>
        <v>220794.44166666665</v>
      </c>
      <c r="AH74" s="664">
        <v>221000</v>
      </c>
      <c r="AI74" s="137">
        <v>319020.48</v>
      </c>
      <c r="AJ74" s="137">
        <f t="shared" ref="AJ74:AJ107" si="70">AI74-AH74</f>
        <v>98020.479999999981</v>
      </c>
      <c r="AK74" s="237">
        <f t="shared" ref="AK74:AK107" si="71">((AI74/AH74)-1)*100</f>
        <v>44.35315837104072</v>
      </c>
      <c r="AL74" s="664">
        <f t="shared" si="65"/>
        <v>221000</v>
      </c>
      <c r="AM74" s="665">
        <v>302360.87</v>
      </c>
      <c r="AN74" s="659">
        <f>AM74-AL74</f>
        <v>81360.87</v>
      </c>
      <c r="AO74" s="249">
        <f>((AM74/AL74)-1)*100</f>
        <v>36.814873303167417</v>
      </c>
      <c r="AP74" s="664">
        <f t="shared" si="66"/>
        <v>221000</v>
      </c>
      <c r="AQ74" s="666">
        <v>301775.44</v>
      </c>
      <c r="AR74" s="169">
        <f>AQ74-AP74</f>
        <v>80775.44</v>
      </c>
      <c r="AS74" s="249">
        <f t="shared" ref="AS74:AS106" si="72">((AQ74/AP74)-1)*100</f>
        <v>36.549972850678735</v>
      </c>
      <c r="AT74" s="664">
        <f t="shared" si="67"/>
        <v>221000</v>
      </c>
      <c r="AU74" s="137">
        <v>333837.11</v>
      </c>
      <c r="AV74" s="169">
        <f>AU74-AT74</f>
        <v>112837.10999999999</v>
      </c>
      <c r="AW74" s="249">
        <f>((AU74/AT74)-1)*100</f>
        <v>51.05751583710407</v>
      </c>
      <c r="AX74" s="664">
        <f t="shared" si="68"/>
        <v>221000</v>
      </c>
      <c r="AY74" s="666">
        <v>339426.73</v>
      </c>
      <c r="AZ74" s="169">
        <f>AY74-AX74</f>
        <v>118426.72999999998</v>
      </c>
      <c r="BA74" s="249">
        <f>((AY74/AX74)-1)*100</f>
        <v>53.5867556561086</v>
      </c>
      <c r="BB74" s="664">
        <f t="shared" si="69"/>
        <v>221000</v>
      </c>
      <c r="BC74" s="666">
        <v>276751.53999999998</v>
      </c>
      <c r="BD74" s="137">
        <f>BC74-BB74</f>
        <v>55751.539999999979</v>
      </c>
      <c r="BE74" s="237">
        <f>((BC74/BB74)-1)*100</f>
        <v>25.226941176470575</v>
      </c>
      <c r="BF74" s="664">
        <f t="shared" si="63"/>
        <v>2650766.65</v>
      </c>
      <c r="BG74" s="664">
        <f t="shared" si="64"/>
        <v>3197938.82</v>
      </c>
      <c r="BH74" s="63"/>
    </row>
    <row r="75" spans="1:62" s="12" customFormat="1" ht="16.5" thickBot="1" x14ac:dyDescent="0.3">
      <c r="B75" s="661"/>
      <c r="C75" s="328"/>
      <c r="D75" s="332" t="s">
        <v>3664</v>
      </c>
      <c r="E75" s="332"/>
      <c r="F75" s="662"/>
      <c r="G75" s="663"/>
      <c r="H75" s="136">
        <v>25000</v>
      </c>
      <c r="I75" s="137"/>
      <c r="J75" s="138">
        <f t="shared" si="60"/>
        <v>-25000</v>
      </c>
      <c r="K75" s="566">
        <f>((I75/H75)-1)*100</f>
        <v>-100</v>
      </c>
      <c r="L75" s="664">
        <v>35000</v>
      </c>
      <c r="M75" s="136"/>
      <c r="N75" s="137">
        <f>M75-L75</f>
        <v>-35000</v>
      </c>
      <c r="O75" s="567">
        <f>((M75/L75)-1)*100</f>
        <v>-100</v>
      </c>
      <c r="P75" s="664">
        <v>45000</v>
      </c>
      <c r="Q75" s="137"/>
      <c r="R75" s="137">
        <f>Q75-P75</f>
        <v>-45000</v>
      </c>
      <c r="S75" s="567">
        <f>((Q75/P75)-1)*100</f>
        <v>-100</v>
      </c>
      <c r="T75" s="664">
        <v>55000</v>
      </c>
      <c r="U75" s="137"/>
      <c r="V75" s="137">
        <f>U75-T75</f>
        <v>-55000</v>
      </c>
      <c r="W75" s="567">
        <f>((U75/T75)-1)*100</f>
        <v>-100</v>
      </c>
      <c r="X75" s="664">
        <v>65000</v>
      </c>
      <c r="Y75" s="137"/>
      <c r="Z75" s="137">
        <f>Y75-X75</f>
        <v>-65000</v>
      </c>
      <c r="AA75" s="567">
        <f>((Y75/X75)-1)*100</f>
        <v>-100</v>
      </c>
      <c r="AB75" s="664">
        <v>75000</v>
      </c>
      <c r="AC75" s="137"/>
      <c r="AD75" s="137">
        <f>AC75-AB75</f>
        <v>-75000</v>
      </c>
      <c r="AE75" s="642"/>
      <c r="AF75" s="664"/>
      <c r="AG75" s="664"/>
      <c r="AH75" s="664"/>
      <c r="AI75" s="137"/>
      <c r="AJ75" s="137"/>
      <c r="AK75" s="237"/>
      <c r="AL75" s="664"/>
      <c r="AM75" s="665"/>
      <c r="AN75" s="659"/>
      <c r="AO75" s="237"/>
      <c r="AP75" s="664"/>
      <c r="AQ75" s="666"/>
      <c r="AR75" s="169"/>
      <c r="AS75" s="249" t="e">
        <f t="shared" si="72"/>
        <v>#DIV/0!</v>
      </c>
      <c r="AT75" s="664"/>
      <c r="AU75" s="137"/>
      <c r="AV75" s="169"/>
      <c r="AW75" s="237"/>
      <c r="AX75" s="664"/>
      <c r="AY75" s="666"/>
      <c r="AZ75" s="169"/>
      <c r="BA75" s="237"/>
      <c r="BB75" s="664"/>
      <c r="BC75" s="666"/>
      <c r="BD75" s="137"/>
      <c r="BE75" s="237"/>
      <c r="BF75" s="664"/>
      <c r="BG75" s="667"/>
      <c r="BH75" s="63"/>
    </row>
    <row r="76" spans="1:62" s="12" customFormat="1" x14ac:dyDescent="0.25">
      <c r="B76" s="661"/>
      <c r="C76" s="328"/>
      <c r="D76" s="668" t="s">
        <v>3665</v>
      </c>
      <c r="E76" s="332"/>
      <c r="F76" s="662"/>
      <c r="G76" s="663"/>
      <c r="H76" s="136">
        <v>0</v>
      </c>
      <c r="I76" s="137"/>
      <c r="J76" s="138">
        <f t="shared" si="60"/>
        <v>0</v>
      </c>
      <c r="K76" s="566"/>
      <c r="L76" s="136">
        <v>0</v>
      </c>
      <c r="M76" s="136"/>
      <c r="N76" s="137">
        <f>M76-L76</f>
        <v>0</v>
      </c>
      <c r="O76" s="567">
        <v>0</v>
      </c>
      <c r="P76" s="664">
        <v>45000</v>
      </c>
      <c r="Q76" s="137"/>
      <c r="R76" s="172">
        <f>Q76-P76</f>
        <v>-45000</v>
      </c>
      <c r="S76" s="245">
        <v>0</v>
      </c>
      <c r="T76" s="664">
        <v>45000</v>
      </c>
      <c r="U76" s="137"/>
      <c r="V76" s="137">
        <f>U76-T76</f>
        <v>-45000</v>
      </c>
      <c r="W76" s="245">
        <v>0</v>
      </c>
      <c r="X76" s="664">
        <v>45000</v>
      </c>
      <c r="Y76" s="137"/>
      <c r="Z76" s="137">
        <f>Y76-X76</f>
        <v>-45000</v>
      </c>
      <c r="AA76" s="237">
        <v>0</v>
      </c>
      <c r="AB76" s="664">
        <v>45000</v>
      </c>
      <c r="AC76" s="137"/>
      <c r="AD76" s="137">
        <f>AC76-AB76</f>
        <v>-45000</v>
      </c>
      <c r="AE76" s="642"/>
      <c r="AF76" s="664"/>
      <c r="AG76" s="664"/>
      <c r="AH76" s="664"/>
      <c r="AI76" s="137"/>
      <c r="AJ76" s="137"/>
      <c r="AK76" s="237"/>
      <c r="AL76" s="664"/>
      <c r="AM76" s="665"/>
      <c r="AN76" s="659"/>
      <c r="AO76" s="237"/>
      <c r="AP76" s="664"/>
      <c r="AQ76" s="666"/>
      <c r="AR76" s="169"/>
      <c r="AS76" s="249" t="e">
        <f t="shared" si="72"/>
        <v>#DIV/0!</v>
      </c>
      <c r="AT76" s="664"/>
      <c r="AU76" s="137"/>
      <c r="AV76" s="169"/>
      <c r="AW76" s="237"/>
      <c r="AX76" s="664"/>
      <c r="AY76" s="666"/>
      <c r="AZ76" s="169"/>
      <c r="BA76" s="237"/>
      <c r="BB76" s="664"/>
      <c r="BC76" s="666"/>
      <c r="BD76" s="137"/>
      <c r="BE76" s="237"/>
      <c r="BF76" s="664"/>
      <c r="BG76" s="667"/>
      <c r="BH76" s="63"/>
    </row>
    <row r="77" spans="1:62" s="11" customFormat="1" x14ac:dyDescent="0.25">
      <c r="B77" s="170">
        <v>12202</v>
      </c>
      <c r="C77" s="135">
        <v>332</v>
      </c>
      <c r="D77" s="332" t="s">
        <v>49</v>
      </c>
      <c r="E77" s="332"/>
      <c r="F77" s="662"/>
      <c r="G77" s="663">
        <v>87512.8</v>
      </c>
      <c r="H77" s="136">
        <v>87520</v>
      </c>
      <c r="I77" s="137">
        <v>90400</v>
      </c>
      <c r="J77" s="138">
        <f t="shared" si="60"/>
        <v>2880</v>
      </c>
      <c r="K77" s="566">
        <f t="shared" ref="K77:K104" si="73">((I77/H77)-1)*100</f>
        <v>3.2906764168190161</v>
      </c>
      <c r="L77" s="664">
        <f>$H$77</f>
        <v>87520</v>
      </c>
      <c r="M77" s="137">
        <v>80200</v>
      </c>
      <c r="N77" s="137">
        <f>M77-L77</f>
        <v>-7320</v>
      </c>
      <c r="O77" s="567">
        <f t="shared" ref="O77:O104" si="74">((M77/L77)-1)*100</f>
        <v>-8.3638025594149905</v>
      </c>
      <c r="P77" s="136">
        <f>$H$77</f>
        <v>87520</v>
      </c>
      <c r="Q77" s="137">
        <v>88000</v>
      </c>
      <c r="R77" s="172">
        <f>Q77-P77</f>
        <v>480</v>
      </c>
      <c r="S77" s="245">
        <f t="shared" ref="S77:S104" si="75">((Q77/P77)-1)*100</f>
        <v>0.54844606946984342</v>
      </c>
      <c r="T77" s="136">
        <f>$H$77</f>
        <v>87520</v>
      </c>
      <c r="U77" s="137">
        <v>84400</v>
      </c>
      <c r="V77" s="137">
        <f>U77-T77</f>
        <v>-3120</v>
      </c>
      <c r="W77" s="245">
        <f t="shared" ref="W77:W104" si="76">((U77/T77)-1)*100</f>
        <v>-3.5648994515539267</v>
      </c>
      <c r="X77" s="136">
        <f>$H$77</f>
        <v>87520</v>
      </c>
      <c r="Y77" s="137">
        <v>89200</v>
      </c>
      <c r="Z77" s="137">
        <f>Y77-X77</f>
        <v>1680</v>
      </c>
      <c r="AA77" s="237">
        <f t="shared" ref="AA77:AA104" si="77">((Y77/X77)-1)*100</f>
        <v>1.9195612431444298</v>
      </c>
      <c r="AB77" s="136">
        <f>$H$77</f>
        <v>87520</v>
      </c>
      <c r="AC77" s="137">
        <v>86100</v>
      </c>
      <c r="AD77" s="137">
        <f>AC77-AB77</f>
        <v>-1420</v>
      </c>
      <c r="AE77" s="642">
        <f t="shared" ref="AE77:AE104" si="78">((AC77/AB77)-1)*100</f>
        <v>-1.6224862888482683</v>
      </c>
      <c r="AF77" s="136">
        <f t="shared" si="61"/>
        <v>518300</v>
      </c>
      <c r="AG77" s="136">
        <f t="shared" si="62"/>
        <v>86383.333333333328</v>
      </c>
      <c r="AH77" s="136">
        <f>$H$77</f>
        <v>87520</v>
      </c>
      <c r="AI77" s="137">
        <v>89200</v>
      </c>
      <c r="AJ77" s="137">
        <f t="shared" si="70"/>
        <v>1680</v>
      </c>
      <c r="AK77" s="237">
        <f t="shared" si="71"/>
        <v>1.9195612431444298</v>
      </c>
      <c r="AL77" s="136">
        <f t="shared" si="65"/>
        <v>87520</v>
      </c>
      <c r="AM77" s="137">
        <v>89100</v>
      </c>
      <c r="AN77" s="659">
        <f t="shared" ref="AN77:AN106" si="79">AM77-AL77</f>
        <v>1580</v>
      </c>
      <c r="AO77" s="237">
        <f t="shared" ref="AO77:AO106" si="80">((AM77/AL77)-1)*100</f>
        <v>1.8053016453382087</v>
      </c>
      <c r="AP77" s="136">
        <f t="shared" si="66"/>
        <v>87520</v>
      </c>
      <c r="AQ77" s="176">
        <v>86800</v>
      </c>
      <c r="AR77" s="169">
        <f t="shared" ref="AR77:AR108" si="81">AQ77-AP77</f>
        <v>-720</v>
      </c>
      <c r="AS77" s="237">
        <f t="shared" si="72"/>
        <v>-0.82266910420475403</v>
      </c>
      <c r="AT77" s="136">
        <f t="shared" si="67"/>
        <v>87520</v>
      </c>
      <c r="AU77" s="176">
        <v>89200</v>
      </c>
      <c r="AV77" s="169">
        <f t="shared" ref="AV77:AV108" si="82">AU77-AT77</f>
        <v>1680</v>
      </c>
      <c r="AW77" s="237">
        <f t="shared" ref="AW77:AW106" si="83">((AU77/AT77)-1)*100</f>
        <v>1.9195612431444298</v>
      </c>
      <c r="AX77" s="136">
        <f t="shared" si="68"/>
        <v>87520</v>
      </c>
      <c r="AY77" s="176">
        <v>84797.2</v>
      </c>
      <c r="AZ77" s="169">
        <f t="shared" ref="AZ77:AZ104" si="84">AY77-AX77</f>
        <v>-2722.8000000000029</v>
      </c>
      <c r="BA77" s="237">
        <f t="shared" ref="BA77:BA104" si="85">((AY77/AX77)-1)*100</f>
        <v>-3.1110603290676497</v>
      </c>
      <c r="BB77" s="136">
        <f t="shared" si="69"/>
        <v>87520</v>
      </c>
      <c r="BC77" s="176">
        <v>95500</v>
      </c>
      <c r="BD77" s="137">
        <f t="shared" ref="BD77:BD108" si="86">BC77-BB77</f>
        <v>7980</v>
      </c>
      <c r="BE77" s="237">
        <f t="shared" ref="BE77:BE108" si="87">((BC77/BB77)-1)*100</f>
        <v>9.1179159049360248</v>
      </c>
      <c r="BF77" s="136">
        <f t="shared" si="63"/>
        <v>1043420</v>
      </c>
      <c r="BG77" s="188">
        <f t="shared" si="64"/>
        <v>1052897.2</v>
      </c>
      <c r="BH77" s="63">
        <f>I77+M77+Q77+U77</f>
        <v>343000</v>
      </c>
    </row>
    <row r="78" spans="1:62" s="11" customFormat="1" x14ac:dyDescent="0.25">
      <c r="A78" s="11" t="s">
        <v>48</v>
      </c>
      <c r="B78" s="170">
        <v>12461</v>
      </c>
      <c r="C78" s="135">
        <v>219</v>
      </c>
      <c r="D78" s="332" t="s">
        <v>165</v>
      </c>
      <c r="E78" s="332"/>
      <c r="F78" s="662"/>
      <c r="G78" s="663">
        <v>7090.5233333333335</v>
      </c>
      <c r="H78" s="136">
        <v>7090</v>
      </c>
      <c r="I78" s="137">
        <v>7766.95</v>
      </c>
      <c r="J78" s="138">
        <f t="shared" si="60"/>
        <v>676.94999999999982</v>
      </c>
      <c r="K78" s="566">
        <f t="shared" si="73"/>
        <v>9.5479548660084568</v>
      </c>
      <c r="L78" s="664">
        <f>$H$78</f>
        <v>7090</v>
      </c>
      <c r="M78" s="137">
        <v>7766.95</v>
      </c>
      <c r="N78" s="137">
        <f t="shared" ref="N78:N104" si="88">M78-L78</f>
        <v>676.94999999999982</v>
      </c>
      <c r="O78" s="567">
        <f t="shared" si="74"/>
        <v>9.5479548660084568</v>
      </c>
      <c r="P78" s="136">
        <f>$H$78</f>
        <v>7090</v>
      </c>
      <c r="Q78" s="137">
        <v>2627.91</v>
      </c>
      <c r="R78" s="172">
        <f t="shared" ref="R78:R104" si="89">Q78-P78</f>
        <v>-4462.09</v>
      </c>
      <c r="S78" s="245">
        <f t="shared" si="75"/>
        <v>-62.934978843441471</v>
      </c>
      <c r="T78" s="136">
        <f>$H$78</f>
        <v>7090</v>
      </c>
      <c r="U78" s="137">
        <v>2751.79</v>
      </c>
      <c r="V78" s="137">
        <f t="shared" ref="V78:V104" si="90">U78-T78</f>
        <v>-4338.21</v>
      </c>
      <c r="W78" s="245">
        <f t="shared" si="76"/>
        <v>-61.187729196050775</v>
      </c>
      <c r="X78" s="136">
        <f>$H$78</f>
        <v>7090</v>
      </c>
      <c r="Y78" s="137">
        <v>2751.79</v>
      </c>
      <c r="Z78" s="137">
        <f t="shared" ref="Z78:Z104" si="91">Y78-X78</f>
        <v>-4338.21</v>
      </c>
      <c r="AA78" s="237">
        <f t="shared" si="77"/>
        <v>-61.187729196050775</v>
      </c>
      <c r="AB78" s="136">
        <f>$H$78</f>
        <v>7090</v>
      </c>
      <c r="AC78" s="137">
        <v>2751.79</v>
      </c>
      <c r="AD78" s="137">
        <f t="shared" ref="AD78:AD104" si="92">AC78-AB78</f>
        <v>-4338.21</v>
      </c>
      <c r="AE78" s="642">
        <f t="shared" si="78"/>
        <v>-61.187729196050775</v>
      </c>
      <c r="AF78" s="136">
        <f t="shared" si="61"/>
        <v>26417.18</v>
      </c>
      <c r="AG78" s="136">
        <f t="shared" si="62"/>
        <v>4402.8633333333337</v>
      </c>
      <c r="AH78" s="136">
        <f>$H$78</f>
        <v>7090</v>
      </c>
      <c r="AI78" s="137">
        <v>2751.79</v>
      </c>
      <c r="AJ78" s="137">
        <f t="shared" si="70"/>
        <v>-4338.21</v>
      </c>
      <c r="AK78" s="237">
        <f t="shared" si="71"/>
        <v>-61.187729196050775</v>
      </c>
      <c r="AL78" s="136">
        <f t="shared" si="65"/>
        <v>7090</v>
      </c>
      <c r="AM78" s="137">
        <v>2751.79</v>
      </c>
      <c r="AN78" s="169">
        <f t="shared" si="79"/>
        <v>-4338.21</v>
      </c>
      <c r="AO78" s="237">
        <f t="shared" si="80"/>
        <v>-61.187729196050775</v>
      </c>
      <c r="AP78" s="136">
        <f t="shared" si="66"/>
        <v>7090</v>
      </c>
      <c r="AQ78" s="176">
        <v>2751.79</v>
      </c>
      <c r="AR78" s="169">
        <f t="shared" si="81"/>
        <v>-4338.21</v>
      </c>
      <c r="AS78" s="237">
        <f t="shared" si="72"/>
        <v>-61.187729196050775</v>
      </c>
      <c r="AT78" s="136">
        <f t="shared" si="67"/>
        <v>7090</v>
      </c>
      <c r="AU78" s="176">
        <v>2751.79</v>
      </c>
      <c r="AV78" s="169">
        <f t="shared" si="82"/>
        <v>-4338.21</v>
      </c>
      <c r="AW78" s="237">
        <f t="shared" si="83"/>
        <v>-61.187729196050775</v>
      </c>
      <c r="AX78" s="136">
        <f t="shared" si="68"/>
        <v>7090</v>
      </c>
      <c r="AY78" s="176">
        <v>8001.79</v>
      </c>
      <c r="AZ78" s="169">
        <f t="shared" si="84"/>
        <v>911.79</v>
      </c>
      <c r="BA78" s="237">
        <f t="shared" si="85"/>
        <v>12.860225669957682</v>
      </c>
      <c r="BB78" s="136">
        <f t="shared" si="69"/>
        <v>7090</v>
      </c>
      <c r="BC78" s="176">
        <v>2751.79</v>
      </c>
      <c r="BD78" s="137">
        <f t="shared" si="86"/>
        <v>-4338.21</v>
      </c>
      <c r="BE78" s="237">
        <f t="shared" si="87"/>
        <v>-61.187729196050775</v>
      </c>
      <c r="BF78" s="136">
        <f t="shared" si="63"/>
        <v>68957.179999999993</v>
      </c>
      <c r="BG78" s="188">
        <f t="shared" si="64"/>
        <v>48177.920000000006</v>
      </c>
      <c r="BH78" s="63">
        <f t="shared" ref="BH78:BH108" si="93">I78+M78+Q78+U78</f>
        <v>20913.599999999999</v>
      </c>
    </row>
    <row r="79" spans="1:62" s="11" customFormat="1" x14ac:dyDescent="0.25">
      <c r="B79" s="170">
        <v>12207</v>
      </c>
      <c r="C79" s="135">
        <v>372</v>
      </c>
      <c r="D79" s="332" t="s">
        <v>179</v>
      </c>
      <c r="E79" s="332"/>
      <c r="F79" s="662"/>
      <c r="G79" s="663">
        <v>30860.235000000001</v>
      </c>
      <c r="H79" s="136">
        <f>F79*G79+G79</f>
        <v>30860.235000000001</v>
      </c>
      <c r="I79" s="137">
        <v>29751.14</v>
      </c>
      <c r="J79" s="138">
        <f t="shared" si="60"/>
        <v>-1109.0950000000012</v>
      </c>
      <c r="K79" s="566">
        <f t="shared" si="73"/>
        <v>-3.5939292101955789</v>
      </c>
      <c r="L79" s="664">
        <f>$H$79</f>
        <v>30860.235000000001</v>
      </c>
      <c r="M79" s="137">
        <v>28637.14</v>
      </c>
      <c r="N79" s="137">
        <f t="shared" si="88"/>
        <v>-2223.0950000000012</v>
      </c>
      <c r="O79" s="567">
        <f t="shared" si="74"/>
        <v>-7.2037526609891378</v>
      </c>
      <c r="P79" s="136">
        <f>$H$79</f>
        <v>30860.235000000001</v>
      </c>
      <c r="Q79" s="137">
        <v>32878.67</v>
      </c>
      <c r="R79" s="172">
        <f t="shared" si="89"/>
        <v>2018.4349999999977</v>
      </c>
      <c r="S79" s="245">
        <f t="shared" si="75"/>
        <v>6.5405691175067115</v>
      </c>
      <c r="T79" s="136">
        <f>$H$79</f>
        <v>30860.235000000001</v>
      </c>
      <c r="U79" s="137">
        <v>11301.81</v>
      </c>
      <c r="V79" s="137">
        <f t="shared" si="90"/>
        <v>-19558.425000000003</v>
      </c>
      <c r="W79" s="245">
        <f t="shared" si="76"/>
        <v>-63.377433775212666</v>
      </c>
      <c r="X79" s="136">
        <f>$H$79</f>
        <v>30860.235000000001</v>
      </c>
      <c r="Y79" s="137">
        <v>32658.1</v>
      </c>
      <c r="Z79" s="137">
        <f t="shared" si="91"/>
        <v>1797.864999999998</v>
      </c>
      <c r="AA79" s="237">
        <f t="shared" si="77"/>
        <v>5.8258305550816347</v>
      </c>
      <c r="AB79" s="136">
        <f>$H$79</f>
        <v>30860.235000000001</v>
      </c>
      <c r="AC79" s="137">
        <v>32570.81</v>
      </c>
      <c r="AD79" s="137">
        <f t="shared" si="92"/>
        <v>1710.5750000000007</v>
      </c>
      <c r="AE79" s="642">
        <f t="shared" si="78"/>
        <v>5.5429746403421687</v>
      </c>
      <c r="AF79" s="136">
        <f t="shared" si="61"/>
        <v>167797.66999999998</v>
      </c>
      <c r="AG79" s="136">
        <f t="shared" si="62"/>
        <v>27966.278333333332</v>
      </c>
      <c r="AH79" s="136">
        <f>$H$79</f>
        <v>30860.235000000001</v>
      </c>
      <c r="AI79" s="137">
        <v>28244.01</v>
      </c>
      <c r="AJ79" s="137">
        <f t="shared" si="70"/>
        <v>-2616.2250000000022</v>
      </c>
      <c r="AK79" s="237">
        <f t="shared" si="71"/>
        <v>-8.4776574125245752</v>
      </c>
      <c r="AL79" s="136">
        <f t="shared" si="65"/>
        <v>30860.235000000001</v>
      </c>
      <c r="AM79" s="137">
        <v>30302.54</v>
      </c>
      <c r="AN79" s="169">
        <f t="shared" si="79"/>
        <v>-557.69499999999971</v>
      </c>
      <c r="AO79" s="237">
        <f t="shared" si="80"/>
        <v>-1.8071638145334967</v>
      </c>
      <c r="AP79" s="136">
        <f t="shared" si="66"/>
        <v>30860.235000000001</v>
      </c>
      <c r="AQ79" s="176">
        <v>24001.64</v>
      </c>
      <c r="AR79" s="169">
        <f t="shared" si="81"/>
        <v>-6858.5950000000012</v>
      </c>
      <c r="AS79" s="237">
        <f t="shared" si="72"/>
        <v>-22.224701140480629</v>
      </c>
      <c r="AT79" s="136">
        <f t="shared" si="67"/>
        <v>30860.235000000001</v>
      </c>
      <c r="AU79" s="176">
        <v>30689.040000000001</v>
      </c>
      <c r="AV79" s="169">
        <f t="shared" si="82"/>
        <v>-171.19499999999971</v>
      </c>
      <c r="AW79" s="237">
        <f t="shared" si="83"/>
        <v>-0.55474302123752484</v>
      </c>
      <c r="AX79" s="136">
        <f t="shared" si="68"/>
        <v>30860.235000000001</v>
      </c>
      <c r="AY79" s="176">
        <v>29936.67</v>
      </c>
      <c r="AZ79" s="169">
        <f t="shared" si="84"/>
        <v>-923.56500000000233</v>
      </c>
      <c r="BA79" s="237">
        <f t="shared" si="85"/>
        <v>-2.9927348252532848</v>
      </c>
      <c r="BB79" s="136">
        <f t="shared" si="69"/>
        <v>30860.235000000001</v>
      </c>
      <c r="BC79" s="176">
        <v>33313.61</v>
      </c>
      <c r="BD79" s="137">
        <f t="shared" si="86"/>
        <v>2453.375</v>
      </c>
      <c r="BE79" s="237">
        <f t="shared" si="87"/>
        <v>7.9499556630077572</v>
      </c>
      <c r="BF79" s="136">
        <f t="shared" si="63"/>
        <v>352959.0799999999</v>
      </c>
      <c r="BG79" s="188">
        <f t="shared" si="64"/>
        <v>344285.17999999993</v>
      </c>
      <c r="BH79" s="63">
        <f t="shared" si="93"/>
        <v>102568.76</v>
      </c>
    </row>
    <row r="80" spans="1:62" s="11" customFormat="1" x14ac:dyDescent="0.25">
      <c r="B80" s="170">
        <v>12899</v>
      </c>
      <c r="C80" s="135">
        <v>333</v>
      </c>
      <c r="D80" s="332" t="s">
        <v>180</v>
      </c>
      <c r="E80" s="332"/>
      <c r="F80" s="669"/>
      <c r="G80" s="663">
        <v>892809.70666666667</v>
      </c>
      <c r="H80" s="136">
        <v>893000</v>
      </c>
      <c r="I80" s="137">
        <v>947135.43</v>
      </c>
      <c r="J80" s="138">
        <f t="shared" si="60"/>
        <v>54135.430000000051</v>
      </c>
      <c r="K80" s="566">
        <f t="shared" si="73"/>
        <v>6.0621982082866843</v>
      </c>
      <c r="L80" s="664">
        <f>$H$80</f>
        <v>893000</v>
      </c>
      <c r="M80" s="137">
        <v>820829.63</v>
      </c>
      <c r="N80" s="137">
        <f t="shared" si="88"/>
        <v>-72170.37</v>
      </c>
      <c r="O80" s="567">
        <f t="shared" si="74"/>
        <v>-8.0817883538633843</v>
      </c>
      <c r="P80" s="136">
        <f>$H$80</f>
        <v>893000</v>
      </c>
      <c r="Q80" s="137">
        <v>908316.35</v>
      </c>
      <c r="R80" s="172">
        <f>Q80-P80</f>
        <v>15316.349999999977</v>
      </c>
      <c r="S80" s="245">
        <f t="shared" si="75"/>
        <v>1.7151567749160046</v>
      </c>
      <c r="T80" s="136">
        <f>$H$80</f>
        <v>893000</v>
      </c>
      <c r="U80" s="137">
        <v>854903.54</v>
      </c>
      <c r="V80" s="137">
        <f t="shared" si="90"/>
        <v>-38096.459999999963</v>
      </c>
      <c r="W80" s="245">
        <f t="shared" si="76"/>
        <v>-4.2661209406494871</v>
      </c>
      <c r="X80" s="136">
        <f>$H$80</f>
        <v>893000</v>
      </c>
      <c r="Y80" s="137">
        <f>869714.09+11.05</f>
        <v>869725.14</v>
      </c>
      <c r="Z80" s="137">
        <f t="shared" si="91"/>
        <v>-23274.859999999986</v>
      </c>
      <c r="AA80" s="237">
        <f t="shared" si="77"/>
        <v>-2.6063673012318045</v>
      </c>
      <c r="AB80" s="136">
        <f>$H$80</f>
        <v>893000</v>
      </c>
      <c r="AC80" s="137">
        <v>903145.01</v>
      </c>
      <c r="AD80" s="137">
        <f t="shared" si="92"/>
        <v>10145.010000000009</v>
      </c>
      <c r="AE80" s="642">
        <f t="shared" si="78"/>
        <v>1.1360593505039152</v>
      </c>
      <c r="AF80" s="136">
        <f t="shared" si="61"/>
        <v>5304055.0999999996</v>
      </c>
      <c r="AG80" s="136">
        <f t="shared" si="62"/>
        <v>884009.18333333323</v>
      </c>
      <c r="AH80" s="136">
        <f>$H$80</f>
        <v>893000</v>
      </c>
      <c r="AI80" s="137">
        <v>918365.19</v>
      </c>
      <c r="AJ80" s="137">
        <f t="shared" si="70"/>
        <v>25365.189999999944</v>
      </c>
      <c r="AK80" s="237">
        <f t="shared" si="71"/>
        <v>2.8404468085106327</v>
      </c>
      <c r="AL80" s="136">
        <f t="shared" si="65"/>
        <v>893000</v>
      </c>
      <c r="AM80" s="137">
        <v>936354.29</v>
      </c>
      <c r="AN80" s="659">
        <f t="shared" si="79"/>
        <v>43354.290000000037</v>
      </c>
      <c r="AO80" s="237">
        <f t="shared" si="80"/>
        <v>4.8549036954087299</v>
      </c>
      <c r="AP80" s="136">
        <f t="shared" si="66"/>
        <v>893000</v>
      </c>
      <c r="AQ80" s="176">
        <v>799392.45</v>
      </c>
      <c r="AR80" s="169">
        <f t="shared" si="81"/>
        <v>-93607.550000000047</v>
      </c>
      <c r="AS80" s="237">
        <f t="shared" si="72"/>
        <v>-10.482368421052634</v>
      </c>
      <c r="AT80" s="136">
        <f t="shared" si="67"/>
        <v>893000</v>
      </c>
      <c r="AU80" s="176">
        <v>946858.78</v>
      </c>
      <c r="AV80" s="169">
        <f t="shared" si="82"/>
        <v>53858.780000000028</v>
      </c>
      <c r="AW80" s="237">
        <f t="shared" si="83"/>
        <v>6.0312183650615969</v>
      </c>
      <c r="AX80" s="136">
        <f t="shared" si="68"/>
        <v>893000</v>
      </c>
      <c r="AY80" s="176">
        <v>894537.36</v>
      </c>
      <c r="AZ80" s="169">
        <f t="shared" si="84"/>
        <v>1537.359999999986</v>
      </c>
      <c r="BA80" s="237">
        <f t="shared" si="85"/>
        <v>0.17215677491602133</v>
      </c>
      <c r="BB80" s="136">
        <f t="shared" si="69"/>
        <v>893000</v>
      </c>
      <c r="BC80" s="176">
        <v>875176.6</v>
      </c>
      <c r="BD80" s="137">
        <f t="shared" si="86"/>
        <v>-17823.400000000023</v>
      </c>
      <c r="BE80" s="237">
        <f t="shared" si="87"/>
        <v>-1.9959014557670796</v>
      </c>
      <c r="BF80" s="136">
        <f t="shared" si="63"/>
        <v>10662055.1</v>
      </c>
      <c r="BG80" s="188">
        <f t="shared" si="64"/>
        <v>10674739.769999998</v>
      </c>
      <c r="BH80" s="63">
        <f t="shared" si="93"/>
        <v>3531184.95</v>
      </c>
      <c r="BJ80" s="670"/>
    </row>
    <row r="81" spans="2:60" s="11" customFormat="1" x14ac:dyDescent="0.25">
      <c r="B81" s="170">
        <v>25044</v>
      </c>
      <c r="C81" s="135">
        <v>327</v>
      </c>
      <c r="D81" s="332" t="s">
        <v>181</v>
      </c>
      <c r="E81" s="332"/>
      <c r="F81" s="662"/>
      <c r="G81" s="663">
        <v>82583.041666666672</v>
      </c>
      <c r="H81" s="136">
        <v>82590</v>
      </c>
      <c r="I81" s="137">
        <v>92931.43</v>
      </c>
      <c r="J81" s="138">
        <f t="shared" si="60"/>
        <v>10341.429999999993</v>
      </c>
      <c r="K81" s="566">
        <f t="shared" si="73"/>
        <v>12.52140694999393</v>
      </c>
      <c r="L81" s="664">
        <f>$H$81</f>
        <v>82590</v>
      </c>
      <c r="M81" s="137">
        <v>81362.820000000007</v>
      </c>
      <c r="N81" s="137">
        <f t="shared" si="88"/>
        <v>-1227.179999999993</v>
      </c>
      <c r="O81" s="245">
        <f t="shared" si="74"/>
        <v>-1.4858699600435843</v>
      </c>
      <c r="P81" s="136">
        <f>$H$81</f>
        <v>82590</v>
      </c>
      <c r="Q81" s="137">
        <v>87990.84</v>
      </c>
      <c r="R81" s="172">
        <f t="shared" si="89"/>
        <v>5400.8399999999965</v>
      </c>
      <c r="S81" s="245">
        <f t="shared" si="75"/>
        <v>6.5393389030148796</v>
      </c>
      <c r="T81" s="136">
        <f>$H$81</f>
        <v>82590</v>
      </c>
      <c r="U81" s="137">
        <v>88108.44</v>
      </c>
      <c r="V81" s="137">
        <f t="shared" si="90"/>
        <v>5518.4400000000023</v>
      </c>
      <c r="W81" s="245">
        <f t="shared" si="76"/>
        <v>6.6817290228841308</v>
      </c>
      <c r="X81" s="136">
        <f>$H$81</f>
        <v>82590</v>
      </c>
      <c r="Y81" s="137">
        <v>87373.32</v>
      </c>
      <c r="Z81" s="137">
        <f t="shared" si="91"/>
        <v>4783.320000000007</v>
      </c>
      <c r="AA81" s="237">
        <f t="shared" si="77"/>
        <v>5.791645477660734</v>
      </c>
      <c r="AB81" s="136">
        <f>$H$81</f>
        <v>82590</v>
      </c>
      <c r="AC81" s="137">
        <v>88123.32</v>
      </c>
      <c r="AD81" s="137">
        <f t="shared" si="92"/>
        <v>5533.320000000007</v>
      </c>
      <c r="AE81" s="642">
        <f t="shared" si="78"/>
        <v>6.6997457319288189</v>
      </c>
      <c r="AF81" s="136">
        <f t="shared" si="61"/>
        <v>525890.16999999993</v>
      </c>
      <c r="AG81" s="136">
        <f t="shared" si="62"/>
        <v>87648.361666666649</v>
      </c>
      <c r="AH81" s="136">
        <v>87700</v>
      </c>
      <c r="AI81" s="137">
        <v>90302.38</v>
      </c>
      <c r="AJ81" s="137">
        <f t="shared" si="70"/>
        <v>2602.3800000000047</v>
      </c>
      <c r="AK81" s="237">
        <f t="shared" si="71"/>
        <v>2.96736602052452</v>
      </c>
      <c r="AL81" s="136">
        <f t="shared" si="65"/>
        <v>87700</v>
      </c>
      <c r="AM81" s="137">
        <v>90015</v>
      </c>
      <c r="AN81" s="659">
        <f t="shared" si="79"/>
        <v>2315</v>
      </c>
      <c r="AO81" s="237">
        <f t="shared" si="80"/>
        <v>2.6396807297605518</v>
      </c>
      <c r="AP81" s="136">
        <f t="shared" si="66"/>
        <v>87700</v>
      </c>
      <c r="AQ81" s="176">
        <v>87809.7</v>
      </c>
      <c r="AR81" s="169">
        <f t="shared" si="81"/>
        <v>109.69999999999709</v>
      </c>
      <c r="AS81" s="237">
        <f t="shared" si="72"/>
        <v>0.12508551881413865</v>
      </c>
      <c r="AT81" s="136">
        <f t="shared" si="67"/>
        <v>87700</v>
      </c>
      <c r="AU81" s="176">
        <v>90645.04</v>
      </c>
      <c r="AV81" s="169">
        <f t="shared" si="82"/>
        <v>2945.0399999999936</v>
      </c>
      <c r="AW81" s="237">
        <f t="shared" si="83"/>
        <v>3.3580843785632863</v>
      </c>
      <c r="AX81" s="136">
        <f t="shared" si="68"/>
        <v>87700</v>
      </c>
      <c r="AY81" s="176">
        <v>86155.68</v>
      </c>
      <c r="AZ81" s="169">
        <f t="shared" si="84"/>
        <v>-1544.320000000007</v>
      </c>
      <c r="BA81" s="237">
        <f t="shared" si="85"/>
        <v>-1.7609122006841615</v>
      </c>
      <c r="BB81" s="136">
        <f t="shared" si="69"/>
        <v>87700</v>
      </c>
      <c r="BC81" s="176">
        <v>90100.02</v>
      </c>
      <c r="BD81" s="137">
        <f t="shared" si="86"/>
        <v>2400.0200000000041</v>
      </c>
      <c r="BE81" s="237">
        <f t="shared" si="87"/>
        <v>2.7366248574686391</v>
      </c>
      <c r="BF81" s="136">
        <f t="shared" si="63"/>
        <v>1052090.17</v>
      </c>
      <c r="BG81" s="188">
        <f t="shared" si="64"/>
        <v>1060917.99</v>
      </c>
      <c r="BH81" s="63">
        <f t="shared" si="93"/>
        <v>350393.52999999997</v>
      </c>
    </row>
    <row r="82" spans="2:60" s="11" customFormat="1" x14ac:dyDescent="0.25">
      <c r="B82" s="170" t="s">
        <v>126</v>
      </c>
      <c r="C82" s="135">
        <v>295</v>
      </c>
      <c r="D82" s="332" t="s">
        <v>50</v>
      </c>
      <c r="E82" s="332"/>
      <c r="F82" s="662"/>
      <c r="G82" s="663">
        <v>3539.9066666666663</v>
      </c>
      <c r="H82" s="136">
        <f>F82*G82+G82</f>
        <v>3539.9066666666663</v>
      </c>
      <c r="I82" s="137">
        <v>51437.3</v>
      </c>
      <c r="J82" s="138">
        <f t="shared" si="60"/>
        <v>47897.393333333333</v>
      </c>
      <c r="K82" s="566">
        <f t="shared" si="73"/>
        <v>1353.0693841268887</v>
      </c>
      <c r="L82" s="664">
        <f>$H$82</f>
        <v>3539.9066666666663</v>
      </c>
      <c r="M82" s="137">
        <f>570+0</f>
        <v>570</v>
      </c>
      <c r="N82" s="137">
        <f t="shared" si="88"/>
        <v>-2969.9066666666663</v>
      </c>
      <c r="O82" s="245">
        <f t="shared" si="74"/>
        <v>-83.897880546756411</v>
      </c>
      <c r="P82" s="136">
        <f>$H$82</f>
        <v>3539.9066666666663</v>
      </c>
      <c r="Q82" s="137">
        <f>1365.9+23000</f>
        <v>24365.9</v>
      </c>
      <c r="R82" s="172">
        <f t="shared" si="89"/>
        <v>20825.993333333336</v>
      </c>
      <c r="S82" s="245">
        <f t="shared" si="75"/>
        <v>588.32040769436503</v>
      </c>
      <c r="T82" s="136">
        <f>$H$82</f>
        <v>3539.9066666666663</v>
      </c>
      <c r="U82" s="137">
        <f>2506.8+0</f>
        <v>2506.8000000000002</v>
      </c>
      <c r="V82" s="137">
        <f t="shared" si="90"/>
        <v>-1033.1066666666661</v>
      </c>
      <c r="W82" s="245">
        <f t="shared" si="76"/>
        <v>-29.184573604577135</v>
      </c>
      <c r="X82" s="136">
        <f>$H$82</f>
        <v>3539.9066666666663</v>
      </c>
      <c r="Y82" s="137">
        <f>604.21+18000</f>
        <v>18604.21</v>
      </c>
      <c r="Z82" s="137">
        <f t="shared" si="91"/>
        <v>15064.303333333333</v>
      </c>
      <c r="AA82" s="237">
        <f t="shared" si="77"/>
        <v>425.55651184777003</v>
      </c>
      <c r="AB82" s="136">
        <f>$H$82</f>
        <v>3539.9066666666663</v>
      </c>
      <c r="AC82" s="137">
        <f>1365.9+0</f>
        <v>1365.9</v>
      </c>
      <c r="AD82" s="137">
        <f t="shared" si="92"/>
        <v>-2174.0066666666662</v>
      </c>
      <c r="AE82" s="642">
        <f t="shared" si="78"/>
        <v>-61.414236910201012</v>
      </c>
      <c r="AF82" s="136">
        <f t="shared" si="61"/>
        <v>98850.110000000015</v>
      </c>
      <c r="AG82" s="136">
        <f t="shared" si="62"/>
        <v>16475.018333333337</v>
      </c>
      <c r="AH82" s="136">
        <v>16500</v>
      </c>
      <c r="AI82" s="137">
        <f>2042.92+0</f>
        <v>2042.92</v>
      </c>
      <c r="AJ82" s="137">
        <f t="shared" si="70"/>
        <v>-14457.08</v>
      </c>
      <c r="AK82" s="237">
        <f t="shared" si="71"/>
        <v>-87.61866666666667</v>
      </c>
      <c r="AL82" s="136">
        <f t="shared" si="65"/>
        <v>16500</v>
      </c>
      <c r="AM82" s="137">
        <f>4209.3+0</f>
        <v>4209.3</v>
      </c>
      <c r="AN82" s="169">
        <f t="shared" si="79"/>
        <v>-12290.7</v>
      </c>
      <c r="AO82" s="237">
        <f t="shared" si="80"/>
        <v>-74.489090909090905</v>
      </c>
      <c r="AP82" s="136">
        <f t="shared" si="66"/>
        <v>16500</v>
      </c>
      <c r="AQ82" s="176">
        <f>0+0</f>
        <v>0</v>
      </c>
      <c r="AR82" s="169">
        <f t="shared" si="81"/>
        <v>-16500</v>
      </c>
      <c r="AS82" s="237">
        <f t="shared" si="72"/>
        <v>-100</v>
      </c>
      <c r="AT82" s="136">
        <f t="shared" si="67"/>
        <v>16500</v>
      </c>
      <c r="AU82" s="176">
        <f>0+0</f>
        <v>0</v>
      </c>
      <c r="AV82" s="169">
        <f t="shared" si="82"/>
        <v>-16500</v>
      </c>
      <c r="AW82" s="237">
        <f t="shared" si="83"/>
        <v>-100</v>
      </c>
      <c r="AX82" s="136">
        <f t="shared" si="68"/>
        <v>16500</v>
      </c>
      <c r="AY82" s="176">
        <f>3514.8+0</f>
        <v>3514.8</v>
      </c>
      <c r="AZ82" s="169">
        <f t="shared" si="84"/>
        <v>-12985.2</v>
      </c>
      <c r="BA82" s="237">
        <f t="shared" si="85"/>
        <v>-78.698181818181823</v>
      </c>
      <c r="BB82" s="136">
        <f t="shared" si="69"/>
        <v>16500</v>
      </c>
      <c r="BC82" s="671">
        <v>5500</v>
      </c>
      <c r="BD82" s="672">
        <f t="shared" si="86"/>
        <v>-11000</v>
      </c>
      <c r="BE82" s="237">
        <f t="shared" si="87"/>
        <v>-66.666666666666671</v>
      </c>
      <c r="BF82" s="136">
        <f t="shared" si="63"/>
        <v>197850.11000000002</v>
      </c>
      <c r="BG82" s="188">
        <f t="shared" si="64"/>
        <v>114117.13000000002</v>
      </c>
      <c r="BH82" s="63">
        <f t="shared" si="93"/>
        <v>78880.000000000015</v>
      </c>
    </row>
    <row r="83" spans="2:60" s="11" customFormat="1" x14ac:dyDescent="0.25">
      <c r="B83" s="170">
        <v>12226</v>
      </c>
      <c r="C83" s="135">
        <v>358</v>
      </c>
      <c r="D83" s="668" t="s">
        <v>51</v>
      </c>
      <c r="E83" s="668"/>
      <c r="F83" s="662"/>
      <c r="G83" s="663">
        <v>11433.728333333333</v>
      </c>
      <c r="H83" s="136">
        <v>11440</v>
      </c>
      <c r="I83" s="137">
        <v>8216.3799999999992</v>
      </c>
      <c r="J83" s="138">
        <f t="shared" si="60"/>
        <v>-3223.6200000000008</v>
      </c>
      <c r="K83" s="566">
        <f t="shared" si="73"/>
        <v>-28.178496503496508</v>
      </c>
      <c r="L83" s="664">
        <f>$H$83</f>
        <v>11440</v>
      </c>
      <c r="M83" s="137">
        <v>90438.11</v>
      </c>
      <c r="N83" s="137">
        <f t="shared" si="88"/>
        <v>78998.11</v>
      </c>
      <c r="O83" s="245">
        <f t="shared" si="74"/>
        <v>690.54291958041961</v>
      </c>
      <c r="P83" s="136">
        <f>$H$83</f>
        <v>11440</v>
      </c>
      <c r="Q83" s="137">
        <v>-74074.41</v>
      </c>
      <c r="R83" s="172">
        <f>Q83+P83</f>
        <v>-62634.41</v>
      </c>
      <c r="S83" s="245">
        <f t="shared" si="75"/>
        <v>-747.50358391608393</v>
      </c>
      <c r="T83" s="136">
        <f>$H$83</f>
        <v>11440</v>
      </c>
      <c r="U83" s="137">
        <v>9220.5400000000009</v>
      </c>
      <c r="V83" s="137">
        <f t="shared" si="90"/>
        <v>-2219.4599999999991</v>
      </c>
      <c r="W83" s="245">
        <f t="shared" si="76"/>
        <v>-19.400874125874125</v>
      </c>
      <c r="X83" s="136">
        <f>$H$83</f>
        <v>11440</v>
      </c>
      <c r="Y83" s="137">
        <v>8547.34</v>
      </c>
      <c r="Z83" s="137">
        <f t="shared" si="91"/>
        <v>-2892.66</v>
      </c>
      <c r="AA83" s="237">
        <f t="shared" si="77"/>
        <v>-25.285489510489512</v>
      </c>
      <c r="AB83" s="136">
        <f>$H$83</f>
        <v>11440</v>
      </c>
      <c r="AC83" s="137">
        <v>11185.32</v>
      </c>
      <c r="AD83" s="137">
        <f t="shared" si="92"/>
        <v>-254.68000000000029</v>
      </c>
      <c r="AE83" s="642">
        <f t="shared" si="78"/>
        <v>-2.2262237762237791</v>
      </c>
      <c r="AF83" s="136">
        <f t="shared" si="61"/>
        <v>53533.280000000006</v>
      </c>
      <c r="AG83" s="136">
        <f t="shared" si="62"/>
        <v>8922.213333333335</v>
      </c>
      <c r="AH83" s="136">
        <f>$H$83</f>
        <v>11440</v>
      </c>
      <c r="AI83" s="137">
        <v>-9469.8700000000008</v>
      </c>
      <c r="AJ83" s="137">
        <f t="shared" si="70"/>
        <v>-20909.870000000003</v>
      </c>
      <c r="AK83" s="237">
        <f t="shared" si="71"/>
        <v>-182.77858391608393</v>
      </c>
      <c r="AL83" s="136">
        <f t="shared" si="65"/>
        <v>11440</v>
      </c>
      <c r="AM83" s="137">
        <v>30285.82</v>
      </c>
      <c r="AN83" s="659">
        <f t="shared" si="79"/>
        <v>18845.82</v>
      </c>
      <c r="AO83" s="237">
        <f t="shared" si="80"/>
        <v>164.73618881118881</v>
      </c>
      <c r="AP83" s="136">
        <f t="shared" si="66"/>
        <v>11440</v>
      </c>
      <c r="AQ83" s="176">
        <v>5156.3599999999997</v>
      </c>
      <c r="AR83" s="169">
        <f t="shared" si="81"/>
        <v>-6283.64</v>
      </c>
      <c r="AS83" s="237">
        <f t="shared" si="72"/>
        <v>-54.926923076923082</v>
      </c>
      <c r="AT83" s="136">
        <f t="shared" si="67"/>
        <v>11440</v>
      </c>
      <c r="AU83" s="176">
        <v>8070.6</v>
      </c>
      <c r="AV83" s="169">
        <f t="shared" si="82"/>
        <v>-3369.3999999999996</v>
      </c>
      <c r="AW83" s="237">
        <f t="shared" si="83"/>
        <v>-29.4527972027972</v>
      </c>
      <c r="AX83" s="136">
        <f t="shared" si="68"/>
        <v>11440</v>
      </c>
      <c r="AY83" s="176">
        <v>27516.9</v>
      </c>
      <c r="AZ83" s="169">
        <f t="shared" si="84"/>
        <v>16076.900000000001</v>
      </c>
      <c r="BA83" s="237">
        <f t="shared" si="85"/>
        <v>140.5323426573427</v>
      </c>
      <c r="BB83" s="136">
        <f t="shared" si="69"/>
        <v>11440</v>
      </c>
      <c r="BC83" s="176">
        <f>5705.35</f>
        <v>5705.35</v>
      </c>
      <c r="BD83" s="137">
        <f t="shared" si="86"/>
        <v>-5734.65</v>
      </c>
      <c r="BE83" s="237">
        <f t="shared" si="87"/>
        <v>-50.128059440559433</v>
      </c>
      <c r="BF83" s="136">
        <f t="shared" si="63"/>
        <v>122173.28</v>
      </c>
      <c r="BG83" s="188">
        <f t="shared" si="64"/>
        <v>120798.44000000003</v>
      </c>
      <c r="BH83" s="63">
        <f t="shared" si="93"/>
        <v>33800.620000000003</v>
      </c>
    </row>
    <row r="84" spans="2:60" s="11" customFormat="1" x14ac:dyDescent="0.25">
      <c r="B84" s="170" t="s">
        <v>52</v>
      </c>
      <c r="C84" s="135" t="s">
        <v>53</v>
      </c>
      <c r="D84" s="332" t="s">
        <v>182</v>
      </c>
      <c r="E84" s="332"/>
      <c r="F84" s="662"/>
      <c r="G84" s="663">
        <v>850</v>
      </c>
      <c r="H84" s="136">
        <f>F84*G84+G84</f>
        <v>850</v>
      </c>
      <c r="I84" s="137">
        <v>0</v>
      </c>
      <c r="J84" s="138">
        <f t="shared" si="60"/>
        <v>-850</v>
      </c>
      <c r="K84" s="566">
        <f t="shared" si="73"/>
        <v>-100</v>
      </c>
      <c r="L84" s="664">
        <f>$H$84</f>
        <v>850</v>
      </c>
      <c r="M84" s="137">
        <f>0+0</f>
        <v>0</v>
      </c>
      <c r="N84" s="137">
        <f t="shared" si="88"/>
        <v>-850</v>
      </c>
      <c r="O84" s="245">
        <f t="shared" si="74"/>
        <v>-100</v>
      </c>
      <c r="P84" s="136">
        <f>$H$84</f>
        <v>850</v>
      </c>
      <c r="Q84" s="137">
        <v>0</v>
      </c>
      <c r="R84" s="172">
        <f t="shared" si="89"/>
        <v>-850</v>
      </c>
      <c r="S84" s="245">
        <f t="shared" si="75"/>
        <v>-100</v>
      </c>
      <c r="T84" s="136">
        <f>$H$84</f>
        <v>850</v>
      </c>
      <c r="U84" s="137">
        <f>0+0</f>
        <v>0</v>
      </c>
      <c r="V84" s="137">
        <f t="shared" si="90"/>
        <v>-850</v>
      </c>
      <c r="W84" s="245">
        <f t="shared" si="76"/>
        <v>-100</v>
      </c>
      <c r="X84" s="136">
        <f>$H$84</f>
        <v>850</v>
      </c>
      <c r="Y84" s="137">
        <f>0+0</f>
        <v>0</v>
      </c>
      <c r="Z84" s="137">
        <f t="shared" si="91"/>
        <v>-850</v>
      </c>
      <c r="AA84" s="237">
        <f t="shared" si="77"/>
        <v>-100</v>
      </c>
      <c r="AB84" s="136">
        <f>$H$84</f>
        <v>850</v>
      </c>
      <c r="AC84" s="137">
        <v>0</v>
      </c>
      <c r="AD84" s="137">
        <f t="shared" si="92"/>
        <v>-850</v>
      </c>
      <c r="AE84" s="642">
        <f t="shared" si="78"/>
        <v>-100</v>
      </c>
      <c r="AF84" s="136">
        <f t="shared" si="61"/>
        <v>0</v>
      </c>
      <c r="AG84" s="136">
        <f t="shared" si="62"/>
        <v>0</v>
      </c>
      <c r="AH84" s="136">
        <f>$H$84</f>
        <v>850</v>
      </c>
      <c r="AI84" s="137">
        <v>3591</v>
      </c>
      <c r="AJ84" s="137">
        <f t="shared" si="70"/>
        <v>2741</v>
      </c>
      <c r="AK84" s="237">
        <f t="shared" si="71"/>
        <v>322.47058823529409</v>
      </c>
      <c r="AL84" s="136">
        <f t="shared" si="65"/>
        <v>850</v>
      </c>
      <c r="AM84" s="137">
        <v>0</v>
      </c>
      <c r="AN84" s="169">
        <f t="shared" si="79"/>
        <v>-850</v>
      </c>
      <c r="AO84" s="237">
        <f t="shared" si="80"/>
        <v>-100</v>
      </c>
      <c r="AP84" s="136">
        <f t="shared" si="66"/>
        <v>850</v>
      </c>
      <c r="AQ84" s="176">
        <f>700+0</f>
        <v>700</v>
      </c>
      <c r="AR84" s="169">
        <f t="shared" si="81"/>
        <v>-150</v>
      </c>
      <c r="AS84" s="237">
        <f t="shared" si="72"/>
        <v>-17.647058823529417</v>
      </c>
      <c r="AT84" s="136">
        <f t="shared" si="67"/>
        <v>850</v>
      </c>
      <c r="AU84" s="176">
        <f>149.76+0</f>
        <v>149.76</v>
      </c>
      <c r="AV84" s="169">
        <f t="shared" si="82"/>
        <v>-700.24</v>
      </c>
      <c r="AW84" s="237">
        <f t="shared" si="83"/>
        <v>-82.38117647058823</v>
      </c>
      <c r="AX84" s="136">
        <f t="shared" si="68"/>
        <v>850</v>
      </c>
      <c r="AY84" s="176">
        <f>0+500</f>
        <v>500</v>
      </c>
      <c r="AZ84" s="169">
        <f t="shared" si="84"/>
        <v>-350</v>
      </c>
      <c r="BA84" s="237">
        <f t="shared" si="85"/>
        <v>-41.17647058823529</v>
      </c>
      <c r="BB84" s="136">
        <f t="shared" si="69"/>
        <v>850</v>
      </c>
      <c r="BC84" s="176">
        <f>0+350</f>
        <v>350</v>
      </c>
      <c r="BD84" s="137">
        <f t="shared" si="86"/>
        <v>-500</v>
      </c>
      <c r="BE84" s="237">
        <f t="shared" si="87"/>
        <v>-58.82352941176471</v>
      </c>
      <c r="BF84" s="136">
        <f t="shared" si="63"/>
        <v>5100</v>
      </c>
      <c r="BG84" s="188">
        <f t="shared" si="64"/>
        <v>5290.76</v>
      </c>
      <c r="BH84" s="63">
        <f t="shared" si="93"/>
        <v>0</v>
      </c>
    </row>
    <row r="85" spans="2:60" s="11" customFormat="1" x14ac:dyDescent="0.25">
      <c r="B85" s="170">
        <v>12228</v>
      </c>
      <c r="C85" s="135">
        <v>334</v>
      </c>
      <c r="D85" s="332" t="s">
        <v>183</v>
      </c>
      <c r="E85" s="332"/>
      <c r="F85" s="662"/>
      <c r="G85" s="663">
        <v>460.1366666666666</v>
      </c>
      <c r="H85" s="136">
        <f>F85*G85+G85</f>
        <v>460.1366666666666</v>
      </c>
      <c r="I85" s="137"/>
      <c r="J85" s="138">
        <f t="shared" si="60"/>
        <v>-460.1366666666666</v>
      </c>
      <c r="K85" s="566">
        <f t="shared" si="73"/>
        <v>-100</v>
      </c>
      <c r="L85" s="664">
        <f>$H$85</f>
        <v>460.1366666666666</v>
      </c>
      <c r="M85" s="137">
        <v>510.52</v>
      </c>
      <c r="N85" s="137">
        <f t="shared" si="88"/>
        <v>50.383333333333383</v>
      </c>
      <c r="O85" s="245">
        <f t="shared" si="74"/>
        <v>10.949645395208684</v>
      </c>
      <c r="P85" s="136">
        <f>$H$85</f>
        <v>460.1366666666666</v>
      </c>
      <c r="Q85" s="137">
        <v>0</v>
      </c>
      <c r="R85" s="172">
        <f t="shared" si="89"/>
        <v>-460.1366666666666</v>
      </c>
      <c r="S85" s="245">
        <f t="shared" si="75"/>
        <v>-100</v>
      </c>
      <c r="T85" s="136">
        <f>$H$85</f>
        <v>460.1366666666666</v>
      </c>
      <c r="U85" s="137">
        <v>107.33</v>
      </c>
      <c r="V85" s="137">
        <f t="shared" si="90"/>
        <v>-352.80666666666662</v>
      </c>
      <c r="W85" s="245">
        <f t="shared" si="76"/>
        <v>-76.674321397266027</v>
      </c>
      <c r="X85" s="136">
        <f>$H$85</f>
        <v>460.1366666666666</v>
      </c>
      <c r="Y85" s="137">
        <v>0</v>
      </c>
      <c r="Z85" s="137">
        <f t="shared" si="91"/>
        <v>-460.1366666666666</v>
      </c>
      <c r="AA85" s="237">
        <f t="shared" si="77"/>
        <v>-100</v>
      </c>
      <c r="AB85" s="136">
        <f>$H$85</f>
        <v>460.1366666666666</v>
      </c>
      <c r="AC85" s="137">
        <v>255.26</v>
      </c>
      <c r="AD85" s="137">
        <f t="shared" si="92"/>
        <v>-204.87666666666661</v>
      </c>
      <c r="AE85" s="642">
        <f t="shared" si="78"/>
        <v>-44.525177302395655</v>
      </c>
      <c r="AF85" s="136">
        <f t="shared" si="61"/>
        <v>873.11</v>
      </c>
      <c r="AG85" s="136">
        <f t="shared" si="62"/>
        <v>145.51833333333335</v>
      </c>
      <c r="AH85" s="136">
        <f>$H$85</f>
        <v>460.1366666666666</v>
      </c>
      <c r="AI85" s="137">
        <v>591.72</v>
      </c>
      <c r="AJ85" s="137">
        <f t="shared" si="70"/>
        <v>131.58333333333343</v>
      </c>
      <c r="AK85" s="237">
        <f t="shared" si="71"/>
        <v>28.596576379481476</v>
      </c>
      <c r="AL85" s="136">
        <f t="shared" si="65"/>
        <v>460.1366666666666</v>
      </c>
      <c r="AM85" s="137">
        <v>510.52</v>
      </c>
      <c r="AN85" s="659">
        <f t="shared" si="79"/>
        <v>50.383333333333383</v>
      </c>
      <c r="AO85" s="237">
        <f t="shared" si="80"/>
        <v>10.949645395208684</v>
      </c>
      <c r="AP85" s="136">
        <f t="shared" si="66"/>
        <v>460.1366666666666</v>
      </c>
      <c r="AQ85" s="176">
        <v>551.12</v>
      </c>
      <c r="AR85" s="169">
        <f t="shared" si="81"/>
        <v>90.983333333333405</v>
      </c>
      <c r="AS85" s="237">
        <f t="shared" si="72"/>
        <v>19.77311088734508</v>
      </c>
      <c r="AT85" s="136">
        <f t="shared" si="67"/>
        <v>460.1366666666666</v>
      </c>
      <c r="AU85" s="176">
        <v>510.52</v>
      </c>
      <c r="AV85" s="169">
        <f t="shared" si="82"/>
        <v>50.383333333333383</v>
      </c>
      <c r="AW85" s="237">
        <f t="shared" si="83"/>
        <v>10.949645395208684</v>
      </c>
      <c r="AX85" s="136">
        <f t="shared" si="68"/>
        <v>460.1366666666666</v>
      </c>
      <c r="AY85" s="176">
        <v>617.85</v>
      </c>
      <c r="AZ85" s="169">
        <f t="shared" si="84"/>
        <v>157.71333333333342</v>
      </c>
      <c r="BA85" s="237">
        <f t="shared" si="85"/>
        <v>34.275323997942664</v>
      </c>
      <c r="BB85" s="136">
        <f t="shared" si="69"/>
        <v>460.1366666666666</v>
      </c>
      <c r="BC85" s="176">
        <v>362.59</v>
      </c>
      <c r="BD85" s="137">
        <f t="shared" si="86"/>
        <v>-97.546666666666624</v>
      </c>
      <c r="BE85" s="237">
        <f t="shared" si="87"/>
        <v>-21.199498699661689</v>
      </c>
      <c r="BF85" s="136">
        <f t="shared" si="63"/>
        <v>3633.9300000000003</v>
      </c>
      <c r="BG85" s="188">
        <f t="shared" si="64"/>
        <v>4017.43</v>
      </c>
      <c r="BH85" s="63">
        <f t="shared" si="93"/>
        <v>617.85</v>
      </c>
    </row>
    <row r="86" spans="2:60" s="11" customFormat="1" x14ac:dyDescent="0.25">
      <c r="B86" s="170">
        <v>12229</v>
      </c>
      <c r="C86" s="135">
        <v>338</v>
      </c>
      <c r="D86" s="332" t="s">
        <v>54</v>
      </c>
      <c r="E86" s="332"/>
      <c r="F86" s="662"/>
      <c r="G86" s="663">
        <v>278063.11166666663</v>
      </c>
      <c r="H86" s="136">
        <v>278070</v>
      </c>
      <c r="I86" s="137">
        <v>291113.15999999997</v>
      </c>
      <c r="J86" s="138">
        <f t="shared" si="60"/>
        <v>13043.159999999974</v>
      </c>
      <c r="K86" s="566">
        <f t="shared" si="73"/>
        <v>4.6906030855539793</v>
      </c>
      <c r="L86" s="664">
        <f>$H$86</f>
        <v>278070</v>
      </c>
      <c r="M86" s="137">
        <v>250726</v>
      </c>
      <c r="N86" s="137">
        <f t="shared" si="88"/>
        <v>-27344</v>
      </c>
      <c r="O86" s="245">
        <f t="shared" si="74"/>
        <v>-9.8334951630884344</v>
      </c>
      <c r="P86" s="136">
        <f>$H$86</f>
        <v>278070</v>
      </c>
      <c r="Q86" s="137">
        <v>280678.2</v>
      </c>
      <c r="R86" s="172">
        <f t="shared" si="89"/>
        <v>2608.2000000000116</v>
      </c>
      <c r="S86" s="245">
        <f t="shared" si="75"/>
        <v>0.93796526054590323</v>
      </c>
      <c r="T86" s="136">
        <f>$H$86</f>
        <v>278070</v>
      </c>
      <c r="U86" s="137">
        <v>272562.12</v>
      </c>
      <c r="V86" s="137">
        <f t="shared" si="90"/>
        <v>-5507.8800000000047</v>
      </c>
      <c r="W86" s="245">
        <f t="shared" si="76"/>
        <v>-1.9807530477937263</v>
      </c>
      <c r="X86" s="136">
        <f>$H$86</f>
        <v>278070</v>
      </c>
      <c r="Y86" s="137">
        <v>278649.18</v>
      </c>
      <c r="Z86" s="137">
        <f t="shared" si="91"/>
        <v>579.17999999999302</v>
      </c>
      <c r="AA86" s="237">
        <f t="shared" si="77"/>
        <v>0.20828568346100695</v>
      </c>
      <c r="AB86" s="136">
        <f>$H$86</f>
        <v>278070</v>
      </c>
      <c r="AC86" s="137">
        <v>270777.03999999998</v>
      </c>
      <c r="AD86" s="137">
        <f t="shared" si="92"/>
        <v>-7292.960000000021</v>
      </c>
      <c r="AE86" s="642">
        <f t="shared" si="78"/>
        <v>-2.622706512748596</v>
      </c>
      <c r="AF86" s="136">
        <f t="shared" si="61"/>
        <v>1644505.7</v>
      </c>
      <c r="AG86" s="136">
        <f t="shared" si="62"/>
        <v>274084.28333333333</v>
      </c>
      <c r="AH86" s="136">
        <f>$H$86</f>
        <v>278070</v>
      </c>
      <c r="AI86" s="137">
        <v>276721.52</v>
      </c>
      <c r="AJ86" s="137">
        <f t="shared" si="70"/>
        <v>-1348.4799999999814</v>
      </c>
      <c r="AK86" s="237">
        <f t="shared" si="71"/>
        <v>-0.48494264034235623</v>
      </c>
      <c r="AL86" s="136">
        <f t="shared" si="65"/>
        <v>278070</v>
      </c>
      <c r="AM86" s="137">
        <v>288021.36</v>
      </c>
      <c r="AN86" s="659">
        <f t="shared" si="79"/>
        <v>9951.359999999986</v>
      </c>
      <c r="AO86" s="237">
        <f t="shared" si="80"/>
        <v>3.5787247815298295</v>
      </c>
      <c r="AP86" s="136">
        <f t="shared" si="66"/>
        <v>278070</v>
      </c>
      <c r="AQ86" s="176">
        <v>272698.78000000003</v>
      </c>
      <c r="AR86" s="169">
        <f t="shared" si="81"/>
        <v>-5371.2199999999721</v>
      </c>
      <c r="AS86" s="237">
        <f t="shared" si="72"/>
        <v>-1.9316071492789466</v>
      </c>
      <c r="AT86" s="136">
        <f t="shared" si="67"/>
        <v>278070</v>
      </c>
      <c r="AU86" s="176">
        <v>283801.92</v>
      </c>
      <c r="AV86" s="169">
        <f t="shared" si="82"/>
        <v>5731.9199999999837</v>
      </c>
      <c r="AW86" s="237">
        <f t="shared" si="83"/>
        <v>2.0613226885316527</v>
      </c>
      <c r="AX86" s="136">
        <f t="shared" si="68"/>
        <v>278070</v>
      </c>
      <c r="AY86" s="176">
        <v>266960.14</v>
      </c>
      <c r="AZ86" s="169">
        <f t="shared" si="84"/>
        <v>-11109.859999999986</v>
      </c>
      <c r="BA86" s="237">
        <f t="shared" si="85"/>
        <v>-3.9953464954867401</v>
      </c>
      <c r="BB86" s="136">
        <f t="shared" si="69"/>
        <v>278070</v>
      </c>
      <c r="BC86" s="176">
        <v>297444.63</v>
      </c>
      <c r="BD86" s="137">
        <f t="shared" si="86"/>
        <v>19374.630000000005</v>
      </c>
      <c r="BE86" s="237">
        <f t="shared" si="87"/>
        <v>6.9675369511274177</v>
      </c>
      <c r="BF86" s="136">
        <f t="shared" si="63"/>
        <v>3312925.7</v>
      </c>
      <c r="BG86" s="188">
        <f t="shared" si="64"/>
        <v>3330154.0500000003</v>
      </c>
      <c r="BH86" s="63">
        <f t="shared" si="93"/>
        <v>1095079.48</v>
      </c>
    </row>
    <row r="87" spans="2:60" s="11" customFormat="1" x14ac:dyDescent="0.25">
      <c r="B87" s="170">
        <v>12230</v>
      </c>
      <c r="C87" s="135">
        <v>339</v>
      </c>
      <c r="D87" s="332" t="s">
        <v>184</v>
      </c>
      <c r="E87" s="332"/>
      <c r="F87" s="662"/>
      <c r="G87" s="663">
        <v>17309.941666666666</v>
      </c>
      <c r="H87" s="136">
        <f>F87*G87+G87</f>
        <v>17309.941666666666</v>
      </c>
      <c r="I87" s="137">
        <v>17974.89</v>
      </c>
      <c r="J87" s="138">
        <f t="shared" si="60"/>
        <v>664.94833333333372</v>
      </c>
      <c r="K87" s="566">
        <f t="shared" si="73"/>
        <v>3.8414244607987813</v>
      </c>
      <c r="L87" s="664">
        <f>$H$87</f>
        <v>17309.941666666666</v>
      </c>
      <c r="M87" s="137">
        <v>17888.89</v>
      </c>
      <c r="N87" s="137">
        <f t="shared" si="88"/>
        <v>578.94833333333372</v>
      </c>
      <c r="O87" s="245">
        <f t="shared" si="74"/>
        <v>3.3446001406706172</v>
      </c>
      <c r="P87" s="136">
        <f>$H$87</f>
        <v>17309.941666666666</v>
      </c>
      <c r="Q87" s="137">
        <v>17924.41</v>
      </c>
      <c r="R87" s="172">
        <f t="shared" si="89"/>
        <v>614.46833333333416</v>
      </c>
      <c r="S87" s="245">
        <f t="shared" si="75"/>
        <v>3.5498001389375089</v>
      </c>
      <c r="T87" s="136">
        <f>$H$87</f>
        <v>17309.941666666666</v>
      </c>
      <c r="U87" s="137">
        <v>17701.55</v>
      </c>
      <c r="V87" s="137">
        <f t="shared" si="90"/>
        <v>391.60833333333358</v>
      </c>
      <c r="W87" s="245">
        <f t="shared" si="76"/>
        <v>2.2623319065681491</v>
      </c>
      <c r="X87" s="136">
        <f>$H$87</f>
        <v>17309.941666666666</v>
      </c>
      <c r="Y87" s="137">
        <v>17821.55</v>
      </c>
      <c r="Z87" s="137">
        <f t="shared" si="91"/>
        <v>511.60833333333358</v>
      </c>
      <c r="AA87" s="237">
        <f t="shared" si="77"/>
        <v>2.9555751439563016</v>
      </c>
      <c r="AB87" s="136">
        <f>$H$87</f>
        <v>17309.941666666666</v>
      </c>
      <c r="AC87" s="137">
        <v>17741.55</v>
      </c>
      <c r="AD87" s="137">
        <f t="shared" si="92"/>
        <v>431.60833333333358</v>
      </c>
      <c r="AE87" s="642">
        <f t="shared" si="78"/>
        <v>2.4934129856975185</v>
      </c>
      <c r="AF87" s="136">
        <f t="shared" si="61"/>
        <v>107052.84000000001</v>
      </c>
      <c r="AG87" s="136">
        <f t="shared" si="62"/>
        <v>17842.140000000003</v>
      </c>
      <c r="AH87" s="136">
        <v>17850</v>
      </c>
      <c r="AI87" s="137">
        <v>17770.12</v>
      </c>
      <c r="AJ87" s="137">
        <f t="shared" si="70"/>
        <v>-79.880000000001019</v>
      </c>
      <c r="AK87" s="237">
        <f t="shared" si="71"/>
        <v>-0.44750700280112854</v>
      </c>
      <c r="AL87" s="136">
        <f t="shared" si="65"/>
        <v>17850</v>
      </c>
      <c r="AM87" s="137">
        <v>17667.259999999998</v>
      </c>
      <c r="AN87" s="169">
        <f t="shared" si="79"/>
        <v>-182.7400000000016</v>
      </c>
      <c r="AO87" s="237">
        <f t="shared" si="80"/>
        <v>-1.0237535014005705</v>
      </c>
      <c r="AP87" s="136">
        <f t="shared" si="66"/>
        <v>17850</v>
      </c>
      <c r="AQ87" s="176">
        <v>17796.18</v>
      </c>
      <c r="AR87" s="169">
        <f t="shared" si="81"/>
        <v>-53.819999999999709</v>
      </c>
      <c r="AS87" s="237">
        <f t="shared" si="72"/>
        <v>-0.30151260504202027</v>
      </c>
      <c r="AT87" s="136">
        <f t="shared" si="67"/>
        <v>17850</v>
      </c>
      <c r="AU87" s="176">
        <v>25565.58</v>
      </c>
      <c r="AV87" s="169">
        <f t="shared" si="82"/>
        <v>7715.5800000000017</v>
      </c>
      <c r="AW87" s="237">
        <f t="shared" si="83"/>
        <v>43.224537815126055</v>
      </c>
      <c r="AX87" s="136">
        <f t="shared" si="68"/>
        <v>17850</v>
      </c>
      <c r="AY87" s="176">
        <v>19991.810000000001</v>
      </c>
      <c r="AZ87" s="169">
        <f t="shared" si="84"/>
        <v>2141.8100000000013</v>
      </c>
      <c r="BA87" s="237">
        <f t="shared" si="85"/>
        <v>11.998935574229709</v>
      </c>
      <c r="BB87" s="136">
        <f t="shared" si="69"/>
        <v>17850</v>
      </c>
      <c r="BC87" s="176">
        <v>19705.55</v>
      </c>
      <c r="BD87" s="137">
        <f t="shared" si="86"/>
        <v>1855.5499999999993</v>
      </c>
      <c r="BE87" s="237">
        <f t="shared" si="87"/>
        <v>10.395238095238103</v>
      </c>
      <c r="BF87" s="136">
        <f t="shared" si="63"/>
        <v>214152.84000000003</v>
      </c>
      <c r="BG87" s="188">
        <f t="shared" si="64"/>
        <v>225549.33999999997</v>
      </c>
      <c r="BH87" s="63">
        <f t="shared" si="93"/>
        <v>71489.740000000005</v>
      </c>
    </row>
    <row r="88" spans="2:60" s="11" customFormat="1" x14ac:dyDescent="0.25">
      <c r="B88" s="170">
        <v>12231</v>
      </c>
      <c r="C88" s="135">
        <v>373</v>
      </c>
      <c r="D88" s="332" t="s">
        <v>185</v>
      </c>
      <c r="E88" s="332"/>
      <c r="F88" s="662"/>
      <c r="G88" s="663">
        <v>32735.10666666667</v>
      </c>
      <c r="H88" s="136">
        <v>32740</v>
      </c>
      <c r="I88" s="137">
        <v>35224.58</v>
      </c>
      <c r="J88" s="138">
        <f t="shared" si="60"/>
        <v>2484.5800000000017</v>
      </c>
      <c r="K88" s="566">
        <f t="shared" si="73"/>
        <v>7.5888210140500956</v>
      </c>
      <c r="L88" s="664">
        <f>$H$88</f>
        <v>32740</v>
      </c>
      <c r="M88" s="137">
        <v>35641.269999999997</v>
      </c>
      <c r="N88" s="137">
        <f t="shared" si="88"/>
        <v>2901.2699999999968</v>
      </c>
      <c r="O88" s="245">
        <f t="shared" si="74"/>
        <v>8.8615455100794058</v>
      </c>
      <c r="P88" s="136">
        <f>$H$88</f>
        <v>32740</v>
      </c>
      <c r="Q88" s="137">
        <v>34611.42</v>
      </c>
      <c r="R88" s="172">
        <f t="shared" si="89"/>
        <v>1871.4199999999983</v>
      </c>
      <c r="S88" s="245">
        <f t="shared" si="75"/>
        <v>5.7160048869883795</v>
      </c>
      <c r="T88" s="136">
        <f>$H$88</f>
        <v>32740</v>
      </c>
      <c r="U88" s="137">
        <v>38926.339999999997</v>
      </c>
      <c r="V88" s="137">
        <f t="shared" si="90"/>
        <v>6186.3399999999965</v>
      </c>
      <c r="W88" s="245">
        <f t="shared" si="76"/>
        <v>18.895357361026257</v>
      </c>
      <c r="X88" s="136">
        <f>$H$88</f>
        <v>32740</v>
      </c>
      <c r="Y88" s="137">
        <v>37798.839999999997</v>
      </c>
      <c r="Z88" s="137">
        <f t="shared" si="91"/>
        <v>5058.8399999999965</v>
      </c>
      <c r="AA88" s="237">
        <f t="shared" si="77"/>
        <v>15.45155772755038</v>
      </c>
      <c r="AB88" s="136">
        <f>$H$88</f>
        <v>32740</v>
      </c>
      <c r="AC88" s="137">
        <v>35733.96</v>
      </c>
      <c r="AD88" s="137">
        <f t="shared" si="92"/>
        <v>2993.9599999999991</v>
      </c>
      <c r="AE88" s="642">
        <f t="shared" si="78"/>
        <v>9.1446548564447117</v>
      </c>
      <c r="AF88" s="136">
        <f t="shared" si="61"/>
        <v>217936.40999999997</v>
      </c>
      <c r="AG88" s="136">
        <f t="shared" si="62"/>
        <v>36322.734999999993</v>
      </c>
      <c r="AH88" s="136">
        <v>36400</v>
      </c>
      <c r="AI88" s="137">
        <v>35903.39</v>
      </c>
      <c r="AJ88" s="137">
        <f t="shared" si="70"/>
        <v>-496.61000000000058</v>
      </c>
      <c r="AK88" s="237">
        <f t="shared" si="71"/>
        <v>-1.364313186813193</v>
      </c>
      <c r="AL88" s="136">
        <f t="shared" si="65"/>
        <v>36400</v>
      </c>
      <c r="AM88" s="137">
        <v>36855.800000000003</v>
      </c>
      <c r="AN88" s="659">
        <f t="shared" si="79"/>
        <v>455.80000000000291</v>
      </c>
      <c r="AO88" s="237">
        <f t="shared" si="80"/>
        <v>1.2521978021978075</v>
      </c>
      <c r="AP88" s="136">
        <f t="shared" si="66"/>
        <v>36400</v>
      </c>
      <c r="AQ88" s="176">
        <v>33813.040000000001</v>
      </c>
      <c r="AR88" s="169">
        <f t="shared" si="81"/>
        <v>-2586.9599999999991</v>
      </c>
      <c r="AS88" s="237">
        <f t="shared" si="72"/>
        <v>-7.1070329670329668</v>
      </c>
      <c r="AT88" s="136">
        <f t="shared" si="67"/>
        <v>36400</v>
      </c>
      <c r="AU88" s="176">
        <v>40316.839999999997</v>
      </c>
      <c r="AV88" s="169">
        <f t="shared" si="82"/>
        <v>3916.8399999999965</v>
      </c>
      <c r="AW88" s="237">
        <f t="shared" si="83"/>
        <v>10.760549450549451</v>
      </c>
      <c r="AX88" s="136">
        <f t="shared" si="68"/>
        <v>36400</v>
      </c>
      <c r="AY88" s="176">
        <v>33968.67</v>
      </c>
      <c r="AZ88" s="169">
        <f t="shared" si="84"/>
        <v>-2431.3300000000017</v>
      </c>
      <c r="BA88" s="237">
        <f t="shared" si="85"/>
        <v>-6.6794780219780243</v>
      </c>
      <c r="BB88" s="136">
        <f t="shared" si="69"/>
        <v>36400</v>
      </c>
      <c r="BC88" s="176">
        <v>36110.410000000003</v>
      </c>
      <c r="BD88" s="137">
        <f t="shared" si="86"/>
        <v>-289.58999999999651</v>
      </c>
      <c r="BE88" s="237">
        <f t="shared" si="87"/>
        <v>-0.79557692307691275</v>
      </c>
      <c r="BF88" s="136">
        <f t="shared" si="63"/>
        <v>436336.41</v>
      </c>
      <c r="BG88" s="188">
        <f t="shared" si="64"/>
        <v>434904.55999999994</v>
      </c>
      <c r="BH88" s="63">
        <f t="shared" si="93"/>
        <v>144403.60999999999</v>
      </c>
    </row>
    <row r="89" spans="2:60" s="11" customFormat="1" x14ac:dyDescent="0.25">
      <c r="B89" s="170">
        <v>51010</v>
      </c>
      <c r="C89" s="135">
        <v>328</v>
      </c>
      <c r="D89" s="332" t="s">
        <v>186</v>
      </c>
      <c r="E89" s="332"/>
      <c r="F89" s="662"/>
      <c r="G89" s="663">
        <v>148811.285</v>
      </c>
      <c r="H89" s="136">
        <v>148810</v>
      </c>
      <c r="I89" s="137">
        <v>172481</v>
      </c>
      <c r="J89" s="138">
        <f t="shared" si="60"/>
        <v>23671</v>
      </c>
      <c r="K89" s="566">
        <f t="shared" si="73"/>
        <v>15.906861098044489</v>
      </c>
      <c r="L89" s="664">
        <f>$H$89</f>
        <v>148810</v>
      </c>
      <c r="M89" s="137">
        <v>152723</v>
      </c>
      <c r="N89" s="137">
        <f t="shared" si="88"/>
        <v>3913</v>
      </c>
      <c r="O89" s="245">
        <f t="shared" si="74"/>
        <v>2.6295275855117373</v>
      </c>
      <c r="P89" s="136">
        <f>$H$89</f>
        <v>148810</v>
      </c>
      <c r="Q89" s="137">
        <v>178420</v>
      </c>
      <c r="R89" s="172">
        <f t="shared" si="89"/>
        <v>29610</v>
      </c>
      <c r="S89" s="245">
        <f t="shared" si="75"/>
        <v>19.897856326859763</v>
      </c>
      <c r="T89" s="136">
        <f>$H$89</f>
        <v>148810</v>
      </c>
      <c r="U89" s="137">
        <v>180600</v>
      </c>
      <c r="V89" s="137">
        <f t="shared" si="90"/>
        <v>31790</v>
      </c>
      <c r="W89" s="245">
        <f t="shared" si="76"/>
        <v>21.362811639002754</v>
      </c>
      <c r="X89" s="136">
        <f>$H$89</f>
        <v>148810</v>
      </c>
      <c r="Y89" s="137">
        <v>181451</v>
      </c>
      <c r="Z89" s="137">
        <f t="shared" si="91"/>
        <v>32641</v>
      </c>
      <c r="AA89" s="237">
        <f t="shared" si="77"/>
        <v>21.934681809018208</v>
      </c>
      <c r="AB89" s="136">
        <f>$H$89</f>
        <v>148810</v>
      </c>
      <c r="AC89" s="137">
        <v>182242</v>
      </c>
      <c r="AD89" s="137">
        <f t="shared" si="92"/>
        <v>33432</v>
      </c>
      <c r="AE89" s="642">
        <f t="shared" si="78"/>
        <v>22.466232108057248</v>
      </c>
      <c r="AF89" s="136">
        <f t="shared" si="61"/>
        <v>1047917</v>
      </c>
      <c r="AG89" s="136">
        <f t="shared" si="62"/>
        <v>174652.83333333334</v>
      </c>
      <c r="AH89" s="136">
        <v>174700</v>
      </c>
      <c r="AI89" s="137">
        <v>172464</v>
      </c>
      <c r="AJ89" s="137">
        <f t="shared" si="70"/>
        <v>-2236</v>
      </c>
      <c r="AK89" s="237">
        <f t="shared" si="71"/>
        <v>-1.2799084144247241</v>
      </c>
      <c r="AL89" s="136">
        <f t="shared" si="65"/>
        <v>174700</v>
      </c>
      <c r="AM89" s="137">
        <v>171852</v>
      </c>
      <c r="AN89" s="169">
        <f t="shared" si="79"/>
        <v>-2848</v>
      </c>
      <c r="AO89" s="237">
        <f t="shared" si="80"/>
        <v>-1.6302232398397232</v>
      </c>
      <c r="AP89" s="136">
        <f t="shared" si="66"/>
        <v>174700</v>
      </c>
      <c r="AQ89" s="176">
        <v>167128</v>
      </c>
      <c r="AR89" s="169">
        <f t="shared" si="81"/>
        <v>-7572</v>
      </c>
      <c r="AS89" s="237">
        <f t="shared" si="72"/>
        <v>-4.3342873497424161</v>
      </c>
      <c r="AT89" s="136">
        <f t="shared" si="67"/>
        <v>174700</v>
      </c>
      <c r="AU89" s="176">
        <v>186453</v>
      </c>
      <c r="AV89" s="169">
        <f t="shared" si="82"/>
        <v>11753</v>
      </c>
      <c r="AW89" s="237">
        <f t="shared" si="83"/>
        <v>6.7275329135661144</v>
      </c>
      <c r="AX89" s="136">
        <f t="shared" si="68"/>
        <v>174700</v>
      </c>
      <c r="AY89" s="176">
        <v>169623</v>
      </c>
      <c r="AZ89" s="169">
        <f t="shared" si="84"/>
        <v>-5077</v>
      </c>
      <c r="BA89" s="237">
        <f t="shared" si="85"/>
        <v>-2.906124785346309</v>
      </c>
      <c r="BB89" s="136">
        <f t="shared" si="69"/>
        <v>174700</v>
      </c>
      <c r="BC89" s="176">
        <v>187154</v>
      </c>
      <c r="BD89" s="137">
        <f t="shared" si="86"/>
        <v>12454</v>
      </c>
      <c r="BE89" s="237">
        <f t="shared" si="87"/>
        <v>7.1287922152261096</v>
      </c>
      <c r="BF89" s="136">
        <f t="shared" si="63"/>
        <v>2096117</v>
      </c>
      <c r="BG89" s="188">
        <f t="shared" si="64"/>
        <v>2102591</v>
      </c>
      <c r="BH89" s="63">
        <f t="shared" si="93"/>
        <v>684224</v>
      </c>
    </row>
    <row r="90" spans="2:60" s="11" customFormat="1" x14ac:dyDescent="0.25">
      <c r="B90" s="170">
        <v>51011</v>
      </c>
      <c r="C90" s="135">
        <v>329</v>
      </c>
      <c r="D90" s="332" t="s">
        <v>187</v>
      </c>
      <c r="E90" s="332"/>
      <c r="F90" s="662"/>
      <c r="G90" s="663">
        <v>208572.89333333331</v>
      </c>
      <c r="H90" s="136">
        <v>208570</v>
      </c>
      <c r="I90" s="137">
        <v>197314</v>
      </c>
      <c r="J90" s="138">
        <f t="shared" si="60"/>
        <v>-11256</v>
      </c>
      <c r="K90" s="566">
        <f t="shared" si="73"/>
        <v>-5.3967492928033707</v>
      </c>
      <c r="L90" s="664">
        <f>$H$90</f>
        <v>208570</v>
      </c>
      <c r="M90" s="137">
        <v>219666</v>
      </c>
      <c r="N90" s="137">
        <f t="shared" si="88"/>
        <v>11096</v>
      </c>
      <c r="O90" s="245">
        <f t="shared" si="74"/>
        <v>5.3200364386057464</v>
      </c>
      <c r="P90" s="136">
        <f>$H$90</f>
        <v>208570</v>
      </c>
      <c r="Q90" s="137">
        <v>237704</v>
      </c>
      <c r="R90" s="172">
        <f t="shared" si="89"/>
        <v>29134</v>
      </c>
      <c r="S90" s="245">
        <f t="shared" si="75"/>
        <v>13.968451838711227</v>
      </c>
      <c r="T90" s="136">
        <f>$H$90</f>
        <v>208570</v>
      </c>
      <c r="U90" s="137">
        <v>234614</v>
      </c>
      <c r="V90" s="137">
        <f t="shared" si="90"/>
        <v>26044</v>
      </c>
      <c r="W90" s="245">
        <f t="shared" si="76"/>
        <v>12.486934842019458</v>
      </c>
      <c r="X90" s="136">
        <f>$H$90</f>
        <v>208570</v>
      </c>
      <c r="Y90" s="137">
        <v>241710</v>
      </c>
      <c r="Z90" s="137">
        <f t="shared" si="91"/>
        <v>33140</v>
      </c>
      <c r="AA90" s="237">
        <f t="shared" si="77"/>
        <v>15.889149925684421</v>
      </c>
      <c r="AB90" s="136">
        <f>$H$90</f>
        <v>208570</v>
      </c>
      <c r="AC90" s="137">
        <v>233344</v>
      </c>
      <c r="AD90" s="137">
        <f t="shared" si="92"/>
        <v>24774</v>
      </c>
      <c r="AE90" s="642">
        <f t="shared" si="78"/>
        <v>11.878026561825772</v>
      </c>
      <c r="AF90" s="136">
        <f t="shared" si="61"/>
        <v>1364352</v>
      </c>
      <c r="AG90" s="136">
        <f t="shared" si="62"/>
        <v>227392</v>
      </c>
      <c r="AH90" s="136">
        <v>227400</v>
      </c>
      <c r="AI90" s="137">
        <v>240546</v>
      </c>
      <c r="AJ90" s="137">
        <f t="shared" si="70"/>
        <v>13146</v>
      </c>
      <c r="AK90" s="237">
        <f t="shared" si="71"/>
        <v>5.7810026385224367</v>
      </c>
      <c r="AL90" s="136">
        <f t="shared" si="65"/>
        <v>227400</v>
      </c>
      <c r="AM90" s="137">
        <v>244826</v>
      </c>
      <c r="AN90" s="659">
        <f t="shared" si="79"/>
        <v>17426</v>
      </c>
      <c r="AO90" s="237">
        <f t="shared" si="80"/>
        <v>7.6631486367634061</v>
      </c>
      <c r="AP90" s="136">
        <f t="shared" si="66"/>
        <v>227400</v>
      </c>
      <c r="AQ90" s="176">
        <v>234478</v>
      </c>
      <c r="AR90" s="169">
        <f t="shared" si="81"/>
        <v>7078</v>
      </c>
      <c r="AS90" s="237">
        <f t="shared" si="72"/>
        <v>3.1125769569041228</v>
      </c>
      <c r="AT90" s="136">
        <f t="shared" si="67"/>
        <v>227400</v>
      </c>
      <c r="AU90" s="176">
        <v>242618</v>
      </c>
      <c r="AV90" s="169">
        <f t="shared" si="82"/>
        <v>15218</v>
      </c>
      <c r="AW90" s="237">
        <f t="shared" si="83"/>
        <v>6.6921723834652669</v>
      </c>
      <c r="AX90" s="136">
        <f t="shared" si="68"/>
        <v>227400</v>
      </c>
      <c r="AY90" s="176">
        <v>240398</v>
      </c>
      <c r="AZ90" s="169">
        <f t="shared" si="84"/>
        <v>12998</v>
      </c>
      <c r="BA90" s="237">
        <f t="shared" si="85"/>
        <v>5.7159190853122155</v>
      </c>
      <c r="BB90" s="136">
        <f t="shared" si="69"/>
        <v>227400</v>
      </c>
      <c r="BC90" s="176">
        <v>249754</v>
      </c>
      <c r="BD90" s="137">
        <f t="shared" si="86"/>
        <v>22354</v>
      </c>
      <c r="BE90" s="237">
        <f t="shared" si="87"/>
        <v>9.8302550571679923</v>
      </c>
      <c r="BF90" s="136">
        <f t="shared" si="63"/>
        <v>2728752</v>
      </c>
      <c r="BG90" s="188">
        <f t="shared" si="64"/>
        <v>2816972</v>
      </c>
      <c r="BH90" s="63">
        <f t="shared" si="93"/>
        <v>889298</v>
      </c>
    </row>
    <row r="91" spans="2:60" s="11" customFormat="1" x14ac:dyDescent="0.25">
      <c r="B91" s="170">
        <v>51012</v>
      </c>
      <c r="C91" s="135">
        <v>334</v>
      </c>
      <c r="D91" s="332" t="s">
        <v>55</v>
      </c>
      <c r="E91" s="332"/>
      <c r="F91" s="662"/>
      <c r="G91" s="663">
        <v>282452.47166666668</v>
      </c>
      <c r="H91" s="136">
        <v>282450</v>
      </c>
      <c r="I91" s="137">
        <v>270348</v>
      </c>
      <c r="J91" s="138">
        <f t="shared" si="60"/>
        <v>-12102</v>
      </c>
      <c r="K91" s="566">
        <f t="shared" si="73"/>
        <v>-4.2846521508231543</v>
      </c>
      <c r="L91" s="664">
        <f>$H$91</f>
        <v>282450</v>
      </c>
      <c r="M91" s="137">
        <v>278488</v>
      </c>
      <c r="N91" s="137">
        <f t="shared" si="88"/>
        <v>-3962</v>
      </c>
      <c r="O91" s="245">
        <f t="shared" si="74"/>
        <v>-1.4027261462205676</v>
      </c>
      <c r="P91" s="136">
        <f>$H$91</f>
        <v>282450</v>
      </c>
      <c r="Q91" s="137">
        <v>268918</v>
      </c>
      <c r="R91" s="172">
        <f t="shared" si="89"/>
        <v>-13532</v>
      </c>
      <c r="S91" s="245">
        <f t="shared" si="75"/>
        <v>-4.7909364489290169</v>
      </c>
      <c r="T91" s="136">
        <f>$H$91</f>
        <v>282450</v>
      </c>
      <c r="U91" s="137">
        <v>274318</v>
      </c>
      <c r="V91" s="137">
        <f t="shared" si="90"/>
        <v>-8132</v>
      </c>
      <c r="W91" s="245">
        <f t="shared" si="76"/>
        <v>-2.879093644892905</v>
      </c>
      <c r="X91" s="136">
        <f>$H$91</f>
        <v>282450</v>
      </c>
      <c r="Y91" s="137">
        <v>278058</v>
      </c>
      <c r="Z91" s="137">
        <f t="shared" si="91"/>
        <v>-4392</v>
      </c>
      <c r="AA91" s="237">
        <f t="shared" si="77"/>
        <v>-1.5549654806160329</v>
      </c>
      <c r="AB91" s="136">
        <f>$H$91</f>
        <v>282450</v>
      </c>
      <c r="AC91" s="137">
        <v>289044.01</v>
      </c>
      <c r="AD91" s="137">
        <f t="shared" si="92"/>
        <v>6594.0100000000093</v>
      </c>
      <c r="AE91" s="642">
        <f t="shared" si="78"/>
        <v>2.334576031155966</v>
      </c>
      <c r="AF91" s="136">
        <f t="shared" si="61"/>
        <v>1659174.01</v>
      </c>
      <c r="AG91" s="136">
        <f t="shared" si="62"/>
        <v>276529.00166666665</v>
      </c>
      <c r="AH91" s="136">
        <f>$H$91</f>
        <v>282450</v>
      </c>
      <c r="AI91" s="137">
        <v>292732.27</v>
      </c>
      <c r="AJ91" s="137">
        <f t="shared" si="70"/>
        <v>10282.270000000019</v>
      </c>
      <c r="AK91" s="237">
        <f t="shared" si="71"/>
        <v>3.6403859090104573</v>
      </c>
      <c r="AL91" s="136">
        <f t="shared" si="65"/>
        <v>282450</v>
      </c>
      <c r="AM91" s="137">
        <v>298725.68</v>
      </c>
      <c r="AN91" s="659">
        <f t="shared" si="79"/>
        <v>16275.679999999993</v>
      </c>
      <c r="AO91" s="237">
        <f t="shared" si="80"/>
        <v>5.7623225349619389</v>
      </c>
      <c r="AP91" s="136">
        <f t="shared" si="66"/>
        <v>282450</v>
      </c>
      <c r="AQ91" s="176">
        <v>298725.68</v>
      </c>
      <c r="AR91" s="169">
        <f t="shared" si="81"/>
        <v>16275.679999999993</v>
      </c>
      <c r="AS91" s="237">
        <f t="shared" si="72"/>
        <v>5.7623225349619389</v>
      </c>
      <c r="AT91" s="136">
        <f t="shared" si="67"/>
        <v>282450</v>
      </c>
      <c r="AU91" s="176">
        <v>298725.68</v>
      </c>
      <c r="AV91" s="169">
        <f t="shared" si="82"/>
        <v>16275.679999999993</v>
      </c>
      <c r="AW91" s="237">
        <f t="shared" si="83"/>
        <v>5.7623225349619389</v>
      </c>
      <c r="AX91" s="136">
        <f t="shared" si="68"/>
        <v>282450</v>
      </c>
      <c r="AY91" s="176">
        <v>298725.68</v>
      </c>
      <c r="AZ91" s="169">
        <f t="shared" si="84"/>
        <v>16275.679999999993</v>
      </c>
      <c r="BA91" s="237">
        <f t="shared" si="85"/>
        <v>5.7623225349619389</v>
      </c>
      <c r="BB91" s="136">
        <f t="shared" si="69"/>
        <v>282450</v>
      </c>
      <c r="BC91" s="176">
        <v>269596.02</v>
      </c>
      <c r="BD91" s="137">
        <f t="shared" si="86"/>
        <v>-12853.979999999981</v>
      </c>
      <c r="BE91" s="237">
        <f t="shared" si="87"/>
        <v>-4.5508868826340869</v>
      </c>
      <c r="BF91" s="136">
        <f t="shared" si="63"/>
        <v>3353874.01</v>
      </c>
      <c r="BG91" s="188">
        <f t="shared" si="64"/>
        <v>3416405.0200000005</v>
      </c>
      <c r="BH91" s="63">
        <f t="shared" si="93"/>
        <v>1092072</v>
      </c>
    </row>
    <row r="92" spans="2:60" s="11" customFormat="1" x14ac:dyDescent="0.25">
      <c r="B92" s="170">
        <v>51013</v>
      </c>
      <c r="C92" s="135">
        <v>330</v>
      </c>
      <c r="D92" s="332" t="s">
        <v>56</v>
      </c>
      <c r="E92" s="332"/>
      <c r="F92" s="662"/>
      <c r="G92" s="663">
        <v>6425.333333333333</v>
      </c>
      <c r="H92" s="136">
        <v>6430</v>
      </c>
      <c r="I92" s="137">
        <v>7600</v>
      </c>
      <c r="J92" s="138">
        <f t="shared" si="60"/>
        <v>1170</v>
      </c>
      <c r="K92" s="566">
        <f t="shared" si="73"/>
        <v>18.195956454121308</v>
      </c>
      <c r="L92" s="664">
        <f>$H$92</f>
        <v>6430</v>
      </c>
      <c r="M92" s="137">
        <v>6600</v>
      </c>
      <c r="N92" s="137">
        <f t="shared" si="88"/>
        <v>170</v>
      </c>
      <c r="O92" s="245">
        <f t="shared" si="74"/>
        <v>2.6438569206842955</v>
      </c>
      <c r="P92" s="136">
        <f>$H$92</f>
        <v>6430</v>
      </c>
      <c r="Q92" s="137">
        <v>6200</v>
      </c>
      <c r="R92" s="172">
        <f t="shared" si="89"/>
        <v>-230</v>
      </c>
      <c r="S92" s="245">
        <f t="shared" si="75"/>
        <v>-3.5769828926905167</v>
      </c>
      <c r="T92" s="136">
        <f>$H$92</f>
        <v>6430</v>
      </c>
      <c r="U92" s="137">
        <v>6800</v>
      </c>
      <c r="V92" s="137">
        <f t="shared" si="90"/>
        <v>370</v>
      </c>
      <c r="W92" s="245">
        <f t="shared" si="76"/>
        <v>5.7542768273716849</v>
      </c>
      <c r="X92" s="136">
        <f>$H$92</f>
        <v>6430</v>
      </c>
      <c r="Y92" s="137">
        <v>6800</v>
      </c>
      <c r="Z92" s="137">
        <f t="shared" si="91"/>
        <v>370</v>
      </c>
      <c r="AA92" s="237">
        <f t="shared" si="77"/>
        <v>5.7542768273716849</v>
      </c>
      <c r="AB92" s="136">
        <f>$H$92</f>
        <v>6430</v>
      </c>
      <c r="AC92" s="137">
        <v>6600</v>
      </c>
      <c r="AD92" s="137">
        <f t="shared" si="92"/>
        <v>170</v>
      </c>
      <c r="AE92" s="642">
        <f t="shared" si="78"/>
        <v>2.6438569206842955</v>
      </c>
      <c r="AF92" s="136">
        <f t="shared" si="61"/>
        <v>40600</v>
      </c>
      <c r="AG92" s="136">
        <f t="shared" si="62"/>
        <v>6766.666666666667</v>
      </c>
      <c r="AH92" s="136">
        <v>6800</v>
      </c>
      <c r="AI92" s="137">
        <v>7000</v>
      </c>
      <c r="AJ92" s="137">
        <f t="shared" si="70"/>
        <v>200</v>
      </c>
      <c r="AK92" s="237">
        <f t="shared" si="71"/>
        <v>2.9411764705882248</v>
      </c>
      <c r="AL92" s="136">
        <f t="shared" si="65"/>
        <v>6800</v>
      </c>
      <c r="AM92" s="137">
        <v>6800</v>
      </c>
      <c r="AN92" s="169">
        <f t="shared" si="79"/>
        <v>0</v>
      </c>
      <c r="AO92" s="237">
        <f t="shared" si="80"/>
        <v>0</v>
      </c>
      <c r="AP92" s="136">
        <f t="shared" si="66"/>
        <v>6800</v>
      </c>
      <c r="AQ92" s="176">
        <v>6200</v>
      </c>
      <c r="AR92" s="169">
        <f t="shared" si="81"/>
        <v>-600</v>
      </c>
      <c r="AS92" s="237">
        <f t="shared" si="72"/>
        <v>-8.8235294117647083</v>
      </c>
      <c r="AT92" s="136">
        <f t="shared" si="67"/>
        <v>6800</v>
      </c>
      <c r="AU92" s="176">
        <v>5500</v>
      </c>
      <c r="AV92" s="169">
        <f t="shared" si="82"/>
        <v>-1300</v>
      </c>
      <c r="AW92" s="237">
        <f t="shared" si="83"/>
        <v>-19.117647058823529</v>
      </c>
      <c r="AX92" s="136">
        <f t="shared" si="68"/>
        <v>6800</v>
      </c>
      <c r="AY92" s="176">
        <v>8900</v>
      </c>
      <c r="AZ92" s="169">
        <f t="shared" si="84"/>
        <v>2100</v>
      </c>
      <c r="BA92" s="237">
        <f t="shared" si="85"/>
        <v>30.882352941176471</v>
      </c>
      <c r="BB92" s="136">
        <f t="shared" si="69"/>
        <v>6800</v>
      </c>
      <c r="BC92" s="176">
        <v>7200</v>
      </c>
      <c r="BD92" s="137">
        <f t="shared" si="86"/>
        <v>400</v>
      </c>
      <c r="BE92" s="237">
        <f t="shared" si="87"/>
        <v>5.8823529411764719</v>
      </c>
      <c r="BF92" s="136">
        <f t="shared" si="63"/>
        <v>81400</v>
      </c>
      <c r="BG92" s="188">
        <f t="shared" si="64"/>
        <v>82200</v>
      </c>
      <c r="BH92" s="63">
        <f t="shared" si="93"/>
        <v>27200</v>
      </c>
    </row>
    <row r="93" spans="2:60" s="11" customFormat="1" x14ac:dyDescent="0.25">
      <c r="B93" s="170">
        <v>51014</v>
      </c>
      <c r="C93" s="135">
        <v>331</v>
      </c>
      <c r="D93" s="332" t="s">
        <v>57</v>
      </c>
      <c r="E93" s="332"/>
      <c r="F93" s="662"/>
      <c r="G93" s="663">
        <v>131005.03166666668</v>
      </c>
      <c r="H93" s="136">
        <v>131010</v>
      </c>
      <c r="I93" s="137">
        <v>150825.82</v>
      </c>
      <c r="J93" s="138">
        <f t="shared" si="60"/>
        <v>19815.820000000007</v>
      </c>
      <c r="K93" s="566">
        <f t="shared" si="73"/>
        <v>15.12542554003511</v>
      </c>
      <c r="L93" s="664">
        <f>$H$93</f>
        <v>131010</v>
      </c>
      <c r="M93" s="137">
        <v>150600</v>
      </c>
      <c r="N93" s="137">
        <f t="shared" si="88"/>
        <v>19590</v>
      </c>
      <c r="O93" s="245">
        <f t="shared" si="74"/>
        <v>14.953057018548211</v>
      </c>
      <c r="P93" s="136">
        <f>$H$93</f>
        <v>131010</v>
      </c>
      <c r="Q93" s="137">
        <v>166600</v>
      </c>
      <c r="R93" s="172">
        <f t="shared" si="89"/>
        <v>35590</v>
      </c>
      <c r="S93" s="245">
        <f t="shared" si="75"/>
        <v>27.165865201129691</v>
      </c>
      <c r="T93" s="136">
        <f>$H$93</f>
        <v>131010</v>
      </c>
      <c r="U93" s="137">
        <v>169600.02</v>
      </c>
      <c r="V93" s="137">
        <f t="shared" si="90"/>
        <v>38590.01999999999</v>
      </c>
      <c r="W93" s="245">
        <f t="shared" si="76"/>
        <v>29.455782001373933</v>
      </c>
      <c r="X93" s="136">
        <f>$H$93</f>
        <v>131010</v>
      </c>
      <c r="Y93" s="137">
        <v>170243.19</v>
      </c>
      <c r="Z93" s="137">
        <f t="shared" si="91"/>
        <v>39233.19</v>
      </c>
      <c r="AA93" s="237">
        <f t="shared" si="77"/>
        <v>29.946713991298381</v>
      </c>
      <c r="AB93" s="136">
        <f>$H$93</f>
        <v>131010</v>
      </c>
      <c r="AC93" s="137">
        <v>195643.2</v>
      </c>
      <c r="AD93" s="137">
        <f t="shared" si="92"/>
        <v>64633.200000000012</v>
      </c>
      <c r="AE93" s="642">
        <f t="shared" si="78"/>
        <v>49.334554614151592</v>
      </c>
      <c r="AF93" s="136">
        <f t="shared" si="61"/>
        <v>1003512.23</v>
      </c>
      <c r="AG93" s="136">
        <f t="shared" si="62"/>
        <v>167252.03833333333</v>
      </c>
      <c r="AH93" s="136">
        <v>167300</v>
      </c>
      <c r="AI93" s="137">
        <v>193836.75</v>
      </c>
      <c r="AJ93" s="137">
        <f t="shared" si="70"/>
        <v>26536.75</v>
      </c>
      <c r="AK93" s="237">
        <f t="shared" si="71"/>
        <v>15.861775254034672</v>
      </c>
      <c r="AL93" s="136">
        <f t="shared" si="65"/>
        <v>167300</v>
      </c>
      <c r="AM93" s="137">
        <v>209643.24</v>
      </c>
      <c r="AN93" s="659">
        <f t="shared" si="79"/>
        <v>42343.239999999991</v>
      </c>
      <c r="AO93" s="237">
        <f t="shared" si="80"/>
        <v>25.309766885833817</v>
      </c>
      <c r="AP93" s="136">
        <f t="shared" si="66"/>
        <v>167300</v>
      </c>
      <c r="AQ93" s="176">
        <v>193643.2</v>
      </c>
      <c r="AR93" s="169">
        <f t="shared" si="81"/>
        <v>26343.200000000012</v>
      </c>
      <c r="AS93" s="237">
        <f t="shared" si="72"/>
        <v>15.746084877465627</v>
      </c>
      <c r="AT93" s="136">
        <f t="shared" si="67"/>
        <v>167300</v>
      </c>
      <c r="AU93" s="176">
        <v>188973.19</v>
      </c>
      <c r="AV93" s="169">
        <f t="shared" si="82"/>
        <v>21673.190000000002</v>
      </c>
      <c r="AW93" s="237">
        <f t="shared" si="83"/>
        <v>12.954686192468623</v>
      </c>
      <c r="AX93" s="136">
        <f t="shared" si="68"/>
        <v>167300</v>
      </c>
      <c r="AY93" s="176">
        <v>198313.21</v>
      </c>
      <c r="AZ93" s="169">
        <f t="shared" si="84"/>
        <v>31013.209999999992</v>
      </c>
      <c r="BA93" s="237">
        <f t="shared" si="85"/>
        <v>18.537483562462633</v>
      </c>
      <c r="BB93" s="136">
        <f t="shared" si="69"/>
        <v>167300</v>
      </c>
      <c r="BC93" s="176">
        <v>193643.21</v>
      </c>
      <c r="BD93" s="137">
        <f t="shared" si="86"/>
        <v>26343.209999999992</v>
      </c>
      <c r="BE93" s="237">
        <f t="shared" si="87"/>
        <v>15.746090854751937</v>
      </c>
      <c r="BF93" s="136">
        <f t="shared" si="63"/>
        <v>2007312.23</v>
      </c>
      <c r="BG93" s="188">
        <f t="shared" si="64"/>
        <v>2181565.0299999998</v>
      </c>
      <c r="BH93" s="63">
        <f t="shared" si="93"/>
        <v>637625.84</v>
      </c>
    </row>
    <row r="94" spans="2:60" s="11" customFormat="1" x14ac:dyDescent="0.25">
      <c r="B94" s="170">
        <v>51019</v>
      </c>
      <c r="C94" s="135">
        <v>325</v>
      </c>
      <c r="D94" s="332" t="s">
        <v>188</v>
      </c>
      <c r="E94" s="332"/>
      <c r="F94" s="662"/>
      <c r="G94" s="663">
        <v>129087.12333333334</v>
      </c>
      <c r="H94" s="136">
        <v>129090</v>
      </c>
      <c r="I94" s="137">
        <v>134095.5</v>
      </c>
      <c r="J94" s="138">
        <f t="shared" si="60"/>
        <v>5005.5</v>
      </c>
      <c r="K94" s="566">
        <f t="shared" si="73"/>
        <v>3.8775273065303262</v>
      </c>
      <c r="L94" s="664">
        <f>$H$94</f>
        <v>129090</v>
      </c>
      <c r="M94" s="137">
        <v>120582</v>
      </c>
      <c r="N94" s="137">
        <f t="shared" si="88"/>
        <v>-8508</v>
      </c>
      <c r="O94" s="245">
        <f t="shared" si="74"/>
        <v>-6.5907506390890047</v>
      </c>
      <c r="P94" s="136">
        <f>$H$94</f>
        <v>129090</v>
      </c>
      <c r="Q94" s="137">
        <v>132709.5</v>
      </c>
      <c r="R94" s="172">
        <f t="shared" si="89"/>
        <v>3619.5</v>
      </c>
      <c r="S94" s="245">
        <f t="shared" si="75"/>
        <v>2.80385777364629</v>
      </c>
      <c r="T94" s="136">
        <f>$H$94</f>
        <v>129090</v>
      </c>
      <c r="U94" s="137">
        <v>129591</v>
      </c>
      <c r="V94" s="137">
        <f t="shared" si="90"/>
        <v>501</v>
      </c>
      <c r="W94" s="245">
        <f t="shared" si="76"/>
        <v>0.38810132465720848</v>
      </c>
      <c r="X94" s="136">
        <f>$H$94</f>
        <v>129090</v>
      </c>
      <c r="Y94" s="137">
        <v>134095.5</v>
      </c>
      <c r="Z94" s="137">
        <f t="shared" si="91"/>
        <v>5005.5</v>
      </c>
      <c r="AA94" s="237">
        <f t="shared" si="77"/>
        <v>3.8775273065303262</v>
      </c>
      <c r="AB94" s="136">
        <f>$H$94</f>
        <v>129090</v>
      </c>
      <c r="AC94" s="137">
        <v>128205</v>
      </c>
      <c r="AD94" s="137">
        <f t="shared" si="92"/>
        <v>-885</v>
      </c>
      <c r="AE94" s="642">
        <f t="shared" si="78"/>
        <v>-0.68556820822681663</v>
      </c>
      <c r="AF94" s="136">
        <f t="shared" si="61"/>
        <v>779278.5</v>
      </c>
      <c r="AG94" s="136">
        <f t="shared" si="62"/>
        <v>129879.75</v>
      </c>
      <c r="AH94" s="136">
        <v>129900</v>
      </c>
      <c r="AI94" s="137">
        <v>169092</v>
      </c>
      <c r="AJ94" s="137">
        <f t="shared" si="70"/>
        <v>39192</v>
      </c>
      <c r="AK94" s="237">
        <f t="shared" si="71"/>
        <v>30.170900692840654</v>
      </c>
      <c r="AL94" s="136">
        <f t="shared" si="65"/>
        <v>129900</v>
      </c>
      <c r="AM94" s="137">
        <v>169092</v>
      </c>
      <c r="AN94" s="659">
        <f t="shared" si="79"/>
        <v>39192</v>
      </c>
      <c r="AO94" s="237">
        <f t="shared" si="80"/>
        <v>30.170900692840654</v>
      </c>
      <c r="AP94" s="136">
        <f t="shared" si="66"/>
        <v>129900</v>
      </c>
      <c r="AQ94" s="176">
        <v>169092</v>
      </c>
      <c r="AR94" s="169">
        <f t="shared" si="81"/>
        <v>39192</v>
      </c>
      <c r="AS94" s="237">
        <f t="shared" si="72"/>
        <v>30.170900692840654</v>
      </c>
      <c r="AT94" s="136">
        <f t="shared" si="67"/>
        <v>129900</v>
      </c>
      <c r="AU94" s="176">
        <v>169092</v>
      </c>
      <c r="AV94" s="169">
        <f t="shared" si="82"/>
        <v>39192</v>
      </c>
      <c r="AW94" s="237">
        <f t="shared" si="83"/>
        <v>30.170900692840654</v>
      </c>
      <c r="AX94" s="136">
        <f t="shared" si="68"/>
        <v>129900</v>
      </c>
      <c r="AY94" s="176">
        <v>174438.53</v>
      </c>
      <c r="AZ94" s="169">
        <f t="shared" si="84"/>
        <v>44538.53</v>
      </c>
      <c r="BA94" s="237">
        <f t="shared" si="85"/>
        <v>34.286782140107761</v>
      </c>
      <c r="BB94" s="136">
        <f t="shared" si="69"/>
        <v>129900</v>
      </c>
      <c r="BC94" s="176">
        <v>174438.53</v>
      </c>
      <c r="BD94" s="137">
        <f t="shared" si="86"/>
        <v>44538.53</v>
      </c>
      <c r="BE94" s="237">
        <f t="shared" si="87"/>
        <v>34.286782140107761</v>
      </c>
      <c r="BF94" s="136">
        <f t="shared" si="63"/>
        <v>1558678.5</v>
      </c>
      <c r="BG94" s="188">
        <f t="shared" si="64"/>
        <v>1804523.56</v>
      </c>
      <c r="BH94" s="63">
        <f t="shared" si="93"/>
        <v>516978</v>
      </c>
    </row>
    <row r="95" spans="2:60" s="11" customFormat="1" x14ac:dyDescent="0.25">
      <c r="B95" s="170">
        <v>51020</v>
      </c>
      <c r="C95" s="135">
        <v>326</v>
      </c>
      <c r="D95" s="332" t="s">
        <v>58</v>
      </c>
      <c r="E95" s="332"/>
      <c r="F95" s="662"/>
      <c r="G95" s="663">
        <v>122610.08833333333</v>
      </c>
      <c r="H95" s="136">
        <f>F95*G95+G95</f>
        <v>122610.08833333333</v>
      </c>
      <c r="I95" s="137">
        <v>127960</v>
      </c>
      <c r="J95" s="138">
        <f t="shared" si="60"/>
        <v>5349.9116666666669</v>
      </c>
      <c r="K95" s="566">
        <f t="shared" si="73"/>
        <v>4.363353570158246</v>
      </c>
      <c r="L95" s="664">
        <f>$H$95</f>
        <v>122610.08833333333</v>
      </c>
      <c r="M95" s="137">
        <v>115864</v>
      </c>
      <c r="N95" s="137">
        <f t="shared" si="88"/>
        <v>-6746.0883333333331</v>
      </c>
      <c r="O95" s="237">
        <f t="shared" si="74"/>
        <v>-5.5020662859267429</v>
      </c>
      <c r="P95" s="136">
        <f>$H$95</f>
        <v>122610.08833333333</v>
      </c>
      <c r="Q95" s="137">
        <v>125272</v>
      </c>
      <c r="R95" s="172">
        <f t="shared" si="89"/>
        <v>2661.9116666666669</v>
      </c>
      <c r="S95" s="245">
        <f t="shared" si="75"/>
        <v>2.1710380465838064</v>
      </c>
      <c r="T95" s="136">
        <f>$H$95</f>
        <v>122610.08833333333</v>
      </c>
      <c r="U95" s="137">
        <v>122584</v>
      </c>
      <c r="V95" s="137">
        <f t="shared" si="90"/>
        <v>-26.088333333333139</v>
      </c>
      <c r="W95" s="245">
        <f t="shared" si="76"/>
        <v>-2.1277476990644306E-2</v>
      </c>
      <c r="X95" s="136">
        <f>$H$95</f>
        <v>122610.08833333333</v>
      </c>
      <c r="Y95" s="137">
        <v>125944</v>
      </c>
      <c r="Z95" s="137">
        <f t="shared" si="91"/>
        <v>3333.9116666666669</v>
      </c>
      <c r="AA95" s="237">
        <f t="shared" si="77"/>
        <v>2.7191169274774163</v>
      </c>
      <c r="AB95" s="136">
        <f>$H$95</f>
        <v>122610.08833333333</v>
      </c>
      <c r="AC95" s="137">
        <v>122302</v>
      </c>
      <c r="AD95" s="137">
        <f t="shared" si="92"/>
        <v>-308.08833333333314</v>
      </c>
      <c r="AE95" s="642">
        <f t="shared" si="78"/>
        <v>-0.25127486450849945</v>
      </c>
      <c r="AF95" s="136">
        <f t="shared" si="61"/>
        <v>739926</v>
      </c>
      <c r="AG95" s="136">
        <f t="shared" si="62"/>
        <v>123321</v>
      </c>
      <c r="AH95" s="136">
        <v>123400</v>
      </c>
      <c r="AI95" s="137">
        <v>127288</v>
      </c>
      <c r="AJ95" s="137">
        <f t="shared" si="70"/>
        <v>3888</v>
      </c>
      <c r="AK95" s="237">
        <f t="shared" si="71"/>
        <v>3.1507293354943178</v>
      </c>
      <c r="AL95" s="136">
        <f t="shared" si="65"/>
        <v>123400</v>
      </c>
      <c r="AM95" s="137">
        <v>126616</v>
      </c>
      <c r="AN95" s="659">
        <f t="shared" si="79"/>
        <v>3216</v>
      </c>
      <c r="AO95" s="237">
        <f t="shared" si="80"/>
        <v>2.6061588330632102</v>
      </c>
      <c r="AP95" s="136">
        <f t="shared" si="66"/>
        <v>123400</v>
      </c>
      <c r="AQ95" s="176">
        <v>119896</v>
      </c>
      <c r="AR95" s="169">
        <f t="shared" si="81"/>
        <v>-3504</v>
      </c>
      <c r="AS95" s="237">
        <f t="shared" si="72"/>
        <v>-2.8395461912479769</v>
      </c>
      <c r="AT95" s="136">
        <f t="shared" si="67"/>
        <v>123400</v>
      </c>
      <c r="AU95" s="176">
        <v>123032</v>
      </c>
      <c r="AV95" s="169">
        <f t="shared" si="82"/>
        <v>-368</v>
      </c>
      <c r="AW95" s="237">
        <f t="shared" si="83"/>
        <v>-0.29821717990275998</v>
      </c>
      <c r="AX95" s="136">
        <f t="shared" si="68"/>
        <v>123400</v>
      </c>
      <c r="AY95" s="176">
        <v>125272</v>
      </c>
      <c r="AZ95" s="169">
        <f t="shared" si="84"/>
        <v>1872</v>
      </c>
      <c r="BA95" s="237">
        <f t="shared" si="85"/>
        <v>1.5170178282009728</v>
      </c>
      <c r="BB95" s="136">
        <f t="shared" si="69"/>
        <v>123400</v>
      </c>
      <c r="BC95" s="176">
        <v>131320</v>
      </c>
      <c r="BD95" s="137">
        <f t="shared" si="86"/>
        <v>7920</v>
      </c>
      <c r="BE95" s="237">
        <f t="shared" si="87"/>
        <v>6.41815235008103</v>
      </c>
      <c r="BF95" s="136">
        <f t="shared" si="63"/>
        <v>1480326</v>
      </c>
      <c r="BG95" s="188">
        <f t="shared" si="64"/>
        <v>1493350</v>
      </c>
      <c r="BH95" s="63">
        <f t="shared" si="93"/>
        <v>491680</v>
      </c>
    </row>
    <row r="96" spans="2:60" s="11" customFormat="1" x14ac:dyDescent="0.25">
      <c r="B96" s="170">
        <v>51288</v>
      </c>
      <c r="C96" s="135">
        <v>359</v>
      </c>
      <c r="D96" s="332" t="s">
        <v>59</v>
      </c>
      <c r="E96" s="332"/>
      <c r="F96" s="662"/>
      <c r="G96" s="663">
        <v>369507.89999999997</v>
      </c>
      <c r="H96" s="136">
        <v>369510</v>
      </c>
      <c r="I96" s="137">
        <v>361174.33</v>
      </c>
      <c r="J96" s="138">
        <f t="shared" si="60"/>
        <v>-8335.6699999999837</v>
      </c>
      <c r="K96" s="566">
        <f t="shared" si="73"/>
        <v>-2.255871289004352</v>
      </c>
      <c r="L96" s="664">
        <f>$H$96</f>
        <v>369510</v>
      </c>
      <c r="M96" s="137">
        <v>378998.5</v>
      </c>
      <c r="N96" s="137">
        <f t="shared" si="88"/>
        <v>9488.5</v>
      </c>
      <c r="O96" s="567">
        <f t="shared" si="74"/>
        <v>2.5678601391031286</v>
      </c>
      <c r="P96" s="136">
        <f>$H$96</f>
        <v>369510</v>
      </c>
      <c r="Q96" s="137">
        <v>375256</v>
      </c>
      <c r="R96" s="169">
        <f t="shared" si="89"/>
        <v>5746</v>
      </c>
      <c r="S96" s="567">
        <f t="shared" si="75"/>
        <v>1.5550323401261057</v>
      </c>
      <c r="T96" s="136">
        <f>$H$96</f>
        <v>369510</v>
      </c>
      <c r="U96" s="137">
        <v>434716.5</v>
      </c>
      <c r="V96" s="137">
        <f t="shared" si="90"/>
        <v>65206.5</v>
      </c>
      <c r="W96" s="567">
        <f t="shared" si="76"/>
        <v>17.646748396525137</v>
      </c>
      <c r="X96" s="136">
        <f>$H$96</f>
        <v>369510</v>
      </c>
      <c r="Y96" s="137">
        <v>498842.66</v>
      </c>
      <c r="Z96" s="137">
        <f t="shared" si="91"/>
        <v>129332.65999999997</v>
      </c>
      <c r="AA96" s="237">
        <f t="shared" si="77"/>
        <v>35.001125815268864</v>
      </c>
      <c r="AB96" s="136">
        <f>$H$96</f>
        <v>369510</v>
      </c>
      <c r="AC96" s="137">
        <v>422118</v>
      </c>
      <c r="AD96" s="137">
        <f t="shared" si="92"/>
        <v>52608</v>
      </c>
      <c r="AE96" s="642">
        <f t="shared" si="78"/>
        <v>14.237233092473822</v>
      </c>
      <c r="AF96" s="136">
        <f t="shared" si="61"/>
        <v>2471105.9900000002</v>
      </c>
      <c r="AG96" s="136">
        <f t="shared" si="62"/>
        <v>411850.99833333335</v>
      </c>
      <c r="AH96" s="136">
        <v>412000</v>
      </c>
      <c r="AI96" s="137">
        <v>431955.61</v>
      </c>
      <c r="AJ96" s="137">
        <f t="shared" si="70"/>
        <v>19955.609999999986</v>
      </c>
      <c r="AK96" s="237">
        <f t="shared" si="71"/>
        <v>4.8435946601941726</v>
      </c>
      <c r="AL96" s="136">
        <f t="shared" si="65"/>
        <v>412000</v>
      </c>
      <c r="AM96" s="137">
        <v>550474</v>
      </c>
      <c r="AN96" s="659">
        <f t="shared" si="79"/>
        <v>138474</v>
      </c>
      <c r="AO96" s="237">
        <f t="shared" si="80"/>
        <v>33.610194174757282</v>
      </c>
      <c r="AP96" s="136">
        <f t="shared" si="66"/>
        <v>412000</v>
      </c>
      <c r="AQ96" s="176">
        <v>496022</v>
      </c>
      <c r="AR96" s="169">
        <f t="shared" si="81"/>
        <v>84022</v>
      </c>
      <c r="AS96" s="237">
        <f t="shared" si="72"/>
        <v>20.39368932038834</v>
      </c>
      <c r="AT96" s="136">
        <f t="shared" si="67"/>
        <v>412000</v>
      </c>
      <c r="AU96" s="176">
        <v>578983.9</v>
      </c>
      <c r="AV96" s="169">
        <f t="shared" si="82"/>
        <v>166983.90000000002</v>
      </c>
      <c r="AW96" s="237">
        <f t="shared" si="83"/>
        <v>40.530072815533977</v>
      </c>
      <c r="AX96" s="136">
        <f t="shared" si="68"/>
        <v>412000</v>
      </c>
      <c r="AY96" s="176">
        <v>526347.80000000005</v>
      </c>
      <c r="AZ96" s="169">
        <f t="shared" si="84"/>
        <v>114347.80000000005</v>
      </c>
      <c r="BA96" s="237">
        <f t="shared" si="85"/>
        <v>27.75432038834953</v>
      </c>
      <c r="BB96" s="136">
        <f t="shared" si="69"/>
        <v>412000</v>
      </c>
      <c r="BC96" s="176">
        <v>426467.52</v>
      </c>
      <c r="BD96" s="137">
        <f t="shared" si="86"/>
        <v>14467.520000000019</v>
      </c>
      <c r="BE96" s="237">
        <f t="shared" si="87"/>
        <v>3.5115339805825263</v>
      </c>
      <c r="BF96" s="136">
        <f t="shared" si="63"/>
        <v>4943105.99</v>
      </c>
      <c r="BG96" s="188">
        <f t="shared" si="64"/>
        <v>5481356.8200000003</v>
      </c>
      <c r="BH96" s="63">
        <f t="shared" si="93"/>
        <v>1550145.33</v>
      </c>
    </row>
    <row r="97" spans="2:60" s="11" customFormat="1" x14ac:dyDescent="0.25">
      <c r="B97" s="170">
        <v>51819</v>
      </c>
      <c r="C97" s="135">
        <v>369</v>
      </c>
      <c r="D97" s="332" t="s">
        <v>189</v>
      </c>
      <c r="E97" s="332"/>
      <c r="F97" s="662"/>
      <c r="G97" s="663">
        <v>407.24666666666667</v>
      </c>
      <c r="H97" s="136">
        <v>410</v>
      </c>
      <c r="I97" s="137">
        <v>491.69</v>
      </c>
      <c r="J97" s="138">
        <f t="shared" si="60"/>
        <v>81.69</v>
      </c>
      <c r="K97" s="566">
        <f t="shared" si="73"/>
        <v>19.924390243902444</v>
      </c>
      <c r="L97" s="664">
        <f>$H$97</f>
        <v>410</v>
      </c>
      <c r="M97" s="137">
        <v>377.14</v>
      </c>
      <c r="N97" s="137">
        <f t="shared" si="88"/>
        <v>-32.860000000000014</v>
      </c>
      <c r="O97" s="245">
        <f t="shared" si="74"/>
        <v>-8.0146341463414714</v>
      </c>
      <c r="P97" s="136">
        <f>$H$97</f>
        <v>410</v>
      </c>
      <c r="Q97" s="137">
        <v>514.54999999999995</v>
      </c>
      <c r="R97" s="172">
        <f t="shared" si="89"/>
        <v>104.54999999999995</v>
      </c>
      <c r="S97" s="245">
        <f t="shared" si="75"/>
        <v>25.499999999999989</v>
      </c>
      <c r="T97" s="136">
        <f>$H$97</f>
        <v>410</v>
      </c>
      <c r="U97" s="137">
        <v>291.69</v>
      </c>
      <c r="V97" s="137">
        <f t="shared" si="90"/>
        <v>-118.31</v>
      </c>
      <c r="W97" s="245">
        <f t="shared" si="76"/>
        <v>-28.856097560975613</v>
      </c>
      <c r="X97" s="136">
        <f>$H$97</f>
        <v>410</v>
      </c>
      <c r="Y97" s="137">
        <v>411.69</v>
      </c>
      <c r="Z97" s="137">
        <f t="shared" si="91"/>
        <v>1.6899999999999977</v>
      </c>
      <c r="AA97" s="237">
        <f t="shared" si="77"/>
        <v>0.41219512195120878</v>
      </c>
      <c r="AB97" s="136">
        <f>$H$97</f>
        <v>410</v>
      </c>
      <c r="AC97" s="137">
        <v>411.69</v>
      </c>
      <c r="AD97" s="137">
        <f t="shared" si="92"/>
        <v>1.6899999999999977</v>
      </c>
      <c r="AE97" s="642">
        <f t="shared" si="78"/>
        <v>0.41219512195120878</v>
      </c>
      <c r="AF97" s="136">
        <f t="shared" si="61"/>
        <v>2498.4499999999998</v>
      </c>
      <c r="AG97" s="136">
        <f t="shared" si="62"/>
        <v>416.4083333333333</v>
      </c>
      <c r="AH97" s="136">
        <v>420</v>
      </c>
      <c r="AI97" s="137">
        <v>360.26</v>
      </c>
      <c r="AJ97" s="137">
        <f t="shared" si="70"/>
        <v>-59.740000000000009</v>
      </c>
      <c r="AK97" s="237">
        <f t="shared" si="71"/>
        <v>-14.223809523809528</v>
      </c>
      <c r="AL97" s="136">
        <f t="shared" si="65"/>
        <v>420</v>
      </c>
      <c r="AM97" s="137">
        <v>417.4</v>
      </c>
      <c r="AN97" s="169">
        <f t="shared" si="79"/>
        <v>-2.6000000000000227</v>
      </c>
      <c r="AO97" s="237">
        <f t="shared" si="80"/>
        <v>-0.61904761904761907</v>
      </c>
      <c r="AP97" s="136">
        <f t="shared" si="66"/>
        <v>420</v>
      </c>
      <c r="AQ97" s="176">
        <v>388.73</v>
      </c>
      <c r="AR97" s="169">
        <f t="shared" si="81"/>
        <v>-31.269999999999982</v>
      </c>
      <c r="AS97" s="237">
        <f t="shared" si="72"/>
        <v>-7.4452380952380937</v>
      </c>
      <c r="AT97" s="136">
        <f t="shared" si="67"/>
        <v>420</v>
      </c>
      <c r="AU97" s="176">
        <v>388.71</v>
      </c>
      <c r="AV97" s="169">
        <f t="shared" si="82"/>
        <v>-31.29000000000002</v>
      </c>
      <c r="AW97" s="237">
        <f t="shared" si="83"/>
        <v>-7.4500000000000011</v>
      </c>
      <c r="AX97" s="136">
        <f t="shared" si="68"/>
        <v>420</v>
      </c>
      <c r="AY97" s="176">
        <v>474.32</v>
      </c>
      <c r="AZ97" s="169">
        <f t="shared" si="84"/>
        <v>54.319999999999993</v>
      </c>
      <c r="BA97" s="237">
        <f t="shared" si="85"/>
        <v>12.93333333333333</v>
      </c>
      <c r="BB97" s="136">
        <f t="shared" si="69"/>
        <v>420</v>
      </c>
      <c r="BC97" s="176">
        <v>537.09</v>
      </c>
      <c r="BD97" s="137">
        <f t="shared" si="86"/>
        <v>117.09000000000003</v>
      </c>
      <c r="BE97" s="237">
        <f t="shared" si="87"/>
        <v>27.878571428571441</v>
      </c>
      <c r="BF97" s="136">
        <f t="shared" si="63"/>
        <v>5018.45</v>
      </c>
      <c r="BG97" s="188">
        <f t="shared" si="64"/>
        <v>5064.96</v>
      </c>
      <c r="BH97" s="63">
        <f t="shared" si="93"/>
        <v>1675.07</v>
      </c>
    </row>
    <row r="98" spans="2:60" s="11" customFormat="1" x14ac:dyDescent="0.25">
      <c r="B98" s="170">
        <v>51820</v>
      </c>
      <c r="C98" s="135">
        <v>370</v>
      </c>
      <c r="D98" s="332" t="s">
        <v>190</v>
      </c>
      <c r="E98" s="332"/>
      <c r="F98" s="662"/>
      <c r="G98" s="663">
        <v>4843.2250000000004</v>
      </c>
      <c r="H98" s="136">
        <v>4850</v>
      </c>
      <c r="I98" s="137">
        <v>2107.46</v>
      </c>
      <c r="J98" s="138">
        <f t="shared" si="60"/>
        <v>-2742.54</v>
      </c>
      <c r="K98" s="566">
        <f t="shared" si="73"/>
        <v>-56.547216494845351</v>
      </c>
      <c r="L98" s="664">
        <f>$H$98</f>
        <v>4850</v>
      </c>
      <c r="M98" s="137">
        <v>1067.1400000000001</v>
      </c>
      <c r="N98" s="137">
        <f t="shared" si="88"/>
        <v>-3782.8599999999997</v>
      </c>
      <c r="O98" s="245">
        <f t="shared" si="74"/>
        <v>-77.997113402061856</v>
      </c>
      <c r="P98" s="136">
        <f>$H$98</f>
        <v>4850</v>
      </c>
      <c r="Q98" s="137">
        <v>1204.67</v>
      </c>
      <c r="R98" s="172">
        <f t="shared" si="89"/>
        <v>-3645.33</v>
      </c>
      <c r="S98" s="245">
        <f t="shared" si="75"/>
        <v>-75.161443298969075</v>
      </c>
      <c r="T98" s="136">
        <f>$H$98</f>
        <v>4850</v>
      </c>
      <c r="U98" s="137">
        <v>981.81</v>
      </c>
      <c r="V98" s="137">
        <f t="shared" si="90"/>
        <v>-3868.19</v>
      </c>
      <c r="W98" s="245">
        <f t="shared" si="76"/>
        <v>-79.75649484536082</v>
      </c>
      <c r="X98" s="136">
        <f>$H$98</f>
        <v>4850</v>
      </c>
      <c r="Y98" s="137">
        <v>4821.59</v>
      </c>
      <c r="Z98" s="137">
        <f t="shared" si="91"/>
        <v>-28.409999999999854</v>
      </c>
      <c r="AA98" s="237">
        <f t="shared" si="77"/>
        <v>-0.5857731958762824</v>
      </c>
      <c r="AB98" s="136">
        <f>$H$98</f>
        <v>4850</v>
      </c>
      <c r="AC98" s="137">
        <v>1101.81</v>
      </c>
      <c r="AD98" s="137">
        <f t="shared" si="92"/>
        <v>-3748.19</v>
      </c>
      <c r="AE98" s="642">
        <f t="shared" si="78"/>
        <v>-77.282268041237117</v>
      </c>
      <c r="AF98" s="136">
        <f t="shared" si="61"/>
        <v>11284.48</v>
      </c>
      <c r="AG98" s="136">
        <f t="shared" si="62"/>
        <v>1880.7466666666667</v>
      </c>
      <c r="AH98" s="136">
        <f>$H$98</f>
        <v>4850</v>
      </c>
      <c r="AI98" s="137">
        <v>1050.3800000000001</v>
      </c>
      <c r="AJ98" s="137">
        <f t="shared" si="70"/>
        <v>-3799.62</v>
      </c>
      <c r="AK98" s="237">
        <f t="shared" si="71"/>
        <v>-78.342680412371138</v>
      </c>
      <c r="AL98" s="136">
        <f t="shared" si="65"/>
        <v>4850</v>
      </c>
      <c r="AM98" s="137">
        <v>1107.52</v>
      </c>
      <c r="AN98" s="169">
        <f t="shared" si="79"/>
        <v>-3742.48</v>
      </c>
      <c r="AO98" s="237">
        <f t="shared" si="80"/>
        <v>-77.164536082474228</v>
      </c>
      <c r="AP98" s="136">
        <f t="shared" si="66"/>
        <v>4850</v>
      </c>
      <c r="AQ98" s="176">
        <v>1078.8399999999999</v>
      </c>
      <c r="AR98" s="169">
        <f t="shared" si="81"/>
        <v>-3771.16</v>
      </c>
      <c r="AS98" s="237">
        <f t="shared" si="72"/>
        <v>-77.755876288659792</v>
      </c>
      <c r="AT98" s="136">
        <f t="shared" si="67"/>
        <v>4850</v>
      </c>
      <c r="AU98" s="176">
        <v>1078.8399999999999</v>
      </c>
      <c r="AV98" s="169">
        <f t="shared" si="82"/>
        <v>-3771.16</v>
      </c>
      <c r="AW98" s="237">
        <f t="shared" si="83"/>
        <v>-77.755876288659792</v>
      </c>
      <c r="AX98" s="136">
        <f t="shared" si="68"/>
        <v>4850</v>
      </c>
      <c r="AY98" s="176">
        <v>1164.47</v>
      </c>
      <c r="AZ98" s="169">
        <f t="shared" si="84"/>
        <v>-3685.5299999999997</v>
      </c>
      <c r="BA98" s="237">
        <f t="shared" si="85"/>
        <v>-75.990309278350509</v>
      </c>
      <c r="BB98" s="136">
        <f t="shared" si="69"/>
        <v>4850</v>
      </c>
      <c r="BC98" s="176">
        <v>1227.21</v>
      </c>
      <c r="BD98" s="137">
        <f t="shared" si="86"/>
        <v>-3622.79</v>
      </c>
      <c r="BE98" s="237">
        <f t="shared" si="87"/>
        <v>-74.696701030927841</v>
      </c>
      <c r="BF98" s="136">
        <f t="shared" si="63"/>
        <v>40384.479999999996</v>
      </c>
      <c r="BG98" s="188">
        <f t="shared" si="64"/>
        <v>17991.740000000002</v>
      </c>
      <c r="BH98" s="63">
        <f t="shared" si="93"/>
        <v>5361.08</v>
      </c>
    </row>
    <row r="99" spans="2:60" s="11" customFormat="1" x14ac:dyDescent="0.25">
      <c r="B99" s="170">
        <v>51821</v>
      </c>
      <c r="C99" s="135">
        <v>371</v>
      </c>
      <c r="D99" s="332" t="s">
        <v>191</v>
      </c>
      <c r="E99" s="332"/>
      <c r="F99" s="662"/>
      <c r="G99" s="663">
        <v>3413.7183333333342</v>
      </c>
      <c r="H99" s="136">
        <v>3420</v>
      </c>
      <c r="I99" s="137">
        <v>3498.27</v>
      </c>
      <c r="J99" s="138">
        <f t="shared" si="60"/>
        <v>78.269999999999982</v>
      </c>
      <c r="K99" s="566">
        <f t="shared" si="73"/>
        <v>2.2885964912280787</v>
      </c>
      <c r="L99" s="664">
        <f>$H$99</f>
        <v>3420</v>
      </c>
      <c r="M99" s="137">
        <v>3384.16</v>
      </c>
      <c r="N99" s="137">
        <f t="shared" si="88"/>
        <v>-35.840000000000146</v>
      </c>
      <c r="O99" s="245">
        <f t="shared" si="74"/>
        <v>-1.0479532163742755</v>
      </c>
      <c r="P99" s="136">
        <f>$H$99</f>
        <v>3420</v>
      </c>
      <c r="Q99" s="137">
        <v>3521.12</v>
      </c>
      <c r="R99" s="172">
        <f t="shared" si="89"/>
        <v>101.11999999999989</v>
      </c>
      <c r="S99" s="245">
        <f t="shared" si="75"/>
        <v>2.9567251461988242</v>
      </c>
      <c r="T99" s="136">
        <f>$H$99</f>
        <v>3420</v>
      </c>
      <c r="U99" s="137">
        <v>3298.27</v>
      </c>
      <c r="V99" s="137">
        <f t="shared" si="90"/>
        <v>-121.73000000000002</v>
      </c>
      <c r="W99" s="245">
        <f t="shared" si="76"/>
        <v>-3.5593567251462011</v>
      </c>
      <c r="X99" s="136">
        <f>$H$99</f>
        <v>3420</v>
      </c>
      <c r="Y99" s="137">
        <v>3418.28</v>
      </c>
      <c r="Z99" s="137">
        <f t="shared" si="91"/>
        <v>-1.7199999999997999</v>
      </c>
      <c r="AA99" s="237">
        <f t="shared" si="77"/>
        <v>-5.0292397660811616E-2</v>
      </c>
      <c r="AB99" s="136">
        <f>$H$99</f>
        <v>3420</v>
      </c>
      <c r="AC99" s="137">
        <v>3418.27</v>
      </c>
      <c r="AD99" s="137">
        <f t="shared" si="92"/>
        <v>-1.7300000000000182</v>
      </c>
      <c r="AE99" s="642">
        <f t="shared" si="78"/>
        <v>-5.0584795321639842E-2</v>
      </c>
      <c r="AF99" s="136">
        <f t="shared" si="61"/>
        <v>20538.37</v>
      </c>
      <c r="AG99" s="136">
        <f t="shared" si="62"/>
        <v>3423.0616666666665</v>
      </c>
      <c r="AH99" s="136">
        <f>$H$99</f>
        <v>3420</v>
      </c>
      <c r="AI99" s="137">
        <v>3366.85</v>
      </c>
      <c r="AJ99" s="137">
        <f t="shared" si="70"/>
        <v>-53.150000000000091</v>
      </c>
      <c r="AK99" s="237">
        <f t="shared" si="71"/>
        <v>-1.5540935672514689</v>
      </c>
      <c r="AL99" s="136">
        <f t="shared" si="65"/>
        <v>3420</v>
      </c>
      <c r="AM99" s="137">
        <v>3423.99</v>
      </c>
      <c r="AN99" s="659">
        <f t="shared" si="79"/>
        <v>3.9899999999997817</v>
      </c>
      <c r="AO99" s="237">
        <f t="shared" si="80"/>
        <v>0.11666666666665382</v>
      </c>
      <c r="AP99" s="136">
        <f t="shared" si="66"/>
        <v>3420</v>
      </c>
      <c r="AQ99" s="176">
        <v>3395.28</v>
      </c>
      <c r="AR99" s="169">
        <f t="shared" si="81"/>
        <v>-24.7199999999998</v>
      </c>
      <c r="AS99" s="237">
        <f t="shared" si="72"/>
        <v>-0.72280701754385834</v>
      </c>
      <c r="AT99" s="136">
        <f t="shared" si="67"/>
        <v>3420</v>
      </c>
      <c r="AU99" s="176">
        <v>3395.3</v>
      </c>
      <c r="AV99" s="169">
        <f t="shared" si="82"/>
        <v>-24.699999999999818</v>
      </c>
      <c r="AW99" s="237">
        <f t="shared" si="83"/>
        <v>-0.722222222222213</v>
      </c>
      <c r="AX99" s="136">
        <f t="shared" si="68"/>
        <v>3420</v>
      </c>
      <c r="AY99" s="176">
        <v>3480.94</v>
      </c>
      <c r="AZ99" s="169">
        <f t="shared" si="84"/>
        <v>60.940000000000055</v>
      </c>
      <c r="BA99" s="237">
        <f t="shared" si="85"/>
        <v>1.7818713450292512</v>
      </c>
      <c r="BB99" s="136">
        <f t="shared" si="69"/>
        <v>3420</v>
      </c>
      <c r="BC99" s="176">
        <v>3543.67</v>
      </c>
      <c r="BD99" s="137">
        <f t="shared" si="86"/>
        <v>123.67000000000007</v>
      </c>
      <c r="BE99" s="237">
        <f t="shared" si="87"/>
        <v>3.6160818713450338</v>
      </c>
      <c r="BF99" s="136">
        <f t="shared" si="63"/>
        <v>41058.369999999995</v>
      </c>
      <c r="BG99" s="188">
        <f t="shared" si="64"/>
        <v>41144.400000000001</v>
      </c>
      <c r="BH99" s="63">
        <f>I99+M99+Q99+U99</f>
        <v>13701.82</v>
      </c>
    </row>
    <row r="100" spans="2:60" s="11" customFormat="1" x14ac:dyDescent="0.25">
      <c r="B100" s="170">
        <v>51822</v>
      </c>
      <c r="C100" s="135">
        <v>374</v>
      </c>
      <c r="D100" s="332" t="s">
        <v>192</v>
      </c>
      <c r="E100" s="332"/>
      <c r="F100" s="662"/>
      <c r="G100" s="663">
        <v>78206.955000000002</v>
      </c>
      <c r="H100" s="136">
        <v>78210</v>
      </c>
      <c r="I100" s="137">
        <v>80223.31</v>
      </c>
      <c r="J100" s="138">
        <f t="shared" si="60"/>
        <v>2013.3099999999977</v>
      </c>
      <c r="K100" s="566">
        <f t="shared" si="73"/>
        <v>2.5742360311980628</v>
      </c>
      <c r="L100" s="664">
        <f>$H$100</f>
        <v>78210</v>
      </c>
      <c r="M100" s="137">
        <v>74760.899999999994</v>
      </c>
      <c r="N100" s="137">
        <f t="shared" si="88"/>
        <v>-3449.1000000000058</v>
      </c>
      <c r="O100" s="245">
        <f t="shared" si="74"/>
        <v>-4.41004986574608</v>
      </c>
      <c r="P100" s="136">
        <f>$H$100</f>
        <v>78210</v>
      </c>
      <c r="Q100" s="137">
        <v>70130.399999999994</v>
      </c>
      <c r="R100" s="172">
        <f t="shared" si="89"/>
        <v>-8079.6000000000058</v>
      </c>
      <c r="S100" s="245">
        <f t="shared" si="75"/>
        <v>-10.330648254698893</v>
      </c>
      <c r="T100" s="136">
        <f>$H$100</f>
        <v>78210</v>
      </c>
      <c r="U100" s="137">
        <v>86815.6</v>
      </c>
      <c r="V100" s="137">
        <f t="shared" si="90"/>
        <v>8605.6000000000058</v>
      </c>
      <c r="W100" s="245">
        <f t="shared" si="76"/>
        <v>11.003196522183867</v>
      </c>
      <c r="X100" s="136">
        <f>$H$100</f>
        <v>78210</v>
      </c>
      <c r="Y100" s="137">
        <v>87001.39</v>
      </c>
      <c r="Z100" s="137">
        <f t="shared" si="91"/>
        <v>8791.39</v>
      </c>
      <c r="AA100" s="237">
        <f t="shared" si="77"/>
        <v>11.240749264799899</v>
      </c>
      <c r="AB100" s="136">
        <f>$H$100</f>
        <v>78210</v>
      </c>
      <c r="AC100" s="137">
        <v>69193.289999999994</v>
      </c>
      <c r="AD100" s="137">
        <f t="shared" si="92"/>
        <v>-9016.7100000000064</v>
      </c>
      <c r="AE100" s="642">
        <f t="shared" si="78"/>
        <v>-11.528845416187195</v>
      </c>
      <c r="AF100" s="136">
        <f t="shared" si="61"/>
        <v>468124.88999999996</v>
      </c>
      <c r="AG100" s="136">
        <f t="shared" si="62"/>
        <v>78020.814999999988</v>
      </c>
      <c r="AH100" s="136">
        <f>$H$100</f>
        <v>78210</v>
      </c>
      <c r="AI100" s="137">
        <v>79760.2</v>
      </c>
      <c r="AJ100" s="137">
        <f t="shared" si="70"/>
        <v>1550.1999999999971</v>
      </c>
      <c r="AK100" s="237">
        <f t="shared" si="71"/>
        <v>1.9820994757703492</v>
      </c>
      <c r="AL100" s="136">
        <f t="shared" si="65"/>
        <v>78210</v>
      </c>
      <c r="AM100" s="137">
        <v>85465.88</v>
      </c>
      <c r="AN100" s="659">
        <f t="shared" si="79"/>
        <v>7255.8800000000047</v>
      </c>
      <c r="AO100" s="237">
        <f t="shared" si="80"/>
        <v>9.2774325533819368</v>
      </c>
      <c r="AP100" s="136">
        <f t="shared" si="66"/>
        <v>78210</v>
      </c>
      <c r="AQ100" s="176">
        <v>80958.39</v>
      </c>
      <c r="AR100" s="169">
        <f t="shared" si="81"/>
        <v>2748.3899999999994</v>
      </c>
      <c r="AS100" s="237">
        <f t="shared" si="72"/>
        <v>3.5141158419639495</v>
      </c>
      <c r="AT100" s="136">
        <f t="shared" si="67"/>
        <v>78210</v>
      </c>
      <c r="AU100" s="176">
        <v>92508.24</v>
      </c>
      <c r="AV100" s="169">
        <f t="shared" si="82"/>
        <v>14298.240000000005</v>
      </c>
      <c r="AW100" s="237">
        <f t="shared" si="83"/>
        <v>18.281856540084384</v>
      </c>
      <c r="AX100" s="136">
        <f t="shared" si="68"/>
        <v>78210</v>
      </c>
      <c r="AY100" s="176">
        <v>84510.42</v>
      </c>
      <c r="AZ100" s="169">
        <f t="shared" si="84"/>
        <v>6300.4199999999983</v>
      </c>
      <c r="BA100" s="237">
        <f t="shared" si="85"/>
        <v>8.0557729190640526</v>
      </c>
      <c r="BB100" s="136">
        <f t="shared" si="69"/>
        <v>78210</v>
      </c>
      <c r="BC100" s="176">
        <v>73039.210000000006</v>
      </c>
      <c r="BD100" s="137">
        <f t="shared" si="86"/>
        <v>-5170.7899999999936</v>
      </c>
      <c r="BE100" s="237">
        <f t="shared" si="87"/>
        <v>-6.6114179772407518</v>
      </c>
      <c r="BF100" s="136">
        <f t="shared" si="63"/>
        <v>937384.8899999999</v>
      </c>
      <c r="BG100" s="188">
        <f t="shared" si="64"/>
        <v>964367.23</v>
      </c>
      <c r="BH100" s="63">
        <f t="shared" si="93"/>
        <v>311930.20999999996</v>
      </c>
    </row>
    <row r="101" spans="2:60" s="11" customFormat="1" x14ac:dyDescent="0.25">
      <c r="B101" s="170">
        <v>52230</v>
      </c>
      <c r="C101" s="135">
        <v>381</v>
      </c>
      <c r="D101" s="332" t="s">
        <v>193</v>
      </c>
      <c r="E101" s="332"/>
      <c r="F101" s="662"/>
      <c r="G101" s="663">
        <v>18000</v>
      </c>
      <c r="H101" s="136">
        <f>F101*G101+G101</f>
        <v>18000</v>
      </c>
      <c r="I101" s="137">
        <v>10000</v>
      </c>
      <c r="J101" s="138">
        <f t="shared" si="60"/>
        <v>-8000</v>
      </c>
      <c r="K101" s="566">
        <f t="shared" si="73"/>
        <v>-44.444444444444443</v>
      </c>
      <c r="L101" s="664">
        <f>$H$101</f>
        <v>18000</v>
      </c>
      <c r="M101" s="137">
        <v>10000</v>
      </c>
      <c r="N101" s="137">
        <f t="shared" si="88"/>
        <v>-8000</v>
      </c>
      <c r="O101" s="245">
        <f t="shared" si="74"/>
        <v>-44.444444444444443</v>
      </c>
      <c r="P101" s="136">
        <f>$H$101</f>
        <v>18000</v>
      </c>
      <c r="Q101" s="137">
        <v>77000</v>
      </c>
      <c r="R101" s="172">
        <f t="shared" si="89"/>
        <v>59000</v>
      </c>
      <c r="S101" s="245">
        <f t="shared" si="75"/>
        <v>327.77777777777777</v>
      </c>
      <c r="T101" s="136">
        <f>$H$101</f>
        <v>18000</v>
      </c>
      <c r="U101" s="137">
        <v>8000</v>
      </c>
      <c r="V101" s="137">
        <f t="shared" si="90"/>
        <v>-10000</v>
      </c>
      <c r="W101" s="245">
        <f t="shared" si="76"/>
        <v>-55.555555555555557</v>
      </c>
      <c r="X101" s="136">
        <f>$H$101</f>
        <v>18000</v>
      </c>
      <c r="Y101" s="137">
        <v>8000</v>
      </c>
      <c r="Z101" s="137">
        <f t="shared" si="91"/>
        <v>-10000</v>
      </c>
      <c r="AA101" s="237">
        <f t="shared" si="77"/>
        <v>-55.555555555555557</v>
      </c>
      <c r="AB101" s="136">
        <f>$H$101</f>
        <v>18000</v>
      </c>
      <c r="AC101" s="137">
        <v>8000</v>
      </c>
      <c r="AD101" s="137">
        <f t="shared" si="92"/>
        <v>-10000</v>
      </c>
      <c r="AE101" s="642">
        <f t="shared" si="78"/>
        <v>-55.555555555555557</v>
      </c>
      <c r="AF101" s="136">
        <f t="shared" si="61"/>
        <v>121000</v>
      </c>
      <c r="AG101" s="136">
        <f t="shared" si="62"/>
        <v>20166.666666666668</v>
      </c>
      <c r="AH101" s="136">
        <v>20200</v>
      </c>
      <c r="AI101" s="137">
        <v>8000</v>
      </c>
      <c r="AJ101" s="137">
        <f t="shared" si="70"/>
        <v>-12200</v>
      </c>
      <c r="AK101" s="237">
        <f t="shared" si="71"/>
        <v>-60.396039603960396</v>
      </c>
      <c r="AL101" s="136">
        <f t="shared" si="65"/>
        <v>20200</v>
      </c>
      <c r="AM101" s="137">
        <v>8000</v>
      </c>
      <c r="AN101" s="169">
        <f t="shared" si="79"/>
        <v>-12200</v>
      </c>
      <c r="AO101" s="237">
        <f t="shared" si="80"/>
        <v>-60.396039603960396</v>
      </c>
      <c r="AP101" s="136">
        <f t="shared" si="66"/>
        <v>20200</v>
      </c>
      <c r="AQ101" s="176">
        <v>8000</v>
      </c>
      <c r="AR101" s="169">
        <f t="shared" si="81"/>
        <v>-12200</v>
      </c>
      <c r="AS101" s="237">
        <f t="shared" si="72"/>
        <v>-60.396039603960396</v>
      </c>
      <c r="AT101" s="136">
        <f t="shared" si="67"/>
        <v>20200</v>
      </c>
      <c r="AU101" s="176">
        <v>8000</v>
      </c>
      <c r="AV101" s="169">
        <f t="shared" si="82"/>
        <v>-12200</v>
      </c>
      <c r="AW101" s="237">
        <f t="shared" si="83"/>
        <v>-60.396039603960396</v>
      </c>
      <c r="AX101" s="136">
        <f t="shared" si="68"/>
        <v>20200</v>
      </c>
      <c r="AY101" s="176">
        <v>8000</v>
      </c>
      <c r="AZ101" s="169">
        <f t="shared" si="84"/>
        <v>-12200</v>
      </c>
      <c r="BA101" s="237">
        <f t="shared" si="85"/>
        <v>-60.396039603960396</v>
      </c>
      <c r="BB101" s="136">
        <f t="shared" si="69"/>
        <v>20200</v>
      </c>
      <c r="BC101" s="176">
        <v>8000</v>
      </c>
      <c r="BD101" s="137">
        <f t="shared" si="86"/>
        <v>-12200</v>
      </c>
      <c r="BE101" s="237">
        <f t="shared" si="87"/>
        <v>-60.396039603960396</v>
      </c>
      <c r="BF101" s="136">
        <f t="shared" si="63"/>
        <v>242200</v>
      </c>
      <c r="BG101" s="188">
        <f t="shared" si="64"/>
        <v>169000</v>
      </c>
      <c r="BH101" s="63">
        <f t="shared" si="93"/>
        <v>105000</v>
      </c>
    </row>
    <row r="102" spans="2:60" s="11" customFormat="1" x14ac:dyDescent="0.25">
      <c r="B102" s="170">
        <v>52563</v>
      </c>
      <c r="C102" s="135">
        <v>385</v>
      </c>
      <c r="D102" s="332" t="s">
        <v>60</v>
      </c>
      <c r="E102" s="332"/>
      <c r="F102" s="662"/>
      <c r="G102" s="663">
        <v>19047.850000000002</v>
      </c>
      <c r="H102" s="136">
        <v>19050</v>
      </c>
      <c r="I102" s="137">
        <v>19385.099999999999</v>
      </c>
      <c r="J102" s="138">
        <f t="shared" si="60"/>
        <v>335.09999999999854</v>
      </c>
      <c r="K102" s="566">
        <f t="shared" si="73"/>
        <v>1.759055118110231</v>
      </c>
      <c r="L102" s="664">
        <f>$H$102</f>
        <v>19050</v>
      </c>
      <c r="M102" s="137">
        <v>19685.099999999999</v>
      </c>
      <c r="N102" s="137">
        <f t="shared" si="88"/>
        <v>635.09999999999854</v>
      </c>
      <c r="O102" s="245">
        <f t="shared" si="74"/>
        <v>3.3338582677165274</v>
      </c>
      <c r="P102" s="136">
        <f>$H$102</f>
        <v>19050</v>
      </c>
      <c r="Q102" s="137">
        <v>19585.099999999999</v>
      </c>
      <c r="R102" s="172">
        <f t="shared" si="89"/>
        <v>535.09999999999854</v>
      </c>
      <c r="S102" s="245">
        <f t="shared" si="75"/>
        <v>2.808923884514436</v>
      </c>
      <c r="T102" s="136">
        <f>$H$102</f>
        <v>19050</v>
      </c>
      <c r="U102" s="137">
        <v>20941.099999999999</v>
      </c>
      <c r="V102" s="137">
        <f t="shared" si="90"/>
        <v>1891.0999999999985</v>
      </c>
      <c r="W102" s="245">
        <f t="shared" si="76"/>
        <v>9.927034120734902</v>
      </c>
      <c r="X102" s="136">
        <f>$H$102</f>
        <v>19050</v>
      </c>
      <c r="Y102" s="137">
        <v>20628.3</v>
      </c>
      <c r="Z102" s="137">
        <f t="shared" si="91"/>
        <v>1578.2999999999993</v>
      </c>
      <c r="AA102" s="237">
        <f t="shared" si="77"/>
        <v>8.2850393700787386</v>
      </c>
      <c r="AB102" s="136">
        <f>$H$102</f>
        <v>19050</v>
      </c>
      <c r="AC102" s="137">
        <v>20768.2</v>
      </c>
      <c r="AD102" s="137">
        <f t="shared" si="92"/>
        <v>1718.2000000000007</v>
      </c>
      <c r="AE102" s="642">
        <f t="shared" si="78"/>
        <v>9.0194225721784704</v>
      </c>
      <c r="AF102" s="136">
        <f t="shared" si="61"/>
        <v>120992.9</v>
      </c>
      <c r="AG102" s="136">
        <f t="shared" si="62"/>
        <v>20165.483333333334</v>
      </c>
      <c r="AH102" s="136">
        <v>20200</v>
      </c>
      <c r="AI102" s="137">
        <v>35699</v>
      </c>
      <c r="AJ102" s="137">
        <f t="shared" si="70"/>
        <v>15499</v>
      </c>
      <c r="AK102" s="237">
        <f t="shared" si="71"/>
        <v>76.727722772277218</v>
      </c>
      <c r="AL102" s="136">
        <f t="shared" si="65"/>
        <v>20200</v>
      </c>
      <c r="AM102" s="137">
        <v>19986</v>
      </c>
      <c r="AN102" s="169">
        <f t="shared" si="79"/>
        <v>-214</v>
      </c>
      <c r="AO102" s="237">
        <f t="shared" si="80"/>
        <v>-1.0594059405940603</v>
      </c>
      <c r="AP102" s="136">
        <f t="shared" si="66"/>
        <v>20200</v>
      </c>
      <c r="AQ102" s="176">
        <v>19566</v>
      </c>
      <c r="AR102" s="169">
        <f t="shared" si="81"/>
        <v>-634</v>
      </c>
      <c r="AS102" s="237">
        <f t="shared" si="72"/>
        <v>-3.1386138613861414</v>
      </c>
      <c r="AT102" s="136">
        <f t="shared" si="67"/>
        <v>20200</v>
      </c>
      <c r="AU102" s="176">
        <v>19606</v>
      </c>
      <c r="AV102" s="169">
        <f t="shared" si="82"/>
        <v>-594</v>
      </c>
      <c r="AW102" s="237">
        <f t="shared" si="83"/>
        <v>-2.9405940594059432</v>
      </c>
      <c r="AX102" s="136">
        <f t="shared" si="68"/>
        <v>20200</v>
      </c>
      <c r="AY102" s="176">
        <v>20306</v>
      </c>
      <c r="AZ102" s="169">
        <f t="shared" si="84"/>
        <v>106</v>
      </c>
      <c r="BA102" s="237">
        <f t="shared" si="85"/>
        <v>0.52475247524752522</v>
      </c>
      <c r="BB102" s="136">
        <f t="shared" si="69"/>
        <v>20200</v>
      </c>
      <c r="BC102" s="176">
        <v>19286</v>
      </c>
      <c r="BD102" s="137">
        <f t="shared" si="86"/>
        <v>-914</v>
      </c>
      <c r="BE102" s="237">
        <f t="shared" si="87"/>
        <v>-4.5247524752475288</v>
      </c>
      <c r="BF102" s="136">
        <f t="shared" si="63"/>
        <v>242192.9</v>
      </c>
      <c r="BG102" s="188">
        <f t="shared" si="64"/>
        <v>255441.9</v>
      </c>
      <c r="BH102" s="63">
        <f t="shared" si="93"/>
        <v>79596.399999999994</v>
      </c>
    </row>
    <row r="103" spans="2:60" s="11" customFormat="1" x14ac:dyDescent="0.25">
      <c r="B103" s="170">
        <v>12878</v>
      </c>
      <c r="C103" s="135">
        <v>294</v>
      </c>
      <c r="D103" s="332" t="s">
        <v>194</v>
      </c>
      <c r="E103" s="332"/>
      <c r="F103" s="662"/>
      <c r="G103" s="663">
        <v>1851.41</v>
      </c>
      <c r="H103" s="136">
        <v>1850</v>
      </c>
      <c r="I103" s="137">
        <v>769.5</v>
      </c>
      <c r="J103" s="138">
        <f t="shared" si="60"/>
        <v>-1080.5</v>
      </c>
      <c r="K103" s="566">
        <f t="shared" si="73"/>
        <v>-58.405405405405396</v>
      </c>
      <c r="L103" s="664">
        <f>$H$103</f>
        <v>1850</v>
      </c>
      <c r="M103" s="137">
        <v>643.70000000000005</v>
      </c>
      <c r="N103" s="137">
        <f t="shared" si="88"/>
        <v>-1206.3</v>
      </c>
      <c r="O103" s="245">
        <f t="shared" si="74"/>
        <v>-65.205405405405401</v>
      </c>
      <c r="P103" s="136">
        <f>$H$103</f>
        <v>1850</v>
      </c>
      <c r="Q103" s="137">
        <v>461.59</v>
      </c>
      <c r="R103" s="172">
        <f t="shared" si="89"/>
        <v>-1388.41</v>
      </c>
      <c r="S103" s="245">
        <f t="shared" si="75"/>
        <v>-75.049189189189192</v>
      </c>
      <c r="T103" s="129">
        <f>$H$103</f>
        <v>1850</v>
      </c>
      <c r="U103" s="131">
        <v>1134.8399999999999</v>
      </c>
      <c r="V103" s="137">
        <f t="shared" si="90"/>
        <v>-715.16000000000008</v>
      </c>
      <c r="W103" s="245">
        <f t="shared" si="76"/>
        <v>-38.657297297297298</v>
      </c>
      <c r="X103" s="136">
        <f>$H$103</f>
        <v>1850</v>
      </c>
      <c r="Y103" s="137">
        <v>1229.94</v>
      </c>
      <c r="Z103" s="137">
        <f t="shared" si="91"/>
        <v>-620.05999999999995</v>
      </c>
      <c r="AA103" s="237">
        <f t="shared" si="77"/>
        <v>-33.516756756756749</v>
      </c>
      <c r="AB103" s="136">
        <f>$H$103</f>
        <v>1850</v>
      </c>
      <c r="AC103" s="137">
        <v>454.26</v>
      </c>
      <c r="AD103" s="137">
        <f t="shared" si="92"/>
        <v>-1395.74</v>
      </c>
      <c r="AE103" s="642">
        <f t="shared" si="78"/>
        <v>-75.44540540540541</v>
      </c>
      <c r="AF103" s="136">
        <f t="shared" si="61"/>
        <v>4693.83</v>
      </c>
      <c r="AG103" s="136">
        <f t="shared" si="62"/>
        <v>782.30499999999995</v>
      </c>
      <c r="AH103" s="136">
        <f>$H$103</f>
        <v>1850</v>
      </c>
      <c r="AI103" s="137">
        <v>865.83</v>
      </c>
      <c r="AJ103" s="137">
        <f t="shared" si="70"/>
        <v>-984.17</v>
      </c>
      <c r="AK103" s="237">
        <f t="shared" si="71"/>
        <v>-53.198378378378372</v>
      </c>
      <c r="AL103" s="136">
        <f t="shared" si="65"/>
        <v>1850</v>
      </c>
      <c r="AM103" s="137">
        <v>879.61</v>
      </c>
      <c r="AN103" s="169">
        <f t="shared" si="79"/>
        <v>-970.39</v>
      </c>
      <c r="AO103" s="237">
        <f t="shared" si="80"/>
        <v>-52.453513513513506</v>
      </c>
      <c r="AP103" s="136">
        <f t="shared" si="66"/>
        <v>1850</v>
      </c>
      <c r="AQ103" s="176">
        <v>687.36</v>
      </c>
      <c r="AR103" s="169">
        <f t="shared" si="81"/>
        <v>-1162.6399999999999</v>
      </c>
      <c r="AS103" s="237">
        <f t="shared" si="72"/>
        <v>-62.845405405405394</v>
      </c>
      <c r="AT103" s="136">
        <f t="shared" si="67"/>
        <v>1850</v>
      </c>
      <c r="AU103" s="176">
        <v>1026.6400000000001</v>
      </c>
      <c r="AV103" s="169">
        <f t="shared" si="82"/>
        <v>-823.3599999999999</v>
      </c>
      <c r="AW103" s="237">
        <f t="shared" si="83"/>
        <v>-44.505945945945932</v>
      </c>
      <c r="AX103" s="136">
        <f t="shared" si="68"/>
        <v>1850</v>
      </c>
      <c r="AY103" s="176">
        <v>708.11</v>
      </c>
      <c r="AZ103" s="169">
        <f t="shared" si="84"/>
        <v>-1141.8899999999999</v>
      </c>
      <c r="BA103" s="237">
        <f t="shared" si="85"/>
        <v>-61.72378378378378</v>
      </c>
      <c r="BB103" s="136">
        <f t="shared" si="69"/>
        <v>1850</v>
      </c>
      <c r="BC103" s="176">
        <v>322.73</v>
      </c>
      <c r="BD103" s="137">
        <f t="shared" si="86"/>
        <v>-1527.27</v>
      </c>
      <c r="BE103" s="237">
        <f t="shared" si="87"/>
        <v>-82.555135135135131</v>
      </c>
      <c r="BF103" s="136">
        <f t="shared" si="63"/>
        <v>15793.83</v>
      </c>
      <c r="BG103" s="188">
        <f t="shared" si="64"/>
        <v>9184.1099999999988</v>
      </c>
      <c r="BH103" s="63">
        <f t="shared" si="93"/>
        <v>3009.63</v>
      </c>
    </row>
    <row r="104" spans="2:60" s="11" customFormat="1" x14ac:dyDescent="0.25">
      <c r="B104" s="366">
        <v>51641</v>
      </c>
      <c r="C104" s="367">
        <v>361</v>
      </c>
      <c r="E104" s="673"/>
      <c r="F104" s="674"/>
      <c r="G104" s="675">
        <v>50000</v>
      </c>
      <c r="H104" s="388">
        <f>F104*G104+G104</f>
        <v>50000</v>
      </c>
      <c r="I104" s="131">
        <v>51000</v>
      </c>
      <c r="J104" s="389">
        <f t="shared" si="60"/>
        <v>1000</v>
      </c>
      <c r="K104" s="387">
        <f t="shared" si="73"/>
        <v>2.0000000000000018</v>
      </c>
      <c r="L104" s="676">
        <f>$H$104</f>
        <v>50000</v>
      </c>
      <c r="M104" s="131">
        <v>51000</v>
      </c>
      <c r="N104" s="131">
        <f t="shared" si="88"/>
        <v>1000</v>
      </c>
      <c r="O104" s="677">
        <f t="shared" si="74"/>
        <v>2.0000000000000018</v>
      </c>
      <c r="P104" s="129">
        <f>$H$104</f>
        <v>50000</v>
      </c>
      <c r="Q104" s="131">
        <v>51000</v>
      </c>
      <c r="R104" s="678">
        <f t="shared" si="89"/>
        <v>1000</v>
      </c>
      <c r="S104" s="679">
        <f t="shared" si="75"/>
        <v>2.0000000000000018</v>
      </c>
      <c r="T104" s="680">
        <f>$H$104</f>
        <v>50000</v>
      </c>
      <c r="U104" s="680">
        <v>47500</v>
      </c>
      <c r="V104" s="131">
        <f t="shared" si="90"/>
        <v>-2500</v>
      </c>
      <c r="W104" s="677">
        <f t="shared" si="76"/>
        <v>-5.0000000000000044</v>
      </c>
      <c r="X104" s="129">
        <f>$H$104</f>
        <v>50000</v>
      </c>
      <c r="Y104" s="131">
        <v>47500</v>
      </c>
      <c r="Z104" s="131">
        <f t="shared" si="91"/>
        <v>-2500</v>
      </c>
      <c r="AA104" s="327">
        <f t="shared" si="77"/>
        <v>-5.0000000000000044</v>
      </c>
      <c r="AB104" s="129">
        <f>$H$104</f>
        <v>50000</v>
      </c>
      <c r="AC104" s="131">
        <v>47500</v>
      </c>
      <c r="AD104" s="131">
        <f t="shared" si="92"/>
        <v>-2500</v>
      </c>
      <c r="AE104" s="681">
        <f t="shared" si="78"/>
        <v>-5.0000000000000044</v>
      </c>
      <c r="AF104" s="129">
        <f t="shared" si="61"/>
        <v>295500</v>
      </c>
      <c r="AG104" s="129">
        <f t="shared" si="62"/>
        <v>49250</v>
      </c>
      <c r="AH104" s="129">
        <f>$H$104</f>
        <v>50000</v>
      </c>
      <c r="AI104" s="131">
        <v>47500</v>
      </c>
      <c r="AJ104" s="137">
        <f t="shared" si="70"/>
        <v>-2500</v>
      </c>
      <c r="AK104" s="327">
        <f t="shared" si="71"/>
        <v>-5.0000000000000044</v>
      </c>
      <c r="AL104" s="129">
        <f t="shared" si="65"/>
        <v>50000</v>
      </c>
      <c r="AM104" s="131">
        <v>51600</v>
      </c>
      <c r="AN104" s="682">
        <f t="shared" si="79"/>
        <v>1600</v>
      </c>
      <c r="AO104" s="327">
        <f t="shared" si="80"/>
        <v>3.2000000000000028</v>
      </c>
      <c r="AP104" s="129">
        <f t="shared" si="66"/>
        <v>50000</v>
      </c>
      <c r="AQ104" s="683">
        <v>51000</v>
      </c>
      <c r="AR104" s="684">
        <f t="shared" si="81"/>
        <v>1000</v>
      </c>
      <c r="AS104" s="327">
        <f t="shared" si="72"/>
        <v>2.0000000000000018</v>
      </c>
      <c r="AT104" s="129">
        <f t="shared" si="67"/>
        <v>50000</v>
      </c>
      <c r="AU104" s="683">
        <v>49466.67</v>
      </c>
      <c r="AV104" s="684">
        <f t="shared" si="82"/>
        <v>-533.33000000000175</v>
      </c>
      <c r="AW104" s="327">
        <f t="shared" si="83"/>
        <v>-1.0666600000000082</v>
      </c>
      <c r="AX104" s="129">
        <f t="shared" si="68"/>
        <v>50000</v>
      </c>
      <c r="AY104" s="683">
        <v>52100</v>
      </c>
      <c r="AZ104" s="684">
        <f t="shared" si="84"/>
        <v>2100</v>
      </c>
      <c r="BA104" s="327">
        <f t="shared" si="85"/>
        <v>4.2000000000000037</v>
      </c>
      <c r="BB104" s="129">
        <f t="shared" si="69"/>
        <v>50000</v>
      </c>
      <c r="BC104" s="683">
        <v>52100</v>
      </c>
      <c r="BD104" s="683">
        <f t="shared" si="86"/>
        <v>2100</v>
      </c>
      <c r="BE104" s="327">
        <f t="shared" si="87"/>
        <v>4.2000000000000037</v>
      </c>
      <c r="BF104" s="129">
        <f t="shared" si="63"/>
        <v>595500</v>
      </c>
      <c r="BG104" s="368">
        <f t="shared" si="64"/>
        <v>599266.66999999993</v>
      </c>
      <c r="BH104" s="63">
        <f t="shared" si="93"/>
        <v>200500</v>
      </c>
    </row>
    <row r="105" spans="2:60" s="11" customFormat="1" x14ac:dyDescent="0.25">
      <c r="B105" s="390">
        <v>53920</v>
      </c>
      <c r="C105" s="391"/>
      <c r="D105" s="685" t="s">
        <v>3630</v>
      </c>
      <c r="E105" s="685"/>
      <c r="F105" s="686"/>
      <c r="G105" s="687"/>
      <c r="H105" s="680"/>
      <c r="I105" s="680"/>
      <c r="J105" s="680"/>
      <c r="K105" s="688"/>
      <c r="L105" s="689"/>
      <c r="M105" s="680">
        <v>0</v>
      </c>
      <c r="N105" s="680"/>
      <c r="O105" s="690"/>
      <c r="P105" s="680"/>
      <c r="Q105" s="680"/>
      <c r="R105" s="691"/>
      <c r="S105" s="692"/>
      <c r="T105" s="680"/>
      <c r="U105" s="693">
        <v>11000</v>
      </c>
      <c r="V105" s="680"/>
      <c r="W105" s="690"/>
      <c r="X105" s="694"/>
      <c r="Y105" s="680">
        <v>8800</v>
      </c>
      <c r="Z105" s="680"/>
      <c r="AA105" s="688"/>
      <c r="AB105" s="680"/>
      <c r="AC105" s="680">
        <v>13200</v>
      </c>
      <c r="AD105" s="680"/>
      <c r="AE105" s="591"/>
      <c r="AF105" s="680">
        <f t="shared" si="61"/>
        <v>33000</v>
      </c>
      <c r="AG105" s="680">
        <f t="shared" si="62"/>
        <v>5500</v>
      </c>
      <c r="AH105" s="695">
        <v>11000</v>
      </c>
      <c r="AI105" s="680">
        <v>11000</v>
      </c>
      <c r="AJ105" s="137">
        <f t="shared" si="70"/>
        <v>0</v>
      </c>
      <c r="AK105" s="688">
        <f t="shared" si="71"/>
        <v>0</v>
      </c>
      <c r="AL105" s="680">
        <f t="shared" si="65"/>
        <v>11000</v>
      </c>
      <c r="AM105" s="680">
        <v>11000</v>
      </c>
      <c r="AN105" s="691">
        <f t="shared" si="79"/>
        <v>0</v>
      </c>
      <c r="AO105" s="688">
        <f t="shared" si="80"/>
        <v>0</v>
      </c>
      <c r="AP105" s="680">
        <f t="shared" si="66"/>
        <v>11000</v>
      </c>
      <c r="AQ105" s="596">
        <v>11000</v>
      </c>
      <c r="AR105" s="684">
        <f t="shared" si="81"/>
        <v>0</v>
      </c>
      <c r="AS105" s="327">
        <f t="shared" si="72"/>
        <v>0</v>
      </c>
      <c r="AT105" s="680">
        <f t="shared" si="67"/>
        <v>11000</v>
      </c>
      <c r="AU105" s="596">
        <v>8800</v>
      </c>
      <c r="AV105" s="684">
        <f t="shared" si="82"/>
        <v>-2200</v>
      </c>
      <c r="AW105" s="327">
        <f t="shared" si="83"/>
        <v>-19.999999999999996</v>
      </c>
      <c r="AX105" s="680">
        <f t="shared" si="68"/>
        <v>11000</v>
      </c>
      <c r="AY105" s="596">
        <v>8800</v>
      </c>
      <c r="AZ105" s="691"/>
      <c r="BA105" s="688"/>
      <c r="BB105" s="680">
        <f t="shared" si="69"/>
        <v>11000</v>
      </c>
      <c r="BC105" s="596">
        <v>8800</v>
      </c>
      <c r="BD105" s="596">
        <f t="shared" si="86"/>
        <v>-2200</v>
      </c>
      <c r="BE105" s="688">
        <f t="shared" si="87"/>
        <v>-19.999999999999996</v>
      </c>
      <c r="BF105" s="680">
        <f t="shared" si="63"/>
        <v>99000</v>
      </c>
      <c r="BG105" s="368">
        <f t="shared" si="64"/>
        <v>92400</v>
      </c>
      <c r="BH105" s="63">
        <f t="shared" si="93"/>
        <v>11000</v>
      </c>
    </row>
    <row r="106" spans="2:60" s="11" customFormat="1" x14ac:dyDescent="0.25">
      <c r="B106" s="390">
        <v>53921</v>
      </c>
      <c r="C106" s="391"/>
      <c r="D106" s="685" t="s">
        <v>3631</v>
      </c>
      <c r="E106" s="685"/>
      <c r="F106" s="686"/>
      <c r="G106" s="687"/>
      <c r="H106" s="680"/>
      <c r="I106" s="680"/>
      <c r="J106" s="680"/>
      <c r="K106" s="688"/>
      <c r="L106" s="689"/>
      <c r="M106" s="680">
        <v>0</v>
      </c>
      <c r="N106" s="680"/>
      <c r="O106" s="690"/>
      <c r="P106" s="680"/>
      <c r="Q106" s="680"/>
      <c r="R106" s="691"/>
      <c r="S106" s="692"/>
      <c r="T106" s="680"/>
      <c r="U106" s="693">
        <v>2000</v>
      </c>
      <c r="V106" s="680"/>
      <c r="W106" s="690"/>
      <c r="X106" s="694"/>
      <c r="Y106" s="680">
        <v>0</v>
      </c>
      <c r="Z106" s="680"/>
      <c r="AA106" s="688"/>
      <c r="AB106" s="680"/>
      <c r="AC106" s="680">
        <v>0</v>
      </c>
      <c r="AD106" s="680"/>
      <c r="AE106" s="591"/>
      <c r="AF106" s="680">
        <f t="shared" si="61"/>
        <v>2000</v>
      </c>
      <c r="AG106" s="680">
        <f t="shared" si="62"/>
        <v>333.33333333333331</v>
      </c>
      <c r="AH106" s="695">
        <v>2000</v>
      </c>
      <c r="AI106" s="680">
        <v>2000</v>
      </c>
      <c r="AJ106" s="137">
        <f t="shared" si="70"/>
        <v>0</v>
      </c>
      <c r="AK106" s="688">
        <f t="shared" si="71"/>
        <v>0</v>
      </c>
      <c r="AL106" s="680">
        <f t="shared" si="65"/>
        <v>2000</v>
      </c>
      <c r="AM106" s="680">
        <v>2000</v>
      </c>
      <c r="AN106" s="691">
        <f t="shared" si="79"/>
        <v>0</v>
      </c>
      <c r="AO106" s="688">
        <f t="shared" si="80"/>
        <v>0</v>
      </c>
      <c r="AP106" s="680">
        <f t="shared" si="66"/>
        <v>2000</v>
      </c>
      <c r="AQ106" s="596">
        <v>0</v>
      </c>
      <c r="AR106" s="684">
        <f t="shared" si="81"/>
        <v>-2000</v>
      </c>
      <c r="AS106" s="327">
        <f t="shared" si="72"/>
        <v>-100</v>
      </c>
      <c r="AT106" s="680">
        <f t="shared" si="67"/>
        <v>2000</v>
      </c>
      <c r="AU106" s="596">
        <v>0</v>
      </c>
      <c r="AV106" s="684">
        <f t="shared" si="82"/>
        <v>-2000</v>
      </c>
      <c r="AW106" s="327">
        <f t="shared" si="83"/>
        <v>-100</v>
      </c>
      <c r="AX106" s="680">
        <f t="shared" si="68"/>
        <v>2000</v>
      </c>
      <c r="AY106" s="596">
        <v>6000</v>
      </c>
      <c r="AZ106" s="691"/>
      <c r="BA106" s="688"/>
      <c r="BB106" s="680">
        <f t="shared" si="69"/>
        <v>2000</v>
      </c>
      <c r="BC106" s="596">
        <v>0</v>
      </c>
      <c r="BD106" s="596">
        <f t="shared" si="86"/>
        <v>-2000</v>
      </c>
      <c r="BE106" s="688">
        <f t="shared" si="87"/>
        <v>-100</v>
      </c>
      <c r="BF106" s="680">
        <f t="shared" si="63"/>
        <v>14000</v>
      </c>
      <c r="BG106" s="368">
        <f t="shared" si="64"/>
        <v>12000</v>
      </c>
      <c r="BH106" s="63">
        <f t="shared" si="93"/>
        <v>2000</v>
      </c>
    </row>
    <row r="107" spans="2:60" s="11" customFormat="1" x14ac:dyDescent="0.25">
      <c r="B107" s="696">
        <v>53966</v>
      </c>
      <c r="C107" s="697"/>
      <c r="D107" s="697" t="s">
        <v>3666</v>
      </c>
      <c r="E107" s="698"/>
      <c r="F107" s="699"/>
      <c r="G107" s="698"/>
      <c r="H107" s="700"/>
      <c r="I107" s="701"/>
      <c r="J107" s="702"/>
      <c r="K107" s="703"/>
      <c r="L107" s="701"/>
      <c r="M107" s="701"/>
      <c r="N107" s="702"/>
      <c r="O107" s="701"/>
      <c r="P107" s="701"/>
      <c r="Q107" s="701"/>
      <c r="R107" s="702"/>
      <c r="S107" s="701"/>
      <c r="T107" s="701"/>
      <c r="U107" s="701"/>
      <c r="V107" s="702"/>
      <c r="W107" s="701"/>
      <c r="X107" s="701"/>
      <c r="Y107" s="704">
        <v>0</v>
      </c>
      <c r="Z107" s="702"/>
      <c r="AA107" s="701"/>
      <c r="AB107" s="701"/>
      <c r="AC107" s="705">
        <v>78675.72</v>
      </c>
      <c r="AD107" s="701"/>
      <c r="AE107" s="701"/>
      <c r="AF107" s="706">
        <f t="shared" si="61"/>
        <v>78675.72</v>
      </c>
      <c r="AG107" s="706">
        <f t="shared" si="62"/>
        <v>13112.62</v>
      </c>
      <c r="AH107" s="706">
        <f>13200</f>
        <v>13200</v>
      </c>
      <c r="AI107" s="705">
        <v>167636.26999999999</v>
      </c>
      <c r="AJ107" s="705">
        <f t="shared" si="70"/>
        <v>154436.26999999999</v>
      </c>
      <c r="AK107" s="707">
        <f t="shared" si="71"/>
        <v>1169.9717424242424</v>
      </c>
      <c r="AL107" s="706">
        <v>167650</v>
      </c>
      <c r="AM107" s="704">
        <v>38930.449999999997</v>
      </c>
      <c r="AN107" s="701"/>
      <c r="AO107" s="701"/>
      <c r="AP107" s="706">
        <v>0</v>
      </c>
      <c r="AQ107" s="704">
        <v>166892.57</v>
      </c>
      <c r="AR107" s="684">
        <f t="shared" si="81"/>
        <v>166892.57</v>
      </c>
      <c r="AS107" s="327"/>
      <c r="AT107" s="706">
        <f t="shared" si="67"/>
        <v>0</v>
      </c>
      <c r="AU107" s="701">
        <v>0</v>
      </c>
      <c r="AV107" s="684">
        <f t="shared" si="82"/>
        <v>0</v>
      </c>
      <c r="AW107" s="327"/>
      <c r="AX107" s="706">
        <f t="shared" si="68"/>
        <v>0</v>
      </c>
      <c r="AY107" s="704">
        <v>90508.89</v>
      </c>
      <c r="AZ107" s="701"/>
      <c r="BA107" s="701"/>
      <c r="BB107" s="706">
        <f t="shared" si="69"/>
        <v>0</v>
      </c>
      <c r="BC107" s="701">
        <v>0</v>
      </c>
      <c r="BD107" s="701">
        <f t="shared" si="86"/>
        <v>0</v>
      </c>
      <c r="BE107" s="701" t="e">
        <f t="shared" si="87"/>
        <v>#DIV/0!</v>
      </c>
      <c r="BF107" s="706">
        <f t="shared" si="63"/>
        <v>259525.72</v>
      </c>
      <c r="BG107" s="368">
        <f t="shared" si="64"/>
        <v>542643.9</v>
      </c>
      <c r="BH107" s="63">
        <f t="shared" si="93"/>
        <v>0</v>
      </c>
    </row>
    <row r="108" spans="2:60" s="11" customFormat="1" x14ac:dyDescent="0.25">
      <c r="B108" s="708">
        <v>52204</v>
      </c>
      <c r="C108" s="709"/>
      <c r="D108" s="709" t="s">
        <v>3636</v>
      </c>
      <c r="E108" s="710"/>
      <c r="F108" s="711"/>
      <c r="G108" s="710"/>
      <c r="H108" s="712"/>
      <c r="I108" s="713"/>
      <c r="J108" s="691"/>
      <c r="K108" s="714"/>
      <c r="L108" s="713"/>
      <c r="M108" s="713"/>
      <c r="N108" s="691"/>
      <c r="O108" s="713"/>
      <c r="P108" s="713"/>
      <c r="Q108" s="713"/>
      <c r="R108" s="691"/>
      <c r="S108" s="713"/>
      <c r="T108" s="713"/>
      <c r="U108" s="713"/>
      <c r="V108" s="691"/>
      <c r="W108" s="713"/>
      <c r="X108" s="713"/>
      <c r="Y108" s="715"/>
      <c r="Z108" s="691"/>
      <c r="AA108" s="713"/>
      <c r="AB108" s="713"/>
      <c r="AC108" s="716"/>
      <c r="AD108" s="713"/>
      <c r="AE108" s="713"/>
      <c r="AF108" s="717"/>
      <c r="AG108" s="717"/>
      <c r="AH108" s="717"/>
      <c r="AI108" s="716"/>
      <c r="AJ108" s="716"/>
      <c r="AK108" s="688"/>
      <c r="AL108" s="717"/>
      <c r="AM108" s="715"/>
      <c r="AN108" s="713"/>
      <c r="AO108" s="713"/>
      <c r="AP108" s="717">
        <v>0</v>
      </c>
      <c r="AQ108" s="715">
        <v>13725.75</v>
      </c>
      <c r="AR108" s="684">
        <f t="shared" si="81"/>
        <v>13725.75</v>
      </c>
      <c r="AS108" s="327"/>
      <c r="AT108" s="717">
        <f t="shared" si="67"/>
        <v>0</v>
      </c>
      <c r="AU108" s="713">
        <v>0</v>
      </c>
      <c r="AV108" s="684">
        <f t="shared" si="82"/>
        <v>0</v>
      </c>
      <c r="AW108" s="327"/>
      <c r="AX108" s="717">
        <f t="shared" si="68"/>
        <v>0</v>
      </c>
      <c r="AY108" s="713">
        <v>0</v>
      </c>
      <c r="AZ108" s="713"/>
      <c r="BA108" s="713"/>
      <c r="BB108" s="717">
        <f t="shared" si="69"/>
        <v>0</v>
      </c>
      <c r="BC108" s="713">
        <v>0</v>
      </c>
      <c r="BD108" s="713">
        <f t="shared" si="86"/>
        <v>0</v>
      </c>
      <c r="BE108" s="713" t="e">
        <f t="shared" si="87"/>
        <v>#DIV/0!</v>
      </c>
      <c r="BF108" s="717"/>
      <c r="BG108" s="596"/>
      <c r="BH108" s="63">
        <f t="shared" si="93"/>
        <v>0</v>
      </c>
    </row>
    <row r="109" spans="2:60" s="11" customFormat="1" ht="16.5" thickBot="1" x14ac:dyDescent="0.3">
      <c r="B109" s="161"/>
      <c r="E109" s="333"/>
      <c r="F109" s="162"/>
      <c r="G109" s="333"/>
      <c r="H109" s="334"/>
      <c r="I109" s="119"/>
      <c r="J109" s="118"/>
      <c r="K109" s="12"/>
      <c r="L109" s="119"/>
      <c r="M109" s="119"/>
      <c r="N109" s="118"/>
      <c r="O109" s="119"/>
      <c r="P109" s="119"/>
      <c r="Q109" s="119"/>
      <c r="R109" s="118"/>
      <c r="S109" s="119"/>
      <c r="T109" s="119"/>
      <c r="U109" s="119"/>
      <c r="V109" s="118"/>
      <c r="W109" s="119"/>
      <c r="X109" s="119"/>
      <c r="Y109" s="119"/>
      <c r="Z109" s="118"/>
      <c r="AA109" s="119"/>
      <c r="AB109" s="119"/>
      <c r="AC109" s="119"/>
      <c r="AD109" s="119"/>
      <c r="AE109" s="119"/>
      <c r="AF109" s="119"/>
      <c r="AG109" s="119"/>
      <c r="AH109" s="119"/>
      <c r="AI109" s="119"/>
      <c r="AJ109" s="119"/>
      <c r="AK109" s="119"/>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63"/>
    </row>
    <row r="110" spans="2:60" s="11" customFormat="1" ht="16.5" thickBot="1" x14ac:dyDescent="0.3">
      <c r="B110" s="165"/>
      <c r="C110" s="41"/>
      <c r="D110" s="49" t="s">
        <v>169</v>
      </c>
      <c r="E110" s="50"/>
      <c r="F110" s="50"/>
      <c r="G110" s="818">
        <f>SUM(G111:G119)</f>
        <v>150319.08999999997</v>
      </c>
      <c r="H110" s="718">
        <f>SUM(H111:H119)</f>
        <v>153919.45833333331</v>
      </c>
      <c r="I110" s="719">
        <f>SUM(I111:I119)</f>
        <v>161833.14000000001</v>
      </c>
      <c r="J110" s="720">
        <f t="shared" ref="J110:J119" si="94">I110-H110</f>
        <v>7913.6816666667</v>
      </c>
      <c r="K110" s="241">
        <f t="shared" ref="K110:K119" si="95">((I110/H110)-1)*100</f>
        <v>5.1414432927177733</v>
      </c>
      <c r="L110" s="721">
        <f>SUM(L111:L119)</f>
        <v>153919.45833333331</v>
      </c>
      <c r="M110" s="719">
        <f>SUM(M111:M119)</f>
        <v>131279.56</v>
      </c>
      <c r="N110" s="719">
        <f>M110-L110</f>
        <v>-22639.898333333316</v>
      </c>
      <c r="O110" s="234">
        <f>((M110/L110)-1)*100</f>
        <v>-14.708925420139906</v>
      </c>
      <c r="P110" s="721">
        <f>SUM(P111:P119)</f>
        <v>153919.45833333331</v>
      </c>
      <c r="Q110" s="719">
        <f>SUM(Q111:Q119)</f>
        <v>223796.13</v>
      </c>
      <c r="R110" s="719">
        <f>Q110-P110</f>
        <v>69876.671666666691</v>
      </c>
      <c r="S110" s="234">
        <f>((Q110/P110)-1)*100</f>
        <v>45.398205284311331</v>
      </c>
      <c r="T110" s="721">
        <f>SUM(T111:T119)</f>
        <v>153919.45833333331</v>
      </c>
      <c r="U110" s="719">
        <f>SUM(U111:U119)</f>
        <v>131091.63</v>
      </c>
      <c r="V110" s="719">
        <f>U110-T110</f>
        <v>-22827.828333333309</v>
      </c>
      <c r="W110" s="234">
        <f>((U110/T110)-1)*100</f>
        <v>-14.831021743785355</v>
      </c>
      <c r="X110" s="721">
        <f>SUM(X111:X119)</f>
        <v>132809.45833333334</v>
      </c>
      <c r="Y110" s="719">
        <f>SUM(Y111:Y119)</f>
        <v>169203.36999999997</v>
      </c>
      <c r="Z110" s="719">
        <f>Y110-X110</f>
        <v>36393.911666666623</v>
      </c>
      <c r="AA110" s="234">
        <f>((Y110/X110)-1)*100</f>
        <v>27.403102251439758</v>
      </c>
      <c r="AB110" s="721">
        <f>SUM(AB111:AB119)</f>
        <v>132809.45833333334</v>
      </c>
      <c r="AC110" s="719">
        <f>SUM(AC111:AC119)</f>
        <v>150146.94</v>
      </c>
      <c r="AD110" s="719">
        <f>AC110-AB110</f>
        <v>17337.481666666659</v>
      </c>
      <c r="AE110" s="234">
        <f>((AC110/AB110)-1)*100</f>
        <v>13.054402814558564</v>
      </c>
      <c r="AF110" s="719">
        <f t="shared" si="61"/>
        <v>967350.77</v>
      </c>
      <c r="AG110" s="719">
        <f t="shared" si="62"/>
        <v>161225.12833333333</v>
      </c>
      <c r="AH110" s="722">
        <f>SUM(AH111:AH119)</f>
        <v>163208</v>
      </c>
      <c r="AI110" s="719">
        <f>SUM(AI111:AI119)</f>
        <v>151372.63999999998</v>
      </c>
      <c r="AJ110" s="719">
        <f>AI110-AH110</f>
        <v>-11835.360000000015</v>
      </c>
      <c r="AK110" s="234">
        <f>((AI110/AH110)-1)*100</f>
        <v>-7.2517033478751163</v>
      </c>
      <c r="AL110" s="721">
        <f>SUM(AL111:AL119)</f>
        <v>167942.45833333331</v>
      </c>
      <c r="AM110" s="719">
        <f>SUM(AM111:AM119)</f>
        <v>143530.71</v>
      </c>
      <c r="AN110" s="719">
        <f>AM110-AL110</f>
        <v>-24411.748333333322</v>
      </c>
      <c r="AO110" s="234">
        <f>((AM110/AL110)-1)*100</f>
        <v>-14.535781228640065</v>
      </c>
      <c r="AP110" s="723">
        <f>SUM(AP111:AP119)</f>
        <v>167942.45833333331</v>
      </c>
      <c r="AQ110" s="117">
        <f>SUM(AQ111:AQ119)</f>
        <v>157079.83000000002</v>
      </c>
      <c r="AR110" s="719">
        <f>AQ110-AP110</f>
        <v>-10862.628333333298</v>
      </c>
      <c r="AS110" s="234">
        <f>((AQ110/AP110)-1)*100</f>
        <v>-6.46806557503945</v>
      </c>
      <c r="AT110" s="723">
        <f>SUM(AT111:AT119)</f>
        <v>155259.1283333333</v>
      </c>
      <c r="AU110" s="117">
        <f>SUM(AU111:AU119)</f>
        <v>128697.12000000001</v>
      </c>
      <c r="AV110" s="719">
        <f>AU110-AT110</f>
        <v>-26562.008333333288</v>
      </c>
      <c r="AW110" s="234">
        <f>((AU110/AT110)-1)*100</f>
        <v>-17.108178191176005</v>
      </c>
      <c r="AX110" s="723">
        <f>SUM(AX111:AX119)</f>
        <v>156085.1283333333</v>
      </c>
      <c r="AY110" s="117">
        <f>SUM(AY111:AY119)</f>
        <v>122384.45</v>
      </c>
      <c r="AZ110" s="719">
        <f>AY110-AX110</f>
        <v>-33700.678333333301</v>
      </c>
      <c r="BA110" s="234">
        <f>((AY110/AX110)-1)*100</f>
        <v>-21.591216724608497</v>
      </c>
      <c r="BB110" s="723">
        <f>SUM(BB111:BB119)</f>
        <v>158210.1283333333</v>
      </c>
      <c r="BC110" s="117">
        <f>SUM(BC111:BC119)</f>
        <v>146198.25999999998</v>
      </c>
      <c r="BD110" s="719">
        <f>BC110-BB110</f>
        <v>-12011.868333333317</v>
      </c>
      <c r="BE110" s="720">
        <f>((BC110/BB110)-1)*100</f>
        <v>-7.5923510459617871</v>
      </c>
      <c r="BF110" s="723">
        <f t="shared" si="63"/>
        <v>1935998.0716666668</v>
      </c>
      <c r="BG110" s="724">
        <f t="shared" ref="BG110:BG119" si="96">SUM(I110+M110+Q110+U110+Y110+AC110+AI110+AM110+AQ110+AU110+AY110+BC110)</f>
        <v>1816613.78</v>
      </c>
      <c r="BH110" s="63"/>
    </row>
    <row r="111" spans="2:60" s="11" customFormat="1" x14ac:dyDescent="0.25">
      <c r="B111" s="170">
        <v>12293</v>
      </c>
      <c r="C111" s="135">
        <v>283</v>
      </c>
      <c r="D111" s="331" t="s">
        <v>195</v>
      </c>
      <c r="E111" s="341"/>
      <c r="F111" s="725"/>
      <c r="G111" s="663">
        <v>35057.618333333332</v>
      </c>
      <c r="H111" s="212">
        <v>38500</v>
      </c>
      <c r="I111" s="137">
        <f>31752.18</f>
        <v>31752.18</v>
      </c>
      <c r="J111" s="138">
        <f t="shared" si="94"/>
        <v>-6747.82</v>
      </c>
      <c r="K111" s="371">
        <f t="shared" si="95"/>
        <v>-17.526805194805195</v>
      </c>
      <c r="L111" s="136">
        <f>$H$111</f>
        <v>38500</v>
      </c>
      <c r="M111" s="137">
        <v>35836.080000000002</v>
      </c>
      <c r="N111" s="137">
        <f>M111-L111</f>
        <v>-2663.9199999999983</v>
      </c>
      <c r="O111" s="237">
        <f t="shared" ref="O111:O119" si="97">((M111/L111)-1)*100</f>
        <v>-6.9192727272727179</v>
      </c>
      <c r="P111" s="136">
        <f>$H$111</f>
        <v>38500</v>
      </c>
      <c r="Q111" s="137">
        <v>33230.239999999998</v>
      </c>
      <c r="R111" s="137">
        <f>Q111-P111</f>
        <v>-5269.760000000002</v>
      </c>
      <c r="S111" s="237">
        <f t="shared" ref="S111:S119" si="98">((Q111/P111)-1)*100</f>
        <v>-13.687688311688317</v>
      </c>
      <c r="T111" s="136">
        <f>$H$111</f>
        <v>38500</v>
      </c>
      <c r="U111" s="137">
        <v>37165.71</v>
      </c>
      <c r="V111" s="137">
        <f>U111-T111</f>
        <v>-1334.2900000000009</v>
      </c>
      <c r="W111" s="237">
        <f t="shared" ref="W111:W119" si="99">((U111/T111)-1)*100</f>
        <v>-3.4656883116883086</v>
      </c>
      <c r="X111" s="136">
        <f>$H$111</f>
        <v>38500</v>
      </c>
      <c r="Y111" s="137">
        <v>34214.61</v>
      </c>
      <c r="Z111" s="137">
        <f>Y111-X111</f>
        <v>-4285.3899999999994</v>
      </c>
      <c r="AA111" s="237">
        <f t="shared" ref="AA111:AA119" si="100">((Y111/X111)-1)*100</f>
        <v>-11.130883116883117</v>
      </c>
      <c r="AB111" s="136">
        <f>$H$111</f>
        <v>38500</v>
      </c>
      <c r="AC111" s="137">
        <v>37312.69</v>
      </c>
      <c r="AD111" s="137">
        <f>AC111-AB111</f>
        <v>-1187.3099999999977</v>
      </c>
      <c r="AE111" s="237">
        <f t="shared" ref="AE111:AE119" si="101">((AC111/AB111)-1)*100</f>
        <v>-3.0839220779220744</v>
      </c>
      <c r="AF111" s="136">
        <f t="shared" si="61"/>
        <v>209511.51</v>
      </c>
      <c r="AG111" s="136">
        <f t="shared" si="62"/>
        <v>34918.584999999999</v>
      </c>
      <c r="AH111" s="136">
        <v>35000</v>
      </c>
      <c r="AI111" s="137">
        <v>33177.19</v>
      </c>
      <c r="AJ111" s="137">
        <f>AI111-AH111</f>
        <v>-1822.8099999999977</v>
      </c>
      <c r="AK111" s="237">
        <f t="shared" ref="AK111:AK119" si="102">((AI111/AH111)-1)*100</f>
        <v>-5.208028571428569</v>
      </c>
      <c r="AL111" s="136">
        <f>$H$111</f>
        <v>38500</v>
      </c>
      <c r="AM111" s="137">
        <v>32701.85</v>
      </c>
      <c r="AN111" s="169">
        <f t="shared" ref="AN111:AN119" si="103">AM111-AL111</f>
        <v>-5798.1500000000015</v>
      </c>
      <c r="AO111" s="237">
        <f t="shared" ref="AO111:AO119" si="104">((AM111/AL111)-1)*100</f>
        <v>-15.060129870129879</v>
      </c>
      <c r="AP111" s="243">
        <f>$H$111</f>
        <v>38500</v>
      </c>
      <c r="AQ111" s="176">
        <v>34920.76</v>
      </c>
      <c r="AR111" s="169">
        <f t="shared" ref="AR111:AR119" si="105">AQ111-AP111</f>
        <v>-3579.239999999998</v>
      </c>
      <c r="AS111" s="237">
        <f t="shared" ref="AS111:AS119" si="106">((AQ111/AP111)-1)*100</f>
        <v>-9.2967272727272672</v>
      </c>
      <c r="AT111" s="243">
        <f>$H$111</f>
        <v>38500</v>
      </c>
      <c r="AU111" s="176">
        <v>52452.5</v>
      </c>
      <c r="AV111" s="169">
        <f t="shared" ref="AV111:AV119" si="107">AU111-AT111</f>
        <v>13952.5</v>
      </c>
      <c r="AW111" s="237">
        <f t="shared" ref="AW111:AW119" si="108">((AU111/AT111)-1)*100</f>
        <v>36.240259740259752</v>
      </c>
      <c r="AX111" s="243">
        <f>$H$111</f>
        <v>38500</v>
      </c>
      <c r="AY111" s="176">
        <v>15976.68</v>
      </c>
      <c r="AZ111" s="169">
        <f t="shared" ref="AZ111:AZ119" si="109">AY111-AX111</f>
        <v>-22523.32</v>
      </c>
      <c r="BA111" s="237">
        <f t="shared" ref="BA111:BA119" si="110">((AY111/AX111)-1)*100</f>
        <v>-58.50212987012987</v>
      </c>
      <c r="BB111" s="243">
        <f>$H$111</f>
        <v>38500</v>
      </c>
      <c r="BC111" s="176">
        <v>53021.06</v>
      </c>
      <c r="BD111" s="137">
        <f>BC111-BB111</f>
        <v>14521.059999999998</v>
      </c>
      <c r="BE111" s="138">
        <f t="shared" ref="BE111:BE119" si="111">((BC111/BB111)-1)*100</f>
        <v>37.717038961038952</v>
      </c>
      <c r="BF111" s="243">
        <f t="shared" si="63"/>
        <v>437011.51</v>
      </c>
      <c r="BG111" s="177">
        <f t="shared" si="96"/>
        <v>431761.55</v>
      </c>
      <c r="BH111" s="63"/>
    </row>
    <row r="112" spans="2:60" s="11" customFormat="1" x14ac:dyDescent="0.25">
      <c r="B112" s="170">
        <v>12303</v>
      </c>
      <c r="C112" s="135">
        <v>201</v>
      </c>
      <c r="D112" s="332" t="s">
        <v>196</v>
      </c>
      <c r="E112" s="341"/>
      <c r="F112" s="725"/>
      <c r="G112" s="663">
        <v>14148.588333333333</v>
      </c>
      <c r="H112" s="212">
        <v>14150</v>
      </c>
      <c r="I112" s="137">
        <v>3933.33</v>
      </c>
      <c r="J112" s="138">
        <f t="shared" si="94"/>
        <v>-10216.67</v>
      </c>
      <c r="K112" s="371">
        <f t="shared" si="95"/>
        <v>-72.202614840989398</v>
      </c>
      <c r="L112" s="136">
        <f>$H$112</f>
        <v>14150</v>
      </c>
      <c r="M112" s="137">
        <v>6654.63</v>
      </c>
      <c r="N112" s="137">
        <f t="shared" ref="N112:N119" si="112">M112-L112</f>
        <v>-7495.37</v>
      </c>
      <c r="O112" s="237">
        <f t="shared" si="97"/>
        <v>-52.970812720848045</v>
      </c>
      <c r="P112" s="136">
        <f>$H$112</f>
        <v>14150</v>
      </c>
      <c r="Q112" s="137">
        <v>4838.7700000000004</v>
      </c>
      <c r="R112" s="137">
        <f t="shared" ref="R112:R119" si="113">Q112-P112</f>
        <v>-9311.23</v>
      </c>
      <c r="S112" s="237">
        <f t="shared" si="98"/>
        <v>-65.803745583038861</v>
      </c>
      <c r="T112" s="136">
        <f>$H$112</f>
        <v>14150</v>
      </c>
      <c r="U112" s="137">
        <v>8781.83</v>
      </c>
      <c r="V112" s="137">
        <f t="shared" ref="V112:V119" si="114">U112-T112</f>
        <v>-5368.17</v>
      </c>
      <c r="W112" s="237">
        <f t="shared" si="99"/>
        <v>-37.93759717314488</v>
      </c>
      <c r="X112" s="136">
        <f>$H$112</f>
        <v>14150</v>
      </c>
      <c r="Y112" s="137">
        <v>17987.169999999998</v>
      </c>
      <c r="Z112" s="137">
        <f t="shared" ref="Z112:Z119" si="115">Y112-X112</f>
        <v>3837.1699999999983</v>
      </c>
      <c r="AA112" s="237">
        <f t="shared" si="100"/>
        <v>27.117809187279128</v>
      </c>
      <c r="AB112" s="136">
        <f>$H$112</f>
        <v>14150</v>
      </c>
      <c r="AC112" s="137">
        <v>3265.98</v>
      </c>
      <c r="AD112" s="137">
        <f t="shared" ref="AD112:AD119" si="116">AC112-AB112</f>
        <v>-10884.02</v>
      </c>
      <c r="AE112" s="237">
        <f t="shared" si="101"/>
        <v>-76.918869257950533</v>
      </c>
      <c r="AF112" s="136">
        <f t="shared" si="61"/>
        <v>45461.71</v>
      </c>
      <c r="AG112" s="136">
        <f t="shared" si="62"/>
        <v>7576.9516666666668</v>
      </c>
      <c r="AH112" s="136">
        <v>7800</v>
      </c>
      <c r="AI112" s="137">
        <v>5956.07</v>
      </c>
      <c r="AJ112" s="137">
        <f t="shared" ref="AJ112:AJ119" si="117">AI112-AH112</f>
        <v>-1843.9300000000003</v>
      </c>
      <c r="AK112" s="237">
        <f t="shared" si="102"/>
        <v>-23.640128205128207</v>
      </c>
      <c r="AL112" s="136">
        <f>$H$112</f>
        <v>14150</v>
      </c>
      <c r="AM112" s="137">
        <v>5557.86</v>
      </c>
      <c r="AN112" s="169">
        <f t="shared" si="103"/>
        <v>-8592.14</v>
      </c>
      <c r="AO112" s="237">
        <f t="shared" si="104"/>
        <v>-60.721837455830396</v>
      </c>
      <c r="AP112" s="243">
        <f>$H$112</f>
        <v>14150</v>
      </c>
      <c r="AQ112" s="176">
        <v>5623.45</v>
      </c>
      <c r="AR112" s="169">
        <f t="shared" si="105"/>
        <v>-8526.5499999999993</v>
      </c>
      <c r="AS112" s="237">
        <f t="shared" si="106"/>
        <v>-60.258303886925788</v>
      </c>
      <c r="AT112" s="243">
        <f>$H$112</f>
        <v>14150</v>
      </c>
      <c r="AU112" s="176">
        <v>9871.1299999999992</v>
      </c>
      <c r="AV112" s="169">
        <f t="shared" si="107"/>
        <v>-4278.8700000000008</v>
      </c>
      <c r="AW112" s="237">
        <f t="shared" si="108"/>
        <v>-30.239363957597178</v>
      </c>
      <c r="AX112" s="243">
        <f>$H$112</f>
        <v>14150</v>
      </c>
      <c r="AY112" s="176">
        <v>8707.0499999999993</v>
      </c>
      <c r="AZ112" s="169">
        <f t="shared" si="109"/>
        <v>-5442.9500000000007</v>
      </c>
      <c r="BA112" s="237">
        <f t="shared" si="110"/>
        <v>-38.466077738515899</v>
      </c>
      <c r="BB112" s="243">
        <f>$H$112</f>
        <v>14150</v>
      </c>
      <c r="BC112" s="176">
        <v>7016</v>
      </c>
      <c r="BD112" s="137">
        <f>BC112-BB112</f>
        <v>-7134</v>
      </c>
      <c r="BE112" s="138">
        <f t="shared" si="111"/>
        <v>-50.416961130742052</v>
      </c>
      <c r="BF112" s="243">
        <f t="shared" si="63"/>
        <v>124011.70999999999</v>
      </c>
      <c r="BG112" s="177">
        <f t="shared" si="96"/>
        <v>88193.27</v>
      </c>
      <c r="BH112" s="63"/>
    </row>
    <row r="113" spans="2:60" s="11" customFormat="1" x14ac:dyDescent="0.25">
      <c r="B113" s="170">
        <v>11528</v>
      </c>
      <c r="C113" s="135">
        <v>281</v>
      </c>
      <c r="D113" s="332" t="s">
        <v>197</v>
      </c>
      <c r="E113" s="341"/>
      <c r="F113" s="726"/>
      <c r="G113" s="663">
        <v>5862.333333333333</v>
      </c>
      <c r="H113" s="212">
        <v>6000</v>
      </c>
      <c r="I113" s="137">
        <v>9690</v>
      </c>
      <c r="J113" s="138">
        <f t="shared" si="94"/>
        <v>3690</v>
      </c>
      <c r="K113" s="371">
        <f t="shared" si="95"/>
        <v>61.5</v>
      </c>
      <c r="L113" s="136">
        <f>$H$113</f>
        <v>6000</v>
      </c>
      <c r="M113" s="137">
        <v>4618</v>
      </c>
      <c r="N113" s="137">
        <f>M113-L113</f>
        <v>-1382</v>
      </c>
      <c r="O113" s="237">
        <f t="shared" si="97"/>
        <v>-23.033333333333328</v>
      </c>
      <c r="P113" s="136">
        <f>$H$113</f>
        <v>6000</v>
      </c>
      <c r="Q113" s="137">
        <v>4430</v>
      </c>
      <c r="R113" s="137">
        <f>Q113-P113</f>
        <v>-1570</v>
      </c>
      <c r="S113" s="237">
        <f t="shared" si="98"/>
        <v>-26.166666666666671</v>
      </c>
      <c r="T113" s="136">
        <f>$H$113</f>
        <v>6000</v>
      </c>
      <c r="U113" s="137">
        <v>4810</v>
      </c>
      <c r="V113" s="137">
        <f>U113-T113</f>
        <v>-1190</v>
      </c>
      <c r="W113" s="237">
        <f t="shared" si="99"/>
        <v>-19.833333333333336</v>
      </c>
      <c r="X113" s="136">
        <f>$H$113</f>
        <v>6000</v>
      </c>
      <c r="Y113" s="137">
        <v>8096</v>
      </c>
      <c r="Z113" s="137">
        <f>Y113-X113</f>
        <v>2096</v>
      </c>
      <c r="AA113" s="237">
        <f t="shared" si="100"/>
        <v>34.93333333333333</v>
      </c>
      <c r="AB113" s="136">
        <f>$H$113</f>
        <v>6000</v>
      </c>
      <c r="AC113" s="137">
        <v>4810</v>
      </c>
      <c r="AD113" s="137">
        <f>AC113-AB113</f>
        <v>-1190</v>
      </c>
      <c r="AE113" s="237">
        <f t="shared" si="101"/>
        <v>-19.833333333333336</v>
      </c>
      <c r="AF113" s="136">
        <f t="shared" si="61"/>
        <v>36454</v>
      </c>
      <c r="AG113" s="136">
        <f t="shared" si="62"/>
        <v>6075.666666666667</v>
      </c>
      <c r="AH113" s="136">
        <f>6100+1568</f>
        <v>7668</v>
      </c>
      <c r="AI113" s="137">
        <v>7988</v>
      </c>
      <c r="AJ113" s="137">
        <f>AI113-AH113</f>
        <v>320</v>
      </c>
      <c r="AK113" s="237">
        <f t="shared" si="102"/>
        <v>4.1731872717788221</v>
      </c>
      <c r="AL113" s="136">
        <v>7668</v>
      </c>
      <c r="AM113" s="137">
        <v>6878</v>
      </c>
      <c r="AN113" s="169">
        <f t="shared" si="103"/>
        <v>-790</v>
      </c>
      <c r="AO113" s="237">
        <f t="shared" si="104"/>
        <v>-10.302556077203961</v>
      </c>
      <c r="AP113" s="243">
        <v>7668</v>
      </c>
      <c r="AQ113" s="176">
        <v>6878</v>
      </c>
      <c r="AR113" s="169">
        <f t="shared" si="105"/>
        <v>-790</v>
      </c>
      <c r="AS113" s="237">
        <f t="shared" si="106"/>
        <v>-10.302556077203961</v>
      </c>
      <c r="AT113" s="243">
        <v>7668</v>
      </c>
      <c r="AU113" s="176">
        <v>6878</v>
      </c>
      <c r="AV113" s="169">
        <f t="shared" si="107"/>
        <v>-790</v>
      </c>
      <c r="AW113" s="237">
        <f t="shared" si="108"/>
        <v>-10.302556077203961</v>
      </c>
      <c r="AX113" s="243">
        <v>7668</v>
      </c>
      <c r="AY113" s="176">
        <v>5878</v>
      </c>
      <c r="AZ113" s="169">
        <f t="shared" si="109"/>
        <v>-1790</v>
      </c>
      <c r="BA113" s="237">
        <f t="shared" si="110"/>
        <v>-23.34376630151278</v>
      </c>
      <c r="BB113" s="243">
        <v>7668</v>
      </c>
      <c r="BC113" s="176">
        <v>9006</v>
      </c>
      <c r="BD113" s="137">
        <f t="shared" ref="BD113:BD119" si="118">BC113-BB113</f>
        <v>1338</v>
      </c>
      <c r="BE113" s="138">
        <f t="shared" si="111"/>
        <v>17.449139280125191</v>
      </c>
      <c r="BF113" s="243">
        <f t="shared" si="63"/>
        <v>82462</v>
      </c>
      <c r="BG113" s="177">
        <f t="shared" si="96"/>
        <v>79960</v>
      </c>
      <c r="BH113" s="63"/>
    </row>
    <row r="114" spans="2:60" s="11" customFormat="1" x14ac:dyDescent="0.25">
      <c r="B114" s="170" t="s">
        <v>3624</v>
      </c>
      <c r="C114" s="135">
        <v>212</v>
      </c>
      <c r="D114" s="332" t="s">
        <v>331</v>
      </c>
      <c r="E114" s="341"/>
      <c r="F114" s="725"/>
      <c r="G114" s="663">
        <v>64107.25</v>
      </c>
      <c r="H114" s="212">
        <v>64110</v>
      </c>
      <c r="I114" s="137">
        <f>62123.35+18637.52</f>
        <v>80760.87</v>
      </c>
      <c r="J114" s="138">
        <f t="shared" si="94"/>
        <v>16650.869999999995</v>
      </c>
      <c r="K114" s="371">
        <f t="shared" si="95"/>
        <v>25.972344408048652</v>
      </c>
      <c r="L114" s="136">
        <f>$H$114</f>
        <v>64110</v>
      </c>
      <c r="M114" s="137">
        <f>19935.63+25696.96</f>
        <v>45632.59</v>
      </c>
      <c r="N114" s="137">
        <f t="shared" si="112"/>
        <v>-18477.410000000003</v>
      </c>
      <c r="O114" s="237">
        <f t="shared" si="97"/>
        <v>-28.821416315707381</v>
      </c>
      <c r="P114" s="136">
        <f>$H$114</f>
        <v>64110</v>
      </c>
      <c r="Q114" s="137">
        <f>123253.79+25712.68</f>
        <v>148966.47</v>
      </c>
      <c r="R114" s="137">
        <f t="shared" si="113"/>
        <v>84856.47</v>
      </c>
      <c r="S114" s="237">
        <f t="shared" si="98"/>
        <v>132.36073935423488</v>
      </c>
      <c r="T114" s="136">
        <f>$H$114</f>
        <v>64110</v>
      </c>
      <c r="U114" s="137">
        <f>17191.96+20639.97</f>
        <v>37831.93</v>
      </c>
      <c r="V114" s="137">
        <f t="shared" si="114"/>
        <v>-26278.07</v>
      </c>
      <c r="W114" s="237">
        <f t="shared" si="99"/>
        <v>-40.989034472001251</v>
      </c>
      <c r="X114" s="136">
        <v>43000</v>
      </c>
      <c r="Y114" s="137">
        <f>55325.62+20639.97</f>
        <v>75965.59</v>
      </c>
      <c r="Z114" s="137">
        <f t="shared" si="115"/>
        <v>32965.589999999997</v>
      </c>
      <c r="AA114" s="237">
        <f t="shared" si="100"/>
        <v>76.664162790697674</v>
      </c>
      <c r="AB114" s="136">
        <f>$X$114</f>
        <v>43000</v>
      </c>
      <c r="AC114" s="137">
        <f>45502.66+20639.97</f>
        <v>66142.63</v>
      </c>
      <c r="AD114" s="137">
        <f t="shared" si="116"/>
        <v>23142.630000000005</v>
      </c>
      <c r="AE114" s="237">
        <f t="shared" si="101"/>
        <v>53.820069767441872</v>
      </c>
      <c r="AF114" s="136">
        <f t="shared" si="61"/>
        <v>455300.07999999996</v>
      </c>
      <c r="AG114" s="136">
        <f t="shared" si="62"/>
        <v>75883.346666666665</v>
      </c>
      <c r="AH114" s="727">
        <v>75890</v>
      </c>
      <c r="AI114" s="137">
        <f>46805.82+20741.29</f>
        <v>67547.11</v>
      </c>
      <c r="AJ114" s="137">
        <f t="shared" si="117"/>
        <v>-8342.89</v>
      </c>
      <c r="AK114" s="237">
        <f t="shared" si="102"/>
        <v>-10.993398339702198</v>
      </c>
      <c r="AL114" s="137">
        <f>AH114+215</f>
        <v>76105</v>
      </c>
      <c r="AM114" s="137">
        <f>34173.1+23702.29</f>
        <v>57875.39</v>
      </c>
      <c r="AN114" s="169">
        <f t="shared" si="103"/>
        <v>-18229.61</v>
      </c>
      <c r="AO114" s="237">
        <f t="shared" si="104"/>
        <v>-23.953235661257477</v>
      </c>
      <c r="AP114" s="137">
        <f>AL114</f>
        <v>76105</v>
      </c>
      <c r="AQ114" s="176">
        <f>34377.5+23065.58</f>
        <v>57443.08</v>
      </c>
      <c r="AR114" s="169">
        <f t="shared" si="105"/>
        <v>-18661.919999999998</v>
      </c>
      <c r="AS114" s="237">
        <f t="shared" si="106"/>
        <v>-24.521279810787721</v>
      </c>
      <c r="AT114" s="137">
        <f>(AH114+4250)-17138.33</f>
        <v>63001.67</v>
      </c>
      <c r="AU114" s="176">
        <f>19306.24+22849.07</f>
        <v>42155.31</v>
      </c>
      <c r="AV114" s="169">
        <f t="shared" si="107"/>
        <v>-20846.36</v>
      </c>
      <c r="AW114" s="237">
        <f t="shared" si="108"/>
        <v>-33.088583207397512</v>
      </c>
      <c r="AX114" s="137">
        <f>AT114</f>
        <v>63001.67</v>
      </c>
      <c r="AY114" s="176">
        <f>23575.85+25542.19</f>
        <v>49118.039999999994</v>
      </c>
      <c r="AZ114" s="169">
        <f t="shared" si="109"/>
        <v>-13883.630000000005</v>
      </c>
      <c r="BA114" s="237">
        <f t="shared" si="110"/>
        <v>-22.036923783131467</v>
      </c>
      <c r="BB114" s="137">
        <f>(AH114+6375)-17138.33</f>
        <v>65126.67</v>
      </c>
      <c r="BC114" s="176">
        <f>18594.66+20741.29</f>
        <v>39335.949999999997</v>
      </c>
      <c r="BD114" s="137">
        <f t="shared" si="118"/>
        <v>-25790.720000000001</v>
      </c>
      <c r="BE114" s="138">
        <f t="shared" si="111"/>
        <v>-39.600857835967972</v>
      </c>
      <c r="BF114" s="137">
        <f t="shared" si="63"/>
        <v>874530.09000000008</v>
      </c>
      <c r="BG114" s="177">
        <f t="shared" si="96"/>
        <v>768774.96</v>
      </c>
      <c r="BH114" s="63"/>
    </row>
    <row r="115" spans="2:60" s="11" customFormat="1" x14ac:dyDescent="0.25">
      <c r="B115" s="170" t="s">
        <v>63</v>
      </c>
      <c r="C115" s="135" t="s">
        <v>64</v>
      </c>
      <c r="D115" s="332" t="s">
        <v>65</v>
      </c>
      <c r="E115" s="341"/>
      <c r="F115" s="725"/>
      <c r="G115" s="663">
        <v>9234.8850000000002</v>
      </c>
      <c r="H115" s="212">
        <v>9240</v>
      </c>
      <c r="I115" s="137">
        <f>0+15395.11</f>
        <v>15395.11</v>
      </c>
      <c r="J115" s="138">
        <f t="shared" si="94"/>
        <v>6155.1100000000006</v>
      </c>
      <c r="K115" s="371">
        <f t="shared" si="95"/>
        <v>66.613744588744609</v>
      </c>
      <c r="L115" s="136">
        <f>$H$115</f>
        <v>9240</v>
      </c>
      <c r="M115" s="137">
        <f>1122.5+14593.75</f>
        <v>15716.25</v>
      </c>
      <c r="N115" s="137">
        <f t="shared" si="112"/>
        <v>6476.25</v>
      </c>
      <c r="O115" s="237">
        <f t="shared" si="97"/>
        <v>70.089285714285722</v>
      </c>
      <c r="P115" s="136">
        <f>$H$115</f>
        <v>9240</v>
      </c>
      <c r="Q115" s="137">
        <f>0+14577.48</f>
        <v>14577.48</v>
      </c>
      <c r="R115" s="137">
        <f t="shared" si="113"/>
        <v>5337.48</v>
      </c>
      <c r="S115" s="237">
        <f t="shared" si="98"/>
        <v>57.764935064935052</v>
      </c>
      <c r="T115" s="136">
        <f>$H$115</f>
        <v>9240</v>
      </c>
      <c r="U115" s="137">
        <f>1400+14652.44</f>
        <v>16052.44</v>
      </c>
      <c r="V115" s="137">
        <f t="shared" si="114"/>
        <v>6812.4400000000005</v>
      </c>
      <c r="W115" s="237">
        <f t="shared" si="99"/>
        <v>73.727705627705632</v>
      </c>
      <c r="X115" s="136">
        <f>$H$115</f>
        <v>9240</v>
      </c>
      <c r="Y115" s="137">
        <f>0+16493.55</f>
        <v>16493.55</v>
      </c>
      <c r="Z115" s="137">
        <f t="shared" si="115"/>
        <v>7253.5499999999993</v>
      </c>
      <c r="AA115" s="237">
        <f t="shared" si="100"/>
        <v>78.501623376623371</v>
      </c>
      <c r="AB115" s="136">
        <f>$H$115</f>
        <v>9240</v>
      </c>
      <c r="AC115" s="137">
        <f>0+12922.69</f>
        <v>12922.69</v>
      </c>
      <c r="AD115" s="137">
        <f t="shared" si="116"/>
        <v>3682.6900000000005</v>
      </c>
      <c r="AE115" s="237">
        <f t="shared" si="101"/>
        <v>39.855952380952388</v>
      </c>
      <c r="AF115" s="136">
        <f t="shared" si="61"/>
        <v>91157.52</v>
      </c>
      <c r="AG115" s="136">
        <f t="shared" si="62"/>
        <v>15192.92</v>
      </c>
      <c r="AH115" s="136">
        <v>15200</v>
      </c>
      <c r="AI115" s="137">
        <f>16218.5</f>
        <v>16218.5</v>
      </c>
      <c r="AJ115" s="137">
        <f t="shared" si="117"/>
        <v>1018.5</v>
      </c>
      <c r="AK115" s="237">
        <f t="shared" si="102"/>
        <v>6.7006578947368389</v>
      </c>
      <c r="AL115" s="136">
        <f>$H$115</f>
        <v>9240</v>
      </c>
      <c r="AM115" s="137">
        <f>562.5+13418.67</f>
        <v>13981.17</v>
      </c>
      <c r="AN115" s="169">
        <f t="shared" si="103"/>
        <v>4741.17</v>
      </c>
      <c r="AO115" s="237">
        <f t="shared" si="104"/>
        <v>51.311363636363637</v>
      </c>
      <c r="AP115" s="243">
        <f>$H$115</f>
        <v>9240</v>
      </c>
      <c r="AQ115" s="176">
        <f>0+14894.63</f>
        <v>14894.63</v>
      </c>
      <c r="AR115" s="169">
        <f t="shared" si="105"/>
        <v>5654.6299999999992</v>
      </c>
      <c r="AS115" s="237">
        <f t="shared" si="106"/>
        <v>61.197294372294351</v>
      </c>
      <c r="AT115" s="243">
        <f>$H$115</f>
        <v>9240</v>
      </c>
      <c r="AU115" s="176">
        <f>0+11190.1</f>
        <v>11190.1</v>
      </c>
      <c r="AV115" s="169">
        <f t="shared" si="107"/>
        <v>1950.1000000000004</v>
      </c>
      <c r="AW115" s="237">
        <f t="shared" si="108"/>
        <v>21.104978354978353</v>
      </c>
      <c r="AX115" s="243">
        <f>$H$115</f>
        <v>9240</v>
      </c>
      <c r="AY115" s="176">
        <f>0+18911.55</f>
        <v>18911.55</v>
      </c>
      <c r="AZ115" s="169">
        <f t="shared" si="109"/>
        <v>9671.5499999999993</v>
      </c>
      <c r="BA115" s="237">
        <f t="shared" si="110"/>
        <v>104.67045454545452</v>
      </c>
      <c r="BB115" s="243">
        <f>$H$115</f>
        <v>9240</v>
      </c>
      <c r="BC115" s="176">
        <f>0+14894</f>
        <v>14894</v>
      </c>
      <c r="BD115" s="137">
        <f t="shared" si="118"/>
        <v>5654</v>
      </c>
      <c r="BE115" s="138">
        <f t="shared" si="111"/>
        <v>61.190476190476197</v>
      </c>
      <c r="BF115" s="243">
        <f t="shared" si="63"/>
        <v>152557.52000000002</v>
      </c>
      <c r="BG115" s="177">
        <f t="shared" si="96"/>
        <v>181247.47</v>
      </c>
      <c r="BH115" s="63"/>
    </row>
    <row r="116" spans="2:60" s="11" customFormat="1" x14ac:dyDescent="0.25">
      <c r="B116" s="170">
        <v>51673</v>
      </c>
      <c r="C116" s="135">
        <v>364</v>
      </c>
      <c r="D116" s="332" t="s">
        <v>198</v>
      </c>
      <c r="E116" s="341"/>
      <c r="F116" s="725"/>
      <c r="G116" s="663">
        <v>1281.9416666666666</v>
      </c>
      <c r="H116" s="212">
        <v>1290</v>
      </c>
      <c r="I116" s="137">
        <v>1532</v>
      </c>
      <c r="J116" s="138">
        <f t="shared" si="94"/>
        <v>242</v>
      </c>
      <c r="K116" s="371">
        <f t="shared" si="95"/>
        <v>18.759689922480625</v>
      </c>
      <c r="L116" s="136">
        <f>$H$116</f>
        <v>1290</v>
      </c>
      <c r="M116" s="137">
        <v>1565.17</v>
      </c>
      <c r="N116" s="137">
        <f t="shared" si="112"/>
        <v>275.17000000000007</v>
      </c>
      <c r="O116" s="237">
        <f t="shared" si="97"/>
        <v>21.331007751937992</v>
      </c>
      <c r="P116" s="136">
        <f>$H$116</f>
        <v>1290</v>
      </c>
      <c r="Q116" s="137">
        <v>0</v>
      </c>
      <c r="R116" s="137">
        <f t="shared" si="113"/>
        <v>-1290</v>
      </c>
      <c r="S116" s="237">
        <f t="shared" si="98"/>
        <v>-100</v>
      </c>
      <c r="T116" s="136">
        <f>$H$116</f>
        <v>1290</v>
      </c>
      <c r="U116" s="137">
        <v>3497.94</v>
      </c>
      <c r="V116" s="137">
        <f t="shared" si="114"/>
        <v>2207.94</v>
      </c>
      <c r="W116" s="237">
        <f t="shared" si="99"/>
        <v>171.15813953488376</v>
      </c>
      <c r="X116" s="136">
        <f>$H$116</f>
        <v>1290</v>
      </c>
      <c r="Y116" s="137">
        <v>1635.4</v>
      </c>
      <c r="Z116" s="137">
        <f t="shared" si="115"/>
        <v>345.40000000000009</v>
      </c>
      <c r="AA116" s="237">
        <f t="shared" si="100"/>
        <v>26.775193798449614</v>
      </c>
      <c r="AB116" s="136">
        <f>$H$116</f>
        <v>1290</v>
      </c>
      <c r="AC116" s="137">
        <v>1635.4</v>
      </c>
      <c r="AD116" s="137">
        <f t="shared" si="116"/>
        <v>345.40000000000009</v>
      </c>
      <c r="AE116" s="237">
        <f t="shared" si="101"/>
        <v>26.775193798449614</v>
      </c>
      <c r="AF116" s="136">
        <f t="shared" si="61"/>
        <v>9865.91</v>
      </c>
      <c r="AG116" s="136">
        <f t="shared" si="62"/>
        <v>1644.3183333333334</v>
      </c>
      <c r="AH116" s="136">
        <v>1650</v>
      </c>
      <c r="AI116" s="137">
        <v>1568.26</v>
      </c>
      <c r="AJ116" s="137">
        <f t="shared" si="117"/>
        <v>-81.740000000000009</v>
      </c>
      <c r="AK116" s="237">
        <f t="shared" si="102"/>
        <v>-4.9539393939393994</v>
      </c>
      <c r="AL116" s="136">
        <f>AH116</f>
        <v>1650</v>
      </c>
      <c r="AM116" s="137">
        <v>1635.4</v>
      </c>
      <c r="AN116" s="169">
        <f t="shared" si="103"/>
        <v>-14.599999999999909</v>
      </c>
      <c r="AO116" s="237">
        <f t="shared" si="104"/>
        <v>-0.88484848484847722</v>
      </c>
      <c r="AP116" s="243">
        <f>AL116</f>
        <v>1650</v>
      </c>
      <c r="AQ116" s="176">
        <v>1635.4</v>
      </c>
      <c r="AR116" s="169">
        <f t="shared" si="105"/>
        <v>-14.599999999999909</v>
      </c>
      <c r="AS116" s="237">
        <f t="shared" si="106"/>
        <v>-0.88484848484847722</v>
      </c>
      <c r="AT116" s="243">
        <f>AP116+420</f>
        <v>2070</v>
      </c>
      <c r="AU116" s="176">
        <v>1635.4</v>
      </c>
      <c r="AV116" s="169">
        <f t="shared" si="107"/>
        <v>-434.59999999999991</v>
      </c>
      <c r="AW116" s="237">
        <f t="shared" si="108"/>
        <v>-20.995169082125599</v>
      </c>
      <c r="AX116" s="243">
        <f>AT116+826</f>
        <v>2896</v>
      </c>
      <c r="AY116" s="176">
        <v>1635.4</v>
      </c>
      <c r="AZ116" s="169">
        <f t="shared" si="109"/>
        <v>-1260.5999999999999</v>
      </c>
      <c r="BA116" s="237">
        <f t="shared" si="110"/>
        <v>-43.529005524861873</v>
      </c>
      <c r="BB116" s="243">
        <f>AX116</f>
        <v>2896</v>
      </c>
      <c r="BC116" s="176">
        <v>0</v>
      </c>
      <c r="BD116" s="137">
        <f t="shared" si="118"/>
        <v>-2896</v>
      </c>
      <c r="BE116" s="138">
        <f t="shared" si="111"/>
        <v>-100</v>
      </c>
      <c r="BF116" s="243">
        <f>AF116+AH116+AL116+AP116+AT116+AX116+BB116</f>
        <v>22677.91</v>
      </c>
      <c r="BG116" s="177">
        <f t="shared" si="96"/>
        <v>17975.77</v>
      </c>
      <c r="BH116" s="63"/>
    </row>
    <row r="117" spans="2:60" s="11" customFormat="1" x14ac:dyDescent="0.25">
      <c r="B117" s="170">
        <v>33004</v>
      </c>
      <c r="C117" s="135">
        <v>240</v>
      </c>
      <c r="D117" s="332" t="s">
        <v>66</v>
      </c>
      <c r="E117" s="341"/>
      <c r="F117" s="725"/>
      <c r="G117" s="663">
        <v>4509.7266666666665</v>
      </c>
      <c r="H117" s="212">
        <f>F117*G117+G117</f>
        <v>4509.7266666666665</v>
      </c>
      <c r="I117" s="137">
        <v>5096.79</v>
      </c>
      <c r="J117" s="138">
        <f t="shared" si="94"/>
        <v>587.0633333333335</v>
      </c>
      <c r="K117" s="371">
        <f t="shared" si="95"/>
        <v>13.017714303453731</v>
      </c>
      <c r="L117" s="136">
        <f>$H$117</f>
        <v>4509.7266666666665</v>
      </c>
      <c r="M117" s="137">
        <v>5102.21</v>
      </c>
      <c r="N117" s="137">
        <f t="shared" si="112"/>
        <v>592.48333333333358</v>
      </c>
      <c r="O117" s="237">
        <f t="shared" si="97"/>
        <v>13.137898970964979</v>
      </c>
      <c r="P117" s="136">
        <f>$H$117</f>
        <v>4509.7266666666665</v>
      </c>
      <c r="Q117" s="137">
        <v>5177.1000000000004</v>
      </c>
      <c r="R117" s="137">
        <f t="shared" si="113"/>
        <v>667.3733333333339</v>
      </c>
      <c r="S117" s="237">
        <f t="shared" si="98"/>
        <v>14.798531766152866</v>
      </c>
      <c r="T117" s="136">
        <f>$H$117</f>
        <v>4509.7266666666665</v>
      </c>
      <c r="U117" s="137">
        <v>5110.75</v>
      </c>
      <c r="V117" s="137">
        <f t="shared" si="114"/>
        <v>601.02333333333354</v>
      </c>
      <c r="W117" s="237">
        <f t="shared" si="99"/>
        <v>13.327267432320378</v>
      </c>
      <c r="X117" s="136">
        <f>$H$117</f>
        <v>4509.7266666666665</v>
      </c>
      <c r="Y117" s="137">
        <v>5204</v>
      </c>
      <c r="Z117" s="137">
        <f t="shared" si="115"/>
        <v>694.27333333333354</v>
      </c>
      <c r="AA117" s="237">
        <f t="shared" si="100"/>
        <v>15.39502024512942</v>
      </c>
      <c r="AB117" s="136">
        <f>$H$117</f>
        <v>4509.7266666666665</v>
      </c>
      <c r="AC117" s="137">
        <v>5124.46</v>
      </c>
      <c r="AD117" s="137">
        <f t="shared" si="116"/>
        <v>614.73333333333358</v>
      </c>
      <c r="AE117" s="237">
        <f t="shared" si="101"/>
        <v>13.631276987962316</v>
      </c>
      <c r="AF117" s="136">
        <f t="shared" si="61"/>
        <v>30815.309999999998</v>
      </c>
      <c r="AG117" s="136">
        <f t="shared" si="62"/>
        <v>5135.8849999999993</v>
      </c>
      <c r="AH117" s="136">
        <v>5200</v>
      </c>
      <c r="AI117" s="137">
        <v>3717.36</v>
      </c>
      <c r="AJ117" s="137">
        <f t="shared" si="117"/>
        <v>-1482.6399999999999</v>
      </c>
      <c r="AK117" s="237">
        <f t="shared" si="102"/>
        <v>-28.512307692307694</v>
      </c>
      <c r="AL117" s="136">
        <f>$H$117</f>
        <v>4509.7266666666665</v>
      </c>
      <c r="AM117" s="137">
        <v>6503.72</v>
      </c>
      <c r="AN117" s="169">
        <f t="shared" si="103"/>
        <v>1993.9933333333338</v>
      </c>
      <c r="AO117" s="237">
        <f t="shared" si="104"/>
        <v>44.215392211501367</v>
      </c>
      <c r="AP117" s="243">
        <f>$H$117</f>
        <v>4509.7266666666665</v>
      </c>
      <c r="AQ117" s="176">
        <v>5113.03</v>
      </c>
      <c r="AR117" s="169">
        <f t="shared" si="105"/>
        <v>603.30333333333328</v>
      </c>
      <c r="AS117" s="237">
        <f t="shared" si="106"/>
        <v>13.377824820129526</v>
      </c>
      <c r="AT117" s="243">
        <f>$H$117</f>
        <v>4509.7266666666665</v>
      </c>
      <c r="AU117" s="176">
        <v>5195.78</v>
      </c>
      <c r="AV117" s="169">
        <f t="shared" si="107"/>
        <v>686.05333333333328</v>
      </c>
      <c r="AW117" s="237">
        <f t="shared" si="108"/>
        <v>15.212747557501638</v>
      </c>
      <c r="AX117" s="243">
        <f>$H$117</f>
        <v>4509.7266666666665</v>
      </c>
      <c r="AY117" s="176">
        <v>5104.8</v>
      </c>
      <c r="AZ117" s="169">
        <f t="shared" si="109"/>
        <v>595.07333333333372</v>
      </c>
      <c r="BA117" s="237">
        <f t="shared" si="110"/>
        <v>13.195330389572767</v>
      </c>
      <c r="BB117" s="243">
        <f>$H$117</f>
        <v>4509.7266666666665</v>
      </c>
      <c r="BC117" s="176">
        <v>5042.93</v>
      </c>
      <c r="BD117" s="137">
        <f t="shared" si="118"/>
        <v>533.20333333333383</v>
      </c>
      <c r="BE117" s="138">
        <f t="shared" si="111"/>
        <v>11.823406887926691</v>
      </c>
      <c r="BF117" s="243">
        <f t="shared" si="63"/>
        <v>58563.943333333344</v>
      </c>
      <c r="BG117" s="177">
        <f t="shared" si="96"/>
        <v>61492.93</v>
      </c>
      <c r="BH117" s="63"/>
    </row>
    <row r="118" spans="2:60" s="11" customFormat="1" x14ac:dyDescent="0.25">
      <c r="B118" s="170">
        <v>12305</v>
      </c>
      <c r="C118" s="135">
        <v>213</v>
      </c>
      <c r="D118" s="332" t="s">
        <v>67</v>
      </c>
      <c r="E118" s="341"/>
      <c r="F118" s="725"/>
      <c r="G118" s="663">
        <v>8309.7316666666666</v>
      </c>
      <c r="H118" s="212">
        <f>F118*G118+G118</f>
        <v>8309.7316666666666</v>
      </c>
      <c r="I118" s="137">
        <v>6754.17</v>
      </c>
      <c r="J118" s="138">
        <f t="shared" si="94"/>
        <v>-1555.5616666666665</v>
      </c>
      <c r="K118" s="371">
        <f t="shared" si="95"/>
        <v>-18.719758098887674</v>
      </c>
      <c r="L118" s="136">
        <f>$H$118</f>
        <v>8309.7316666666666</v>
      </c>
      <c r="M118" s="137">
        <v>8676.31</v>
      </c>
      <c r="N118" s="137">
        <f t="shared" si="112"/>
        <v>366.57833333333292</v>
      </c>
      <c r="O118" s="237">
        <f t="shared" si="97"/>
        <v>4.4114340635547977</v>
      </c>
      <c r="P118" s="136">
        <f>$H$118</f>
        <v>8309.7316666666666</v>
      </c>
      <c r="Q118" s="137">
        <v>7655.04</v>
      </c>
      <c r="R118" s="137">
        <f t="shared" si="113"/>
        <v>-654.69166666666661</v>
      </c>
      <c r="S118" s="237">
        <f t="shared" si="98"/>
        <v>-7.8786138100327747</v>
      </c>
      <c r="T118" s="136">
        <f>$H$118</f>
        <v>8309.7316666666666</v>
      </c>
      <c r="U118" s="137">
        <v>7157.26</v>
      </c>
      <c r="V118" s="137">
        <f t="shared" si="114"/>
        <v>-1152.4716666666664</v>
      </c>
      <c r="W118" s="237">
        <f t="shared" si="99"/>
        <v>-13.868939610765608</v>
      </c>
      <c r="X118" s="136">
        <f>$H$118</f>
        <v>8309.7316666666666</v>
      </c>
      <c r="Y118" s="137">
        <v>0</v>
      </c>
      <c r="Z118" s="137">
        <f t="shared" si="115"/>
        <v>-8309.7316666666666</v>
      </c>
      <c r="AA118" s="237">
        <f t="shared" si="100"/>
        <v>-100</v>
      </c>
      <c r="AB118" s="136">
        <f>$H$118</f>
        <v>8309.7316666666666</v>
      </c>
      <c r="AC118" s="137">
        <v>7539.23</v>
      </c>
      <c r="AD118" s="137">
        <f t="shared" si="116"/>
        <v>-770.50166666666701</v>
      </c>
      <c r="AE118" s="237">
        <f t="shared" si="101"/>
        <v>-9.272280954118262</v>
      </c>
      <c r="AF118" s="136">
        <f t="shared" si="61"/>
        <v>37782.009999999995</v>
      </c>
      <c r="AG118" s="136">
        <f t="shared" si="62"/>
        <v>6297.0016666666661</v>
      </c>
      <c r="AH118" s="136">
        <v>6300</v>
      </c>
      <c r="AI118" s="137">
        <v>6317.69</v>
      </c>
      <c r="AJ118" s="137">
        <f t="shared" si="117"/>
        <v>17.6899999999996</v>
      </c>
      <c r="AK118" s="237">
        <f t="shared" si="102"/>
        <v>0.2807936507936537</v>
      </c>
      <c r="AL118" s="136">
        <f>$H$118</f>
        <v>8309.7316666666666</v>
      </c>
      <c r="AM118" s="137">
        <v>6141.99</v>
      </c>
      <c r="AN118" s="169">
        <f t="shared" si="103"/>
        <v>-2167.7416666666668</v>
      </c>
      <c r="AO118" s="237">
        <f t="shared" si="104"/>
        <v>-26.086782986775148</v>
      </c>
      <c r="AP118" s="243">
        <f>$H$118</f>
        <v>8309.7316666666666</v>
      </c>
      <c r="AQ118" s="176">
        <v>6852.64</v>
      </c>
      <c r="AR118" s="169">
        <f t="shared" si="105"/>
        <v>-1457.0916666666662</v>
      </c>
      <c r="AS118" s="237">
        <f t="shared" si="106"/>
        <v>-17.534761952802725</v>
      </c>
      <c r="AT118" s="243">
        <f>$H$118</f>
        <v>8309.7316666666666</v>
      </c>
      <c r="AU118" s="176">
        <v>3255.98</v>
      </c>
      <c r="AV118" s="169">
        <f t="shared" si="107"/>
        <v>-5053.751666666667</v>
      </c>
      <c r="AW118" s="237">
        <f t="shared" si="108"/>
        <v>-60.817266662641934</v>
      </c>
      <c r="AX118" s="243">
        <f>$H$118</f>
        <v>8309.7316666666666</v>
      </c>
      <c r="AY118" s="176">
        <v>7551.08</v>
      </c>
      <c r="AZ118" s="169">
        <f t="shared" si="109"/>
        <v>-758.65166666666664</v>
      </c>
      <c r="BA118" s="237">
        <f t="shared" si="110"/>
        <v>-9.1296770714016198</v>
      </c>
      <c r="BB118" s="243">
        <f>$H$118</f>
        <v>8309.7316666666666</v>
      </c>
      <c r="BC118" s="176">
        <v>6535.02</v>
      </c>
      <c r="BD118" s="137">
        <f t="shared" si="118"/>
        <v>-1774.7116666666661</v>
      </c>
      <c r="BE118" s="138">
        <f t="shared" si="111"/>
        <v>-21.357027372925597</v>
      </c>
      <c r="BF118" s="243">
        <f t="shared" si="63"/>
        <v>85630.668333333306</v>
      </c>
      <c r="BG118" s="177">
        <f t="shared" si="96"/>
        <v>74436.41</v>
      </c>
      <c r="BH118" s="63"/>
    </row>
    <row r="119" spans="2:60" s="11" customFormat="1" ht="16.5" thickBot="1" x14ac:dyDescent="0.3">
      <c r="B119" s="178">
        <v>11675</v>
      </c>
      <c r="C119" s="179">
        <v>230</v>
      </c>
      <c r="D119" s="385" t="s">
        <v>68</v>
      </c>
      <c r="E119" s="386"/>
      <c r="F119" s="728"/>
      <c r="G119" s="729">
        <v>7807.0149999999994</v>
      </c>
      <c r="H119" s="214">
        <v>7810</v>
      </c>
      <c r="I119" s="182">
        <v>6918.69</v>
      </c>
      <c r="J119" s="250">
        <f t="shared" si="94"/>
        <v>-891.3100000000004</v>
      </c>
      <c r="K119" s="374">
        <f t="shared" si="95"/>
        <v>-11.412419974391808</v>
      </c>
      <c r="L119" s="181">
        <f>$H$119</f>
        <v>7810</v>
      </c>
      <c r="M119" s="182">
        <v>7478.32</v>
      </c>
      <c r="N119" s="182">
        <f t="shared" si="112"/>
        <v>-331.68000000000029</v>
      </c>
      <c r="O119" s="248">
        <f t="shared" si="97"/>
        <v>-4.2468629961587734</v>
      </c>
      <c r="P119" s="181">
        <f>$H$119</f>
        <v>7810</v>
      </c>
      <c r="Q119" s="182">
        <v>4921.03</v>
      </c>
      <c r="R119" s="182">
        <f t="shared" si="113"/>
        <v>-2888.9700000000003</v>
      </c>
      <c r="S119" s="248">
        <f t="shared" si="98"/>
        <v>-36.990653008962873</v>
      </c>
      <c r="T119" s="181">
        <f>$H$119</f>
        <v>7810</v>
      </c>
      <c r="U119" s="182">
        <v>10683.77</v>
      </c>
      <c r="V119" s="182">
        <f t="shared" si="114"/>
        <v>2873.7700000000004</v>
      </c>
      <c r="W119" s="248">
        <f t="shared" si="99"/>
        <v>36.796030729833554</v>
      </c>
      <c r="X119" s="181">
        <f>$H$119</f>
        <v>7810</v>
      </c>
      <c r="Y119" s="182">
        <v>9607.0499999999993</v>
      </c>
      <c r="Z119" s="182">
        <f t="shared" si="115"/>
        <v>1797.0499999999993</v>
      </c>
      <c r="AA119" s="248">
        <f t="shared" si="100"/>
        <v>23.009603072983342</v>
      </c>
      <c r="AB119" s="181">
        <f>$H$119</f>
        <v>7810</v>
      </c>
      <c r="AC119" s="182">
        <v>11393.86</v>
      </c>
      <c r="AD119" s="182">
        <f t="shared" si="116"/>
        <v>3583.8600000000006</v>
      </c>
      <c r="AE119" s="248">
        <f t="shared" si="101"/>
        <v>45.888092189500654</v>
      </c>
      <c r="AF119" s="181">
        <f t="shared" si="61"/>
        <v>51002.720000000001</v>
      </c>
      <c r="AG119" s="181">
        <f t="shared" si="62"/>
        <v>8500.4533333333329</v>
      </c>
      <c r="AH119" s="181">
        <v>8500</v>
      </c>
      <c r="AI119" s="182">
        <v>8882.4599999999991</v>
      </c>
      <c r="AJ119" s="182">
        <f t="shared" si="117"/>
        <v>382.45999999999913</v>
      </c>
      <c r="AK119" s="248">
        <f t="shared" si="102"/>
        <v>4.4995294117647022</v>
      </c>
      <c r="AL119" s="181">
        <f>$H$119</f>
        <v>7810</v>
      </c>
      <c r="AM119" s="182">
        <v>12255.33</v>
      </c>
      <c r="AN119" s="182">
        <f t="shared" si="103"/>
        <v>4445.33</v>
      </c>
      <c r="AO119" s="248">
        <f t="shared" si="104"/>
        <v>56.918437900128048</v>
      </c>
      <c r="AP119" s="545">
        <f>$H$119</f>
        <v>7810</v>
      </c>
      <c r="AQ119" s="183">
        <v>23718.84</v>
      </c>
      <c r="AR119" s="182">
        <f t="shared" si="105"/>
        <v>15908.84</v>
      </c>
      <c r="AS119" s="248">
        <f t="shared" si="106"/>
        <v>203.69833546734958</v>
      </c>
      <c r="AT119" s="545">
        <f>$H$119</f>
        <v>7810</v>
      </c>
      <c r="AU119" s="183">
        <v>-3937.08</v>
      </c>
      <c r="AV119" s="182">
        <f t="shared" si="107"/>
        <v>-11747.08</v>
      </c>
      <c r="AW119" s="248">
        <f t="shared" si="108"/>
        <v>-150.41075544174137</v>
      </c>
      <c r="AX119" s="545">
        <f>$H$119</f>
        <v>7810</v>
      </c>
      <c r="AY119" s="183">
        <v>9501.85</v>
      </c>
      <c r="AZ119" s="182">
        <f t="shared" si="109"/>
        <v>1691.8500000000004</v>
      </c>
      <c r="BA119" s="248">
        <f t="shared" si="110"/>
        <v>21.66261203585147</v>
      </c>
      <c r="BB119" s="545">
        <f>$H$119</f>
        <v>7810</v>
      </c>
      <c r="BC119" s="183">
        <v>11347.3</v>
      </c>
      <c r="BD119" s="183">
        <f t="shared" si="118"/>
        <v>3537.2999999999993</v>
      </c>
      <c r="BE119" s="250">
        <f t="shared" si="111"/>
        <v>45.291933418693972</v>
      </c>
      <c r="BF119" s="545">
        <f t="shared" si="63"/>
        <v>98552.72</v>
      </c>
      <c r="BG119" s="184">
        <f t="shared" si="96"/>
        <v>112771.42</v>
      </c>
      <c r="BH119" s="63"/>
    </row>
    <row r="120" spans="2:60" s="11" customFormat="1" ht="16.5" thickBot="1" x14ac:dyDescent="0.3">
      <c r="B120" s="161"/>
      <c r="E120" s="346"/>
      <c r="F120" s="347"/>
      <c r="G120" s="333"/>
      <c r="H120" s="334"/>
      <c r="I120" s="119"/>
      <c r="J120" s="118"/>
      <c r="K120" s="12"/>
      <c r="L120" s="119"/>
      <c r="M120" s="119"/>
      <c r="N120" s="118"/>
      <c r="O120" s="119"/>
      <c r="P120" s="119"/>
      <c r="Q120" s="119"/>
      <c r="R120" s="118"/>
      <c r="S120" s="119"/>
      <c r="T120" s="119"/>
      <c r="U120" s="119"/>
      <c r="V120" s="118"/>
      <c r="W120" s="119"/>
      <c r="X120" s="119"/>
      <c r="Y120" s="119"/>
      <c r="Z120" s="118"/>
      <c r="AA120" s="119"/>
      <c r="AB120" s="119"/>
      <c r="AC120" s="119"/>
      <c r="AD120" s="119"/>
      <c r="AE120" s="119"/>
      <c r="AF120" s="721"/>
      <c r="AG120" s="721"/>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63"/>
    </row>
    <row r="121" spans="2:60" s="11" customFormat="1" ht="16.5" thickBot="1" x14ac:dyDescent="0.3">
      <c r="B121" s="165"/>
      <c r="C121" s="41"/>
      <c r="D121" s="49" t="s">
        <v>170</v>
      </c>
      <c r="E121" s="50"/>
      <c r="F121" s="50"/>
      <c r="G121" s="818">
        <f>SUM(G122:G140)</f>
        <v>2231973.7466666671</v>
      </c>
      <c r="H121" s="718">
        <f>SUM(H122:H140)</f>
        <v>2232049.89</v>
      </c>
      <c r="I121" s="719">
        <f>SUM(I122:I140)</f>
        <v>2315878.12</v>
      </c>
      <c r="J121" s="720">
        <f t="shared" ref="J121:J140" si="119">I121-H121</f>
        <v>83828.229999999981</v>
      </c>
      <c r="K121" s="241">
        <f t="shared" ref="K121:K140" si="120">((I121/H121)-1)*100</f>
        <v>3.7556611245817662</v>
      </c>
      <c r="L121" s="721">
        <f>SUM(L122:L140)</f>
        <v>2173079.89</v>
      </c>
      <c r="M121" s="719">
        <f>SUM(M122:M140)</f>
        <v>2261157.77</v>
      </c>
      <c r="N121" s="719">
        <f>M121-L121</f>
        <v>88077.879999999888</v>
      </c>
      <c r="O121" s="730">
        <f>((M121/L121)-1)*100</f>
        <v>4.0531358467451373</v>
      </c>
      <c r="P121" s="4">
        <f>SUM(P122:P140)</f>
        <v>2173079.89</v>
      </c>
      <c r="Q121" s="721">
        <f>SUM(Q122:Q140)</f>
        <v>1922010.18</v>
      </c>
      <c r="R121" s="719">
        <f>Q121-P121</f>
        <v>-251069.7100000002</v>
      </c>
      <c r="S121" s="730">
        <f>((Q121/P121)-1)*100</f>
        <v>-11.553634597391637</v>
      </c>
      <c r="T121" s="718">
        <f>SUM(T122:T140)</f>
        <v>2173079.89</v>
      </c>
      <c r="U121" s="719">
        <f>SUM(U122:U140)</f>
        <v>2399391.0499999998</v>
      </c>
      <c r="V121" s="719">
        <f>U121-T121</f>
        <v>226311.15999999968</v>
      </c>
      <c r="W121" s="234">
        <f>((U121/T121)-1)*100</f>
        <v>10.414304648505102</v>
      </c>
      <c r="X121" s="721">
        <f>SUM(X122:X140)</f>
        <v>2173079.89</v>
      </c>
      <c r="Y121" s="719">
        <f>SUM(Y122:Y140)</f>
        <v>2662754.11</v>
      </c>
      <c r="Z121" s="719">
        <f>Y121-X121</f>
        <v>489674.21999999974</v>
      </c>
      <c r="AA121" s="731">
        <f>((Y121/X121)-1)*100</f>
        <v>22.533650154942066</v>
      </c>
      <c r="AB121" s="718">
        <f>SUM(AB122:AB140)</f>
        <v>2232049.89</v>
      </c>
      <c r="AC121" s="719">
        <f>SUM(AC122:AC140)</f>
        <v>1793151.4800000007</v>
      </c>
      <c r="AD121" s="719">
        <f>AC121-AB121</f>
        <v>-438898.40999999945</v>
      </c>
      <c r="AE121" s="730">
        <f>((AC121/AB121)-1)*100</f>
        <v>-19.663467737273532</v>
      </c>
      <c r="AF121" s="719">
        <f t="shared" si="61"/>
        <v>13354342.710000001</v>
      </c>
      <c r="AG121" s="719">
        <f t="shared" si="62"/>
        <v>2225723.7850000001</v>
      </c>
      <c r="AH121" s="718">
        <f>SUM(AH122:AH140)</f>
        <v>2159802</v>
      </c>
      <c r="AI121" s="719">
        <f>SUM(AI122:AI140)</f>
        <v>2467402.4600000004</v>
      </c>
      <c r="AJ121" s="719">
        <f>AI121-AH121</f>
        <v>307600.46000000043</v>
      </c>
      <c r="AK121" s="234">
        <f>((AI121/AH121)-1)*100</f>
        <v>14.242067559896721</v>
      </c>
      <c r="AL121" s="721">
        <f>SUM(AL122:AL140)</f>
        <v>2159802</v>
      </c>
      <c r="AM121" s="719">
        <f>SUM(AM122:AM140)</f>
        <v>2676087.9799999991</v>
      </c>
      <c r="AN121" s="719">
        <f>AM121-AL121</f>
        <v>516285.97999999905</v>
      </c>
      <c r="AO121" s="730">
        <f>((AM121/AL121)-1)*100</f>
        <v>23.904319933030859</v>
      </c>
      <c r="AP121" s="732">
        <f>SUM(AP122:AP140)</f>
        <v>2159802</v>
      </c>
      <c r="AQ121" s="117">
        <f>SUM(AQ122:AQ140)</f>
        <v>2593145.85</v>
      </c>
      <c r="AR121" s="719">
        <f>AQ121-AP121</f>
        <v>433343.85000000009</v>
      </c>
      <c r="AS121" s="234">
        <f>((AQ121/AP121)-1)*100</f>
        <v>20.064054482772043</v>
      </c>
      <c r="AT121" s="723">
        <f>SUM(AT122:AT140)</f>
        <v>2159802</v>
      </c>
      <c r="AU121" s="117">
        <f>SUM(AU122:AU140)</f>
        <v>2363924.4100000006</v>
      </c>
      <c r="AV121" s="719">
        <f>AU121-AT121</f>
        <v>204122.41000000061</v>
      </c>
      <c r="AW121" s="730">
        <f>((AU121/AT121)-1)*100</f>
        <v>9.4509779137161853</v>
      </c>
      <c r="AX121" s="732">
        <f>SUM(AX122:AX140)</f>
        <v>2159802</v>
      </c>
      <c r="AY121" s="117">
        <f>SUM(AY122:AY140)</f>
        <v>2547798.1300000004</v>
      </c>
      <c r="AZ121" s="719">
        <f>AY121-AX121</f>
        <v>387996.13000000035</v>
      </c>
      <c r="BA121" s="234">
        <f>((AY121/AX121)-1)*100</f>
        <v>17.964430535762087</v>
      </c>
      <c r="BB121" s="723">
        <f>SUM(BB122:BB140)</f>
        <v>2159802</v>
      </c>
      <c r="BC121" s="117">
        <f>SUM(BC122:BC140)</f>
        <v>2502773.9</v>
      </c>
      <c r="BD121" s="719">
        <f>BC121-BB121</f>
        <v>342971.89999999991</v>
      </c>
      <c r="BE121" s="234">
        <f>((BC121/BB121)-1)*100</f>
        <v>15.87978435060251</v>
      </c>
      <c r="BF121" s="723">
        <f t="shared" si="63"/>
        <v>26313154.710000001</v>
      </c>
      <c r="BG121" s="724">
        <f t="shared" ref="BG121:BG140" si="121">SUM(I121+M121+Q121+U121+Y121+AC121+AI121+AM121+AQ121+AU121+AY121+BC121)</f>
        <v>28505475.440000001</v>
      </c>
      <c r="BH121" s="63"/>
    </row>
    <row r="122" spans="2:60" s="11" customFormat="1" x14ac:dyDescent="0.25">
      <c r="B122" s="167">
        <v>12338</v>
      </c>
      <c r="C122" s="168">
        <v>195</v>
      </c>
      <c r="D122" s="331" t="s">
        <v>199</v>
      </c>
      <c r="E122" s="344"/>
      <c r="F122" s="733"/>
      <c r="G122" s="663">
        <v>248449.88999999998</v>
      </c>
      <c r="H122" s="542">
        <f>F122*G122+G122</f>
        <v>248449.88999999998</v>
      </c>
      <c r="I122" s="145">
        <f>271786.01</f>
        <v>271786.01</v>
      </c>
      <c r="J122" s="213">
        <f t="shared" si="119"/>
        <v>23336.120000000024</v>
      </c>
      <c r="K122" s="375">
        <f t="shared" si="120"/>
        <v>9.3926867908856959</v>
      </c>
      <c r="L122" s="543">
        <f>$H$122</f>
        <v>248449.88999999998</v>
      </c>
      <c r="M122" s="190">
        <v>228453.89</v>
      </c>
      <c r="N122" s="190">
        <f>M122-L122</f>
        <v>-19995.999999999971</v>
      </c>
      <c r="O122" s="249">
        <f>((M122/L122)-1)*100</f>
        <v>-8.0483030199771761</v>
      </c>
      <c r="P122" s="136">
        <f>$H$122</f>
        <v>248449.88999999998</v>
      </c>
      <c r="Q122" s="190">
        <v>234676.64</v>
      </c>
      <c r="R122" s="190">
        <f>Q122-P122</f>
        <v>-13773.249999999971</v>
      </c>
      <c r="S122" s="249">
        <f>((Q122/P122)-1)*100</f>
        <v>-5.5436732131376569</v>
      </c>
      <c r="T122" s="543">
        <f>$H$122</f>
        <v>248449.88999999998</v>
      </c>
      <c r="U122" s="190">
        <v>262235.90999999997</v>
      </c>
      <c r="V122" s="190">
        <f>U122-T122</f>
        <v>13786.01999999999</v>
      </c>
      <c r="W122" s="249">
        <f>((U122/T122)-1)*100</f>
        <v>5.5488130825898097</v>
      </c>
      <c r="X122" s="543">
        <f>$H$122</f>
        <v>248449.88999999998</v>
      </c>
      <c r="Y122" s="190">
        <v>313790.75</v>
      </c>
      <c r="Z122" s="190">
        <f>Y122-X122</f>
        <v>65340.860000000015</v>
      </c>
      <c r="AA122" s="249">
        <f>((Y122/X122)-1)*100</f>
        <v>26.299411925680481</v>
      </c>
      <c r="AB122" s="543">
        <f>$H$122</f>
        <v>248449.88999999998</v>
      </c>
      <c r="AC122" s="190">
        <v>258394.56</v>
      </c>
      <c r="AD122" s="190">
        <f>AC122-AB122</f>
        <v>9944.6700000000128</v>
      </c>
      <c r="AE122" s="249">
        <f>((AC122/AB122)-1)*100</f>
        <v>4.0026864169672161</v>
      </c>
      <c r="AF122" s="190">
        <f t="shared" si="61"/>
        <v>1569337.76</v>
      </c>
      <c r="AG122" s="190">
        <f t="shared" si="62"/>
        <v>261556.29333333333</v>
      </c>
      <c r="AH122" s="543">
        <v>261600</v>
      </c>
      <c r="AI122" s="190">
        <v>281770.46000000002</v>
      </c>
      <c r="AJ122" s="190">
        <f>AI122-AH122</f>
        <v>20170.460000000021</v>
      </c>
      <c r="AK122" s="249">
        <f>((AI122/AH122)-1)*100</f>
        <v>7.7104204892966433</v>
      </c>
      <c r="AL122" s="543">
        <f t="shared" ref="AL122:AL140" si="122">AH122</f>
        <v>261600</v>
      </c>
      <c r="AM122" s="190">
        <v>296112.08</v>
      </c>
      <c r="AN122" s="169">
        <f>AM122-AL122</f>
        <v>34512.080000000016</v>
      </c>
      <c r="AO122" s="249">
        <f>((AM122/AL122)-1)*100</f>
        <v>13.19269113149848</v>
      </c>
      <c r="AP122" s="543">
        <f t="shared" ref="AP122:AP140" si="123">AL122</f>
        <v>261600</v>
      </c>
      <c r="AQ122" s="192">
        <v>270666.73</v>
      </c>
      <c r="AR122" s="169">
        <f>AQ122-AP122</f>
        <v>9066.7299999999814</v>
      </c>
      <c r="AS122" s="249">
        <f>((AQ122/AP122)-1)*100</f>
        <v>3.4658753822629951</v>
      </c>
      <c r="AT122" s="543">
        <f t="shared" ref="AT122:AT140" si="124">AP122</f>
        <v>261600</v>
      </c>
      <c r="AU122" s="192">
        <v>280185.05</v>
      </c>
      <c r="AV122" s="169">
        <f>AU122-AT122</f>
        <v>18585.049999999988</v>
      </c>
      <c r="AW122" s="249">
        <f>((AU122/AT122)-1)*100</f>
        <v>7.1043769113149802</v>
      </c>
      <c r="AX122" s="543">
        <f t="shared" ref="AX122:AX140" si="125">AT122</f>
        <v>261600</v>
      </c>
      <c r="AY122" s="192">
        <v>221122.72</v>
      </c>
      <c r="AZ122" s="169">
        <f>AY122-AX122</f>
        <v>-40477.279999999999</v>
      </c>
      <c r="BA122" s="249">
        <f>((AY122/AX122)-1)*100</f>
        <v>-15.472966360856265</v>
      </c>
      <c r="BB122" s="543">
        <f t="shared" ref="BB122:BB140" si="126">AX122</f>
        <v>261600</v>
      </c>
      <c r="BC122" s="192">
        <v>362367.16</v>
      </c>
      <c r="BD122" s="190">
        <f>BC122-BB122</f>
        <v>100767.15999999997</v>
      </c>
      <c r="BE122" s="249">
        <f>((BC122/BB122)-1)*100</f>
        <v>38.519556574923541</v>
      </c>
      <c r="BF122" s="543">
        <f t="shared" si="63"/>
        <v>3138937.76</v>
      </c>
      <c r="BG122" s="193">
        <f t="shared" si="121"/>
        <v>3281561.96</v>
      </c>
      <c r="BH122" s="63">
        <f>I122+M122+Q122+U122</f>
        <v>997152.45</v>
      </c>
    </row>
    <row r="123" spans="2:60" s="11" customFormat="1" x14ac:dyDescent="0.25">
      <c r="B123" s="170">
        <v>11416</v>
      </c>
      <c r="C123" s="135">
        <v>188</v>
      </c>
      <c r="D123" s="332" t="s">
        <v>69</v>
      </c>
      <c r="E123" s="341"/>
      <c r="F123" s="725"/>
      <c r="G123" s="663">
        <v>6574.0933333333332</v>
      </c>
      <c r="H123" s="212">
        <v>6580</v>
      </c>
      <c r="I123" s="125">
        <v>5257.86</v>
      </c>
      <c r="J123" s="138">
        <f t="shared" si="119"/>
        <v>-1322.1400000000003</v>
      </c>
      <c r="K123" s="371">
        <f t="shared" si="120"/>
        <v>-20.093313069908824</v>
      </c>
      <c r="L123" s="136">
        <f>$H$123</f>
        <v>6580</v>
      </c>
      <c r="M123" s="137">
        <v>7243.21</v>
      </c>
      <c r="N123" s="137">
        <f>M123-L123</f>
        <v>663.21</v>
      </c>
      <c r="O123" s="237">
        <f>((M123/L123)-1)*100</f>
        <v>10.079179331306998</v>
      </c>
      <c r="P123" s="136">
        <f>$H$123</f>
        <v>6580</v>
      </c>
      <c r="Q123" s="137">
        <v>7160.14</v>
      </c>
      <c r="R123" s="137">
        <f>Q123-P123</f>
        <v>580.14000000000033</v>
      </c>
      <c r="S123" s="237">
        <f>((Q123/P123)-1)*100</f>
        <v>8.8167173252279731</v>
      </c>
      <c r="T123" s="136">
        <f>$H$123</f>
        <v>6580</v>
      </c>
      <c r="U123" s="137">
        <v>3862.45</v>
      </c>
      <c r="V123" s="137">
        <f>U123-T123</f>
        <v>-2717.55</v>
      </c>
      <c r="W123" s="237">
        <f>((U123/T123)-1)*100</f>
        <v>-41.300151975683896</v>
      </c>
      <c r="X123" s="136">
        <f>$H$123</f>
        <v>6580</v>
      </c>
      <c r="Y123" s="137">
        <v>16201.25</v>
      </c>
      <c r="Z123" s="137">
        <f>Y123-X123</f>
        <v>9621.25</v>
      </c>
      <c r="AA123" s="237">
        <f>((Y123/X123)-1)*100</f>
        <v>146.21960486322189</v>
      </c>
      <c r="AB123" s="136">
        <f>$H$123</f>
        <v>6580</v>
      </c>
      <c r="AC123" s="137">
        <v>12149.85</v>
      </c>
      <c r="AD123" s="137">
        <f>AC123-AB123</f>
        <v>5569.85</v>
      </c>
      <c r="AE123" s="237">
        <f>((AC123/AB123)-1)*100</f>
        <v>84.648176291793305</v>
      </c>
      <c r="AF123" s="137">
        <f t="shared" si="61"/>
        <v>51874.76</v>
      </c>
      <c r="AG123" s="137">
        <f t="shared" si="62"/>
        <v>8645.7933333333331</v>
      </c>
      <c r="AH123" s="136">
        <v>8700</v>
      </c>
      <c r="AI123" s="137">
        <v>11675.22</v>
      </c>
      <c r="AJ123" s="137">
        <f>AI123-AH123</f>
        <v>2975.2199999999993</v>
      </c>
      <c r="AK123" s="237">
        <f>((AI123/AH123)-1)*100</f>
        <v>34.197931034482743</v>
      </c>
      <c r="AL123" s="136">
        <f t="shared" si="122"/>
        <v>8700</v>
      </c>
      <c r="AM123" s="137">
        <v>11748.63</v>
      </c>
      <c r="AN123" s="169">
        <f t="shared" ref="AN123:AN140" si="127">AM123-AL123</f>
        <v>3048.6299999999992</v>
      </c>
      <c r="AO123" s="237">
        <f>((AM123/AL123)-1)*100</f>
        <v>35.041724137931027</v>
      </c>
      <c r="AP123" s="136">
        <f t="shared" si="123"/>
        <v>8700</v>
      </c>
      <c r="AQ123" s="176">
        <v>13871.14</v>
      </c>
      <c r="AR123" s="169">
        <f t="shared" ref="AR123:AR140" si="128">AQ123-AP123</f>
        <v>5171.1399999999994</v>
      </c>
      <c r="AS123" s="237">
        <f>((AQ123/AP123)-1)*100</f>
        <v>59.438390804597695</v>
      </c>
      <c r="AT123" s="136">
        <f t="shared" si="124"/>
        <v>8700</v>
      </c>
      <c r="AU123" s="176">
        <v>15015.67</v>
      </c>
      <c r="AV123" s="169">
        <f t="shared" ref="AV123:AV140" si="129">AU123-AT123</f>
        <v>6315.67</v>
      </c>
      <c r="AW123" s="237">
        <f>((AU123/AT123)-1)*100</f>
        <v>72.593908045977003</v>
      </c>
      <c r="AX123" s="136">
        <f t="shared" si="125"/>
        <v>8700</v>
      </c>
      <c r="AY123" s="176">
        <v>14873.96</v>
      </c>
      <c r="AZ123" s="169">
        <f t="shared" ref="AZ123:AZ140" si="130">AY123-AX123</f>
        <v>6173.9599999999991</v>
      </c>
      <c r="BA123" s="237">
        <f>((AY123/AX123)-1)*100</f>
        <v>70.965057471264359</v>
      </c>
      <c r="BB123" s="136">
        <f t="shared" si="126"/>
        <v>8700</v>
      </c>
      <c r="BC123" s="176">
        <v>13835.4</v>
      </c>
      <c r="BD123" s="137">
        <f>BC123-BB123</f>
        <v>5135.3999999999996</v>
      </c>
      <c r="BE123" s="237">
        <f>((BC123/BB123)-1)*100</f>
        <v>59.027586206896544</v>
      </c>
      <c r="BF123" s="136">
        <f t="shared" si="63"/>
        <v>104074.76000000001</v>
      </c>
      <c r="BG123" s="177">
        <f t="shared" si="121"/>
        <v>132894.78</v>
      </c>
      <c r="BH123" s="63">
        <f t="shared" ref="BH123:BH140" si="131">I123+M123+Q123+U123</f>
        <v>23523.66</v>
      </c>
    </row>
    <row r="124" spans="2:60" s="11" customFormat="1" x14ac:dyDescent="0.25">
      <c r="B124" s="170" t="s">
        <v>134</v>
      </c>
      <c r="C124" s="135">
        <v>314</v>
      </c>
      <c r="D124" s="332" t="s">
        <v>70</v>
      </c>
      <c r="E124" s="341"/>
      <c r="F124" s="734"/>
      <c r="G124" s="663">
        <v>1222.3883333333333</v>
      </c>
      <c r="H124" s="212">
        <v>1230</v>
      </c>
      <c r="I124" s="125">
        <v>955.39</v>
      </c>
      <c r="J124" s="138">
        <f t="shared" si="119"/>
        <v>-274.61</v>
      </c>
      <c r="K124" s="371">
        <f t="shared" si="120"/>
        <v>-22.326016260162607</v>
      </c>
      <c r="L124" s="136">
        <f>$H$124</f>
        <v>1230</v>
      </c>
      <c r="M124" s="137">
        <f>736.43-55</f>
        <v>681.43</v>
      </c>
      <c r="N124" s="137">
        <f t="shared" ref="N124:N140" si="132">M124-L124</f>
        <v>-548.57000000000005</v>
      </c>
      <c r="O124" s="237">
        <f t="shared" ref="O124:O140" si="133">((M124/L124)-1)*100</f>
        <v>-44.599186991869921</v>
      </c>
      <c r="P124" s="136">
        <f>$H$124</f>
        <v>1230</v>
      </c>
      <c r="Q124" s="137">
        <f>-324.85+55</f>
        <v>-269.85000000000002</v>
      </c>
      <c r="R124" s="137">
        <f t="shared" ref="R124:R140" si="134">Q124-P124</f>
        <v>-1499.85</v>
      </c>
      <c r="S124" s="235">
        <f t="shared" ref="S124:S140" si="135">((Q124/P124)-1)*100</f>
        <v>-121.93902439024392</v>
      </c>
      <c r="T124" s="136">
        <f>$H$124</f>
        <v>1230</v>
      </c>
      <c r="U124" s="137">
        <f>478.29+0</f>
        <v>478.29</v>
      </c>
      <c r="V124" s="137">
        <f t="shared" ref="V124:V140" si="136">U124-T124</f>
        <v>-751.71</v>
      </c>
      <c r="W124" s="237">
        <f t="shared" ref="W124:W140" si="137">((U124/T124)-1)*100</f>
        <v>-61.114634146341459</v>
      </c>
      <c r="X124" s="136">
        <f>$H$124</f>
        <v>1230</v>
      </c>
      <c r="Y124" s="137">
        <f>961.63+0</f>
        <v>961.63</v>
      </c>
      <c r="Z124" s="137">
        <f t="shared" ref="Z124:Z140" si="138">Y124-X124</f>
        <v>-268.37</v>
      </c>
      <c r="AA124" s="235">
        <f t="shared" ref="AA124:AA140" si="139">((Y124/X124)-1)*100</f>
        <v>-21.818699186991875</v>
      </c>
      <c r="AB124" s="136">
        <f>$H$124</f>
        <v>1230</v>
      </c>
      <c r="AC124" s="137">
        <f>888.74</f>
        <v>888.74</v>
      </c>
      <c r="AD124" s="137">
        <f t="shared" ref="AD124:AD140" si="140">AC124-AB124</f>
        <v>-341.26</v>
      </c>
      <c r="AE124" s="235">
        <f t="shared" ref="AE124:AE140" si="141">((AC124/AB124)-1)*100</f>
        <v>-27.744715447154466</v>
      </c>
      <c r="AF124" s="137">
        <f t="shared" si="61"/>
        <v>3695.63</v>
      </c>
      <c r="AG124" s="137">
        <f t="shared" si="62"/>
        <v>615.93833333333339</v>
      </c>
      <c r="AH124" s="136">
        <v>700</v>
      </c>
      <c r="AI124" s="137">
        <v>1085.75</v>
      </c>
      <c r="AJ124" s="137">
        <f t="shared" ref="AJ124:AJ140" si="142">AI124-AH124</f>
        <v>385.75</v>
      </c>
      <c r="AK124" s="237">
        <f t="shared" ref="AK124:AK140" si="143">((AI124/AH124)-1)*100</f>
        <v>55.107142857142868</v>
      </c>
      <c r="AL124" s="136">
        <f t="shared" si="122"/>
        <v>700</v>
      </c>
      <c r="AM124" s="137">
        <f>825.89</f>
        <v>825.89</v>
      </c>
      <c r="AN124" s="169">
        <f t="shared" si="127"/>
        <v>125.88999999999999</v>
      </c>
      <c r="AO124" s="235">
        <f t="shared" ref="AO124:AO140" si="144">((AM124/AL124)-1)*100</f>
        <v>17.984285714285718</v>
      </c>
      <c r="AP124" s="136">
        <f t="shared" si="123"/>
        <v>700</v>
      </c>
      <c r="AQ124" s="176">
        <f>507.77+0</f>
        <v>507.77</v>
      </c>
      <c r="AR124" s="169">
        <f t="shared" si="128"/>
        <v>-192.23000000000002</v>
      </c>
      <c r="AS124" s="237">
        <f t="shared" ref="AS124:AS140" si="145">((AQ124/AP124)-1)*100</f>
        <v>-27.46142857142857</v>
      </c>
      <c r="AT124" s="136">
        <f t="shared" si="124"/>
        <v>700</v>
      </c>
      <c r="AU124" s="176">
        <f>1279.38+0</f>
        <v>1279.3800000000001</v>
      </c>
      <c r="AV124" s="169">
        <f t="shared" si="129"/>
        <v>579.38000000000011</v>
      </c>
      <c r="AW124" s="235">
        <f t="shared" ref="AW124:AW140" si="146">((AU124/AT124)-1)*100</f>
        <v>82.768571428571434</v>
      </c>
      <c r="AX124" s="136">
        <f t="shared" si="125"/>
        <v>700</v>
      </c>
      <c r="AY124" s="176">
        <f>1649.1+0</f>
        <v>1649.1</v>
      </c>
      <c r="AZ124" s="169">
        <f t="shared" si="130"/>
        <v>949.09999999999991</v>
      </c>
      <c r="BA124" s="237">
        <f t="shared" ref="BA124:BA140" si="147">((AY124/AX124)-1)*100</f>
        <v>135.58571428571429</v>
      </c>
      <c r="BB124" s="136">
        <f t="shared" si="126"/>
        <v>700</v>
      </c>
      <c r="BC124" s="176">
        <f>708.27+0</f>
        <v>708.27</v>
      </c>
      <c r="BD124" s="137">
        <f t="shared" ref="BD124:BD140" si="148">BC124-BB124</f>
        <v>8.2699999999999818</v>
      </c>
      <c r="BE124" s="237">
        <f t="shared" ref="BE124:BE140" si="149">((BC124/BB124)-1)*100</f>
        <v>1.1814285714285777</v>
      </c>
      <c r="BF124" s="136">
        <f t="shared" si="63"/>
        <v>7895.63</v>
      </c>
      <c r="BG124" s="177">
        <f t="shared" si="121"/>
        <v>9751.7900000000009</v>
      </c>
      <c r="BH124" s="63">
        <f t="shared" si="131"/>
        <v>1845.2599999999998</v>
      </c>
    </row>
    <row r="125" spans="2:60" s="11" customFormat="1" x14ac:dyDescent="0.25">
      <c r="B125" s="170">
        <v>12299</v>
      </c>
      <c r="C125" s="135">
        <v>193</v>
      </c>
      <c r="D125" s="332" t="s">
        <v>71</v>
      </c>
      <c r="E125" s="341"/>
      <c r="F125" s="735"/>
      <c r="G125" s="663">
        <v>643582.3949999999</v>
      </c>
      <c r="H125" s="212">
        <v>643590</v>
      </c>
      <c r="I125" s="125">
        <v>569250.54</v>
      </c>
      <c r="J125" s="138">
        <f t="shared" si="119"/>
        <v>-74339.459999999963</v>
      </c>
      <c r="K125" s="371">
        <f t="shared" si="120"/>
        <v>-11.550748147112289</v>
      </c>
      <c r="L125" s="136">
        <f>$H$125</f>
        <v>643590</v>
      </c>
      <c r="M125" s="137">
        <v>524673.56999999995</v>
      </c>
      <c r="N125" s="137">
        <f t="shared" si="132"/>
        <v>-118916.43000000005</v>
      </c>
      <c r="O125" s="237">
        <f t="shared" si="133"/>
        <v>-18.477047499184273</v>
      </c>
      <c r="P125" s="136">
        <f>$H$125</f>
        <v>643590</v>
      </c>
      <c r="Q125" s="137">
        <v>469076.72</v>
      </c>
      <c r="R125" s="137">
        <f t="shared" si="134"/>
        <v>-174513.28000000003</v>
      </c>
      <c r="S125" s="235">
        <f t="shared" si="135"/>
        <v>-27.115598440000621</v>
      </c>
      <c r="T125" s="136">
        <f>$H$125</f>
        <v>643590</v>
      </c>
      <c r="U125" s="137">
        <v>584247.17000000004</v>
      </c>
      <c r="V125" s="137">
        <f t="shared" si="136"/>
        <v>-59342.829999999958</v>
      </c>
      <c r="W125" s="237">
        <f t="shared" si="137"/>
        <v>-9.2205954101213461</v>
      </c>
      <c r="X125" s="136">
        <f>$H$125</f>
        <v>643590</v>
      </c>
      <c r="Y125" s="137">
        <v>623231.6</v>
      </c>
      <c r="Z125" s="137">
        <f t="shared" si="138"/>
        <v>-20358.400000000023</v>
      </c>
      <c r="AA125" s="237">
        <f t="shared" si="139"/>
        <v>-3.1632561102565293</v>
      </c>
      <c r="AB125" s="136">
        <f>$H$125</f>
        <v>643590</v>
      </c>
      <c r="AC125" s="137">
        <v>518857.58</v>
      </c>
      <c r="AD125" s="137">
        <f t="shared" si="140"/>
        <v>-124732.41999999998</v>
      </c>
      <c r="AE125" s="237">
        <f t="shared" si="141"/>
        <v>-19.380726860268183</v>
      </c>
      <c r="AF125" s="137">
        <f t="shared" si="61"/>
        <v>3289337.18</v>
      </c>
      <c r="AG125" s="137">
        <f t="shared" si="62"/>
        <v>548222.8633333334</v>
      </c>
      <c r="AH125" s="136">
        <v>550000</v>
      </c>
      <c r="AI125" s="137">
        <v>638399.88</v>
      </c>
      <c r="AJ125" s="137">
        <f t="shared" si="142"/>
        <v>88399.88</v>
      </c>
      <c r="AK125" s="237">
        <f t="shared" si="143"/>
        <v>16.072705454545467</v>
      </c>
      <c r="AL125" s="136">
        <f t="shared" si="122"/>
        <v>550000</v>
      </c>
      <c r="AM125" s="137">
        <v>596752.68999999994</v>
      </c>
      <c r="AN125" s="169">
        <f t="shared" si="127"/>
        <v>46752.689999999944</v>
      </c>
      <c r="AO125" s="237">
        <f t="shared" si="144"/>
        <v>8.5004890909090811</v>
      </c>
      <c r="AP125" s="136">
        <f t="shared" si="123"/>
        <v>550000</v>
      </c>
      <c r="AQ125" s="176">
        <v>557422.29</v>
      </c>
      <c r="AR125" s="169">
        <f t="shared" si="128"/>
        <v>7422.2900000000373</v>
      </c>
      <c r="AS125" s="237">
        <f t="shared" si="145"/>
        <v>1.3495072727272905</v>
      </c>
      <c r="AT125" s="136">
        <f t="shared" si="124"/>
        <v>550000</v>
      </c>
      <c r="AU125" s="176">
        <v>570724.81000000006</v>
      </c>
      <c r="AV125" s="169">
        <f t="shared" si="129"/>
        <v>20724.810000000056</v>
      </c>
      <c r="AW125" s="237">
        <f t="shared" si="146"/>
        <v>3.7681472727272736</v>
      </c>
      <c r="AX125" s="136">
        <f t="shared" si="125"/>
        <v>550000</v>
      </c>
      <c r="AY125" s="176">
        <v>575176.42000000004</v>
      </c>
      <c r="AZ125" s="169">
        <f t="shared" si="130"/>
        <v>25176.420000000042</v>
      </c>
      <c r="BA125" s="237">
        <f t="shared" si="147"/>
        <v>4.5775309090909211</v>
      </c>
      <c r="BB125" s="136">
        <f t="shared" si="126"/>
        <v>550000</v>
      </c>
      <c r="BC125" s="176">
        <v>529024.94999999995</v>
      </c>
      <c r="BD125" s="137">
        <f t="shared" si="148"/>
        <v>-20975.050000000047</v>
      </c>
      <c r="BE125" s="237">
        <f t="shared" si="149"/>
        <v>-3.8136454545454668</v>
      </c>
      <c r="BF125" s="136">
        <f t="shared" si="63"/>
        <v>6589337.1799999997</v>
      </c>
      <c r="BG125" s="177">
        <f t="shared" si="121"/>
        <v>6756838.2199999997</v>
      </c>
      <c r="BH125" s="63">
        <f t="shared" si="131"/>
        <v>2147248</v>
      </c>
    </row>
    <row r="126" spans="2:60" s="11" customFormat="1" x14ac:dyDescent="0.25">
      <c r="B126" s="170">
        <v>12297</v>
      </c>
      <c r="C126" s="135">
        <v>156</v>
      </c>
      <c r="D126" s="332" t="s">
        <v>200</v>
      </c>
      <c r="E126" s="341"/>
      <c r="F126" s="725"/>
      <c r="G126" s="663">
        <v>43464.218333333331</v>
      </c>
      <c r="H126" s="212">
        <v>43470</v>
      </c>
      <c r="I126" s="125">
        <v>47260.480000000003</v>
      </c>
      <c r="J126" s="138">
        <f t="shared" si="119"/>
        <v>3790.4800000000032</v>
      </c>
      <c r="K126" s="371">
        <f t="shared" si="120"/>
        <v>8.7197607545433709</v>
      </c>
      <c r="L126" s="136">
        <f>$H$126</f>
        <v>43470</v>
      </c>
      <c r="M126" s="137">
        <v>46766.18</v>
      </c>
      <c r="N126" s="137">
        <f t="shared" si="132"/>
        <v>3296.1800000000003</v>
      </c>
      <c r="O126" s="237">
        <f t="shared" si="133"/>
        <v>7.5826547043938319</v>
      </c>
      <c r="P126" s="136">
        <f>$H$126</f>
        <v>43470</v>
      </c>
      <c r="Q126" s="137">
        <v>35364.86</v>
      </c>
      <c r="R126" s="137">
        <f t="shared" si="134"/>
        <v>-8105.1399999999994</v>
      </c>
      <c r="S126" s="252">
        <f t="shared" si="135"/>
        <v>-18.645364619277661</v>
      </c>
      <c r="T126" s="212">
        <f>$H$126</f>
        <v>43470</v>
      </c>
      <c r="U126" s="137">
        <v>28630.68</v>
      </c>
      <c r="V126" s="137">
        <f t="shared" si="136"/>
        <v>-14839.32</v>
      </c>
      <c r="W126" s="237">
        <f t="shared" si="137"/>
        <v>-34.136922015182883</v>
      </c>
      <c r="X126" s="136">
        <f>$H$126</f>
        <v>43470</v>
      </c>
      <c r="Y126" s="137">
        <v>54782.3</v>
      </c>
      <c r="Z126" s="137">
        <f t="shared" si="138"/>
        <v>11312.300000000003</v>
      </c>
      <c r="AA126" s="240">
        <f t="shared" si="139"/>
        <v>26.023234414538777</v>
      </c>
      <c r="AB126" s="212">
        <f>$H$126</f>
        <v>43470</v>
      </c>
      <c r="AC126" s="137">
        <v>36501.89</v>
      </c>
      <c r="AD126" s="137">
        <f t="shared" si="140"/>
        <v>-6968.1100000000006</v>
      </c>
      <c r="AE126" s="252">
        <f t="shared" si="141"/>
        <v>-16.029698642742119</v>
      </c>
      <c r="AF126" s="137">
        <f t="shared" si="61"/>
        <v>249306.39</v>
      </c>
      <c r="AG126" s="137">
        <f t="shared" si="62"/>
        <v>41551.065000000002</v>
      </c>
      <c r="AH126" s="212">
        <v>42500</v>
      </c>
      <c r="AI126" s="137">
        <v>48956.18</v>
      </c>
      <c r="AJ126" s="137">
        <f t="shared" si="142"/>
        <v>6456.18</v>
      </c>
      <c r="AK126" s="237">
        <f t="shared" si="143"/>
        <v>15.191011764705875</v>
      </c>
      <c r="AL126" s="136">
        <f t="shared" si="122"/>
        <v>42500</v>
      </c>
      <c r="AM126" s="137">
        <v>45606.26</v>
      </c>
      <c r="AN126" s="169">
        <f t="shared" si="127"/>
        <v>3106.260000000002</v>
      </c>
      <c r="AO126" s="252">
        <f t="shared" si="144"/>
        <v>7.308847058823531</v>
      </c>
      <c r="AP126" s="254">
        <f t="shared" si="123"/>
        <v>42500</v>
      </c>
      <c r="AQ126" s="176">
        <v>46503.25</v>
      </c>
      <c r="AR126" s="169">
        <f t="shared" si="128"/>
        <v>4003.25</v>
      </c>
      <c r="AS126" s="237">
        <f t="shared" si="145"/>
        <v>9.4194117647058881</v>
      </c>
      <c r="AT126" s="243">
        <f t="shared" si="124"/>
        <v>42500</v>
      </c>
      <c r="AU126" s="176">
        <v>49824.28</v>
      </c>
      <c r="AV126" s="169">
        <f t="shared" si="129"/>
        <v>7324.2799999999988</v>
      </c>
      <c r="AW126" s="252">
        <f t="shared" si="146"/>
        <v>17.233600000000003</v>
      </c>
      <c r="AX126" s="254">
        <f t="shared" si="125"/>
        <v>42500</v>
      </c>
      <c r="AY126" s="176">
        <v>42249.69</v>
      </c>
      <c r="AZ126" s="169">
        <f t="shared" si="130"/>
        <v>-250.30999999999767</v>
      </c>
      <c r="BA126" s="237">
        <f t="shared" si="147"/>
        <v>-0.5889647058823444</v>
      </c>
      <c r="BB126" s="243">
        <f t="shared" si="126"/>
        <v>42500</v>
      </c>
      <c r="BC126" s="176">
        <v>43057.1</v>
      </c>
      <c r="BD126" s="137">
        <f t="shared" si="148"/>
        <v>557.09999999999854</v>
      </c>
      <c r="BE126" s="237">
        <f t="shared" si="149"/>
        <v>1.3108235294117643</v>
      </c>
      <c r="BF126" s="243">
        <f t="shared" si="63"/>
        <v>504306.39</v>
      </c>
      <c r="BG126" s="177">
        <f t="shared" si="121"/>
        <v>525503.15</v>
      </c>
      <c r="BH126" s="63">
        <f t="shared" si="131"/>
        <v>158022.20000000001</v>
      </c>
    </row>
    <row r="127" spans="2:60" s="11" customFormat="1" x14ac:dyDescent="0.25">
      <c r="B127" s="170">
        <v>12301</v>
      </c>
      <c r="C127" s="135">
        <v>192</v>
      </c>
      <c r="D127" s="332" t="s">
        <v>72</v>
      </c>
      <c r="E127" s="341"/>
      <c r="F127" s="725"/>
      <c r="G127" s="663">
        <v>520705.03166666673</v>
      </c>
      <c r="H127" s="212">
        <v>520700</v>
      </c>
      <c r="I127" s="137">
        <v>560271.35</v>
      </c>
      <c r="J127" s="138">
        <f t="shared" si="119"/>
        <v>39571.349999999977</v>
      </c>
      <c r="K127" s="371">
        <f t="shared" si="120"/>
        <v>7.5996447090455055</v>
      </c>
      <c r="L127" s="136">
        <f>$H$127</f>
        <v>520700</v>
      </c>
      <c r="M127" s="137">
        <v>467293.19</v>
      </c>
      <c r="N127" s="137">
        <f t="shared" si="132"/>
        <v>-53406.81</v>
      </c>
      <c r="O127" s="237">
        <f t="shared" si="133"/>
        <v>-10.256733243710393</v>
      </c>
      <c r="P127" s="136">
        <f>$H$127</f>
        <v>520700</v>
      </c>
      <c r="Q127" s="137">
        <v>430263.97</v>
      </c>
      <c r="R127" s="137">
        <f t="shared" si="134"/>
        <v>-90436.030000000028</v>
      </c>
      <c r="S127" s="252">
        <f t="shared" si="135"/>
        <v>-17.368164009986565</v>
      </c>
      <c r="T127" s="212">
        <f>$H$127</f>
        <v>520700</v>
      </c>
      <c r="U127" s="137">
        <v>529340.25</v>
      </c>
      <c r="V127" s="137">
        <f t="shared" si="136"/>
        <v>8640.25</v>
      </c>
      <c r="W127" s="237">
        <f t="shared" si="137"/>
        <v>1.6593527943153497</v>
      </c>
      <c r="X127" s="136">
        <f>$H$127</f>
        <v>520700</v>
      </c>
      <c r="Y127" s="137">
        <v>510687.5</v>
      </c>
      <c r="Z127" s="137">
        <f t="shared" si="138"/>
        <v>-10012.5</v>
      </c>
      <c r="AA127" s="240">
        <f t="shared" si="139"/>
        <v>-1.9228922604186627</v>
      </c>
      <c r="AB127" s="212">
        <f>$H$127</f>
        <v>520700</v>
      </c>
      <c r="AC127" s="137">
        <v>475881.25</v>
      </c>
      <c r="AD127" s="137">
        <f t="shared" si="140"/>
        <v>-44818.75</v>
      </c>
      <c r="AE127" s="252">
        <f t="shared" si="141"/>
        <v>-8.6074034952947969</v>
      </c>
      <c r="AF127" s="137">
        <f t="shared" si="61"/>
        <v>2973737.51</v>
      </c>
      <c r="AG127" s="137">
        <f t="shared" si="62"/>
        <v>495622.91833333328</v>
      </c>
      <c r="AH127" s="212">
        <v>500000</v>
      </c>
      <c r="AI127" s="137">
        <v>617346.04</v>
      </c>
      <c r="AJ127" s="137">
        <f t="shared" si="142"/>
        <v>117346.04000000004</v>
      </c>
      <c r="AK127" s="237">
        <f t="shared" si="143"/>
        <v>23.469208000000009</v>
      </c>
      <c r="AL127" s="136">
        <f t="shared" si="122"/>
        <v>500000</v>
      </c>
      <c r="AM127" s="137">
        <v>627256.07999999996</v>
      </c>
      <c r="AN127" s="169">
        <f t="shared" si="127"/>
        <v>127256.07999999996</v>
      </c>
      <c r="AO127" s="252">
        <f t="shared" si="144"/>
        <v>25.451215999999999</v>
      </c>
      <c r="AP127" s="254">
        <f t="shared" si="123"/>
        <v>500000</v>
      </c>
      <c r="AQ127" s="176">
        <v>715759.16</v>
      </c>
      <c r="AR127" s="169">
        <f t="shared" si="128"/>
        <v>215759.16000000003</v>
      </c>
      <c r="AS127" s="237">
        <f t="shared" si="145"/>
        <v>43.151832000000013</v>
      </c>
      <c r="AT127" s="243">
        <f t="shared" si="124"/>
        <v>500000</v>
      </c>
      <c r="AU127" s="176">
        <v>548796.74</v>
      </c>
      <c r="AV127" s="169">
        <f t="shared" si="129"/>
        <v>48796.739999999991</v>
      </c>
      <c r="AW127" s="252">
        <f t="shared" si="146"/>
        <v>9.759348000000001</v>
      </c>
      <c r="AX127" s="254">
        <f t="shared" si="125"/>
        <v>500000</v>
      </c>
      <c r="AY127" s="176">
        <v>655817.56000000006</v>
      </c>
      <c r="AZ127" s="169">
        <f t="shared" si="130"/>
        <v>155817.56000000006</v>
      </c>
      <c r="BA127" s="237">
        <f t="shared" si="147"/>
        <v>31.163512000000004</v>
      </c>
      <c r="BB127" s="243">
        <f t="shared" si="126"/>
        <v>500000</v>
      </c>
      <c r="BC127" s="176">
        <v>565634.66</v>
      </c>
      <c r="BD127" s="137">
        <f t="shared" si="148"/>
        <v>65634.660000000033</v>
      </c>
      <c r="BE127" s="237">
        <f t="shared" si="149"/>
        <v>13.126932000000014</v>
      </c>
      <c r="BF127" s="243">
        <f t="shared" si="63"/>
        <v>5973737.5099999998</v>
      </c>
      <c r="BG127" s="177">
        <f t="shared" si="121"/>
        <v>6704347.75</v>
      </c>
      <c r="BH127" s="63">
        <f t="shared" si="131"/>
        <v>1987168.76</v>
      </c>
    </row>
    <row r="128" spans="2:60" s="11" customFormat="1" x14ac:dyDescent="0.25">
      <c r="B128" s="170">
        <v>12329</v>
      </c>
      <c r="C128" s="135">
        <v>194</v>
      </c>
      <c r="D128" s="332" t="s">
        <v>73</v>
      </c>
      <c r="E128" s="341"/>
      <c r="F128" s="725"/>
      <c r="G128" s="663">
        <v>365491.3666666667</v>
      </c>
      <c r="H128" s="212">
        <v>365500</v>
      </c>
      <c r="I128" s="137">
        <v>457232.26</v>
      </c>
      <c r="J128" s="138">
        <f t="shared" si="119"/>
        <v>91732.260000000009</v>
      </c>
      <c r="K128" s="371">
        <f t="shared" si="120"/>
        <v>25.097745554035566</v>
      </c>
      <c r="L128" s="136">
        <f>$H$128</f>
        <v>365500</v>
      </c>
      <c r="M128" s="137">
        <v>694824.09</v>
      </c>
      <c r="N128" s="137">
        <f t="shared" si="132"/>
        <v>329324.08999999997</v>
      </c>
      <c r="O128" s="237">
        <f t="shared" si="133"/>
        <v>90.102350205198348</v>
      </c>
      <c r="P128" s="136">
        <f>$H$128</f>
        <v>365500</v>
      </c>
      <c r="Q128" s="137">
        <v>369865.78</v>
      </c>
      <c r="R128" s="137">
        <f t="shared" si="134"/>
        <v>4365.7800000000279</v>
      </c>
      <c r="S128" s="252">
        <f t="shared" si="135"/>
        <v>1.1944678522571861</v>
      </c>
      <c r="T128" s="212">
        <f>$H$128</f>
        <v>365500</v>
      </c>
      <c r="U128" s="137">
        <v>374934.95</v>
      </c>
      <c r="V128" s="137">
        <f t="shared" si="136"/>
        <v>9434.9500000000116</v>
      </c>
      <c r="W128" s="237">
        <f t="shared" si="137"/>
        <v>2.5813816689466584</v>
      </c>
      <c r="X128" s="136">
        <f>$H$128</f>
        <v>365500</v>
      </c>
      <c r="Y128" s="137">
        <v>596945.26</v>
      </c>
      <c r="Z128" s="137">
        <f t="shared" si="138"/>
        <v>231445.26</v>
      </c>
      <c r="AA128" s="240">
        <f t="shared" si="139"/>
        <v>63.322916552667571</v>
      </c>
      <c r="AB128" s="212">
        <f>$H$128</f>
        <v>365500</v>
      </c>
      <c r="AC128" s="137">
        <v>111749.26</v>
      </c>
      <c r="AD128" s="137">
        <f t="shared" si="140"/>
        <v>-253750.74</v>
      </c>
      <c r="AE128" s="252">
        <f t="shared" si="141"/>
        <v>-69.425647058823529</v>
      </c>
      <c r="AF128" s="137">
        <f t="shared" si="61"/>
        <v>2605551.5999999996</v>
      </c>
      <c r="AG128" s="137">
        <f t="shared" si="62"/>
        <v>434258.59999999992</v>
      </c>
      <c r="AH128" s="212">
        <v>434300</v>
      </c>
      <c r="AI128" s="137">
        <v>405738.59</v>
      </c>
      <c r="AJ128" s="137">
        <f t="shared" si="142"/>
        <v>-28561.409999999974</v>
      </c>
      <c r="AK128" s="237">
        <f t="shared" si="143"/>
        <v>-6.5764241307851634</v>
      </c>
      <c r="AL128" s="136">
        <f t="shared" si="122"/>
        <v>434300</v>
      </c>
      <c r="AM128" s="137">
        <v>693019.82</v>
      </c>
      <c r="AN128" s="169">
        <f t="shared" si="127"/>
        <v>258719.81999999995</v>
      </c>
      <c r="AO128" s="252">
        <f t="shared" si="144"/>
        <v>59.571683168316824</v>
      </c>
      <c r="AP128" s="254">
        <f t="shared" si="123"/>
        <v>434300</v>
      </c>
      <c r="AQ128" s="176">
        <v>502539.18</v>
      </c>
      <c r="AR128" s="169">
        <f t="shared" si="128"/>
        <v>68239.179999999993</v>
      </c>
      <c r="AS128" s="237">
        <f t="shared" si="145"/>
        <v>15.712452221966377</v>
      </c>
      <c r="AT128" s="243">
        <f t="shared" si="124"/>
        <v>434300</v>
      </c>
      <c r="AU128" s="176">
        <v>496091.78</v>
      </c>
      <c r="AV128" s="169">
        <f t="shared" si="129"/>
        <v>61791.780000000028</v>
      </c>
      <c r="AW128" s="252">
        <f t="shared" si="146"/>
        <v>14.227902371632517</v>
      </c>
      <c r="AX128" s="254">
        <f t="shared" si="125"/>
        <v>434300</v>
      </c>
      <c r="AY128" s="176">
        <v>556055.72</v>
      </c>
      <c r="AZ128" s="169">
        <f t="shared" si="130"/>
        <v>121755.71999999997</v>
      </c>
      <c r="BA128" s="237">
        <f t="shared" si="147"/>
        <v>28.034934377158649</v>
      </c>
      <c r="BB128" s="243">
        <f t="shared" si="126"/>
        <v>434300</v>
      </c>
      <c r="BC128" s="176">
        <v>438772.54</v>
      </c>
      <c r="BD128" s="137">
        <f t="shared" si="148"/>
        <v>4472.539999999979</v>
      </c>
      <c r="BE128" s="237">
        <f t="shared" si="149"/>
        <v>1.0298273083122256</v>
      </c>
      <c r="BF128" s="243">
        <f t="shared" si="63"/>
        <v>5211351.5999999996</v>
      </c>
      <c r="BG128" s="177">
        <f t="shared" si="121"/>
        <v>5697769.2299999995</v>
      </c>
      <c r="BH128" s="63">
        <f t="shared" si="131"/>
        <v>1896857.08</v>
      </c>
    </row>
    <row r="129" spans="2:62" s="11" customFormat="1" x14ac:dyDescent="0.25">
      <c r="B129" s="170">
        <v>11605</v>
      </c>
      <c r="C129" s="135">
        <v>200</v>
      </c>
      <c r="D129" s="332" t="s">
        <v>74</v>
      </c>
      <c r="E129" s="341"/>
      <c r="F129" s="725"/>
      <c r="G129" s="663">
        <v>64564.453333333331</v>
      </c>
      <c r="H129" s="212">
        <v>64570</v>
      </c>
      <c r="I129" s="137">
        <v>55440.71</v>
      </c>
      <c r="J129" s="138">
        <f t="shared" si="119"/>
        <v>-9129.2900000000009</v>
      </c>
      <c r="K129" s="371">
        <f t="shared" si="120"/>
        <v>-14.138593774198549</v>
      </c>
      <c r="L129" s="136">
        <f>$H$129</f>
        <v>64570</v>
      </c>
      <c r="M129" s="137">
        <v>52825.7</v>
      </c>
      <c r="N129" s="137">
        <f t="shared" si="132"/>
        <v>-11744.300000000003</v>
      </c>
      <c r="O129" s="237">
        <f t="shared" si="133"/>
        <v>-18.188477621186316</v>
      </c>
      <c r="P129" s="136">
        <f>$H$129</f>
        <v>64570</v>
      </c>
      <c r="Q129" s="137">
        <v>51221.53</v>
      </c>
      <c r="R129" s="137">
        <f t="shared" si="134"/>
        <v>-13348.470000000001</v>
      </c>
      <c r="S129" s="252">
        <f t="shared" si="135"/>
        <v>-20.672866656341959</v>
      </c>
      <c r="T129" s="212">
        <f>$H$129</f>
        <v>64570</v>
      </c>
      <c r="U129" s="137">
        <v>74576.899999999994</v>
      </c>
      <c r="V129" s="137">
        <f t="shared" si="136"/>
        <v>10006.899999999994</v>
      </c>
      <c r="W129" s="237">
        <f t="shared" si="137"/>
        <v>15.497754375096795</v>
      </c>
      <c r="X129" s="136">
        <f>$H$129</f>
        <v>64570</v>
      </c>
      <c r="Y129" s="137">
        <v>64861.65</v>
      </c>
      <c r="Z129" s="137">
        <f t="shared" si="138"/>
        <v>291.65000000000146</v>
      </c>
      <c r="AA129" s="240">
        <f t="shared" si="139"/>
        <v>0.45168034691032144</v>
      </c>
      <c r="AB129" s="212">
        <f>$H$129</f>
        <v>64570</v>
      </c>
      <c r="AC129" s="137">
        <v>63117.31</v>
      </c>
      <c r="AD129" s="137">
        <f t="shared" si="140"/>
        <v>-1452.6900000000023</v>
      </c>
      <c r="AE129" s="252">
        <f t="shared" si="141"/>
        <v>-2.2497909245779768</v>
      </c>
      <c r="AF129" s="137">
        <f t="shared" si="61"/>
        <v>362043.8</v>
      </c>
      <c r="AG129" s="137">
        <f t="shared" si="62"/>
        <v>60340.633333333331</v>
      </c>
      <c r="AH129" s="212">
        <v>60400</v>
      </c>
      <c r="AI129" s="137">
        <v>70659.850000000006</v>
      </c>
      <c r="AJ129" s="137">
        <f t="shared" si="142"/>
        <v>10259.850000000006</v>
      </c>
      <c r="AK129" s="237">
        <f t="shared" si="143"/>
        <v>16.986506622516572</v>
      </c>
      <c r="AL129" s="136">
        <f t="shared" si="122"/>
        <v>60400</v>
      </c>
      <c r="AM129" s="137">
        <v>63996.78</v>
      </c>
      <c r="AN129" s="169">
        <f t="shared" si="127"/>
        <v>3596.7799999999988</v>
      </c>
      <c r="AO129" s="252">
        <f t="shared" si="144"/>
        <v>5.9549337748344255</v>
      </c>
      <c r="AP129" s="254">
        <f t="shared" si="123"/>
        <v>60400</v>
      </c>
      <c r="AQ129" s="176">
        <v>73585.88</v>
      </c>
      <c r="AR129" s="169">
        <f t="shared" si="128"/>
        <v>13185.880000000005</v>
      </c>
      <c r="AS129" s="237">
        <f t="shared" si="145"/>
        <v>21.830927152317891</v>
      </c>
      <c r="AT129" s="243">
        <f t="shared" si="124"/>
        <v>60400</v>
      </c>
      <c r="AU129" s="176">
        <v>64943.72</v>
      </c>
      <c r="AV129" s="169">
        <f t="shared" si="129"/>
        <v>4543.7200000000012</v>
      </c>
      <c r="AW129" s="252">
        <f t="shared" si="146"/>
        <v>7.5227152317880908</v>
      </c>
      <c r="AX129" s="254">
        <f t="shared" si="125"/>
        <v>60400</v>
      </c>
      <c r="AY129" s="176">
        <v>95979.86</v>
      </c>
      <c r="AZ129" s="169">
        <f t="shared" si="130"/>
        <v>35579.86</v>
      </c>
      <c r="BA129" s="237">
        <f t="shared" si="147"/>
        <v>58.907052980132455</v>
      </c>
      <c r="BB129" s="243">
        <f t="shared" si="126"/>
        <v>60400</v>
      </c>
      <c r="BC129" s="176">
        <v>70166.05</v>
      </c>
      <c r="BD129" s="137">
        <f t="shared" si="148"/>
        <v>9766.0500000000029</v>
      </c>
      <c r="BE129" s="237">
        <f t="shared" si="149"/>
        <v>16.1689569536424</v>
      </c>
      <c r="BF129" s="243">
        <f t="shared" si="63"/>
        <v>724443.8</v>
      </c>
      <c r="BG129" s="177">
        <f t="shared" si="121"/>
        <v>801375.94000000006</v>
      </c>
      <c r="BH129" s="63">
        <f t="shared" si="131"/>
        <v>234064.84</v>
      </c>
    </row>
    <row r="130" spans="2:62" s="11" customFormat="1" x14ac:dyDescent="0.25">
      <c r="B130" s="170">
        <v>12333</v>
      </c>
      <c r="C130" s="135">
        <v>202</v>
      </c>
      <c r="D130" s="332" t="s">
        <v>75</v>
      </c>
      <c r="E130" s="341"/>
      <c r="F130" s="725"/>
      <c r="G130" s="663">
        <v>31396.64333333333</v>
      </c>
      <c r="H130" s="212">
        <v>31400</v>
      </c>
      <c r="I130" s="137">
        <v>33154.22</v>
      </c>
      <c r="J130" s="138">
        <f t="shared" si="119"/>
        <v>1754.2200000000012</v>
      </c>
      <c r="K130" s="371">
        <f t="shared" si="120"/>
        <v>5.5866878980891821</v>
      </c>
      <c r="L130" s="136">
        <f>$H$130</f>
        <v>31400</v>
      </c>
      <c r="M130" s="137">
        <v>31468.81</v>
      </c>
      <c r="N130" s="137">
        <f t="shared" si="132"/>
        <v>68.81000000000131</v>
      </c>
      <c r="O130" s="237">
        <f t="shared" si="133"/>
        <v>0.21914012738852851</v>
      </c>
      <c r="P130" s="136">
        <f>$H$130</f>
        <v>31400</v>
      </c>
      <c r="Q130" s="137">
        <v>33324.61</v>
      </c>
      <c r="R130" s="137">
        <f t="shared" si="134"/>
        <v>1924.6100000000006</v>
      </c>
      <c r="S130" s="252">
        <f t="shared" si="135"/>
        <v>6.1293312101910802</v>
      </c>
      <c r="T130" s="212">
        <f>$H$130</f>
        <v>31400</v>
      </c>
      <c r="U130" s="137">
        <v>29211.599999999999</v>
      </c>
      <c r="V130" s="137">
        <f t="shared" si="136"/>
        <v>-2188.4000000000015</v>
      </c>
      <c r="W130" s="237">
        <f t="shared" si="137"/>
        <v>-6.9694267515923558</v>
      </c>
      <c r="X130" s="136">
        <f>$H$130</f>
        <v>31400</v>
      </c>
      <c r="Y130" s="137">
        <v>26940.86</v>
      </c>
      <c r="Z130" s="137">
        <f t="shared" si="138"/>
        <v>-4459.1399999999994</v>
      </c>
      <c r="AA130" s="240">
        <f t="shared" si="139"/>
        <v>-14.20108280254777</v>
      </c>
      <c r="AB130" s="212">
        <f>$H$130</f>
        <v>31400</v>
      </c>
      <c r="AC130" s="137">
        <v>30566.98</v>
      </c>
      <c r="AD130" s="137">
        <f t="shared" si="140"/>
        <v>-833.02000000000044</v>
      </c>
      <c r="AE130" s="252">
        <f t="shared" si="141"/>
        <v>-2.6529299363057368</v>
      </c>
      <c r="AF130" s="137">
        <f t="shared" si="61"/>
        <v>184667.08</v>
      </c>
      <c r="AG130" s="137">
        <f t="shared" si="62"/>
        <v>30777.846666666665</v>
      </c>
      <c r="AH130" s="212">
        <v>30800</v>
      </c>
      <c r="AI130" s="137">
        <v>29604.85</v>
      </c>
      <c r="AJ130" s="137">
        <f t="shared" si="142"/>
        <v>-1195.1500000000015</v>
      </c>
      <c r="AK130" s="237">
        <f t="shared" si="143"/>
        <v>-3.8803571428571493</v>
      </c>
      <c r="AL130" s="136">
        <f t="shared" si="122"/>
        <v>30800</v>
      </c>
      <c r="AM130" s="137">
        <v>29173.83</v>
      </c>
      <c r="AN130" s="169">
        <f t="shared" si="127"/>
        <v>-1626.1699999999983</v>
      </c>
      <c r="AO130" s="252">
        <f t="shared" si="144"/>
        <v>-5.2797727272727251</v>
      </c>
      <c r="AP130" s="254">
        <f t="shared" si="123"/>
        <v>30800</v>
      </c>
      <c r="AQ130" s="176">
        <v>28170.87</v>
      </c>
      <c r="AR130" s="169">
        <f t="shared" si="128"/>
        <v>-2629.130000000001</v>
      </c>
      <c r="AS130" s="237">
        <f t="shared" si="145"/>
        <v>-8.5361363636363699</v>
      </c>
      <c r="AT130" s="243">
        <f t="shared" si="124"/>
        <v>30800</v>
      </c>
      <c r="AU130" s="176">
        <v>24689.07</v>
      </c>
      <c r="AV130" s="169">
        <f t="shared" si="129"/>
        <v>-6110.93</v>
      </c>
      <c r="AW130" s="252">
        <f t="shared" si="146"/>
        <v>-19.840681818181814</v>
      </c>
      <c r="AX130" s="254">
        <f t="shared" si="125"/>
        <v>30800</v>
      </c>
      <c r="AY130" s="176">
        <v>28273.77</v>
      </c>
      <c r="AZ130" s="169">
        <f t="shared" si="130"/>
        <v>-2526.2299999999996</v>
      </c>
      <c r="BA130" s="237">
        <f t="shared" si="147"/>
        <v>-8.2020454545454484</v>
      </c>
      <c r="BB130" s="243">
        <f t="shared" si="126"/>
        <v>30800</v>
      </c>
      <c r="BC130" s="176">
        <v>29981.46</v>
      </c>
      <c r="BD130" s="137">
        <f t="shared" si="148"/>
        <v>-818.54000000000087</v>
      </c>
      <c r="BE130" s="237">
        <f t="shared" si="149"/>
        <v>-2.6575974025974003</v>
      </c>
      <c r="BF130" s="243">
        <f t="shared" si="63"/>
        <v>369467.07999999996</v>
      </c>
      <c r="BG130" s="177">
        <f t="shared" si="121"/>
        <v>354560.93000000005</v>
      </c>
      <c r="BH130" s="63">
        <f t="shared" si="131"/>
        <v>127159.23999999999</v>
      </c>
    </row>
    <row r="131" spans="2:62" s="11" customFormat="1" x14ac:dyDescent="0.25">
      <c r="B131" s="170">
        <v>12331</v>
      </c>
      <c r="C131" s="135">
        <v>196</v>
      </c>
      <c r="D131" s="332" t="s">
        <v>76</v>
      </c>
      <c r="E131" s="341"/>
      <c r="F131" s="725"/>
      <c r="G131" s="663">
        <v>120514.57333333332</v>
      </c>
      <c r="H131" s="212">
        <v>120520</v>
      </c>
      <c r="I131" s="137">
        <v>156350.51</v>
      </c>
      <c r="J131" s="138">
        <f t="shared" si="119"/>
        <v>35830.510000000009</v>
      </c>
      <c r="K131" s="371">
        <f t="shared" si="120"/>
        <v>29.729928642548952</v>
      </c>
      <c r="L131" s="136">
        <f>$H$131</f>
        <v>120520</v>
      </c>
      <c r="M131" s="137">
        <v>117144.58</v>
      </c>
      <c r="N131" s="137">
        <f t="shared" si="132"/>
        <v>-3375.4199999999983</v>
      </c>
      <c r="O131" s="237">
        <f t="shared" si="133"/>
        <v>-2.8007135745104494</v>
      </c>
      <c r="P131" s="136">
        <f>$H$131</f>
        <v>120520</v>
      </c>
      <c r="Q131" s="137">
        <v>114902.19</v>
      </c>
      <c r="R131" s="137">
        <f t="shared" si="134"/>
        <v>-5617.8099999999977</v>
      </c>
      <c r="S131" s="252">
        <f t="shared" si="135"/>
        <v>-4.6613093262529048</v>
      </c>
      <c r="T131" s="212">
        <f>$H$131</f>
        <v>120520</v>
      </c>
      <c r="U131" s="137">
        <v>124791.31</v>
      </c>
      <c r="V131" s="137">
        <f t="shared" si="136"/>
        <v>4271.3099999999977</v>
      </c>
      <c r="W131" s="237">
        <f t="shared" si="137"/>
        <v>3.5440673747095808</v>
      </c>
      <c r="X131" s="136">
        <f>$H$131</f>
        <v>120520</v>
      </c>
      <c r="Y131" s="137">
        <v>145539.46</v>
      </c>
      <c r="Z131" s="137">
        <f t="shared" si="138"/>
        <v>25019.459999999992</v>
      </c>
      <c r="AA131" s="240">
        <f t="shared" si="139"/>
        <v>20.759591769000995</v>
      </c>
      <c r="AB131" s="212">
        <f>$H$131</f>
        <v>120520</v>
      </c>
      <c r="AC131" s="137">
        <v>121600.33</v>
      </c>
      <c r="AD131" s="137">
        <f t="shared" si="140"/>
        <v>1080.3300000000017</v>
      </c>
      <c r="AE131" s="252">
        <f t="shared" si="141"/>
        <v>0.89639064055757611</v>
      </c>
      <c r="AF131" s="137">
        <f t="shared" si="61"/>
        <v>780328.38</v>
      </c>
      <c r="AG131" s="137">
        <f t="shared" si="62"/>
        <v>130054.73</v>
      </c>
      <c r="AH131" s="212">
        <v>130100</v>
      </c>
      <c r="AI131" s="137">
        <v>144007.92000000001</v>
      </c>
      <c r="AJ131" s="137">
        <f t="shared" si="142"/>
        <v>13907.920000000013</v>
      </c>
      <c r="AK131" s="237">
        <f t="shared" si="143"/>
        <v>10.690176787086859</v>
      </c>
      <c r="AL131" s="136">
        <f t="shared" si="122"/>
        <v>130100</v>
      </c>
      <c r="AM131" s="137">
        <v>142109.73000000001</v>
      </c>
      <c r="AN131" s="169">
        <f t="shared" si="127"/>
        <v>12009.73000000001</v>
      </c>
      <c r="AO131" s="252">
        <f t="shared" si="144"/>
        <v>9.2311529592621113</v>
      </c>
      <c r="AP131" s="254">
        <f t="shared" si="123"/>
        <v>130100</v>
      </c>
      <c r="AQ131" s="176">
        <v>140670.29</v>
      </c>
      <c r="AR131" s="169">
        <f t="shared" si="128"/>
        <v>10570.290000000008</v>
      </c>
      <c r="AS131" s="237">
        <f t="shared" si="145"/>
        <v>8.1247425057648037</v>
      </c>
      <c r="AT131" s="243">
        <f t="shared" si="124"/>
        <v>130100</v>
      </c>
      <c r="AU131" s="176">
        <v>140357.46</v>
      </c>
      <c r="AV131" s="169">
        <f t="shared" si="129"/>
        <v>10257.459999999992</v>
      </c>
      <c r="AW131" s="252">
        <f t="shared" si="146"/>
        <v>7.8842890084550366</v>
      </c>
      <c r="AX131" s="254">
        <f t="shared" si="125"/>
        <v>130100</v>
      </c>
      <c r="AY131" s="176">
        <v>139359.32</v>
      </c>
      <c r="AZ131" s="169">
        <f t="shared" si="130"/>
        <v>9259.320000000007</v>
      </c>
      <c r="BA131" s="237">
        <f t="shared" si="147"/>
        <v>7.1170791698693447</v>
      </c>
      <c r="BB131" s="243">
        <f t="shared" si="126"/>
        <v>130100</v>
      </c>
      <c r="BC131" s="176">
        <v>144657.12</v>
      </c>
      <c r="BD131" s="137">
        <f t="shared" si="148"/>
        <v>14557.119999999995</v>
      </c>
      <c r="BE131" s="237">
        <f t="shared" si="149"/>
        <v>11.189177555726371</v>
      </c>
      <c r="BF131" s="243">
        <f t="shared" si="63"/>
        <v>1560928.38</v>
      </c>
      <c r="BG131" s="177">
        <f t="shared" si="121"/>
        <v>1631490.2200000002</v>
      </c>
      <c r="BH131" s="63">
        <f t="shared" si="131"/>
        <v>513188.59</v>
      </c>
    </row>
    <row r="132" spans="2:62" s="11" customFormat="1" x14ac:dyDescent="0.25">
      <c r="B132" s="170">
        <v>12316</v>
      </c>
      <c r="C132" s="135">
        <v>207</v>
      </c>
      <c r="D132" s="332" t="s">
        <v>201</v>
      </c>
      <c r="E132" s="341"/>
      <c r="F132" s="725"/>
      <c r="G132" s="663">
        <v>17534.501666666667</v>
      </c>
      <c r="H132" s="212">
        <v>17540</v>
      </c>
      <c r="I132" s="137">
        <v>7096.16</v>
      </c>
      <c r="J132" s="138">
        <f t="shared" si="119"/>
        <v>-10443.84</v>
      </c>
      <c r="K132" s="371">
        <f t="shared" si="120"/>
        <v>-59.542987457240592</v>
      </c>
      <c r="L132" s="136">
        <f>$H$132</f>
        <v>17540</v>
      </c>
      <c r="M132" s="137">
        <v>-82161.09</v>
      </c>
      <c r="N132" s="137">
        <f t="shared" si="132"/>
        <v>-99701.09</v>
      </c>
      <c r="O132" s="237">
        <f t="shared" si="133"/>
        <v>-568.42126567844923</v>
      </c>
      <c r="P132" s="136">
        <f>$H$132</f>
        <v>17540</v>
      </c>
      <c r="Q132" s="137">
        <v>17061.830000000002</v>
      </c>
      <c r="R132" s="137">
        <f t="shared" si="134"/>
        <v>-478.16999999999825</v>
      </c>
      <c r="S132" s="252">
        <f t="shared" si="135"/>
        <v>-2.7261687571265569</v>
      </c>
      <c r="T132" s="212">
        <f>$H$132</f>
        <v>17540</v>
      </c>
      <c r="U132" s="137">
        <v>51618.2</v>
      </c>
      <c r="V132" s="137">
        <f t="shared" si="136"/>
        <v>34078.199999999997</v>
      </c>
      <c r="W132" s="237">
        <f t="shared" si="137"/>
        <v>194.28848346636261</v>
      </c>
      <c r="X132" s="136">
        <f>$H$132</f>
        <v>17540</v>
      </c>
      <c r="Y132" s="137">
        <v>43130.57</v>
      </c>
      <c r="Z132" s="137">
        <f t="shared" si="138"/>
        <v>25590.57</v>
      </c>
      <c r="AA132" s="240">
        <f t="shared" si="139"/>
        <v>145.89834663625996</v>
      </c>
      <c r="AB132" s="212">
        <f>$H$132</f>
        <v>17540</v>
      </c>
      <c r="AC132" s="137">
        <v>10707.31</v>
      </c>
      <c r="AD132" s="137">
        <f t="shared" si="140"/>
        <v>-6832.6900000000005</v>
      </c>
      <c r="AE132" s="252">
        <f t="shared" si="141"/>
        <v>-38.954903078677319</v>
      </c>
      <c r="AF132" s="137">
        <f t="shared" si="61"/>
        <v>47452.98</v>
      </c>
      <c r="AG132" s="137">
        <f t="shared" si="62"/>
        <v>7908.8300000000008</v>
      </c>
      <c r="AH132" s="212">
        <v>8000</v>
      </c>
      <c r="AI132" s="137">
        <v>6201.46</v>
      </c>
      <c r="AJ132" s="137">
        <f t="shared" si="142"/>
        <v>-1798.54</v>
      </c>
      <c r="AK132" s="237">
        <f t="shared" si="143"/>
        <v>-22.481750000000002</v>
      </c>
      <c r="AL132" s="136">
        <f t="shared" si="122"/>
        <v>8000</v>
      </c>
      <c r="AM132" s="137">
        <v>21033.38</v>
      </c>
      <c r="AN132" s="169">
        <f t="shared" si="127"/>
        <v>13033.380000000001</v>
      </c>
      <c r="AO132" s="252">
        <f t="shared" si="144"/>
        <v>162.91725000000002</v>
      </c>
      <c r="AP132" s="254">
        <f t="shared" si="123"/>
        <v>8000</v>
      </c>
      <c r="AQ132" s="176">
        <v>24267.94</v>
      </c>
      <c r="AR132" s="169">
        <f t="shared" si="128"/>
        <v>16267.939999999999</v>
      </c>
      <c r="AS132" s="237">
        <f t="shared" si="145"/>
        <v>203.34924999999998</v>
      </c>
      <c r="AT132" s="243">
        <f t="shared" si="124"/>
        <v>8000</v>
      </c>
      <c r="AU132" s="176">
        <v>20222.27</v>
      </c>
      <c r="AV132" s="169">
        <f t="shared" si="129"/>
        <v>12222.27</v>
      </c>
      <c r="AW132" s="252">
        <f t="shared" si="146"/>
        <v>152.77837500000001</v>
      </c>
      <c r="AX132" s="254">
        <f t="shared" si="125"/>
        <v>8000</v>
      </c>
      <c r="AY132" s="176">
        <v>10563.13</v>
      </c>
      <c r="AZ132" s="169">
        <f t="shared" si="130"/>
        <v>2563.1299999999992</v>
      </c>
      <c r="BA132" s="237">
        <f t="shared" si="147"/>
        <v>32.039124999999991</v>
      </c>
      <c r="BB132" s="243">
        <f t="shared" si="126"/>
        <v>8000</v>
      </c>
      <c r="BC132" s="176">
        <v>26951.45</v>
      </c>
      <c r="BD132" s="137">
        <f t="shared" si="148"/>
        <v>18951.45</v>
      </c>
      <c r="BE132" s="237">
        <f t="shared" si="149"/>
        <v>236.89312500000003</v>
      </c>
      <c r="BF132" s="243">
        <f t="shared" si="63"/>
        <v>95452.98000000001</v>
      </c>
      <c r="BG132" s="177">
        <f t="shared" si="121"/>
        <v>156692.61000000002</v>
      </c>
      <c r="BH132" s="63">
        <f t="shared" si="131"/>
        <v>-6384.8999999999942</v>
      </c>
    </row>
    <row r="133" spans="2:62" s="11" customFormat="1" x14ac:dyDescent="0.25">
      <c r="B133" s="170">
        <v>12332</v>
      </c>
      <c r="C133" s="135">
        <v>203</v>
      </c>
      <c r="D133" s="332" t="s">
        <v>77</v>
      </c>
      <c r="E133" s="341"/>
      <c r="F133" s="725"/>
      <c r="G133" s="663">
        <v>18374.153333333332</v>
      </c>
      <c r="H133" s="212">
        <v>18380</v>
      </c>
      <c r="I133" s="137">
        <v>10834.47</v>
      </c>
      <c r="J133" s="138">
        <f t="shared" si="119"/>
        <v>-7545.5300000000007</v>
      </c>
      <c r="K133" s="371">
        <f t="shared" si="120"/>
        <v>-41.052937976060946</v>
      </c>
      <c r="L133" s="136">
        <f>$H$133</f>
        <v>18380</v>
      </c>
      <c r="M133" s="137">
        <v>16156.22</v>
      </c>
      <c r="N133" s="137">
        <f t="shared" si="132"/>
        <v>-2223.7800000000007</v>
      </c>
      <c r="O133" s="237">
        <f t="shared" si="133"/>
        <v>-12.098911860718175</v>
      </c>
      <c r="P133" s="136">
        <f>$H$133</f>
        <v>18380</v>
      </c>
      <c r="Q133" s="137">
        <v>16566.39</v>
      </c>
      <c r="R133" s="137">
        <f t="shared" si="134"/>
        <v>-1813.6100000000006</v>
      </c>
      <c r="S133" s="252">
        <f t="shared" si="135"/>
        <v>-9.867301414581064</v>
      </c>
      <c r="T133" s="212">
        <f>$H$133</f>
        <v>18380</v>
      </c>
      <c r="U133" s="137">
        <v>8829.7099999999991</v>
      </c>
      <c r="V133" s="137">
        <f t="shared" si="136"/>
        <v>-9550.2900000000009</v>
      </c>
      <c r="W133" s="237">
        <f t="shared" si="137"/>
        <v>-51.960228509249198</v>
      </c>
      <c r="X133" s="136">
        <f>$H$133</f>
        <v>18380</v>
      </c>
      <c r="Y133" s="137">
        <v>21983.32</v>
      </c>
      <c r="Z133" s="137">
        <f t="shared" si="138"/>
        <v>3603.3199999999997</v>
      </c>
      <c r="AA133" s="240">
        <f t="shared" si="139"/>
        <v>19.604570184983672</v>
      </c>
      <c r="AB133" s="212">
        <f>$H$133</f>
        <v>18380</v>
      </c>
      <c r="AC133" s="137">
        <v>19365.29</v>
      </c>
      <c r="AD133" s="137">
        <f t="shared" si="140"/>
        <v>985.29000000000087</v>
      </c>
      <c r="AE133" s="252">
        <f t="shared" si="141"/>
        <v>5.3606637649619149</v>
      </c>
      <c r="AF133" s="137">
        <f t="shared" si="61"/>
        <v>93735.4</v>
      </c>
      <c r="AG133" s="137">
        <f t="shared" si="62"/>
        <v>15622.566666666666</v>
      </c>
      <c r="AH133" s="212">
        <v>15700</v>
      </c>
      <c r="AI133" s="137">
        <v>27627.17</v>
      </c>
      <c r="AJ133" s="137">
        <f t="shared" si="142"/>
        <v>11927.169999999998</v>
      </c>
      <c r="AK133" s="237">
        <f t="shared" si="143"/>
        <v>75.969235668789793</v>
      </c>
      <c r="AL133" s="136">
        <f t="shared" si="122"/>
        <v>15700</v>
      </c>
      <c r="AM133" s="137">
        <v>14239.59</v>
      </c>
      <c r="AN133" s="169">
        <f t="shared" si="127"/>
        <v>-1460.4099999999999</v>
      </c>
      <c r="AO133" s="252">
        <f t="shared" si="144"/>
        <v>-9.3019745222929888</v>
      </c>
      <c r="AP133" s="254">
        <f t="shared" si="123"/>
        <v>15700</v>
      </c>
      <c r="AQ133" s="176">
        <v>18570.3</v>
      </c>
      <c r="AR133" s="169">
        <f t="shared" si="128"/>
        <v>2870.2999999999993</v>
      </c>
      <c r="AS133" s="237">
        <f t="shared" si="145"/>
        <v>18.282165605095546</v>
      </c>
      <c r="AT133" s="243">
        <f t="shared" si="124"/>
        <v>15700</v>
      </c>
      <c r="AU133" s="176">
        <v>15033.17</v>
      </c>
      <c r="AV133" s="169">
        <f t="shared" si="129"/>
        <v>-666.82999999999993</v>
      </c>
      <c r="AW133" s="252">
        <f t="shared" si="146"/>
        <v>-4.2473248407643327</v>
      </c>
      <c r="AX133" s="254">
        <f t="shared" si="125"/>
        <v>15700</v>
      </c>
      <c r="AY133" s="176">
        <v>13980.16</v>
      </c>
      <c r="AZ133" s="169">
        <f t="shared" si="130"/>
        <v>-1719.8400000000001</v>
      </c>
      <c r="BA133" s="237">
        <f t="shared" si="147"/>
        <v>-10.954394904458598</v>
      </c>
      <c r="BB133" s="243">
        <f t="shared" si="126"/>
        <v>15700</v>
      </c>
      <c r="BC133" s="176">
        <v>26472.48</v>
      </c>
      <c r="BD133" s="137">
        <f t="shared" si="148"/>
        <v>10772.48</v>
      </c>
      <c r="BE133" s="237">
        <f t="shared" si="149"/>
        <v>68.614522292993627</v>
      </c>
      <c r="BF133" s="243">
        <f t="shared" si="63"/>
        <v>187935.4</v>
      </c>
      <c r="BG133" s="177">
        <f>SUM(I133+M133+Q133+U133+Y133+AC133+AI133+AM133+AQ133+AU133+AY133+BC133)</f>
        <v>209658.27000000002</v>
      </c>
      <c r="BH133" s="63">
        <f t="shared" si="131"/>
        <v>52386.79</v>
      </c>
    </row>
    <row r="134" spans="2:62" s="11" customFormat="1" x14ac:dyDescent="0.25">
      <c r="B134" s="170">
        <v>32497</v>
      </c>
      <c r="C134" s="135">
        <v>198</v>
      </c>
      <c r="D134" s="332" t="s">
        <v>202</v>
      </c>
      <c r="E134" s="341"/>
      <c r="F134" s="725"/>
      <c r="G134" s="663">
        <v>59044.783333333333</v>
      </c>
      <c r="H134" s="212">
        <v>59050</v>
      </c>
      <c r="I134" s="137">
        <v>54172.82</v>
      </c>
      <c r="J134" s="138">
        <f t="shared" si="119"/>
        <v>-4877.18</v>
      </c>
      <c r="K134" s="371">
        <f t="shared" si="120"/>
        <v>-8.2594072819644371</v>
      </c>
      <c r="L134" s="136">
        <f>$H$134</f>
        <v>59050</v>
      </c>
      <c r="M134" s="137">
        <v>50013.06</v>
      </c>
      <c r="N134" s="137">
        <f t="shared" si="132"/>
        <v>-9036.9400000000023</v>
      </c>
      <c r="O134" s="237">
        <f t="shared" si="133"/>
        <v>-15.303878069432686</v>
      </c>
      <c r="P134" s="136">
        <f>$H$134</f>
        <v>59050</v>
      </c>
      <c r="Q134" s="137">
        <v>48229.63</v>
      </c>
      <c r="R134" s="137">
        <f t="shared" si="134"/>
        <v>-10820.370000000003</v>
      </c>
      <c r="S134" s="252">
        <f t="shared" si="135"/>
        <v>-18.32408128704488</v>
      </c>
      <c r="T134" s="212">
        <f>$H$134</f>
        <v>59050</v>
      </c>
      <c r="U134" s="137">
        <v>56580.1</v>
      </c>
      <c r="V134" s="137">
        <f t="shared" si="136"/>
        <v>-2469.9000000000015</v>
      </c>
      <c r="W134" s="237">
        <f t="shared" si="137"/>
        <v>-4.1827265029635967</v>
      </c>
      <c r="X134" s="136">
        <f>$H$134</f>
        <v>59050</v>
      </c>
      <c r="Y134" s="137">
        <v>55736.160000000003</v>
      </c>
      <c r="Z134" s="137">
        <f t="shared" si="138"/>
        <v>-3313.8399999999965</v>
      </c>
      <c r="AA134" s="240">
        <f t="shared" si="139"/>
        <v>-5.611922099915323</v>
      </c>
      <c r="AB134" s="212">
        <f>$H$134</f>
        <v>59050</v>
      </c>
      <c r="AC134" s="137">
        <v>44536.33</v>
      </c>
      <c r="AD134" s="137">
        <f t="shared" si="140"/>
        <v>-14513.669999999998</v>
      </c>
      <c r="AE134" s="252">
        <f t="shared" si="141"/>
        <v>-24.578611346316681</v>
      </c>
      <c r="AF134" s="137">
        <f t="shared" si="61"/>
        <v>309268.10000000003</v>
      </c>
      <c r="AG134" s="137">
        <f t="shared" si="62"/>
        <v>51544.683333333342</v>
      </c>
      <c r="AH134" s="212">
        <v>51600</v>
      </c>
      <c r="AI134" s="137">
        <v>61138.43</v>
      </c>
      <c r="AJ134" s="137">
        <f t="shared" si="142"/>
        <v>9538.43</v>
      </c>
      <c r="AK134" s="237">
        <f t="shared" si="143"/>
        <v>18.48532945736434</v>
      </c>
      <c r="AL134" s="136">
        <f t="shared" si="122"/>
        <v>51600</v>
      </c>
      <c r="AM134" s="137">
        <v>56287</v>
      </c>
      <c r="AN134" s="169">
        <f t="shared" si="127"/>
        <v>4687</v>
      </c>
      <c r="AO134" s="252">
        <f t="shared" si="144"/>
        <v>9.0833333333333321</v>
      </c>
      <c r="AP134" s="254">
        <f t="shared" si="123"/>
        <v>51600</v>
      </c>
      <c r="AQ134" s="176">
        <v>47644.42</v>
      </c>
      <c r="AR134" s="169">
        <f t="shared" si="128"/>
        <v>-3955.5800000000017</v>
      </c>
      <c r="AS134" s="237">
        <f t="shared" si="145"/>
        <v>-7.6658527131783005</v>
      </c>
      <c r="AT134" s="243">
        <f t="shared" si="124"/>
        <v>51600</v>
      </c>
      <c r="AU134" s="176">
        <v>45466.92</v>
      </c>
      <c r="AV134" s="169">
        <f t="shared" si="129"/>
        <v>-6133.0800000000017</v>
      </c>
      <c r="AW134" s="252">
        <f t="shared" si="146"/>
        <v>-11.885813953488377</v>
      </c>
      <c r="AX134" s="254">
        <f t="shared" si="125"/>
        <v>51600</v>
      </c>
      <c r="AY134" s="176">
        <v>53215.51</v>
      </c>
      <c r="AZ134" s="169">
        <f t="shared" si="130"/>
        <v>1615.510000000002</v>
      </c>
      <c r="BA134" s="237">
        <f t="shared" si="147"/>
        <v>3.1308333333333271</v>
      </c>
      <c r="BB134" s="243">
        <f t="shared" si="126"/>
        <v>51600</v>
      </c>
      <c r="BC134" s="176">
        <v>59550.57</v>
      </c>
      <c r="BD134" s="137">
        <f t="shared" si="148"/>
        <v>7950.57</v>
      </c>
      <c r="BE134" s="237">
        <f t="shared" si="149"/>
        <v>15.408081395348837</v>
      </c>
      <c r="BF134" s="243">
        <f t="shared" si="63"/>
        <v>618868.10000000009</v>
      </c>
      <c r="BG134" s="177">
        <f t="shared" si="121"/>
        <v>632570.94999999995</v>
      </c>
      <c r="BH134" s="63">
        <f t="shared" si="131"/>
        <v>208995.61000000002</v>
      </c>
    </row>
    <row r="135" spans="2:62" s="11" customFormat="1" x14ac:dyDescent="0.25">
      <c r="B135" s="170">
        <v>51649</v>
      </c>
      <c r="C135" s="135">
        <v>363</v>
      </c>
      <c r="D135" s="332" t="s">
        <v>78</v>
      </c>
      <c r="E135" s="341"/>
      <c r="F135" s="725"/>
      <c r="G135" s="663">
        <v>21644.781666666666</v>
      </c>
      <c r="H135" s="212">
        <v>21650</v>
      </c>
      <c r="I135" s="137">
        <v>22267</v>
      </c>
      <c r="J135" s="138">
        <f t="shared" si="119"/>
        <v>617</v>
      </c>
      <c r="K135" s="371">
        <f t="shared" si="120"/>
        <v>2.849884526558899</v>
      </c>
      <c r="L135" s="136">
        <f>$H$135</f>
        <v>21650</v>
      </c>
      <c r="M135" s="137">
        <v>22479.599999999999</v>
      </c>
      <c r="N135" s="137">
        <f t="shared" si="132"/>
        <v>829.59999999999854</v>
      </c>
      <c r="O135" s="237">
        <f t="shared" si="133"/>
        <v>3.8318706697459515</v>
      </c>
      <c r="P135" s="136">
        <f>$H$135</f>
        <v>21650</v>
      </c>
      <c r="Q135" s="137">
        <v>12780.44</v>
      </c>
      <c r="R135" s="137">
        <f t="shared" si="134"/>
        <v>-8869.56</v>
      </c>
      <c r="S135" s="252">
        <f t="shared" si="135"/>
        <v>-40.967944572748259</v>
      </c>
      <c r="T135" s="212">
        <f>$H$135</f>
        <v>21650</v>
      </c>
      <c r="U135" s="137">
        <v>27264.78</v>
      </c>
      <c r="V135" s="137">
        <f t="shared" si="136"/>
        <v>5614.7799999999988</v>
      </c>
      <c r="W135" s="237">
        <f t="shared" si="137"/>
        <v>25.934318706697447</v>
      </c>
      <c r="X135" s="136">
        <f>$H$135</f>
        <v>21650</v>
      </c>
      <c r="Y135" s="137">
        <v>18418.02</v>
      </c>
      <c r="Z135" s="137">
        <f t="shared" si="138"/>
        <v>-3231.9799999999996</v>
      </c>
      <c r="AA135" s="240">
        <f>((Y135/X135)-1)*100</f>
        <v>-14.928314087759809</v>
      </c>
      <c r="AB135" s="212">
        <f>$H$135</f>
        <v>21650</v>
      </c>
      <c r="AC135" s="137">
        <v>22079.54</v>
      </c>
      <c r="AD135" s="137">
        <f t="shared" si="140"/>
        <v>429.54000000000087</v>
      </c>
      <c r="AE135" s="252">
        <f t="shared" si="141"/>
        <v>1.9840184757505819</v>
      </c>
      <c r="AF135" s="137">
        <f t="shared" si="61"/>
        <v>125289.38</v>
      </c>
      <c r="AG135" s="137">
        <f t="shared" si="62"/>
        <v>20881.563333333335</v>
      </c>
      <c r="AH135" s="212">
        <v>20882</v>
      </c>
      <c r="AI135" s="137">
        <v>30598.720000000001</v>
      </c>
      <c r="AJ135" s="137">
        <f t="shared" si="142"/>
        <v>9716.7200000000012</v>
      </c>
      <c r="AK135" s="237">
        <f t="shared" si="143"/>
        <v>46.531558279858267</v>
      </c>
      <c r="AL135" s="136">
        <f t="shared" si="122"/>
        <v>20882</v>
      </c>
      <c r="AM135" s="137">
        <v>19153.05</v>
      </c>
      <c r="AN135" s="169">
        <f t="shared" si="127"/>
        <v>-1728.9500000000007</v>
      </c>
      <c r="AO135" s="252">
        <f t="shared" si="144"/>
        <v>-8.279618810458766</v>
      </c>
      <c r="AP135" s="254">
        <f t="shared" si="123"/>
        <v>20882</v>
      </c>
      <c r="AQ135" s="176">
        <v>17231.830000000002</v>
      </c>
      <c r="AR135" s="169">
        <f t="shared" si="128"/>
        <v>-3650.1699999999983</v>
      </c>
      <c r="AS135" s="237">
        <f t="shared" si="145"/>
        <v>-17.479982760271994</v>
      </c>
      <c r="AT135" s="243">
        <f t="shared" si="124"/>
        <v>20882</v>
      </c>
      <c r="AU135" s="176">
        <v>29822.6</v>
      </c>
      <c r="AV135" s="169">
        <f t="shared" si="129"/>
        <v>8940.5999999999985</v>
      </c>
      <c r="AW135" s="252">
        <f t="shared" si="146"/>
        <v>42.814864476582692</v>
      </c>
      <c r="AX135" s="254">
        <f t="shared" si="125"/>
        <v>20882</v>
      </c>
      <c r="AY135" s="176">
        <v>17805.560000000001</v>
      </c>
      <c r="AZ135" s="169">
        <f t="shared" si="130"/>
        <v>-3076.4399999999987</v>
      </c>
      <c r="BA135" s="237">
        <f t="shared" si="147"/>
        <v>-14.73249688727133</v>
      </c>
      <c r="BB135" s="243">
        <f t="shared" si="126"/>
        <v>20882</v>
      </c>
      <c r="BC135" s="176">
        <v>21117.52</v>
      </c>
      <c r="BD135" s="137">
        <f t="shared" si="148"/>
        <v>235.52000000000044</v>
      </c>
      <c r="BE135" s="237">
        <f t="shared" si="149"/>
        <v>1.1278613159659168</v>
      </c>
      <c r="BF135" s="243">
        <f t="shared" si="63"/>
        <v>250581.38</v>
      </c>
      <c r="BG135" s="177">
        <f t="shared" si="121"/>
        <v>261018.65999999997</v>
      </c>
      <c r="BH135" s="63">
        <f t="shared" si="131"/>
        <v>84791.82</v>
      </c>
    </row>
    <row r="136" spans="2:62" s="11" customFormat="1" x14ac:dyDescent="0.25">
      <c r="B136" s="170">
        <v>12328</v>
      </c>
      <c r="C136" s="135">
        <v>247</v>
      </c>
      <c r="D136" s="332" t="s">
        <v>336</v>
      </c>
      <c r="E136" s="341"/>
      <c r="F136" s="726"/>
      <c r="G136" s="663">
        <v>48847.04833333334</v>
      </c>
      <c r="H136" s="212">
        <v>48850</v>
      </c>
      <c r="I136" s="137">
        <v>17214.28</v>
      </c>
      <c r="J136" s="138">
        <f t="shared" si="119"/>
        <v>-31635.72</v>
      </c>
      <c r="K136" s="371">
        <f t="shared" si="120"/>
        <v>-64.760941658137156</v>
      </c>
      <c r="L136" s="212">
        <v>0</v>
      </c>
      <c r="M136" s="137">
        <v>65675.399999999994</v>
      </c>
      <c r="N136" s="137">
        <f t="shared" si="132"/>
        <v>65675.399999999994</v>
      </c>
      <c r="O136" s="237">
        <v>0</v>
      </c>
      <c r="P136" s="212">
        <f>$F$136</f>
        <v>0</v>
      </c>
      <c r="Q136" s="137">
        <v>12807.72</v>
      </c>
      <c r="R136" s="137">
        <f>Q136-P136</f>
        <v>12807.72</v>
      </c>
      <c r="S136" s="252">
        <v>0</v>
      </c>
      <c r="T136" s="212">
        <f>$F$136</f>
        <v>0</v>
      </c>
      <c r="U136" s="137">
        <v>2384.92</v>
      </c>
      <c r="V136" s="137">
        <f>U136-T136</f>
        <v>2384.92</v>
      </c>
      <c r="W136" s="237"/>
      <c r="X136" s="212">
        <f>$F$136</f>
        <v>0</v>
      </c>
      <c r="Y136" s="137">
        <v>17038.37</v>
      </c>
      <c r="Z136" s="137">
        <f>Y136-X136</f>
        <v>17038.37</v>
      </c>
      <c r="AA136" s="240"/>
      <c r="AB136" s="212">
        <f>$H$136</f>
        <v>48850</v>
      </c>
      <c r="AC136" s="137">
        <v>7956.79</v>
      </c>
      <c r="AD136" s="137">
        <f>AC136-AB136</f>
        <v>-40893.21</v>
      </c>
      <c r="AE136" s="252">
        <f t="shared" si="141"/>
        <v>-83.711791197543505</v>
      </c>
      <c r="AF136" s="137">
        <f t="shared" si="61"/>
        <v>123077.47999999998</v>
      </c>
      <c r="AG136" s="137">
        <f t="shared" si="62"/>
        <v>20512.91333333333</v>
      </c>
      <c r="AH136" s="212">
        <v>5000</v>
      </c>
      <c r="AI136" s="137">
        <v>5118.38</v>
      </c>
      <c r="AJ136" s="137">
        <f>AI136-AH136</f>
        <v>118.38000000000011</v>
      </c>
      <c r="AK136" s="237">
        <f t="shared" si="143"/>
        <v>2.367600000000003</v>
      </c>
      <c r="AL136" s="212">
        <f t="shared" si="122"/>
        <v>5000</v>
      </c>
      <c r="AM136" s="137">
        <v>17459.259999999998</v>
      </c>
      <c r="AN136" s="169">
        <f t="shared" si="127"/>
        <v>12459.259999999998</v>
      </c>
      <c r="AO136" s="252">
        <f t="shared" si="144"/>
        <v>249.18519999999998</v>
      </c>
      <c r="AP136" s="212">
        <f t="shared" si="123"/>
        <v>5000</v>
      </c>
      <c r="AQ136" s="176">
        <v>11238.45</v>
      </c>
      <c r="AR136" s="169">
        <f t="shared" si="128"/>
        <v>6238.4500000000007</v>
      </c>
      <c r="AS136" s="237">
        <f t="shared" si="145"/>
        <v>124.76899999999999</v>
      </c>
      <c r="AT136" s="212">
        <f t="shared" si="124"/>
        <v>5000</v>
      </c>
      <c r="AU136" s="176">
        <v>6007.61</v>
      </c>
      <c r="AV136" s="169">
        <f t="shared" si="129"/>
        <v>1007.6099999999997</v>
      </c>
      <c r="AW136" s="252">
        <f t="shared" si="146"/>
        <v>20.152199999999997</v>
      </c>
      <c r="AX136" s="212">
        <f t="shared" si="125"/>
        <v>5000</v>
      </c>
      <c r="AY136" s="176">
        <v>5566.95</v>
      </c>
      <c r="AZ136" s="169">
        <f t="shared" si="130"/>
        <v>566.94999999999982</v>
      </c>
      <c r="BA136" s="237">
        <f t="shared" si="147"/>
        <v>11.338999999999988</v>
      </c>
      <c r="BB136" s="212">
        <f t="shared" si="126"/>
        <v>5000</v>
      </c>
      <c r="BC136" s="176">
        <v>3852.46</v>
      </c>
      <c r="BD136" s="137">
        <f t="shared" si="148"/>
        <v>-1147.54</v>
      </c>
      <c r="BE136" s="237">
        <f t="shared" si="149"/>
        <v>-22.950800000000005</v>
      </c>
      <c r="BF136" s="212">
        <f t="shared" si="63"/>
        <v>153077.47999999998</v>
      </c>
      <c r="BG136" s="177">
        <f t="shared" si="121"/>
        <v>172320.59</v>
      </c>
      <c r="BH136" s="63">
        <f t="shared" si="131"/>
        <v>98082.319999999992</v>
      </c>
    </row>
    <row r="137" spans="2:62" s="11" customFormat="1" ht="31.5" x14ac:dyDescent="0.25">
      <c r="B137" s="170" t="s">
        <v>79</v>
      </c>
      <c r="C137" s="135">
        <v>251</v>
      </c>
      <c r="D137" s="332" t="s">
        <v>203</v>
      </c>
      <c r="E137" s="341"/>
      <c r="F137" s="725"/>
      <c r="G137" s="663">
        <v>10121.043333333333</v>
      </c>
      <c r="H137" s="212">
        <v>10120</v>
      </c>
      <c r="I137" s="137">
        <f>16488.53+21504.37</f>
        <v>37992.899999999994</v>
      </c>
      <c r="J137" s="138">
        <f t="shared" si="119"/>
        <v>27872.899999999994</v>
      </c>
      <c r="K137" s="371">
        <f t="shared" si="120"/>
        <v>275.42391304347819</v>
      </c>
      <c r="L137" s="136">
        <v>0</v>
      </c>
      <c r="M137" s="137">
        <f>33744.76-24949.62+0</f>
        <v>8795.1400000000031</v>
      </c>
      <c r="N137" s="137">
        <f t="shared" si="132"/>
        <v>8795.1400000000031</v>
      </c>
      <c r="O137" s="237">
        <v>0</v>
      </c>
      <c r="P137" s="136">
        <v>0</v>
      </c>
      <c r="Q137" s="137">
        <f>16836.89+9723.72</f>
        <v>26560.61</v>
      </c>
      <c r="R137" s="137">
        <f t="shared" si="134"/>
        <v>26560.61</v>
      </c>
      <c r="S137" s="252"/>
      <c r="T137" s="212">
        <v>0</v>
      </c>
      <c r="U137" s="137">
        <f>153083.87+19086.51+0</f>
        <v>172170.38</v>
      </c>
      <c r="V137" s="137">
        <f t="shared" si="136"/>
        <v>172170.38</v>
      </c>
      <c r="W137" s="237"/>
      <c r="X137" s="136">
        <v>0</v>
      </c>
      <c r="Y137" s="137">
        <f>137.61+81209.13+0</f>
        <v>81346.740000000005</v>
      </c>
      <c r="Z137" s="137">
        <f t="shared" si="138"/>
        <v>81346.740000000005</v>
      </c>
      <c r="AA137" s="240"/>
      <c r="AB137" s="212">
        <f>$H$137</f>
        <v>10120</v>
      </c>
      <c r="AC137" s="137">
        <f>0+18378.36+0</f>
        <v>18378.36</v>
      </c>
      <c r="AD137" s="137">
        <f t="shared" si="140"/>
        <v>8258.36</v>
      </c>
      <c r="AE137" s="252">
        <f t="shared" si="141"/>
        <v>81.604347826086965</v>
      </c>
      <c r="AF137" s="137">
        <f t="shared" si="61"/>
        <v>345244.13</v>
      </c>
      <c r="AG137" s="137">
        <f t="shared" si="62"/>
        <v>57540.688333333332</v>
      </c>
      <c r="AH137" s="212">
        <v>10120</v>
      </c>
      <c r="AI137" s="137">
        <f>20029.06+28511.67</f>
        <v>48540.729999999996</v>
      </c>
      <c r="AJ137" s="137">
        <f t="shared" si="142"/>
        <v>38420.729999999996</v>
      </c>
      <c r="AK137" s="237">
        <f t="shared" si="143"/>
        <v>379.65148221343867</v>
      </c>
      <c r="AL137" s="136">
        <f t="shared" si="122"/>
        <v>10120</v>
      </c>
      <c r="AM137" s="137">
        <f>-750.51+16194.48</f>
        <v>15443.97</v>
      </c>
      <c r="AN137" s="169">
        <f t="shared" si="127"/>
        <v>5323.9699999999993</v>
      </c>
      <c r="AO137" s="252">
        <f t="shared" si="144"/>
        <v>52.608399209486166</v>
      </c>
      <c r="AP137" s="254">
        <f t="shared" si="123"/>
        <v>10120</v>
      </c>
      <c r="AQ137" s="176">
        <f>0+98502.43+0</f>
        <v>98502.43</v>
      </c>
      <c r="AR137" s="169">
        <f t="shared" si="128"/>
        <v>88382.43</v>
      </c>
      <c r="AS137" s="237">
        <f t="shared" si="145"/>
        <v>873.34416996047435</v>
      </c>
      <c r="AT137" s="243">
        <f t="shared" si="124"/>
        <v>10120</v>
      </c>
      <c r="AU137" s="176">
        <f>0+25764.99+0</f>
        <v>25764.99</v>
      </c>
      <c r="AV137" s="169">
        <f t="shared" si="129"/>
        <v>15644.990000000002</v>
      </c>
      <c r="AW137" s="252">
        <f t="shared" si="146"/>
        <v>154.5947628458498</v>
      </c>
      <c r="AX137" s="254">
        <f t="shared" si="125"/>
        <v>10120</v>
      </c>
      <c r="AY137" s="176">
        <f>0+87172.31+0</f>
        <v>87172.31</v>
      </c>
      <c r="AZ137" s="169">
        <f t="shared" si="130"/>
        <v>77052.31</v>
      </c>
      <c r="BA137" s="237">
        <f t="shared" si="147"/>
        <v>761.38646245059294</v>
      </c>
      <c r="BB137" s="243">
        <f t="shared" si="126"/>
        <v>10120</v>
      </c>
      <c r="BC137" s="176">
        <f>42472.57+95541.97+0</f>
        <v>138014.54</v>
      </c>
      <c r="BD137" s="137">
        <f t="shared" si="148"/>
        <v>127894.54000000001</v>
      </c>
      <c r="BE137" s="237">
        <f t="shared" si="149"/>
        <v>1263.7800395256918</v>
      </c>
      <c r="BF137" s="243">
        <f t="shared" si="63"/>
        <v>405964.13</v>
      </c>
      <c r="BG137" s="177">
        <f t="shared" si="121"/>
        <v>758683.10000000009</v>
      </c>
      <c r="BH137" s="63">
        <f t="shared" si="131"/>
        <v>245519.03</v>
      </c>
    </row>
    <row r="138" spans="2:62" s="11" customFormat="1" x14ac:dyDescent="0.25">
      <c r="B138" s="170">
        <v>37763</v>
      </c>
      <c r="C138" s="135">
        <v>302</v>
      </c>
      <c r="D138" s="332" t="s">
        <v>80</v>
      </c>
      <c r="E138" s="341"/>
      <c r="F138" s="725"/>
      <c r="G138" s="663">
        <v>4000</v>
      </c>
      <c r="H138" s="212">
        <f>F138*G138+G138</f>
        <v>4000</v>
      </c>
      <c r="I138" s="137">
        <v>2791.37</v>
      </c>
      <c r="J138" s="138">
        <f t="shared" si="119"/>
        <v>-1208.6300000000001</v>
      </c>
      <c r="K138" s="371">
        <f t="shared" si="120"/>
        <v>-30.215750000000007</v>
      </c>
      <c r="L138" s="136">
        <f>$H$138</f>
        <v>4000</v>
      </c>
      <c r="M138" s="137">
        <v>3407</v>
      </c>
      <c r="N138" s="137">
        <f t="shared" si="132"/>
        <v>-593</v>
      </c>
      <c r="O138" s="237">
        <f t="shared" si="133"/>
        <v>-14.824999999999999</v>
      </c>
      <c r="P138" s="136">
        <f>$H$138</f>
        <v>4000</v>
      </c>
      <c r="Q138" s="137">
        <v>37564.68</v>
      </c>
      <c r="R138" s="137">
        <f t="shared" si="134"/>
        <v>33564.68</v>
      </c>
      <c r="S138" s="252">
        <f t="shared" si="135"/>
        <v>839.11700000000008</v>
      </c>
      <c r="T138" s="219">
        <f>$H$138</f>
        <v>4000</v>
      </c>
      <c r="U138" s="131">
        <v>59152.160000000003</v>
      </c>
      <c r="V138" s="137">
        <f t="shared" si="136"/>
        <v>55152.160000000003</v>
      </c>
      <c r="W138" s="237">
        <f t="shared" si="137"/>
        <v>1378.8040000000001</v>
      </c>
      <c r="X138" s="129">
        <f>$H$138</f>
        <v>4000</v>
      </c>
      <c r="Y138" s="131">
        <v>59183.38</v>
      </c>
      <c r="Z138" s="137">
        <f t="shared" si="138"/>
        <v>55183.38</v>
      </c>
      <c r="AA138" s="240">
        <f t="shared" si="139"/>
        <v>1379.5844999999999</v>
      </c>
      <c r="AB138" s="212">
        <f>$H$138</f>
        <v>4000</v>
      </c>
      <c r="AC138" s="137">
        <v>34723.82</v>
      </c>
      <c r="AD138" s="137">
        <f t="shared" si="140"/>
        <v>30723.82</v>
      </c>
      <c r="AE138" s="252">
        <f t="shared" si="141"/>
        <v>768.0954999999999</v>
      </c>
      <c r="AF138" s="137">
        <f t="shared" si="61"/>
        <v>196822.41</v>
      </c>
      <c r="AG138" s="137">
        <f t="shared" si="62"/>
        <v>32803.735000000001</v>
      </c>
      <c r="AH138" s="212">
        <v>22000</v>
      </c>
      <c r="AI138" s="137">
        <v>29319.54</v>
      </c>
      <c r="AJ138" s="137">
        <f t="shared" si="142"/>
        <v>7319.5400000000009</v>
      </c>
      <c r="AK138" s="237">
        <f t="shared" si="143"/>
        <v>33.270636363636363</v>
      </c>
      <c r="AL138" s="136">
        <f t="shared" si="122"/>
        <v>22000</v>
      </c>
      <c r="AM138" s="137">
        <v>18554.650000000001</v>
      </c>
      <c r="AN138" s="169">
        <f t="shared" si="127"/>
        <v>-3445.3499999999985</v>
      </c>
      <c r="AO138" s="252">
        <f t="shared" si="144"/>
        <v>-15.660681818181811</v>
      </c>
      <c r="AP138" s="254">
        <f t="shared" si="123"/>
        <v>22000</v>
      </c>
      <c r="AQ138" s="176">
        <v>20297.63</v>
      </c>
      <c r="AR138" s="169">
        <f t="shared" si="128"/>
        <v>-1702.369999999999</v>
      </c>
      <c r="AS138" s="237">
        <f t="shared" si="145"/>
        <v>-7.7380454545454498</v>
      </c>
      <c r="AT138" s="243">
        <f t="shared" si="124"/>
        <v>22000</v>
      </c>
      <c r="AU138" s="176">
        <v>19574.599999999999</v>
      </c>
      <c r="AV138" s="169">
        <f t="shared" si="129"/>
        <v>-2425.4000000000015</v>
      </c>
      <c r="AW138" s="252">
        <f t="shared" si="146"/>
        <v>-11.024545454545464</v>
      </c>
      <c r="AX138" s="254">
        <f t="shared" si="125"/>
        <v>22000</v>
      </c>
      <c r="AY138" s="176">
        <v>21621.1</v>
      </c>
      <c r="AZ138" s="169">
        <f t="shared" si="130"/>
        <v>-378.90000000000146</v>
      </c>
      <c r="BA138" s="237">
        <f t="shared" si="147"/>
        <v>-1.7222727272727334</v>
      </c>
      <c r="BB138" s="243">
        <f t="shared" si="126"/>
        <v>22000</v>
      </c>
      <c r="BC138" s="176">
        <v>21282.880000000001</v>
      </c>
      <c r="BD138" s="137">
        <f t="shared" si="148"/>
        <v>-717.11999999999898</v>
      </c>
      <c r="BE138" s="237">
        <f t="shared" si="149"/>
        <v>-3.2596363636363646</v>
      </c>
      <c r="BF138" s="243">
        <f t="shared" si="63"/>
        <v>328822.41000000003</v>
      </c>
      <c r="BG138" s="177">
        <f t="shared" si="121"/>
        <v>327472.80999999994</v>
      </c>
      <c r="BH138" s="63">
        <f t="shared" si="131"/>
        <v>102915.21</v>
      </c>
    </row>
    <row r="139" spans="2:62" s="11" customFormat="1" x14ac:dyDescent="0.25">
      <c r="B139" s="170">
        <v>37259</v>
      </c>
      <c r="C139" s="135">
        <v>301</v>
      </c>
      <c r="D139" s="332" t="s">
        <v>204</v>
      </c>
      <c r="E139" s="341"/>
      <c r="F139" s="725"/>
      <c r="G139" s="663">
        <v>3296.5916666666667</v>
      </c>
      <c r="H139" s="212">
        <v>3300</v>
      </c>
      <c r="I139" s="137">
        <v>2780</v>
      </c>
      <c r="J139" s="138">
        <f t="shared" si="119"/>
        <v>-520</v>
      </c>
      <c r="K139" s="371">
        <f t="shared" si="120"/>
        <v>-15.75757575757576</v>
      </c>
      <c r="L139" s="136">
        <f>$H$139</f>
        <v>3300</v>
      </c>
      <c r="M139" s="137">
        <v>2368</v>
      </c>
      <c r="N139" s="137">
        <f t="shared" si="132"/>
        <v>-932</v>
      </c>
      <c r="O139" s="237">
        <f t="shared" si="133"/>
        <v>-28.242424242424246</v>
      </c>
      <c r="P139" s="136">
        <f>$H$139</f>
        <v>3300</v>
      </c>
      <c r="Q139" s="137">
        <v>1524</v>
      </c>
      <c r="R139" s="137">
        <f t="shared" si="134"/>
        <v>-1776</v>
      </c>
      <c r="S139" s="252">
        <f t="shared" si="135"/>
        <v>-53.81818181818182</v>
      </c>
      <c r="T139" s="211">
        <f>$H$139</f>
        <v>3300</v>
      </c>
      <c r="U139" s="125">
        <v>5753</v>
      </c>
      <c r="V139" s="137">
        <f t="shared" si="136"/>
        <v>2453</v>
      </c>
      <c r="W139" s="237">
        <f t="shared" si="137"/>
        <v>74.333333333333343</v>
      </c>
      <c r="X139" s="121">
        <f>$H$139</f>
        <v>3300</v>
      </c>
      <c r="Y139" s="125">
        <v>8647</v>
      </c>
      <c r="Z139" s="137">
        <f t="shared" si="138"/>
        <v>5347</v>
      </c>
      <c r="AA139" s="240">
        <f t="shared" si="139"/>
        <v>162.030303030303</v>
      </c>
      <c r="AB139" s="212">
        <f>$H$139</f>
        <v>3300</v>
      </c>
      <c r="AC139" s="137">
        <v>2368</v>
      </c>
      <c r="AD139" s="137">
        <f t="shared" si="140"/>
        <v>-932</v>
      </c>
      <c r="AE139" s="252">
        <f t="shared" si="141"/>
        <v>-28.242424242424246</v>
      </c>
      <c r="AF139" s="137">
        <f t="shared" ref="AF139:AF196" si="150">SUM(I139+M139+Q139+U139+Y139+AC139)</f>
        <v>23440</v>
      </c>
      <c r="AG139" s="137">
        <f t="shared" ref="AG139:AG196" si="151">AF139/6</f>
        <v>3906.6666666666665</v>
      </c>
      <c r="AH139" s="212">
        <v>4000</v>
      </c>
      <c r="AI139" s="137">
        <v>6285</v>
      </c>
      <c r="AJ139" s="137">
        <f t="shared" si="142"/>
        <v>2285</v>
      </c>
      <c r="AK139" s="237">
        <f t="shared" si="143"/>
        <v>57.125</v>
      </c>
      <c r="AL139" s="136">
        <f t="shared" si="122"/>
        <v>4000</v>
      </c>
      <c r="AM139" s="137">
        <v>3987</v>
      </c>
      <c r="AN139" s="169">
        <f t="shared" si="127"/>
        <v>-13</v>
      </c>
      <c r="AO139" s="252">
        <f t="shared" si="144"/>
        <v>-0.32499999999999751</v>
      </c>
      <c r="AP139" s="254">
        <f t="shared" si="123"/>
        <v>4000</v>
      </c>
      <c r="AQ139" s="176">
        <v>2368</v>
      </c>
      <c r="AR139" s="169">
        <f t="shared" si="128"/>
        <v>-1632</v>
      </c>
      <c r="AS139" s="237">
        <f t="shared" si="145"/>
        <v>-40.800000000000004</v>
      </c>
      <c r="AT139" s="243">
        <f t="shared" si="124"/>
        <v>4000</v>
      </c>
      <c r="AU139" s="176">
        <v>6796</v>
      </c>
      <c r="AV139" s="169">
        <f t="shared" si="129"/>
        <v>2796</v>
      </c>
      <c r="AW139" s="252">
        <f t="shared" si="146"/>
        <v>69.900000000000006</v>
      </c>
      <c r="AX139" s="254">
        <f t="shared" si="125"/>
        <v>4000</v>
      </c>
      <c r="AY139" s="176">
        <v>3987</v>
      </c>
      <c r="AZ139" s="169">
        <f t="shared" si="130"/>
        <v>-13</v>
      </c>
      <c r="BA139" s="237">
        <f t="shared" si="147"/>
        <v>-0.32499999999999751</v>
      </c>
      <c r="BB139" s="243">
        <f t="shared" si="126"/>
        <v>4000</v>
      </c>
      <c r="BC139" s="176">
        <v>3519</v>
      </c>
      <c r="BD139" s="137">
        <f t="shared" si="148"/>
        <v>-481</v>
      </c>
      <c r="BE139" s="237">
        <f t="shared" si="149"/>
        <v>-12.024999999999997</v>
      </c>
      <c r="BF139" s="243">
        <f t="shared" ref="BF139:BF194" si="152">AF139+AH139+AL139+AP139+AT139+AX139+BB139</f>
        <v>47440</v>
      </c>
      <c r="BG139" s="177">
        <f t="shared" si="121"/>
        <v>50382</v>
      </c>
      <c r="BH139" s="63">
        <f t="shared" si="131"/>
        <v>12425</v>
      </c>
    </row>
    <row r="140" spans="2:62" s="11" customFormat="1" ht="16.5" thickBot="1" x14ac:dyDescent="0.3">
      <c r="B140" s="178">
        <v>12865</v>
      </c>
      <c r="C140" s="179">
        <v>293</v>
      </c>
      <c r="D140" s="385" t="s">
        <v>205</v>
      </c>
      <c r="E140" s="386"/>
      <c r="F140" s="728"/>
      <c r="G140" s="729">
        <v>3145.7900000000004</v>
      </c>
      <c r="H140" s="214">
        <v>3150</v>
      </c>
      <c r="I140" s="182">
        <v>3769.79</v>
      </c>
      <c r="J140" s="250">
        <f t="shared" si="119"/>
        <v>619.79</v>
      </c>
      <c r="K140" s="578">
        <f t="shared" si="120"/>
        <v>19.675873015873012</v>
      </c>
      <c r="L140" s="181">
        <f>$H$140</f>
        <v>3150</v>
      </c>
      <c r="M140" s="182">
        <v>3049.79</v>
      </c>
      <c r="N140" s="182">
        <f t="shared" si="132"/>
        <v>-100.21000000000004</v>
      </c>
      <c r="O140" s="248">
        <f t="shared" si="133"/>
        <v>-3.1812698412698404</v>
      </c>
      <c r="P140" s="181">
        <f>$H$140</f>
        <v>3150</v>
      </c>
      <c r="Q140" s="182">
        <v>3328.29</v>
      </c>
      <c r="R140" s="182">
        <f t="shared" si="134"/>
        <v>178.28999999999996</v>
      </c>
      <c r="S140" s="253">
        <f t="shared" si="135"/>
        <v>5.6599999999999984</v>
      </c>
      <c r="T140" s="247">
        <f>$H$140</f>
        <v>3150</v>
      </c>
      <c r="U140" s="182">
        <v>3328.29</v>
      </c>
      <c r="V140" s="182">
        <f t="shared" si="136"/>
        <v>178.28999999999996</v>
      </c>
      <c r="W140" s="248">
        <f t="shared" si="137"/>
        <v>5.6599999999999984</v>
      </c>
      <c r="X140" s="181">
        <f>$H$140</f>
        <v>3150</v>
      </c>
      <c r="Y140" s="182">
        <v>3328.29</v>
      </c>
      <c r="Z140" s="182">
        <f t="shared" si="138"/>
        <v>178.28999999999996</v>
      </c>
      <c r="AA140" s="239">
        <f t="shared" si="139"/>
        <v>5.6599999999999984</v>
      </c>
      <c r="AB140" s="247">
        <f>$H$140</f>
        <v>3150</v>
      </c>
      <c r="AC140" s="182">
        <v>3328.29</v>
      </c>
      <c r="AD140" s="182">
        <f t="shared" si="140"/>
        <v>178.28999999999996</v>
      </c>
      <c r="AE140" s="253">
        <f t="shared" si="141"/>
        <v>5.6599999999999984</v>
      </c>
      <c r="AF140" s="182">
        <f t="shared" si="150"/>
        <v>20132.740000000002</v>
      </c>
      <c r="AG140" s="182">
        <f t="shared" si="151"/>
        <v>3355.4566666666669</v>
      </c>
      <c r="AH140" s="247">
        <v>3400</v>
      </c>
      <c r="AI140" s="182">
        <v>3328.29</v>
      </c>
      <c r="AJ140" s="182">
        <f t="shared" si="142"/>
        <v>-71.710000000000036</v>
      </c>
      <c r="AK140" s="248">
        <f t="shared" si="143"/>
        <v>-2.1091176470588224</v>
      </c>
      <c r="AL140" s="181">
        <f t="shared" si="122"/>
        <v>3400</v>
      </c>
      <c r="AM140" s="182">
        <v>3328.29</v>
      </c>
      <c r="AN140" s="182">
        <f t="shared" si="127"/>
        <v>-71.710000000000036</v>
      </c>
      <c r="AO140" s="253">
        <f t="shared" si="144"/>
        <v>-2.1091176470588224</v>
      </c>
      <c r="AP140" s="255">
        <f t="shared" si="123"/>
        <v>3400</v>
      </c>
      <c r="AQ140" s="183">
        <v>3328.29</v>
      </c>
      <c r="AR140" s="182">
        <f t="shared" si="128"/>
        <v>-71.710000000000036</v>
      </c>
      <c r="AS140" s="248">
        <f t="shared" si="145"/>
        <v>-2.1091176470588224</v>
      </c>
      <c r="AT140" s="545">
        <f t="shared" si="124"/>
        <v>3400</v>
      </c>
      <c r="AU140" s="183">
        <v>3328.29</v>
      </c>
      <c r="AV140" s="182">
        <f t="shared" si="129"/>
        <v>-71.710000000000036</v>
      </c>
      <c r="AW140" s="253">
        <f t="shared" si="146"/>
        <v>-2.1091176470588224</v>
      </c>
      <c r="AX140" s="255">
        <f t="shared" si="125"/>
        <v>3400</v>
      </c>
      <c r="AY140" s="183">
        <v>3328.29</v>
      </c>
      <c r="AZ140" s="182">
        <f t="shared" si="130"/>
        <v>-71.710000000000036</v>
      </c>
      <c r="BA140" s="248">
        <f t="shared" si="147"/>
        <v>-2.1091176470588224</v>
      </c>
      <c r="BB140" s="545">
        <f t="shared" si="126"/>
        <v>3400</v>
      </c>
      <c r="BC140" s="183">
        <v>3808.29</v>
      </c>
      <c r="BD140" s="183">
        <f t="shared" si="148"/>
        <v>408.28999999999996</v>
      </c>
      <c r="BE140" s="248">
        <f t="shared" si="149"/>
        <v>12.008529411764712</v>
      </c>
      <c r="BF140" s="545">
        <f t="shared" si="152"/>
        <v>40532.740000000005</v>
      </c>
      <c r="BG140" s="184">
        <f t="shared" si="121"/>
        <v>40582.480000000003</v>
      </c>
      <c r="BH140" s="63">
        <f t="shared" si="131"/>
        <v>13476.16</v>
      </c>
    </row>
    <row r="141" spans="2:62" s="11" customFormat="1" ht="16.5" thickBot="1" x14ac:dyDescent="0.3">
      <c r="B141" s="161"/>
      <c r="E141" s="346"/>
      <c r="F141" s="347"/>
      <c r="G141" s="333"/>
      <c r="H141" s="334"/>
      <c r="I141" s="334"/>
      <c r="J141" s="118"/>
      <c r="K141" s="12"/>
      <c r="L141" s="119"/>
      <c r="M141" s="119"/>
      <c r="N141" s="118"/>
      <c r="O141" s="119"/>
      <c r="P141" s="119"/>
      <c r="Q141" s="119"/>
      <c r="R141" s="118"/>
      <c r="S141" s="119"/>
      <c r="T141" s="119"/>
      <c r="U141" s="119"/>
      <c r="V141" s="118"/>
      <c r="W141" s="119"/>
      <c r="X141" s="119"/>
      <c r="Y141" s="119"/>
      <c r="Z141" s="118"/>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63"/>
    </row>
    <row r="142" spans="2:62" s="11" customFormat="1" ht="16.5" thickBot="1" x14ac:dyDescent="0.3">
      <c r="B142" s="165"/>
      <c r="C142" s="41"/>
      <c r="D142" s="49" t="s">
        <v>171</v>
      </c>
      <c r="E142" s="50"/>
      <c r="F142" s="50"/>
      <c r="G142" s="818">
        <f>SUM(G143:G160)</f>
        <v>516051.84333333332</v>
      </c>
      <c r="H142" s="718">
        <f>SUM(H143:H160)</f>
        <v>516100</v>
      </c>
      <c r="I142" s="719">
        <f>SUM(I143:I160)</f>
        <v>628856.47000000009</v>
      </c>
      <c r="J142" s="720">
        <f t="shared" ref="J142:J160" si="153">I142-H142</f>
        <v>112756.47000000009</v>
      </c>
      <c r="K142" s="241">
        <f t="shared" ref="K142:K160" si="154">((I142/H142)-1)*100</f>
        <v>21.84779500096883</v>
      </c>
      <c r="L142" s="721">
        <f>SUM(L143:L160)</f>
        <v>516100</v>
      </c>
      <c r="M142" s="719">
        <f>SUM(M143:M160)</f>
        <v>538601.23</v>
      </c>
      <c r="N142" s="719">
        <f>M142-L142</f>
        <v>22501.229999999981</v>
      </c>
      <c r="O142" s="730">
        <f>((M142/L142)-1)*100</f>
        <v>4.359858554543683</v>
      </c>
      <c r="P142" s="718">
        <f>SUM(P143:P160)</f>
        <v>516100</v>
      </c>
      <c r="Q142" s="719">
        <f>SUM(Q143:Q160)</f>
        <v>604491.45000000007</v>
      </c>
      <c r="R142" s="719">
        <f>Q142-P142</f>
        <v>88391.45000000007</v>
      </c>
      <c r="S142" s="234">
        <f>((Q142/P142)-1)*100</f>
        <v>17.126806820383656</v>
      </c>
      <c r="T142" s="718">
        <f>SUM(T143:T160)</f>
        <v>516100</v>
      </c>
      <c r="U142" s="719">
        <f>SUM(U143:U160)</f>
        <v>687739.22000000009</v>
      </c>
      <c r="V142" s="719">
        <f>U142-T142</f>
        <v>171639.22000000009</v>
      </c>
      <c r="W142" s="234">
        <f>((U142/T142)-1)*100</f>
        <v>33.256969579538875</v>
      </c>
      <c r="X142" s="721">
        <f>SUM(X143:X160)</f>
        <v>516100</v>
      </c>
      <c r="Y142" s="719">
        <f>SUM(Y143:Y160)</f>
        <v>737234.77999999991</v>
      </c>
      <c r="Z142" s="719">
        <f>Y142-X142</f>
        <v>221134.77999999991</v>
      </c>
      <c r="AA142" s="731">
        <f>((Y142/X142)-1)*100</f>
        <v>42.847273784150339</v>
      </c>
      <c r="AB142" s="718">
        <f>SUM(AB143:AB160)</f>
        <v>516100</v>
      </c>
      <c r="AC142" s="719">
        <f>SUM(AC143:AC160)</f>
        <v>519584.61</v>
      </c>
      <c r="AD142" s="719">
        <f>AC142-AB142</f>
        <v>3484.609999999986</v>
      </c>
      <c r="AE142" s="234">
        <f>((AC142/AB142)-1)*100</f>
        <v>0.67518116644060822</v>
      </c>
      <c r="AF142" s="718">
        <f t="shared" si="150"/>
        <v>3716507.7600000002</v>
      </c>
      <c r="AG142" s="718">
        <f t="shared" si="151"/>
        <v>619417.96000000008</v>
      </c>
      <c r="AH142" s="721">
        <f>SUM(AH143:AH160)</f>
        <v>786253</v>
      </c>
      <c r="AI142" s="719">
        <f>SUM(AI143:AI160)</f>
        <v>685524.15</v>
      </c>
      <c r="AJ142" s="719">
        <f>AI142-AH142</f>
        <v>-100728.84999999998</v>
      </c>
      <c r="AK142" s="730">
        <f>((AI142/AH142)-1)*100</f>
        <v>-12.811251594588501</v>
      </c>
      <c r="AL142" s="718">
        <f>SUM(AL143:AL160)</f>
        <v>621003</v>
      </c>
      <c r="AM142" s="719">
        <f>SUM(AM143:AM160)</f>
        <v>656880.58000000007</v>
      </c>
      <c r="AN142" s="719">
        <f>AM142-AL142</f>
        <v>35877.580000000075</v>
      </c>
      <c r="AO142" s="234">
        <f>((AM142/AL142)-1)*100</f>
        <v>5.7773601737833857</v>
      </c>
      <c r="AP142" s="723">
        <f>SUM(AP143:AP160)</f>
        <v>649736</v>
      </c>
      <c r="AQ142" s="117">
        <f>SUM(AQ143:AQ160)</f>
        <v>541275.00000000012</v>
      </c>
      <c r="AR142" s="719">
        <f>AQ142-AP142</f>
        <v>-108460.99999999988</v>
      </c>
      <c r="AS142" s="730">
        <f>((AQ142/AP142)-1)*100</f>
        <v>-16.693087654062555</v>
      </c>
      <c r="AT142" s="732">
        <f>SUM(AT143:AT160)</f>
        <v>649736</v>
      </c>
      <c r="AU142" s="117">
        <f>SUM(AU143:AU160)</f>
        <v>649713.18000000005</v>
      </c>
      <c r="AV142" s="719">
        <f>AU142-AT142</f>
        <v>-22.819999999948777</v>
      </c>
      <c r="AW142" s="234">
        <f>((AU142/AT142)-1)*100</f>
        <v>-3.5121957225658917E-3</v>
      </c>
      <c r="AX142" s="723">
        <f>SUM(AX143:AX160)</f>
        <v>649736</v>
      </c>
      <c r="AY142" s="117">
        <f>SUM(AY143:AY160)</f>
        <v>606103.38</v>
      </c>
      <c r="AZ142" s="719">
        <f>AY142-AX142</f>
        <v>-43632.619999999995</v>
      </c>
      <c r="BA142" s="730">
        <f>((AY142/AX142)-1)*100</f>
        <v>-6.7154382703128679</v>
      </c>
      <c r="BB142" s="732">
        <f>SUM(BB143:BB160)</f>
        <v>649736</v>
      </c>
      <c r="BC142" s="117">
        <f>SUM(BC143:BC160)</f>
        <v>556654.81999999995</v>
      </c>
      <c r="BD142" s="719">
        <f>BC142-BB142</f>
        <v>-93081.180000000051</v>
      </c>
      <c r="BE142" s="234">
        <f>((BC142/BB142)-1)*100</f>
        <v>-14.326000098501556</v>
      </c>
      <c r="BF142" s="732">
        <f t="shared" si="152"/>
        <v>7722707.7599999998</v>
      </c>
      <c r="BG142" s="724">
        <f t="shared" ref="BG142:BG160" si="155">SUM(I142+M142+Q142+U142+Y142+AC142+AI142+AM142+AQ142+AU142+AY142+BC142)</f>
        <v>7412658.8700000001</v>
      </c>
      <c r="BH142" s="63"/>
      <c r="BJ142" s="132"/>
    </row>
    <row r="143" spans="2:62" s="11" customFormat="1" x14ac:dyDescent="0.25">
      <c r="B143" s="167">
        <v>12330</v>
      </c>
      <c r="C143" s="168">
        <v>206</v>
      </c>
      <c r="D143" s="331" t="s">
        <v>81</v>
      </c>
      <c r="E143" s="341"/>
      <c r="F143" s="725"/>
      <c r="G143" s="736">
        <v>52853.121666666666</v>
      </c>
      <c r="H143" s="546">
        <v>52850</v>
      </c>
      <c r="I143" s="190">
        <v>62067.42</v>
      </c>
      <c r="J143" s="213">
        <f t="shared" si="153"/>
        <v>9217.4199999999983</v>
      </c>
      <c r="K143" s="375">
        <f t="shared" si="154"/>
        <v>17.440719016083261</v>
      </c>
      <c r="L143" s="543">
        <f>$H$143</f>
        <v>52850</v>
      </c>
      <c r="M143" s="190">
        <v>25379.43</v>
      </c>
      <c r="N143" s="190">
        <f>M143-L143</f>
        <v>-27470.57</v>
      </c>
      <c r="O143" s="249">
        <f>((M143/L143)-1)*100</f>
        <v>-51.978372753074744</v>
      </c>
      <c r="P143" s="543">
        <f>$H$143</f>
        <v>52850</v>
      </c>
      <c r="Q143" s="190">
        <v>28640.41</v>
      </c>
      <c r="R143" s="190">
        <f>Q143-P143</f>
        <v>-24209.59</v>
      </c>
      <c r="S143" s="249">
        <f>((Q143/P143)-1)*100</f>
        <v>-45.808117313150419</v>
      </c>
      <c r="T143" s="543">
        <f>$H$143</f>
        <v>52850</v>
      </c>
      <c r="U143" s="190">
        <v>58620.28</v>
      </c>
      <c r="V143" s="190">
        <f>U143-T143</f>
        <v>5770.2799999999988</v>
      </c>
      <c r="W143" s="249">
        <f>((U143/T143)-1)*100</f>
        <v>10.918221381267745</v>
      </c>
      <c r="X143" s="543">
        <f>$H$143</f>
        <v>52850</v>
      </c>
      <c r="Y143" s="190">
        <v>88352.21</v>
      </c>
      <c r="Z143" s="190">
        <f>Y143-X143</f>
        <v>35502.210000000006</v>
      </c>
      <c r="AA143" s="249">
        <f>((Y143/X143)-1)*100</f>
        <v>67.175421002838249</v>
      </c>
      <c r="AB143" s="543">
        <f>$H$143</f>
        <v>52850</v>
      </c>
      <c r="AC143" s="190">
        <v>38807.61</v>
      </c>
      <c r="AD143" s="190">
        <f>AC143-AB143</f>
        <v>-14042.39</v>
      </c>
      <c r="AE143" s="249">
        <f>((AC143/AB143)-1)*100</f>
        <v>-26.570274361400191</v>
      </c>
      <c r="AF143" s="543">
        <f t="shared" si="150"/>
        <v>301867.36</v>
      </c>
      <c r="AG143" s="543">
        <f t="shared" si="151"/>
        <v>50311.226666666662</v>
      </c>
      <c r="AH143" s="543">
        <v>50310</v>
      </c>
      <c r="AI143" s="190">
        <v>77406</v>
      </c>
      <c r="AJ143" s="190">
        <f>AI143-AH143</f>
        <v>27096</v>
      </c>
      <c r="AK143" s="249">
        <f>((AI143/AH143)-1)*100</f>
        <v>53.858079904591527</v>
      </c>
      <c r="AL143" s="543">
        <f t="shared" ref="AL143:AL151" si="156">AH143</f>
        <v>50310</v>
      </c>
      <c r="AM143" s="190">
        <v>63311.93</v>
      </c>
      <c r="AN143" s="169">
        <f t="shared" ref="AN143:AN160" si="157">AM143-AL143</f>
        <v>13001.93</v>
      </c>
      <c r="AO143" s="249">
        <f>((AM143/AL143)-1)*100</f>
        <v>25.84362949711787</v>
      </c>
      <c r="AP143" s="543">
        <f t="shared" ref="AP143:AP160" si="158">AL143</f>
        <v>50310</v>
      </c>
      <c r="AQ143" s="192">
        <v>54912.46</v>
      </c>
      <c r="AR143" s="169">
        <f t="shared" ref="AR143:AR160" si="159">AQ143-AP143</f>
        <v>4602.4599999999991</v>
      </c>
      <c r="AS143" s="249">
        <f>((AQ143/AP143)-1)*100</f>
        <v>9.1482011528523088</v>
      </c>
      <c r="AT143" s="543">
        <f t="shared" ref="AT143:AT160" si="160">AP143</f>
        <v>50310</v>
      </c>
      <c r="AU143" s="192">
        <v>90992.2</v>
      </c>
      <c r="AV143" s="169">
        <f t="shared" ref="AV143:AV160" si="161">AU143-AT143</f>
        <v>40682.199999999997</v>
      </c>
      <c r="AW143" s="249">
        <f>((AU143/AT143)-1)*100</f>
        <v>80.863049095607224</v>
      </c>
      <c r="AX143" s="543">
        <f t="shared" ref="AX143:AX160" si="162">AT143</f>
        <v>50310</v>
      </c>
      <c r="AY143" s="192">
        <v>53987.63</v>
      </c>
      <c r="AZ143" s="169">
        <f t="shared" ref="AZ143:AZ160" si="163">AY143-AX143</f>
        <v>3677.6299999999974</v>
      </c>
      <c r="BA143" s="249">
        <f>((AY143/AX143)-1)*100</f>
        <v>7.3099383820314001</v>
      </c>
      <c r="BB143" s="543">
        <f t="shared" ref="BB143:BB160" si="164">AX143</f>
        <v>50310</v>
      </c>
      <c r="BC143" s="192">
        <v>57592.14</v>
      </c>
      <c r="BD143" s="190">
        <f>BC143-BB143</f>
        <v>7282.1399999999994</v>
      </c>
      <c r="BE143" s="249">
        <f>((BC143/BB143)-1)*100</f>
        <v>14.474537865235536</v>
      </c>
      <c r="BF143" s="543">
        <f t="shared" si="152"/>
        <v>603727.35999999999</v>
      </c>
      <c r="BG143" s="193">
        <f t="shared" si="155"/>
        <v>700069.72</v>
      </c>
      <c r="BH143" s="63"/>
      <c r="BI143" s="333"/>
    </row>
    <row r="144" spans="2:62" s="11" customFormat="1" x14ac:dyDescent="0.25">
      <c r="B144" s="170">
        <v>12893</v>
      </c>
      <c r="C144" s="135">
        <v>205</v>
      </c>
      <c r="D144" s="332" t="s">
        <v>206</v>
      </c>
      <c r="E144" s="341"/>
      <c r="F144" s="725"/>
      <c r="G144" s="619">
        <v>2948.31</v>
      </c>
      <c r="H144" s="260">
        <v>2950</v>
      </c>
      <c r="I144" s="737">
        <v>1195.07</v>
      </c>
      <c r="J144" s="138">
        <f t="shared" si="153"/>
        <v>-1754.93</v>
      </c>
      <c r="K144" s="371">
        <f t="shared" si="154"/>
        <v>-59.489152542372878</v>
      </c>
      <c r="L144" s="136">
        <f>$H$144</f>
        <v>2950</v>
      </c>
      <c r="M144" s="137">
        <v>314.5</v>
      </c>
      <c r="N144" s="137">
        <f>M144-L144</f>
        <v>-2635.5</v>
      </c>
      <c r="O144" s="237">
        <f t="shared" ref="O144:O160" si="165">((M144/L144)-1)*100</f>
        <v>-89.33898305084746</v>
      </c>
      <c r="P144" s="136">
        <f>$H$144</f>
        <v>2950</v>
      </c>
      <c r="Q144" s="137">
        <v>13654.87</v>
      </c>
      <c r="R144" s="137">
        <f>Q144-P144</f>
        <v>10704.87</v>
      </c>
      <c r="S144" s="237">
        <f t="shared" ref="S144:S160" si="166">((Q144/P144)-1)*100</f>
        <v>362.87694915254241</v>
      </c>
      <c r="T144" s="136">
        <f>$H$144</f>
        <v>2950</v>
      </c>
      <c r="U144" s="137">
        <v>8260.5300000000007</v>
      </c>
      <c r="V144" s="137">
        <f>U144-T144</f>
        <v>5310.5300000000007</v>
      </c>
      <c r="W144" s="237">
        <f t="shared" ref="W144:W160" si="167">((U144/T144)-1)*100</f>
        <v>180.01796610169495</v>
      </c>
      <c r="X144" s="136">
        <f>$H$144</f>
        <v>2950</v>
      </c>
      <c r="Y144" s="137">
        <v>6606.7</v>
      </c>
      <c r="Z144" s="137">
        <f>Y144-X144</f>
        <v>3656.7</v>
      </c>
      <c r="AA144" s="237">
        <f t="shared" ref="AA144:AA160" si="168">((Y144/X144)-1)*100</f>
        <v>123.95593220338981</v>
      </c>
      <c r="AB144" s="136">
        <f>$H$144</f>
        <v>2950</v>
      </c>
      <c r="AC144" s="137">
        <v>2699.25</v>
      </c>
      <c r="AD144" s="137">
        <f>AC144-AB144</f>
        <v>-250.75</v>
      </c>
      <c r="AE144" s="237">
        <f t="shared" ref="AE144:AE160" si="169">((AC144/AB144)-1)*100</f>
        <v>-8.4999999999999964</v>
      </c>
      <c r="AF144" s="136">
        <f t="shared" si="150"/>
        <v>32730.920000000002</v>
      </c>
      <c r="AG144" s="136">
        <f t="shared" si="151"/>
        <v>5455.1533333333336</v>
      </c>
      <c r="AH144" s="136">
        <v>5500</v>
      </c>
      <c r="AI144" s="137">
        <v>6423.72</v>
      </c>
      <c r="AJ144" s="137">
        <f>AI144-AH144</f>
        <v>923.72000000000025</v>
      </c>
      <c r="AK144" s="237">
        <f t="shared" ref="AK144:AK160" si="170">((AI144/AH144)-1)*100</f>
        <v>16.794909090909105</v>
      </c>
      <c r="AL144" s="136">
        <f t="shared" si="156"/>
        <v>5500</v>
      </c>
      <c r="AM144" s="137">
        <v>5466.42</v>
      </c>
      <c r="AN144" s="169">
        <f t="shared" si="157"/>
        <v>-33.579999999999927</v>
      </c>
      <c r="AO144" s="237">
        <f t="shared" ref="AO144:AO160" si="171">((AM144/AL144)-1)*100</f>
        <v>-0.6105454545454525</v>
      </c>
      <c r="AP144" s="136">
        <f t="shared" si="158"/>
        <v>5500</v>
      </c>
      <c r="AQ144" s="176">
        <v>1703.04</v>
      </c>
      <c r="AR144" s="169">
        <f t="shared" si="159"/>
        <v>-3796.96</v>
      </c>
      <c r="AS144" s="237">
        <f t="shared" ref="AS144:AS160" si="172">((AQ144/AP144)-1)*100</f>
        <v>-69.035636363636371</v>
      </c>
      <c r="AT144" s="136">
        <f t="shared" si="160"/>
        <v>5500</v>
      </c>
      <c r="AU144" s="176">
        <v>24945.09</v>
      </c>
      <c r="AV144" s="169">
        <f t="shared" si="161"/>
        <v>19445.09</v>
      </c>
      <c r="AW144" s="237">
        <f t="shared" ref="AW144:AW160" si="173">((AU144/AT144)-1)*100</f>
        <v>353.54709090909091</v>
      </c>
      <c r="AX144" s="136">
        <f t="shared" si="162"/>
        <v>5500</v>
      </c>
      <c r="AY144" s="176">
        <v>7741.02</v>
      </c>
      <c r="AZ144" s="169">
        <f t="shared" si="163"/>
        <v>2241.0200000000004</v>
      </c>
      <c r="BA144" s="237">
        <f t="shared" ref="BA144:BA160" si="174">((AY144/AX144)-1)*100</f>
        <v>40.745818181818194</v>
      </c>
      <c r="BB144" s="136">
        <f t="shared" si="164"/>
        <v>5500</v>
      </c>
      <c r="BC144" s="176">
        <v>11950.3</v>
      </c>
      <c r="BD144" s="137">
        <f>BC144-BB144</f>
        <v>6450.2999999999993</v>
      </c>
      <c r="BE144" s="237">
        <f t="shared" ref="BE144:BE160" si="175">((BC144/BB144)-1)*100</f>
        <v>117.27818181818179</v>
      </c>
      <c r="BF144" s="136">
        <f t="shared" si="152"/>
        <v>65730.92</v>
      </c>
      <c r="BG144" s="177">
        <f t="shared" si="155"/>
        <v>90960.510000000009</v>
      </c>
      <c r="BH144" s="63"/>
    </row>
    <row r="145" spans="2:60" s="11" customFormat="1" x14ac:dyDescent="0.25">
      <c r="B145" s="170">
        <v>12334</v>
      </c>
      <c r="C145" s="135">
        <v>375</v>
      </c>
      <c r="D145" s="332" t="s">
        <v>82</v>
      </c>
      <c r="E145" s="341"/>
      <c r="F145" s="725"/>
      <c r="G145" s="619">
        <v>20737.836666666666</v>
      </c>
      <c r="H145" s="260">
        <v>20740</v>
      </c>
      <c r="I145" s="137">
        <v>57262.400000000001</v>
      </c>
      <c r="J145" s="138">
        <f t="shared" si="153"/>
        <v>36522.400000000001</v>
      </c>
      <c r="K145" s="371">
        <f t="shared" si="154"/>
        <v>176.09643201542914</v>
      </c>
      <c r="L145" s="136">
        <f>$H$145</f>
        <v>20740</v>
      </c>
      <c r="M145" s="137">
        <v>13605.2</v>
      </c>
      <c r="N145" s="137">
        <f t="shared" ref="N145:N160" si="176">M145-L145</f>
        <v>-7134.7999999999993</v>
      </c>
      <c r="O145" s="252">
        <f t="shared" si="165"/>
        <v>-34.401157184185152</v>
      </c>
      <c r="P145" s="212">
        <f>$H$145</f>
        <v>20740</v>
      </c>
      <c r="Q145" s="137">
        <v>16203.74</v>
      </c>
      <c r="R145" s="137">
        <f t="shared" ref="R145:R160" si="177">Q145-P145</f>
        <v>-4536.26</v>
      </c>
      <c r="S145" s="237">
        <f t="shared" si="166"/>
        <v>-21.872034715525558</v>
      </c>
      <c r="T145" s="212">
        <f>$H$145</f>
        <v>20740</v>
      </c>
      <c r="U145" s="137">
        <v>25981.85</v>
      </c>
      <c r="V145" s="137">
        <f t="shared" ref="V145:V160" si="178">U145-T145</f>
        <v>5241.8499999999985</v>
      </c>
      <c r="W145" s="237">
        <f t="shared" si="167"/>
        <v>25.274108003857275</v>
      </c>
      <c r="X145" s="136">
        <f>$H$145</f>
        <v>20740</v>
      </c>
      <c r="Y145" s="137">
        <v>15171.72</v>
      </c>
      <c r="Z145" s="137">
        <f t="shared" ref="Z145:Z160" si="179">Y145-X145</f>
        <v>-5568.2800000000007</v>
      </c>
      <c r="AA145" s="240">
        <f t="shared" si="168"/>
        <v>-26.848023143683708</v>
      </c>
      <c r="AB145" s="212">
        <f>$H$145</f>
        <v>20740</v>
      </c>
      <c r="AC145" s="137">
        <v>13077.93</v>
      </c>
      <c r="AD145" s="137">
        <f t="shared" ref="AD145:AD160" si="180">AC145-AB145</f>
        <v>-7662.07</v>
      </c>
      <c r="AE145" s="237">
        <f t="shared" si="169"/>
        <v>-36.943442622950819</v>
      </c>
      <c r="AF145" s="212">
        <f t="shared" si="150"/>
        <v>141302.84</v>
      </c>
      <c r="AG145" s="212">
        <f t="shared" si="151"/>
        <v>23550.473333333332</v>
      </c>
      <c r="AH145" s="136">
        <v>23550</v>
      </c>
      <c r="AI145" s="137">
        <v>18464.560000000001</v>
      </c>
      <c r="AJ145" s="137">
        <f t="shared" ref="AJ145:AJ160" si="181">AI145-AH145</f>
        <v>-5085.4399999999987</v>
      </c>
      <c r="AK145" s="252">
        <f t="shared" si="170"/>
        <v>-21.594225053078553</v>
      </c>
      <c r="AL145" s="212">
        <f t="shared" si="156"/>
        <v>23550</v>
      </c>
      <c r="AM145" s="137">
        <v>39170.43</v>
      </c>
      <c r="AN145" s="169">
        <f t="shared" si="157"/>
        <v>15620.43</v>
      </c>
      <c r="AO145" s="237">
        <f t="shared" si="171"/>
        <v>66.328789808917193</v>
      </c>
      <c r="AP145" s="243">
        <f t="shared" si="158"/>
        <v>23550</v>
      </c>
      <c r="AQ145" s="176">
        <v>12884.6</v>
      </c>
      <c r="AR145" s="169">
        <f t="shared" si="159"/>
        <v>-10665.4</v>
      </c>
      <c r="AS145" s="252">
        <f t="shared" si="172"/>
        <v>-45.288322717622073</v>
      </c>
      <c r="AT145" s="254">
        <f t="shared" si="160"/>
        <v>23550</v>
      </c>
      <c r="AU145" s="176">
        <v>34457.47</v>
      </c>
      <c r="AV145" s="169">
        <f t="shared" si="161"/>
        <v>10907.470000000001</v>
      </c>
      <c r="AW145" s="237">
        <f t="shared" si="173"/>
        <v>46.31622080679405</v>
      </c>
      <c r="AX145" s="243">
        <f t="shared" si="162"/>
        <v>23550</v>
      </c>
      <c r="AY145" s="176">
        <v>12598.88</v>
      </c>
      <c r="AZ145" s="169">
        <f t="shared" si="163"/>
        <v>-10951.12</v>
      </c>
      <c r="BA145" s="252">
        <f t="shared" si="174"/>
        <v>-46.501571125265393</v>
      </c>
      <c r="BB145" s="254">
        <f t="shared" si="164"/>
        <v>23550</v>
      </c>
      <c r="BC145" s="176">
        <v>14938.9</v>
      </c>
      <c r="BD145" s="137">
        <f t="shared" ref="BD145:BD160" si="182">BC145-BB145</f>
        <v>-8611.1</v>
      </c>
      <c r="BE145" s="237">
        <f t="shared" si="175"/>
        <v>-36.565180467091295</v>
      </c>
      <c r="BF145" s="254">
        <f t="shared" si="152"/>
        <v>282602.83999999997</v>
      </c>
      <c r="BG145" s="177">
        <f t="shared" si="155"/>
        <v>273817.68</v>
      </c>
      <c r="BH145" s="63"/>
    </row>
    <row r="146" spans="2:60" s="11" customFormat="1" x14ac:dyDescent="0.25">
      <c r="B146" s="170">
        <v>12284</v>
      </c>
      <c r="C146" s="135">
        <v>211</v>
      </c>
      <c r="D146" s="332" t="s">
        <v>207</v>
      </c>
      <c r="E146" s="341"/>
      <c r="F146" s="725"/>
      <c r="G146" s="619">
        <v>10634.591666666665</v>
      </c>
      <c r="H146" s="260">
        <v>10640</v>
      </c>
      <c r="I146" s="137">
        <v>10586</v>
      </c>
      <c r="J146" s="138">
        <f t="shared" si="153"/>
        <v>-54</v>
      </c>
      <c r="K146" s="371">
        <f t="shared" si="154"/>
        <v>-0.50751879699247882</v>
      </c>
      <c r="L146" s="136">
        <f>$H$146</f>
        <v>10640</v>
      </c>
      <c r="M146" s="137">
        <v>0</v>
      </c>
      <c r="N146" s="137">
        <f t="shared" si="176"/>
        <v>-10640</v>
      </c>
      <c r="O146" s="252">
        <f t="shared" si="165"/>
        <v>-100</v>
      </c>
      <c r="P146" s="212">
        <f>$H$146</f>
        <v>10640</v>
      </c>
      <c r="Q146" s="137">
        <v>4436</v>
      </c>
      <c r="R146" s="137">
        <f t="shared" si="177"/>
        <v>-6204</v>
      </c>
      <c r="S146" s="237">
        <f t="shared" si="166"/>
        <v>-58.308270676691734</v>
      </c>
      <c r="T146" s="212">
        <f>$H$146</f>
        <v>10640</v>
      </c>
      <c r="U146" s="137">
        <v>25586.23</v>
      </c>
      <c r="V146" s="137">
        <f t="shared" si="178"/>
        <v>14946.23</v>
      </c>
      <c r="W146" s="237">
        <f t="shared" si="167"/>
        <v>140.47208646616539</v>
      </c>
      <c r="X146" s="136">
        <f>$H$146</f>
        <v>10640</v>
      </c>
      <c r="Y146" s="137">
        <v>-339.23</v>
      </c>
      <c r="Z146" s="137">
        <f t="shared" si="179"/>
        <v>-10979.23</v>
      </c>
      <c r="AA146" s="240">
        <f t="shared" si="168"/>
        <v>-103.18825187969924</v>
      </c>
      <c r="AB146" s="212">
        <f>$H$146</f>
        <v>10640</v>
      </c>
      <c r="AC146" s="137">
        <v>9920</v>
      </c>
      <c r="AD146" s="137">
        <f t="shared" si="180"/>
        <v>-720</v>
      </c>
      <c r="AE146" s="237">
        <f t="shared" si="169"/>
        <v>-6.7669172932330879</v>
      </c>
      <c r="AF146" s="212">
        <f t="shared" si="150"/>
        <v>50188.999999999993</v>
      </c>
      <c r="AG146" s="212">
        <f t="shared" si="151"/>
        <v>8364.8333333333321</v>
      </c>
      <c r="AH146" s="136">
        <v>8400</v>
      </c>
      <c r="AI146" s="137">
        <v>160</v>
      </c>
      <c r="AJ146" s="137">
        <f t="shared" si="181"/>
        <v>-8240</v>
      </c>
      <c r="AK146" s="252">
        <f t="shared" si="170"/>
        <v>-98.095238095238088</v>
      </c>
      <c r="AL146" s="212">
        <f t="shared" si="156"/>
        <v>8400</v>
      </c>
      <c r="AM146" s="137">
        <v>27369</v>
      </c>
      <c r="AN146" s="169">
        <f t="shared" si="157"/>
        <v>18969</v>
      </c>
      <c r="AO146" s="237">
        <f t="shared" si="171"/>
        <v>225.82142857142858</v>
      </c>
      <c r="AP146" s="243">
        <f t="shared" si="158"/>
        <v>8400</v>
      </c>
      <c r="AQ146" s="176">
        <v>4255</v>
      </c>
      <c r="AR146" s="169">
        <f t="shared" si="159"/>
        <v>-4145</v>
      </c>
      <c r="AS146" s="252">
        <f t="shared" si="172"/>
        <v>-49.345238095238095</v>
      </c>
      <c r="AT146" s="254">
        <f t="shared" si="160"/>
        <v>8400</v>
      </c>
      <c r="AU146" s="176">
        <v>4813.75</v>
      </c>
      <c r="AV146" s="169">
        <f t="shared" si="161"/>
        <v>-3586.25</v>
      </c>
      <c r="AW146" s="237">
        <f t="shared" si="173"/>
        <v>-42.69345238095238</v>
      </c>
      <c r="AX146" s="243">
        <f t="shared" si="162"/>
        <v>8400</v>
      </c>
      <c r="AY146" s="176">
        <v>20663.75</v>
      </c>
      <c r="AZ146" s="169">
        <f t="shared" si="163"/>
        <v>12263.75</v>
      </c>
      <c r="BA146" s="252">
        <f t="shared" si="174"/>
        <v>145.9970238095238</v>
      </c>
      <c r="BB146" s="254">
        <f t="shared" si="164"/>
        <v>8400</v>
      </c>
      <c r="BC146" s="176">
        <v>10953.75</v>
      </c>
      <c r="BD146" s="137">
        <f t="shared" si="182"/>
        <v>2553.75</v>
      </c>
      <c r="BE146" s="237">
        <f t="shared" si="175"/>
        <v>30.401785714285712</v>
      </c>
      <c r="BF146" s="254">
        <f t="shared" si="152"/>
        <v>100589</v>
      </c>
      <c r="BG146" s="177">
        <f t="shared" si="155"/>
        <v>118404.25</v>
      </c>
      <c r="BH146" s="63"/>
    </row>
    <row r="147" spans="2:60" s="11" customFormat="1" x14ac:dyDescent="0.25">
      <c r="B147" s="170">
        <v>12280</v>
      </c>
      <c r="C147" s="135">
        <v>225</v>
      </c>
      <c r="D147" s="332" t="s">
        <v>209</v>
      </c>
      <c r="E147" s="341"/>
      <c r="F147" s="725"/>
      <c r="G147" s="619">
        <v>25140.953333333335</v>
      </c>
      <c r="H147" s="251">
        <v>25140</v>
      </c>
      <c r="I147" s="137">
        <v>9384.14</v>
      </c>
      <c r="J147" s="138">
        <f t="shared" si="153"/>
        <v>-15755.86</v>
      </c>
      <c r="K147" s="371">
        <f t="shared" si="154"/>
        <v>-62.672474144789177</v>
      </c>
      <c r="L147" s="136">
        <f>$H$147</f>
        <v>25140</v>
      </c>
      <c r="M147" s="137">
        <v>9617.5499999999993</v>
      </c>
      <c r="N147" s="137">
        <f t="shared" si="176"/>
        <v>-15522.45</v>
      </c>
      <c r="O147" s="252">
        <f t="shared" si="165"/>
        <v>-61.744033412887831</v>
      </c>
      <c r="P147" s="212">
        <f>$H$147</f>
        <v>25140</v>
      </c>
      <c r="Q147" s="137">
        <v>6939.96</v>
      </c>
      <c r="R147" s="137">
        <f t="shared" si="177"/>
        <v>-18200.04</v>
      </c>
      <c r="S147" s="237">
        <f t="shared" si="166"/>
        <v>-72.394749403341294</v>
      </c>
      <c r="T147" s="212">
        <f>$H$147</f>
        <v>25140</v>
      </c>
      <c r="U147" s="137">
        <v>14556.55</v>
      </c>
      <c r="V147" s="137">
        <f t="shared" si="178"/>
        <v>-10583.45</v>
      </c>
      <c r="W147" s="237">
        <f t="shared" si="167"/>
        <v>-42.098050914876694</v>
      </c>
      <c r="X147" s="136">
        <f>$H$147</f>
        <v>25140</v>
      </c>
      <c r="Y147" s="137">
        <v>9435.5499999999993</v>
      </c>
      <c r="Z147" s="137">
        <f t="shared" si="179"/>
        <v>-15704.45</v>
      </c>
      <c r="AA147" s="240">
        <f t="shared" si="168"/>
        <v>-62.467979315831343</v>
      </c>
      <c r="AB147" s="212">
        <f>$H$147</f>
        <v>25140</v>
      </c>
      <c r="AC147" s="137">
        <v>8507.5499999999993</v>
      </c>
      <c r="AD147" s="137">
        <f t="shared" si="180"/>
        <v>-16632.45</v>
      </c>
      <c r="AE147" s="237">
        <f t="shared" si="169"/>
        <v>-66.159307875894996</v>
      </c>
      <c r="AF147" s="212">
        <f t="shared" si="150"/>
        <v>58441.3</v>
      </c>
      <c r="AG147" s="212">
        <f t="shared" si="151"/>
        <v>9740.2166666666672</v>
      </c>
      <c r="AH147" s="136">
        <v>9800</v>
      </c>
      <c r="AI147" s="137">
        <v>9394.5499999999993</v>
      </c>
      <c r="AJ147" s="137">
        <f t="shared" si="181"/>
        <v>-405.45000000000073</v>
      </c>
      <c r="AK147" s="252">
        <f t="shared" si="170"/>
        <v>-4.1372448979591914</v>
      </c>
      <c r="AL147" s="212">
        <f t="shared" si="156"/>
        <v>9800</v>
      </c>
      <c r="AM147" s="137">
        <v>9699.5499999999993</v>
      </c>
      <c r="AN147" s="169">
        <f t="shared" si="157"/>
        <v>-100.45000000000073</v>
      </c>
      <c r="AO147" s="237">
        <f t="shared" si="171"/>
        <v>-1.0250000000000092</v>
      </c>
      <c r="AP147" s="243">
        <f t="shared" si="158"/>
        <v>9800</v>
      </c>
      <c r="AQ147" s="176">
        <v>7449.55</v>
      </c>
      <c r="AR147" s="169">
        <f t="shared" si="159"/>
        <v>-2350.4499999999998</v>
      </c>
      <c r="AS147" s="252">
        <f t="shared" si="172"/>
        <v>-23.984183673469385</v>
      </c>
      <c r="AT147" s="254">
        <f t="shared" si="160"/>
        <v>9800</v>
      </c>
      <c r="AU147" s="176">
        <v>19679.12</v>
      </c>
      <c r="AV147" s="169">
        <f t="shared" si="161"/>
        <v>9879.119999999999</v>
      </c>
      <c r="AW147" s="237">
        <f t="shared" si="173"/>
        <v>100.80734693877548</v>
      </c>
      <c r="AX147" s="243">
        <f t="shared" si="162"/>
        <v>9800</v>
      </c>
      <c r="AY147" s="176">
        <v>7845.55</v>
      </c>
      <c r="AZ147" s="169">
        <f t="shared" si="163"/>
        <v>-1954.4499999999998</v>
      </c>
      <c r="BA147" s="252">
        <f t="shared" si="174"/>
        <v>-19.943367346938778</v>
      </c>
      <c r="BB147" s="254">
        <f t="shared" si="164"/>
        <v>9800</v>
      </c>
      <c r="BC147" s="176">
        <v>8392.19</v>
      </c>
      <c r="BD147" s="137">
        <f t="shared" si="182"/>
        <v>-1407.8099999999995</v>
      </c>
      <c r="BE147" s="237">
        <f t="shared" si="175"/>
        <v>-14.365408163265304</v>
      </c>
      <c r="BF147" s="254">
        <f t="shared" si="152"/>
        <v>117241.3</v>
      </c>
      <c r="BG147" s="177">
        <f t="shared" si="155"/>
        <v>120901.81000000001</v>
      </c>
      <c r="BH147" s="63"/>
    </row>
    <row r="148" spans="2:60" s="11" customFormat="1" ht="31.5" x14ac:dyDescent="0.25">
      <c r="B148" s="170" t="s">
        <v>137</v>
      </c>
      <c r="C148" s="135" t="s">
        <v>83</v>
      </c>
      <c r="D148" s="332" t="s">
        <v>208</v>
      </c>
      <c r="E148" s="341"/>
      <c r="F148" s="725"/>
      <c r="G148" s="619">
        <v>11820.178333333335</v>
      </c>
      <c r="H148" s="251">
        <v>11820</v>
      </c>
      <c r="I148" s="137">
        <f>787.78+2812</f>
        <v>3599.7799999999997</v>
      </c>
      <c r="J148" s="138">
        <f t="shared" si="153"/>
        <v>-8220.2200000000012</v>
      </c>
      <c r="K148" s="371">
        <f t="shared" si="154"/>
        <v>-69.545008460236886</v>
      </c>
      <c r="L148" s="136">
        <f>$H$148</f>
        <v>11820</v>
      </c>
      <c r="M148" s="137">
        <f>10958+2350.05</f>
        <v>13308.05</v>
      </c>
      <c r="N148" s="137">
        <f t="shared" si="176"/>
        <v>1488.0499999999993</v>
      </c>
      <c r="O148" s="252">
        <f t="shared" si="165"/>
        <v>12.589255499153973</v>
      </c>
      <c r="P148" s="212">
        <f>$H$148</f>
        <v>11820</v>
      </c>
      <c r="Q148" s="137">
        <f>439.4+13134</f>
        <v>13573.4</v>
      </c>
      <c r="R148" s="137">
        <f t="shared" si="177"/>
        <v>1753.3999999999996</v>
      </c>
      <c r="S148" s="237">
        <f t="shared" si="166"/>
        <v>14.834179357022004</v>
      </c>
      <c r="T148" s="212">
        <f>$H$148</f>
        <v>11820</v>
      </c>
      <c r="U148" s="137">
        <f>8095.69+5530.37</f>
        <v>13626.06</v>
      </c>
      <c r="V148" s="137">
        <f t="shared" si="178"/>
        <v>1806.0599999999995</v>
      </c>
      <c r="W148" s="237">
        <f t="shared" si="167"/>
        <v>15.279695431472074</v>
      </c>
      <c r="X148" s="136">
        <f>$H$148</f>
        <v>11820</v>
      </c>
      <c r="Y148" s="137">
        <f>2797.93+0+2850</f>
        <v>5647.93</v>
      </c>
      <c r="Z148" s="137">
        <f t="shared" si="179"/>
        <v>-6172.07</v>
      </c>
      <c r="AA148" s="240">
        <f t="shared" si="168"/>
        <v>-52.21717428087986</v>
      </c>
      <c r="AB148" s="212">
        <f>$H$148</f>
        <v>11820</v>
      </c>
      <c r="AC148" s="137">
        <f>2680.81+3002</f>
        <v>5682.8099999999995</v>
      </c>
      <c r="AD148" s="137">
        <f t="shared" si="180"/>
        <v>-6137.1900000000005</v>
      </c>
      <c r="AE148" s="237">
        <f t="shared" si="169"/>
        <v>-51.922081218274116</v>
      </c>
      <c r="AF148" s="212">
        <f t="shared" si="150"/>
        <v>55438.029999999992</v>
      </c>
      <c r="AG148" s="212">
        <f t="shared" si="151"/>
        <v>9239.6716666666653</v>
      </c>
      <c r="AH148" s="136">
        <v>9240</v>
      </c>
      <c r="AI148" s="137">
        <f>1444.28+6000+2432</f>
        <v>9876.2799999999988</v>
      </c>
      <c r="AJ148" s="137">
        <f t="shared" si="181"/>
        <v>636.27999999999884</v>
      </c>
      <c r="AK148" s="252">
        <f t="shared" si="170"/>
        <v>6.8861471861471735</v>
      </c>
      <c r="AL148" s="212">
        <f t="shared" si="156"/>
        <v>9240</v>
      </c>
      <c r="AM148" s="137">
        <f>3797.82+454+2850</f>
        <v>7101.82</v>
      </c>
      <c r="AN148" s="169">
        <f t="shared" si="157"/>
        <v>-2138.1800000000003</v>
      </c>
      <c r="AO148" s="237">
        <f t="shared" si="171"/>
        <v>-23.140476190476189</v>
      </c>
      <c r="AP148" s="243">
        <f t="shared" si="158"/>
        <v>9240</v>
      </c>
      <c r="AQ148" s="176">
        <f>5597.51+400+4366</f>
        <v>10363.51</v>
      </c>
      <c r="AR148" s="169">
        <f t="shared" si="159"/>
        <v>1123.5100000000002</v>
      </c>
      <c r="AS148" s="252">
        <f t="shared" si="172"/>
        <v>12.159199134199138</v>
      </c>
      <c r="AT148" s="254">
        <f t="shared" si="160"/>
        <v>9240</v>
      </c>
      <c r="AU148" s="176">
        <f>2805.32+0+0</f>
        <v>2805.32</v>
      </c>
      <c r="AV148" s="169">
        <f t="shared" si="161"/>
        <v>-6434.68</v>
      </c>
      <c r="AW148" s="237">
        <f t="shared" si="173"/>
        <v>-69.639393939393941</v>
      </c>
      <c r="AX148" s="243">
        <f t="shared" si="162"/>
        <v>9240</v>
      </c>
      <c r="AY148" s="176">
        <f>7100.1+0+6324</f>
        <v>13424.1</v>
      </c>
      <c r="AZ148" s="169">
        <f t="shared" si="163"/>
        <v>4184.1000000000004</v>
      </c>
      <c r="BA148" s="252">
        <f t="shared" si="174"/>
        <v>45.282467532467543</v>
      </c>
      <c r="BB148" s="254">
        <f t="shared" si="164"/>
        <v>9240</v>
      </c>
      <c r="BC148" s="176">
        <f>3138.38+780.08+3594</f>
        <v>7512.46</v>
      </c>
      <c r="BD148" s="137">
        <f t="shared" si="182"/>
        <v>-1727.54</v>
      </c>
      <c r="BE148" s="237">
        <f t="shared" si="175"/>
        <v>-18.696320346320348</v>
      </c>
      <c r="BF148" s="254">
        <f t="shared" si="152"/>
        <v>110878.03</v>
      </c>
      <c r="BG148" s="177">
        <f t="shared" si="155"/>
        <v>106521.52</v>
      </c>
      <c r="BH148" s="63"/>
    </row>
    <row r="149" spans="2:60" s="11" customFormat="1" x14ac:dyDescent="0.25">
      <c r="B149" s="170">
        <v>51090</v>
      </c>
      <c r="C149" s="135">
        <v>356</v>
      </c>
      <c r="D149" s="332" t="s">
        <v>210</v>
      </c>
      <c r="E149" s="341"/>
      <c r="F149" s="738"/>
      <c r="G149" s="619">
        <v>3923.895</v>
      </c>
      <c r="H149" s="212">
        <v>3930</v>
      </c>
      <c r="I149" s="137">
        <v>9026.66</v>
      </c>
      <c r="J149" s="138">
        <f t="shared" si="153"/>
        <v>5096.66</v>
      </c>
      <c r="K149" s="371">
        <f t="shared" si="154"/>
        <v>129.68600508905851</v>
      </c>
      <c r="L149" s="136">
        <f>$H$149</f>
        <v>3930</v>
      </c>
      <c r="M149" s="137">
        <v>38846.660000000003</v>
      </c>
      <c r="N149" s="137">
        <f t="shared" si="176"/>
        <v>34916.660000000003</v>
      </c>
      <c r="O149" s="252">
        <f t="shared" si="165"/>
        <v>888.46463104325699</v>
      </c>
      <c r="P149" s="212">
        <f>$H$149</f>
        <v>3930</v>
      </c>
      <c r="Q149" s="137">
        <v>6286.66</v>
      </c>
      <c r="R149" s="137">
        <f t="shared" si="177"/>
        <v>2356.66</v>
      </c>
      <c r="S149" s="237">
        <f t="shared" si="166"/>
        <v>59.965903307888048</v>
      </c>
      <c r="T149" s="212">
        <f>$H$149</f>
        <v>3930</v>
      </c>
      <c r="U149" s="137">
        <f>6601.66</f>
        <v>6601.66</v>
      </c>
      <c r="V149" s="137">
        <f t="shared" si="178"/>
        <v>2671.66</v>
      </c>
      <c r="W149" s="237">
        <f t="shared" si="167"/>
        <v>67.981170483460545</v>
      </c>
      <c r="X149" s="136">
        <f>$H$149</f>
        <v>3930</v>
      </c>
      <c r="Y149" s="137">
        <v>5626.66</v>
      </c>
      <c r="Z149" s="137">
        <f t="shared" si="179"/>
        <v>1696.6599999999999</v>
      </c>
      <c r="AA149" s="240">
        <f t="shared" si="168"/>
        <v>43.172010178117048</v>
      </c>
      <c r="AB149" s="212">
        <f>$H$149</f>
        <v>3930</v>
      </c>
      <c r="AC149" s="137">
        <v>7276.66</v>
      </c>
      <c r="AD149" s="137">
        <f t="shared" si="180"/>
        <v>3346.66</v>
      </c>
      <c r="AE149" s="237">
        <f t="shared" si="169"/>
        <v>85.156743002544516</v>
      </c>
      <c r="AF149" s="212">
        <f t="shared" si="150"/>
        <v>73664.960000000021</v>
      </c>
      <c r="AG149" s="212">
        <f t="shared" si="151"/>
        <v>12277.493333333337</v>
      </c>
      <c r="AH149" s="136">
        <v>12300</v>
      </c>
      <c r="AI149" s="137">
        <v>5626.66</v>
      </c>
      <c r="AJ149" s="137">
        <f t="shared" si="181"/>
        <v>-6673.34</v>
      </c>
      <c r="AK149" s="252">
        <f t="shared" si="170"/>
        <v>-54.254796747967482</v>
      </c>
      <c r="AL149" s="212">
        <f t="shared" si="156"/>
        <v>12300</v>
      </c>
      <c r="AM149" s="137">
        <v>5626.66</v>
      </c>
      <c r="AN149" s="169">
        <f t="shared" si="157"/>
        <v>-6673.34</v>
      </c>
      <c r="AO149" s="237">
        <f t="shared" si="171"/>
        <v>-54.254796747967482</v>
      </c>
      <c r="AP149" s="243">
        <f t="shared" si="158"/>
        <v>12300</v>
      </c>
      <c r="AQ149" s="176">
        <v>0</v>
      </c>
      <c r="AR149" s="169">
        <f t="shared" si="159"/>
        <v>-12300</v>
      </c>
      <c r="AS149" s="252">
        <f t="shared" si="172"/>
        <v>-100</v>
      </c>
      <c r="AT149" s="254">
        <f t="shared" si="160"/>
        <v>12300</v>
      </c>
      <c r="AU149" s="176">
        <v>21853.32</v>
      </c>
      <c r="AV149" s="169">
        <f t="shared" si="161"/>
        <v>9553.32</v>
      </c>
      <c r="AW149" s="237">
        <f t="shared" si="173"/>
        <v>77.669268292682929</v>
      </c>
      <c r="AX149" s="243">
        <f t="shared" si="162"/>
        <v>12300</v>
      </c>
      <c r="AY149" s="176">
        <v>4000</v>
      </c>
      <c r="AZ149" s="169">
        <f t="shared" si="163"/>
        <v>-8300</v>
      </c>
      <c r="BA149" s="252">
        <f t="shared" si="174"/>
        <v>-67.479674796747972</v>
      </c>
      <c r="BB149" s="254">
        <f t="shared" si="164"/>
        <v>12300</v>
      </c>
      <c r="BC149" s="176">
        <v>8615</v>
      </c>
      <c r="BD149" s="137">
        <f t="shared" si="182"/>
        <v>-3685</v>
      </c>
      <c r="BE149" s="237">
        <f t="shared" si="175"/>
        <v>-29.959349593495933</v>
      </c>
      <c r="BF149" s="254">
        <f t="shared" si="152"/>
        <v>147464.96000000002</v>
      </c>
      <c r="BG149" s="177">
        <f t="shared" si="155"/>
        <v>119386.60000000003</v>
      </c>
      <c r="BH149" s="63"/>
    </row>
    <row r="150" spans="2:60" s="11" customFormat="1" x14ac:dyDescent="0.25">
      <c r="B150" s="170">
        <v>12282</v>
      </c>
      <c r="C150" s="135">
        <v>344</v>
      </c>
      <c r="D150" s="332" t="s">
        <v>211</v>
      </c>
      <c r="E150" s="341"/>
      <c r="F150" s="725"/>
      <c r="G150" s="619">
        <v>14262.63</v>
      </c>
      <c r="H150" s="212">
        <v>14270</v>
      </c>
      <c r="I150" s="137">
        <v>21586.06</v>
      </c>
      <c r="J150" s="138">
        <f t="shared" si="153"/>
        <v>7316.0600000000013</v>
      </c>
      <c r="K150" s="371">
        <f t="shared" si="154"/>
        <v>51.268815697267001</v>
      </c>
      <c r="L150" s="136">
        <f>$H$150</f>
        <v>14270</v>
      </c>
      <c r="M150" s="137">
        <v>10664.06</v>
      </c>
      <c r="N150" s="137">
        <f t="shared" si="176"/>
        <v>-3605.9400000000005</v>
      </c>
      <c r="O150" s="252">
        <f t="shared" si="165"/>
        <v>-25.269376313945347</v>
      </c>
      <c r="P150" s="212">
        <f>$H$150</f>
        <v>14270</v>
      </c>
      <c r="Q150" s="137">
        <v>25452.74</v>
      </c>
      <c r="R150" s="137">
        <f t="shared" si="177"/>
        <v>11182.740000000002</v>
      </c>
      <c r="S150" s="237">
        <f t="shared" si="166"/>
        <v>78.365381920112128</v>
      </c>
      <c r="T150" s="212">
        <f>$H$150</f>
        <v>14270</v>
      </c>
      <c r="U150" s="137">
        <v>9635.58</v>
      </c>
      <c r="V150" s="137">
        <f t="shared" si="178"/>
        <v>-4634.42</v>
      </c>
      <c r="W150" s="237">
        <f t="shared" si="167"/>
        <v>-32.476664330763839</v>
      </c>
      <c r="X150" s="136">
        <f>$H$150</f>
        <v>14270</v>
      </c>
      <c r="Y150" s="137">
        <v>20464.060000000001</v>
      </c>
      <c r="Z150" s="137">
        <f t="shared" si="179"/>
        <v>6194.0600000000013</v>
      </c>
      <c r="AA150" s="240">
        <f t="shared" si="168"/>
        <v>43.406166783461806</v>
      </c>
      <c r="AB150" s="212">
        <f>$H$150</f>
        <v>14270</v>
      </c>
      <c r="AC150" s="137">
        <v>18637.060000000001</v>
      </c>
      <c r="AD150" s="137">
        <f t="shared" si="180"/>
        <v>4367.0600000000013</v>
      </c>
      <c r="AE150" s="237">
        <f t="shared" si="169"/>
        <v>30.603083391730923</v>
      </c>
      <c r="AF150" s="212">
        <f t="shared" si="150"/>
        <v>106439.56</v>
      </c>
      <c r="AG150" s="212">
        <f t="shared" si="151"/>
        <v>17739.926666666666</v>
      </c>
      <c r="AH150" s="136">
        <v>17750</v>
      </c>
      <c r="AI150" s="137">
        <v>12062.42</v>
      </c>
      <c r="AJ150" s="137">
        <f t="shared" si="181"/>
        <v>-5687.58</v>
      </c>
      <c r="AK150" s="252">
        <f t="shared" si="170"/>
        <v>-32.042704225352111</v>
      </c>
      <c r="AL150" s="212">
        <f t="shared" si="156"/>
        <v>17750</v>
      </c>
      <c r="AM150" s="137">
        <v>18087.09</v>
      </c>
      <c r="AN150" s="169">
        <f t="shared" si="157"/>
        <v>337.09000000000015</v>
      </c>
      <c r="AO150" s="237">
        <f t="shared" si="171"/>
        <v>1.8990985915492864</v>
      </c>
      <c r="AP150" s="243">
        <f t="shared" si="158"/>
        <v>17750</v>
      </c>
      <c r="AQ150" s="176">
        <v>18890.78</v>
      </c>
      <c r="AR150" s="169">
        <f t="shared" si="159"/>
        <v>1140.7799999999988</v>
      </c>
      <c r="AS150" s="252">
        <f t="shared" si="172"/>
        <v>6.4269295774647794</v>
      </c>
      <c r="AT150" s="254">
        <f t="shared" si="160"/>
        <v>17750</v>
      </c>
      <c r="AU150" s="176">
        <v>18156.91</v>
      </c>
      <c r="AV150" s="169">
        <f t="shared" si="161"/>
        <v>406.90999999999985</v>
      </c>
      <c r="AW150" s="237">
        <f t="shared" si="173"/>
        <v>2.2924507042253461</v>
      </c>
      <c r="AX150" s="243">
        <f t="shared" si="162"/>
        <v>17750</v>
      </c>
      <c r="AY150" s="176">
        <v>17634.52</v>
      </c>
      <c r="AZ150" s="169">
        <f t="shared" si="163"/>
        <v>-115.47999999999956</v>
      </c>
      <c r="BA150" s="252">
        <f t="shared" si="174"/>
        <v>-0.65059154929577589</v>
      </c>
      <c r="BB150" s="254">
        <f t="shared" si="164"/>
        <v>17750</v>
      </c>
      <c r="BC150" s="176">
        <v>11789.72</v>
      </c>
      <c r="BD150" s="137">
        <f t="shared" si="182"/>
        <v>-5960.2800000000007</v>
      </c>
      <c r="BE150" s="237">
        <f t="shared" si="175"/>
        <v>-33.579042253521131</v>
      </c>
      <c r="BF150" s="254">
        <f t="shared" si="152"/>
        <v>212939.56</v>
      </c>
      <c r="BG150" s="177">
        <f t="shared" si="155"/>
        <v>203061</v>
      </c>
      <c r="BH150" s="63"/>
    </row>
    <row r="151" spans="2:60" s="11" customFormat="1" x14ac:dyDescent="0.25">
      <c r="B151" s="170">
        <v>51665</v>
      </c>
      <c r="C151" s="135">
        <v>365</v>
      </c>
      <c r="D151" s="152" t="s">
        <v>212</v>
      </c>
      <c r="E151" s="341"/>
      <c r="F151" s="725"/>
      <c r="G151" s="619">
        <v>57823.941666666673</v>
      </c>
      <c r="H151" s="212">
        <v>57830</v>
      </c>
      <c r="I151" s="137">
        <v>58254.64</v>
      </c>
      <c r="J151" s="138">
        <f t="shared" si="153"/>
        <v>424.63999999999942</v>
      </c>
      <c r="K151" s="371">
        <f t="shared" si="154"/>
        <v>0.7342901608161867</v>
      </c>
      <c r="L151" s="136">
        <f>$H$151</f>
        <v>57830</v>
      </c>
      <c r="M151" s="137">
        <v>96415.14</v>
      </c>
      <c r="N151" s="137">
        <f t="shared" si="176"/>
        <v>38585.14</v>
      </c>
      <c r="O151" s="252">
        <f t="shared" si="165"/>
        <v>66.721666954867715</v>
      </c>
      <c r="P151" s="212">
        <f>$H$151</f>
        <v>57830</v>
      </c>
      <c r="Q151" s="137">
        <v>145772.68</v>
      </c>
      <c r="R151" s="137">
        <f t="shared" si="177"/>
        <v>87942.68</v>
      </c>
      <c r="S151" s="237">
        <f t="shared" si="166"/>
        <v>152.07103579457026</v>
      </c>
      <c r="T151" s="212">
        <f>$H$151</f>
        <v>57830</v>
      </c>
      <c r="U151" s="137">
        <v>101162.67</v>
      </c>
      <c r="V151" s="137">
        <f t="shared" si="178"/>
        <v>43332.67</v>
      </c>
      <c r="W151" s="237">
        <f t="shared" si="167"/>
        <v>74.93112571329759</v>
      </c>
      <c r="X151" s="136">
        <f>$H$151</f>
        <v>57830</v>
      </c>
      <c r="Y151" s="137">
        <v>51019.21</v>
      </c>
      <c r="Z151" s="137">
        <f t="shared" si="179"/>
        <v>-6810.7900000000009</v>
      </c>
      <c r="AA151" s="240">
        <f t="shared" si="168"/>
        <v>-11.777260937229816</v>
      </c>
      <c r="AB151" s="212">
        <f>$H$151</f>
        <v>57830</v>
      </c>
      <c r="AC151" s="137">
        <v>94236.62</v>
      </c>
      <c r="AD151" s="137">
        <f t="shared" si="180"/>
        <v>36406.619999999995</v>
      </c>
      <c r="AE151" s="237">
        <f t="shared" si="169"/>
        <v>62.9545564585855</v>
      </c>
      <c r="AF151" s="212">
        <f t="shared" si="150"/>
        <v>546860.96</v>
      </c>
      <c r="AG151" s="212">
        <f t="shared" si="151"/>
        <v>91143.493333333332</v>
      </c>
      <c r="AH151" s="136">
        <f>91200</f>
        <v>91200</v>
      </c>
      <c r="AI151" s="137">
        <v>64849.440000000002</v>
      </c>
      <c r="AJ151" s="137">
        <f t="shared" si="181"/>
        <v>-26350.559999999998</v>
      </c>
      <c r="AK151" s="252">
        <f t="shared" si="170"/>
        <v>-28.893157894736841</v>
      </c>
      <c r="AL151" s="212">
        <f t="shared" si="156"/>
        <v>91200</v>
      </c>
      <c r="AM151" s="137">
        <v>62324.44</v>
      </c>
      <c r="AN151" s="169">
        <f t="shared" si="157"/>
        <v>-28875.559999999998</v>
      </c>
      <c r="AO151" s="237">
        <f t="shared" si="171"/>
        <v>-31.661798245614037</v>
      </c>
      <c r="AP151" s="243">
        <f t="shared" si="158"/>
        <v>91200</v>
      </c>
      <c r="AQ151" s="176">
        <v>88449.27</v>
      </c>
      <c r="AR151" s="169">
        <f t="shared" si="159"/>
        <v>-2750.7299999999959</v>
      </c>
      <c r="AS151" s="252">
        <f t="shared" si="172"/>
        <v>-3.0161513157894726</v>
      </c>
      <c r="AT151" s="254">
        <f t="shared" si="160"/>
        <v>91200</v>
      </c>
      <c r="AU151" s="176">
        <v>32984.81</v>
      </c>
      <c r="AV151" s="169">
        <f t="shared" si="161"/>
        <v>-58215.19</v>
      </c>
      <c r="AW151" s="237">
        <f t="shared" si="173"/>
        <v>-63.8324451754386</v>
      </c>
      <c r="AX151" s="243">
        <f t="shared" si="162"/>
        <v>91200</v>
      </c>
      <c r="AY151" s="176">
        <v>33270.07</v>
      </c>
      <c r="AZ151" s="169">
        <f t="shared" si="163"/>
        <v>-57929.93</v>
      </c>
      <c r="BA151" s="252">
        <f t="shared" si="174"/>
        <v>-63.519660087719302</v>
      </c>
      <c r="BB151" s="254">
        <f t="shared" si="164"/>
        <v>91200</v>
      </c>
      <c r="BC151" s="176">
        <v>30195.279999999999</v>
      </c>
      <c r="BD151" s="137">
        <f t="shared" si="182"/>
        <v>-61004.72</v>
      </c>
      <c r="BE151" s="237">
        <f t="shared" si="175"/>
        <v>-66.891140350877194</v>
      </c>
      <c r="BF151" s="254">
        <f t="shared" si="152"/>
        <v>1094060.96</v>
      </c>
      <c r="BG151" s="177">
        <f t="shared" si="155"/>
        <v>858934.2699999999</v>
      </c>
      <c r="BH151" s="63"/>
    </row>
    <row r="152" spans="2:60" s="11" customFormat="1" x14ac:dyDescent="0.25">
      <c r="B152" s="170">
        <v>51666</v>
      </c>
      <c r="C152" s="135">
        <v>367</v>
      </c>
      <c r="D152" s="152" t="s">
        <v>84</v>
      </c>
      <c r="E152" s="341"/>
      <c r="F152" s="725"/>
      <c r="G152" s="619">
        <v>42145.805</v>
      </c>
      <c r="H152" s="212">
        <v>42150</v>
      </c>
      <c r="I152" s="137">
        <v>25243.53</v>
      </c>
      <c r="J152" s="138">
        <f t="shared" si="153"/>
        <v>-16906.47</v>
      </c>
      <c r="K152" s="371">
        <f t="shared" si="154"/>
        <v>-40.110249110320282</v>
      </c>
      <c r="L152" s="136">
        <f>$H$152</f>
        <v>42150</v>
      </c>
      <c r="M152" s="137">
        <v>22764</v>
      </c>
      <c r="N152" s="137">
        <f t="shared" si="176"/>
        <v>-19386</v>
      </c>
      <c r="O152" s="252">
        <f t="shared" si="165"/>
        <v>-45.992882562277579</v>
      </c>
      <c r="P152" s="212">
        <f>$H$152</f>
        <v>42150</v>
      </c>
      <c r="Q152" s="137">
        <v>7889.48</v>
      </c>
      <c r="R152" s="137">
        <f t="shared" si="177"/>
        <v>-34260.520000000004</v>
      </c>
      <c r="S152" s="237">
        <f t="shared" si="166"/>
        <v>-81.282372479240806</v>
      </c>
      <c r="T152" s="212">
        <f>$H$152</f>
        <v>42150</v>
      </c>
      <c r="U152" s="137">
        <v>105444.52</v>
      </c>
      <c r="V152" s="137">
        <f t="shared" si="178"/>
        <v>63294.520000000004</v>
      </c>
      <c r="W152" s="237">
        <f t="shared" si="167"/>
        <v>150.16493475682088</v>
      </c>
      <c r="X152" s="136">
        <f>$H$152</f>
        <v>42150</v>
      </c>
      <c r="Y152" s="137">
        <v>206960.25</v>
      </c>
      <c r="Z152" s="137">
        <f t="shared" si="179"/>
        <v>164810.25</v>
      </c>
      <c r="AA152" s="240">
        <f t="shared" si="168"/>
        <v>391.00889679715306</v>
      </c>
      <c r="AB152" s="212">
        <f>$H$152</f>
        <v>42150</v>
      </c>
      <c r="AC152" s="137">
        <v>33116.400000000001</v>
      </c>
      <c r="AD152" s="137">
        <f t="shared" si="180"/>
        <v>-9033.5999999999985</v>
      </c>
      <c r="AE152" s="237">
        <f t="shared" si="169"/>
        <v>-21.432028469750886</v>
      </c>
      <c r="AF152" s="212">
        <f t="shared" si="150"/>
        <v>401418.18000000005</v>
      </c>
      <c r="AG152" s="212">
        <f t="shared" si="151"/>
        <v>66903.030000000013</v>
      </c>
      <c r="AH152" s="136">
        <f>66903+165250</f>
        <v>232153</v>
      </c>
      <c r="AI152" s="137">
        <v>193009.11</v>
      </c>
      <c r="AJ152" s="137">
        <f t="shared" si="181"/>
        <v>-39143.890000000014</v>
      </c>
      <c r="AK152" s="252">
        <f t="shared" si="170"/>
        <v>-16.861246677837471</v>
      </c>
      <c r="AL152" s="212">
        <v>66903</v>
      </c>
      <c r="AM152" s="137">
        <v>133077.82999999999</v>
      </c>
      <c r="AN152" s="169">
        <f t="shared" si="157"/>
        <v>66174.829999999987</v>
      </c>
      <c r="AO152" s="237">
        <f t="shared" si="171"/>
        <v>98.911603366067283</v>
      </c>
      <c r="AP152" s="243">
        <f t="shared" si="158"/>
        <v>66903</v>
      </c>
      <c r="AQ152" s="176">
        <v>12143.3</v>
      </c>
      <c r="AR152" s="169">
        <f t="shared" si="159"/>
        <v>-54759.7</v>
      </c>
      <c r="AS152" s="252">
        <f t="shared" si="172"/>
        <v>-81.849393898629359</v>
      </c>
      <c r="AT152" s="254">
        <f t="shared" si="160"/>
        <v>66903</v>
      </c>
      <c r="AU152" s="176">
        <v>46671.51</v>
      </c>
      <c r="AV152" s="169">
        <f t="shared" si="161"/>
        <v>-20231.489999999998</v>
      </c>
      <c r="AW152" s="237">
        <f t="shared" si="173"/>
        <v>-30.240034079189272</v>
      </c>
      <c r="AX152" s="243">
        <f t="shared" si="162"/>
        <v>66903</v>
      </c>
      <c r="AY152" s="176">
        <v>38085.67</v>
      </c>
      <c r="AZ152" s="169">
        <f t="shared" si="163"/>
        <v>-28817.33</v>
      </c>
      <c r="BA152" s="252">
        <f t="shared" si="174"/>
        <v>-43.073300150964833</v>
      </c>
      <c r="BB152" s="254">
        <f t="shared" si="164"/>
        <v>66903</v>
      </c>
      <c r="BC152" s="176">
        <v>28680</v>
      </c>
      <c r="BD152" s="137">
        <f t="shared" si="182"/>
        <v>-38223</v>
      </c>
      <c r="BE152" s="237">
        <f t="shared" si="175"/>
        <v>-57.131967176359801</v>
      </c>
      <c r="BF152" s="254">
        <f t="shared" si="152"/>
        <v>968086.18</v>
      </c>
      <c r="BG152" s="177">
        <f t="shared" si="155"/>
        <v>853085.60000000009</v>
      </c>
      <c r="BH152" s="63"/>
    </row>
    <row r="153" spans="2:60" s="11" customFormat="1" x14ac:dyDescent="0.25">
      <c r="B153" s="170">
        <v>51667</v>
      </c>
      <c r="C153" s="135">
        <v>366</v>
      </c>
      <c r="D153" s="152" t="s">
        <v>85</v>
      </c>
      <c r="E153" s="341"/>
      <c r="F153" s="725"/>
      <c r="G153" s="619">
        <v>7714.083333333333</v>
      </c>
      <c r="H153" s="212">
        <v>7720</v>
      </c>
      <c r="I153" s="137">
        <v>0</v>
      </c>
      <c r="J153" s="138">
        <f t="shared" si="153"/>
        <v>-7720</v>
      </c>
      <c r="K153" s="371">
        <f t="shared" si="154"/>
        <v>-100</v>
      </c>
      <c r="L153" s="136">
        <f>$H$153</f>
        <v>7720</v>
      </c>
      <c r="M153" s="137">
        <v>19320.5</v>
      </c>
      <c r="N153" s="137">
        <f t="shared" si="176"/>
        <v>11600.5</v>
      </c>
      <c r="O153" s="252">
        <f t="shared" si="165"/>
        <v>150.2655440414508</v>
      </c>
      <c r="P153" s="212">
        <f>$H$153</f>
        <v>7720</v>
      </c>
      <c r="Q153" s="137">
        <v>24269.200000000001</v>
      </c>
      <c r="R153" s="137">
        <f t="shared" si="177"/>
        <v>16549.2</v>
      </c>
      <c r="S153" s="237">
        <f t="shared" si="166"/>
        <v>214.3678756476684</v>
      </c>
      <c r="T153" s="212">
        <f>$H$153</f>
        <v>7720</v>
      </c>
      <c r="U153" s="137">
        <v>6167</v>
      </c>
      <c r="V153" s="137">
        <f t="shared" si="178"/>
        <v>-1553</v>
      </c>
      <c r="W153" s="237">
        <f t="shared" si="167"/>
        <v>-20.116580310880828</v>
      </c>
      <c r="X153" s="136">
        <f>$H$153</f>
        <v>7720</v>
      </c>
      <c r="Y153" s="137">
        <v>3932</v>
      </c>
      <c r="Z153" s="137">
        <f t="shared" si="179"/>
        <v>-3788</v>
      </c>
      <c r="AA153" s="240">
        <f t="shared" si="168"/>
        <v>-49.067357512953372</v>
      </c>
      <c r="AB153" s="212">
        <f>$H$153</f>
        <v>7720</v>
      </c>
      <c r="AC153" s="137">
        <v>8919</v>
      </c>
      <c r="AD153" s="137">
        <f t="shared" si="180"/>
        <v>1199</v>
      </c>
      <c r="AE153" s="237">
        <f t="shared" si="169"/>
        <v>15.531088082901556</v>
      </c>
      <c r="AF153" s="212">
        <f t="shared" si="150"/>
        <v>62607.7</v>
      </c>
      <c r="AG153" s="212">
        <f t="shared" si="151"/>
        <v>10434.616666666667</v>
      </c>
      <c r="AH153" s="136">
        <v>10750</v>
      </c>
      <c r="AI153" s="137">
        <v>5858</v>
      </c>
      <c r="AJ153" s="137">
        <f t="shared" si="181"/>
        <v>-4892</v>
      </c>
      <c r="AK153" s="252">
        <f t="shared" si="170"/>
        <v>-45.506976744186048</v>
      </c>
      <c r="AL153" s="212">
        <f t="shared" ref="AL153:AL160" si="183">AH153</f>
        <v>10750</v>
      </c>
      <c r="AM153" s="137">
        <v>2612.5</v>
      </c>
      <c r="AN153" s="169">
        <f t="shared" si="157"/>
        <v>-8137.5</v>
      </c>
      <c r="AO153" s="237">
        <f t="shared" si="171"/>
        <v>-75.697674418604649</v>
      </c>
      <c r="AP153" s="243">
        <f t="shared" si="158"/>
        <v>10750</v>
      </c>
      <c r="AQ153" s="176">
        <v>8577</v>
      </c>
      <c r="AR153" s="169">
        <f t="shared" si="159"/>
        <v>-2173</v>
      </c>
      <c r="AS153" s="252">
        <f t="shared" si="172"/>
        <v>-20.213953488372095</v>
      </c>
      <c r="AT153" s="254">
        <f t="shared" si="160"/>
        <v>10750</v>
      </c>
      <c r="AU153" s="176">
        <v>12164.87</v>
      </c>
      <c r="AV153" s="169">
        <f t="shared" si="161"/>
        <v>1414.8700000000008</v>
      </c>
      <c r="AW153" s="237">
        <f t="shared" si="173"/>
        <v>13.161581395348843</v>
      </c>
      <c r="AX153" s="243">
        <f t="shared" si="162"/>
        <v>10750</v>
      </c>
      <c r="AY153" s="176">
        <v>25603.37</v>
      </c>
      <c r="AZ153" s="169">
        <f t="shared" si="163"/>
        <v>14853.369999999999</v>
      </c>
      <c r="BA153" s="252">
        <f t="shared" si="174"/>
        <v>138.17088372093019</v>
      </c>
      <c r="BB153" s="254">
        <f t="shared" si="164"/>
        <v>10750</v>
      </c>
      <c r="BC153" s="176">
        <v>15037.37</v>
      </c>
      <c r="BD153" s="137">
        <f t="shared" si="182"/>
        <v>4287.3700000000008</v>
      </c>
      <c r="BE153" s="237">
        <f t="shared" si="175"/>
        <v>39.882511627906993</v>
      </c>
      <c r="BF153" s="254">
        <f t="shared" si="152"/>
        <v>127107.7</v>
      </c>
      <c r="BG153" s="177">
        <f t="shared" si="155"/>
        <v>132460.81</v>
      </c>
      <c r="BH153" s="63"/>
    </row>
    <row r="154" spans="2:60" s="11" customFormat="1" x14ac:dyDescent="0.25">
      <c r="B154" s="170">
        <v>27585</v>
      </c>
      <c r="C154" s="135">
        <v>210</v>
      </c>
      <c r="D154" s="152" t="s">
        <v>86</v>
      </c>
      <c r="E154" s="341"/>
      <c r="F154" s="738"/>
      <c r="G154" s="619">
        <v>155</v>
      </c>
      <c r="H154" s="212">
        <v>150</v>
      </c>
      <c r="I154" s="137">
        <v>0</v>
      </c>
      <c r="J154" s="138">
        <f t="shared" si="153"/>
        <v>-150</v>
      </c>
      <c r="K154" s="371">
        <f t="shared" si="154"/>
        <v>-100</v>
      </c>
      <c r="L154" s="136">
        <f>$H$154</f>
        <v>150</v>
      </c>
      <c r="M154" s="137">
        <v>0</v>
      </c>
      <c r="N154" s="137">
        <f t="shared" si="176"/>
        <v>-150</v>
      </c>
      <c r="O154" s="252">
        <f t="shared" si="165"/>
        <v>-100</v>
      </c>
      <c r="P154" s="212">
        <f>$H$154</f>
        <v>150</v>
      </c>
      <c r="Q154" s="137">
        <v>0</v>
      </c>
      <c r="R154" s="137">
        <f t="shared" si="177"/>
        <v>-150</v>
      </c>
      <c r="S154" s="237">
        <f t="shared" si="166"/>
        <v>-100</v>
      </c>
      <c r="T154" s="212">
        <f>$H$154</f>
        <v>150</v>
      </c>
      <c r="U154" s="137">
        <v>0</v>
      </c>
      <c r="V154" s="137">
        <f t="shared" si="178"/>
        <v>-150</v>
      </c>
      <c r="W154" s="237">
        <f t="shared" si="167"/>
        <v>-100</v>
      </c>
      <c r="X154" s="136">
        <f>$H$154</f>
        <v>150</v>
      </c>
      <c r="Y154" s="137">
        <v>0</v>
      </c>
      <c r="Z154" s="137">
        <f t="shared" si="179"/>
        <v>-150</v>
      </c>
      <c r="AA154" s="240">
        <f t="shared" si="168"/>
        <v>-100</v>
      </c>
      <c r="AB154" s="212">
        <f>$H$154</f>
        <v>150</v>
      </c>
      <c r="AC154" s="137">
        <v>7679</v>
      </c>
      <c r="AD154" s="137">
        <f t="shared" si="180"/>
        <v>7529</v>
      </c>
      <c r="AE154" s="237">
        <f t="shared" si="169"/>
        <v>5019.3333333333339</v>
      </c>
      <c r="AF154" s="212">
        <f t="shared" si="150"/>
        <v>7679</v>
      </c>
      <c r="AG154" s="212">
        <f t="shared" si="151"/>
        <v>1279.8333333333333</v>
      </c>
      <c r="AH154" s="136">
        <v>1280</v>
      </c>
      <c r="AI154" s="137">
        <v>16245.98</v>
      </c>
      <c r="AJ154" s="137">
        <f t="shared" si="181"/>
        <v>14965.98</v>
      </c>
      <c r="AK154" s="252">
        <f t="shared" si="170"/>
        <v>1169.2171874999999</v>
      </c>
      <c r="AL154" s="212">
        <f t="shared" si="183"/>
        <v>1280</v>
      </c>
      <c r="AM154" s="137">
        <v>-5642.28</v>
      </c>
      <c r="AN154" s="169">
        <f t="shared" si="157"/>
        <v>-6922.28</v>
      </c>
      <c r="AO154" s="237">
        <f t="shared" si="171"/>
        <v>-540.80312499999991</v>
      </c>
      <c r="AP154" s="243">
        <f t="shared" si="158"/>
        <v>1280</v>
      </c>
      <c r="AQ154" s="176">
        <v>0</v>
      </c>
      <c r="AR154" s="169">
        <f t="shared" si="159"/>
        <v>-1280</v>
      </c>
      <c r="AS154" s="252">
        <f t="shared" si="172"/>
        <v>-100</v>
      </c>
      <c r="AT154" s="254">
        <f t="shared" si="160"/>
        <v>1280</v>
      </c>
      <c r="AU154" s="176">
        <v>2860</v>
      </c>
      <c r="AV154" s="169">
        <f t="shared" si="161"/>
        <v>1580</v>
      </c>
      <c r="AW154" s="237">
        <f t="shared" si="173"/>
        <v>123.4375</v>
      </c>
      <c r="AX154" s="243">
        <f t="shared" si="162"/>
        <v>1280</v>
      </c>
      <c r="AY154" s="176">
        <v>108.6</v>
      </c>
      <c r="AZ154" s="169">
        <f t="shared" si="163"/>
        <v>-1171.4000000000001</v>
      </c>
      <c r="BA154" s="252">
        <f t="shared" si="174"/>
        <v>-91.515625</v>
      </c>
      <c r="BB154" s="254">
        <f t="shared" si="164"/>
        <v>1280</v>
      </c>
      <c r="BC154" s="176">
        <v>3847.65</v>
      </c>
      <c r="BD154" s="137">
        <f t="shared" si="182"/>
        <v>2567.65</v>
      </c>
      <c r="BE154" s="237">
        <f t="shared" si="175"/>
        <v>200.59765625</v>
      </c>
      <c r="BF154" s="254">
        <f t="shared" si="152"/>
        <v>15359</v>
      </c>
      <c r="BG154" s="177">
        <f t="shared" si="155"/>
        <v>25098.95</v>
      </c>
      <c r="BH154" s="63"/>
    </row>
    <row r="155" spans="2:60" s="11" customFormat="1" x14ac:dyDescent="0.25">
      <c r="B155" s="645">
        <v>11634</v>
      </c>
      <c r="C155" s="739">
        <v>312</v>
      </c>
      <c r="D155" s="646" t="s">
        <v>40</v>
      </c>
      <c r="E155" s="341"/>
      <c r="F155" s="738"/>
      <c r="G155" s="619"/>
      <c r="H155" s="212"/>
      <c r="I155" s="137"/>
      <c r="J155" s="138"/>
      <c r="K155" s="371"/>
      <c r="L155" s="136"/>
      <c r="M155" s="137"/>
      <c r="N155" s="137"/>
      <c r="O155" s="252"/>
      <c r="P155" s="212"/>
      <c r="Q155" s="137"/>
      <c r="R155" s="137"/>
      <c r="S155" s="237"/>
      <c r="T155" s="212"/>
      <c r="U155" s="137"/>
      <c r="V155" s="137"/>
      <c r="W155" s="237"/>
      <c r="X155" s="136"/>
      <c r="Y155" s="137"/>
      <c r="Z155" s="137"/>
      <c r="AA155" s="240"/>
      <c r="AB155" s="212"/>
      <c r="AC155" s="137"/>
      <c r="AD155" s="137"/>
      <c r="AE155" s="237"/>
      <c r="AF155" s="212"/>
      <c r="AG155" s="212"/>
      <c r="AH155" s="136"/>
      <c r="AI155" s="137"/>
      <c r="AJ155" s="137"/>
      <c r="AK155" s="252"/>
      <c r="AL155" s="212"/>
      <c r="AM155" s="137"/>
      <c r="AN155" s="169"/>
      <c r="AO155" s="237"/>
      <c r="AP155" s="243">
        <v>28733</v>
      </c>
      <c r="AQ155" s="176">
        <v>11207.42</v>
      </c>
      <c r="AR155" s="169">
        <f t="shared" si="159"/>
        <v>-17525.580000000002</v>
      </c>
      <c r="AS155" s="252">
        <f t="shared" si="172"/>
        <v>-60.994605505864328</v>
      </c>
      <c r="AT155" s="254">
        <v>28733</v>
      </c>
      <c r="AU155" s="176">
        <v>25894.26</v>
      </c>
      <c r="AV155" s="169">
        <f t="shared" si="161"/>
        <v>-2838.7400000000016</v>
      </c>
      <c r="AW155" s="237">
        <f t="shared" si="173"/>
        <v>-9.8797201823687111</v>
      </c>
      <c r="AX155" s="243">
        <v>28733</v>
      </c>
      <c r="AY155" s="176">
        <v>32933.35</v>
      </c>
      <c r="AZ155" s="169">
        <f t="shared" si="163"/>
        <v>4200.3499999999985</v>
      </c>
      <c r="BA155" s="252">
        <f t="shared" si="174"/>
        <v>14.618557059826664</v>
      </c>
      <c r="BB155" s="254">
        <v>28733</v>
      </c>
      <c r="BC155" s="176">
        <v>32183.82</v>
      </c>
      <c r="BD155" s="137">
        <f t="shared" si="182"/>
        <v>3450.8199999999997</v>
      </c>
      <c r="BE155" s="237">
        <f t="shared" si="175"/>
        <v>12.009953711759991</v>
      </c>
      <c r="BF155" s="254">
        <f>AF155+AH155+AL155+AP155+AT155+AX155+BB155</f>
        <v>114932</v>
      </c>
      <c r="BG155" s="177">
        <f>SUM(I155+M155+Q155+U155+Y155+AC155+AI155+AM155+AQ155+AU155+AY155+BC155)</f>
        <v>102218.85</v>
      </c>
      <c r="BH155" s="63"/>
    </row>
    <row r="156" spans="2:60" s="11" customFormat="1" x14ac:dyDescent="0.25">
      <c r="B156" s="170">
        <v>12900</v>
      </c>
      <c r="C156" s="135">
        <v>197</v>
      </c>
      <c r="D156" s="152" t="s">
        <v>87</v>
      </c>
      <c r="E156" s="341"/>
      <c r="F156" s="738"/>
      <c r="G156" s="619">
        <v>9456.8683333333338</v>
      </c>
      <c r="H156" s="212">
        <v>9460</v>
      </c>
      <c r="I156" s="137">
        <v>9430.25</v>
      </c>
      <c r="J156" s="138">
        <f t="shared" si="153"/>
        <v>-29.75</v>
      </c>
      <c r="K156" s="371">
        <f t="shared" si="154"/>
        <v>-0.3144820295983064</v>
      </c>
      <c r="L156" s="136">
        <f>$H$156</f>
        <v>9460</v>
      </c>
      <c r="M156" s="137">
        <v>9484.91</v>
      </c>
      <c r="N156" s="137">
        <f t="shared" si="176"/>
        <v>24.909999999999854</v>
      </c>
      <c r="O156" s="252">
        <f t="shared" si="165"/>
        <v>0.26331923890063891</v>
      </c>
      <c r="P156" s="212">
        <f>$H$156</f>
        <v>9460</v>
      </c>
      <c r="Q156" s="137">
        <v>26180.59</v>
      </c>
      <c r="R156" s="137">
        <f t="shared" si="177"/>
        <v>16720.59</v>
      </c>
      <c r="S156" s="237">
        <f t="shared" si="166"/>
        <v>176.750422832981</v>
      </c>
      <c r="T156" s="212">
        <f>$H$156</f>
        <v>9460</v>
      </c>
      <c r="U156" s="137">
        <v>9467.09</v>
      </c>
      <c r="V156" s="137">
        <f t="shared" si="178"/>
        <v>7.0900000000001455</v>
      </c>
      <c r="W156" s="237">
        <f t="shared" si="167"/>
        <v>7.494714587739093E-2</v>
      </c>
      <c r="X156" s="136">
        <f>$H$156</f>
        <v>9460</v>
      </c>
      <c r="Y156" s="137">
        <v>981.03</v>
      </c>
      <c r="Z156" s="137">
        <f t="shared" si="179"/>
        <v>-8478.9699999999993</v>
      </c>
      <c r="AA156" s="240">
        <f t="shared" si="168"/>
        <v>-89.629704016913323</v>
      </c>
      <c r="AB156" s="212">
        <f>$H$156</f>
        <v>9460</v>
      </c>
      <c r="AC156" s="137">
        <v>9198.31</v>
      </c>
      <c r="AD156" s="137">
        <f t="shared" si="180"/>
        <v>-261.69000000000051</v>
      </c>
      <c r="AE156" s="237">
        <f t="shared" si="169"/>
        <v>-2.7662790697674522</v>
      </c>
      <c r="AF156" s="212">
        <f t="shared" si="150"/>
        <v>64742.179999999993</v>
      </c>
      <c r="AG156" s="212">
        <f t="shared" si="151"/>
        <v>10790.363333333333</v>
      </c>
      <c r="AH156" s="136">
        <v>10800</v>
      </c>
      <c r="AI156" s="137">
        <v>8449.76</v>
      </c>
      <c r="AJ156" s="137">
        <f t="shared" si="181"/>
        <v>-2350.2399999999998</v>
      </c>
      <c r="AK156" s="252">
        <f t="shared" si="170"/>
        <v>-21.761481481481482</v>
      </c>
      <c r="AL156" s="212">
        <f t="shared" si="183"/>
        <v>10800</v>
      </c>
      <c r="AM156" s="137">
        <v>7145.71</v>
      </c>
      <c r="AN156" s="169">
        <f t="shared" si="157"/>
        <v>-3654.29</v>
      </c>
      <c r="AO156" s="237">
        <f t="shared" si="171"/>
        <v>-33.836018518518514</v>
      </c>
      <c r="AP156" s="243">
        <f t="shared" si="158"/>
        <v>10800</v>
      </c>
      <c r="AQ156" s="176">
        <v>7157.59</v>
      </c>
      <c r="AR156" s="169">
        <f t="shared" si="159"/>
        <v>-3642.41</v>
      </c>
      <c r="AS156" s="252">
        <f t="shared" si="172"/>
        <v>-33.726018518518522</v>
      </c>
      <c r="AT156" s="254">
        <f t="shared" si="160"/>
        <v>10800</v>
      </c>
      <c r="AU156" s="176">
        <v>7000.53</v>
      </c>
      <c r="AV156" s="169">
        <f t="shared" si="161"/>
        <v>-3799.4700000000003</v>
      </c>
      <c r="AW156" s="237">
        <f t="shared" si="173"/>
        <v>-35.180277777777782</v>
      </c>
      <c r="AX156" s="243">
        <f t="shared" si="162"/>
        <v>10800</v>
      </c>
      <c r="AY156" s="176">
        <v>7213.43</v>
      </c>
      <c r="AZ156" s="169">
        <f t="shared" si="163"/>
        <v>-3586.5699999999997</v>
      </c>
      <c r="BA156" s="252">
        <f t="shared" si="174"/>
        <v>-33.20898148148148</v>
      </c>
      <c r="BB156" s="254">
        <f t="shared" si="164"/>
        <v>10800</v>
      </c>
      <c r="BC156" s="176">
        <v>7048.05</v>
      </c>
      <c r="BD156" s="137">
        <f t="shared" si="182"/>
        <v>-3751.95</v>
      </c>
      <c r="BE156" s="237">
        <f t="shared" si="175"/>
        <v>-34.74027777777777</v>
      </c>
      <c r="BF156" s="254">
        <f t="shared" si="152"/>
        <v>129542.18</v>
      </c>
      <c r="BG156" s="177">
        <f t="shared" si="155"/>
        <v>108757.24999999999</v>
      </c>
      <c r="BH156" s="63"/>
    </row>
    <row r="157" spans="2:60" s="11" customFormat="1" x14ac:dyDescent="0.25">
      <c r="B157" s="170" t="s">
        <v>88</v>
      </c>
      <c r="C157" s="135" t="s">
        <v>89</v>
      </c>
      <c r="D157" s="152" t="s">
        <v>213</v>
      </c>
      <c r="E157" s="341"/>
      <c r="F157" s="738"/>
      <c r="G157" s="619">
        <v>45877.294999999991</v>
      </c>
      <c r="H157" s="212">
        <v>45880</v>
      </c>
      <c r="I157" s="137">
        <f>28324.84+21522.53</f>
        <v>49847.369999999995</v>
      </c>
      <c r="J157" s="138">
        <f t="shared" si="153"/>
        <v>3967.3699999999953</v>
      </c>
      <c r="K157" s="371">
        <f t="shared" si="154"/>
        <v>8.6472755013077496</v>
      </c>
      <c r="L157" s="136">
        <f>$H$157</f>
        <v>45880</v>
      </c>
      <c r="M157" s="137">
        <f>34775.92+21595.06</f>
        <v>56370.979999999996</v>
      </c>
      <c r="N157" s="137">
        <f t="shared" si="176"/>
        <v>10490.979999999996</v>
      </c>
      <c r="O157" s="252">
        <f t="shared" si="165"/>
        <v>22.866129032258065</v>
      </c>
      <c r="P157" s="212">
        <f>$H$157</f>
        <v>45880</v>
      </c>
      <c r="Q157" s="137">
        <f>21980.95+21435.9</f>
        <v>43416.850000000006</v>
      </c>
      <c r="R157" s="137">
        <f t="shared" si="177"/>
        <v>-2463.1499999999942</v>
      </c>
      <c r="S157" s="237">
        <f t="shared" si="166"/>
        <v>-5.3686791630339847</v>
      </c>
      <c r="T157" s="212">
        <f>$H$157</f>
        <v>45880</v>
      </c>
      <c r="U157" s="137">
        <f>23516.41+19726.24</f>
        <v>43242.65</v>
      </c>
      <c r="V157" s="137">
        <f t="shared" si="178"/>
        <v>-2637.3499999999985</v>
      </c>
      <c r="W157" s="237">
        <f t="shared" si="167"/>
        <v>-5.748365300784652</v>
      </c>
      <c r="X157" s="136">
        <f>$H$157</f>
        <v>45880</v>
      </c>
      <c r="Y157" s="137">
        <f>25076.21+21620.34</f>
        <v>46696.55</v>
      </c>
      <c r="Z157" s="137">
        <f t="shared" si="179"/>
        <v>816.55000000000291</v>
      </c>
      <c r="AA157" s="240">
        <f t="shared" si="168"/>
        <v>1.7797515257192753</v>
      </c>
      <c r="AB157" s="212">
        <f>$H$157</f>
        <v>45880</v>
      </c>
      <c r="AC157" s="137">
        <f>24304.16+22926.12</f>
        <v>47230.28</v>
      </c>
      <c r="AD157" s="137">
        <f t="shared" si="180"/>
        <v>1350.2799999999988</v>
      </c>
      <c r="AE157" s="237">
        <f t="shared" si="169"/>
        <v>2.9430688753269374</v>
      </c>
      <c r="AF157" s="212">
        <f t="shared" si="150"/>
        <v>286804.68000000005</v>
      </c>
      <c r="AG157" s="212">
        <f t="shared" si="151"/>
        <v>47800.780000000006</v>
      </c>
      <c r="AH157" s="136">
        <v>47920</v>
      </c>
      <c r="AI157" s="137">
        <f>23482.33+23776.83</f>
        <v>47259.16</v>
      </c>
      <c r="AJ157" s="137">
        <f t="shared" si="181"/>
        <v>-660.83999999999651</v>
      </c>
      <c r="AK157" s="252">
        <f t="shared" si="170"/>
        <v>-1.379048414023365</v>
      </c>
      <c r="AL157" s="212">
        <f t="shared" si="183"/>
        <v>47920</v>
      </c>
      <c r="AM157" s="137">
        <f>29395.74+23235.16</f>
        <v>52630.9</v>
      </c>
      <c r="AN157" s="169">
        <f t="shared" si="157"/>
        <v>4710.9000000000015</v>
      </c>
      <c r="AO157" s="237">
        <f t="shared" si="171"/>
        <v>9.8307595993322181</v>
      </c>
      <c r="AP157" s="243">
        <f t="shared" si="158"/>
        <v>47920</v>
      </c>
      <c r="AQ157" s="176">
        <f>21855.39+24885.26</f>
        <v>46740.649999999994</v>
      </c>
      <c r="AR157" s="169">
        <f t="shared" si="159"/>
        <v>-1179.3500000000058</v>
      </c>
      <c r="AS157" s="252">
        <f t="shared" si="172"/>
        <v>-2.4610809682804824</v>
      </c>
      <c r="AT157" s="254">
        <f t="shared" si="160"/>
        <v>47920</v>
      </c>
      <c r="AU157" s="176">
        <f>16008.74+23138.77</f>
        <v>39147.51</v>
      </c>
      <c r="AV157" s="169">
        <f t="shared" si="161"/>
        <v>-8772.489999999998</v>
      </c>
      <c r="AW157" s="237">
        <f t="shared" si="173"/>
        <v>-18.306531719532547</v>
      </c>
      <c r="AX157" s="243">
        <f t="shared" si="162"/>
        <v>47920</v>
      </c>
      <c r="AY157" s="176">
        <f>16842.5+24086.8</f>
        <v>40929.300000000003</v>
      </c>
      <c r="AZ157" s="169">
        <f t="shared" si="163"/>
        <v>-6990.6999999999971</v>
      </c>
      <c r="BA157" s="252">
        <f t="shared" si="174"/>
        <v>-14.58827212020033</v>
      </c>
      <c r="BB157" s="254">
        <f t="shared" si="164"/>
        <v>47920</v>
      </c>
      <c r="BC157" s="176">
        <f>30825.96+26849.33</f>
        <v>57675.29</v>
      </c>
      <c r="BD157" s="137">
        <f t="shared" si="182"/>
        <v>9755.2900000000009</v>
      </c>
      <c r="BE157" s="237">
        <f t="shared" si="175"/>
        <v>20.35744991652755</v>
      </c>
      <c r="BF157" s="254">
        <f t="shared" si="152"/>
        <v>574324.68000000005</v>
      </c>
      <c r="BG157" s="177">
        <f t="shared" si="155"/>
        <v>571187.49000000011</v>
      </c>
      <c r="BH157" s="63"/>
    </row>
    <row r="158" spans="2:60" s="11" customFormat="1" x14ac:dyDescent="0.25">
      <c r="B158" s="170" t="s">
        <v>90</v>
      </c>
      <c r="C158" s="135" t="s">
        <v>91</v>
      </c>
      <c r="D158" s="152" t="s">
        <v>92</v>
      </c>
      <c r="E158" s="341"/>
      <c r="F158" s="738"/>
      <c r="G158" s="619">
        <v>145506.52666666667</v>
      </c>
      <c r="H158" s="212">
        <v>145510</v>
      </c>
      <c r="I158" s="137">
        <f>11552.17+211756.93</f>
        <v>223309.1</v>
      </c>
      <c r="J158" s="138">
        <f t="shared" si="153"/>
        <v>77799.100000000006</v>
      </c>
      <c r="K158" s="371">
        <f t="shared" si="154"/>
        <v>53.466497147962343</v>
      </c>
      <c r="L158" s="136">
        <f>$H$158</f>
        <v>145510</v>
      </c>
      <c r="M158" s="137">
        <f>21009.55+164685.95</f>
        <v>185695.5</v>
      </c>
      <c r="N158" s="137">
        <f t="shared" si="176"/>
        <v>40185.5</v>
      </c>
      <c r="O158" s="252">
        <f t="shared" si="165"/>
        <v>27.617002267885372</v>
      </c>
      <c r="P158" s="212">
        <f>$H$158</f>
        <v>145510</v>
      </c>
      <c r="Q158" s="137">
        <f>15316.45+186913.94</f>
        <v>202230.39</v>
      </c>
      <c r="R158" s="137">
        <f t="shared" si="177"/>
        <v>56720.390000000014</v>
      </c>
      <c r="S158" s="237">
        <f t="shared" si="166"/>
        <v>38.980406844890389</v>
      </c>
      <c r="T158" s="212">
        <f>$H$158</f>
        <v>145510</v>
      </c>
      <c r="U158" s="137">
        <f>14397.04+163627.14</f>
        <v>178024.18000000002</v>
      </c>
      <c r="V158" s="137">
        <f t="shared" si="178"/>
        <v>32514.180000000022</v>
      </c>
      <c r="W158" s="237">
        <f t="shared" si="167"/>
        <v>22.344979726479288</v>
      </c>
      <c r="X158" s="136">
        <f>$H$158</f>
        <v>145510</v>
      </c>
      <c r="Y158" s="137">
        <f>16666.43+170274.44</f>
        <v>186940.87</v>
      </c>
      <c r="Z158" s="137">
        <f t="shared" si="179"/>
        <v>41430.869999999995</v>
      </c>
      <c r="AA158" s="240">
        <f t="shared" si="168"/>
        <v>28.472867844134431</v>
      </c>
      <c r="AB158" s="212">
        <f>$H$158</f>
        <v>145510</v>
      </c>
      <c r="AC158" s="137">
        <f>11103.46+131412.8</f>
        <v>142516.25999999998</v>
      </c>
      <c r="AD158" s="137">
        <f t="shared" si="180"/>
        <v>-2993.7400000000198</v>
      </c>
      <c r="AE158" s="237">
        <f t="shared" si="169"/>
        <v>-2.0574118617277315</v>
      </c>
      <c r="AF158" s="212">
        <f t="shared" si="150"/>
        <v>1118716.3</v>
      </c>
      <c r="AG158" s="212">
        <f t="shared" si="151"/>
        <v>186452.71666666667</v>
      </c>
      <c r="AH158" s="136">
        <v>187000</v>
      </c>
      <c r="AI158" s="137">
        <f>8993.46+124142.32</f>
        <v>133135.78</v>
      </c>
      <c r="AJ158" s="137">
        <f t="shared" si="181"/>
        <v>-53864.22</v>
      </c>
      <c r="AK158" s="252">
        <f t="shared" si="170"/>
        <v>-28.804395721925136</v>
      </c>
      <c r="AL158" s="212">
        <f t="shared" si="183"/>
        <v>187000</v>
      </c>
      <c r="AM158" s="137">
        <f>9855.28+138617.27</f>
        <v>148472.54999999999</v>
      </c>
      <c r="AN158" s="169">
        <f t="shared" si="157"/>
        <v>-38527.450000000012</v>
      </c>
      <c r="AO158" s="237">
        <f t="shared" si="171"/>
        <v>-20.602914438502683</v>
      </c>
      <c r="AP158" s="243">
        <f t="shared" si="158"/>
        <v>187000</v>
      </c>
      <c r="AQ158" s="176">
        <f>13188.43+167314.13</f>
        <v>180502.56</v>
      </c>
      <c r="AR158" s="169">
        <f t="shared" si="159"/>
        <v>-6497.4400000000023</v>
      </c>
      <c r="AS158" s="252">
        <f t="shared" si="172"/>
        <v>-3.4745668449197908</v>
      </c>
      <c r="AT158" s="254">
        <f t="shared" si="160"/>
        <v>187000</v>
      </c>
      <c r="AU158" s="176">
        <f>15454.77+173755.61</f>
        <v>189210.37999999998</v>
      </c>
      <c r="AV158" s="169">
        <f t="shared" si="161"/>
        <v>2210.3799999999756</v>
      </c>
      <c r="AW158" s="237">
        <f t="shared" si="173"/>
        <v>1.1820213903743104</v>
      </c>
      <c r="AX158" s="243">
        <f t="shared" si="162"/>
        <v>187000</v>
      </c>
      <c r="AY158" s="176">
        <f>17370.09+174155.89</f>
        <v>191525.98</v>
      </c>
      <c r="AZ158" s="169">
        <f t="shared" si="163"/>
        <v>4525.9800000000105</v>
      </c>
      <c r="BA158" s="252">
        <f t="shared" si="174"/>
        <v>2.4203101604278077</v>
      </c>
      <c r="BB158" s="254">
        <f t="shared" si="164"/>
        <v>187000</v>
      </c>
      <c r="BC158" s="176">
        <f>14724.78+162907.93</f>
        <v>177632.71</v>
      </c>
      <c r="BD158" s="137">
        <f t="shared" si="182"/>
        <v>-9367.2900000000081</v>
      </c>
      <c r="BE158" s="237">
        <f t="shared" si="175"/>
        <v>-5.0092459893048229</v>
      </c>
      <c r="BF158" s="254">
        <f t="shared" si="152"/>
        <v>2240716.2999999998</v>
      </c>
      <c r="BG158" s="177">
        <f t="shared" si="155"/>
        <v>2139196.2600000002</v>
      </c>
      <c r="BH158" s="63"/>
    </row>
    <row r="159" spans="2:60" s="1" customFormat="1" x14ac:dyDescent="0.25">
      <c r="B159" s="740">
        <v>12869</v>
      </c>
      <c r="C159" s="741" t="s">
        <v>93</v>
      </c>
      <c r="D159" s="152" t="s">
        <v>94</v>
      </c>
      <c r="E159" s="341"/>
      <c r="F159" s="738"/>
      <c r="G159" s="619">
        <v>42982.293333333335</v>
      </c>
      <c r="H159" s="212">
        <v>42990</v>
      </c>
      <c r="I159" s="137">
        <v>47009.05</v>
      </c>
      <c r="J159" s="138">
        <f t="shared" si="153"/>
        <v>4019.0500000000029</v>
      </c>
      <c r="K159" s="371">
        <f t="shared" si="154"/>
        <v>9.3488020469876698</v>
      </c>
      <c r="L159" s="136">
        <f>$H$159</f>
        <v>42990</v>
      </c>
      <c r="M159" s="137">
        <v>36814.75</v>
      </c>
      <c r="N159" s="137">
        <f t="shared" si="176"/>
        <v>-6175.25</v>
      </c>
      <c r="O159" s="252">
        <f t="shared" si="165"/>
        <v>-14.36438706675971</v>
      </c>
      <c r="P159" s="212">
        <f>$H$159</f>
        <v>42990</v>
      </c>
      <c r="Q159" s="137">
        <v>21538.16</v>
      </c>
      <c r="R159" s="137">
        <f t="shared" si="177"/>
        <v>-21451.84</v>
      </c>
      <c r="S159" s="237">
        <f t="shared" si="166"/>
        <v>-49.899604559199815</v>
      </c>
      <c r="T159" s="212">
        <f>$H$159</f>
        <v>42990</v>
      </c>
      <c r="U159" s="137">
        <v>61467.15</v>
      </c>
      <c r="V159" s="137">
        <f t="shared" si="178"/>
        <v>18477.150000000001</v>
      </c>
      <c r="W159" s="237">
        <f t="shared" si="167"/>
        <v>42.980111653872989</v>
      </c>
      <c r="X159" s="136">
        <f>$H$159</f>
        <v>42990</v>
      </c>
      <c r="Y159" s="137">
        <v>66424.95</v>
      </c>
      <c r="Z159" s="137">
        <f t="shared" si="179"/>
        <v>23434.949999999997</v>
      </c>
      <c r="AA159" s="240">
        <f t="shared" si="168"/>
        <v>54.512561060711782</v>
      </c>
      <c r="AB159" s="212">
        <f>$H$159</f>
        <v>42990</v>
      </c>
      <c r="AC159" s="137">
        <v>42973.83</v>
      </c>
      <c r="AD159" s="137">
        <f t="shared" si="180"/>
        <v>-16.169999999998254</v>
      </c>
      <c r="AE159" s="237">
        <f t="shared" si="169"/>
        <v>-3.7613398464753089E-2</v>
      </c>
      <c r="AF159" s="212">
        <f t="shared" si="150"/>
        <v>276227.89</v>
      </c>
      <c r="AG159" s="212">
        <f t="shared" si="151"/>
        <v>46037.981666666667</v>
      </c>
      <c r="AH159" s="136">
        <v>46400</v>
      </c>
      <c r="AI159" s="137">
        <v>53972.13</v>
      </c>
      <c r="AJ159" s="137">
        <f t="shared" si="181"/>
        <v>7572.1299999999974</v>
      </c>
      <c r="AK159" s="252">
        <f t="shared" si="170"/>
        <v>16.319245689655169</v>
      </c>
      <c r="AL159" s="212">
        <f t="shared" si="183"/>
        <v>46400</v>
      </c>
      <c r="AM159" s="137">
        <v>48240.78</v>
      </c>
      <c r="AN159" s="169">
        <f t="shared" si="157"/>
        <v>1840.7799999999988</v>
      </c>
      <c r="AO159" s="237">
        <f t="shared" si="171"/>
        <v>3.9671982758620716</v>
      </c>
      <c r="AP159" s="243">
        <f t="shared" si="158"/>
        <v>46400</v>
      </c>
      <c r="AQ159" s="176">
        <v>45531.72</v>
      </c>
      <c r="AR159" s="169">
        <f t="shared" si="159"/>
        <v>-868.27999999999884</v>
      </c>
      <c r="AS159" s="252">
        <f t="shared" si="172"/>
        <v>-1.8712931034482683</v>
      </c>
      <c r="AT159" s="254">
        <f t="shared" si="160"/>
        <v>46400</v>
      </c>
      <c r="AU159" s="176">
        <v>45620.39</v>
      </c>
      <c r="AV159" s="169">
        <f t="shared" si="161"/>
        <v>-779.61000000000058</v>
      </c>
      <c r="AW159" s="237">
        <f t="shared" si="173"/>
        <v>-1.6801939655172404</v>
      </c>
      <c r="AX159" s="243">
        <f t="shared" si="162"/>
        <v>46400</v>
      </c>
      <c r="AY159" s="176">
        <v>53497</v>
      </c>
      <c r="AZ159" s="169">
        <f t="shared" si="163"/>
        <v>7097</v>
      </c>
      <c r="BA159" s="252">
        <f t="shared" si="174"/>
        <v>15.295258620689655</v>
      </c>
      <c r="BB159" s="254">
        <f t="shared" si="164"/>
        <v>46400</v>
      </c>
      <c r="BC159" s="176">
        <v>40386.959999999999</v>
      </c>
      <c r="BD159" s="137">
        <f t="shared" si="182"/>
        <v>-6013.0400000000009</v>
      </c>
      <c r="BE159" s="237">
        <f t="shared" si="175"/>
        <v>-12.959137931034482</v>
      </c>
      <c r="BF159" s="254">
        <f t="shared" si="152"/>
        <v>554627.89</v>
      </c>
      <c r="BG159" s="177">
        <f t="shared" si="155"/>
        <v>563476.87</v>
      </c>
      <c r="BH159" s="63"/>
    </row>
    <row r="160" spans="2:60" s="11" customFormat="1" ht="16.5" thickBot="1" x14ac:dyDescent="0.3">
      <c r="B160" s="178">
        <v>32937</v>
      </c>
      <c r="C160" s="179">
        <v>231</v>
      </c>
      <c r="D160" s="180" t="s">
        <v>95</v>
      </c>
      <c r="E160" s="348"/>
      <c r="F160" s="742"/>
      <c r="G160" s="743">
        <v>22068.513333333332</v>
      </c>
      <c r="H160" s="214">
        <v>22070</v>
      </c>
      <c r="I160" s="182">
        <v>41055</v>
      </c>
      <c r="J160" s="250">
        <f t="shared" si="153"/>
        <v>18985</v>
      </c>
      <c r="K160" s="374">
        <f t="shared" si="154"/>
        <v>86.021748980516534</v>
      </c>
      <c r="L160" s="214">
        <f>$H$160</f>
        <v>22070</v>
      </c>
      <c r="M160" s="182">
        <v>0</v>
      </c>
      <c r="N160" s="182">
        <f t="shared" si="176"/>
        <v>-22070</v>
      </c>
      <c r="O160" s="253">
        <f t="shared" si="165"/>
        <v>-100</v>
      </c>
      <c r="P160" s="247">
        <f>$H$160</f>
        <v>22070</v>
      </c>
      <c r="Q160" s="182">
        <v>18006.32</v>
      </c>
      <c r="R160" s="182">
        <f t="shared" si="177"/>
        <v>-4063.6800000000003</v>
      </c>
      <c r="S160" s="248">
        <f t="shared" si="166"/>
        <v>-18.412686905301314</v>
      </c>
      <c r="T160" s="247">
        <f>$H$160</f>
        <v>22070</v>
      </c>
      <c r="U160" s="182">
        <v>19895.22</v>
      </c>
      <c r="V160" s="182">
        <f t="shared" si="178"/>
        <v>-2174.7799999999988</v>
      </c>
      <c r="W160" s="248">
        <f t="shared" si="167"/>
        <v>-9.8540099682827282</v>
      </c>
      <c r="X160" s="181">
        <f>$H$160</f>
        <v>22070</v>
      </c>
      <c r="Y160" s="182">
        <v>23314.32</v>
      </c>
      <c r="Z160" s="182">
        <f t="shared" si="179"/>
        <v>1244.3199999999997</v>
      </c>
      <c r="AA160" s="239">
        <f t="shared" si="168"/>
        <v>5.6380607159039364</v>
      </c>
      <c r="AB160" s="247">
        <f>$H$160</f>
        <v>22070</v>
      </c>
      <c r="AC160" s="182">
        <v>29106.04</v>
      </c>
      <c r="AD160" s="182">
        <f t="shared" si="180"/>
        <v>7036.0400000000009</v>
      </c>
      <c r="AE160" s="248">
        <f t="shared" si="169"/>
        <v>31.880561848663348</v>
      </c>
      <c r="AF160" s="247">
        <f t="shared" si="150"/>
        <v>131376.90000000002</v>
      </c>
      <c r="AG160" s="247">
        <f t="shared" si="151"/>
        <v>21896.150000000005</v>
      </c>
      <c r="AH160" s="181">
        <v>21900</v>
      </c>
      <c r="AI160" s="182">
        <v>23330.6</v>
      </c>
      <c r="AJ160" s="182">
        <f t="shared" si="181"/>
        <v>1430.5999999999985</v>
      </c>
      <c r="AK160" s="253">
        <f t="shared" si="170"/>
        <v>6.5324200913241981</v>
      </c>
      <c r="AL160" s="247">
        <f t="shared" si="183"/>
        <v>21900</v>
      </c>
      <c r="AM160" s="182">
        <v>32185.25</v>
      </c>
      <c r="AN160" s="182">
        <f t="shared" si="157"/>
        <v>10285.25</v>
      </c>
      <c r="AO160" s="248">
        <f t="shared" si="171"/>
        <v>46.964611872146108</v>
      </c>
      <c r="AP160" s="545">
        <f t="shared" si="158"/>
        <v>21900</v>
      </c>
      <c r="AQ160" s="183">
        <v>30506.55</v>
      </c>
      <c r="AR160" s="182">
        <f t="shared" si="159"/>
        <v>8606.5499999999993</v>
      </c>
      <c r="AS160" s="253">
        <f t="shared" si="172"/>
        <v>39.299315068493158</v>
      </c>
      <c r="AT160" s="255">
        <f t="shared" si="160"/>
        <v>21900</v>
      </c>
      <c r="AU160" s="183">
        <v>30455.74</v>
      </c>
      <c r="AV160" s="182">
        <f t="shared" si="161"/>
        <v>8555.7400000000016</v>
      </c>
      <c r="AW160" s="248">
        <f t="shared" si="173"/>
        <v>39.067305936073062</v>
      </c>
      <c r="AX160" s="545">
        <f t="shared" si="162"/>
        <v>21900</v>
      </c>
      <c r="AY160" s="183">
        <v>45041.16</v>
      </c>
      <c r="AZ160" s="182">
        <f t="shared" si="163"/>
        <v>23141.160000000003</v>
      </c>
      <c r="BA160" s="253">
        <f t="shared" si="174"/>
        <v>105.66739726027402</v>
      </c>
      <c r="BB160" s="255">
        <f t="shared" si="164"/>
        <v>21900</v>
      </c>
      <c r="BC160" s="183">
        <v>32223.23</v>
      </c>
      <c r="BD160" s="183">
        <f t="shared" si="182"/>
        <v>10323.23</v>
      </c>
      <c r="BE160" s="248">
        <f t="shared" si="175"/>
        <v>47.138036529680363</v>
      </c>
      <c r="BF160" s="255">
        <f t="shared" si="152"/>
        <v>262776.90000000002</v>
      </c>
      <c r="BG160" s="184">
        <f t="shared" si="155"/>
        <v>325119.43</v>
      </c>
      <c r="BH160" s="63"/>
    </row>
    <row r="161" spans="2:60" s="11" customFormat="1" ht="16.5" thickBot="1" x14ac:dyDescent="0.3">
      <c r="B161" s="161"/>
      <c r="E161" s="346"/>
      <c r="F161" s="347"/>
      <c r="G161" s="333"/>
      <c r="H161" s="334"/>
      <c r="I161" s="119"/>
      <c r="J161" s="118"/>
      <c r="K161" s="12"/>
      <c r="L161" s="119"/>
      <c r="M161" s="118"/>
      <c r="N161" s="118"/>
      <c r="O161" s="119"/>
      <c r="P161" s="119"/>
      <c r="Q161" s="119"/>
      <c r="R161" s="118"/>
      <c r="S161" s="119"/>
      <c r="T161" s="119"/>
      <c r="U161" s="119"/>
      <c r="V161" s="118"/>
      <c r="W161" s="119"/>
      <c r="X161" s="119"/>
      <c r="Y161" s="119"/>
      <c r="Z161" s="118"/>
      <c r="AA161" s="119"/>
      <c r="AB161" s="119"/>
      <c r="AC161" s="119"/>
      <c r="AD161" s="119"/>
      <c r="AE161" s="119"/>
      <c r="AF161" s="119"/>
      <c r="AG161" s="119"/>
      <c r="AH161" s="119"/>
      <c r="AI161" s="119"/>
      <c r="AJ161" s="119"/>
      <c r="AK161" s="119"/>
      <c r="AL161" s="119"/>
      <c r="AM161" s="119"/>
      <c r="AN161" s="119"/>
      <c r="AO161" s="119"/>
      <c r="AP161" s="119"/>
      <c r="AQ161" s="119"/>
      <c r="AR161" s="119"/>
      <c r="AS161" s="119"/>
      <c r="AT161" s="119"/>
      <c r="AU161" s="119"/>
      <c r="AV161" s="119"/>
      <c r="AW161" s="119"/>
      <c r="AX161" s="119"/>
      <c r="AY161" s="119"/>
      <c r="AZ161" s="119"/>
      <c r="BA161" s="119"/>
      <c r="BB161" s="119"/>
      <c r="BC161" s="119"/>
      <c r="BD161" s="119"/>
      <c r="BE161" s="119"/>
      <c r="BF161" s="119"/>
      <c r="BG161" s="119"/>
      <c r="BH161" s="63"/>
    </row>
    <row r="162" spans="2:60" s="8" customFormat="1" ht="16.5" thickBot="1" x14ac:dyDescent="0.3">
      <c r="B162" s="165"/>
      <c r="C162" s="41"/>
      <c r="D162" s="49" t="s">
        <v>172</v>
      </c>
      <c r="E162" s="50"/>
      <c r="F162" s="50"/>
      <c r="G162" s="818">
        <f>SUM(G163:G194)</f>
        <v>989894.54500000039</v>
      </c>
      <c r="H162" s="718">
        <f>SUM(H163:H194)</f>
        <v>969300</v>
      </c>
      <c r="I162" s="719">
        <f>SUM(I163:I194)</f>
        <v>1428475.7400000002</v>
      </c>
      <c r="J162" s="720">
        <f t="shared" ref="J162:J194" si="184">I162-H162</f>
        <v>459175.74000000022</v>
      </c>
      <c r="K162" s="241">
        <f t="shared" ref="K162:K181" si="185">((I162/H162)-1)*100</f>
        <v>47.37189105540083</v>
      </c>
      <c r="L162" s="721">
        <f>SUM(L163:L194)</f>
        <v>969300</v>
      </c>
      <c r="M162" s="719">
        <f>SUM(M163:M194)</f>
        <v>1096396.3600000001</v>
      </c>
      <c r="N162" s="719">
        <f>M162-L162</f>
        <v>127096.3600000001</v>
      </c>
      <c r="O162" s="730">
        <f>((M162/L162)-1)*100</f>
        <v>13.112179923656253</v>
      </c>
      <c r="P162" s="718">
        <f>SUM(P163:P194)</f>
        <v>969300</v>
      </c>
      <c r="Q162" s="719">
        <f>SUM(Q163:Q194)</f>
        <v>931876.04999999993</v>
      </c>
      <c r="R162" s="719">
        <f>Q162-P162</f>
        <v>-37423.95000000007</v>
      </c>
      <c r="S162" s="234">
        <f>((Q162/P162)-1)*100</f>
        <v>-3.8609254100897661</v>
      </c>
      <c r="T162" s="721">
        <f>SUM(T163:T194)</f>
        <v>969300</v>
      </c>
      <c r="U162" s="719">
        <f>SUM(U163:U194)</f>
        <v>891822.7</v>
      </c>
      <c r="V162" s="719">
        <f>U162-T162</f>
        <v>-77477.300000000047</v>
      </c>
      <c r="W162" s="730">
        <f>((U162/T162)-1)*100</f>
        <v>-7.9931187454864379</v>
      </c>
      <c r="X162" s="718">
        <f>SUM(X163:X194)</f>
        <v>969650</v>
      </c>
      <c r="Y162" s="719">
        <f>SUM(Y163:Y194)</f>
        <v>1211588.2099999997</v>
      </c>
      <c r="Z162" s="719">
        <f>Y162-X162</f>
        <v>241938.20999999973</v>
      </c>
      <c r="AA162" s="234">
        <f>((Y162/X162)-1)*100</f>
        <v>24.951086474501082</v>
      </c>
      <c r="AB162" s="718">
        <f>SUM(AB163:AB194)</f>
        <v>969300</v>
      </c>
      <c r="AC162" s="719">
        <f>SUM(AC163:AC194)</f>
        <v>962989.72999999986</v>
      </c>
      <c r="AD162" s="719">
        <f>AC162-AB162</f>
        <v>-6310.270000000135</v>
      </c>
      <c r="AE162" s="234">
        <f>((AC162/AB162)-1)*100</f>
        <v>-0.65101310223873998</v>
      </c>
      <c r="AF162" s="719">
        <f>SUM(I162+M162+Q162+U162+Y162+AC162)</f>
        <v>6523148.79</v>
      </c>
      <c r="AG162" s="719">
        <f t="shared" si="151"/>
        <v>1087191.4650000001</v>
      </c>
      <c r="AH162" s="721">
        <f>SUM(AH163:AH194)</f>
        <v>1048300</v>
      </c>
      <c r="AI162" s="719">
        <f>SUM(AI163:AI194)</f>
        <v>1025277.7500000003</v>
      </c>
      <c r="AJ162" s="719">
        <f>AI162-AH162</f>
        <v>-23022.249999999651</v>
      </c>
      <c r="AK162" s="730">
        <f>((AI162/AH162)-1)*100</f>
        <v>-2.1961509109987287</v>
      </c>
      <c r="AL162" s="718">
        <f>SUM(AL163:AL194)</f>
        <v>993000</v>
      </c>
      <c r="AM162" s="719">
        <f>SUM(AM163:AM194)</f>
        <v>1165417.9999999998</v>
      </c>
      <c r="AN162" s="719">
        <f>AM162-AL162</f>
        <v>172417.99999999977</v>
      </c>
      <c r="AO162" s="234">
        <f>((AM162/AL162)-1)*100</f>
        <v>17.363343403826768</v>
      </c>
      <c r="AP162" s="723">
        <f>SUM(AP163:AP194)</f>
        <v>993000</v>
      </c>
      <c r="AQ162" s="117">
        <f>SUM(AQ163:AQ194)</f>
        <v>1038572.89</v>
      </c>
      <c r="AR162" s="719">
        <f>AQ162-AP162</f>
        <v>45572.890000000014</v>
      </c>
      <c r="AS162" s="730">
        <f>((AQ162/AP162)-1)*100</f>
        <v>4.5894149043303134</v>
      </c>
      <c r="AT162" s="732">
        <f>SUM(AT163:AT194)</f>
        <v>993000</v>
      </c>
      <c r="AU162" s="117">
        <f>SUM(AU163:AU194)</f>
        <v>944262.68</v>
      </c>
      <c r="AV162" s="719">
        <f>AU162-AT162</f>
        <v>-48737.319999999949</v>
      </c>
      <c r="AW162" s="234">
        <f>((AU162/AT162)-1)*100</f>
        <v>-4.9080886203423884</v>
      </c>
      <c r="AX162" s="723">
        <f>SUM(AX163:AX194)</f>
        <v>993000</v>
      </c>
      <c r="AY162" s="117">
        <f>SUM(AY163:AY194)</f>
        <v>1020763.5899999997</v>
      </c>
      <c r="AZ162" s="719">
        <f>AY162-AX162</f>
        <v>27763.589999999735</v>
      </c>
      <c r="BA162" s="730">
        <f>((AY162/AX162)-1)*100</f>
        <v>2.7959305135951462</v>
      </c>
      <c r="BB162" s="732">
        <f>SUM(BB163:BB194)</f>
        <v>993000</v>
      </c>
      <c r="BC162" s="117">
        <f>SUM(BC163:BC194)</f>
        <v>1361879.67</v>
      </c>
      <c r="BD162" s="719">
        <f>BC162-BB162</f>
        <v>368879.66999999993</v>
      </c>
      <c r="BE162" s="234">
        <f>((BC162/BB162)-1)*100</f>
        <v>37.148003021148021</v>
      </c>
      <c r="BF162" s="732">
        <f>AF162+AH162+AL162+AP162+AT162+AX162+BB162</f>
        <v>12536448.789999999</v>
      </c>
      <c r="BG162" s="116">
        <f t="shared" ref="BG162:BG194" si="186">SUM(I162+M162+Q162+U162+Y162+AC162+AI162+AM162+AQ162+AU162+AY162+BC162)</f>
        <v>13079323.369999999</v>
      </c>
      <c r="BH162" s="63"/>
    </row>
    <row r="163" spans="2:60" s="11" customFormat="1" x14ac:dyDescent="0.25">
      <c r="B163" s="170" t="s">
        <v>96</v>
      </c>
      <c r="C163" s="135">
        <v>255</v>
      </c>
      <c r="D163" s="189" t="s">
        <v>97</v>
      </c>
      <c r="E163" s="344"/>
      <c r="F163" s="733"/>
      <c r="G163" s="736">
        <v>163000</v>
      </c>
      <c r="H163" s="542">
        <f>F163*G163+G163</f>
        <v>163000</v>
      </c>
      <c r="I163" s="190">
        <f>129867.09+38805.39</f>
        <v>168672.47999999998</v>
      </c>
      <c r="J163" s="213">
        <f t="shared" si="184"/>
        <v>5672.4799999999814</v>
      </c>
      <c r="K163" s="375">
        <f t="shared" si="185"/>
        <v>3.480049079754588</v>
      </c>
      <c r="L163" s="543">
        <f>$H$163</f>
        <v>163000</v>
      </c>
      <c r="M163" s="190">
        <f>154899.83+39581.01</f>
        <v>194480.84</v>
      </c>
      <c r="N163" s="190">
        <f>M163-L163</f>
        <v>31480.839999999997</v>
      </c>
      <c r="O163" s="744">
        <f>((M163/L163)-1)*100</f>
        <v>19.313398773006128</v>
      </c>
      <c r="P163" s="542">
        <f>$H$163</f>
        <v>163000</v>
      </c>
      <c r="Q163" s="190">
        <f>134754.92+39982.04</f>
        <v>174736.96000000002</v>
      </c>
      <c r="R163" s="190">
        <f>Q163-P163</f>
        <v>11736.960000000021</v>
      </c>
      <c r="S163" s="249">
        <f>((Q163/P163)-1)*100</f>
        <v>7.2005889570552206</v>
      </c>
      <c r="T163" s="543">
        <f>$H$163</f>
        <v>163000</v>
      </c>
      <c r="U163" s="190">
        <f>134864.83+40087.85</f>
        <v>174952.68</v>
      </c>
      <c r="V163" s="190">
        <f>U163-T163</f>
        <v>11952.679999999993</v>
      </c>
      <c r="W163" s="744">
        <f>((U163/T163)-1)*100</f>
        <v>7.3329325153374203</v>
      </c>
      <c r="X163" s="542">
        <f>$H$163</f>
        <v>163000</v>
      </c>
      <c r="Y163" s="190">
        <f>137226.53+40246.24</f>
        <v>177472.77</v>
      </c>
      <c r="Z163" s="190">
        <f>Y163-X163</f>
        <v>14472.76999999999</v>
      </c>
      <c r="AA163" s="249">
        <f>((Y163/X163)-1)*100</f>
        <v>8.8789999999999925</v>
      </c>
      <c r="AB163" s="542">
        <f>$H$163</f>
        <v>163000</v>
      </c>
      <c r="AC163" s="190">
        <f>138026.62+40348.87</f>
        <v>178375.49</v>
      </c>
      <c r="AD163" s="190">
        <f>AC163-AB163</f>
        <v>15375.489999999991</v>
      </c>
      <c r="AE163" s="249">
        <f>((AC163/AB163)-1)*100</f>
        <v>9.4328159509202472</v>
      </c>
      <c r="AF163" s="190">
        <f t="shared" si="150"/>
        <v>1068691.22</v>
      </c>
      <c r="AG163" s="190">
        <f t="shared" si="151"/>
        <v>178115.20333333334</v>
      </c>
      <c r="AH163" s="543">
        <v>178300</v>
      </c>
      <c r="AI163" s="190">
        <f>137261.92+40348.87</f>
        <v>177610.79</v>
      </c>
      <c r="AJ163" s="190">
        <f>AI163-AH163</f>
        <v>-689.20999999999185</v>
      </c>
      <c r="AK163" s="744">
        <f>((AI163/AH163)-1)*100</f>
        <v>-0.38654514862590528</v>
      </c>
      <c r="AL163" s="542">
        <f>$H$163</f>
        <v>163000</v>
      </c>
      <c r="AM163" s="190">
        <f>139079.41+40348.87</f>
        <v>179428.28</v>
      </c>
      <c r="AN163" s="169">
        <f t="shared" ref="AN163:AN194" si="187">AM163-AL163</f>
        <v>16428.28</v>
      </c>
      <c r="AO163" s="249">
        <f>((AM163/AL163)-1)*100</f>
        <v>10.078699386503075</v>
      </c>
      <c r="AP163" s="745">
        <f>$H$163</f>
        <v>163000</v>
      </c>
      <c r="AQ163" s="192">
        <f>137989.73+40348.87</f>
        <v>178338.6</v>
      </c>
      <c r="AR163" s="169">
        <f t="shared" ref="AR163:AR194" si="188">AQ163-AP163</f>
        <v>15338.600000000006</v>
      </c>
      <c r="AS163" s="744">
        <f>((AQ163/AP163)-1)*100</f>
        <v>9.4101840490797617</v>
      </c>
      <c r="AT163" s="746">
        <f>$H$163</f>
        <v>163000</v>
      </c>
      <c r="AU163" s="192">
        <f>141235.79+40348.88</f>
        <v>181584.67</v>
      </c>
      <c r="AV163" s="169">
        <f t="shared" ref="AV163:AV194" si="189">AU163-AT163</f>
        <v>18584.670000000013</v>
      </c>
      <c r="AW163" s="567">
        <f>((AU163/AT163)-1)*100</f>
        <v>11.401638036809825</v>
      </c>
      <c r="AX163" s="745">
        <f>$H$163</f>
        <v>163000</v>
      </c>
      <c r="AY163" s="192">
        <f>143760.33+40348.87</f>
        <v>184109.19999999998</v>
      </c>
      <c r="AZ163" s="169">
        <f t="shared" ref="AZ163:AZ194" si="190">AY163-AX163</f>
        <v>21109.199999999983</v>
      </c>
      <c r="BA163" s="747">
        <f>((AY163/AX163)-1)*100</f>
        <v>12.950429447852741</v>
      </c>
      <c r="BB163" s="746">
        <f>$H$163</f>
        <v>163000</v>
      </c>
      <c r="BC163" s="192">
        <f>139447.64+40348.87</f>
        <v>179796.51</v>
      </c>
      <c r="BD163" s="190">
        <f>BC163-BB163</f>
        <v>16796.510000000009</v>
      </c>
      <c r="BE163" s="567">
        <f>((BC163/BB163)-1)*100</f>
        <v>10.304607361963193</v>
      </c>
      <c r="BF163" s="746">
        <f t="shared" si="152"/>
        <v>2061991.22</v>
      </c>
      <c r="BG163" s="194">
        <f t="shared" si="186"/>
        <v>2149559.27</v>
      </c>
      <c r="BH163" s="63">
        <f>I163+M163+Q163+U163</f>
        <v>712842.96</v>
      </c>
    </row>
    <row r="164" spans="2:60" s="11" customFormat="1" x14ac:dyDescent="0.25">
      <c r="B164" s="170">
        <v>33736</v>
      </c>
      <c r="C164" s="135">
        <v>218</v>
      </c>
      <c r="D164" s="152" t="s">
        <v>98</v>
      </c>
      <c r="E164" s="341"/>
      <c r="F164" s="725"/>
      <c r="G164" s="619">
        <v>33000</v>
      </c>
      <c r="H164" s="212">
        <f>F164*G164+G164</f>
        <v>33000</v>
      </c>
      <c r="I164" s="137">
        <v>31660.28</v>
      </c>
      <c r="J164" s="748">
        <f t="shared" si="184"/>
        <v>-1339.7200000000012</v>
      </c>
      <c r="K164" s="371">
        <f t="shared" si="185"/>
        <v>-4.0597575757575832</v>
      </c>
      <c r="L164" s="136">
        <f>$H$164</f>
        <v>33000</v>
      </c>
      <c r="M164" s="137">
        <v>32733.93</v>
      </c>
      <c r="N164" s="749">
        <f>M164-L164</f>
        <v>-266.06999999999971</v>
      </c>
      <c r="O164" s="252">
        <f t="shared" ref="O164:O192" si="191">((M164/L164)-1)*100</f>
        <v>-0.8062727272727277</v>
      </c>
      <c r="P164" s="212">
        <f>$H$164</f>
        <v>33000</v>
      </c>
      <c r="Q164" s="137">
        <v>32733.93</v>
      </c>
      <c r="R164" s="749">
        <f>Q164-P164</f>
        <v>-266.06999999999971</v>
      </c>
      <c r="S164" s="237">
        <f t="shared" ref="S164:S192" si="192">((Q164/P164)-1)*100</f>
        <v>-0.8062727272727277</v>
      </c>
      <c r="T164" s="136">
        <f>$H$164</f>
        <v>33000</v>
      </c>
      <c r="U164" s="137">
        <v>32733.93</v>
      </c>
      <c r="V164" s="749">
        <f>U164-T164</f>
        <v>-266.06999999999971</v>
      </c>
      <c r="W164" s="252">
        <f t="shared" ref="W164:W192" si="193">((U164/T164)-1)*100</f>
        <v>-0.8062727272727277</v>
      </c>
      <c r="X164" s="212">
        <f>$H$164</f>
        <v>33000</v>
      </c>
      <c r="Y164" s="137">
        <v>32733.93</v>
      </c>
      <c r="Z164" s="749">
        <f>Y164-X164</f>
        <v>-266.06999999999971</v>
      </c>
      <c r="AA164" s="237">
        <f t="shared" ref="AA164:AA194" si="194">((Y164/X164)-1)*100</f>
        <v>-0.8062727272727277</v>
      </c>
      <c r="AB164" s="212">
        <f>$H$164</f>
        <v>33000</v>
      </c>
      <c r="AC164" s="137">
        <v>32733.93</v>
      </c>
      <c r="AD164" s="749">
        <f>AC164-AB164</f>
        <v>-266.06999999999971</v>
      </c>
      <c r="AE164" s="237">
        <f t="shared" ref="AE164:AE192" si="195">((AC164/AB164)-1)*100</f>
        <v>-0.8062727272727277</v>
      </c>
      <c r="AF164" s="137">
        <f t="shared" si="150"/>
        <v>195329.93</v>
      </c>
      <c r="AG164" s="137">
        <f t="shared" si="151"/>
        <v>32554.988333333331</v>
      </c>
      <c r="AH164" s="136">
        <f>$H$164</f>
        <v>33000</v>
      </c>
      <c r="AI164" s="137">
        <v>32748.46</v>
      </c>
      <c r="AJ164" s="749">
        <f>AI164-AH164</f>
        <v>-251.54000000000087</v>
      </c>
      <c r="AK164" s="252">
        <f t="shared" ref="AK164:AK192" si="196">((AI164/AH164)-1)*100</f>
        <v>-0.76224242424243194</v>
      </c>
      <c r="AL164" s="212">
        <f>$H$164</f>
        <v>33000</v>
      </c>
      <c r="AM164" s="137">
        <v>32771.47</v>
      </c>
      <c r="AN164" s="169">
        <f t="shared" si="187"/>
        <v>-228.52999999999884</v>
      </c>
      <c r="AO164" s="237">
        <f t="shared" ref="AO164:AO192" si="197">((AM164/AL164)-1)*100</f>
        <v>-0.69251515151514953</v>
      </c>
      <c r="AP164" s="243">
        <f>$H$164</f>
        <v>33000</v>
      </c>
      <c r="AQ164" s="176">
        <v>32771.47</v>
      </c>
      <c r="AR164" s="169">
        <f t="shared" si="188"/>
        <v>-228.52999999999884</v>
      </c>
      <c r="AS164" s="252">
        <f t="shared" ref="AS164:AS192" si="198">((AQ164/AP164)-1)*100</f>
        <v>-0.69251515151514953</v>
      </c>
      <c r="AT164" s="254">
        <f>$H$164</f>
        <v>33000</v>
      </c>
      <c r="AU164" s="176">
        <v>32773.21</v>
      </c>
      <c r="AV164" s="169">
        <f t="shared" si="189"/>
        <v>-226.79000000000087</v>
      </c>
      <c r="AW164" s="567">
        <f t="shared" ref="AW164:AW192" si="199">((AU164/AT164)-1)*100</f>
        <v>-0.6872424242424291</v>
      </c>
      <c r="AX164" s="243">
        <f>$H$164</f>
        <v>33000</v>
      </c>
      <c r="AY164" s="176">
        <v>32779.480000000003</v>
      </c>
      <c r="AZ164" s="169">
        <f t="shared" si="190"/>
        <v>-220.5199999999968</v>
      </c>
      <c r="BA164" s="747">
        <f t="shared" ref="BA164:BA192" si="200">((AY164/AX164)-1)*100</f>
        <v>-0.66824242424241564</v>
      </c>
      <c r="BB164" s="254">
        <f>$H$164</f>
        <v>33000</v>
      </c>
      <c r="BC164" s="176">
        <v>32771.47</v>
      </c>
      <c r="BD164" s="137">
        <f>BC164-BB164</f>
        <v>-228.52999999999884</v>
      </c>
      <c r="BE164" s="567">
        <f t="shared" ref="BE164:BE192" si="201">((BC164/BB164)-1)*100</f>
        <v>-0.69251515151514953</v>
      </c>
      <c r="BF164" s="254">
        <f t="shared" si="152"/>
        <v>393329.93</v>
      </c>
      <c r="BG164" s="188">
        <f t="shared" si="186"/>
        <v>391945.49</v>
      </c>
      <c r="BH164" s="63">
        <f t="shared" ref="BH164:BH194" si="202">I164+M164+Q164+U164</f>
        <v>129862.07</v>
      </c>
    </row>
    <row r="165" spans="2:60" s="11" customFormat="1" x14ac:dyDescent="0.25">
      <c r="B165" s="170">
        <v>11761</v>
      </c>
      <c r="C165" s="135">
        <v>250</v>
      </c>
      <c r="D165" s="152" t="s">
        <v>98</v>
      </c>
      <c r="E165" s="341"/>
      <c r="F165" s="725"/>
      <c r="G165" s="619">
        <v>17500</v>
      </c>
      <c r="H165" s="212">
        <f>F165*G165+G165</f>
        <v>17500</v>
      </c>
      <c r="I165" s="137">
        <v>16424.18</v>
      </c>
      <c r="J165" s="138">
        <f t="shared" si="184"/>
        <v>-1075.8199999999997</v>
      </c>
      <c r="K165" s="371">
        <f t="shared" si="185"/>
        <v>-6.1475428571428514</v>
      </c>
      <c r="L165" s="136">
        <f>$H$165</f>
        <v>17500</v>
      </c>
      <c r="M165" s="137">
        <v>16424.18</v>
      </c>
      <c r="N165" s="137">
        <f>M165-L165</f>
        <v>-1075.8199999999997</v>
      </c>
      <c r="O165" s="252">
        <f t="shared" si="191"/>
        <v>-6.1475428571428514</v>
      </c>
      <c r="P165" s="212">
        <f>$H$165</f>
        <v>17500</v>
      </c>
      <c r="Q165" s="137">
        <v>16424.18</v>
      </c>
      <c r="R165" s="137">
        <f>Q165-P165</f>
        <v>-1075.8199999999997</v>
      </c>
      <c r="S165" s="237">
        <f t="shared" si="192"/>
        <v>-6.1475428571428514</v>
      </c>
      <c r="T165" s="136">
        <f>$H$165</f>
        <v>17500</v>
      </c>
      <c r="U165" s="137">
        <v>16424.88</v>
      </c>
      <c r="V165" s="137">
        <f>U165-T165</f>
        <v>-1075.119999999999</v>
      </c>
      <c r="W165" s="252">
        <f t="shared" si="193"/>
        <v>-6.1435428571428474</v>
      </c>
      <c r="X165" s="212">
        <f>$H$165</f>
        <v>17500</v>
      </c>
      <c r="Y165" s="137">
        <v>16424.18</v>
      </c>
      <c r="Z165" s="137">
        <f>Y165-X165</f>
        <v>-1075.8199999999997</v>
      </c>
      <c r="AA165" s="237">
        <f t="shared" si="194"/>
        <v>-6.1475428571428514</v>
      </c>
      <c r="AB165" s="212">
        <f>$H$165</f>
        <v>17500</v>
      </c>
      <c r="AC165" s="137">
        <v>16424.18</v>
      </c>
      <c r="AD165" s="137">
        <f>AC165-AB165</f>
        <v>-1075.8199999999997</v>
      </c>
      <c r="AE165" s="237">
        <f t="shared" si="195"/>
        <v>-6.1475428571428514</v>
      </c>
      <c r="AF165" s="137">
        <f t="shared" si="150"/>
        <v>98545.78</v>
      </c>
      <c r="AG165" s="137">
        <f t="shared" si="151"/>
        <v>16424.296666666665</v>
      </c>
      <c r="AH165" s="136">
        <f>$H$165</f>
        <v>17500</v>
      </c>
      <c r="AI165" s="137">
        <v>16424.18</v>
      </c>
      <c r="AJ165" s="137">
        <f>AI165-AH165</f>
        <v>-1075.8199999999997</v>
      </c>
      <c r="AK165" s="252">
        <f t="shared" si="196"/>
        <v>-6.1475428571428514</v>
      </c>
      <c r="AL165" s="212">
        <f>$H$165</f>
        <v>17500</v>
      </c>
      <c r="AM165" s="137">
        <v>16424.18</v>
      </c>
      <c r="AN165" s="169">
        <f t="shared" si="187"/>
        <v>-1075.8199999999997</v>
      </c>
      <c r="AO165" s="237">
        <f t="shared" si="197"/>
        <v>-6.1475428571428514</v>
      </c>
      <c r="AP165" s="243">
        <f>$H$165</f>
        <v>17500</v>
      </c>
      <c r="AQ165" s="176">
        <v>16424.18</v>
      </c>
      <c r="AR165" s="169">
        <f t="shared" si="188"/>
        <v>-1075.8199999999997</v>
      </c>
      <c r="AS165" s="252">
        <f t="shared" si="198"/>
        <v>-6.1475428571428514</v>
      </c>
      <c r="AT165" s="254">
        <f>$H$165</f>
        <v>17500</v>
      </c>
      <c r="AU165" s="176">
        <v>16424.259999999998</v>
      </c>
      <c r="AV165" s="169">
        <f t="shared" si="189"/>
        <v>-1075.7400000000016</v>
      </c>
      <c r="AW165" s="567">
        <f t="shared" si="199"/>
        <v>-6.1470857142857271</v>
      </c>
      <c r="AX165" s="243">
        <f>$H$165</f>
        <v>17500</v>
      </c>
      <c r="AY165" s="176">
        <v>18521.439999999999</v>
      </c>
      <c r="AZ165" s="169">
        <f t="shared" si="190"/>
        <v>1021.4399999999987</v>
      </c>
      <c r="BA165" s="747">
        <f t="shared" si="200"/>
        <v>5.8367999999999975</v>
      </c>
      <c r="BB165" s="254">
        <f>$H$165</f>
        <v>17500</v>
      </c>
      <c r="BC165" s="176">
        <v>16424.18</v>
      </c>
      <c r="BD165" s="137">
        <f t="shared" ref="BD165:BD194" si="203">BC165-BB165</f>
        <v>-1075.8199999999997</v>
      </c>
      <c r="BE165" s="567">
        <f t="shared" si="201"/>
        <v>-6.1475428571428514</v>
      </c>
      <c r="BF165" s="254">
        <f t="shared" si="152"/>
        <v>203545.78</v>
      </c>
      <c r="BG165" s="188">
        <f t="shared" si="186"/>
        <v>199188.19999999998</v>
      </c>
      <c r="BH165" s="63">
        <f t="shared" si="202"/>
        <v>65697.42</v>
      </c>
    </row>
    <row r="166" spans="2:60" s="11" customFormat="1" x14ac:dyDescent="0.25">
      <c r="B166" s="170" t="s">
        <v>100</v>
      </c>
      <c r="C166" s="135" t="s">
        <v>101</v>
      </c>
      <c r="D166" s="152" t="s">
        <v>102</v>
      </c>
      <c r="E166" s="341"/>
      <c r="F166" s="726">
        <v>6000</v>
      </c>
      <c r="G166" s="619">
        <v>9141.0733333333337</v>
      </c>
      <c r="H166" s="212">
        <f>$F$166</f>
        <v>6000</v>
      </c>
      <c r="I166" s="137">
        <f>19005.56+93.02</f>
        <v>19098.580000000002</v>
      </c>
      <c r="J166" s="138">
        <f t="shared" si="184"/>
        <v>13098.580000000002</v>
      </c>
      <c r="K166" s="371">
        <f t="shared" si="185"/>
        <v>218.30966666666671</v>
      </c>
      <c r="L166" s="136">
        <f>$F$166</f>
        <v>6000</v>
      </c>
      <c r="M166" s="137">
        <f>5605.45+402.02</f>
        <v>6007.4699999999993</v>
      </c>
      <c r="N166" s="137">
        <f t="shared" ref="N166:N194" si="204">M166-L166</f>
        <v>7.4699999999993452</v>
      </c>
      <c r="O166" s="252">
        <f t="shared" si="191"/>
        <v>0.12449999999999406</v>
      </c>
      <c r="P166" s="212">
        <f>$F$166</f>
        <v>6000</v>
      </c>
      <c r="Q166" s="137">
        <f>2365.13+92.9</f>
        <v>2458.0300000000002</v>
      </c>
      <c r="R166" s="137">
        <f t="shared" ref="R166:R194" si="205">Q166-P166</f>
        <v>-3541.97</v>
      </c>
      <c r="S166" s="237">
        <f t="shared" si="192"/>
        <v>-59.032833333333336</v>
      </c>
      <c r="T166" s="136">
        <f>$F$166</f>
        <v>6000</v>
      </c>
      <c r="U166" s="137">
        <f>988.17+0</f>
        <v>988.17</v>
      </c>
      <c r="V166" s="137">
        <f t="shared" ref="V166:V194" si="206">U166-T166</f>
        <v>-5011.83</v>
      </c>
      <c r="W166" s="252">
        <f t="shared" si="193"/>
        <v>-83.530499999999989</v>
      </c>
      <c r="X166" s="212">
        <f>$F$166</f>
        <v>6000</v>
      </c>
      <c r="Y166" s="137">
        <f>1827.68+158.06</f>
        <v>1985.74</v>
      </c>
      <c r="Z166" s="137">
        <f t="shared" ref="Z166:Z194" si="207">Y166-X166</f>
        <v>-4014.26</v>
      </c>
      <c r="AA166" s="237">
        <f t="shared" si="194"/>
        <v>-66.904333333333327</v>
      </c>
      <c r="AB166" s="212">
        <f>$F$166</f>
        <v>6000</v>
      </c>
      <c r="AC166" s="137">
        <f>630.29+550.99</f>
        <v>1181.28</v>
      </c>
      <c r="AD166" s="137">
        <f t="shared" ref="AD166:AD194" si="208">AC166-AB166</f>
        <v>-4818.72</v>
      </c>
      <c r="AE166" s="237">
        <f t="shared" si="195"/>
        <v>-80.312000000000012</v>
      </c>
      <c r="AF166" s="137">
        <f t="shared" si="150"/>
        <v>31719.27</v>
      </c>
      <c r="AG166" s="137">
        <f t="shared" si="151"/>
        <v>5286.5450000000001</v>
      </c>
      <c r="AH166" s="136">
        <f>$F$166</f>
        <v>6000</v>
      </c>
      <c r="AI166" s="137">
        <f>339.89+1368.43</f>
        <v>1708.3200000000002</v>
      </c>
      <c r="AJ166" s="137">
        <f t="shared" ref="AJ166:AJ194" si="209">AI166-AH166</f>
        <v>-4291.68</v>
      </c>
      <c r="AK166" s="252">
        <f t="shared" si="196"/>
        <v>-71.527999999999992</v>
      </c>
      <c r="AL166" s="212">
        <f>$F$166</f>
        <v>6000</v>
      </c>
      <c r="AM166" s="137">
        <f>13.32+100.98</f>
        <v>114.30000000000001</v>
      </c>
      <c r="AN166" s="169">
        <f t="shared" si="187"/>
        <v>-5885.7</v>
      </c>
      <c r="AO166" s="237">
        <f t="shared" si="197"/>
        <v>-98.094999999999999</v>
      </c>
      <c r="AP166" s="243">
        <f>$F$166</f>
        <v>6000</v>
      </c>
      <c r="AQ166" s="176">
        <f>4540.19+641.56</f>
        <v>5181.75</v>
      </c>
      <c r="AR166" s="169">
        <f t="shared" si="188"/>
        <v>-818.25</v>
      </c>
      <c r="AS166" s="252">
        <f t="shared" si="198"/>
        <v>-13.637500000000003</v>
      </c>
      <c r="AT166" s="254">
        <f>$F$166</f>
        <v>6000</v>
      </c>
      <c r="AU166" s="176">
        <f>507.24+118.59</f>
        <v>625.83000000000004</v>
      </c>
      <c r="AV166" s="169">
        <f t="shared" si="189"/>
        <v>-5374.17</v>
      </c>
      <c r="AW166" s="567">
        <f t="shared" si="199"/>
        <v>-89.569500000000005</v>
      </c>
      <c r="AX166" s="243">
        <f>$F$166</f>
        <v>6000</v>
      </c>
      <c r="AY166" s="176">
        <f>3025.85+176.93</f>
        <v>3202.7799999999997</v>
      </c>
      <c r="AZ166" s="169">
        <f t="shared" si="190"/>
        <v>-2797.2200000000003</v>
      </c>
      <c r="BA166" s="747">
        <f t="shared" si="200"/>
        <v>-46.620333333333342</v>
      </c>
      <c r="BB166" s="254">
        <f>$F$166</f>
        <v>6000</v>
      </c>
      <c r="BC166" s="176">
        <f>5024.12+9549.94</f>
        <v>14574.060000000001</v>
      </c>
      <c r="BD166" s="137">
        <f t="shared" si="203"/>
        <v>8574.0600000000013</v>
      </c>
      <c r="BE166" s="567">
        <f t="shared" si="201"/>
        <v>142.90100000000004</v>
      </c>
      <c r="BF166" s="254">
        <f t="shared" si="152"/>
        <v>67719.27</v>
      </c>
      <c r="BG166" s="188">
        <f t="shared" si="186"/>
        <v>57126.310000000012</v>
      </c>
      <c r="BH166" s="63">
        <f t="shared" si="202"/>
        <v>28552.25</v>
      </c>
    </row>
    <row r="167" spans="2:60" s="11" customFormat="1" ht="47.25" x14ac:dyDescent="0.25">
      <c r="B167" s="170" t="s">
        <v>138</v>
      </c>
      <c r="C167" s="135" t="s">
        <v>103</v>
      </c>
      <c r="D167" s="152" t="s">
        <v>214</v>
      </c>
      <c r="E167" s="341"/>
      <c r="F167" s="726">
        <v>5000</v>
      </c>
      <c r="G167" s="619">
        <v>7948.4283333333333</v>
      </c>
      <c r="H167" s="212">
        <f>$F$167</f>
        <v>5000</v>
      </c>
      <c r="I167" s="137">
        <f>229.52+492.56+65.59+285.46+277</f>
        <v>1350.13</v>
      </c>
      <c r="J167" s="138">
        <f t="shared" si="184"/>
        <v>-3649.87</v>
      </c>
      <c r="K167" s="371">
        <f t="shared" si="185"/>
        <v>-72.997399999999985</v>
      </c>
      <c r="L167" s="212">
        <f>$F$167</f>
        <v>5000</v>
      </c>
      <c r="M167" s="137">
        <f>-156.45-782.12+39.64+414.18+0</f>
        <v>-484.74999999999994</v>
      </c>
      <c r="N167" s="137">
        <f t="shared" si="204"/>
        <v>-5484.75</v>
      </c>
      <c r="O167" s="252">
        <f t="shared" si="191"/>
        <v>-109.69500000000001</v>
      </c>
      <c r="P167" s="212">
        <f>$F$167</f>
        <v>5000</v>
      </c>
      <c r="Q167" s="137">
        <f>525.77-543.2+28.54+297.42</f>
        <v>308.52999999999997</v>
      </c>
      <c r="R167" s="137">
        <f t="shared" si="205"/>
        <v>-4691.47</v>
      </c>
      <c r="S167" s="237">
        <f t="shared" si="192"/>
        <v>-93.829399999999993</v>
      </c>
      <c r="T167" s="212">
        <f>$F$167</f>
        <v>5000</v>
      </c>
      <c r="U167" s="137">
        <f>857.44+4.12-26.35-1507.1+0</f>
        <v>-671.88999999999987</v>
      </c>
      <c r="V167" s="137">
        <f t="shared" si="206"/>
        <v>-5671.8899999999994</v>
      </c>
      <c r="W167" s="252">
        <f t="shared" si="193"/>
        <v>-113.43779999999998</v>
      </c>
      <c r="X167" s="212">
        <f>$F$167</f>
        <v>5000</v>
      </c>
      <c r="Y167" s="137">
        <f>2734.36+12980.25+230.96+453.24+0</f>
        <v>16398.810000000001</v>
      </c>
      <c r="Z167" s="137">
        <f t="shared" si="207"/>
        <v>11398.810000000001</v>
      </c>
      <c r="AA167" s="237">
        <f t="shared" si="194"/>
        <v>227.97620000000003</v>
      </c>
      <c r="AB167" s="212">
        <f>$F$167</f>
        <v>5000</v>
      </c>
      <c r="AC167" s="137">
        <f>-1125.93-7440.69+56.88+1070.46</f>
        <v>-7439.28</v>
      </c>
      <c r="AD167" s="137">
        <f t="shared" si="208"/>
        <v>-12439.279999999999</v>
      </c>
      <c r="AE167" s="237">
        <f t="shared" si="195"/>
        <v>-248.78559999999999</v>
      </c>
      <c r="AF167" s="137">
        <f t="shared" si="150"/>
        <v>9461.5500000000029</v>
      </c>
      <c r="AG167" s="137">
        <f t="shared" si="151"/>
        <v>1576.9250000000004</v>
      </c>
      <c r="AH167" s="212">
        <f>$F$167</f>
        <v>5000</v>
      </c>
      <c r="AI167" s="137">
        <f>-1420.56+764.06+111.69+875.96+0</f>
        <v>331.15000000000009</v>
      </c>
      <c r="AJ167" s="137">
        <f t="shared" si="209"/>
        <v>-4668.8500000000004</v>
      </c>
      <c r="AK167" s="252">
        <f t="shared" si="196"/>
        <v>-93.376999999999995</v>
      </c>
      <c r="AL167" s="212">
        <f>$F$167</f>
        <v>5000</v>
      </c>
      <c r="AM167" s="137">
        <f>559.36</f>
        <v>559.36</v>
      </c>
      <c r="AN167" s="169">
        <f t="shared" si="187"/>
        <v>-4440.6400000000003</v>
      </c>
      <c r="AO167" s="237">
        <f t="shared" si="197"/>
        <v>-88.81280000000001</v>
      </c>
      <c r="AP167" s="212">
        <f>$F$167</f>
        <v>5000</v>
      </c>
      <c r="AQ167" s="176">
        <f>2079.38+1985.47+113.34+543.95+0</f>
        <v>4722.1400000000003</v>
      </c>
      <c r="AR167" s="169">
        <f t="shared" si="188"/>
        <v>-277.85999999999967</v>
      </c>
      <c r="AS167" s="252">
        <f t="shared" si="198"/>
        <v>-5.5571999999999955</v>
      </c>
      <c r="AT167" s="212">
        <f>$F$167</f>
        <v>5000</v>
      </c>
      <c r="AU167" s="176">
        <f>6249.16+3031.16+0+0+143.78</f>
        <v>9424.1</v>
      </c>
      <c r="AV167" s="169">
        <f t="shared" si="189"/>
        <v>4424.1000000000004</v>
      </c>
      <c r="AW167" s="567">
        <f t="shared" si="199"/>
        <v>88.482000000000014</v>
      </c>
      <c r="AX167" s="212">
        <f>$F$167</f>
        <v>5000</v>
      </c>
      <c r="AY167" s="176">
        <f>-208.72-1561.97+103.98-2058.26+12.14</f>
        <v>-3712.8300000000004</v>
      </c>
      <c r="AZ167" s="169">
        <f t="shared" si="190"/>
        <v>-8712.83</v>
      </c>
      <c r="BA167" s="747">
        <f t="shared" si="200"/>
        <v>-174.25659999999999</v>
      </c>
      <c r="BB167" s="212">
        <f>$F$167</f>
        <v>5000</v>
      </c>
      <c r="BC167" s="176">
        <f>384.42+320.66+87.55-51.83+2692.03</f>
        <v>3432.83</v>
      </c>
      <c r="BD167" s="137">
        <f t="shared" si="203"/>
        <v>-1567.17</v>
      </c>
      <c r="BE167" s="567">
        <f t="shared" si="201"/>
        <v>-31.343399999999999</v>
      </c>
      <c r="BF167" s="212">
        <f t="shared" si="152"/>
        <v>39461.550000000003</v>
      </c>
      <c r="BG167" s="188">
        <f t="shared" si="186"/>
        <v>24218.300000000003</v>
      </c>
      <c r="BH167" s="63">
        <f t="shared" si="202"/>
        <v>502.02000000000021</v>
      </c>
    </row>
    <row r="168" spans="2:60" s="11" customFormat="1" ht="47.25" x14ac:dyDescent="0.25">
      <c r="B168" s="170" t="s">
        <v>3637</v>
      </c>
      <c r="C168" s="135" t="s">
        <v>104</v>
      </c>
      <c r="D168" s="152" t="s">
        <v>216</v>
      </c>
      <c r="E168" s="341"/>
      <c r="F168" s="726" t="s">
        <v>3667</v>
      </c>
      <c r="G168" s="619">
        <v>600000</v>
      </c>
      <c r="H168" s="212">
        <f>$G$168</f>
        <v>600000</v>
      </c>
      <c r="I168" s="137">
        <f>2509.18+3441.08+543523.69+46482.92</f>
        <v>595956.87</v>
      </c>
      <c r="J168" s="138">
        <f t="shared" si="184"/>
        <v>-4043.1300000000047</v>
      </c>
      <c r="K168" s="371">
        <f t="shared" si="185"/>
        <v>-0.67385500000000098</v>
      </c>
      <c r="L168" s="212">
        <f>$G$168</f>
        <v>600000</v>
      </c>
      <c r="M168" s="137">
        <f>940.68+3604.02+460212.41+34614.2+0</f>
        <v>499371.31</v>
      </c>
      <c r="N168" s="137">
        <f t="shared" si="204"/>
        <v>-100628.69</v>
      </c>
      <c r="O168" s="252">
        <f t="shared" si="191"/>
        <v>-16.771448333333339</v>
      </c>
      <c r="P168" s="212">
        <f>$G$168</f>
        <v>600000</v>
      </c>
      <c r="Q168" s="137">
        <f>400+2445.34+534982.42+31382.66+0.04</f>
        <v>569210.46000000008</v>
      </c>
      <c r="R168" s="137">
        <f t="shared" si="205"/>
        <v>-30789.539999999921</v>
      </c>
      <c r="S168" s="237">
        <f t="shared" si="192"/>
        <v>-5.1315899999999859</v>
      </c>
      <c r="T168" s="212">
        <f>$G$168</f>
        <v>600000</v>
      </c>
      <c r="U168" s="137">
        <f>120+3342.4+541629.39+37497.67+0</f>
        <v>582589.46000000008</v>
      </c>
      <c r="V168" s="137">
        <f t="shared" si="206"/>
        <v>-17410.539999999921</v>
      </c>
      <c r="W168" s="252">
        <f t="shared" si="193"/>
        <v>-2.901756666666655</v>
      </c>
      <c r="X168" s="212">
        <f>$G$168</f>
        <v>600000</v>
      </c>
      <c r="Y168" s="137">
        <f>1164.33+3471.71+535351.35+54206.94+0</f>
        <v>594194.33000000007</v>
      </c>
      <c r="Z168" s="137">
        <f t="shared" si="207"/>
        <v>-5805.6699999999255</v>
      </c>
      <c r="AA168" s="237">
        <f t="shared" si="194"/>
        <v>-0.96761166666665677</v>
      </c>
      <c r="AB168" s="212">
        <f>$G$168</f>
        <v>600000</v>
      </c>
      <c r="AC168" s="137">
        <f>917.12+3325.1+540079.35+62366.12+0</f>
        <v>606687.68999999994</v>
      </c>
      <c r="AD168" s="137">
        <f t="shared" si="208"/>
        <v>6687.6899999999441</v>
      </c>
      <c r="AE168" s="237">
        <f t="shared" si="195"/>
        <v>1.1146149999999855</v>
      </c>
      <c r="AF168" s="137">
        <f t="shared" si="150"/>
        <v>3448010.12</v>
      </c>
      <c r="AG168" s="137">
        <f t="shared" si="151"/>
        <v>574668.35333333339</v>
      </c>
      <c r="AH168" s="212">
        <f>$G$168</f>
        <v>600000</v>
      </c>
      <c r="AI168" s="137">
        <f>130+2625.92+534429.43+45813.77+0</f>
        <v>582999.12000000011</v>
      </c>
      <c r="AJ168" s="137">
        <f t="shared" si="209"/>
        <v>-17000.879999999888</v>
      </c>
      <c r="AK168" s="252">
        <f t="shared" si="196"/>
        <v>-2.8334799999999771</v>
      </c>
      <c r="AL168" s="212">
        <f>$G$168</f>
        <v>600000</v>
      </c>
      <c r="AM168" s="137">
        <f>350+3131.07+529870.43+59573.53</f>
        <v>592925.03</v>
      </c>
      <c r="AN168" s="169">
        <f t="shared" si="187"/>
        <v>-7074.9699999999721</v>
      </c>
      <c r="AO168" s="237">
        <f t="shared" si="197"/>
        <v>-1.1791616666666616</v>
      </c>
      <c r="AP168" s="212">
        <f>$G$168</f>
        <v>600000</v>
      </c>
      <c r="AQ168" s="176">
        <f>983.55+2754.98+525940.42+23246.51+0</f>
        <v>552925.46000000008</v>
      </c>
      <c r="AR168" s="169">
        <f t="shared" si="188"/>
        <v>-47074.539999999921</v>
      </c>
      <c r="AS168" s="252">
        <f t="shared" si="198"/>
        <v>-7.8457566666666594</v>
      </c>
      <c r="AT168" s="212">
        <f>$G$168</f>
        <v>600000</v>
      </c>
      <c r="AU168" s="176">
        <f>25900.41+2363.84+502157.56+53779.24+0</f>
        <v>584201.05000000005</v>
      </c>
      <c r="AV168" s="169">
        <f t="shared" si="189"/>
        <v>-15798.949999999953</v>
      </c>
      <c r="AW168" s="567">
        <f t="shared" si="199"/>
        <v>-2.6331583333333297</v>
      </c>
      <c r="AX168" s="212">
        <f>$G$168</f>
        <v>600000</v>
      </c>
      <c r="AY168" s="176">
        <f>1342.57+2576.94+514141.29+117892.61+0+168.36</f>
        <v>636121.77</v>
      </c>
      <c r="AZ168" s="169">
        <f t="shared" si="190"/>
        <v>36121.770000000019</v>
      </c>
      <c r="BA168" s="747">
        <f t="shared" si="200"/>
        <v>6.0202950000000088</v>
      </c>
      <c r="BB168" s="212">
        <f>$G$168</f>
        <v>600000</v>
      </c>
      <c r="BC168" s="176">
        <f>850.04+2063.25+498295.89+68205.52+0</f>
        <v>569414.69999999995</v>
      </c>
      <c r="BD168" s="137">
        <f t="shared" si="203"/>
        <v>-30585.300000000047</v>
      </c>
      <c r="BE168" s="567">
        <f t="shared" si="201"/>
        <v>-5.0975500000000062</v>
      </c>
      <c r="BF168" s="212">
        <f t="shared" si="152"/>
        <v>7048010.1200000001</v>
      </c>
      <c r="BG168" s="188">
        <f t="shared" si="186"/>
        <v>6966597.2500000009</v>
      </c>
      <c r="BH168" s="63">
        <f t="shared" si="202"/>
        <v>2247128.1</v>
      </c>
    </row>
    <row r="169" spans="2:60" s="11" customFormat="1" x14ac:dyDescent="0.25">
      <c r="B169" s="170">
        <v>12867</v>
      </c>
      <c r="C169" s="135">
        <v>232</v>
      </c>
      <c r="D169" s="152" t="s">
        <v>215</v>
      </c>
      <c r="E169" s="341"/>
      <c r="F169" s="726">
        <v>15000</v>
      </c>
      <c r="G169" s="619">
        <v>11301.621666666666</v>
      </c>
      <c r="H169" s="212">
        <f>$F$169</f>
        <v>15000</v>
      </c>
      <c r="I169" s="137">
        <v>11161.34</v>
      </c>
      <c r="J169" s="138">
        <f t="shared" si="184"/>
        <v>-3838.66</v>
      </c>
      <c r="K169" s="371">
        <f t="shared" si="185"/>
        <v>-25.591066666666663</v>
      </c>
      <c r="L169" s="136">
        <f>$F$169</f>
        <v>15000</v>
      </c>
      <c r="M169" s="137">
        <v>207532.97</v>
      </c>
      <c r="N169" s="137">
        <f t="shared" si="204"/>
        <v>192532.97</v>
      </c>
      <c r="O169" s="252">
        <f t="shared" si="191"/>
        <v>1283.5531333333333</v>
      </c>
      <c r="P169" s="212">
        <f>$F$169</f>
        <v>15000</v>
      </c>
      <c r="Q169" s="137">
        <v>11303.95</v>
      </c>
      <c r="R169" s="137">
        <f t="shared" si="205"/>
        <v>-3696.0499999999993</v>
      </c>
      <c r="S169" s="237">
        <f t="shared" si="192"/>
        <v>-24.640333333333331</v>
      </c>
      <c r="T169" s="136">
        <f>$F$169</f>
        <v>15000</v>
      </c>
      <c r="U169" s="137">
        <v>11703.97</v>
      </c>
      <c r="V169" s="137">
        <f t="shared" si="206"/>
        <v>-3296.0300000000007</v>
      </c>
      <c r="W169" s="252">
        <f t="shared" si="193"/>
        <v>-21.973533333333339</v>
      </c>
      <c r="X169" s="212">
        <f>$F$169</f>
        <v>15000</v>
      </c>
      <c r="Y169" s="137">
        <v>14814.55</v>
      </c>
      <c r="Z169" s="137">
        <f t="shared" si="207"/>
        <v>-185.45000000000073</v>
      </c>
      <c r="AA169" s="237">
        <f t="shared" si="194"/>
        <v>-1.2363333333333393</v>
      </c>
      <c r="AB169" s="212">
        <f>$F$169</f>
        <v>15000</v>
      </c>
      <c r="AC169" s="137">
        <v>11752.38</v>
      </c>
      <c r="AD169" s="137">
        <f t="shared" si="208"/>
        <v>-3247.6200000000008</v>
      </c>
      <c r="AE169" s="237">
        <f t="shared" si="195"/>
        <v>-21.650800000000004</v>
      </c>
      <c r="AF169" s="137">
        <f t="shared" si="150"/>
        <v>268269.15999999997</v>
      </c>
      <c r="AG169" s="137">
        <f t="shared" si="151"/>
        <v>44711.526666666665</v>
      </c>
      <c r="AH169" s="136">
        <v>44800</v>
      </c>
      <c r="AI169" s="137">
        <v>16521.54</v>
      </c>
      <c r="AJ169" s="137">
        <f t="shared" si="209"/>
        <v>-28278.46</v>
      </c>
      <c r="AK169" s="252">
        <f t="shared" si="196"/>
        <v>-63.121562500000003</v>
      </c>
      <c r="AL169" s="212">
        <f>$F$169</f>
        <v>15000</v>
      </c>
      <c r="AM169" s="137">
        <v>13434.91</v>
      </c>
      <c r="AN169" s="169">
        <f t="shared" si="187"/>
        <v>-1565.0900000000001</v>
      </c>
      <c r="AO169" s="237">
        <f t="shared" si="197"/>
        <v>-10.433933333333334</v>
      </c>
      <c r="AP169" s="136">
        <f>$F$169</f>
        <v>15000</v>
      </c>
      <c r="AQ169" s="176">
        <v>15292.89</v>
      </c>
      <c r="AR169" s="169">
        <f t="shared" si="188"/>
        <v>292.88999999999942</v>
      </c>
      <c r="AS169" s="252">
        <f t="shared" si="198"/>
        <v>1.9525999999999932</v>
      </c>
      <c r="AT169" s="212">
        <f>$F$169</f>
        <v>15000</v>
      </c>
      <c r="AU169" s="176">
        <v>15283.76</v>
      </c>
      <c r="AV169" s="169">
        <f t="shared" si="189"/>
        <v>283.76000000000022</v>
      </c>
      <c r="AW169" s="567">
        <f t="shared" si="199"/>
        <v>1.8917333333333453</v>
      </c>
      <c r="AX169" s="136">
        <f>$F$169</f>
        <v>15000</v>
      </c>
      <c r="AY169" s="176">
        <v>18490.07</v>
      </c>
      <c r="AZ169" s="169">
        <f t="shared" si="190"/>
        <v>3490.0699999999997</v>
      </c>
      <c r="BA169" s="747">
        <f t="shared" si="200"/>
        <v>23.267133333333323</v>
      </c>
      <c r="BB169" s="212">
        <f>$F$169</f>
        <v>15000</v>
      </c>
      <c r="BC169" s="176">
        <v>18931</v>
      </c>
      <c r="BD169" s="137">
        <f t="shared" si="203"/>
        <v>3931</v>
      </c>
      <c r="BE169" s="567">
        <f t="shared" si="201"/>
        <v>26.206666666666667</v>
      </c>
      <c r="BF169" s="212">
        <f t="shared" si="152"/>
        <v>388069.16</v>
      </c>
      <c r="BG169" s="188">
        <f t="shared" si="186"/>
        <v>366223.32999999996</v>
      </c>
      <c r="BH169" s="63">
        <f t="shared" si="202"/>
        <v>241702.23</v>
      </c>
    </row>
    <row r="170" spans="2:60" s="11" customFormat="1" x14ac:dyDescent="0.25">
      <c r="B170" s="170">
        <v>11510</v>
      </c>
      <c r="C170" s="135">
        <v>287</v>
      </c>
      <c r="D170" s="152" t="s">
        <v>105</v>
      </c>
      <c r="E170" s="341"/>
      <c r="F170" s="726">
        <v>8000</v>
      </c>
      <c r="G170" s="619">
        <v>4701.96</v>
      </c>
      <c r="H170" s="212">
        <f>$F$170</f>
        <v>8000</v>
      </c>
      <c r="I170" s="137">
        <v>7565.89</v>
      </c>
      <c r="J170" s="138">
        <f t="shared" si="184"/>
        <v>-434.10999999999967</v>
      </c>
      <c r="K170" s="371">
        <f t="shared" si="185"/>
        <v>-5.4263749999999948</v>
      </c>
      <c r="L170" s="136">
        <f>$F$170</f>
        <v>8000</v>
      </c>
      <c r="M170" s="137">
        <v>7565.89</v>
      </c>
      <c r="N170" s="137">
        <f t="shared" si="204"/>
        <v>-434.10999999999967</v>
      </c>
      <c r="O170" s="252">
        <f t="shared" si="191"/>
        <v>-5.4263749999999948</v>
      </c>
      <c r="P170" s="212">
        <f>$F$170</f>
        <v>8000</v>
      </c>
      <c r="Q170" s="137">
        <v>7908.19</v>
      </c>
      <c r="R170" s="137">
        <f t="shared" si="205"/>
        <v>-91.8100000000004</v>
      </c>
      <c r="S170" s="237">
        <f t="shared" si="192"/>
        <v>-1.1476250000000077</v>
      </c>
      <c r="T170" s="136">
        <f>$F$170</f>
        <v>8000</v>
      </c>
      <c r="U170" s="137">
        <v>7565.89</v>
      </c>
      <c r="V170" s="137">
        <f t="shared" si="206"/>
        <v>-434.10999999999967</v>
      </c>
      <c r="W170" s="252">
        <f t="shared" si="193"/>
        <v>-5.4263749999999948</v>
      </c>
      <c r="X170" s="212">
        <f>$F$170</f>
        <v>8000</v>
      </c>
      <c r="Y170" s="137">
        <v>8033.28</v>
      </c>
      <c r="Z170" s="137">
        <f t="shared" si="207"/>
        <v>33.279999999999745</v>
      </c>
      <c r="AA170" s="237">
        <f t="shared" si="194"/>
        <v>0.41599999999999415</v>
      </c>
      <c r="AB170" s="212">
        <f>$F$170</f>
        <v>8000</v>
      </c>
      <c r="AC170" s="137">
        <v>5529.14</v>
      </c>
      <c r="AD170" s="137">
        <f t="shared" si="208"/>
        <v>-2470.8599999999997</v>
      </c>
      <c r="AE170" s="237">
        <f t="shared" si="195"/>
        <v>-30.885750000000002</v>
      </c>
      <c r="AF170" s="137">
        <f t="shared" si="150"/>
        <v>44168.28</v>
      </c>
      <c r="AG170" s="137">
        <f t="shared" si="151"/>
        <v>7361.38</v>
      </c>
      <c r="AH170" s="136">
        <f>$F$170</f>
        <v>8000</v>
      </c>
      <c r="AI170" s="137">
        <v>14473.82</v>
      </c>
      <c r="AJ170" s="137">
        <f t="shared" si="209"/>
        <v>6473.82</v>
      </c>
      <c r="AK170" s="252">
        <f t="shared" si="196"/>
        <v>80.922749999999994</v>
      </c>
      <c r="AL170" s="212">
        <f>$F$170</f>
        <v>8000</v>
      </c>
      <c r="AM170" s="137">
        <v>7677.13</v>
      </c>
      <c r="AN170" s="169">
        <f t="shared" si="187"/>
        <v>-322.86999999999989</v>
      </c>
      <c r="AO170" s="237">
        <f t="shared" si="197"/>
        <v>-4.0358749999999999</v>
      </c>
      <c r="AP170" s="243">
        <f>$F$170</f>
        <v>8000</v>
      </c>
      <c r="AQ170" s="176">
        <v>8389.14</v>
      </c>
      <c r="AR170" s="169">
        <f t="shared" si="188"/>
        <v>389.13999999999942</v>
      </c>
      <c r="AS170" s="252">
        <f t="shared" si="198"/>
        <v>4.8642499999999922</v>
      </c>
      <c r="AT170" s="254">
        <f>$F$170</f>
        <v>8000</v>
      </c>
      <c r="AU170" s="176">
        <v>17741.54</v>
      </c>
      <c r="AV170" s="169">
        <f t="shared" si="189"/>
        <v>9741.5400000000009</v>
      </c>
      <c r="AW170" s="567">
        <f t="shared" si="199"/>
        <v>121.76925</v>
      </c>
      <c r="AX170" s="243">
        <f>$F$170</f>
        <v>8000</v>
      </c>
      <c r="AY170" s="176">
        <v>10329.14</v>
      </c>
      <c r="AZ170" s="169">
        <f t="shared" si="190"/>
        <v>2329.1399999999994</v>
      </c>
      <c r="BA170" s="747">
        <f t="shared" si="200"/>
        <v>29.114249999999984</v>
      </c>
      <c r="BB170" s="254">
        <f>$F$170</f>
        <v>8000</v>
      </c>
      <c r="BC170" s="176">
        <v>11029.14</v>
      </c>
      <c r="BD170" s="137">
        <f t="shared" si="203"/>
        <v>3029.1399999999994</v>
      </c>
      <c r="BE170" s="567">
        <f t="shared" si="201"/>
        <v>37.864249999999998</v>
      </c>
      <c r="BF170" s="254">
        <f t="shared" si="152"/>
        <v>92168.28</v>
      </c>
      <c r="BG170" s="188">
        <f t="shared" si="186"/>
        <v>113808.19</v>
      </c>
      <c r="BH170" s="63">
        <f t="shared" si="202"/>
        <v>30605.86</v>
      </c>
    </row>
    <row r="171" spans="2:60" s="11" customFormat="1" x14ac:dyDescent="0.25">
      <c r="B171" s="170" t="s">
        <v>106</v>
      </c>
      <c r="C171" s="135">
        <v>214</v>
      </c>
      <c r="D171" s="152" t="s">
        <v>217</v>
      </c>
      <c r="E171" s="341"/>
      <c r="F171" s="726">
        <v>20000</v>
      </c>
      <c r="G171" s="619">
        <v>18981.11</v>
      </c>
      <c r="H171" s="212">
        <f>$F$171</f>
        <v>20000</v>
      </c>
      <c r="I171" s="137">
        <f>24213.63+1931.89</f>
        <v>26145.52</v>
      </c>
      <c r="J171" s="138">
        <f t="shared" si="184"/>
        <v>6145.52</v>
      </c>
      <c r="K171" s="371">
        <f t="shared" si="185"/>
        <v>30.72760000000001</v>
      </c>
      <c r="L171" s="136">
        <f>$F$171</f>
        <v>20000</v>
      </c>
      <c r="M171" s="137">
        <f>46618.09+108.32</f>
        <v>46726.409999999996</v>
      </c>
      <c r="N171" s="137">
        <f t="shared" si="204"/>
        <v>26726.409999999996</v>
      </c>
      <c r="O171" s="252">
        <f t="shared" si="191"/>
        <v>133.63204999999999</v>
      </c>
      <c r="P171" s="212">
        <f>$F$171</f>
        <v>20000</v>
      </c>
      <c r="Q171" s="137">
        <f>30697.5+1341.54</f>
        <v>32039.040000000001</v>
      </c>
      <c r="R171" s="137">
        <f t="shared" si="205"/>
        <v>12039.04</v>
      </c>
      <c r="S171" s="237">
        <f t="shared" si="192"/>
        <v>60.195200000000007</v>
      </c>
      <c r="T171" s="136">
        <f>$F$171</f>
        <v>20000</v>
      </c>
      <c r="U171" s="137">
        <f>37493.78+4036.93</f>
        <v>41530.71</v>
      </c>
      <c r="V171" s="137">
        <f t="shared" si="206"/>
        <v>21530.71</v>
      </c>
      <c r="W171" s="252">
        <f t="shared" si="193"/>
        <v>107.65354999999998</v>
      </c>
      <c r="X171" s="212">
        <f>$F$171</f>
        <v>20000</v>
      </c>
      <c r="Y171" s="137">
        <f>12104.41+619.59</f>
        <v>12724</v>
      </c>
      <c r="Z171" s="137">
        <f t="shared" si="207"/>
        <v>-7276</v>
      </c>
      <c r="AA171" s="237">
        <f t="shared" si="194"/>
        <v>-36.380000000000003</v>
      </c>
      <c r="AB171" s="212">
        <f>$F$171</f>
        <v>20000</v>
      </c>
      <c r="AC171" s="137">
        <f>11653.26+4242.58</f>
        <v>15895.84</v>
      </c>
      <c r="AD171" s="137">
        <f t="shared" si="208"/>
        <v>-4104.16</v>
      </c>
      <c r="AE171" s="237">
        <f t="shared" si="195"/>
        <v>-20.520799999999994</v>
      </c>
      <c r="AF171" s="137">
        <f t="shared" si="150"/>
        <v>175061.52</v>
      </c>
      <c r="AG171" s="137">
        <f t="shared" si="151"/>
        <v>29176.92</v>
      </c>
      <c r="AH171" s="136">
        <v>30000</v>
      </c>
      <c r="AI171" s="137">
        <f>18016.39+1595.49</f>
        <v>19611.88</v>
      </c>
      <c r="AJ171" s="137">
        <f t="shared" si="209"/>
        <v>-10388.119999999999</v>
      </c>
      <c r="AK171" s="252">
        <f t="shared" si="196"/>
        <v>-34.627066666666664</v>
      </c>
      <c r="AL171" s="212">
        <f>$F$171</f>
        <v>20000</v>
      </c>
      <c r="AM171" s="137">
        <f>10278.19+3074.88</f>
        <v>13353.07</v>
      </c>
      <c r="AN171" s="169">
        <f t="shared" si="187"/>
        <v>-6646.93</v>
      </c>
      <c r="AO171" s="237">
        <f t="shared" si="197"/>
        <v>-33.234650000000002</v>
      </c>
      <c r="AP171" s="243">
        <f>$F$171</f>
        <v>20000</v>
      </c>
      <c r="AQ171" s="176">
        <f>21214.9+241.53</f>
        <v>21456.43</v>
      </c>
      <c r="AR171" s="169">
        <f t="shared" si="188"/>
        <v>1456.4300000000003</v>
      </c>
      <c r="AS171" s="252">
        <f t="shared" si="198"/>
        <v>7.2821500000000094</v>
      </c>
      <c r="AT171" s="254">
        <f>$F$171</f>
        <v>20000</v>
      </c>
      <c r="AU171" s="176">
        <f>17591.03+1407.06</f>
        <v>18998.09</v>
      </c>
      <c r="AV171" s="169">
        <f t="shared" si="189"/>
        <v>-1001.9099999999999</v>
      </c>
      <c r="AW171" s="567">
        <f t="shared" si="199"/>
        <v>-5.0095499999999955</v>
      </c>
      <c r="AX171" s="243">
        <f>$F$171</f>
        <v>20000</v>
      </c>
      <c r="AY171" s="176">
        <f>12535.6+1364.34</f>
        <v>13899.94</v>
      </c>
      <c r="AZ171" s="169">
        <f t="shared" si="190"/>
        <v>-6100.0599999999995</v>
      </c>
      <c r="BA171" s="747">
        <f t="shared" si="200"/>
        <v>-30.500300000000003</v>
      </c>
      <c r="BB171" s="254">
        <f>$F$171</f>
        <v>20000</v>
      </c>
      <c r="BC171" s="821">
        <f>17687.93+3260.7</f>
        <v>20948.63</v>
      </c>
      <c r="BD171" s="137">
        <f t="shared" si="203"/>
        <v>948.63000000000102</v>
      </c>
      <c r="BE171" s="567">
        <f t="shared" si="201"/>
        <v>4.7431500000000071</v>
      </c>
      <c r="BF171" s="254">
        <f t="shared" si="152"/>
        <v>305061.52</v>
      </c>
      <c r="BG171" s="188">
        <f t="shared" si="186"/>
        <v>283329.56</v>
      </c>
      <c r="BH171" s="63">
        <f t="shared" si="202"/>
        <v>146441.68</v>
      </c>
    </row>
    <row r="172" spans="2:60" s="11" customFormat="1" x14ac:dyDescent="0.25">
      <c r="B172" s="170">
        <v>11669</v>
      </c>
      <c r="C172" s="135">
        <v>311</v>
      </c>
      <c r="D172" s="152" t="s">
        <v>334</v>
      </c>
      <c r="E172" s="341"/>
      <c r="F172" s="726">
        <v>2100</v>
      </c>
      <c r="G172" s="619">
        <v>2005.0116666666665</v>
      </c>
      <c r="H172" s="212">
        <f>$F$172</f>
        <v>2100</v>
      </c>
      <c r="I172" s="137">
        <v>4131.87</v>
      </c>
      <c r="J172" s="138">
        <f t="shared" si="184"/>
        <v>2031.87</v>
      </c>
      <c r="K172" s="371">
        <f t="shared" si="185"/>
        <v>96.755714285714276</v>
      </c>
      <c r="L172" s="136">
        <f>$F$172</f>
        <v>2100</v>
      </c>
      <c r="M172" s="137">
        <v>0</v>
      </c>
      <c r="N172" s="137">
        <f t="shared" si="204"/>
        <v>-2100</v>
      </c>
      <c r="O172" s="252">
        <f t="shared" si="191"/>
        <v>-100</v>
      </c>
      <c r="P172" s="212">
        <f>$F$172</f>
        <v>2100</v>
      </c>
      <c r="Q172" s="137">
        <v>3285</v>
      </c>
      <c r="R172" s="137">
        <f t="shared" si="205"/>
        <v>1185</v>
      </c>
      <c r="S172" s="237">
        <f t="shared" si="192"/>
        <v>56.428571428571431</v>
      </c>
      <c r="T172" s="136">
        <f>$F$172</f>
        <v>2100</v>
      </c>
      <c r="U172" s="137">
        <v>2000</v>
      </c>
      <c r="V172" s="137">
        <f t="shared" si="206"/>
        <v>-100</v>
      </c>
      <c r="W172" s="252">
        <f t="shared" si="193"/>
        <v>-4.7619047619047672</v>
      </c>
      <c r="X172" s="212">
        <f>$F$172</f>
        <v>2100</v>
      </c>
      <c r="Y172" s="137">
        <v>4000</v>
      </c>
      <c r="Z172" s="137">
        <f t="shared" si="207"/>
        <v>1900</v>
      </c>
      <c r="AA172" s="237">
        <f t="shared" si="194"/>
        <v>90.476190476190467</v>
      </c>
      <c r="AB172" s="212">
        <f>$F$172</f>
        <v>2100</v>
      </c>
      <c r="AC172" s="137">
        <v>0</v>
      </c>
      <c r="AD172" s="137">
        <f t="shared" si="208"/>
        <v>-2100</v>
      </c>
      <c r="AE172" s="237">
        <f t="shared" si="195"/>
        <v>-100</v>
      </c>
      <c r="AF172" s="137">
        <f t="shared" si="150"/>
        <v>13416.869999999999</v>
      </c>
      <c r="AG172" s="137">
        <f t="shared" si="151"/>
        <v>2236.145</v>
      </c>
      <c r="AH172" s="136">
        <v>2300</v>
      </c>
      <c r="AI172" s="137">
        <v>2000</v>
      </c>
      <c r="AJ172" s="137">
        <f t="shared" si="209"/>
        <v>-300</v>
      </c>
      <c r="AK172" s="252">
        <f t="shared" si="196"/>
        <v>-13.043478260869568</v>
      </c>
      <c r="AL172" s="212">
        <f>$F$172</f>
        <v>2100</v>
      </c>
      <c r="AM172" s="137">
        <v>2000</v>
      </c>
      <c r="AN172" s="169">
        <f t="shared" si="187"/>
        <v>-100</v>
      </c>
      <c r="AO172" s="237">
        <f t="shared" si="197"/>
        <v>-4.7619047619047672</v>
      </c>
      <c r="AP172" s="243">
        <f>$F$172</f>
        <v>2100</v>
      </c>
      <c r="AQ172" s="176">
        <v>2488.4699999999998</v>
      </c>
      <c r="AR172" s="169">
        <f t="shared" si="188"/>
        <v>388.4699999999998</v>
      </c>
      <c r="AS172" s="252">
        <f t="shared" si="198"/>
        <v>18.49857142857141</v>
      </c>
      <c r="AT172" s="254">
        <f>$F$172</f>
        <v>2100</v>
      </c>
      <c r="AU172" s="176">
        <v>2000</v>
      </c>
      <c r="AV172" s="169">
        <f t="shared" si="189"/>
        <v>-100</v>
      </c>
      <c r="AW172" s="567">
        <f t="shared" si="199"/>
        <v>-4.7619047619047672</v>
      </c>
      <c r="AX172" s="243">
        <f>$F$172</f>
        <v>2100</v>
      </c>
      <c r="AY172" s="176">
        <v>2000</v>
      </c>
      <c r="AZ172" s="169">
        <f t="shared" si="190"/>
        <v>-100</v>
      </c>
      <c r="BA172" s="747">
        <f t="shared" si="200"/>
        <v>-4.7619047619047672</v>
      </c>
      <c r="BB172" s="254">
        <f>$F$172</f>
        <v>2100</v>
      </c>
      <c r="BC172" s="176">
        <v>2000</v>
      </c>
      <c r="BD172" s="137">
        <f t="shared" si="203"/>
        <v>-100</v>
      </c>
      <c r="BE172" s="567">
        <f t="shared" si="201"/>
        <v>-4.7619047619047672</v>
      </c>
      <c r="BF172" s="254">
        <f t="shared" si="152"/>
        <v>26216.87</v>
      </c>
      <c r="BG172" s="188">
        <f t="shared" si="186"/>
        <v>25905.34</v>
      </c>
      <c r="BH172" s="63">
        <f t="shared" si="202"/>
        <v>9416.869999999999</v>
      </c>
    </row>
    <row r="173" spans="2:60" s="11" customFormat="1" ht="47.25" x14ac:dyDescent="0.25">
      <c r="B173" s="170" t="s">
        <v>3629</v>
      </c>
      <c r="C173" s="135" t="s">
        <v>107</v>
      </c>
      <c r="D173" s="152" t="s">
        <v>3628</v>
      </c>
      <c r="E173" s="341"/>
      <c r="F173" s="726">
        <v>11000</v>
      </c>
      <c r="G173" s="619">
        <v>9011.7250000000004</v>
      </c>
      <c r="H173" s="212">
        <f>$F$173</f>
        <v>11000</v>
      </c>
      <c r="I173" s="137">
        <f>300+2283.33</f>
        <v>2583.33</v>
      </c>
      <c r="J173" s="138">
        <f t="shared" si="184"/>
        <v>-8416.67</v>
      </c>
      <c r="K173" s="371">
        <f t="shared" si="185"/>
        <v>-76.515181818181816</v>
      </c>
      <c r="L173" s="136">
        <f>$F$173</f>
        <v>11000</v>
      </c>
      <c r="M173" s="137">
        <f>4651.32+580+0+0+0</f>
        <v>5231.32</v>
      </c>
      <c r="N173" s="137">
        <f t="shared" si="204"/>
        <v>-5768.68</v>
      </c>
      <c r="O173" s="252">
        <f t="shared" si="191"/>
        <v>-52.442545454545453</v>
      </c>
      <c r="P173" s="212">
        <f>$F$173</f>
        <v>11000</v>
      </c>
      <c r="Q173" s="137">
        <f>0+1188+9862.4</f>
        <v>11050.4</v>
      </c>
      <c r="R173" s="137">
        <f t="shared" si="205"/>
        <v>50.399999999999636</v>
      </c>
      <c r="S173" s="237">
        <f t="shared" si="192"/>
        <v>0.45818181818182424</v>
      </c>
      <c r="T173" s="136">
        <f>$F$173</f>
        <v>11000</v>
      </c>
      <c r="U173" s="137">
        <f>3786.53+11766+0+0+0</f>
        <v>15552.53</v>
      </c>
      <c r="V173" s="137">
        <f t="shared" si="206"/>
        <v>4552.5300000000007</v>
      </c>
      <c r="W173" s="252">
        <f t="shared" si="193"/>
        <v>41.386636363636377</v>
      </c>
      <c r="X173" s="212">
        <f>$F$173</f>
        <v>11000</v>
      </c>
      <c r="Y173" s="137">
        <f>877+2880+0+0+0</f>
        <v>3757</v>
      </c>
      <c r="Z173" s="137">
        <f t="shared" si="207"/>
        <v>-7243</v>
      </c>
      <c r="AA173" s="237">
        <f t="shared" si="194"/>
        <v>-65.845454545454544</v>
      </c>
      <c r="AB173" s="212">
        <f>$F$173</f>
        <v>11000</v>
      </c>
      <c r="AC173" s="137">
        <f>300+1766</f>
        <v>2066</v>
      </c>
      <c r="AD173" s="137">
        <f t="shared" si="208"/>
        <v>-8934</v>
      </c>
      <c r="AE173" s="237">
        <f t="shared" si="195"/>
        <v>-81.218181818181819</v>
      </c>
      <c r="AF173" s="137">
        <f t="shared" si="150"/>
        <v>40240.58</v>
      </c>
      <c r="AG173" s="137">
        <f t="shared" si="151"/>
        <v>6706.7633333333333</v>
      </c>
      <c r="AH173" s="136">
        <f>$F$173</f>
        <v>11000</v>
      </c>
      <c r="AI173" s="137">
        <f>104409.91+1435+450+500</f>
        <v>106794.91</v>
      </c>
      <c r="AJ173" s="137">
        <f t="shared" si="209"/>
        <v>95794.91</v>
      </c>
      <c r="AK173" s="252">
        <f t="shared" si="196"/>
        <v>870.86281818181828</v>
      </c>
      <c r="AL173" s="212">
        <f>$F$173</f>
        <v>11000</v>
      </c>
      <c r="AM173" s="137">
        <f>27783.2+19048.26</f>
        <v>46831.46</v>
      </c>
      <c r="AN173" s="169">
        <f t="shared" si="187"/>
        <v>35831.46</v>
      </c>
      <c r="AO173" s="237">
        <f t="shared" si="197"/>
        <v>325.74054545454538</v>
      </c>
      <c r="AP173" s="243">
        <f>$F$173</f>
        <v>11000</v>
      </c>
      <c r="AQ173" s="176">
        <f>5600+5280+0+0+186</f>
        <v>11066</v>
      </c>
      <c r="AR173" s="169">
        <f t="shared" si="188"/>
        <v>66</v>
      </c>
      <c r="AS173" s="252">
        <f t="shared" si="198"/>
        <v>0.60000000000000053</v>
      </c>
      <c r="AT173" s="254">
        <f>$F$173</f>
        <v>11000</v>
      </c>
      <c r="AU173" s="176">
        <f>11423+2480+0+0+0</f>
        <v>13903</v>
      </c>
      <c r="AV173" s="169">
        <f t="shared" si="189"/>
        <v>2903</v>
      </c>
      <c r="AW173" s="567">
        <f t="shared" si="199"/>
        <v>26.390909090909087</v>
      </c>
      <c r="AX173" s="243">
        <f>$F$173</f>
        <v>11000</v>
      </c>
      <c r="AY173" s="176">
        <f>16380+4608+0+0+0</f>
        <v>20988</v>
      </c>
      <c r="AZ173" s="169">
        <f t="shared" si="190"/>
        <v>9988</v>
      </c>
      <c r="BA173" s="747">
        <f t="shared" si="200"/>
        <v>90.8</v>
      </c>
      <c r="BB173" s="254">
        <f>$F$173</f>
        <v>11000</v>
      </c>
      <c r="BC173" s="176">
        <f>5600+6106+0+0</f>
        <v>11706</v>
      </c>
      <c r="BD173" s="137">
        <f t="shared" si="203"/>
        <v>706</v>
      </c>
      <c r="BE173" s="567">
        <f t="shared" si="201"/>
        <v>6.4181818181818118</v>
      </c>
      <c r="BF173" s="254">
        <f t="shared" si="152"/>
        <v>106240.58</v>
      </c>
      <c r="BG173" s="188">
        <f t="shared" si="186"/>
        <v>251529.94999999998</v>
      </c>
      <c r="BH173" s="63">
        <f t="shared" si="202"/>
        <v>34417.58</v>
      </c>
    </row>
    <row r="174" spans="2:60" s="11" customFormat="1" x14ac:dyDescent="0.25">
      <c r="B174" s="170">
        <v>11891</v>
      </c>
      <c r="C174" s="135">
        <v>263</v>
      </c>
      <c r="D174" s="152" t="s">
        <v>327</v>
      </c>
      <c r="E174" s="341"/>
      <c r="F174" s="726">
        <v>11200</v>
      </c>
      <c r="G174" s="619">
        <v>11211.29</v>
      </c>
      <c r="H174" s="212">
        <f>$F$174</f>
        <v>11200</v>
      </c>
      <c r="I174" s="137">
        <v>0</v>
      </c>
      <c r="J174" s="138">
        <f t="shared" si="184"/>
        <v>-11200</v>
      </c>
      <c r="K174" s="371">
        <f t="shared" si="185"/>
        <v>-100</v>
      </c>
      <c r="L174" s="212">
        <f>$F$174</f>
        <v>11200</v>
      </c>
      <c r="M174" s="137">
        <v>0</v>
      </c>
      <c r="N174" s="137">
        <f t="shared" si="204"/>
        <v>-11200</v>
      </c>
      <c r="O174" s="252">
        <f t="shared" si="191"/>
        <v>-100</v>
      </c>
      <c r="P174" s="212">
        <f>$F$174</f>
        <v>11200</v>
      </c>
      <c r="Q174" s="137">
        <v>0</v>
      </c>
      <c r="R174" s="137">
        <f t="shared" si="205"/>
        <v>-11200</v>
      </c>
      <c r="S174" s="237">
        <f t="shared" si="192"/>
        <v>-100</v>
      </c>
      <c r="T174" s="212">
        <f>$F$174</f>
        <v>11200</v>
      </c>
      <c r="U174" s="137">
        <v>0</v>
      </c>
      <c r="V174" s="137">
        <f t="shared" si="206"/>
        <v>-11200</v>
      </c>
      <c r="W174" s="252">
        <f t="shared" si="193"/>
        <v>-100</v>
      </c>
      <c r="X174" s="212">
        <f>$F$174</f>
        <v>11200</v>
      </c>
      <c r="Y174" s="137">
        <v>0</v>
      </c>
      <c r="Z174" s="137">
        <f t="shared" si="207"/>
        <v>-11200</v>
      </c>
      <c r="AA174" s="237">
        <f t="shared" si="194"/>
        <v>-100</v>
      </c>
      <c r="AB174" s="212">
        <f>$F$174</f>
        <v>11200</v>
      </c>
      <c r="AC174" s="137">
        <v>0</v>
      </c>
      <c r="AD174" s="137">
        <f t="shared" si="208"/>
        <v>-11200</v>
      </c>
      <c r="AE174" s="237">
        <f t="shared" si="195"/>
        <v>-100</v>
      </c>
      <c r="AF174" s="137">
        <f t="shared" si="150"/>
        <v>0</v>
      </c>
      <c r="AG174" s="137">
        <f t="shared" si="151"/>
        <v>0</v>
      </c>
      <c r="AH174" s="212">
        <f>$F$174</f>
        <v>11200</v>
      </c>
      <c r="AI174" s="137">
        <v>0</v>
      </c>
      <c r="AJ174" s="137">
        <f t="shared" si="209"/>
        <v>-11200</v>
      </c>
      <c r="AK174" s="252">
        <f t="shared" si="196"/>
        <v>-100</v>
      </c>
      <c r="AL174" s="212">
        <f>$F$174</f>
        <v>11200</v>
      </c>
      <c r="AM174" s="137">
        <v>0</v>
      </c>
      <c r="AN174" s="169">
        <f t="shared" si="187"/>
        <v>-11200</v>
      </c>
      <c r="AO174" s="237">
        <f t="shared" si="197"/>
        <v>-100</v>
      </c>
      <c r="AP174" s="212">
        <f>$F$174</f>
        <v>11200</v>
      </c>
      <c r="AQ174" s="176">
        <v>0</v>
      </c>
      <c r="AR174" s="169">
        <f t="shared" si="188"/>
        <v>-11200</v>
      </c>
      <c r="AS174" s="252">
        <f t="shared" si="198"/>
        <v>-100</v>
      </c>
      <c r="AT174" s="212">
        <f>$F$174</f>
        <v>11200</v>
      </c>
      <c r="AU174" s="176">
        <v>0</v>
      </c>
      <c r="AV174" s="169">
        <f t="shared" si="189"/>
        <v>-11200</v>
      </c>
      <c r="AW174" s="567">
        <f t="shared" si="199"/>
        <v>-100</v>
      </c>
      <c r="AX174" s="212">
        <f>$F$174</f>
        <v>11200</v>
      </c>
      <c r="AY174" s="176">
        <v>0</v>
      </c>
      <c r="AZ174" s="169">
        <f t="shared" si="190"/>
        <v>-11200</v>
      </c>
      <c r="BA174" s="747">
        <f t="shared" si="200"/>
        <v>-100</v>
      </c>
      <c r="BB174" s="212">
        <f>$F$174</f>
        <v>11200</v>
      </c>
      <c r="BC174" s="176">
        <v>0</v>
      </c>
      <c r="BD174" s="137">
        <f t="shared" si="203"/>
        <v>-11200</v>
      </c>
      <c r="BE174" s="567">
        <f t="shared" si="201"/>
        <v>-100</v>
      </c>
      <c r="BF174" s="212">
        <f t="shared" si="152"/>
        <v>67200</v>
      </c>
      <c r="BG174" s="188">
        <f t="shared" si="186"/>
        <v>0</v>
      </c>
      <c r="BH174" s="63">
        <f t="shared" si="202"/>
        <v>0</v>
      </c>
    </row>
    <row r="175" spans="2:60" s="11" customFormat="1" x14ac:dyDescent="0.25">
      <c r="B175" s="170">
        <v>11972</v>
      </c>
      <c r="C175" s="135">
        <v>173</v>
      </c>
      <c r="D175" s="152" t="s">
        <v>328</v>
      </c>
      <c r="E175" s="341"/>
      <c r="F175" s="726">
        <v>8000</v>
      </c>
      <c r="G175" s="619">
        <v>6903.13</v>
      </c>
      <c r="H175" s="212">
        <f>$F$175</f>
        <v>8000</v>
      </c>
      <c r="I175" s="137">
        <v>496876.06</v>
      </c>
      <c r="J175" s="138">
        <f t="shared" si="184"/>
        <v>488876.06</v>
      </c>
      <c r="K175" s="371">
        <f t="shared" si="185"/>
        <v>6110.95075</v>
      </c>
      <c r="L175" s="136">
        <f>$F$175</f>
        <v>8000</v>
      </c>
      <c r="M175" s="137">
        <v>31734.35</v>
      </c>
      <c r="N175" s="137">
        <f t="shared" si="204"/>
        <v>23734.35</v>
      </c>
      <c r="O175" s="252">
        <f t="shared" si="191"/>
        <v>296.67937499999999</v>
      </c>
      <c r="P175" s="212">
        <f>$F$175</f>
        <v>8000</v>
      </c>
      <c r="Q175" s="137">
        <v>18854.13</v>
      </c>
      <c r="R175" s="137">
        <f t="shared" si="205"/>
        <v>10854.130000000001</v>
      </c>
      <c r="S175" s="237">
        <f t="shared" si="192"/>
        <v>135.67662500000003</v>
      </c>
      <c r="T175" s="136">
        <f>$F$175</f>
        <v>8000</v>
      </c>
      <c r="U175" s="137">
        <v>22685.51</v>
      </c>
      <c r="V175" s="137">
        <f t="shared" si="206"/>
        <v>14685.509999999998</v>
      </c>
      <c r="W175" s="252">
        <f t="shared" si="193"/>
        <v>183.56887499999996</v>
      </c>
      <c r="X175" s="212">
        <f>$F$175</f>
        <v>8000</v>
      </c>
      <c r="Y175" s="137">
        <v>262112.72</v>
      </c>
      <c r="Z175" s="137">
        <f t="shared" si="207"/>
        <v>254112.72</v>
      </c>
      <c r="AA175" s="237">
        <f t="shared" si="194"/>
        <v>3176.4090000000001</v>
      </c>
      <c r="AB175" s="212">
        <f>$F$175</f>
        <v>8000</v>
      </c>
      <c r="AC175" s="137">
        <v>53260.41</v>
      </c>
      <c r="AD175" s="137">
        <f t="shared" si="208"/>
        <v>45260.41</v>
      </c>
      <c r="AE175" s="237">
        <f t="shared" si="195"/>
        <v>565.75512500000002</v>
      </c>
      <c r="AF175" s="137">
        <f t="shared" si="150"/>
        <v>885523.18</v>
      </c>
      <c r="AG175" s="137">
        <f t="shared" si="151"/>
        <v>147587.19666666668</v>
      </c>
      <c r="AH175" s="136">
        <v>31700</v>
      </c>
      <c r="AI175" s="137">
        <v>12531.75</v>
      </c>
      <c r="AJ175" s="137">
        <f t="shared" si="209"/>
        <v>-19168.25</v>
      </c>
      <c r="AK175" s="252">
        <f t="shared" si="196"/>
        <v>-60.467665615141961</v>
      </c>
      <c r="AL175" s="212">
        <f>AH175</f>
        <v>31700</v>
      </c>
      <c r="AM175" s="137">
        <f>153600.98</f>
        <v>153600.98000000001</v>
      </c>
      <c r="AN175" s="169">
        <f t="shared" si="187"/>
        <v>121900.98000000001</v>
      </c>
      <c r="AO175" s="237">
        <f t="shared" si="197"/>
        <v>384.54567823343854</v>
      </c>
      <c r="AP175" s="243">
        <f>AL175</f>
        <v>31700</v>
      </c>
      <c r="AQ175" s="176">
        <v>105584.37</v>
      </c>
      <c r="AR175" s="169">
        <f t="shared" si="188"/>
        <v>73884.37</v>
      </c>
      <c r="AS175" s="252">
        <f t="shared" si="198"/>
        <v>233.07372239747633</v>
      </c>
      <c r="AT175" s="254">
        <f>AP175</f>
        <v>31700</v>
      </c>
      <c r="AU175" s="176">
        <v>-31710.26</v>
      </c>
      <c r="AV175" s="169">
        <f t="shared" si="189"/>
        <v>-63410.259999999995</v>
      </c>
      <c r="AW175" s="567">
        <f t="shared" si="199"/>
        <v>-200.03236593059935</v>
      </c>
      <c r="AX175" s="243">
        <f>AT175</f>
        <v>31700</v>
      </c>
      <c r="AY175" s="176">
        <v>39420.47</v>
      </c>
      <c r="AZ175" s="169">
        <f t="shared" si="190"/>
        <v>7720.4700000000012</v>
      </c>
      <c r="BA175" s="747">
        <f t="shared" si="200"/>
        <v>24.354794952681402</v>
      </c>
      <c r="BB175" s="254">
        <f>AX175</f>
        <v>31700</v>
      </c>
      <c r="BC175" s="176">
        <v>75943.839999999997</v>
      </c>
      <c r="BD175" s="137">
        <f t="shared" si="203"/>
        <v>44243.839999999997</v>
      </c>
      <c r="BE175" s="567">
        <f t="shared" si="201"/>
        <v>139.57047318611987</v>
      </c>
      <c r="BF175" s="254">
        <f t="shared" si="152"/>
        <v>1075723.1800000002</v>
      </c>
      <c r="BG175" s="188">
        <f t="shared" si="186"/>
        <v>1240894.3300000003</v>
      </c>
      <c r="BH175" s="63">
        <f t="shared" si="202"/>
        <v>570150.05000000005</v>
      </c>
    </row>
    <row r="176" spans="2:60" s="750" customFormat="1" ht="31.5" x14ac:dyDescent="0.25">
      <c r="B176" s="740" t="s">
        <v>3635</v>
      </c>
      <c r="C176" s="741">
        <v>360</v>
      </c>
      <c r="D176" s="152" t="s">
        <v>108</v>
      </c>
      <c r="E176" s="341"/>
      <c r="F176" s="726">
        <v>16000</v>
      </c>
      <c r="G176" s="619">
        <v>10878.736666666668</v>
      </c>
      <c r="H176" s="212">
        <f>$F$176</f>
        <v>16000</v>
      </c>
      <c r="I176" s="137">
        <f>14422.84</f>
        <v>14422.84</v>
      </c>
      <c r="J176" s="138">
        <f t="shared" si="184"/>
        <v>-1577.1599999999999</v>
      </c>
      <c r="K176" s="371">
        <f t="shared" si="185"/>
        <v>-9.8572499999999952</v>
      </c>
      <c r="L176" s="136">
        <f>$F$176</f>
        <v>16000</v>
      </c>
      <c r="M176" s="137">
        <v>14493.49</v>
      </c>
      <c r="N176" s="137">
        <f t="shared" si="204"/>
        <v>-1506.5100000000002</v>
      </c>
      <c r="O176" s="252">
        <f t="shared" si="191"/>
        <v>-9.4156875000000024</v>
      </c>
      <c r="P176" s="212">
        <f>$F$176</f>
        <v>16000</v>
      </c>
      <c r="Q176" s="137">
        <v>14557.63</v>
      </c>
      <c r="R176" s="137">
        <f t="shared" si="205"/>
        <v>-1442.3700000000008</v>
      </c>
      <c r="S176" s="237">
        <f t="shared" si="192"/>
        <v>-9.0148125000000014</v>
      </c>
      <c r="T176" s="136">
        <f>$F$176</f>
        <v>16000</v>
      </c>
      <c r="U176" s="137">
        <f>14619.11+0</f>
        <v>14619.11</v>
      </c>
      <c r="V176" s="137">
        <f t="shared" si="206"/>
        <v>-1380.8899999999994</v>
      </c>
      <c r="W176" s="252">
        <f t="shared" si="193"/>
        <v>-8.6305624999999946</v>
      </c>
      <c r="X176" s="212">
        <f>$F$176</f>
        <v>16000</v>
      </c>
      <c r="Y176" s="137">
        <f>14687.16+0</f>
        <v>14687.16</v>
      </c>
      <c r="Z176" s="137">
        <f t="shared" si="207"/>
        <v>-1312.8400000000001</v>
      </c>
      <c r="AA176" s="237">
        <f t="shared" si="194"/>
        <v>-8.2052499999999977</v>
      </c>
      <c r="AB176" s="212">
        <f>$F$176</f>
        <v>16000</v>
      </c>
      <c r="AC176" s="137">
        <f>14757.84</f>
        <v>14757.84</v>
      </c>
      <c r="AD176" s="137">
        <f t="shared" si="208"/>
        <v>-1242.1599999999999</v>
      </c>
      <c r="AE176" s="237">
        <f t="shared" si="195"/>
        <v>-7.7635000000000005</v>
      </c>
      <c r="AF176" s="137">
        <f t="shared" si="150"/>
        <v>87538.069999999992</v>
      </c>
      <c r="AG176" s="137">
        <f t="shared" si="151"/>
        <v>14589.678333333331</v>
      </c>
      <c r="AH176" s="136">
        <f>$F$176</f>
        <v>16000</v>
      </c>
      <c r="AI176" s="137">
        <f>15839.7</f>
        <v>15839.7</v>
      </c>
      <c r="AJ176" s="137">
        <f t="shared" si="209"/>
        <v>-160.29999999999927</v>
      </c>
      <c r="AK176" s="252">
        <f t="shared" si="196"/>
        <v>-1.0018749999999965</v>
      </c>
      <c r="AL176" s="212">
        <f>$F$176</f>
        <v>16000</v>
      </c>
      <c r="AM176" s="137">
        <f>15914.31+28491.77</f>
        <v>44406.080000000002</v>
      </c>
      <c r="AN176" s="169">
        <f t="shared" si="187"/>
        <v>28406.080000000002</v>
      </c>
      <c r="AO176" s="237">
        <f t="shared" si="197"/>
        <v>177.53800000000001</v>
      </c>
      <c r="AP176" s="243">
        <f>$F$176</f>
        <v>16000</v>
      </c>
      <c r="AQ176" s="176">
        <f>15979.74+0+0</f>
        <v>15979.74</v>
      </c>
      <c r="AR176" s="169">
        <f t="shared" si="188"/>
        <v>-20.260000000000218</v>
      </c>
      <c r="AS176" s="252">
        <f t="shared" si="198"/>
        <v>-0.12662500000000243</v>
      </c>
      <c r="AT176" s="254">
        <f>$F$176</f>
        <v>16000</v>
      </c>
      <c r="AU176" s="176">
        <f>16057.28+0+8819.32</f>
        <v>24876.6</v>
      </c>
      <c r="AV176" s="169">
        <f t="shared" si="189"/>
        <v>8876.5999999999985</v>
      </c>
      <c r="AW176" s="567">
        <f t="shared" si="199"/>
        <v>55.478749999999998</v>
      </c>
      <c r="AX176" s="243">
        <f>$F$176</f>
        <v>16000</v>
      </c>
      <c r="AY176" s="176">
        <f>20533.23+0+0</f>
        <v>20533.23</v>
      </c>
      <c r="AZ176" s="169">
        <f t="shared" si="190"/>
        <v>4533.2299999999996</v>
      </c>
      <c r="BA176" s="747">
        <f t="shared" si="200"/>
        <v>28.332687499999999</v>
      </c>
      <c r="BB176" s="254">
        <f>$F$176</f>
        <v>16000</v>
      </c>
      <c r="BC176" s="176">
        <f>16152.47+10708.02</f>
        <v>26860.489999999998</v>
      </c>
      <c r="BD176" s="137">
        <f t="shared" si="203"/>
        <v>10860.489999999998</v>
      </c>
      <c r="BE176" s="567">
        <f t="shared" si="201"/>
        <v>67.878062499999999</v>
      </c>
      <c r="BF176" s="254">
        <f t="shared" si="152"/>
        <v>183538.07</v>
      </c>
      <c r="BG176" s="188">
        <f t="shared" si="186"/>
        <v>236033.90999999997</v>
      </c>
      <c r="BH176" s="63">
        <f t="shared" si="202"/>
        <v>58093.07</v>
      </c>
    </row>
    <row r="177" spans="2:60" s="11" customFormat="1" x14ac:dyDescent="0.25">
      <c r="B177" s="170">
        <v>11983</v>
      </c>
      <c r="C177" s="135">
        <v>242</v>
      </c>
      <c r="D177" s="152" t="s">
        <v>218</v>
      </c>
      <c r="E177" s="341"/>
      <c r="F177" s="726">
        <v>1800</v>
      </c>
      <c r="G177" s="619">
        <v>1595.0166666666667</v>
      </c>
      <c r="H177" s="212">
        <f>$F$177</f>
        <v>1800</v>
      </c>
      <c r="I177" s="137">
        <v>101.33</v>
      </c>
      <c r="J177" s="138">
        <f t="shared" si="184"/>
        <v>-1698.67</v>
      </c>
      <c r="K177" s="371">
        <f t="shared" si="185"/>
        <v>-94.370555555555555</v>
      </c>
      <c r="L177" s="136">
        <f>$F$177</f>
        <v>1800</v>
      </c>
      <c r="M177" s="137">
        <v>1630.85</v>
      </c>
      <c r="N177" s="137">
        <f t="shared" si="204"/>
        <v>-169.15000000000009</v>
      </c>
      <c r="O177" s="252">
        <f t="shared" si="191"/>
        <v>-9.3972222222222239</v>
      </c>
      <c r="P177" s="212">
        <f>$F$177</f>
        <v>1800</v>
      </c>
      <c r="Q177" s="137">
        <v>1630.85</v>
      </c>
      <c r="R177" s="137">
        <f t="shared" si="205"/>
        <v>-169.15000000000009</v>
      </c>
      <c r="S177" s="237">
        <f t="shared" si="192"/>
        <v>-9.3972222222222239</v>
      </c>
      <c r="T177" s="136">
        <f>$F$177</f>
        <v>1800</v>
      </c>
      <c r="U177" s="137">
        <v>1554.85</v>
      </c>
      <c r="V177" s="137">
        <f t="shared" si="206"/>
        <v>-245.15000000000009</v>
      </c>
      <c r="W177" s="252">
        <f t="shared" si="193"/>
        <v>-13.619444444444451</v>
      </c>
      <c r="X177" s="212">
        <f>$F$177</f>
        <v>1800</v>
      </c>
      <c r="Y177" s="137">
        <v>1554.93</v>
      </c>
      <c r="Z177" s="137">
        <f t="shared" si="207"/>
        <v>-245.06999999999994</v>
      </c>
      <c r="AA177" s="237">
        <f t="shared" si="194"/>
        <v>-13.614999999999998</v>
      </c>
      <c r="AB177" s="212">
        <f>$F$177</f>
        <v>1800</v>
      </c>
      <c r="AC177" s="137">
        <v>1529.52</v>
      </c>
      <c r="AD177" s="137">
        <f t="shared" si="208"/>
        <v>-270.48</v>
      </c>
      <c r="AE177" s="237">
        <f t="shared" si="195"/>
        <v>-15.026666666666666</v>
      </c>
      <c r="AF177" s="137">
        <f t="shared" si="150"/>
        <v>8002.33</v>
      </c>
      <c r="AG177" s="137">
        <f t="shared" si="151"/>
        <v>1333.7216666666666</v>
      </c>
      <c r="AH177" s="136">
        <f>$F$177</f>
        <v>1800</v>
      </c>
      <c r="AI177" s="137">
        <v>1529.52</v>
      </c>
      <c r="AJ177" s="137">
        <f t="shared" si="209"/>
        <v>-270.48</v>
      </c>
      <c r="AK177" s="252">
        <f t="shared" si="196"/>
        <v>-15.026666666666666</v>
      </c>
      <c r="AL177" s="212">
        <f>$F$177</f>
        <v>1800</v>
      </c>
      <c r="AM177" s="137">
        <v>3059.04</v>
      </c>
      <c r="AN177" s="169">
        <f t="shared" si="187"/>
        <v>1259.04</v>
      </c>
      <c r="AO177" s="237">
        <f t="shared" si="197"/>
        <v>69.946666666666673</v>
      </c>
      <c r="AP177" s="243">
        <f>$F$177</f>
        <v>1800</v>
      </c>
      <c r="AQ177" s="176">
        <v>1605.23</v>
      </c>
      <c r="AR177" s="169">
        <f t="shared" si="188"/>
        <v>-194.76999999999998</v>
      </c>
      <c r="AS177" s="252">
        <f t="shared" si="198"/>
        <v>-10.820555555555556</v>
      </c>
      <c r="AT177" s="254">
        <f>$F$177</f>
        <v>1800</v>
      </c>
      <c r="AU177" s="176">
        <v>1605.23</v>
      </c>
      <c r="AV177" s="169">
        <f t="shared" si="189"/>
        <v>-194.76999999999998</v>
      </c>
      <c r="AW177" s="567">
        <f t="shared" si="199"/>
        <v>-10.820555555555556</v>
      </c>
      <c r="AX177" s="243">
        <f>$F$177</f>
        <v>1800</v>
      </c>
      <c r="AY177" s="176">
        <v>1605.23</v>
      </c>
      <c r="AZ177" s="169">
        <f t="shared" si="190"/>
        <v>-194.76999999999998</v>
      </c>
      <c r="BA177" s="747">
        <f t="shared" si="200"/>
        <v>-10.820555555555556</v>
      </c>
      <c r="BB177" s="254">
        <f>$F$177</f>
        <v>1800</v>
      </c>
      <c r="BC177" s="176">
        <v>1605.23</v>
      </c>
      <c r="BD177" s="137">
        <f t="shared" si="203"/>
        <v>-194.76999999999998</v>
      </c>
      <c r="BE177" s="567">
        <f t="shared" si="201"/>
        <v>-10.820555555555556</v>
      </c>
      <c r="BF177" s="254">
        <f t="shared" si="152"/>
        <v>18802.330000000002</v>
      </c>
      <c r="BG177" s="188">
        <f t="shared" si="186"/>
        <v>19011.809999999998</v>
      </c>
      <c r="BH177" s="63">
        <f t="shared" si="202"/>
        <v>4917.8799999999992</v>
      </c>
    </row>
    <row r="178" spans="2:60" s="11" customFormat="1" x14ac:dyDescent="0.25">
      <c r="B178" s="170">
        <v>11704</v>
      </c>
      <c r="C178" s="135">
        <v>214</v>
      </c>
      <c r="D178" s="152" t="s">
        <v>109</v>
      </c>
      <c r="E178" s="341"/>
      <c r="F178" s="726">
        <v>6000</v>
      </c>
      <c r="G178" s="619">
        <v>5546.666666666667</v>
      </c>
      <c r="H178" s="212">
        <f>$F$178</f>
        <v>6000</v>
      </c>
      <c r="I178" s="137">
        <v>6760</v>
      </c>
      <c r="J178" s="138">
        <f t="shared" si="184"/>
        <v>760</v>
      </c>
      <c r="K178" s="371">
        <f t="shared" si="185"/>
        <v>12.666666666666671</v>
      </c>
      <c r="L178" s="136">
        <f>$F$178</f>
        <v>6000</v>
      </c>
      <c r="M178" s="137">
        <v>5360</v>
      </c>
      <c r="N178" s="137">
        <f t="shared" si="204"/>
        <v>-640</v>
      </c>
      <c r="O178" s="252">
        <f t="shared" si="191"/>
        <v>-10.666666666666668</v>
      </c>
      <c r="P178" s="212">
        <f>$F$178</f>
        <v>6000</v>
      </c>
      <c r="Q178" s="137">
        <v>5360</v>
      </c>
      <c r="R178" s="137">
        <f t="shared" si="205"/>
        <v>-640</v>
      </c>
      <c r="S178" s="237">
        <f t="shared" si="192"/>
        <v>-10.666666666666668</v>
      </c>
      <c r="T178" s="136">
        <f>$F$178</f>
        <v>6000</v>
      </c>
      <c r="U178" s="137">
        <v>6300</v>
      </c>
      <c r="V178" s="137">
        <f t="shared" si="206"/>
        <v>300</v>
      </c>
      <c r="W178" s="252">
        <f t="shared" si="193"/>
        <v>5.0000000000000044</v>
      </c>
      <c r="X178" s="212">
        <f>$F$178</f>
        <v>6000</v>
      </c>
      <c r="Y178" s="137">
        <v>8292</v>
      </c>
      <c r="Z178" s="137">
        <f t="shared" si="207"/>
        <v>2292</v>
      </c>
      <c r="AA178" s="237">
        <f t="shared" si="194"/>
        <v>38.199999999999989</v>
      </c>
      <c r="AB178" s="212">
        <f>$F$178</f>
        <v>6000</v>
      </c>
      <c r="AC178" s="137">
        <v>6440</v>
      </c>
      <c r="AD178" s="137">
        <f t="shared" si="208"/>
        <v>440</v>
      </c>
      <c r="AE178" s="237">
        <f t="shared" si="195"/>
        <v>7.333333333333325</v>
      </c>
      <c r="AF178" s="137">
        <f t="shared" si="150"/>
        <v>38512</v>
      </c>
      <c r="AG178" s="137">
        <f t="shared" si="151"/>
        <v>6418.666666666667</v>
      </c>
      <c r="AH178" s="136">
        <f>$F$178</f>
        <v>6000</v>
      </c>
      <c r="AI178" s="137">
        <v>5124.3999999999996</v>
      </c>
      <c r="AJ178" s="137">
        <f t="shared" si="209"/>
        <v>-875.60000000000036</v>
      </c>
      <c r="AK178" s="252">
        <f t="shared" si="196"/>
        <v>-14.593333333333335</v>
      </c>
      <c r="AL178" s="212">
        <f>$F$178</f>
        <v>6000</v>
      </c>
      <c r="AM178" s="137">
        <v>4216</v>
      </c>
      <c r="AN178" s="169">
        <f t="shared" si="187"/>
        <v>-1784</v>
      </c>
      <c r="AO178" s="237">
        <f t="shared" si="197"/>
        <v>-29.733333333333334</v>
      </c>
      <c r="AP178" s="243">
        <f>$F$178</f>
        <v>6000</v>
      </c>
      <c r="AQ178" s="176">
        <v>8865</v>
      </c>
      <c r="AR178" s="169">
        <f t="shared" si="188"/>
        <v>2865</v>
      </c>
      <c r="AS178" s="252">
        <f t="shared" si="198"/>
        <v>47.75</v>
      </c>
      <c r="AT178" s="254">
        <f>$F$178</f>
        <v>6000</v>
      </c>
      <c r="AU178" s="176">
        <v>8034</v>
      </c>
      <c r="AV178" s="169">
        <f t="shared" si="189"/>
        <v>2034</v>
      </c>
      <c r="AW178" s="567">
        <f t="shared" si="199"/>
        <v>33.9</v>
      </c>
      <c r="AX178" s="243">
        <f>$F$178</f>
        <v>6000</v>
      </c>
      <c r="AY178" s="176">
        <v>5138.8</v>
      </c>
      <c r="AZ178" s="169">
        <f t="shared" si="190"/>
        <v>-861.19999999999982</v>
      </c>
      <c r="BA178" s="747">
        <f t="shared" si="200"/>
        <v>-14.353333333333328</v>
      </c>
      <c r="BB178" s="254">
        <f>$F$178</f>
        <v>6000</v>
      </c>
      <c r="BC178" s="176">
        <v>5040</v>
      </c>
      <c r="BD178" s="137">
        <f t="shared" si="203"/>
        <v>-960</v>
      </c>
      <c r="BE178" s="567">
        <f t="shared" si="201"/>
        <v>-16.000000000000004</v>
      </c>
      <c r="BF178" s="254">
        <f t="shared" si="152"/>
        <v>74512</v>
      </c>
      <c r="BG178" s="188">
        <f t="shared" si="186"/>
        <v>74930.2</v>
      </c>
      <c r="BH178" s="63">
        <f t="shared" si="202"/>
        <v>23780</v>
      </c>
    </row>
    <row r="179" spans="2:60" s="11" customFormat="1" x14ac:dyDescent="0.25">
      <c r="B179" s="170">
        <v>12314</v>
      </c>
      <c r="C179" s="135">
        <v>233</v>
      </c>
      <c r="D179" s="152" t="s">
        <v>325</v>
      </c>
      <c r="E179" s="341"/>
      <c r="F179" s="726">
        <v>14000</v>
      </c>
      <c r="G179" s="619">
        <v>12299.799999999997</v>
      </c>
      <c r="H179" s="212">
        <f>$F$179</f>
        <v>14000</v>
      </c>
      <c r="I179" s="137">
        <v>1460</v>
      </c>
      <c r="J179" s="138">
        <f t="shared" si="184"/>
        <v>-12540</v>
      </c>
      <c r="K179" s="371">
        <f t="shared" si="185"/>
        <v>-89.571428571428569</v>
      </c>
      <c r="L179" s="136">
        <f>$F$179</f>
        <v>14000</v>
      </c>
      <c r="M179" s="137">
        <v>0</v>
      </c>
      <c r="N179" s="137">
        <f t="shared" si="204"/>
        <v>-14000</v>
      </c>
      <c r="O179" s="252">
        <f t="shared" si="191"/>
        <v>-100</v>
      </c>
      <c r="P179" s="212">
        <f>$F$179</f>
        <v>14000</v>
      </c>
      <c r="Q179" s="137">
        <v>10476.5</v>
      </c>
      <c r="R179" s="137">
        <f t="shared" si="205"/>
        <v>-3523.5</v>
      </c>
      <c r="S179" s="237">
        <f t="shared" si="192"/>
        <v>-25.167857142857141</v>
      </c>
      <c r="T179" s="136">
        <f>$F$179</f>
        <v>14000</v>
      </c>
      <c r="U179" s="137">
        <v>34.94</v>
      </c>
      <c r="V179" s="137">
        <f t="shared" si="206"/>
        <v>-13965.06</v>
      </c>
      <c r="W179" s="252">
        <f t="shared" si="193"/>
        <v>-99.750428571428571</v>
      </c>
      <c r="X179" s="212">
        <f>$F$179</f>
        <v>14000</v>
      </c>
      <c r="Y179" s="137">
        <v>195.11</v>
      </c>
      <c r="Z179" s="137">
        <f t="shared" si="207"/>
        <v>-13804.89</v>
      </c>
      <c r="AA179" s="237">
        <f t="shared" si="194"/>
        <v>-98.606357142857149</v>
      </c>
      <c r="AB179" s="212">
        <f>$F$179</f>
        <v>14000</v>
      </c>
      <c r="AC179" s="137">
        <v>253.94</v>
      </c>
      <c r="AD179" s="137">
        <f t="shared" si="208"/>
        <v>-13746.06</v>
      </c>
      <c r="AE179" s="237">
        <f t="shared" si="195"/>
        <v>-98.186142857142855</v>
      </c>
      <c r="AF179" s="137">
        <f t="shared" si="150"/>
        <v>12420.490000000002</v>
      </c>
      <c r="AG179" s="137">
        <f t="shared" si="151"/>
        <v>2070.0816666666669</v>
      </c>
      <c r="AH179" s="136">
        <f>$F$179</f>
        <v>14000</v>
      </c>
      <c r="AI179" s="137">
        <v>1044.94</v>
      </c>
      <c r="AJ179" s="137">
        <f t="shared" si="209"/>
        <v>-12955.06</v>
      </c>
      <c r="AK179" s="252">
        <f t="shared" si="196"/>
        <v>-92.536142857142849</v>
      </c>
      <c r="AL179" s="212">
        <f>$F$179</f>
        <v>14000</v>
      </c>
      <c r="AM179" s="137">
        <v>839.04</v>
      </c>
      <c r="AN179" s="169">
        <f t="shared" si="187"/>
        <v>-13160.96</v>
      </c>
      <c r="AO179" s="237">
        <f t="shared" si="197"/>
        <v>-94.006857142857143</v>
      </c>
      <c r="AP179" s="243">
        <f>$F$179</f>
        <v>14000</v>
      </c>
      <c r="AQ179" s="176">
        <v>32.15</v>
      </c>
      <c r="AR179" s="169">
        <f t="shared" si="188"/>
        <v>-13967.85</v>
      </c>
      <c r="AS179" s="252">
        <f t="shared" si="198"/>
        <v>-99.770357142857151</v>
      </c>
      <c r="AT179" s="254">
        <f>$F$179</f>
        <v>14000</v>
      </c>
      <c r="AU179" s="176">
        <v>0</v>
      </c>
      <c r="AV179" s="169">
        <f t="shared" si="189"/>
        <v>-14000</v>
      </c>
      <c r="AW179" s="567">
        <f t="shared" si="199"/>
        <v>-100</v>
      </c>
      <c r="AX179" s="243">
        <f>$F$179</f>
        <v>14000</v>
      </c>
      <c r="AY179" s="176">
        <v>3601.08</v>
      </c>
      <c r="AZ179" s="169">
        <f t="shared" si="190"/>
        <v>-10398.92</v>
      </c>
      <c r="BA179" s="747">
        <f t="shared" si="200"/>
        <v>-74.278000000000006</v>
      </c>
      <c r="BB179" s="254">
        <f>$F$179</f>
        <v>14000</v>
      </c>
      <c r="BC179" s="176">
        <v>911</v>
      </c>
      <c r="BD179" s="137">
        <f t="shared" si="203"/>
        <v>-13089</v>
      </c>
      <c r="BE179" s="567">
        <f t="shared" si="201"/>
        <v>-93.492857142857147</v>
      </c>
      <c r="BF179" s="254">
        <f t="shared" si="152"/>
        <v>96420.49</v>
      </c>
      <c r="BG179" s="188">
        <f t="shared" si="186"/>
        <v>18848.7</v>
      </c>
      <c r="BH179" s="63">
        <f t="shared" si="202"/>
        <v>11971.44</v>
      </c>
    </row>
    <row r="180" spans="2:60" s="11" customFormat="1" x14ac:dyDescent="0.25">
      <c r="B180" s="170">
        <v>11259</v>
      </c>
      <c r="C180" s="135">
        <v>169</v>
      </c>
      <c r="D180" s="152" t="s">
        <v>110</v>
      </c>
      <c r="E180" s="341"/>
      <c r="F180" s="726">
        <v>550</v>
      </c>
      <c r="G180" s="619">
        <v>474.60833333333335</v>
      </c>
      <c r="H180" s="212">
        <f>$F$180</f>
        <v>550</v>
      </c>
      <c r="I180" s="137">
        <v>0.01</v>
      </c>
      <c r="J180" s="138">
        <f t="shared" si="184"/>
        <v>-549.99</v>
      </c>
      <c r="K180" s="371">
        <f t="shared" si="185"/>
        <v>-99.99818181818182</v>
      </c>
      <c r="L180" s="136">
        <f>$F$180</f>
        <v>550</v>
      </c>
      <c r="M180" s="137">
        <v>0</v>
      </c>
      <c r="N180" s="137">
        <f t="shared" si="204"/>
        <v>-550</v>
      </c>
      <c r="O180" s="252">
        <f t="shared" si="191"/>
        <v>-100</v>
      </c>
      <c r="P180" s="212">
        <f>$F$180</f>
        <v>550</v>
      </c>
      <c r="Q180" s="137">
        <v>0</v>
      </c>
      <c r="R180" s="137">
        <f t="shared" si="205"/>
        <v>-550</v>
      </c>
      <c r="S180" s="237">
        <f t="shared" si="192"/>
        <v>-100</v>
      </c>
      <c r="T180" s="136">
        <f>$F$180</f>
        <v>550</v>
      </c>
      <c r="U180" s="137">
        <v>0</v>
      </c>
      <c r="V180" s="137">
        <f t="shared" si="206"/>
        <v>-550</v>
      </c>
      <c r="W180" s="252">
        <f t="shared" si="193"/>
        <v>-100</v>
      </c>
      <c r="X180" s="212">
        <f>$F$180</f>
        <v>550</v>
      </c>
      <c r="Y180" s="137">
        <v>13.97</v>
      </c>
      <c r="Z180" s="137">
        <f t="shared" si="207"/>
        <v>-536.03</v>
      </c>
      <c r="AA180" s="237">
        <f t="shared" si="194"/>
        <v>-97.460000000000008</v>
      </c>
      <c r="AB180" s="212">
        <f>$F$180</f>
        <v>550</v>
      </c>
      <c r="AC180" s="137">
        <v>2.98</v>
      </c>
      <c r="AD180" s="137">
        <f t="shared" si="208"/>
        <v>-547.02</v>
      </c>
      <c r="AE180" s="237">
        <f t="shared" si="195"/>
        <v>-99.458181818181828</v>
      </c>
      <c r="AF180" s="137">
        <f t="shared" si="150"/>
        <v>16.96</v>
      </c>
      <c r="AG180" s="137">
        <f t="shared" si="151"/>
        <v>2.8266666666666667</v>
      </c>
      <c r="AH180" s="136">
        <f>$F$180</f>
        <v>550</v>
      </c>
      <c r="AI180" s="137">
        <v>95.28</v>
      </c>
      <c r="AJ180" s="137">
        <f t="shared" si="209"/>
        <v>-454.72</v>
      </c>
      <c r="AK180" s="252">
        <f t="shared" si="196"/>
        <v>-82.676363636363632</v>
      </c>
      <c r="AL180" s="212">
        <f>$F$180</f>
        <v>550</v>
      </c>
      <c r="AM180" s="137">
        <v>87.23</v>
      </c>
      <c r="AN180" s="169">
        <f t="shared" si="187"/>
        <v>-462.77</v>
      </c>
      <c r="AO180" s="237">
        <f t="shared" si="197"/>
        <v>-84.139999999999986</v>
      </c>
      <c r="AP180" s="243">
        <f>$F$180</f>
        <v>550</v>
      </c>
      <c r="AQ180" s="176">
        <v>0</v>
      </c>
      <c r="AR180" s="169">
        <f t="shared" si="188"/>
        <v>-550</v>
      </c>
      <c r="AS180" s="252">
        <f t="shared" si="198"/>
        <v>-100</v>
      </c>
      <c r="AT180" s="254">
        <f>$F$180</f>
        <v>550</v>
      </c>
      <c r="AU180" s="176">
        <v>38.130000000000003</v>
      </c>
      <c r="AV180" s="169">
        <f t="shared" si="189"/>
        <v>-511.87</v>
      </c>
      <c r="AW180" s="567">
        <f t="shared" si="199"/>
        <v>-93.067272727272737</v>
      </c>
      <c r="AX180" s="243">
        <f>$F$180</f>
        <v>550</v>
      </c>
      <c r="AY180" s="176">
        <v>35.85</v>
      </c>
      <c r="AZ180" s="169">
        <f t="shared" si="190"/>
        <v>-514.15</v>
      </c>
      <c r="BA180" s="747">
        <f t="shared" si="200"/>
        <v>-93.48181818181817</v>
      </c>
      <c r="BB180" s="254">
        <f>$F$180</f>
        <v>550</v>
      </c>
      <c r="BC180" s="176">
        <v>69.180000000000007</v>
      </c>
      <c r="BD180" s="137">
        <f t="shared" si="203"/>
        <v>-480.82</v>
      </c>
      <c r="BE180" s="567">
        <f t="shared" si="201"/>
        <v>-87.421818181818182</v>
      </c>
      <c r="BF180" s="254">
        <f t="shared" si="152"/>
        <v>3316.96</v>
      </c>
      <c r="BG180" s="188">
        <f t="shared" si="186"/>
        <v>342.63000000000005</v>
      </c>
      <c r="BH180" s="63">
        <f t="shared" si="202"/>
        <v>0.01</v>
      </c>
    </row>
    <row r="181" spans="2:60" s="11" customFormat="1" x14ac:dyDescent="0.25">
      <c r="B181" s="170">
        <v>51872</v>
      </c>
      <c r="C181" s="135">
        <v>215</v>
      </c>
      <c r="D181" s="152" t="s">
        <v>219</v>
      </c>
      <c r="E181" s="341"/>
      <c r="F181" s="751" t="s">
        <v>62</v>
      </c>
      <c r="G181" s="619">
        <v>60000</v>
      </c>
      <c r="H181" s="212">
        <f>$G$181</f>
        <v>60000</v>
      </c>
      <c r="I181" s="137">
        <v>60000</v>
      </c>
      <c r="J181" s="138">
        <f t="shared" si="184"/>
        <v>0</v>
      </c>
      <c r="K181" s="371">
        <f t="shared" si="185"/>
        <v>0</v>
      </c>
      <c r="L181" s="136">
        <f>$G$181</f>
        <v>60000</v>
      </c>
      <c r="M181" s="137">
        <v>60000</v>
      </c>
      <c r="N181" s="137">
        <f t="shared" si="204"/>
        <v>0</v>
      </c>
      <c r="O181" s="252">
        <f t="shared" si="191"/>
        <v>0</v>
      </c>
      <c r="P181" s="212">
        <f>$G$181</f>
        <v>60000</v>
      </c>
      <c r="Q181" s="137">
        <v>60000</v>
      </c>
      <c r="R181" s="137">
        <f t="shared" si="205"/>
        <v>0</v>
      </c>
      <c r="S181" s="237">
        <f t="shared" si="192"/>
        <v>0</v>
      </c>
      <c r="T181" s="136">
        <f>$G$181</f>
        <v>60000</v>
      </c>
      <c r="U181" s="137">
        <v>0</v>
      </c>
      <c r="V181" s="137">
        <f t="shared" si="206"/>
        <v>-60000</v>
      </c>
      <c r="W181" s="252">
        <f t="shared" si="193"/>
        <v>-100</v>
      </c>
      <c r="X181" s="212">
        <f>$G$181</f>
        <v>60000</v>
      </c>
      <c r="Y181" s="137">
        <v>60000</v>
      </c>
      <c r="Z181" s="137">
        <f t="shared" si="207"/>
        <v>0</v>
      </c>
      <c r="AA181" s="237">
        <f t="shared" si="194"/>
        <v>0</v>
      </c>
      <c r="AB181" s="212">
        <f>$G$181</f>
        <v>60000</v>
      </c>
      <c r="AC181" s="137">
        <v>60000</v>
      </c>
      <c r="AD181" s="137">
        <f t="shared" si="208"/>
        <v>0</v>
      </c>
      <c r="AE181" s="237">
        <f t="shared" si="195"/>
        <v>0</v>
      </c>
      <c r="AF181" s="137">
        <f t="shared" si="150"/>
        <v>300000</v>
      </c>
      <c r="AG181" s="137">
        <f t="shared" si="151"/>
        <v>50000</v>
      </c>
      <c r="AH181" s="136">
        <f>$G$181</f>
        <v>60000</v>
      </c>
      <c r="AI181" s="137">
        <v>60000</v>
      </c>
      <c r="AJ181" s="137">
        <f t="shared" si="209"/>
        <v>0</v>
      </c>
      <c r="AK181" s="252">
        <f t="shared" si="196"/>
        <v>0</v>
      </c>
      <c r="AL181" s="212">
        <f>$G$181</f>
        <v>60000</v>
      </c>
      <c r="AM181" s="137">
        <v>60000</v>
      </c>
      <c r="AN181" s="169">
        <f t="shared" si="187"/>
        <v>0</v>
      </c>
      <c r="AO181" s="237">
        <f t="shared" si="197"/>
        <v>0</v>
      </c>
      <c r="AP181" s="243">
        <f>$G$181</f>
        <v>60000</v>
      </c>
      <c r="AQ181" s="176">
        <v>60000</v>
      </c>
      <c r="AR181" s="169">
        <f t="shared" si="188"/>
        <v>0</v>
      </c>
      <c r="AS181" s="252">
        <f t="shared" si="198"/>
        <v>0</v>
      </c>
      <c r="AT181" s="254">
        <f>$G$181</f>
        <v>60000</v>
      </c>
      <c r="AU181" s="176">
        <v>60000</v>
      </c>
      <c r="AV181" s="169">
        <f t="shared" si="189"/>
        <v>0</v>
      </c>
      <c r="AW181" s="567">
        <f t="shared" si="199"/>
        <v>0</v>
      </c>
      <c r="AX181" s="243">
        <f>$G$181</f>
        <v>60000</v>
      </c>
      <c r="AY181" s="176">
        <v>0</v>
      </c>
      <c r="AZ181" s="169">
        <f t="shared" si="190"/>
        <v>-60000</v>
      </c>
      <c r="BA181" s="747">
        <f t="shared" si="200"/>
        <v>-100</v>
      </c>
      <c r="BB181" s="254">
        <f>$G$181</f>
        <v>60000</v>
      </c>
      <c r="BC181" s="176">
        <v>60000</v>
      </c>
      <c r="BD181" s="137">
        <f t="shared" si="203"/>
        <v>0</v>
      </c>
      <c r="BE181" s="567">
        <f t="shared" si="201"/>
        <v>0</v>
      </c>
      <c r="BF181" s="254">
        <f t="shared" si="152"/>
        <v>660000</v>
      </c>
      <c r="BG181" s="188">
        <f t="shared" si="186"/>
        <v>600000</v>
      </c>
      <c r="BH181" s="63">
        <f t="shared" si="202"/>
        <v>180000</v>
      </c>
    </row>
    <row r="182" spans="2:60" s="11" customFormat="1" x14ac:dyDescent="0.25">
      <c r="B182" s="740">
        <v>11563</v>
      </c>
      <c r="C182" s="741"/>
      <c r="D182" s="752" t="s">
        <v>3627</v>
      </c>
      <c r="E182" s="753"/>
      <c r="F182" s="754"/>
      <c r="G182" s="755"/>
      <c r="H182" s="756"/>
      <c r="I182" s="727">
        <v>0</v>
      </c>
      <c r="J182" s="138">
        <f t="shared" si="184"/>
        <v>0</v>
      </c>
      <c r="K182" s="757"/>
      <c r="L182" s="758"/>
      <c r="M182" s="727">
        <v>10500</v>
      </c>
      <c r="N182" s="137">
        <f t="shared" si="204"/>
        <v>10500</v>
      </c>
      <c r="O182" s="252">
        <v>0</v>
      </c>
      <c r="P182" s="756"/>
      <c r="Q182" s="137">
        <v>0</v>
      </c>
      <c r="R182" s="727"/>
      <c r="S182" s="759"/>
      <c r="T182" s="758"/>
      <c r="U182" s="137">
        <v>10500</v>
      </c>
      <c r="V182" s="727"/>
      <c r="W182" s="760"/>
      <c r="X182" s="756"/>
      <c r="Y182" s="137">
        <v>10500</v>
      </c>
      <c r="Z182" s="727"/>
      <c r="AA182" s="759"/>
      <c r="AB182" s="756"/>
      <c r="AC182" s="727">
        <v>10500</v>
      </c>
      <c r="AD182" s="727"/>
      <c r="AE182" s="759"/>
      <c r="AF182" s="727">
        <f t="shared" si="150"/>
        <v>42000</v>
      </c>
      <c r="AG182" s="727">
        <f t="shared" si="151"/>
        <v>7000</v>
      </c>
      <c r="AH182" s="758"/>
      <c r="AI182" s="727">
        <v>10500</v>
      </c>
      <c r="AJ182" s="727"/>
      <c r="AK182" s="760"/>
      <c r="AL182" s="756"/>
      <c r="AM182" s="727">
        <v>10500</v>
      </c>
      <c r="AN182" s="761"/>
      <c r="AO182" s="759"/>
      <c r="AP182" s="762"/>
      <c r="AQ182" s="176">
        <v>10500</v>
      </c>
      <c r="AR182" s="761"/>
      <c r="AS182" s="760"/>
      <c r="AT182" s="763"/>
      <c r="AU182" s="764">
        <v>10500</v>
      </c>
      <c r="AV182" s="761"/>
      <c r="AW182" s="765"/>
      <c r="AX182" s="762"/>
      <c r="AY182" s="764">
        <v>10500</v>
      </c>
      <c r="AZ182" s="761"/>
      <c r="BA182" s="766"/>
      <c r="BB182" s="763"/>
      <c r="BC182" s="764">
        <v>10500</v>
      </c>
      <c r="BD182" s="137">
        <f t="shared" si="203"/>
        <v>10500</v>
      </c>
      <c r="BE182" s="567" t="e">
        <f t="shared" si="201"/>
        <v>#DIV/0!</v>
      </c>
      <c r="BF182" s="763">
        <f t="shared" si="152"/>
        <v>42000</v>
      </c>
      <c r="BG182" s="767">
        <f t="shared" si="186"/>
        <v>105000</v>
      </c>
      <c r="BH182" s="63">
        <f t="shared" si="202"/>
        <v>21000</v>
      </c>
    </row>
    <row r="183" spans="2:60" s="11" customFormat="1" x14ac:dyDescent="0.25">
      <c r="B183" s="170">
        <v>11516</v>
      </c>
      <c r="C183" s="135">
        <v>288</v>
      </c>
      <c r="D183" s="152" t="s">
        <v>326</v>
      </c>
      <c r="E183" s="341"/>
      <c r="F183" s="726">
        <v>1500</v>
      </c>
      <c r="G183" s="619">
        <v>1730.7116666666668</v>
      </c>
      <c r="H183" s="212">
        <f>$F$183</f>
        <v>1500</v>
      </c>
      <c r="I183" s="137">
        <v>2413.2199999999998</v>
      </c>
      <c r="J183" s="138">
        <f t="shared" si="184"/>
        <v>913.2199999999998</v>
      </c>
      <c r="K183" s="371">
        <f t="shared" ref="K183:K192" si="210">((I183/H183)-1)*100</f>
        <v>60.881333333333323</v>
      </c>
      <c r="L183" s="136">
        <f>$F$183</f>
        <v>1500</v>
      </c>
      <c r="M183" s="137">
        <v>1206.6099999999999</v>
      </c>
      <c r="N183" s="137">
        <f t="shared" si="204"/>
        <v>-293.3900000000001</v>
      </c>
      <c r="O183" s="252">
        <f t="shared" si="191"/>
        <v>-19.559333333333338</v>
      </c>
      <c r="P183" s="212">
        <f>$F$183</f>
        <v>1500</v>
      </c>
      <c r="Q183" s="137">
        <v>1206.6099999999999</v>
      </c>
      <c r="R183" s="137">
        <f t="shared" si="205"/>
        <v>-293.3900000000001</v>
      </c>
      <c r="S183" s="237">
        <f t="shared" si="192"/>
        <v>-19.559333333333338</v>
      </c>
      <c r="T183" s="136">
        <f>$F$183</f>
        <v>1500</v>
      </c>
      <c r="U183" s="137">
        <v>1206.6099999999999</v>
      </c>
      <c r="V183" s="137">
        <f t="shared" si="206"/>
        <v>-293.3900000000001</v>
      </c>
      <c r="W183" s="252">
        <f t="shared" si="193"/>
        <v>-19.559333333333338</v>
      </c>
      <c r="X183" s="212">
        <f>$F$183</f>
        <v>1500</v>
      </c>
      <c r="Y183" s="137">
        <v>1206.6099999999999</v>
      </c>
      <c r="Z183" s="137">
        <f t="shared" si="207"/>
        <v>-293.3900000000001</v>
      </c>
      <c r="AA183" s="237">
        <f t="shared" si="194"/>
        <v>-19.559333333333338</v>
      </c>
      <c r="AB183" s="212">
        <f>$F$183</f>
        <v>1500</v>
      </c>
      <c r="AC183" s="137">
        <v>1206.6099999999999</v>
      </c>
      <c r="AD183" s="137">
        <f t="shared" si="208"/>
        <v>-293.3900000000001</v>
      </c>
      <c r="AE183" s="237">
        <f t="shared" si="195"/>
        <v>-19.559333333333338</v>
      </c>
      <c r="AF183" s="137">
        <f t="shared" si="150"/>
        <v>8446.2699999999986</v>
      </c>
      <c r="AG183" s="137">
        <f t="shared" si="151"/>
        <v>1407.7116666666664</v>
      </c>
      <c r="AH183" s="136">
        <f>$F$183</f>
        <v>1500</v>
      </c>
      <c r="AI183" s="137">
        <v>1206.6099999999999</v>
      </c>
      <c r="AJ183" s="137">
        <f t="shared" si="209"/>
        <v>-293.3900000000001</v>
      </c>
      <c r="AK183" s="252">
        <f t="shared" si="196"/>
        <v>-19.559333333333338</v>
      </c>
      <c r="AL183" s="212">
        <f>$F$183</f>
        <v>1500</v>
      </c>
      <c r="AM183" s="137">
        <v>1206.6099999999999</v>
      </c>
      <c r="AN183" s="169">
        <f t="shared" si="187"/>
        <v>-293.3900000000001</v>
      </c>
      <c r="AO183" s="237">
        <f t="shared" si="197"/>
        <v>-19.559333333333338</v>
      </c>
      <c r="AP183" s="243">
        <f>$F$183</f>
        <v>1500</v>
      </c>
      <c r="AQ183" s="176">
        <v>1206.6099999999999</v>
      </c>
      <c r="AR183" s="169">
        <f t="shared" si="188"/>
        <v>-293.3900000000001</v>
      </c>
      <c r="AS183" s="252">
        <f t="shared" si="198"/>
        <v>-19.559333333333338</v>
      </c>
      <c r="AT183" s="254">
        <f>$F$183</f>
        <v>1500</v>
      </c>
      <c r="AU183" s="176">
        <v>3356.61</v>
      </c>
      <c r="AV183" s="169">
        <f t="shared" si="189"/>
        <v>1856.6100000000001</v>
      </c>
      <c r="AW183" s="567">
        <f t="shared" si="199"/>
        <v>123.774</v>
      </c>
      <c r="AX183" s="243">
        <f>$F$183</f>
        <v>1500</v>
      </c>
      <c r="AY183" s="176">
        <v>1247.3900000000001</v>
      </c>
      <c r="AZ183" s="169">
        <f t="shared" si="190"/>
        <v>-252.6099999999999</v>
      </c>
      <c r="BA183" s="747">
        <f t="shared" si="200"/>
        <v>-16.84066666666666</v>
      </c>
      <c r="BB183" s="254">
        <f>$F$183</f>
        <v>1500</v>
      </c>
      <c r="BC183" s="176">
        <v>1247.3900000000001</v>
      </c>
      <c r="BD183" s="137">
        <f t="shared" si="203"/>
        <v>-252.6099999999999</v>
      </c>
      <c r="BE183" s="567">
        <f t="shared" si="201"/>
        <v>-16.84066666666666</v>
      </c>
      <c r="BF183" s="254">
        <f t="shared" si="152"/>
        <v>17446.269999999997</v>
      </c>
      <c r="BG183" s="188">
        <f t="shared" si="186"/>
        <v>17917.490000000002</v>
      </c>
      <c r="BH183" s="63">
        <f t="shared" si="202"/>
        <v>6033.0499999999993</v>
      </c>
    </row>
    <row r="184" spans="2:60" s="11" customFormat="1" x14ac:dyDescent="0.25">
      <c r="B184" s="170">
        <v>11522</v>
      </c>
      <c r="C184" s="135">
        <v>289</v>
      </c>
      <c r="D184" s="152" t="s">
        <v>111</v>
      </c>
      <c r="E184" s="341"/>
      <c r="F184" s="726">
        <v>85000</v>
      </c>
      <c r="G184" s="619">
        <v>91399.571666666656</v>
      </c>
      <c r="H184" s="212">
        <f>$F$184</f>
        <v>85000</v>
      </c>
      <c r="I184" s="768">
        <f>88758.85</f>
        <v>88758.85</v>
      </c>
      <c r="J184" s="138">
        <f t="shared" si="184"/>
        <v>3758.8500000000058</v>
      </c>
      <c r="K184" s="371">
        <f t="shared" si="210"/>
        <v>4.422176470588246</v>
      </c>
      <c r="L184" s="136">
        <f>$F$184</f>
        <v>85000</v>
      </c>
      <c r="M184" s="137">
        <v>54915.41</v>
      </c>
      <c r="N184" s="137">
        <f t="shared" si="204"/>
        <v>-30084.589999999997</v>
      </c>
      <c r="O184" s="252">
        <f t="shared" si="191"/>
        <v>-35.393635294117644</v>
      </c>
      <c r="P184" s="212">
        <f>$F$184</f>
        <v>85000</v>
      </c>
      <c r="Q184" s="137">
        <v>71251.75</v>
      </c>
      <c r="R184" s="137">
        <f t="shared" si="205"/>
        <v>-13748.25</v>
      </c>
      <c r="S184" s="237">
        <f t="shared" si="192"/>
        <v>-16.174411764705887</v>
      </c>
      <c r="T184" s="136">
        <f>$F$184</f>
        <v>85000</v>
      </c>
      <c r="U184" s="137">
        <v>68134.539999999994</v>
      </c>
      <c r="V184" s="137">
        <f t="shared" si="206"/>
        <v>-16865.460000000006</v>
      </c>
      <c r="W184" s="252">
        <f t="shared" si="193"/>
        <v>-19.841717647058832</v>
      </c>
      <c r="X184" s="212">
        <f>$F$184</f>
        <v>85000</v>
      </c>
      <c r="Y184" s="137">
        <v>92825.34</v>
      </c>
      <c r="Z184" s="137">
        <f t="shared" si="207"/>
        <v>7825.3399999999965</v>
      </c>
      <c r="AA184" s="237">
        <f t="shared" si="194"/>
        <v>9.2062823529411641</v>
      </c>
      <c r="AB184" s="212">
        <f>$F$184</f>
        <v>85000</v>
      </c>
      <c r="AC184" s="137">
        <v>66892.42</v>
      </c>
      <c r="AD184" s="137">
        <f t="shared" si="208"/>
        <v>-18107.580000000002</v>
      </c>
      <c r="AE184" s="237">
        <f t="shared" si="195"/>
        <v>-21.303035294117645</v>
      </c>
      <c r="AF184" s="137">
        <f t="shared" si="150"/>
        <v>442778.31</v>
      </c>
      <c r="AG184" s="137">
        <f t="shared" si="151"/>
        <v>73796.384999999995</v>
      </c>
      <c r="AH184" s="136">
        <f>$F$184</f>
        <v>85000</v>
      </c>
      <c r="AI184" s="137">
        <v>65943.27</v>
      </c>
      <c r="AJ184" s="137">
        <f t="shared" si="209"/>
        <v>-19056.729999999996</v>
      </c>
      <c r="AK184" s="252">
        <f t="shared" si="196"/>
        <v>-22.419682352941173</v>
      </c>
      <c r="AL184" s="212">
        <f>$F$184</f>
        <v>85000</v>
      </c>
      <c r="AM184" s="137">
        <v>109714.01</v>
      </c>
      <c r="AN184" s="169">
        <f t="shared" si="187"/>
        <v>24714.009999999995</v>
      </c>
      <c r="AO184" s="237">
        <f t="shared" si="197"/>
        <v>29.075305882352943</v>
      </c>
      <c r="AP184" s="243">
        <f>$F$184</f>
        <v>85000</v>
      </c>
      <c r="AQ184" s="176">
        <v>89974.99</v>
      </c>
      <c r="AR184" s="169">
        <f t="shared" si="188"/>
        <v>4974.9900000000052</v>
      </c>
      <c r="AS184" s="252">
        <f t="shared" si="198"/>
        <v>5.8529294117647179</v>
      </c>
      <c r="AT184" s="254">
        <f>$F$184</f>
        <v>85000</v>
      </c>
      <c r="AU184" s="176">
        <v>69120.899999999994</v>
      </c>
      <c r="AV184" s="169">
        <f t="shared" si="189"/>
        <v>-15879.100000000006</v>
      </c>
      <c r="AW184" s="567">
        <f t="shared" si="199"/>
        <v>-18.681294117647063</v>
      </c>
      <c r="AX184" s="243">
        <f>$F$184</f>
        <v>85000</v>
      </c>
      <c r="AY184" s="176">
        <v>120318.59</v>
      </c>
      <c r="AZ184" s="169">
        <f t="shared" si="190"/>
        <v>35318.589999999997</v>
      </c>
      <c r="BA184" s="747">
        <f t="shared" si="200"/>
        <v>41.551282352941165</v>
      </c>
      <c r="BB184" s="254">
        <f>$F$184</f>
        <v>85000</v>
      </c>
      <c r="BC184" s="176">
        <v>105116.28</v>
      </c>
      <c r="BD184" s="137">
        <f t="shared" si="203"/>
        <v>20116.28</v>
      </c>
      <c r="BE184" s="567">
        <f t="shared" si="201"/>
        <v>23.666211764705892</v>
      </c>
      <c r="BF184" s="254">
        <f t="shared" si="152"/>
        <v>952778.31</v>
      </c>
      <c r="BG184" s="188">
        <f t="shared" si="186"/>
        <v>1002966.35</v>
      </c>
      <c r="BH184" s="63">
        <f t="shared" si="202"/>
        <v>283060.55</v>
      </c>
    </row>
    <row r="185" spans="2:60" s="11" customFormat="1" x14ac:dyDescent="0.25">
      <c r="B185" s="170">
        <v>11527</v>
      </c>
      <c r="C185" s="135">
        <v>323</v>
      </c>
      <c r="D185" s="152" t="s">
        <v>112</v>
      </c>
      <c r="E185" s="341"/>
      <c r="F185" s="726">
        <v>2200</v>
      </c>
      <c r="G185" s="619">
        <v>1888.07</v>
      </c>
      <c r="H185" s="212">
        <f>$F$185</f>
        <v>2200</v>
      </c>
      <c r="I185" s="137">
        <v>1741.4</v>
      </c>
      <c r="J185" s="138">
        <f t="shared" si="184"/>
        <v>-458.59999999999991</v>
      </c>
      <c r="K185" s="371">
        <f t="shared" si="210"/>
        <v>-20.845454545454544</v>
      </c>
      <c r="L185" s="136">
        <f>$F$185</f>
        <v>2200</v>
      </c>
      <c r="M185" s="137">
        <v>1261.79</v>
      </c>
      <c r="N185" s="137">
        <f t="shared" si="204"/>
        <v>-938.21</v>
      </c>
      <c r="O185" s="252">
        <f t="shared" si="191"/>
        <v>-42.645909090909093</v>
      </c>
      <c r="P185" s="212">
        <f>$F$185</f>
        <v>2200</v>
      </c>
      <c r="Q185" s="137">
        <v>1221.5999999999999</v>
      </c>
      <c r="R185" s="137">
        <f t="shared" si="205"/>
        <v>-978.40000000000009</v>
      </c>
      <c r="S185" s="237">
        <f t="shared" si="192"/>
        <v>-44.472727272727276</v>
      </c>
      <c r="T185" s="136">
        <f>$F$185</f>
        <v>2200</v>
      </c>
      <c r="U185" s="137">
        <v>2211.6</v>
      </c>
      <c r="V185" s="137">
        <f t="shared" si="206"/>
        <v>11.599999999999909</v>
      </c>
      <c r="W185" s="252">
        <f t="shared" si="193"/>
        <v>0.52727272727273178</v>
      </c>
      <c r="X185" s="212">
        <f>$F$185</f>
        <v>2200</v>
      </c>
      <c r="Y185" s="137">
        <v>1755.13</v>
      </c>
      <c r="Z185" s="137">
        <f t="shared" si="207"/>
        <v>-444.86999999999989</v>
      </c>
      <c r="AA185" s="237">
        <f t="shared" si="194"/>
        <v>-20.22136363636363</v>
      </c>
      <c r="AB185" s="212">
        <f>$F$185</f>
        <v>2200</v>
      </c>
      <c r="AC185" s="137">
        <v>1925.23</v>
      </c>
      <c r="AD185" s="137">
        <f t="shared" si="208"/>
        <v>-274.77</v>
      </c>
      <c r="AE185" s="237">
        <f t="shared" si="195"/>
        <v>-12.489545454545459</v>
      </c>
      <c r="AF185" s="137">
        <f t="shared" si="150"/>
        <v>10116.75</v>
      </c>
      <c r="AG185" s="137">
        <f t="shared" si="151"/>
        <v>1686.125</v>
      </c>
      <c r="AH185" s="136">
        <f>$F$185</f>
        <v>2200</v>
      </c>
      <c r="AI185" s="137">
        <v>3570.55</v>
      </c>
      <c r="AJ185" s="137">
        <f t="shared" si="209"/>
        <v>1370.5500000000002</v>
      </c>
      <c r="AK185" s="252">
        <f t="shared" si="196"/>
        <v>62.297727272727286</v>
      </c>
      <c r="AL185" s="212">
        <f>$F$185</f>
        <v>2200</v>
      </c>
      <c r="AM185" s="137">
        <v>1932.18</v>
      </c>
      <c r="AN185" s="169">
        <f t="shared" si="187"/>
        <v>-267.81999999999994</v>
      </c>
      <c r="AO185" s="237">
        <f t="shared" si="197"/>
        <v>-12.173636363636364</v>
      </c>
      <c r="AP185" s="243">
        <f>$F$185</f>
        <v>2200</v>
      </c>
      <c r="AQ185" s="176">
        <v>1992.94</v>
      </c>
      <c r="AR185" s="169">
        <f t="shared" si="188"/>
        <v>-207.05999999999995</v>
      </c>
      <c r="AS185" s="252">
        <f t="shared" si="198"/>
        <v>-9.4118181818181768</v>
      </c>
      <c r="AT185" s="254">
        <f>$F$185</f>
        <v>2200</v>
      </c>
      <c r="AU185" s="176">
        <v>1992.94</v>
      </c>
      <c r="AV185" s="169">
        <f t="shared" si="189"/>
        <v>-207.05999999999995</v>
      </c>
      <c r="AW185" s="567">
        <f t="shared" si="199"/>
        <v>-9.4118181818181768</v>
      </c>
      <c r="AX185" s="243">
        <f>$F$185</f>
        <v>2200</v>
      </c>
      <c r="AY185" s="176">
        <v>1964.14</v>
      </c>
      <c r="AZ185" s="169">
        <f t="shared" si="190"/>
        <v>-235.8599999999999</v>
      </c>
      <c r="BA185" s="747">
        <f t="shared" si="200"/>
        <v>-10.720909090909082</v>
      </c>
      <c r="BB185" s="254">
        <f>$F$185</f>
        <v>2200</v>
      </c>
      <c r="BC185" s="176">
        <v>5564.14</v>
      </c>
      <c r="BD185" s="137">
        <f t="shared" si="203"/>
        <v>3364.1400000000003</v>
      </c>
      <c r="BE185" s="567">
        <f t="shared" si="201"/>
        <v>152.91545454545457</v>
      </c>
      <c r="BF185" s="254">
        <f t="shared" si="152"/>
        <v>23316.75</v>
      </c>
      <c r="BG185" s="188">
        <f t="shared" si="186"/>
        <v>27133.639999999996</v>
      </c>
      <c r="BH185" s="63">
        <f t="shared" si="202"/>
        <v>6436.3899999999994</v>
      </c>
    </row>
    <row r="186" spans="2:60" s="11" customFormat="1" x14ac:dyDescent="0.25">
      <c r="B186" s="170" t="s">
        <v>113</v>
      </c>
      <c r="C186" s="135" t="s">
        <v>114</v>
      </c>
      <c r="D186" s="152" t="s">
        <v>220</v>
      </c>
      <c r="E186" s="341"/>
      <c r="F186" s="726">
        <v>1000</v>
      </c>
      <c r="G186" s="619">
        <v>790.2833333333333</v>
      </c>
      <c r="H186" s="212">
        <f>$F$186</f>
        <v>1000</v>
      </c>
      <c r="I186" s="137">
        <v>1508.4</v>
      </c>
      <c r="J186" s="138">
        <f t="shared" si="184"/>
        <v>508.40000000000009</v>
      </c>
      <c r="K186" s="371">
        <f t="shared" si="210"/>
        <v>50.840000000000018</v>
      </c>
      <c r="L186" s="136">
        <f>$F$186</f>
        <v>1000</v>
      </c>
      <c r="M186" s="137">
        <f>0+1037.1</f>
        <v>1037.0999999999999</v>
      </c>
      <c r="N186" s="137">
        <f t="shared" si="204"/>
        <v>37.099999999999909</v>
      </c>
      <c r="O186" s="252">
        <f t="shared" si="191"/>
        <v>3.7099999999999911</v>
      </c>
      <c r="P186" s="212">
        <f>$F$186</f>
        <v>1000</v>
      </c>
      <c r="Q186" s="137">
        <v>0</v>
      </c>
      <c r="R186" s="137">
        <f t="shared" si="205"/>
        <v>-1000</v>
      </c>
      <c r="S186" s="237">
        <f t="shared" si="192"/>
        <v>-100</v>
      </c>
      <c r="T186" s="136">
        <f>$F$186</f>
        <v>1000</v>
      </c>
      <c r="U186" s="137">
        <f>0+1288.5</f>
        <v>1288.5</v>
      </c>
      <c r="V186" s="137">
        <f t="shared" si="206"/>
        <v>288.5</v>
      </c>
      <c r="W186" s="252">
        <f t="shared" si="193"/>
        <v>28.849999999999998</v>
      </c>
      <c r="X186" s="212">
        <f>$F$186</f>
        <v>1000</v>
      </c>
      <c r="Y186" s="137">
        <f>16.77+880</f>
        <v>896.77</v>
      </c>
      <c r="Z186" s="137">
        <f t="shared" si="207"/>
        <v>-103.23000000000002</v>
      </c>
      <c r="AA186" s="237">
        <f t="shared" si="194"/>
        <v>-10.323000000000004</v>
      </c>
      <c r="AB186" s="212">
        <f>$F$186</f>
        <v>1000</v>
      </c>
      <c r="AC186" s="137">
        <f>0+1700</f>
        <v>1700</v>
      </c>
      <c r="AD186" s="137">
        <f t="shared" si="208"/>
        <v>700</v>
      </c>
      <c r="AE186" s="237">
        <f t="shared" si="195"/>
        <v>70</v>
      </c>
      <c r="AF186" s="137">
        <f t="shared" si="150"/>
        <v>6430.77</v>
      </c>
      <c r="AG186" s="137">
        <f t="shared" si="151"/>
        <v>1071.7950000000001</v>
      </c>
      <c r="AH186" s="136">
        <f>$F$186</f>
        <v>1000</v>
      </c>
      <c r="AI186" s="137">
        <f>0+1410</f>
        <v>1410</v>
      </c>
      <c r="AJ186" s="137">
        <f t="shared" si="209"/>
        <v>410</v>
      </c>
      <c r="AK186" s="252">
        <f t="shared" si="196"/>
        <v>40.999999999999993</v>
      </c>
      <c r="AL186" s="212">
        <f>$F$186</f>
        <v>1000</v>
      </c>
      <c r="AM186" s="137">
        <f>0+1680</f>
        <v>1680</v>
      </c>
      <c r="AN186" s="169">
        <f t="shared" si="187"/>
        <v>680</v>
      </c>
      <c r="AO186" s="237">
        <f t="shared" si="197"/>
        <v>68</v>
      </c>
      <c r="AP186" s="243">
        <f>$F$186</f>
        <v>1000</v>
      </c>
      <c r="AQ186" s="176">
        <f>12.74+250</f>
        <v>262.74</v>
      </c>
      <c r="AR186" s="169">
        <f t="shared" si="188"/>
        <v>-737.26</v>
      </c>
      <c r="AS186" s="252">
        <f t="shared" si="198"/>
        <v>-73.725999999999999</v>
      </c>
      <c r="AT186" s="254">
        <f>$F$186</f>
        <v>1000</v>
      </c>
      <c r="AU186" s="176">
        <f>0+1450</f>
        <v>1450</v>
      </c>
      <c r="AV186" s="169">
        <f t="shared" si="189"/>
        <v>450</v>
      </c>
      <c r="AW186" s="567">
        <f t="shared" si="199"/>
        <v>44.999999999999993</v>
      </c>
      <c r="AX186" s="243">
        <f>$F$186</f>
        <v>1000</v>
      </c>
      <c r="AY186" s="176">
        <f>13.08+1225</f>
        <v>1238.08</v>
      </c>
      <c r="AZ186" s="169">
        <f t="shared" si="190"/>
        <v>238.07999999999993</v>
      </c>
      <c r="BA186" s="747">
        <f t="shared" si="200"/>
        <v>23.807999999999986</v>
      </c>
      <c r="BB186" s="254">
        <f>$F$186</f>
        <v>1000</v>
      </c>
      <c r="BC186" s="176">
        <f>0+1180</f>
        <v>1180</v>
      </c>
      <c r="BD186" s="137">
        <f t="shared" si="203"/>
        <v>180</v>
      </c>
      <c r="BE186" s="567">
        <f t="shared" si="201"/>
        <v>17.999999999999993</v>
      </c>
      <c r="BF186" s="254">
        <f t="shared" si="152"/>
        <v>12430.77</v>
      </c>
      <c r="BG186" s="188">
        <f t="shared" si="186"/>
        <v>13651.59</v>
      </c>
      <c r="BH186" s="63">
        <f t="shared" si="202"/>
        <v>3834</v>
      </c>
    </row>
    <row r="187" spans="2:60" s="11" customFormat="1" x14ac:dyDescent="0.25">
      <c r="B187" s="170">
        <v>11534</v>
      </c>
      <c r="C187" s="135">
        <v>222</v>
      </c>
      <c r="D187" s="152" t="s">
        <v>115</v>
      </c>
      <c r="E187" s="341"/>
      <c r="F187" s="726">
        <v>2000</v>
      </c>
      <c r="G187" s="619">
        <v>1359.1266666666668</v>
      </c>
      <c r="H187" s="212">
        <f>$F$187</f>
        <v>2000</v>
      </c>
      <c r="I187" s="137">
        <v>350</v>
      </c>
      <c r="J187" s="138">
        <f t="shared" si="184"/>
        <v>-1650</v>
      </c>
      <c r="K187" s="371">
        <f t="shared" si="210"/>
        <v>-82.5</v>
      </c>
      <c r="L187" s="136">
        <f>$F$187</f>
        <v>2000</v>
      </c>
      <c r="M187" s="137">
        <v>7829.67</v>
      </c>
      <c r="N187" s="137">
        <f t="shared" si="204"/>
        <v>5829.67</v>
      </c>
      <c r="O187" s="252">
        <f t="shared" si="191"/>
        <v>291.48349999999999</v>
      </c>
      <c r="P187" s="212">
        <f>$F$187</f>
        <v>2000</v>
      </c>
      <c r="Q187" s="137">
        <v>397.73</v>
      </c>
      <c r="R187" s="137">
        <f t="shared" si="205"/>
        <v>-1602.27</v>
      </c>
      <c r="S187" s="237">
        <f t="shared" si="192"/>
        <v>-80.113499999999988</v>
      </c>
      <c r="T187" s="136">
        <f>$F$187</f>
        <v>2000</v>
      </c>
      <c r="U187" s="137">
        <v>1988.65</v>
      </c>
      <c r="V187" s="137">
        <f t="shared" si="206"/>
        <v>-11.349999999999909</v>
      </c>
      <c r="W187" s="252">
        <f t="shared" si="193"/>
        <v>-0.56749999999999856</v>
      </c>
      <c r="X187" s="212">
        <f>$F$187</f>
        <v>2000</v>
      </c>
      <c r="Y187" s="137">
        <v>3798.17</v>
      </c>
      <c r="Z187" s="137">
        <f t="shared" si="207"/>
        <v>1798.17</v>
      </c>
      <c r="AA187" s="237">
        <f t="shared" si="194"/>
        <v>89.908500000000018</v>
      </c>
      <c r="AB187" s="212">
        <f>$F$187</f>
        <v>2000</v>
      </c>
      <c r="AC187" s="137">
        <v>2467.84</v>
      </c>
      <c r="AD187" s="137">
        <f t="shared" si="208"/>
        <v>467.84000000000015</v>
      </c>
      <c r="AE187" s="237">
        <f t="shared" si="195"/>
        <v>23.392000000000014</v>
      </c>
      <c r="AF187" s="137">
        <f t="shared" si="150"/>
        <v>16832.059999999998</v>
      </c>
      <c r="AG187" s="137">
        <f t="shared" si="151"/>
        <v>2805.3433333333328</v>
      </c>
      <c r="AH187" s="136">
        <f>$F$187</f>
        <v>2000</v>
      </c>
      <c r="AI187" s="137">
        <v>2008.71</v>
      </c>
      <c r="AJ187" s="137">
        <f t="shared" si="209"/>
        <v>8.7100000000000364</v>
      </c>
      <c r="AK187" s="252">
        <f t="shared" si="196"/>
        <v>0.43550000000001088</v>
      </c>
      <c r="AL187" s="212">
        <f>$F$187</f>
        <v>2000</v>
      </c>
      <c r="AM187" s="137">
        <v>2082.88</v>
      </c>
      <c r="AN187" s="169">
        <f t="shared" si="187"/>
        <v>82.880000000000109</v>
      </c>
      <c r="AO187" s="237">
        <f t="shared" si="197"/>
        <v>4.1440000000000143</v>
      </c>
      <c r="AP187" s="243">
        <f>$F$187</f>
        <v>2000</v>
      </c>
      <c r="AQ187" s="176">
        <v>2386.38</v>
      </c>
      <c r="AR187" s="169">
        <f t="shared" si="188"/>
        <v>386.38000000000011</v>
      </c>
      <c r="AS187" s="252">
        <f t="shared" si="198"/>
        <v>19.318999999999996</v>
      </c>
      <c r="AT187" s="254">
        <f>$F$187</f>
        <v>2000</v>
      </c>
      <c r="AU187" s="176">
        <v>4049.6</v>
      </c>
      <c r="AV187" s="169">
        <f t="shared" si="189"/>
        <v>2049.6</v>
      </c>
      <c r="AW187" s="567">
        <f t="shared" si="199"/>
        <v>102.47999999999999</v>
      </c>
      <c r="AX187" s="243">
        <f>$F$187</f>
        <v>2000</v>
      </c>
      <c r="AY187" s="176">
        <v>1815.14</v>
      </c>
      <c r="AZ187" s="169">
        <f t="shared" si="190"/>
        <v>-184.8599999999999</v>
      </c>
      <c r="BA187" s="747">
        <f t="shared" si="200"/>
        <v>-9.2429999999999897</v>
      </c>
      <c r="BB187" s="254">
        <f>$F$187</f>
        <v>2000</v>
      </c>
      <c r="BC187" s="176">
        <v>4218.38</v>
      </c>
      <c r="BD187" s="137">
        <f t="shared" si="203"/>
        <v>2218.38</v>
      </c>
      <c r="BE187" s="567">
        <f t="shared" si="201"/>
        <v>110.91899999999998</v>
      </c>
      <c r="BF187" s="254">
        <f t="shared" si="152"/>
        <v>28832.059999999998</v>
      </c>
      <c r="BG187" s="188">
        <f t="shared" si="186"/>
        <v>33393.149999999994</v>
      </c>
      <c r="BH187" s="63">
        <f t="shared" si="202"/>
        <v>10566.05</v>
      </c>
    </row>
    <row r="188" spans="2:60" s="1" customFormat="1" x14ac:dyDescent="0.25">
      <c r="B188" s="740">
        <v>38908</v>
      </c>
      <c r="C188" s="741">
        <v>246</v>
      </c>
      <c r="D188" s="152" t="s">
        <v>221</v>
      </c>
      <c r="E188" s="341"/>
      <c r="F188" s="769">
        <v>-180000</v>
      </c>
      <c r="G188" s="770">
        <v>-150095.56333333332</v>
      </c>
      <c r="H188" s="771">
        <f>$F$188</f>
        <v>-180000</v>
      </c>
      <c r="I188" s="772">
        <v>-151486.39999999999</v>
      </c>
      <c r="J188" s="138">
        <f t="shared" si="184"/>
        <v>28513.600000000006</v>
      </c>
      <c r="K188" s="371">
        <f t="shared" si="210"/>
        <v>-15.840888888888893</v>
      </c>
      <c r="L188" s="773">
        <f>$F$188</f>
        <v>-180000</v>
      </c>
      <c r="M188" s="137">
        <v>-148143.54999999999</v>
      </c>
      <c r="N188" s="137">
        <f t="shared" si="204"/>
        <v>31856.450000000012</v>
      </c>
      <c r="O188" s="252">
        <f t="shared" si="191"/>
        <v>-17.698027777777781</v>
      </c>
      <c r="P188" s="771">
        <f>$F$188</f>
        <v>-180000</v>
      </c>
      <c r="Q188" s="772">
        <v>-151593.06</v>
      </c>
      <c r="R188" s="137">
        <f t="shared" si="205"/>
        <v>28406.940000000002</v>
      </c>
      <c r="S188" s="237">
        <f t="shared" si="192"/>
        <v>-15.781633333333334</v>
      </c>
      <c r="T188" s="773">
        <f>$F$188</f>
        <v>-180000</v>
      </c>
      <c r="U188" s="772">
        <v>-151168.26</v>
      </c>
      <c r="V188" s="137">
        <f t="shared" si="206"/>
        <v>28831.739999999991</v>
      </c>
      <c r="W188" s="252">
        <f t="shared" si="193"/>
        <v>-16.017633333333325</v>
      </c>
      <c r="X188" s="771">
        <f>$F$188</f>
        <v>-180000</v>
      </c>
      <c r="Y188" s="772">
        <v>-169103.83</v>
      </c>
      <c r="Z188" s="137">
        <f t="shared" si="207"/>
        <v>10896.170000000013</v>
      </c>
      <c r="AA188" s="237">
        <f t="shared" si="194"/>
        <v>-6.0534277777777863</v>
      </c>
      <c r="AB188" s="771">
        <f>$F$188</f>
        <v>-180000</v>
      </c>
      <c r="AC188" s="772">
        <v>-167859.75</v>
      </c>
      <c r="AD188" s="137">
        <f t="shared" si="208"/>
        <v>12140.25</v>
      </c>
      <c r="AE188" s="237">
        <f t="shared" si="195"/>
        <v>-6.7445833333333312</v>
      </c>
      <c r="AF188" s="772">
        <f t="shared" si="150"/>
        <v>-939354.85</v>
      </c>
      <c r="AG188" s="772">
        <f t="shared" si="151"/>
        <v>-156559.14166666666</v>
      </c>
      <c r="AH188" s="773">
        <f>$F$188</f>
        <v>-180000</v>
      </c>
      <c r="AI188" s="772">
        <v>-168861.53</v>
      </c>
      <c r="AJ188" s="137">
        <f t="shared" si="209"/>
        <v>11138.470000000001</v>
      </c>
      <c r="AK188" s="252">
        <f t="shared" si="196"/>
        <v>-6.188038888888892</v>
      </c>
      <c r="AL188" s="771">
        <f>$F$188</f>
        <v>-180000</v>
      </c>
      <c r="AM188" s="772">
        <v>-164944.51</v>
      </c>
      <c r="AN188" s="169">
        <f t="shared" si="187"/>
        <v>15055.489999999991</v>
      </c>
      <c r="AO188" s="237">
        <f t="shared" si="197"/>
        <v>-8.3641611111111018</v>
      </c>
      <c r="AP188" s="773">
        <f>$F$188</f>
        <v>-180000</v>
      </c>
      <c r="AQ188" s="774">
        <v>-163162.49</v>
      </c>
      <c r="AR188" s="169">
        <f t="shared" si="188"/>
        <v>16837.510000000009</v>
      </c>
      <c r="AS188" s="252">
        <f t="shared" si="198"/>
        <v>-9.354172222222223</v>
      </c>
      <c r="AT188" s="771">
        <f>$F$188</f>
        <v>-180000</v>
      </c>
      <c r="AU188" s="775">
        <v>-166168.29</v>
      </c>
      <c r="AV188" s="169">
        <f t="shared" si="189"/>
        <v>13831.709999999992</v>
      </c>
      <c r="AW188" s="567">
        <f t="shared" si="199"/>
        <v>-7.6842833333333305</v>
      </c>
      <c r="AX188" s="773">
        <f>$F$188</f>
        <v>-180000</v>
      </c>
      <c r="AY188" s="774">
        <v>-182866.01</v>
      </c>
      <c r="AZ188" s="169">
        <f t="shared" si="190"/>
        <v>-2866.0100000000093</v>
      </c>
      <c r="BA188" s="747">
        <f t="shared" si="200"/>
        <v>1.5922277777777882</v>
      </c>
      <c r="BB188" s="771">
        <f>$F$188</f>
        <v>-180000</v>
      </c>
      <c r="BC188" s="775">
        <v>-176585.59</v>
      </c>
      <c r="BD188" s="137">
        <f t="shared" si="203"/>
        <v>3414.4100000000035</v>
      </c>
      <c r="BE188" s="567">
        <f t="shared" si="201"/>
        <v>-1.8968944444444413</v>
      </c>
      <c r="BF188" s="771">
        <f t="shared" si="152"/>
        <v>-2019354.85</v>
      </c>
      <c r="BG188" s="233">
        <f t="shared" si="186"/>
        <v>-1961943.27</v>
      </c>
      <c r="BH188" s="63">
        <f t="shared" si="202"/>
        <v>-602391.27</v>
      </c>
    </row>
    <row r="189" spans="2:60" s="11" customFormat="1" x14ac:dyDescent="0.25">
      <c r="B189" s="170">
        <v>11611</v>
      </c>
      <c r="C189" s="135">
        <v>173</v>
      </c>
      <c r="D189" s="152" t="s">
        <v>329</v>
      </c>
      <c r="E189" s="341"/>
      <c r="F189" s="726">
        <v>2500</v>
      </c>
      <c r="G189" s="619">
        <v>1886.4566666666667</v>
      </c>
      <c r="H189" s="212">
        <f>$F$189</f>
        <v>2500</v>
      </c>
      <c r="I189" s="137">
        <v>0</v>
      </c>
      <c r="J189" s="138">
        <f t="shared" si="184"/>
        <v>-2500</v>
      </c>
      <c r="K189" s="371">
        <f t="shared" si="210"/>
        <v>-100</v>
      </c>
      <c r="L189" s="136">
        <f>$F$189</f>
        <v>2500</v>
      </c>
      <c r="M189" s="137">
        <v>0</v>
      </c>
      <c r="N189" s="137">
        <f t="shared" si="204"/>
        <v>-2500</v>
      </c>
      <c r="O189" s="252">
        <f t="shared" si="191"/>
        <v>-100</v>
      </c>
      <c r="P189" s="212">
        <f>$F$189</f>
        <v>2500</v>
      </c>
      <c r="Q189" s="137">
        <v>278.60000000000002</v>
      </c>
      <c r="R189" s="137">
        <f t="shared" si="205"/>
        <v>-2221.4</v>
      </c>
      <c r="S189" s="237">
        <f t="shared" si="192"/>
        <v>-88.855999999999995</v>
      </c>
      <c r="T189" s="136">
        <f>$F$189</f>
        <v>2500</v>
      </c>
      <c r="U189" s="137">
        <v>711.48</v>
      </c>
      <c r="V189" s="137">
        <f t="shared" si="206"/>
        <v>-1788.52</v>
      </c>
      <c r="W189" s="252">
        <f t="shared" si="193"/>
        <v>-71.540800000000004</v>
      </c>
      <c r="X189" s="212">
        <f>$F$189</f>
        <v>2500</v>
      </c>
      <c r="Y189" s="137">
        <v>30</v>
      </c>
      <c r="Z189" s="137">
        <f t="shared" si="207"/>
        <v>-2470</v>
      </c>
      <c r="AA189" s="237">
        <f t="shared" si="194"/>
        <v>-98.8</v>
      </c>
      <c r="AB189" s="212">
        <f>$F$189</f>
        <v>2500</v>
      </c>
      <c r="AC189" s="137">
        <v>0</v>
      </c>
      <c r="AD189" s="137">
        <f t="shared" si="208"/>
        <v>-2500</v>
      </c>
      <c r="AE189" s="237">
        <f t="shared" si="195"/>
        <v>-100</v>
      </c>
      <c r="AF189" s="137">
        <f t="shared" si="150"/>
        <v>1020.08</v>
      </c>
      <c r="AG189" s="137">
        <f t="shared" si="151"/>
        <v>170.01333333333335</v>
      </c>
      <c r="AH189" s="136">
        <f>$F$189</f>
        <v>2500</v>
      </c>
      <c r="AI189" s="137">
        <v>0</v>
      </c>
      <c r="AJ189" s="137">
        <f t="shared" si="209"/>
        <v>-2500</v>
      </c>
      <c r="AK189" s="252">
        <f t="shared" si="196"/>
        <v>-100</v>
      </c>
      <c r="AL189" s="212">
        <f>$F$189</f>
        <v>2500</v>
      </c>
      <c r="AM189" s="137">
        <v>322.64999999999998</v>
      </c>
      <c r="AN189" s="169">
        <f t="shared" si="187"/>
        <v>-2177.35</v>
      </c>
      <c r="AO189" s="237">
        <f t="shared" si="197"/>
        <v>-87.094000000000008</v>
      </c>
      <c r="AP189" s="243">
        <f>$F$189</f>
        <v>2500</v>
      </c>
      <c r="AQ189" s="176">
        <v>0</v>
      </c>
      <c r="AR189" s="169">
        <f t="shared" si="188"/>
        <v>-2500</v>
      </c>
      <c r="AS189" s="252">
        <f t="shared" si="198"/>
        <v>-100</v>
      </c>
      <c r="AT189" s="254">
        <f>$F$189</f>
        <v>2500</v>
      </c>
      <c r="AU189" s="176">
        <v>2500</v>
      </c>
      <c r="AV189" s="169">
        <f t="shared" si="189"/>
        <v>0</v>
      </c>
      <c r="AW189" s="567">
        <f t="shared" si="199"/>
        <v>0</v>
      </c>
      <c r="AX189" s="243">
        <f>$F$189</f>
        <v>2500</v>
      </c>
      <c r="AY189" s="176">
        <v>2500</v>
      </c>
      <c r="AZ189" s="169">
        <f t="shared" si="190"/>
        <v>0</v>
      </c>
      <c r="BA189" s="747">
        <f t="shared" si="200"/>
        <v>0</v>
      </c>
      <c r="BB189" s="254">
        <f>$F$189</f>
        <v>2500</v>
      </c>
      <c r="BC189" s="176">
        <v>0</v>
      </c>
      <c r="BD189" s="137">
        <f t="shared" si="203"/>
        <v>-2500</v>
      </c>
      <c r="BE189" s="567">
        <f t="shared" si="201"/>
        <v>-100</v>
      </c>
      <c r="BF189" s="254">
        <f t="shared" si="152"/>
        <v>16020.08</v>
      </c>
      <c r="BG189" s="188">
        <f t="shared" si="186"/>
        <v>6342.73</v>
      </c>
      <c r="BH189" s="63">
        <f t="shared" si="202"/>
        <v>990.08</v>
      </c>
    </row>
    <row r="190" spans="2:60" s="11" customFormat="1" x14ac:dyDescent="0.25">
      <c r="B190" s="170">
        <v>11820</v>
      </c>
      <c r="C190" s="135">
        <v>39</v>
      </c>
      <c r="D190" s="152" t="s">
        <v>330</v>
      </c>
      <c r="E190" s="341"/>
      <c r="F190" s="726">
        <v>1000</v>
      </c>
      <c r="G190" s="619">
        <v>461.20499999999998</v>
      </c>
      <c r="H190" s="212">
        <f>$F$190</f>
        <v>1000</v>
      </c>
      <c r="I190" s="137">
        <v>125</v>
      </c>
      <c r="J190" s="138">
        <f t="shared" si="184"/>
        <v>-875</v>
      </c>
      <c r="K190" s="371">
        <f t="shared" si="210"/>
        <v>-87.5</v>
      </c>
      <c r="L190" s="136">
        <f>$F$190</f>
        <v>1000</v>
      </c>
      <c r="M190" s="137">
        <v>13059.44</v>
      </c>
      <c r="N190" s="137">
        <f t="shared" si="204"/>
        <v>12059.44</v>
      </c>
      <c r="O190" s="252">
        <f t="shared" si="191"/>
        <v>1205.944</v>
      </c>
      <c r="P190" s="212">
        <f>$F$190</f>
        <v>1000</v>
      </c>
      <c r="Q190" s="137">
        <v>50</v>
      </c>
      <c r="R190" s="137">
        <f t="shared" si="205"/>
        <v>-950</v>
      </c>
      <c r="S190" s="237">
        <f t="shared" si="192"/>
        <v>-95</v>
      </c>
      <c r="T190" s="136">
        <f>$F$190</f>
        <v>1000</v>
      </c>
      <c r="U190" s="137">
        <v>275</v>
      </c>
      <c r="V190" s="137">
        <f t="shared" si="206"/>
        <v>-725</v>
      </c>
      <c r="W190" s="252">
        <f t="shared" si="193"/>
        <v>-72.5</v>
      </c>
      <c r="X190" s="212">
        <f>$F$190</f>
        <v>1000</v>
      </c>
      <c r="Y190" s="137">
        <v>125</v>
      </c>
      <c r="Z190" s="137">
        <f t="shared" si="207"/>
        <v>-875</v>
      </c>
      <c r="AA190" s="237">
        <f t="shared" si="194"/>
        <v>-87.5</v>
      </c>
      <c r="AB190" s="212">
        <f>$F$190</f>
        <v>1000</v>
      </c>
      <c r="AC190" s="137">
        <v>890</v>
      </c>
      <c r="AD190" s="137">
        <f t="shared" si="208"/>
        <v>-110</v>
      </c>
      <c r="AE190" s="237">
        <f t="shared" si="195"/>
        <v>-10.999999999999998</v>
      </c>
      <c r="AF190" s="137">
        <f t="shared" si="150"/>
        <v>14524.44</v>
      </c>
      <c r="AG190" s="137">
        <f t="shared" si="151"/>
        <v>2420.7400000000002</v>
      </c>
      <c r="AH190" s="136">
        <f>$F$190</f>
        <v>1000</v>
      </c>
      <c r="AI190" s="137">
        <v>150</v>
      </c>
      <c r="AJ190" s="137">
        <f t="shared" si="209"/>
        <v>-850</v>
      </c>
      <c r="AK190" s="252">
        <f t="shared" si="196"/>
        <v>-85</v>
      </c>
      <c r="AL190" s="212">
        <f>$F$190</f>
        <v>1000</v>
      </c>
      <c r="AM190" s="137">
        <v>150</v>
      </c>
      <c r="AN190" s="169">
        <f t="shared" si="187"/>
        <v>-850</v>
      </c>
      <c r="AO190" s="237">
        <f t="shared" si="197"/>
        <v>-85</v>
      </c>
      <c r="AP190" s="243">
        <f>$F$190</f>
        <v>1000</v>
      </c>
      <c r="AQ190" s="176">
        <v>250</v>
      </c>
      <c r="AR190" s="169">
        <f t="shared" si="188"/>
        <v>-750</v>
      </c>
      <c r="AS190" s="252">
        <f t="shared" si="198"/>
        <v>-75</v>
      </c>
      <c r="AT190" s="254">
        <f>$F$190</f>
        <v>1000</v>
      </c>
      <c r="AU190" s="176">
        <v>456.13</v>
      </c>
      <c r="AV190" s="169">
        <f t="shared" si="189"/>
        <v>-543.87</v>
      </c>
      <c r="AW190" s="567">
        <f t="shared" si="199"/>
        <v>-54.387000000000008</v>
      </c>
      <c r="AX190" s="243">
        <f>$F$190</f>
        <v>1000</v>
      </c>
      <c r="AY190" s="176">
        <v>450</v>
      </c>
      <c r="AZ190" s="169">
        <f t="shared" si="190"/>
        <v>-550</v>
      </c>
      <c r="BA190" s="747">
        <f t="shared" si="200"/>
        <v>-55.000000000000007</v>
      </c>
      <c r="BB190" s="254">
        <f>$F$190</f>
        <v>1000</v>
      </c>
      <c r="BC190" s="176">
        <v>2052.02</v>
      </c>
      <c r="BD190" s="137">
        <f t="shared" si="203"/>
        <v>1052.02</v>
      </c>
      <c r="BE190" s="567">
        <f t="shared" si="201"/>
        <v>105.20200000000001</v>
      </c>
      <c r="BF190" s="254">
        <f t="shared" si="152"/>
        <v>20524.440000000002</v>
      </c>
      <c r="BG190" s="188">
        <f t="shared" si="186"/>
        <v>18032.59</v>
      </c>
      <c r="BH190" s="63">
        <f t="shared" si="202"/>
        <v>13509.44</v>
      </c>
    </row>
    <row r="191" spans="2:60" s="11" customFormat="1" x14ac:dyDescent="0.25">
      <c r="B191" s="170">
        <v>11908</v>
      </c>
      <c r="C191" s="135">
        <v>263</v>
      </c>
      <c r="D191" s="152" t="s">
        <v>225</v>
      </c>
      <c r="E191" s="341"/>
      <c r="F191" s="726">
        <v>47450</v>
      </c>
      <c r="G191" s="619">
        <v>47447.82</v>
      </c>
      <c r="H191" s="212">
        <f>$F$191</f>
        <v>47450</v>
      </c>
      <c r="I191" s="137">
        <v>0</v>
      </c>
      <c r="J191" s="138">
        <f t="shared" si="184"/>
        <v>-47450</v>
      </c>
      <c r="K191" s="371">
        <f t="shared" si="210"/>
        <v>-100</v>
      </c>
      <c r="L191" s="136">
        <f>$F$191</f>
        <v>47450</v>
      </c>
      <c r="M191" s="137">
        <v>0</v>
      </c>
      <c r="N191" s="137">
        <f t="shared" si="204"/>
        <v>-47450</v>
      </c>
      <c r="O191" s="252">
        <f t="shared" si="191"/>
        <v>-100</v>
      </c>
      <c r="P191" s="212">
        <f>$F$191</f>
        <v>47450</v>
      </c>
      <c r="Q191" s="137">
        <v>0</v>
      </c>
      <c r="R191" s="137">
        <f t="shared" si="205"/>
        <v>-47450</v>
      </c>
      <c r="S191" s="237">
        <f t="shared" si="192"/>
        <v>-100</v>
      </c>
      <c r="T191" s="136">
        <f>$F$191</f>
        <v>47450</v>
      </c>
      <c r="U191" s="137">
        <v>0</v>
      </c>
      <c r="V191" s="137">
        <f t="shared" si="206"/>
        <v>-47450</v>
      </c>
      <c r="W191" s="252">
        <f t="shared" si="193"/>
        <v>-100</v>
      </c>
      <c r="X191" s="212">
        <f>$F$191</f>
        <v>47450</v>
      </c>
      <c r="Y191" s="137">
        <v>0</v>
      </c>
      <c r="Z191" s="137">
        <f t="shared" si="207"/>
        <v>-47450</v>
      </c>
      <c r="AA191" s="237">
        <f t="shared" si="194"/>
        <v>-100</v>
      </c>
      <c r="AB191" s="212">
        <f>$F$191</f>
        <v>47450</v>
      </c>
      <c r="AC191" s="137">
        <v>0</v>
      </c>
      <c r="AD191" s="137">
        <f t="shared" si="208"/>
        <v>-47450</v>
      </c>
      <c r="AE191" s="237">
        <f t="shared" si="195"/>
        <v>-100</v>
      </c>
      <c r="AF191" s="137">
        <f t="shared" si="150"/>
        <v>0</v>
      </c>
      <c r="AG191" s="137">
        <f t="shared" si="151"/>
        <v>0</v>
      </c>
      <c r="AH191" s="136">
        <f>$F$191</f>
        <v>47450</v>
      </c>
      <c r="AI191" s="137">
        <v>0</v>
      </c>
      <c r="AJ191" s="137">
        <f t="shared" si="209"/>
        <v>-47450</v>
      </c>
      <c r="AK191" s="252">
        <f t="shared" si="196"/>
        <v>-100</v>
      </c>
      <c r="AL191" s="212">
        <f>$F$191</f>
        <v>47450</v>
      </c>
      <c r="AM191" s="137">
        <v>0</v>
      </c>
      <c r="AN191" s="137">
        <f t="shared" si="187"/>
        <v>-47450</v>
      </c>
      <c r="AO191" s="237">
        <f t="shared" si="197"/>
        <v>-100</v>
      </c>
      <c r="AP191" s="243">
        <f>$F$191</f>
        <v>47450</v>
      </c>
      <c r="AQ191" s="176">
        <v>0</v>
      </c>
      <c r="AR191" s="169">
        <f t="shared" si="188"/>
        <v>-47450</v>
      </c>
      <c r="AS191" s="252">
        <f t="shared" si="198"/>
        <v>-100</v>
      </c>
      <c r="AT191" s="254">
        <f>$F$191</f>
        <v>47450</v>
      </c>
      <c r="AU191" s="176">
        <v>0</v>
      </c>
      <c r="AV191" s="169">
        <f t="shared" si="189"/>
        <v>-47450</v>
      </c>
      <c r="AW191" s="567">
        <f t="shared" si="199"/>
        <v>-100</v>
      </c>
      <c r="AX191" s="243">
        <f>$F$191</f>
        <v>47450</v>
      </c>
      <c r="AY191" s="176">
        <v>0</v>
      </c>
      <c r="AZ191" s="169">
        <f t="shared" si="190"/>
        <v>-47450</v>
      </c>
      <c r="BA191" s="747">
        <f t="shared" si="200"/>
        <v>-100</v>
      </c>
      <c r="BB191" s="254">
        <f>$F$191</f>
        <v>47450</v>
      </c>
      <c r="BC191" s="176">
        <v>291913.27</v>
      </c>
      <c r="BD191" s="137">
        <f t="shared" si="203"/>
        <v>244463.27000000002</v>
      </c>
      <c r="BE191" s="567">
        <f t="shared" si="201"/>
        <v>515.20183350895684</v>
      </c>
      <c r="BF191" s="254">
        <f t="shared" si="152"/>
        <v>284700</v>
      </c>
      <c r="BG191" s="188">
        <f t="shared" si="186"/>
        <v>291913.27</v>
      </c>
      <c r="BH191" s="63">
        <f t="shared" si="202"/>
        <v>0</v>
      </c>
    </row>
    <row r="192" spans="2:60" s="11" customFormat="1" x14ac:dyDescent="0.25">
      <c r="B192" s="170">
        <v>53474</v>
      </c>
      <c r="C192" s="135"/>
      <c r="D192" s="152" t="s">
        <v>140</v>
      </c>
      <c r="E192" s="341"/>
      <c r="F192" s="726">
        <v>8500</v>
      </c>
      <c r="G192" s="619">
        <v>7486.6849999999986</v>
      </c>
      <c r="H192" s="212">
        <f>$F$192</f>
        <v>8500</v>
      </c>
      <c r="I192" s="137">
        <v>7286.56</v>
      </c>
      <c r="J192" s="138">
        <f t="shared" si="184"/>
        <v>-1213.4399999999996</v>
      </c>
      <c r="K192" s="371">
        <f t="shared" si="210"/>
        <v>-14.275764705882343</v>
      </c>
      <c r="L192" s="136">
        <f>$F$192</f>
        <v>8500</v>
      </c>
      <c r="M192" s="137">
        <v>11715.83</v>
      </c>
      <c r="N192" s="137">
        <f t="shared" si="204"/>
        <v>3215.83</v>
      </c>
      <c r="O192" s="252">
        <f t="shared" si="191"/>
        <v>37.833294117647064</v>
      </c>
      <c r="P192" s="212">
        <f>$F$192</f>
        <v>8500</v>
      </c>
      <c r="Q192" s="137">
        <v>15024.56</v>
      </c>
      <c r="R192" s="137">
        <f t="shared" si="205"/>
        <v>6524.5599999999995</v>
      </c>
      <c r="S192" s="237">
        <f t="shared" si="192"/>
        <v>76.759529411764689</v>
      </c>
      <c r="T192" s="136">
        <f>$F$192</f>
        <v>8500</v>
      </c>
      <c r="U192" s="137">
        <v>5890.35</v>
      </c>
      <c r="V192" s="137">
        <f t="shared" si="206"/>
        <v>-2609.6499999999996</v>
      </c>
      <c r="W192" s="252">
        <f t="shared" si="193"/>
        <v>-30.701764705882351</v>
      </c>
      <c r="X192" s="212">
        <f>$F$192</f>
        <v>8500</v>
      </c>
      <c r="Y192" s="137">
        <v>9608.64</v>
      </c>
      <c r="Z192" s="137">
        <f t="shared" si="207"/>
        <v>1108.6399999999994</v>
      </c>
      <c r="AA192" s="237">
        <f t="shared" si="194"/>
        <v>13.042823529411752</v>
      </c>
      <c r="AB192" s="212">
        <f>$F$192</f>
        <v>8500</v>
      </c>
      <c r="AC192" s="137">
        <f>20989.96</f>
        <v>20989.96</v>
      </c>
      <c r="AD192" s="137">
        <f t="shared" si="208"/>
        <v>12489.96</v>
      </c>
      <c r="AE192" s="237">
        <f t="shared" si="195"/>
        <v>146.94070588235294</v>
      </c>
      <c r="AF192" s="137">
        <f t="shared" si="150"/>
        <v>70515.899999999994</v>
      </c>
      <c r="AG192" s="137">
        <f t="shared" si="151"/>
        <v>11752.65</v>
      </c>
      <c r="AH192" s="136">
        <f>$F$192</f>
        <v>8500</v>
      </c>
      <c r="AI192" s="137">
        <v>24277.97</v>
      </c>
      <c r="AJ192" s="137">
        <f t="shared" si="209"/>
        <v>15777.970000000001</v>
      </c>
      <c r="AK192" s="252">
        <f t="shared" si="196"/>
        <v>185.62317647058825</v>
      </c>
      <c r="AL192" s="212">
        <f>$F$192</f>
        <v>8500</v>
      </c>
      <c r="AM192" s="137">
        <v>15699.2</v>
      </c>
      <c r="AN192" s="137">
        <f t="shared" si="187"/>
        <v>7199.2000000000007</v>
      </c>
      <c r="AO192" s="237">
        <f t="shared" si="197"/>
        <v>84.6964705882353</v>
      </c>
      <c r="AP192" s="243">
        <f>$F$192</f>
        <v>8500</v>
      </c>
      <c r="AQ192" s="176">
        <v>23044.68</v>
      </c>
      <c r="AR192" s="169">
        <f t="shared" si="188"/>
        <v>14544.68</v>
      </c>
      <c r="AS192" s="252">
        <f t="shared" si="198"/>
        <v>171.11388235294118</v>
      </c>
      <c r="AT192" s="254">
        <f>$F$192</f>
        <v>8500</v>
      </c>
      <c r="AU192" s="176">
        <v>33086.44</v>
      </c>
      <c r="AV192" s="169">
        <f t="shared" si="189"/>
        <v>24586.440000000002</v>
      </c>
      <c r="AW192" s="567">
        <f t="shared" si="199"/>
        <v>289.25223529411767</v>
      </c>
      <c r="AX192" s="243">
        <f>$F$192</f>
        <v>8500</v>
      </c>
      <c r="AY192" s="176">
        <v>27446.01</v>
      </c>
      <c r="AZ192" s="169">
        <f t="shared" si="190"/>
        <v>18946.009999999998</v>
      </c>
      <c r="BA192" s="747">
        <f t="shared" si="200"/>
        <v>222.89423529411764</v>
      </c>
      <c r="BB192" s="254">
        <f>$F$192</f>
        <v>8500</v>
      </c>
      <c r="BC192" s="176">
        <v>36347.24</v>
      </c>
      <c r="BD192" s="137">
        <f t="shared" si="203"/>
        <v>27847.239999999998</v>
      </c>
      <c r="BE192" s="567">
        <f t="shared" si="201"/>
        <v>327.61458823529404</v>
      </c>
      <c r="BF192" s="254">
        <f t="shared" si="152"/>
        <v>121515.9</v>
      </c>
      <c r="BG192" s="188">
        <f t="shared" si="186"/>
        <v>230417.44</v>
      </c>
      <c r="BH192" s="63">
        <f t="shared" si="202"/>
        <v>39917.299999999996</v>
      </c>
    </row>
    <row r="193" spans="2:65" s="11" customFormat="1" x14ac:dyDescent="0.25">
      <c r="B193" s="366" t="s">
        <v>3626</v>
      </c>
      <c r="C193" s="367"/>
      <c r="D193" s="329" t="s">
        <v>3625</v>
      </c>
      <c r="E193" s="154"/>
      <c r="F193" s="776"/>
      <c r="G193" s="777"/>
      <c r="H193" s="219">
        <v>0</v>
      </c>
      <c r="I193" s="137">
        <f>408+13000</f>
        <v>13408</v>
      </c>
      <c r="J193" s="138">
        <f t="shared" si="184"/>
        <v>13408</v>
      </c>
      <c r="K193" s="371">
        <v>0</v>
      </c>
      <c r="L193" s="129"/>
      <c r="M193" s="131">
        <f>1205.8+13000</f>
        <v>14205.8</v>
      </c>
      <c r="N193" s="137">
        <f t="shared" si="204"/>
        <v>14205.8</v>
      </c>
      <c r="O193" s="252">
        <v>0</v>
      </c>
      <c r="P193" s="219"/>
      <c r="Q193" s="131">
        <f>8460.48+13000</f>
        <v>21460.48</v>
      </c>
      <c r="R193" s="137">
        <f t="shared" si="205"/>
        <v>21460.48</v>
      </c>
      <c r="S193" s="327"/>
      <c r="T193" s="129"/>
      <c r="U193" s="131">
        <f>6882.49+13000</f>
        <v>19882.489999999998</v>
      </c>
      <c r="V193" s="131"/>
      <c r="W193" s="778"/>
      <c r="X193" s="219"/>
      <c r="Y193" s="131">
        <f>17551.9+13000</f>
        <v>30551.9</v>
      </c>
      <c r="Z193" s="131"/>
      <c r="AA193" s="327"/>
      <c r="AB193" s="219"/>
      <c r="AC193" s="131">
        <f>11826.08+13000</f>
        <v>24826.080000000002</v>
      </c>
      <c r="AD193" s="131"/>
      <c r="AE193" s="327"/>
      <c r="AF193" s="131">
        <f t="shared" si="150"/>
        <v>124334.74999999999</v>
      </c>
      <c r="AG193" s="131">
        <f t="shared" si="151"/>
        <v>20722.458333333332</v>
      </c>
      <c r="AH193" s="129"/>
      <c r="AI193" s="131">
        <f>4682.41+13000</f>
        <v>17682.41</v>
      </c>
      <c r="AJ193" s="137">
        <f t="shared" si="209"/>
        <v>17682.41</v>
      </c>
      <c r="AK193" s="252">
        <v>0</v>
      </c>
      <c r="AL193" s="219"/>
      <c r="AM193" s="131">
        <f>2347.42+13000</f>
        <v>15347.42</v>
      </c>
      <c r="AN193" s="131"/>
      <c r="AO193" s="327"/>
      <c r="AP193" s="779"/>
      <c r="AQ193" s="683">
        <f>17994.02+13000</f>
        <v>30994.02</v>
      </c>
      <c r="AR193" s="684"/>
      <c r="AS193" s="778"/>
      <c r="AT193" s="780"/>
      <c r="AU193" s="683">
        <f>15115.14+13000</f>
        <v>28115.14</v>
      </c>
      <c r="AV193" s="684"/>
      <c r="AW193" s="781"/>
      <c r="AX193" s="779"/>
      <c r="AY193" s="683">
        <f>16086.6+13000</f>
        <v>29086.6</v>
      </c>
      <c r="AZ193" s="684"/>
      <c r="BA193" s="782"/>
      <c r="BB193" s="780"/>
      <c r="BC193" s="683">
        <f>15868.28+13000</f>
        <v>28868.28</v>
      </c>
      <c r="BD193" s="131"/>
      <c r="BE193" s="781"/>
      <c r="BF193" s="780">
        <f t="shared" si="152"/>
        <v>124334.74999999999</v>
      </c>
      <c r="BG193" s="368">
        <f t="shared" si="186"/>
        <v>274428.62</v>
      </c>
      <c r="BH193" s="63">
        <f t="shared" si="202"/>
        <v>68956.76999999999</v>
      </c>
    </row>
    <row r="194" spans="2:65" s="11" customFormat="1" ht="19.5" customHeight="1" outlineLevel="1" x14ac:dyDescent="0.25">
      <c r="B194" s="783">
        <v>37992</v>
      </c>
      <c r="C194" s="784">
        <v>304</v>
      </c>
      <c r="D194" s="785" t="s">
        <v>222</v>
      </c>
      <c r="E194" s="786"/>
      <c r="F194" s="787">
        <v>350</v>
      </c>
      <c r="G194" s="788">
        <v>40</v>
      </c>
      <c r="H194" s="789">
        <v>0</v>
      </c>
      <c r="I194" s="790">
        <v>0</v>
      </c>
      <c r="J194" s="791">
        <f t="shared" si="184"/>
        <v>0</v>
      </c>
      <c r="K194" s="792">
        <v>0</v>
      </c>
      <c r="L194" s="793">
        <v>0</v>
      </c>
      <c r="M194" s="790">
        <v>0</v>
      </c>
      <c r="N194" s="790">
        <f t="shared" si="204"/>
        <v>0</v>
      </c>
      <c r="O194" s="252">
        <v>0</v>
      </c>
      <c r="P194" s="789">
        <v>0</v>
      </c>
      <c r="Q194" s="790">
        <v>240</v>
      </c>
      <c r="R194" s="790">
        <f t="shared" si="205"/>
        <v>240</v>
      </c>
      <c r="S194" s="794"/>
      <c r="T194" s="793">
        <v>0</v>
      </c>
      <c r="U194" s="790">
        <v>337</v>
      </c>
      <c r="V194" s="790">
        <f t="shared" si="206"/>
        <v>337</v>
      </c>
      <c r="W194" s="795"/>
      <c r="X194" s="789">
        <f>$F$194</f>
        <v>350</v>
      </c>
      <c r="Y194" s="790">
        <v>0</v>
      </c>
      <c r="Z194" s="790">
        <f t="shared" si="207"/>
        <v>-350</v>
      </c>
      <c r="AA194" s="794">
        <f t="shared" si="194"/>
        <v>-100</v>
      </c>
      <c r="AB194" s="789">
        <v>0</v>
      </c>
      <c r="AC194" s="790">
        <v>0</v>
      </c>
      <c r="AD194" s="790">
        <f t="shared" si="208"/>
        <v>0</v>
      </c>
      <c r="AE194" s="794"/>
      <c r="AF194" s="790">
        <f t="shared" si="150"/>
        <v>577</v>
      </c>
      <c r="AG194" s="790">
        <f t="shared" si="151"/>
        <v>96.166666666666671</v>
      </c>
      <c r="AH194" s="793">
        <v>0</v>
      </c>
      <c r="AI194" s="790">
        <v>0</v>
      </c>
      <c r="AJ194" s="137">
        <f t="shared" si="209"/>
        <v>0</v>
      </c>
      <c r="AK194" s="252">
        <v>0</v>
      </c>
      <c r="AL194" s="789">
        <v>0</v>
      </c>
      <c r="AM194" s="790">
        <v>0</v>
      </c>
      <c r="AN194" s="790">
        <f t="shared" si="187"/>
        <v>0</v>
      </c>
      <c r="AO194" s="794"/>
      <c r="AP194" s="796">
        <v>0</v>
      </c>
      <c r="AQ194" s="797">
        <v>0</v>
      </c>
      <c r="AR194" s="798">
        <f t="shared" si="188"/>
        <v>0</v>
      </c>
      <c r="AS194" s="795"/>
      <c r="AT194" s="799">
        <v>0</v>
      </c>
      <c r="AU194" s="797">
        <v>0</v>
      </c>
      <c r="AV194" s="798">
        <f t="shared" si="189"/>
        <v>0</v>
      </c>
      <c r="AW194" s="800"/>
      <c r="AX194" s="796">
        <v>0</v>
      </c>
      <c r="AY194" s="797">
        <v>0</v>
      </c>
      <c r="AZ194" s="798">
        <f t="shared" si="190"/>
        <v>0</v>
      </c>
      <c r="BA194" s="801"/>
      <c r="BB194" s="799">
        <v>0</v>
      </c>
      <c r="BC194" s="797">
        <v>0</v>
      </c>
      <c r="BD194" s="797">
        <f t="shared" si="203"/>
        <v>0</v>
      </c>
      <c r="BE194" s="800"/>
      <c r="BF194" s="799">
        <f t="shared" si="152"/>
        <v>577</v>
      </c>
      <c r="BG194" s="802">
        <f t="shared" si="186"/>
        <v>577</v>
      </c>
      <c r="BH194" s="63">
        <f t="shared" si="202"/>
        <v>577</v>
      </c>
    </row>
    <row r="195" spans="2:65" ht="16.5" thickBot="1" x14ac:dyDescent="0.3">
      <c r="H195" s="94"/>
      <c r="I195" s="25"/>
      <c r="J195" s="93"/>
      <c r="L195" s="25"/>
      <c r="M195" s="25"/>
      <c r="N195" s="93"/>
      <c r="O195" s="25"/>
      <c r="P195" s="25"/>
      <c r="Q195" s="25"/>
      <c r="R195" s="93"/>
      <c r="S195" s="25"/>
      <c r="T195" s="25"/>
      <c r="U195" s="25"/>
      <c r="V195" s="93"/>
      <c r="W195" s="25"/>
      <c r="X195" s="25"/>
      <c r="Y195" s="25"/>
      <c r="Z195" s="93"/>
      <c r="AA195" s="25"/>
      <c r="AB195" s="25"/>
      <c r="AC195" s="25"/>
      <c r="AD195" s="25"/>
      <c r="AE195" s="25"/>
      <c r="AF195" s="25"/>
      <c r="AG195" s="25"/>
      <c r="AH195" s="25"/>
      <c r="AI195" s="25"/>
      <c r="AJ195" s="25"/>
      <c r="AK195" s="25"/>
      <c r="AL195" s="25"/>
      <c r="AM195" s="25"/>
      <c r="BH195" s="63"/>
    </row>
    <row r="196" spans="2:65" s="8" customFormat="1" ht="23.1" customHeight="1" thickBot="1" x14ac:dyDescent="0.3">
      <c r="B196" s="315"/>
      <c r="C196" s="314"/>
      <c r="D196" s="2689" t="s">
        <v>3668</v>
      </c>
      <c r="E196" s="2690"/>
      <c r="F196" s="2690"/>
      <c r="G196" s="2691"/>
      <c r="H196" s="80">
        <f>H7-H45</f>
        <v>1018862.5166666657</v>
      </c>
      <c r="I196" s="80">
        <f>I7-I45</f>
        <v>1617238.4299999978</v>
      </c>
      <c r="J196" s="80">
        <f>J7-J45</f>
        <v>598375.91333333217</v>
      </c>
      <c r="K196" s="69">
        <f>((I196/H196)-1)*100</f>
        <v>58.729799511222836</v>
      </c>
      <c r="L196" s="80">
        <f>L7-L45</f>
        <v>1064063.5166666657</v>
      </c>
      <c r="M196" s="80">
        <f>M7-M45</f>
        <v>-770938.27000000328</v>
      </c>
      <c r="N196" s="80">
        <f>N7-N45</f>
        <v>-1835001.786666669</v>
      </c>
      <c r="O196" s="69">
        <f>((M196/L196)-1)*100</f>
        <v>-172.45227920369641</v>
      </c>
      <c r="P196" s="80">
        <f>P7-P45</f>
        <v>1018852.5166666657</v>
      </c>
      <c r="Q196" s="80">
        <f>Q7-Q45</f>
        <v>1104756.9499999993</v>
      </c>
      <c r="R196" s="80">
        <f>R7-R45</f>
        <v>85904.433333333582</v>
      </c>
      <c r="S196" s="80">
        <f>((Q196/P196)-1)*100</f>
        <v>8.4314885548286469</v>
      </c>
      <c r="T196" s="80">
        <f>T7-T45</f>
        <v>1799852.5166666657</v>
      </c>
      <c r="U196" s="80">
        <f>U7-U45</f>
        <v>84326.059999998659</v>
      </c>
      <c r="V196" s="80">
        <f>V7-V45</f>
        <v>-1715526.456666667</v>
      </c>
      <c r="W196" s="80">
        <f>((U196/T196)-1)*100</f>
        <v>-95.314835009027803</v>
      </c>
      <c r="X196" s="80">
        <f>X7-X45</f>
        <v>1692112.5166666657</v>
      </c>
      <c r="Y196" s="80">
        <f>Y7-Y45</f>
        <v>651938.57000000402</v>
      </c>
      <c r="Z196" s="80">
        <f>Z7-Z45</f>
        <v>-1040173.9466666616</v>
      </c>
      <c r="AA196" s="80">
        <f>((Y196/X196)-1)*100</f>
        <v>-61.471913742221233</v>
      </c>
      <c r="AB196" s="104">
        <f>AB7-AB45</f>
        <v>1623492.5166666657</v>
      </c>
      <c r="AC196" s="104">
        <f>AC7-AC45</f>
        <v>667653.50999999978</v>
      </c>
      <c r="AD196" s="104">
        <f>AD7-AD45</f>
        <v>-955839.0066666659</v>
      </c>
      <c r="AE196" s="80">
        <f>((AC196/AB196)-1)*100</f>
        <v>-58.875479674472572</v>
      </c>
      <c r="AF196" s="104">
        <f t="shared" si="150"/>
        <v>3354975.2499999963</v>
      </c>
      <c r="AG196" s="104">
        <f t="shared" si="151"/>
        <v>559162.54166666605</v>
      </c>
      <c r="AH196" s="104">
        <f>AH7-AH45</f>
        <v>758582.75166666694</v>
      </c>
      <c r="AI196" s="104">
        <f>AI7-AI45</f>
        <v>1810177.3000000026</v>
      </c>
      <c r="AJ196" s="104">
        <f>AJ7-AJ45</f>
        <v>1051594.5483333357</v>
      </c>
      <c r="AK196" s="80">
        <f>((AI196/AH196)-1)*100</f>
        <v>138.62621395265032</v>
      </c>
      <c r="AL196" s="104">
        <f>AL7-AL45</f>
        <v>780089.55333333462</v>
      </c>
      <c r="AM196" s="104">
        <f>AM7-AM45</f>
        <v>329688.25</v>
      </c>
      <c r="AN196" s="104">
        <f>AN7-AN45</f>
        <v>-450401.30333333462</v>
      </c>
      <c r="AO196" s="80">
        <f>((AM196/AL196)-1)*100</f>
        <v>-57.73712792444956</v>
      </c>
      <c r="AP196" s="51">
        <f>AP7-AP45</f>
        <v>882947.14288333431</v>
      </c>
      <c r="AQ196" s="51">
        <f>AQ7-AQ45</f>
        <v>545981.74699999951</v>
      </c>
      <c r="AR196" s="104">
        <f>AR7-AR45</f>
        <v>-336965.3958833348</v>
      </c>
      <c r="AS196" s="80">
        <f>((AQ196/AP196)-1)*100</f>
        <v>-38.163710998933354</v>
      </c>
      <c r="AT196" s="51">
        <f>AT7-AT45</f>
        <v>745630.47288333438</v>
      </c>
      <c r="AU196" s="51">
        <f>AU7-AU45</f>
        <v>905425.32000000589</v>
      </c>
      <c r="AV196" s="104">
        <f>AV7-AV45</f>
        <v>159794.8471166715</v>
      </c>
      <c r="AW196" s="80">
        <f>((AU196/AT196)-1)*100</f>
        <v>21.430836443519908</v>
      </c>
      <c r="AX196" s="51">
        <f>AX7-AX45</f>
        <v>744804.47288333438</v>
      </c>
      <c r="AY196" s="51">
        <f>AY7-AY45</f>
        <v>1451783.5799999982</v>
      </c>
      <c r="AZ196" s="104">
        <f>AZ7-AZ45</f>
        <v>706979.10711666383</v>
      </c>
      <c r="BA196" s="80">
        <f>((AY196/AX196)-1)*100</f>
        <v>94.921436814115978</v>
      </c>
      <c r="BB196" s="51">
        <f>BB7-BB45</f>
        <v>742679.47288333438</v>
      </c>
      <c r="BC196" s="51">
        <f>BC7-BC45</f>
        <v>454460.33999999799</v>
      </c>
      <c r="BD196" s="104">
        <f>BD7-BD45</f>
        <v>-288219.1328833364</v>
      </c>
      <c r="BE196" s="80">
        <f>((BC196/BB196)-1)*100</f>
        <v>-38.808011182047572</v>
      </c>
      <c r="BF196" s="51">
        <f>AF196+AH196+AL196+AP196+AT196+AX196+BB196</f>
        <v>8009709.1165333353</v>
      </c>
      <c r="BG196" s="59">
        <f>SUM(I196+M196+Q196+U196+Y196+AC196+AI196+AM196+AQ196+AU196+AY196+BC196)</f>
        <v>8852491.7870000005</v>
      </c>
      <c r="BH196" s="63"/>
      <c r="BI196" s="132"/>
      <c r="BJ196" s="64"/>
      <c r="BK196" s="9"/>
      <c r="BM196" s="9"/>
    </row>
    <row r="197" spans="2:65" x14ac:dyDescent="0.25">
      <c r="B197" s="52"/>
      <c r="F197" s="14"/>
      <c r="G197" s="15"/>
      <c r="H197" s="16"/>
      <c r="J197" s="43"/>
      <c r="N197" s="43"/>
      <c r="R197" s="43"/>
      <c r="V197" s="43"/>
      <c r="Z197" s="43"/>
      <c r="AF197" s="43"/>
      <c r="AG197" s="43"/>
      <c r="BC197" s="43"/>
      <c r="BG197" s="43"/>
    </row>
    <row r="198" spans="2:65" hidden="1" x14ac:dyDescent="0.25">
      <c r="B198" s="52"/>
      <c r="D198" s="2692" t="s">
        <v>116</v>
      </c>
      <c r="E198" s="2693"/>
      <c r="F198" s="2693"/>
      <c r="G198" s="2694"/>
      <c r="H198" s="17">
        <f>H202</f>
        <v>1124365.2429999998</v>
      </c>
      <c r="I198" s="17">
        <v>1124365.2429999998</v>
      </c>
      <c r="J198" s="17">
        <f>J202</f>
        <v>0</v>
      </c>
      <c r="K198" s="72"/>
      <c r="L198" s="17">
        <f>H198</f>
        <v>1124365.2429999998</v>
      </c>
      <c r="M198" s="17">
        <f>I198</f>
        <v>1124365.2429999998</v>
      </c>
      <c r="N198" s="17">
        <f>N202</f>
        <v>0</v>
      </c>
      <c r="O198" s="72"/>
      <c r="P198" s="17">
        <f>L198</f>
        <v>1124365.2429999998</v>
      </c>
      <c r="Q198" s="17">
        <f>M198</f>
        <v>1124365.2429999998</v>
      </c>
      <c r="R198" s="17">
        <f>R202</f>
        <v>0</v>
      </c>
      <c r="S198" s="72"/>
      <c r="T198" s="17">
        <f>P198</f>
        <v>1124365.2429999998</v>
      </c>
      <c r="U198" s="17">
        <f>Q198</f>
        <v>1124365.2429999998</v>
      </c>
      <c r="V198" s="17">
        <f>V202</f>
        <v>0</v>
      </c>
      <c r="W198" s="72"/>
      <c r="X198" s="17">
        <f>T198</f>
        <v>1124365.2429999998</v>
      </c>
      <c r="Y198" s="17">
        <f>U198</f>
        <v>1124365.2429999998</v>
      </c>
      <c r="Z198" s="17">
        <f>Z202</f>
        <v>0</v>
      </c>
      <c r="AA198" s="72"/>
      <c r="AB198" s="17"/>
      <c r="AC198" s="17"/>
      <c r="AD198" s="17"/>
      <c r="AE198" s="72"/>
      <c r="AF198" s="65"/>
      <c r="AG198" s="65"/>
      <c r="AH198" s="17"/>
      <c r="AI198" s="17"/>
      <c r="AJ198" s="17"/>
      <c r="AK198" s="72"/>
      <c r="AL198" s="17"/>
      <c r="AM198" s="17"/>
      <c r="AN198" s="17"/>
      <c r="AO198" s="72"/>
      <c r="AP198" s="17"/>
      <c r="AQ198" s="17"/>
      <c r="AR198" s="17"/>
      <c r="AS198" s="72"/>
      <c r="AT198" s="17"/>
      <c r="AU198" s="17"/>
      <c r="AV198" s="17"/>
      <c r="AW198" s="72"/>
      <c r="AX198" s="17"/>
      <c r="AY198" s="17"/>
      <c r="AZ198" s="17"/>
      <c r="BA198" s="72"/>
      <c r="BB198" s="17"/>
      <c r="BC198" s="17"/>
      <c r="BD198" s="17"/>
      <c r="BE198" s="72"/>
      <c r="BF198" s="17"/>
      <c r="BG198" s="65"/>
    </row>
    <row r="199" spans="2:65" s="23" customFormat="1" ht="16.5" hidden="1" thickBot="1" x14ac:dyDescent="0.3">
      <c r="B199" s="53"/>
      <c r="D199" s="19" t="s">
        <v>117</v>
      </c>
      <c r="E199" s="345"/>
      <c r="F199" s="20"/>
      <c r="G199" s="20"/>
      <c r="H199" s="21">
        <f>H198-H196</f>
        <v>105502.72633333411</v>
      </c>
      <c r="I199" s="21">
        <f>I198-I196</f>
        <v>-492873.18699999806</v>
      </c>
      <c r="J199" s="21">
        <f>I199-H199</f>
        <v>-598375.91333333217</v>
      </c>
      <c r="K199" s="73"/>
      <c r="L199" s="21">
        <f t="shared" ref="L199:Y199" si="211">L198-L196</f>
        <v>60301.726333334111</v>
      </c>
      <c r="M199" s="21">
        <f t="shared" si="211"/>
        <v>1895303.5130000031</v>
      </c>
      <c r="N199" s="21">
        <f>M199-L199</f>
        <v>1835001.786666669</v>
      </c>
      <c r="O199" s="73"/>
      <c r="P199" s="21">
        <f t="shared" si="211"/>
        <v>105512.72633333411</v>
      </c>
      <c r="Q199" s="21">
        <f t="shared" si="211"/>
        <v>19608.293000000529</v>
      </c>
      <c r="R199" s="21">
        <f>Q199-P199</f>
        <v>-85904.433333333582</v>
      </c>
      <c r="S199" s="73"/>
      <c r="T199" s="21">
        <f t="shared" si="211"/>
        <v>-675487.27366666589</v>
      </c>
      <c r="U199" s="21">
        <f t="shared" si="211"/>
        <v>1040039.1830000011</v>
      </c>
      <c r="V199" s="21">
        <f>U199-T199</f>
        <v>1715526.456666667</v>
      </c>
      <c r="W199" s="73"/>
      <c r="X199" s="21">
        <f t="shared" si="211"/>
        <v>-567747.27366666589</v>
      </c>
      <c r="Y199" s="21">
        <f t="shared" si="211"/>
        <v>472426.67299999576</v>
      </c>
      <c r="Z199" s="21">
        <f>Y199-X199</f>
        <v>1040173.9466666616</v>
      </c>
      <c r="AA199" s="73"/>
      <c r="AB199" s="21"/>
      <c r="AC199" s="21"/>
      <c r="AD199" s="21"/>
      <c r="AE199" s="73"/>
      <c r="AF199" s="22"/>
      <c r="AG199" s="22"/>
      <c r="AH199" s="21"/>
      <c r="AI199" s="21"/>
      <c r="AJ199" s="21"/>
      <c r="AK199" s="73"/>
      <c r="AL199" s="21"/>
      <c r="AM199" s="21"/>
      <c r="AN199" s="21"/>
      <c r="AO199" s="73"/>
      <c r="AP199" s="21"/>
      <c r="AQ199" s="21"/>
      <c r="AR199" s="21"/>
      <c r="AS199" s="73"/>
      <c r="AT199" s="21"/>
      <c r="AU199" s="21"/>
      <c r="AV199" s="21"/>
      <c r="AW199" s="73"/>
      <c r="AX199" s="21"/>
      <c r="AY199" s="21"/>
      <c r="AZ199" s="21"/>
      <c r="BA199" s="73"/>
      <c r="BB199" s="21"/>
      <c r="BC199" s="21"/>
      <c r="BD199" s="21"/>
      <c r="BE199" s="73"/>
      <c r="BF199" s="21"/>
      <c r="BG199" s="22"/>
      <c r="BI199" s="105"/>
    </row>
    <row r="200" spans="2:65" s="23" customFormat="1" hidden="1" x14ac:dyDescent="0.25">
      <c r="B200" s="53"/>
      <c r="D200" s="54"/>
      <c r="E200" s="54"/>
      <c r="F200" s="54"/>
      <c r="G200" s="54"/>
      <c r="H200" s="22"/>
      <c r="I200" s="22"/>
      <c r="J200" s="22"/>
      <c r="K200" s="74"/>
      <c r="L200" s="22"/>
      <c r="M200" s="22"/>
      <c r="N200" s="22"/>
      <c r="O200" s="74"/>
      <c r="P200" s="22"/>
      <c r="Q200" s="22"/>
      <c r="R200" s="22"/>
      <c r="S200" s="74"/>
      <c r="T200" s="22"/>
      <c r="U200" s="22"/>
      <c r="V200" s="22"/>
      <c r="W200" s="74"/>
      <c r="X200" s="22"/>
      <c r="Y200" s="22"/>
      <c r="Z200" s="22"/>
      <c r="AA200" s="74"/>
      <c r="AB200" s="22"/>
      <c r="AC200" s="22"/>
      <c r="AD200" s="22"/>
      <c r="AE200" s="74"/>
      <c r="AF200" s="22"/>
      <c r="AG200" s="22"/>
      <c r="AH200" s="22"/>
      <c r="AI200" s="22"/>
      <c r="AJ200" s="22"/>
      <c r="AK200" s="74"/>
      <c r="AL200" s="22"/>
      <c r="AM200" s="22"/>
      <c r="AN200" s="22"/>
      <c r="AO200" s="74"/>
      <c r="AP200" s="22"/>
      <c r="AQ200" s="22"/>
      <c r="AR200" s="22"/>
      <c r="AS200" s="74"/>
      <c r="AT200" s="22"/>
      <c r="AU200" s="22"/>
      <c r="AV200" s="22"/>
      <c r="AW200" s="74"/>
      <c r="AX200" s="22"/>
      <c r="AY200" s="22"/>
      <c r="AZ200" s="22"/>
      <c r="BA200" s="74"/>
      <c r="BB200" s="22"/>
      <c r="BC200" s="22"/>
      <c r="BD200" s="22"/>
      <c r="BE200" s="74"/>
      <c r="BF200" s="22"/>
      <c r="BG200" s="22"/>
    </row>
    <row r="201" spans="2:65" hidden="1" x14ac:dyDescent="0.25">
      <c r="B201" s="52"/>
      <c r="F201" s="14"/>
      <c r="G201" s="15"/>
      <c r="H201" s="16"/>
    </row>
    <row r="202" spans="2:65" s="25" customFormat="1" ht="16.5" hidden="1" thickBot="1" x14ac:dyDescent="0.3">
      <c r="B202" s="24"/>
      <c r="D202" s="2673" t="s">
        <v>118</v>
      </c>
      <c r="E202" s="2674"/>
      <c r="F202" s="2674"/>
      <c r="G202" s="26"/>
      <c r="H202" s="60">
        <f t="shared" ref="H202:P202" si="212">H203+H204</f>
        <v>1124365.2429999998</v>
      </c>
      <c r="I202" s="27">
        <f t="shared" si="212"/>
        <v>0</v>
      </c>
      <c r="J202" s="27">
        <f t="shared" si="212"/>
        <v>0</v>
      </c>
      <c r="K202" s="75"/>
      <c r="L202" s="27">
        <f t="shared" si="212"/>
        <v>1126844.3229999999</v>
      </c>
      <c r="M202" s="27">
        <f t="shared" si="212"/>
        <v>0</v>
      </c>
      <c r="N202" s="27">
        <f t="shared" si="212"/>
        <v>0</v>
      </c>
      <c r="O202" s="75"/>
      <c r="P202" s="27">
        <f t="shared" si="212"/>
        <v>1111435.3129999998</v>
      </c>
      <c r="Q202" s="27"/>
      <c r="R202" s="27">
        <f t="shared" ref="R202:Z202" si="213">R203+R204</f>
        <v>0</v>
      </c>
      <c r="S202" s="75"/>
      <c r="T202" s="27">
        <f t="shared" si="213"/>
        <v>1108830.2329999998</v>
      </c>
      <c r="U202" s="27">
        <f t="shared" si="213"/>
        <v>0</v>
      </c>
      <c r="V202" s="27">
        <f t="shared" si="213"/>
        <v>0</v>
      </c>
      <c r="W202" s="75"/>
      <c r="X202" s="27">
        <f t="shared" si="213"/>
        <v>1100602.8329999999</v>
      </c>
      <c r="Y202" s="27">
        <f t="shared" si="213"/>
        <v>0</v>
      </c>
      <c r="Z202" s="27">
        <f t="shared" si="213"/>
        <v>0</v>
      </c>
      <c r="AA202" s="75"/>
      <c r="AB202" s="27"/>
      <c r="AC202" s="27"/>
      <c r="AD202" s="27"/>
      <c r="AE202" s="75"/>
      <c r="AF202" s="106"/>
      <c r="AG202" s="106"/>
      <c r="AH202" s="27"/>
      <c r="AI202" s="27"/>
      <c r="AJ202" s="27"/>
      <c r="AK202" s="75"/>
      <c r="AL202" s="27"/>
      <c r="AM202" s="27"/>
      <c r="AN202" s="27"/>
      <c r="AO202" s="75"/>
      <c r="AP202" s="27"/>
      <c r="AQ202" s="27"/>
      <c r="AR202" s="27"/>
      <c r="AS202" s="75"/>
      <c r="AT202" s="27"/>
      <c r="AU202" s="27"/>
      <c r="AV202" s="27"/>
      <c r="AW202" s="75"/>
      <c r="AX202" s="27"/>
      <c r="AY202" s="27"/>
      <c r="AZ202" s="27"/>
      <c r="BA202" s="75"/>
      <c r="BB202" s="27"/>
      <c r="BC202" s="27"/>
      <c r="BD202" s="27"/>
      <c r="BE202" s="75"/>
      <c r="BF202" s="27"/>
      <c r="BG202" s="106"/>
    </row>
    <row r="203" spans="2:65" s="25" customFormat="1" hidden="1" x14ac:dyDescent="0.25">
      <c r="B203" s="24"/>
      <c r="D203" s="2675" t="s">
        <v>119</v>
      </c>
      <c r="E203" s="2676"/>
      <c r="F203" s="2677"/>
      <c r="G203" s="28"/>
      <c r="H203" s="61">
        <v>501587.39000000007</v>
      </c>
      <c r="I203" s="30"/>
      <c r="J203" s="31"/>
      <c r="K203" s="76"/>
      <c r="L203" s="29">
        <v>504066.47000000009</v>
      </c>
      <c r="M203" s="29"/>
      <c r="N203" s="31"/>
      <c r="O203" s="76"/>
      <c r="P203" s="29">
        <v>506324.12000000011</v>
      </c>
      <c r="Q203" s="29"/>
      <c r="R203" s="31"/>
      <c r="S203" s="76"/>
      <c r="T203" s="29">
        <v>508878.14000000007</v>
      </c>
      <c r="U203" s="29"/>
      <c r="V203" s="31"/>
      <c r="W203" s="76"/>
      <c r="X203" s="29">
        <v>511470.46000000008</v>
      </c>
      <c r="Y203" s="29"/>
      <c r="Z203" s="31"/>
      <c r="AA203" s="76"/>
      <c r="AB203" s="29"/>
      <c r="AC203" s="29"/>
      <c r="AD203" s="29"/>
      <c r="AE203" s="76"/>
      <c r="AF203" s="32"/>
      <c r="AG203" s="32"/>
      <c r="AH203" s="29"/>
      <c r="AI203" s="29"/>
      <c r="AJ203" s="29"/>
      <c r="AK203" s="76"/>
      <c r="AL203" s="29"/>
      <c r="AM203" s="29"/>
      <c r="AN203" s="29"/>
      <c r="AO203" s="76"/>
      <c r="AP203" s="29"/>
      <c r="AQ203" s="29"/>
      <c r="AR203" s="29"/>
      <c r="AS203" s="76"/>
      <c r="AT203" s="29"/>
      <c r="AU203" s="29"/>
      <c r="AV203" s="29"/>
      <c r="AW203" s="76"/>
      <c r="AX203" s="29"/>
      <c r="AY203" s="29"/>
      <c r="AZ203" s="29"/>
      <c r="BA203" s="76"/>
      <c r="BB203" s="29"/>
      <c r="BC203" s="29"/>
      <c r="BD203" s="29"/>
      <c r="BE203" s="76"/>
      <c r="BF203" s="29"/>
      <c r="BG203" s="32"/>
    </row>
    <row r="204" spans="2:65" s="34" customFormat="1" ht="16.5" hidden="1" thickBot="1" x14ac:dyDescent="0.3">
      <c r="B204" s="33"/>
      <c r="D204" s="2678" t="s">
        <v>120</v>
      </c>
      <c r="E204" s="2679"/>
      <c r="F204" s="2680"/>
      <c r="G204" s="35"/>
      <c r="H204" s="62">
        <v>622777.85299999977</v>
      </c>
      <c r="I204" s="35"/>
      <c r="J204" s="35"/>
      <c r="K204" s="77"/>
      <c r="L204" s="35">
        <v>622777.85299999977</v>
      </c>
      <c r="M204" s="35"/>
      <c r="N204" s="35"/>
      <c r="O204" s="77"/>
      <c r="P204" s="35">
        <v>605111.19299999974</v>
      </c>
      <c r="Q204" s="36" t="s">
        <v>121</v>
      </c>
      <c r="R204" s="35"/>
      <c r="S204" s="77"/>
      <c r="T204" s="35">
        <v>599952.09299999976</v>
      </c>
      <c r="U204" s="35"/>
      <c r="V204" s="35"/>
      <c r="W204" s="77"/>
      <c r="X204" s="35">
        <v>589132.37299999979</v>
      </c>
      <c r="Y204" s="35"/>
      <c r="Z204" s="35"/>
      <c r="AA204" s="77"/>
      <c r="AB204" s="35"/>
      <c r="AC204" s="36"/>
      <c r="AD204" s="35"/>
      <c r="AE204" s="77"/>
      <c r="AF204" s="107"/>
      <c r="AG204" s="107"/>
      <c r="AH204" s="36"/>
      <c r="AI204" s="35"/>
      <c r="AJ204" s="36"/>
      <c r="AK204" s="77"/>
      <c r="AL204" s="35"/>
      <c r="AM204" s="36"/>
      <c r="AN204" s="35"/>
      <c r="AO204" s="77"/>
      <c r="AP204" s="36"/>
      <c r="AQ204" s="35"/>
      <c r="AR204" s="36"/>
      <c r="AS204" s="77"/>
      <c r="AT204" s="35"/>
      <c r="AU204" s="36"/>
      <c r="AV204" s="35"/>
      <c r="AW204" s="77"/>
      <c r="AX204" s="35"/>
      <c r="AY204" s="35"/>
      <c r="AZ204" s="35"/>
      <c r="BA204" s="77"/>
      <c r="BB204" s="35"/>
      <c r="BC204" s="35"/>
      <c r="BD204" s="35"/>
      <c r="BE204" s="77"/>
      <c r="BF204" s="35"/>
      <c r="BG204" s="107"/>
    </row>
    <row r="205" spans="2:65" hidden="1" x14ac:dyDescent="0.25">
      <c r="G205" s="37"/>
      <c r="H205" s="55"/>
      <c r="I205" s="55"/>
      <c r="J205" s="55"/>
      <c r="K205" s="78"/>
      <c r="L205" s="55"/>
      <c r="M205" s="55"/>
      <c r="N205" s="55"/>
      <c r="O205" s="78"/>
      <c r="P205" s="55"/>
      <c r="Q205" s="55"/>
      <c r="R205" s="55"/>
      <c r="S205" s="78"/>
      <c r="T205" s="55"/>
      <c r="U205" s="55"/>
      <c r="V205" s="55"/>
      <c r="W205" s="78"/>
      <c r="Z205" s="55"/>
      <c r="AA205" s="78"/>
      <c r="AB205" s="55"/>
      <c r="AC205" s="55"/>
      <c r="AD205" s="55"/>
      <c r="AE205" s="78"/>
      <c r="AF205" s="55"/>
      <c r="AG205" s="55"/>
      <c r="AH205" s="55"/>
      <c r="AI205" s="55"/>
      <c r="AJ205" s="55"/>
      <c r="AK205" s="78"/>
      <c r="AL205" s="55"/>
      <c r="AM205" s="55"/>
      <c r="AN205" s="55"/>
      <c r="AO205" s="78"/>
      <c r="AP205" s="55"/>
      <c r="AQ205" s="55"/>
      <c r="AR205" s="55"/>
      <c r="AS205" s="78"/>
      <c r="AT205" s="55"/>
      <c r="AU205" s="55"/>
      <c r="AV205" s="55"/>
      <c r="AW205" s="78"/>
      <c r="AX205" s="55"/>
      <c r="AY205" s="55"/>
      <c r="AZ205" s="55"/>
      <c r="BA205" s="78"/>
      <c r="BB205" s="55"/>
      <c r="BC205" s="55"/>
      <c r="BD205" s="55"/>
      <c r="BE205" s="78"/>
      <c r="BF205" s="55"/>
      <c r="BG205" s="55"/>
    </row>
    <row r="206" spans="2:65" hidden="1" x14ac:dyDescent="0.25">
      <c r="G206" s="37"/>
      <c r="H206" s="56"/>
      <c r="I206" s="57"/>
      <c r="J206" s="57"/>
      <c r="K206" s="70"/>
      <c r="L206" s="57"/>
      <c r="M206" s="57"/>
      <c r="N206" s="57"/>
      <c r="O206" s="70"/>
      <c r="P206" s="57"/>
      <c r="Q206" s="57"/>
      <c r="R206" s="57"/>
      <c r="S206" s="70"/>
      <c r="T206" s="57"/>
      <c r="U206" s="57"/>
      <c r="V206" s="57"/>
      <c r="W206" s="70"/>
      <c r="Z206" s="57"/>
      <c r="AA206" s="70"/>
      <c r="AB206" s="57"/>
      <c r="AC206" s="57"/>
      <c r="AD206" s="57"/>
      <c r="AE206" s="70"/>
      <c r="AF206" s="57"/>
      <c r="AG206" s="57"/>
      <c r="AH206" s="57"/>
      <c r="AI206" s="57"/>
      <c r="AJ206" s="57"/>
      <c r="AK206" s="70"/>
      <c r="AL206" s="57"/>
      <c r="AM206" s="57"/>
      <c r="AN206" s="57"/>
      <c r="AO206" s="70"/>
      <c r="AP206" s="57"/>
      <c r="AQ206" s="57"/>
      <c r="AR206" s="57"/>
      <c r="AS206" s="70"/>
      <c r="AT206" s="57"/>
      <c r="AU206" s="57"/>
      <c r="AV206" s="57"/>
      <c r="AW206" s="70"/>
      <c r="AX206" s="57"/>
      <c r="AY206" s="57"/>
      <c r="AZ206" s="57"/>
      <c r="BA206" s="70"/>
      <c r="BB206" s="57"/>
      <c r="BC206" s="57"/>
      <c r="BD206" s="57"/>
      <c r="BE206" s="70"/>
      <c r="BF206" s="57"/>
      <c r="BG206" s="57"/>
    </row>
    <row r="207" spans="2:65" x14ac:dyDescent="0.25">
      <c r="G207" s="37"/>
      <c r="H207" s="55"/>
      <c r="I207" s="55"/>
      <c r="J207" s="55"/>
      <c r="K207" s="78"/>
      <c r="L207" s="55"/>
      <c r="M207" s="55"/>
      <c r="N207" s="55"/>
      <c r="O207" s="78"/>
      <c r="P207" s="55"/>
      <c r="Q207" s="55"/>
      <c r="R207" s="55"/>
      <c r="S207" s="78"/>
      <c r="T207" s="55"/>
      <c r="U207" s="55"/>
      <c r="V207" s="55"/>
      <c r="W207" s="78"/>
      <c r="Z207" s="55"/>
      <c r="AA207" s="78"/>
      <c r="AB207" s="55"/>
      <c r="AC207" s="55"/>
      <c r="AD207" s="55"/>
      <c r="AE207" s="78"/>
      <c r="AF207" s="55"/>
      <c r="AG207" s="55"/>
      <c r="AH207" s="55"/>
      <c r="AI207" s="55"/>
      <c r="AJ207" s="55"/>
      <c r="AK207" s="78"/>
      <c r="AL207" s="55"/>
      <c r="AM207" s="55"/>
      <c r="AN207" s="55"/>
      <c r="AO207" s="78"/>
      <c r="AP207" s="55"/>
      <c r="AQ207" s="55"/>
      <c r="AR207" s="55"/>
      <c r="AS207" s="78"/>
      <c r="AT207" s="55"/>
      <c r="AU207" s="55"/>
      <c r="AV207" s="55"/>
      <c r="AW207" s="78"/>
      <c r="AX207" s="55"/>
      <c r="AY207" s="55"/>
      <c r="AZ207" s="55"/>
      <c r="BA207" s="78"/>
      <c r="BB207" s="55"/>
      <c r="BC207" s="803"/>
      <c r="BD207" s="55"/>
      <c r="BE207" s="78"/>
      <c r="BF207" s="55"/>
      <c r="BG207" s="55"/>
    </row>
    <row r="208" spans="2:65" x14ac:dyDescent="0.25">
      <c r="D208" s="13" t="s">
        <v>3669</v>
      </c>
      <c r="F208" s="317"/>
      <c r="H208" s="13"/>
      <c r="I208" s="317"/>
      <c r="J208" s="25"/>
      <c r="AH208" s="109"/>
      <c r="BE208" s="317"/>
      <c r="BF208" s="43"/>
    </row>
    <row r="209" spans="4:59" s="13" customFormat="1" x14ac:dyDescent="0.25">
      <c r="D209" s="13" t="s">
        <v>3670</v>
      </c>
      <c r="F209" s="317"/>
      <c r="G209" s="25"/>
      <c r="H209" s="317">
        <f>4614798.95+5201.05</f>
        <v>4620000</v>
      </c>
      <c r="I209" s="25"/>
      <c r="J209" s="25"/>
      <c r="K209" s="71"/>
      <c r="O209" s="71"/>
      <c r="S209" s="71"/>
      <c r="W209" s="71"/>
      <c r="AA209" s="71"/>
      <c r="AE209" s="71"/>
      <c r="AK209" s="71"/>
      <c r="AO209" s="71"/>
      <c r="AS209" s="71"/>
      <c r="AW209" s="71"/>
      <c r="BA209" s="71"/>
      <c r="BE209" s="71"/>
      <c r="BF209" s="109"/>
      <c r="BG209" s="43"/>
    </row>
    <row r="210" spans="4:59" s="13" customFormat="1" x14ac:dyDescent="0.25">
      <c r="D210" s="13" t="s">
        <v>3671</v>
      </c>
      <c r="F210" s="317"/>
      <c r="G210" s="25"/>
      <c r="H210" s="317">
        <v>6360000</v>
      </c>
      <c r="I210" s="25"/>
      <c r="J210" s="25"/>
      <c r="K210" s="71"/>
      <c r="M210" s="43"/>
      <c r="O210" s="71"/>
      <c r="S210" s="71"/>
      <c r="W210" s="71"/>
      <c r="AA210" s="71"/>
      <c r="AE210" s="71"/>
      <c r="AK210" s="71"/>
      <c r="AO210" s="71"/>
      <c r="AS210" s="71"/>
      <c r="AW210" s="71"/>
      <c r="BA210" s="71"/>
      <c r="BE210" s="68"/>
      <c r="BF210" s="109"/>
      <c r="BG210" s="43"/>
    </row>
    <row r="211" spans="4:59" s="13" customFormat="1" x14ac:dyDescent="0.25">
      <c r="D211" s="13" t="s">
        <v>3672</v>
      </c>
      <c r="F211" s="317"/>
      <c r="G211" s="316"/>
      <c r="H211" s="317">
        <v>300000</v>
      </c>
      <c r="I211" s="316"/>
      <c r="J211" s="316"/>
      <c r="K211" s="71"/>
      <c r="L211" s="109"/>
      <c r="O211" s="71"/>
      <c r="S211" s="71"/>
      <c r="W211" s="71"/>
      <c r="AA211" s="71"/>
      <c r="AE211" s="71"/>
      <c r="AF211" s="43"/>
      <c r="AK211" s="71"/>
      <c r="AO211" s="71"/>
      <c r="AS211" s="71"/>
      <c r="AW211" s="71"/>
      <c r="BA211" s="71"/>
      <c r="BE211" s="71"/>
      <c r="BF211" s="43"/>
      <c r="BG211" s="109"/>
    </row>
    <row r="212" spans="4:59" s="13" customFormat="1" x14ac:dyDescent="0.25">
      <c r="F212" s="39"/>
      <c r="G212" s="25"/>
      <c r="H212" s="402">
        <f>SUM(H209:H211)</f>
        <v>11280000</v>
      </c>
      <c r="I212" s="109"/>
      <c r="J212" s="110"/>
      <c r="K212" s="71"/>
      <c r="L212" s="109"/>
      <c r="N212" s="109"/>
      <c r="O212" s="71"/>
      <c r="S212" s="71"/>
      <c r="W212" s="71"/>
      <c r="AA212" s="71"/>
      <c r="AE212" s="71"/>
      <c r="AK212" s="71"/>
      <c r="AO212" s="71"/>
      <c r="AS212" s="71"/>
      <c r="AW212" s="71"/>
      <c r="BA212" s="71"/>
      <c r="BE212" s="71"/>
      <c r="BF212" s="43"/>
      <c r="BG212" s="109"/>
    </row>
    <row r="213" spans="4:59" s="13" customFormat="1" x14ac:dyDescent="0.25">
      <c r="F213" s="39"/>
      <c r="G213" s="25"/>
      <c r="H213" s="40"/>
      <c r="I213" s="109"/>
      <c r="K213" s="71"/>
      <c r="L213" s="109"/>
      <c r="N213" s="109"/>
      <c r="O213" s="71"/>
      <c r="S213" s="71"/>
      <c r="W213" s="71"/>
      <c r="AA213" s="71"/>
      <c r="AE213" s="71"/>
      <c r="AF213" s="43"/>
      <c r="AH213" s="43"/>
      <c r="AI213" s="109"/>
      <c r="AK213" s="71"/>
      <c r="AO213" s="71"/>
      <c r="AS213" s="71"/>
      <c r="AW213" s="71"/>
      <c r="BA213" s="71"/>
      <c r="BE213" s="71"/>
      <c r="BF213" s="43"/>
      <c r="BG213" s="43"/>
    </row>
    <row r="214" spans="4:59" s="13" customFormat="1" x14ac:dyDescent="0.25">
      <c r="F214" s="39"/>
      <c r="G214" s="25"/>
      <c r="H214" s="40"/>
      <c r="I214" s="109"/>
      <c r="J214" s="110"/>
      <c r="K214" s="71"/>
      <c r="L214" s="109"/>
      <c r="N214" s="109"/>
      <c r="O214" s="71"/>
      <c r="S214" s="71"/>
      <c r="W214" s="71"/>
      <c r="AA214" s="71"/>
      <c r="AE214" s="71"/>
      <c r="AH214" s="109"/>
      <c r="AK214" s="71"/>
      <c r="AO214" s="71"/>
      <c r="AS214" s="71"/>
      <c r="AW214" s="71"/>
      <c r="BA214" s="71"/>
      <c r="BD214" s="43"/>
      <c r="BE214" s="71"/>
      <c r="BF214" s="109"/>
      <c r="BG214" s="43"/>
    </row>
    <row r="215" spans="4:59" s="13" customFormat="1" x14ac:dyDescent="0.25">
      <c r="F215" s="39"/>
      <c r="G215" s="25"/>
      <c r="H215" s="402"/>
      <c r="I215" s="109"/>
      <c r="J215" s="109"/>
      <c r="K215" s="71"/>
      <c r="L215" s="109"/>
      <c r="N215" s="109"/>
      <c r="O215" s="71"/>
      <c r="S215" s="71"/>
      <c r="W215" s="71"/>
      <c r="AA215" s="71"/>
      <c r="AE215" s="71"/>
      <c r="AF215" s="43"/>
      <c r="AI215" s="110"/>
      <c r="AK215" s="71"/>
      <c r="AO215" s="71"/>
      <c r="AS215" s="71"/>
      <c r="AW215" s="71"/>
      <c r="BA215" s="71"/>
      <c r="BE215" s="71"/>
      <c r="BF215" s="109"/>
    </row>
    <row r="216" spans="4:59" s="13" customFormat="1" x14ac:dyDescent="0.25">
      <c r="D216" s="109"/>
      <c r="F216" s="39"/>
      <c r="G216" s="25"/>
      <c r="H216" s="109"/>
      <c r="I216" s="109"/>
      <c r="J216" s="403"/>
      <c r="K216" s="71"/>
      <c r="L216" s="109"/>
      <c r="N216" s="109"/>
      <c r="O216" s="71"/>
      <c r="S216" s="71"/>
      <c r="W216" s="71"/>
      <c r="AA216" s="71"/>
      <c r="AE216" s="71"/>
      <c r="AI216" s="109"/>
      <c r="AK216" s="71"/>
      <c r="AO216" s="71"/>
      <c r="AS216" s="71"/>
      <c r="AW216" s="71"/>
      <c r="BA216" s="71"/>
      <c r="BE216" s="71"/>
      <c r="BF216" s="43"/>
    </row>
    <row r="217" spans="4:59" s="13" customFormat="1" x14ac:dyDescent="0.25">
      <c r="D217" s="109"/>
      <c r="F217" s="39"/>
      <c r="G217" s="25"/>
      <c r="H217" s="402"/>
      <c r="I217" s="110"/>
      <c r="J217" s="404"/>
      <c r="K217" s="71"/>
      <c r="L217" s="109"/>
      <c r="N217" s="109"/>
      <c r="O217" s="71"/>
      <c r="S217" s="71"/>
      <c r="W217" s="71"/>
      <c r="AA217" s="71"/>
      <c r="AE217" s="71"/>
      <c r="AI217" s="110"/>
      <c r="AK217" s="71"/>
      <c r="AO217" s="71"/>
      <c r="AS217" s="71"/>
      <c r="AW217" s="71"/>
      <c r="BA217" s="71"/>
      <c r="BE217" s="71"/>
      <c r="BF217" s="109"/>
      <c r="BG217" s="109"/>
    </row>
    <row r="218" spans="4:59" s="13" customFormat="1" x14ac:dyDescent="0.25">
      <c r="D218" s="109"/>
      <c r="F218" s="39"/>
      <c r="G218" s="25"/>
      <c r="H218" s="40"/>
      <c r="J218" s="109"/>
      <c r="K218" s="71"/>
      <c r="L218" s="109"/>
      <c r="N218" s="109"/>
      <c r="O218" s="71"/>
      <c r="S218" s="71"/>
      <c r="W218" s="71"/>
      <c r="AA218" s="71"/>
      <c r="AE218" s="71"/>
      <c r="AK218" s="71"/>
      <c r="AO218" s="71"/>
      <c r="AS218" s="71"/>
      <c r="AW218" s="71"/>
      <c r="BA218" s="71"/>
      <c r="BE218" s="71"/>
      <c r="BF218" s="110"/>
    </row>
    <row r="219" spans="4:59" s="13" customFormat="1" x14ac:dyDescent="0.25">
      <c r="D219" s="109"/>
      <c r="F219" s="39"/>
      <c r="G219" s="25"/>
      <c r="H219" s="40"/>
      <c r="I219" s="43"/>
      <c r="J219" s="110"/>
      <c r="K219" s="71"/>
      <c r="L219" s="109"/>
      <c r="N219" s="109"/>
      <c r="O219" s="71"/>
      <c r="S219" s="71"/>
      <c r="W219" s="71"/>
      <c r="AA219" s="71"/>
      <c r="AE219" s="71"/>
      <c r="AK219" s="71"/>
      <c r="AO219" s="71"/>
      <c r="AS219" s="71"/>
      <c r="AW219" s="71"/>
      <c r="BA219" s="71"/>
      <c r="BE219" s="71"/>
    </row>
    <row r="220" spans="4:59" s="13" customFormat="1" x14ac:dyDescent="0.25">
      <c r="D220" s="110"/>
      <c r="F220" s="39"/>
      <c r="G220" s="25"/>
      <c r="H220" s="40"/>
      <c r="K220" s="71"/>
      <c r="L220" s="109"/>
      <c r="N220" s="109"/>
      <c r="O220" s="71"/>
      <c r="P220" s="110"/>
      <c r="S220" s="71"/>
      <c r="W220" s="71"/>
      <c r="AA220" s="71"/>
      <c r="AE220" s="71"/>
      <c r="AK220" s="71"/>
      <c r="AO220" s="71"/>
      <c r="AS220" s="71"/>
      <c r="AW220" s="71"/>
      <c r="BA220" s="71"/>
      <c r="BE220" s="71"/>
    </row>
    <row r="221" spans="4:59" s="13" customFormat="1" x14ac:dyDescent="0.25">
      <c r="F221" s="39"/>
      <c r="G221" s="25"/>
      <c r="H221" s="40"/>
      <c r="J221" s="110"/>
      <c r="K221" s="71"/>
      <c r="L221" s="109"/>
      <c r="N221" s="109"/>
      <c r="O221" s="71"/>
      <c r="S221" s="71"/>
      <c r="W221" s="71"/>
      <c r="AA221" s="71"/>
      <c r="AE221" s="71"/>
      <c r="AK221" s="71"/>
      <c r="AO221" s="71"/>
      <c r="AS221" s="71"/>
      <c r="AW221" s="71"/>
      <c r="BA221" s="71"/>
      <c r="BE221" s="71"/>
    </row>
    <row r="222" spans="4:59" s="13" customFormat="1" x14ac:dyDescent="0.25">
      <c r="D222" s="110"/>
      <c r="F222" s="39"/>
      <c r="G222" s="25"/>
      <c r="H222" s="40"/>
      <c r="K222" s="71"/>
      <c r="L222" s="110"/>
      <c r="O222" s="71"/>
      <c r="S222" s="71"/>
      <c r="W222" s="71"/>
      <c r="AA222" s="71"/>
      <c r="AE222" s="71"/>
      <c r="AK222" s="71"/>
      <c r="AO222" s="71"/>
      <c r="AS222" s="71"/>
      <c r="AW222" s="71"/>
      <c r="BA222" s="71"/>
      <c r="BE222" s="71"/>
    </row>
    <row r="224" spans="4:59" s="13" customFormat="1" x14ac:dyDescent="0.25">
      <c r="F224" s="39"/>
      <c r="G224" s="25"/>
      <c r="H224" s="40"/>
      <c r="K224" s="71"/>
      <c r="L224" s="110"/>
      <c r="O224" s="71"/>
      <c r="S224" s="71"/>
      <c r="W224" s="71"/>
      <c r="AA224" s="71"/>
      <c r="AE224" s="71"/>
      <c r="AK224" s="71"/>
      <c r="AO224" s="71"/>
      <c r="AS224" s="71"/>
      <c r="AW224" s="71"/>
      <c r="BA224" s="71"/>
      <c r="BE224" s="71"/>
    </row>
  </sheetData>
  <mergeCells count="27">
    <mergeCell ref="H5:K5"/>
    <mergeCell ref="B5:B6"/>
    <mergeCell ref="C5:C6"/>
    <mergeCell ref="D5:D6"/>
    <mergeCell ref="F5:F6"/>
    <mergeCell ref="G5:G6"/>
    <mergeCell ref="P5:S5"/>
    <mergeCell ref="T5:W5"/>
    <mergeCell ref="X5:AA5"/>
    <mergeCell ref="AB5:AE5"/>
    <mergeCell ref="AF5:AF6"/>
    <mergeCell ref="D202:F202"/>
    <mergeCell ref="D203:F203"/>
    <mergeCell ref="D204:F204"/>
    <mergeCell ref="BF5:BF6"/>
    <mergeCell ref="BG5:BG6"/>
    <mergeCell ref="D7:G7"/>
    <mergeCell ref="D45:G45"/>
    <mergeCell ref="D196:G196"/>
    <mergeCell ref="D198:G198"/>
    <mergeCell ref="AH5:AK5"/>
    <mergeCell ref="AL5:AO5"/>
    <mergeCell ref="AP5:AS5"/>
    <mergeCell ref="AT5:AW5"/>
    <mergeCell ref="AX5:BA5"/>
    <mergeCell ref="BB5:BE5"/>
    <mergeCell ref="L5:O5"/>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CQ240"/>
  <sheetViews>
    <sheetView showGridLines="0" topLeftCell="B1" zoomScale="80" zoomScaleNormal="80" workbookViewId="0">
      <pane xSplit="1" ySplit="8" topLeftCell="C27" activePane="bottomRight" state="frozen"/>
      <selection activeCell="A9" sqref="A9"/>
      <selection pane="topRight" activeCell="A9" sqref="A9"/>
      <selection pane="bottomLeft" activeCell="A9" sqref="A9"/>
      <selection pane="bottomRight" activeCell="A9" sqref="A9"/>
    </sheetView>
  </sheetViews>
  <sheetFormatPr defaultColWidth="9.140625" defaultRowHeight="18" customHeight="1" outlineLevelRow="1" x14ac:dyDescent="0.25"/>
  <cols>
    <col min="1" max="1" width="25" style="38" customWidth="1"/>
    <col min="2" max="2" width="43.7109375" style="13" customWidth="1"/>
    <col min="3" max="3" width="18" style="40" customWidth="1"/>
    <col min="4" max="4" width="17.5703125" style="13" customWidth="1"/>
    <col min="5" max="5" width="17.28515625" style="13" customWidth="1"/>
    <col min="6" max="6" width="13.7109375" style="71" customWidth="1"/>
    <col min="7" max="7" width="16.28515625" style="13" customWidth="1"/>
    <col min="8" max="8" width="14.7109375" style="13" customWidth="1"/>
    <col min="9" max="9" width="15.140625" style="13" customWidth="1"/>
    <col min="10" max="10" width="9.7109375" style="71" customWidth="1"/>
    <col min="11" max="13" width="14.7109375" style="13" customWidth="1"/>
    <col min="14" max="14" width="10.85546875" style="71" customWidth="1"/>
    <col min="15" max="15" width="14.7109375" style="13" customWidth="1"/>
    <col min="16" max="16" width="16" style="13" customWidth="1"/>
    <col min="17" max="17" width="14.7109375" style="13" customWidth="1"/>
    <col min="18" max="18" width="13.7109375" style="71" customWidth="1"/>
    <col min="19" max="21" width="14.7109375" style="13" customWidth="1"/>
    <col min="22" max="22" width="9.7109375" style="71" customWidth="1"/>
    <col min="23" max="25" width="14.7109375" style="13" customWidth="1"/>
    <col min="26" max="26" width="10.7109375" style="71" customWidth="1"/>
    <col min="27" max="27" width="14.7109375" style="13" customWidth="1"/>
    <col min="28" max="28" width="17.42578125" style="13" customWidth="1"/>
    <col min="29" max="29" width="14.7109375" style="13" customWidth="1"/>
    <col min="30" max="30" width="10.42578125" style="71" customWidth="1"/>
    <col min="31" max="31" width="16.5703125" style="13" customWidth="1"/>
    <col min="32" max="32" width="20.28515625" style="13" customWidth="1"/>
    <col min="33" max="33" width="15.42578125" style="13" customWidth="1"/>
    <col min="34" max="34" width="10.42578125" style="71" customWidth="1"/>
    <col min="35" max="35" width="14.7109375" style="13" customWidth="1"/>
    <col min="36" max="36" width="16.28515625" style="13" bestFit="1" customWidth="1"/>
    <col min="37" max="37" width="14.7109375" style="13" customWidth="1"/>
    <col min="38" max="38" width="11" style="71" customWidth="1"/>
    <col min="39" max="41" width="14.7109375" style="13" customWidth="1"/>
    <col min="42" max="42" width="11.140625" style="71" customWidth="1"/>
    <col min="43" max="45" width="14.7109375" style="13" customWidth="1"/>
    <col min="46" max="46" width="9.7109375" style="71" customWidth="1"/>
    <col min="47" max="49" width="14.7109375" style="13" customWidth="1"/>
    <col min="50" max="50" width="12.7109375" style="71" bestFit="1" customWidth="1"/>
    <col min="51" max="51" width="15.7109375" style="13" bestFit="1" customWidth="1"/>
    <col min="52" max="52" width="14.7109375" style="13" customWidth="1"/>
    <col min="53" max="53" width="17" style="13" customWidth="1"/>
    <col min="54" max="54" width="17.42578125" style="13" customWidth="1"/>
    <col min="55" max="55" width="24.42578125" style="13" bestFit="1" customWidth="1"/>
    <col min="56" max="56" width="18.140625" style="13" customWidth="1"/>
    <col min="57" max="57" width="13" style="13" customWidth="1"/>
    <col min="58" max="58" width="14.28515625" style="13" bestFit="1" customWidth="1"/>
    <col min="59" max="16384" width="9.140625" style="13"/>
  </cols>
  <sheetData>
    <row r="1" spans="1:57" ht="18" customHeight="1" x14ac:dyDescent="0.25">
      <c r="P1" s="109"/>
    </row>
    <row r="2" spans="1:57" ht="18" customHeight="1" x14ac:dyDescent="0.25">
      <c r="C2" s="109"/>
      <c r="D2" s="109"/>
      <c r="E2" s="362"/>
      <c r="F2" s="365"/>
      <c r="P2" s="109"/>
      <c r="AA2" s="109"/>
      <c r="AB2" s="109"/>
      <c r="AC2" s="43"/>
    </row>
    <row r="3" spans="1:57" ht="18" customHeight="1" x14ac:dyDescent="0.25">
      <c r="C3" s="109"/>
      <c r="D3" s="109"/>
      <c r="E3" s="109"/>
      <c r="G3" s="110"/>
      <c r="P3" s="109"/>
      <c r="AB3" s="43"/>
      <c r="AC3" s="43"/>
      <c r="AE3" s="43"/>
      <c r="AJ3" s="109"/>
      <c r="AN3" s="43"/>
    </row>
    <row r="4" spans="1:57" ht="18" customHeight="1" thickBot="1" x14ac:dyDescent="0.3">
      <c r="C4" s="109"/>
      <c r="D4" s="109"/>
      <c r="E4" s="109"/>
      <c r="I4" s="109"/>
      <c r="P4" s="109"/>
      <c r="AA4" s="43"/>
      <c r="AJ4" s="321"/>
    </row>
    <row r="5" spans="1:57" s="11" customFormat="1" ht="18" customHeight="1" thickBot="1" x14ac:dyDescent="0.3">
      <c r="A5" s="2697" t="s">
        <v>0</v>
      </c>
      <c r="B5" s="2699" t="s">
        <v>145</v>
      </c>
      <c r="C5" s="2660" t="s">
        <v>3685</v>
      </c>
      <c r="D5" s="2661"/>
      <c r="E5" s="2661"/>
      <c r="F5" s="2662"/>
      <c r="G5" s="2660" t="s">
        <v>3686</v>
      </c>
      <c r="H5" s="2661"/>
      <c r="I5" s="2661"/>
      <c r="J5" s="2662"/>
      <c r="K5" s="2660" t="s">
        <v>3687</v>
      </c>
      <c r="L5" s="2661"/>
      <c r="M5" s="2661"/>
      <c r="N5" s="2662"/>
      <c r="O5" s="2660" t="s">
        <v>3688</v>
      </c>
      <c r="P5" s="2661"/>
      <c r="Q5" s="2661"/>
      <c r="R5" s="2662"/>
      <c r="S5" s="2660" t="s">
        <v>3689</v>
      </c>
      <c r="T5" s="2661"/>
      <c r="U5" s="2661"/>
      <c r="V5" s="2662"/>
      <c r="W5" s="2660" t="s">
        <v>3690</v>
      </c>
      <c r="X5" s="2661"/>
      <c r="Y5" s="2661"/>
      <c r="Z5" s="2662"/>
      <c r="AA5" s="2660" t="s">
        <v>3691</v>
      </c>
      <c r="AB5" s="2661"/>
      <c r="AC5" s="2661"/>
      <c r="AD5" s="2662"/>
      <c r="AE5" s="2660" t="s">
        <v>3692</v>
      </c>
      <c r="AF5" s="2661"/>
      <c r="AG5" s="2661"/>
      <c r="AH5" s="2662"/>
      <c r="AI5" s="2660" t="s">
        <v>3693</v>
      </c>
      <c r="AJ5" s="2661"/>
      <c r="AK5" s="2661"/>
      <c r="AL5" s="2662"/>
      <c r="AM5" s="2660" t="s">
        <v>3694</v>
      </c>
      <c r="AN5" s="2661"/>
      <c r="AO5" s="2661"/>
      <c r="AP5" s="2662"/>
      <c r="AQ5" s="2660" t="s">
        <v>3695</v>
      </c>
      <c r="AR5" s="2661"/>
      <c r="AS5" s="2661"/>
      <c r="AT5" s="2662"/>
      <c r="AU5" s="2660" t="s">
        <v>3696</v>
      </c>
      <c r="AV5" s="2661"/>
      <c r="AW5" s="2661"/>
      <c r="AX5" s="2662"/>
      <c r="AY5" s="2683" t="s">
        <v>162</v>
      </c>
      <c r="AZ5" s="2683" t="s">
        <v>163</v>
      </c>
    </row>
    <row r="6" spans="1:57" s="11" customFormat="1" ht="18" customHeight="1" thickBot="1" x14ac:dyDescent="0.3">
      <c r="A6" s="2698"/>
      <c r="B6" s="2700"/>
      <c r="C6" s="228" t="s">
        <v>4</v>
      </c>
      <c r="D6" s="199" t="s">
        <v>5</v>
      </c>
      <c r="E6" s="199" t="s">
        <v>6</v>
      </c>
      <c r="F6" s="225" t="s">
        <v>158</v>
      </c>
      <c r="G6" s="226" t="s">
        <v>4</v>
      </c>
      <c r="H6" s="197" t="s">
        <v>5</v>
      </c>
      <c r="I6" s="197" t="s">
        <v>6</v>
      </c>
      <c r="J6" s="227" t="s">
        <v>158</v>
      </c>
      <c r="K6" s="226" t="s">
        <v>4</v>
      </c>
      <c r="L6" s="197" t="s">
        <v>5</v>
      </c>
      <c r="M6" s="197" t="s">
        <v>6</v>
      </c>
      <c r="N6" s="227" t="s">
        <v>158</v>
      </c>
      <c r="O6" s="226" t="s">
        <v>4</v>
      </c>
      <c r="P6" s="197" t="s">
        <v>5</v>
      </c>
      <c r="Q6" s="197" t="s">
        <v>6</v>
      </c>
      <c r="R6" s="227" t="s">
        <v>158</v>
      </c>
      <c r="S6" s="226" t="s">
        <v>4</v>
      </c>
      <c r="T6" s="197" t="s">
        <v>5</v>
      </c>
      <c r="U6" s="197" t="s">
        <v>6</v>
      </c>
      <c r="V6" s="227" t="s">
        <v>158</v>
      </c>
      <c r="W6" s="226" t="s">
        <v>4</v>
      </c>
      <c r="X6" s="197" t="s">
        <v>5</v>
      </c>
      <c r="Y6" s="197" t="s">
        <v>6</v>
      </c>
      <c r="Z6" s="227" t="s">
        <v>158</v>
      </c>
      <c r="AA6" s="226" t="s">
        <v>4</v>
      </c>
      <c r="AB6" s="197" t="s">
        <v>5</v>
      </c>
      <c r="AC6" s="197" t="s">
        <v>6</v>
      </c>
      <c r="AD6" s="227" t="s">
        <v>158</v>
      </c>
      <c r="AE6" s="226" t="s">
        <v>4</v>
      </c>
      <c r="AF6" s="197" t="s">
        <v>5</v>
      </c>
      <c r="AG6" s="197" t="s">
        <v>6</v>
      </c>
      <c r="AH6" s="227" t="s">
        <v>158</v>
      </c>
      <c r="AI6" s="226" t="s">
        <v>4</v>
      </c>
      <c r="AJ6" s="197" t="s">
        <v>5</v>
      </c>
      <c r="AK6" s="197" t="s">
        <v>6</v>
      </c>
      <c r="AL6" s="227" t="s">
        <v>158</v>
      </c>
      <c r="AM6" s="226" t="s">
        <v>4</v>
      </c>
      <c r="AN6" s="197" t="s">
        <v>5</v>
      </c>
      <c r="AO6" s="197" t="s">
        <v>6</v>
      </c>
      <c r="AP6" s="227" t="s">
        <v>158</v>
      </c>
      <c r="AQ6" s="200" t="s">
        <v>4</v>
      </c>
      <c r="AR6" s="197" t="s">
        <v>5</v>
      </c>
      <c r="AS6" s="197" t="s">
        <v>6</v>
      </c>
      <c r="AT6" s="198" t="s">
        <v>158</v>
      </c>
      <c r="AU6" s="226" t="s">
        <v>4</v>
      </c>
      <c r="AV6" s="197" t="s">
        <v>5</v>
      </c>
      <c r="AW6" s="198" t="s">
        <v>6</v>
      </c>
      <c r="AX6" s="227" t="s">
        <v>158</v>
      </c>
      <c r="AY6" s="2684"/>
      <c r="AZ6" s="2684"/>
    </row>
    <row r="7" spans="1:57" s="1" customFormat="1" ht="18" customHeight="1" thickBot="1" x14ac:dyDescent="0.3">
      <c r="A7" s="58"/>
      <c r="B7" s="1085" t="s">
        <v>139</v>
      </c>
      <c r="C7" s="218">
        <f>SUM(C8+C15+C19+C42)</f>
        <v>16524674.986666663</v>
      </c>
      <c r="D7" s="80">
        <f>SUM(D8+D15+D19+D42)</f>
        <v>18029409.669999998</v>
      </c>
      <c r="E7" s="80">
        <f>D7-C7</f>
        <v>1504734.6833333354</v>
      </c>
      <c r="F7" s="244">
        <f>((D7/C7)-1)*100</f>
        <v>9.1059865597808543</v>
      </c>
      <c r="G7" s="218">
        <f>SUM(G8+G15+G19+G42)</f>
        <v>16524925.425666664</v>
      </c>
      <c r="H7" s="80">
        <f>SUM(H8+H15+H19+H42)</f>
        <v>17266812.57</v>
      </c>
      <c r="I7" s="80">
        <f>H7-G7</f>
        <v>741887.1443333365</v>
      </c>
      <c r="J7" s="244">
        <f>((H7/G7)-1)*100</f>
        <v>4.4895037358597234</v>
      </c>
      <c r="K7" s="218">
        <f>SUM(K8+K15+K19+K42)</f>
        <v>16524925.425666664</v>
      </c>
      <c r="L7" s="80">
        <f>SUM(L8+L15+L19+L42)</f>
        <v>18872314.329999998</v>
      </c>
      <c r="M7" s="80">
        <f t="shared" ref="M7:M13" si="0">L7-K7</f>
        <v>2347388.9043333344</v>
      </c>
      <c r="N7" s="244">
        <f>((L7/K7)-1)*100</f>
        <v>14.205140682131901</v>
      </c>
      <c r="O7" s="218">
        <f>SUM(O8+O15+O19+O42)</f>
        <v>16527089.085666662</v>
      </c>
      <c r="P7" s="80">
        <f>SUM(P8+P15+P19+P42)</f>
        <v>24691796.59</v>
      </c>
      <c r="Q7" s="80">
        <f>P7-O7</f>
        <v>8164707.5043333378</v>
      </c>
      <c r="R7" s="244">
        <f>((P7/O7)-1)*100</f>
        <v>49.401969469713137</v>
      </c>
      <c r="S7" s="218">
        <f>SUM(S8+S15+S19+S42)</f>
        <v>16730869.407499997</v>
      </c>
      <c r="T7" s="80">
        <f>SUM(T8+T15+T19+T42)</f>
        <v>25932599.300000001</v>
      </c>
      <c r="U7" s="80">
        <f t="shared" ref="U7:U35" si="1">T7-S7</f>
        <v>9201729.8925000038</v>
      </c>
      <c r="V7" s="244">
        <f>((T7/S7)-1)*100</f>
        <v>54.998516026759006</v>
      </c>
      <c r="W7" s="218">
        <f>SUM(W8+W15+W19+W42)</f>
        <v>16530869.407499997</v>
      </c>
      <c r="X7" s="80">
        <f>SUM(X8+X15+X19+X42)</f>
        <v>24412454.690000001</v>
      </c>
      <c r="Y7" s="80">
        <f>X7-W7</f>
        <v>7881585.2825000044</v>
      </c>
      <c r="Z7" s="244">
        <f>((X7/W7)-1)*100</f>
        <v>47.677984068546067</v>
      </c>
      <c r="AA7" s="104">
        <f>SUM(AA8+AA15+AA19+AA42)</f>
        <v>16553810.826166665</v>
      </c>
      <c r="AB7" s="80">
        <f>SUM(AB8+AB15+AB19+AB42)</f>
        <v>24536845.68</v>
      </c>
      <c r="AC7" s="80">
        <f>AB7-AA7</f>
        <v>7983034.8538333345</v>
      </c>
      <c r="AD7" s="244">
        <f>((AB7/AA7)-1)*100</f>
        <v>48.224755844222436</v>
      </c>
      <c r="AE7" s="218">
        <f>SUM(AE8+AE15+AE19+AE42)</f>
        <v>16616986.701166663</v>
      </c>
      <c r="AF7" s="80">
        <f>SUM(AF8+AF15+AF19+AF42)</f>
        <v>26040985.310000002</v>
      </c>
      <c r="AG7" s="42">
        <f t="shared" ref="AG7:AG20" si="2">AF7-AE7</f>
        <v>9423998.6088333391</v>
      </c>
      <c r="AH7" s="244">
        <f>((AF7/AE7)-1)*100</f>
        <v>56.713041770513598</v>
      </c>
      <c r="AI7" s="574">
        <f>SUM(AI8+AI15+AI19+AI42)</f>
        <v>16662900.762833329</v>
      </c>
      <c r="AJ7" s="80">
        <f>SUM(AJ8+AJ15+AJ19+AJ42)</f>
        <v>21659389.109999999</v>
      </c>
      <c r="AK7" s="42">
        <f t="shared" ref="AK7:AK20" si="3">AJ7-AI7</f>
        <v>4996488.3471666705</v>
      </c>
      <c r="AL7" s="244">
        <f>((AJ7/AI7)-1)*100</f>
        <v>29.985705479992774</v>
      </c>
      <c r="AM7" s="574">
        <f>SUM(AM8+AM15+AM19+AM42)</f>
        <v>16673355.311999995</v>
      </c>
      <c r="AN7" s="80">
        <f>SUM(AN8+AN15+AN19+AN42)</f>
        <v>24857278.760000005</v>
      </c>
      <c r="AO7" s="42">
        <f t="shared" ref="AO7:AO20" si="4">AN7-AM7</f>
        <v>8183923.4480000101</v>
      </c>
      <c r="AP7" s="244">
        <f>((AN7/AM7)-1)*100</f>
        <v>49.083842423186127</v>
      </c>
      <c r="AQ7" s="51">
        <f>SUM(AQ8+AQ15+AQ19+AQ42)</f>
        <v>16683140.306999994</v>
      </c>
      <c r="AR7" s="80">
        <f>SUM(AR8+AR15+AR19)</f>
        <v>0</v>
      </c>
      <c r="AS7" s="42">
        <f>AR7-AQ7</f>
        <v>-16683140.306999994</v>
      </c>
      <c r="AT7" s="244">
        <f>((AR7/AQ7)-1)*100</f>
        <v>-100</v>
      </c>
      <c r="AU7" s="574">
        <f>SUM(AU8+AU15+AU19+AU42)</f>
        <v>16887587.032666661</v>
      </c>
      <c r="AV7" s="42">
        <f>SUM(AV8+AV15+AV19)</f>
        <v>0</v>
      </c>
      <c r="AW7" s="42">
        <f t="shared" ref="AW7:AW40" si="5">AV7-AU7</f>
        <v>-16887587.032666661</v>
      </c>
      <c r="AX7" s="244">
        <f>((AV7/AU7)-1)*100</f>
        <v>-100</v>
      </c>
      <c r="AY7" s="574">
        <f>C7+G7+K7+O7+S7+W7+AA7+AE7+AI7+AM7+AQ7+AU7</f>
        <v>199441134.68049994</v>
      </c>
      <c r="AZ7" s="59">
        <f t="shared" ref="AZ7:AZ20" si="6">SUM(D7+H7+L7+P7+T7+X7+AB7+AF7+AJ7+AN7+AR7+AV7)</f>
        <v>226299886.00999999</v>
      </c>
      <c r="BA7" s="398"/>
      <c r="BB7" s="399"/>
      <c r="BC7" s="398"/>
      <c r="BD7" s="2"/>
      <c r="BE7" s="2"/>
    </row>
    <row r="8" spans="1:57" s="119" customFormat="1" ht="18" customHeight="1" thickBot="1" x14ac:dyDescent="0.3">
      <c r="A8" s="376"/>
      <c r="B8" s="378" t="s">
        <v>161</v>
      </c>
      <c r="C8" s="4">
        <f>SUM(C9:C14)</f>
        <v>15523760.306666663</v>
      </c>
      <c r="D8" s="115">
        <f>SUM(D9:D14)</f>
        <v>16913262.029999997</v>
      </c>
      <c r="E8" s="115">
        <f>D8-C8</f>
        <v>1389501.7233333346</v>
      </c>
      <c r="F8" s="234">
        <f>((D8/C8)-1)*100</f>
        <v>8.9508063502926838</v>
      </c>
      <c r="G8" s="4">
        <f>SUM(G9:G14)</f>
        <v>15524010.745666664</v>
      </c>
      <c r="H8" s="115">
        <f>SUM(H9:H14)</f>
        <v>15723970.57</v>
      </c>
      <c r="I8" s="115">
        <f t="shared" ref="I8:I18" si="7">H8-G8</f>
        <v>199959.8243333362</v>
      </c>
      <c r="J8" s="241">
        <f t="shared" ref="J8:J21" si="8">((H8/G8)-1)*100</f>
        <v>1.288068061851555</v>
      </c>
      <c r="K8" s="4">
        <f>SUM(K9:K14)</f>
        <v>15524010.745666664</v>
      </c>
      <c r="L8" s="115">
        <f>SUM(L9:L14)</f>
        <v>17647669.629999999</v>
      </c>
      <c r="M8" s="115">
        <f t="shared" si="0"/>
        <v>2123658.8843333349</v>
      </c>
      <c r="N8" s="241">
        <f>((L8/K8)-1)*100</f>
        <v>13.679833898118932</v>
      </c>
      <c r="O8" s="4">
        <f>SUM(O9:O14)</f>
        <v>15526174.405666662</v>
      </c>
      <c r="P8" s="115">
        <f>SUM(P9:P14)</f>
        <v>22838086.279999997</v>
      </c>
      <c r="Q8" s="115">
        <f>P8-O8</f>
        <v>7311911.8743333351</v>
      </c>
      <c r="R8" s="241">
        <f t="shared" ref="R8:R21" si="9">((P8/O8)-1)*100</f>
        <v>47.094098541522712</v>
      </c>
      <c r="S8" s="115">
        <f>SUM(S9:S14)</f>
        <v>15529954.727499997</v>
      </c>
      <c r="T8" s="718">
        <f>SUM(T9:T14)</f>
        <v>24337728.77</v>
      </c>
      <c r="U8" s="115">
        <f t="shared" si="1"/>
        <v>8807774.0425000023</v>
      </c>
      <c r="V8" s="241">
        <f t="shared" ref="V8:V21" si="10">((T8/S8)-1)*100</f>
        <v>56.714743842127561</v>
      </c>
      <c r="W8" s="4">
        <f>SUM(W9:W14)</f>
        <v>15529954.727499997</v>
      </c>
      <c r="X8" s="115">
        <f>SUM(X9:X14)</f>
        <v>22927463.27</v>
      </c>
      <c r="Y8" s="115">
        <f>X8-W8</f>
        <v>7397508.5425000023</v>
      </c>
      <c r="Z8" s="241">
        <f t="shared" ref="Z8:Z21" si="11">((X8/W8)-1)*100</f>
        <v>47.6338062299738</v>
      </c>
      <c r="AA8" s="4">
        <f>SUM(AA9:AA14)</f>
        <v>15552895.846166665</v>
      </c>
      <c r="AB8" s="115">
        <f>SUM(AB9:AB14)</f>
        <v>22813741.73</v>
      </c>
      <c r="AC8" s="115">
        <f>AB8-AA8</f>
        <v>7260845.8838333357</v>
      </c>
      <c r="AD8" s="1086">
        <f t="shared" ref="AD8:AD30" si="12">((AB8/AA8)-1)*100</f>
        <v>46.684848633014674</v>
      </c>
      <c r="AE8" s="4">
        <f>SUM(AE9:AE14)</f>
        <v>15616072.021166664</v>
      </c>
      <c r="AF8" s="115">
        <f>SUM(AF9:AF14)</f>
        <v>24641190.390000001</v>
      </c>
      <c r="AG8" s="117">
        <f t="shared" si="2"/>
        <v>9025118.368833337</v>
      </c>
      <c r="AH8" s="241">
        <f t="shared" ref="AH8:AH34" si="13">((AF8/AE8)-1)*100</f>
        <v>57.793780386004379</v>
      </c>
      <c r="AI8" s="4">
        <f>SUM(AI9:AI14)</f>
        <v>15661986.082833329</v>
      </c>
      <c r="AJ8" s="115">
        <f>SUM(AJ9:AJ14)</f>
        <v>20304068.989999998</v>
      </c>
      <c r="AK8" s="117">
        <f t="shared" si="3"/>
        <v>4642082.9071666691</v>
      </c>
      <c r="AL8" s="234">
        <f t="shared" ref="AL8:AL34" si="14">((AJ8/AI8)-1)*100</f>
        <v>29.639171447449609</v>
      </c>
      <c r="AM8" s="209">
        <f>SUM(AM9:AM14)</f>
        <v>15672440.631999996</v>
      </c>
      <c r="AN8" s="116">
        <f>SUM(AN9:AN14)</f>
        <v>23325480.630000003</v>
      </c>
      <c r="AO8" s="117">
        <f t="shared" si="4"/>
        <v>7653039.9980000071</v>
      </c>
      <c r="AP8" s="241">
        <f t="shared" ref="AP8:AP34" si="15">((AN8/AM8)-1)*100</f>
        <v>48.831194691999833</v>
      </c>
      <c r="AQ8" s="209">
        <f>SUM(AQ9:AQ14)</f>
        <v>15682224.626999995</v>
      </c>
      <c r="AR8" s="116">
        <f>SUM(AR9:AR14)</f>
        <v>0</v>
      </c>
      <c r="AS8" s="117">
        <f>AR8-AQ8</f>
        <v>-15682224.626999995</v>
      </c>
      <c r="AT8" s="234">
        <f t="shared" ref="AT8:AT37" si="16">((AR8/AQ8)-1)*100</f>
        <v>-100</v>
      </c>
      <c r="AU8" s="209">
        <f>SUM(AU9:AU14)</f>
        <v>15686672.352666661</v>
      </c>
      <c r="AV8" s="116">
        <f>SUM(AV9:AV14)</f>
        <v>0</v>
      </c>
      <c r="AW8" s="117">
        <f t="shared" si="5"/>
        <v>-15686672.352666661</v>
      </c>
      <c r="AX8" s="241">
        <f t="shared" ref="AX8:AX39" si="17">((AV8/AU8)-1)*100</f>
        <v>-100</v>
      </c>
      <c r="AY8" s="115">
        <f>C8+G8+K8+O8+S8+W8+AA8+AE8+AI8++AM8+AQ8+AU8</f>
        <v>187030157.22049999</v>
      </c>
      <c r="AZ8" s="115">
        <f t="shared" si="6"/>
        <v>211472662.28999996</v>
      </c>
      <c r="BA8" s="118"/>
      <c r="BC8" s="334"/>
    </row>
    <row r="9" spans="1:57" s="119" customFormat="1" ht="18" customHeight="1" x14ac:dyDescent="0.25">
      <c r="A9" s="431" t="s">
        <v>3708</v>
      </c>
      <c r="B9" s="381" t="s">
        <v>337</v>
      </c>
      <c r="C9" s="81">
        <v>2166281.8000000003</v>
      </c>
      <c r="D9" s="81">
        <f>1608260.35+798058.49+-240067.04</f>
        <v>2166251.7999999998</v>
      </c>
      <c r="E9" s="81">
        <f>D9-C9</f>
        <v>-30.000000000465661</v>
      </c>
      <c r="F9" s="985">
        <f>((D9/C9)-1)*100</f>
        <v>-1.3848613786282549E-3</v>
      </c>
      <c r="G9" s="81">
        <v>2166281.8000000003</v>
      </c>
      <c r="H9" s="81">
        <f>1561747.77+947583.88+-343079.85</f>
        <v>2166251.7999999998</v>
      </c>
      <c r="I9" s="81">
        <f t="shared" si="7"/>
        <v>-30.000000000465661</v>
      </c>
      <c r="J9" s="985">
        <f t="shared" si="8"/>
        <v>-1.3848613786282549E-3</v>
      </c>
      <c r="K9" s="81">
        <v>2166281.8000000003</v>
      </c>
      <c r="L9" s="81">
        <v>2177630.56</v>
      </c>
      <c r="M9" s="81">
        <f t="shared" si="0"/>
        <v>11348.759999999776</v>
      </c>
      <c r="N9" s="985">
        <f>((L9/K9)-1)*100</f>
        <v>0.52388198063610947</v>
      </c>
      <c r="O9" s="81">
        <v>2166281.8000000003</v>
      </c>
      <c r="P9" s="81">
        <v>2170044.7200000002</v>
      </c>
      <c r="Q9" s="81">
        <f>P9-O9</f>
        <v>3762.9199999999255</v>
      </c>
      <c r="R9" s="985">
        <f t="shared" si="9"/>
        <v>0.17370408595962505</v>
      </c>
      <c r="S9" s="81">
        <v>2166281.8000000003</v>
      </c>
      <c r="T9" s="81">
        <v>2026536.91</v>
      </c>
      <c r="U9" s="81">
        <f t="shared" si="1"/>
        <v>-139744.89000000036</v>
      </c>
      <c r="V9" s="985">
        <f t="shared" si="10"/>
        <v>-6.4509100339577348</v>
      </c>
      <c r="W9" s="81">
        <v>2166281.8000000003</v>
      </c>
      <c r="X9" s="81">
        <f>4443765.84-2421021.85</f>
        <v>2022743.9899999998</v>
      </c>
      <c r="Y9" s="81">
        <f>X9-W9</f>
        <v>-143537.81000000052</v>
      </c>
      <c r="Z9" s="985">
        <f t="shared" si="11"/>
        <v>-6.6259989812959885</v>
      </c>
      <c r="AA9" s="81">
        <v>2166281.8000000003</v>
      </c>
      <c r="AB9" s="81">
        <f>2515012.86-492269.87</f>
        <v>2022742.9899999998</v>
      </c>
      <c r="AC9" s="81">
        <f>AB9-AA9</f>
        <v>-143538.81000000052</v>
      </c>
      <c r="AD9" s="1087">
        <f t="shared" si="12"/>
        <v>-6.626045143341952</v>
      </c>
      <c r="AE9" s="81">
        <v>2166281.8000000003</v>
      </c>
      <c r="AF9" s="81">
        <v>2022743.99</v>
      </c>
      <c r="AG9" s="81">
        <f t="shared" si="2"/>
        <v>-143537.81000000029</v>
      </c>
      <c r="AH9" s="985">
        <f t="shared" si="13"/>
        <v>-6.625998981295977</v>
      </c>
      <c r="AI9" s="81">
        <v>2166281.8000000003</v>
      </c>
      <c r="AJ9" s="81">
        <v>1994017.57</v>
      </c>
      <c r="AK9" s="81">
        <f t="shared" si="3"/>
        <v>-172264.23000000021</v>
      </c>
      <c r="AL9" s="985">
        <f t="shared" si="14"/>
        <v>-7.9520693014177635</v>
      </c>
      <c r="AM9" s="81">
        <v>2166281.8000000003</v>
      </c>
      <c r="AN9" s="1016">
        <v>2022745</v>
      </c>
      <c r="AO9" s="81">
        <f t="shared" si="4"/>
        <v>-143536.80000000028</v>
      </c>
      <c r="AP9" s="985">
        <f t="shared" si="15"/>
        <v>-6.625952357629572</v>
      </c>
      <c r="AQ9" s="81">
        <v>2166281.8000000003</v>
      </c>
      <c r="AR9" s="81"/>
      <c r="AS9" s="81">
        <f>AR9-AQ9</f>
        <v>-2166281.8000000003</v>
      </c>
      <c r="AT9" s="985">
        <f t="shared" si="16"/>
        <v>-100</v>
      </c>
      <c r="AU9" s="81">
        <v>2166281.8000000003</v>
      </c>
      <c r="AV9" s="81"/>
      <c r="AW9" s="81">
        <f t="shared" si="5"/>
        <v>-2166281.8000000003</v>
      </c>
      <c r="AX9" s="985">
        <f t="shared" si="17"/>
        <v>-100</v>
      </c>
      <c r="AY9" s="81">
        <f>C9+G9+K9+O9+S9+W9+AA9+AE9+AI9+AM9+AQ9+AU9</f>
        <v>25995381.600000005</v>
      </c>
      <c r="AZ9" s="81">
        <f t="shared" si="6"/>
        <v>20791709.330000002</v>
      </c>
      <c r="BA9" s="118"/>
      <c r="BC9" s="334"/>
    </row>
    <row r="10" spans="1:57" s="119" customFormat="1" ht="18" customHeight="1" x14ac:dyDescent="0.25">
      <c r="A10" s="134">
        <v>54814</v>
      </c>
      <c r="B10" s="589" t="s">
        <v>3698</v>
      </c>
      <c r="C10" s="1088">
        <v>0</v>
      </c>
      <c r="D10" s="81">
        <v>288000</v>
      </c>
      <c r="E10" s="81">
        <f>D10-C10</f>
        <v>288000</v>
      </c>
      <c r="F10" s="986"/>
      <c r="G10" s="1088">
        <v>0</v>
      </c>
      <c r="H10" s="81">
        <v>288000</v>
      </c>
      <c r="I10" s="81">
        <f t="shared" si="7"/>
        <v>288000</v>
      </c>
      <c r="J10" s="986"/>
      <c r="K10" s="1088">
        <v>0</v>
      </c>
      <c r="L10" s="81">
        <v>288000</v>
      </c>
      <c r="M10" s="81">
        <f t="shared" si="0"/>
        <v>288000</v>
      </c>
      <c r="N10" s="986"/>
      <c r="O10" s="1088">
        <v>0</v>
      </c>
      <c r="P10" s="81">
        <v>288000</v>
      </c>
      <c r="Q10" s="81">
        <f>P10-O10</f>
        <v>288000</v>
      </c>
      <c r="R10" s="986"/>
      <c r="S10" s="1088">
        <v>0</v>
      </c>
      <c r="T10" s="81">
        <v>288000</v>
      </c>
      <c r="U10" s="81">
        <f t="shared" si="1"/>
        <v>288000</v>
      </c>
      <c r="V10" s="986"/>
      <c r="W10" s="1088">
        <v>0</v>
      </c>
      <c r="X10" s="81">
        <v>288000</v>
      </c>
      <c r="Y10" s="81">
        <f>X10-W10</f>
        <v>288000</v>
      </c>
      <c r="Z10" s="986"/>
      <c r="AA10" s="1088">
        <v>0</v>
      </c>
      <c r="AB10" s="81">
        <v>288000</v>
      </c>
      <c r="AC10" s="81">
        <f>AB10-AA10</f>
        <v>288000</v>
      </c>
      <c r="AD10" s="986"/>
      <c r="AE10" s="1088">
        <v>0</v>
      </c>
      <c r="AF10" s="81">
        <v>288000</v>
      </c>
      <c r="AG10" s="81">
        <f t="shared" si="2"/>
        <v>288000</v>
      </c>
      <c r="AH10" s="986"/>
      <c r="AI10" s="1088">
        <v>0</v>
      </c>
      <c r="AJ10" s="81">
        <v>288000</v>
      </c>
      <c r="AK10" s="81">
        <f t="shared" si="3"/>
        <v>288000</v>
      </c>
      <c r="AL10" s="986"/>
      <c r="AM10" s="1088">
        <v>0</v>
      </c>
      <c r="AN10" s="1016">
        <v>288000</v>
      </c>
      <c r="AO10" s="81">
        <f t="shared" si="4"/>
        <v>288000</v>
      </c>
      <c r="AP10" s="81"/>
      <c r="AQ10" s="1088">
        <v>0</v>
      </c>
      <c r="AR10" s="81"/>
      <c r="AS10" s="81"/>
      <c r="AT10" s="986"/>
      <c r="AU10" s="1088">
        <v>0</v>
      </c>
      <c r="AV10" s="81"/>
      <c r="AW10" s="1089">
        <f t="shared" si="5"/>
        <v>0</v>
      </c>
      <c r="AX10" s="986"/>
      <c r="AY10" s="81">
        <f>C10+G10+K10+O10+S10+W10+AA10+AE10+AI10+AM10+AQ10+AU10</f>
        <v>0</v>
      </c>
      <c r="AZ10" s="81">
        <f t="shared" si="6"/>
        <v>2880000</v>
      </c>
      <c r="BA10" s="118"/>
      <c r="BC10" s="334"/>
    </row>
    <row r="11" spans="1:57" s="119" customFormat="1" ht="18" customHeight="1" x14ac:dyDescent="0.25">
      <c r="A11" s="134">
        <v>53935</v>
      </c>
      <c r="B11" s="383" t="s">
        <v>3632</v>
      </c>
      <c r="C11" s="1088">
        <v>0</v>
      </c>
      <c r="D11" s="1090">
        <v>0</v>
      </c>
      <c r="E11" s="81">
        <f>D11-C11</f>
        <v>0</v>
      </c>
      <c r="F11" s="987"/>
      <c r="G11" s="1088">
        <v>0</v>
      </c>
      <c r="H11" s="81">
        <v>0</v>
      </c>
      <c r="I11" s="81">
        <f t="shared" si="7"/>
        <v>0</v>
      </c>
      <c r="J11" s="987"/>
      <c r="K11" s="1088">
        <v>0</v>
      </c>
      <c r="L11" s="81">
        <v>0</v>
      </c>
      <c r="M11" s="81">
        <f t="shared" si="0"/>
        <v>0</v>
      </c>
      <c r="N11" s="987"/>
      <c r="O11" s="1088">
        <v>0</v>
      </c>
      <c r="P11" s="81">
        <v>0</v>
      </c>
      <c r="Q11" s="81">
        <v>0</v>
      </c>
      <c r="R11" s="987"/>
      <c r="S11" s="1088">
        <v>0</v>
      </c>
      <c r="T11" s="81">
        <v>0</v>
      </c>
      <c r="U11" s="81">
        <f t="shared" si="1"/>
        <v>0</v>
      </c>
      <c r="V11" s="987"/>
      <c r="W11" s="1088">
        <v>0</v>
      </c>
      <c r="X11" s="81">
        <v>0</v>
      </c>
      <c r="Y11" s="81">
        <f>X11-W11</f>
        <v>0</v>
      </c>
      <c r="Z11" s="987"/>
      <c r="AA11" s="1088">
        <v>0</v>
      </c>
      <c r="AB11" s="81">
        <v>0</v>
      </c>
      <c r="AC11" s="81">
        <f>AB11-AA11</f>
        <v>0</v>
      </c>
      <c r="AD11" s="987"/>
      <c r="AE11" s="1088">
        <v>0</v>
      </c>
      <c r="AF11" s="81">
        <v>0</v>
      </c>
      <c r="AG11" s="81">
        <f t="shared" si="2"/>
        <v>0</v>
      </c>
      <c r="AH11" s="987"/>
      <c r="AI11" s="1088">
        <v>0</v>
      </c>
      <c r="AJ11" s="81">
        <v>0</v>
      </c>
      <c r="AK11" s="81">
        <f t="shared" si="3"/>
        <v>0</v>
      </c>
      <c r="AL11" s="987"/>
      <c r="AM11" s="1088">
        <v>0</v>
      </c>
      <c r="AN11" s="1016">
        <v>0</v>
      </c>
      <c r="AO11" s="81">
        <f t="shared" si="4"/>
        <v>0</v>
      </c>
      <c r="AP11" s="81"/>
      <c r="AQ11" s="1088">
        <v>0</v>
      </c>
      <c r="AR11" s="81">
        <v>0</v>
      </c>
      <c r="AS11" s="81">
        <f>AR11-AQ11</f>
        <v>0</v>
      </c>
      <c r="AT11" s="987"/>
      <c r="AU11" s="1088">
        <v>0</v>
      </c>
      <c r="AV11" s="81">
        <v>0</v>
      </c>
      <c r="AW11" s="1089">
        <f t="shared" si="5"/>
        <v>0</v>
      </c>
      <c r="AX11" s="987"/>
      <c r="AY11" s="598">
        <f>AA11+AE11+AI11+AM11+AQ11+AU11+W11+S11+O11+K11+G11+C11</f>
        <v>0</v>
      </c>
      <c r="AZ11" s="81">
        <f t="shared" si="6"/>
        <v>0</v>
      </c>
      <c r="BA11" s="118"/>
      <c r="BC11" s="334"/>
    </row>
    <row r="12" spans="1:57" s="119" customFormat="1" ht="18" customHeight="1" x14ac:dyDescent="0.25">
      <c r="A12" s="151" t="s">
        <v>3634</v>
      </c>
      <c r="B12" s="382" t="s">
        <v>7</v>
      </c>
      <c r="C12" s="81">
        <v>400000</v>
      </c>
      <c r="D12" s="81">
        <f>38992.53+352099.69</f>
        <v>391092.22</v>
      </c>
      <c r="E12" s="81">
        <f t="shared" ref="E12:E40" si="18">D12-C12</f>
        <v>-8907.7800000000279</v>
      </c>
      <c r="F12" s="987">
        <f t="shared" ref="F12:F19" si="19">((D12/C12)-1)*100</f>
        <v>-2.2269450000000024</v>
      </c>
      <c r="G12" s="81">
        <v>400000</v>
      </c>
      <c r="H12" s="81">
        <f>23787.98+238299.71</f>
        <v>262087.69</v>
      </c>
      <c r="I12" s="81">
        <f>H12-G12</f>
        <v>-137912.31</v>
      </c>
      <c r="J12" s="987">
        <f t="shared" si="8"/>
        <v>-34.478077500000005</v>
      </c>
      <c r="K12" s="81">
        <v>400000</v>
      </c>
      <c r="L12" s="81">
        <v>515415.92</v>
      </c>
      <c r="M12" s="81">
        <f t="shared" si="0"/>
        <v>115415.91999999998</v>
      </c>
      <c r="N12" s="987">
        <f>((L12/K12)-1)*100</f>
        <v>28.853979999999989</v>
      </c>
      <c r="O12" s="81">
        <v>400000</v>
      </c>
      <c r="P12" s="81">
        <v>359605.86</v>
      </c>
      <c r="Q12" s="81">
        <f>P12-O12</f>
        <v>-40394.140000000014</v>
      </c>
      <c r="R12" s="987">
        <f t="shared" si="9"/>
        <v>-10.098535000000009</v>
      </c>
      <c r="S12" s="81">
        <v>400000</v>
      </c>
      <c r="T12" s="81">
        <v>460248.78</v>
      </c>
      <c r="U12" s="81">
        <f t="shared" si="1"/>
        <v>60248.780000000028</v>
      </c>
      <c r="V12" s="987">
        <f t="shared" si="10"/>
        <v>15.062195000000012</v>
      </c>
      <c r="W12" s="81">
        <v>400000</v>
      </c>
      <c r="X12" s="81">
        <v>515828</v>
      </c>
      <c r="Y12" s="81">
        <f t="shared" ref="Y12:Y40" si="20">X12-W12</f>
        <v>115828</v>
      </c>
      <c r="Z12" s="987">
        <f t="shared" si="11"/>
        <v>28.957000000000011</v>
      </c>
      <c r="AA12" s="81">
        <v>400000</v>
      </c>
      <c r="AB12" s="81">
        <v>480524.85</v>
      </c>
      <c r="AC12" s="81">
        <f t="shared" ref="AC12:AC40" si="21">AB12-AA12</f>
        <v>80524.849999999977</v>
      </c>
      <c r="AD12" s="987">
        <f t="shared" si="12"/>
        <v>20.131212499999982</v>
      </c>
      <c r="AE12" s="81">
        <v>400000</v>
      </c>
      <c r="AF12" s="81">
        <v>217531</v>
      </c>
      <c r="AG12" s="81">
        <f t="shared" si="2"/>
        <v>-182469</v>
      </c>
      <c r="AH12" s="987">
        <f t="shared" si="13"/>
        <v>-45.617249999999999</v>
      </c>
      <c r="AI12" s="81">
        <v>400000</v>
      </c>
      <c r="AJ12" s="81">
        <v>424941.96</v>
      </c>
      <c r="AK12" s="81">
        <f t="shared" si="3"/>
        <v>24941.960000000021</v>
      </c>
      <c r="AL12" s="987">
        <f t="shared" si="14"/>
        <v>6.2354900000000102</v>
      </c>
      <c r="AM12" s="81">
        <v>400000</v>
      </c>
      <c r="AN12" s="1016">
        <v>1091725.79</v>
      </c>
      <c r="AO12" s="81">
        <f t="shared" si="4"/>
        <v>691725.79</v>
      </c>
      <c r="AP12" s="987">
        <f t="shared" si="15"/>
        <v>172.93144750000002</v>
      </c>
      <c r="AQ12" s="81">
        <v>400000</v>
      </c>
      <c r="AR12" s="81"/>
      <c r="AS12" s="81">
        <f>AR12-AQ12</f>
        <v>-400000</v>
      </c>
      <c r="AT12" s="987">
        <f t="shared" si="16"/>
        <v>-100</v>
      </c>
      <c r="AU12" s="81">
        <v>400000</v>
      </c>
      <c r="AV12" s="81"/>
      <c r="AW12" s="81">
        <f t="shared" si="5"/>
        <v>-400000</v>
      </c>
      <c r="AX12" s="987">
        <f t="shared" si="17"/>
        <v>-100</v>
      </c>
      <c r="AY12" s="81">
        <f>C12+G12+K12+O12+S12+W12+AA12+AE12+AI12+AM12+AQ12+AU12</f>
        <v>4800000</v>
      </c>
      <c r="AZ12" s="81">
        <f t="shared" si="6"/>
        <v>4719002.07</v>
      </c>
      <c r="BA12" s="118"/>
    </row>
    <row r="13" spans="1:57" s="119" customFormat="1" ht="18" customHeight="1" x14ac:dyDescent="0.25">
      <c r="A13" s="122">
        <v>4882</v>
      </c>
      <c r="B13" s="382" t="s">
        <v>8</v>
      </c>
      <c r="C13" s="81">
        <v>900000</v>
      </c>
      <c r="D13" s="81">
        <v>796604.23</v>
      </c>
      <c r="E13" s="125">
        <f t="shared" si="18"/>
        <v>-103395.77000000002</v>
      </c>
      <c r="F13" s="987">
        <f t="shared" si="19"/>
        <v>-11.488418888888896</v>
      </c>
      <c r="G13" s="81">
        <v>900000</v>
      </c>
      <c r="H13" s="81">
        <v>698572.99</v>
      </c>
      <c r="I13" s="125">
        <f>H13-G13</f>
        <v>-201427.01</v>
      </c>
      <c r="J13" s="987">
        <f t="shared" si="8"/>
        <v>-22.380778888888887</v>
      </c>
      <c r="K13" s="81">
        <v>900000</v>
      </c>
      <c r="L13" s="81">
        <v>854851.16</v>
      </c>
      <c r="M13" s="125">
        <f t="shared" si="0"/>
        <v>-45148.839999999967</v>
      </c>
      <c r="N13" s="987">
        <f>((L13/K13)-1)*100</f>
        <v>-5.0165377777777742</v>
      </c>
      <c r="O13" s="81">
        <v>900000</v>
      </c>
      <c r="P13" s="81">
        <v>749293.3</v>
      </c>
      <c r="Q13" s="125">
        <f>P13-O13</f>
        <v>-150706.69999999995</v>
      </c>
      <c r="R13" s="987">
        <f t="shared" si="9"/>
        <v>-16.745188888888883</v>
      </c>
      <c r="S13" s="81">
        <v>900000</v>
      </c>
      <c r="T13" s="81">
        <v>778059.86</v>
      </c>
      <c r="U13" s="125">
        <f t="shared" si="1"/>
        <v>-121940.14000000001</v>
      </c>
      <c r="V13" s="987">
        <f t="shared" si="10"/>
        <v>-13.548904444444442</v>
      </c>
      <c r="W13" s="81">
        <v>900000</v>
      </c>
      <c r="X13" s="81">
        <v>785936.33</v>
      </c>
      <c r="Y13" s="125">
        <f t="shared" si="20"/>
        <v>-114063.67000000004</v>
      </c>
      <c r="Z13" s="987">
        <f t="shared" si="11"/>
        <v>-12.673741111111115</v>
      </c>
      <c r="AA13" s="81">
        <v>900000</v>
      </c>
      <c r="AB13" s="81">
        <v>794832.72</v>
      </c>
      <c r="AC13" s="125">
        <f t="shared" si="21"/>
        <v>-105167.28000000003</v>
      </c>
      <c r="AD13" s="987">
        <f t="shared" si="12"/>
        <v>-11.685253333333334</v>
      </c>
      <c r="AE13" s="81">
        <v>900000</v>
      </c>
      <c r="AF13" s="81">
        <v>690927.12</v>
      </c>
      <c r="AG13" s="125">
        <f t="shared" si="2"/>
        <v>-209072.88</v>
      </c>
      <c r="AH13" s="987">
        <f t="shared" si="13"/>
        <v>-23.230320000000006</v>
      </c>
      <c r="AI13" s="81">
        <v>900000</v>
      </c>
      <c r="AJ13" s="81">
        <v>837798.42</v>
      </c>
      <c r="AK13" s="125">
        <f t="shared" si="3"/>
        <v>-62201.579999999958</v>
      </c>
      <c r="AL13" s="987">
        <f t="shared" si="14"/>
        <v>-6.9112866666666601</v>
      </c>
      <c r="AM13" s="81">
        <v>900000</v>
      </c>
      <c r="AN13" s="1016">
        <v>848276.7</v>
      </c>
      <c r="AO13" s="125">
        <f t="shared" si="4"/>
        <v>-51723.300000000047</v>
      </c>
      <c r="AP13" s="987">
        <f t="shared" si="15"/>
        <v>-5.7470333333333397</v>
      </c>
      <c r="AQ13" s="81">
        <v>900000</v>
      </c>
      <c r="AR13" s="81"/>
      <c r="AS13" s="125">
        <f t="shared" ref="AS13:AS20" si="22">AR13-AQ13</f>
        <v>-900000</v>
      </c>
      <c r="AT13" s="987">
        <f t="shared" si="16"/>
        <v>-100</v>
      </c>
      <c r="AU13" s="81">
        <v>900000</v>
      </c>
      <c r="AV13" s="81"/>
      <c r="AW13" s="125">
        <f t="shared" si="5"/>
        <v>-900000</v>
      </c>
      <c r="AX13" s="987">
        <f t="shared" si="17"/>
        <v>-100</v>
      </c>
      <c r="AY13" s="81">
        <f>C13+G13+K13+O13+S13+W13+AA13+AE13+AI13+AM13+AQ13+AU13</f>
        <v>10800000</v>
      </c>
      <c r="AZ13" s="81">
        <f t="shared" si="6"/>
        <v>7835152.8299999991</v>
      </c>
      <c r="BA13" s="118"/>
    </row>
    <row r="14" spans="1:57" s="119" customFormat="1" ht="18" customHeight="1" thickBot="1" x14ac:dyDescent="0.3">
      <c r="A14" s="127" t="s">
        <v>135</v>
      </c>
      <c r="B14" s="383" t="s">
        <v>338</v>
      </c>
      <c r="C14" s="81">
        <v>12057478.506666662</v>
      </c>
      <c r="D14" s="83">
        <f>13194079.04+77234.74</f>
        <v>13271313.779999999</v>
      </c>
      <c r="E14" s="125">
        <f t="shared" si="18"/>
        <v>1213835.2733333372</v>
      </c>
      <c r="F14" s="988">
        <f t="shared" si="19"/>
        <v>10.067073913191704</v>
      </c>
      <c r="G14" s="81">
        <v>12057728.945666663</v>
      </c>
      <c r="H14" s="83">
        <f>12146615.7+162442.39</f>
        <v>12309058.09</v>
      </c>
      <c r="I14" s="125">
        <f>H14-G14</f>
        <v>251329.1443333365</v>
      </c>
      <c r="J14" s="988">
        <f t="shared" si="8"/>
        <v>2.0843821043402988</v>
      </c>
      <c r="K14" s="81">
        <v>12057728.945666663</v>
      </c>
      <c r="L14" s="83">
        <f>5811132.99+8000639</f>
        <v>13811771.99</v>
      </c>
      <c r="M14" s="125">
        <f t="shared" ref="M14:M40" si="23">L14-K14</f>
        <v>1754043.0443333369</v>
      </c>
      <c r="N14" s="988">
        <f t="shared" ref="N14:N19" si="24">((L14/K14)-1)*100</f>
        <v>14.547043247009706</v>
      </c>
      <c r="O14" s="84">
        <v>12059892.605666662</v>
      </c>
      <c r="P14" s="83">
        <f>6600677.4+12670465</f>
        <v>19271142.399999999</v>
      </c>
      <c r="Q14" s="159">
        <f t="shared" ref="Q14:Q40" si="25">P14-O14</f>
        <v>7211249.7943333369</v>
      </c>
      <c r="R14" s="988">
        <f t="shared" si="9"/>
        <v>59.7953068914141</v>
      </c>
      <c r="S14" s="81">
        <v>12063672.927499996</v>
      </c>
      <c r="T14" s="83">
        <f>13747663.08+7037220.14</f>
        <v>20784883.219999999</v>
      </c>
      <c r="U14" s="125">
        <f t="shared" si="1"/>
        <v>8721210.2925000023</v>
      </c>
      <c r="V14" s="988">
        <f t="shared" si="10"/>
        <v>72.29315934634954</v>
      </c>
      <c r="W14" s="81">
        <v>12063672.927499996</v>
      </c>
      <c r="X14" s="83">
        <v>19314954.949999999</v>
      </c>
      <c r="Y14" s="125">
        <f t="shared" si="20"/>
        <v>7251282.0225000028</v>
      </c>
      <c r="Z14" s="988">
        <f t="shared" si="11"/>
        <v>60.108410316481574</v>
      </c>
      <c r="AA14" s="81">
        <v>12086614.046166664</v>
      </c>
      <c r="AB14" s="83">
        <v>19227641.170000002</v>
      </c>
      <c r="AC14" s="125">
        <f t="shared" si="21"/>
        <v>7141027.1238333378</v>
      </c>
      <c r="AD14" s="988">
        <f t="shared" si="12"/>
        <v>59.08211428409227</v>
      </c>
      <c r="AE14" s="81">
        <v>12149790.221166663</v>
      </c>
      <c r="AF14" s="83">
        <v>21421988.280000001</v>
      </c>
      <c r="AG14" s="125">
        <f t="shared" si="2"/>
        <v>9272198.0588333383</v>
      </c>
      <c r="AH14" s="988">
        <f t="shared" si="13"/>
        <v>76.315704963200531</v>
      </c>
      <c r="AI14" s="81">
        <v>12195704.282833328</v>
      </c>
      <c r="AJ14" s="83">
        <v>16759311.039999999</v>
      </c>
      <c r="AK14" s="125">
        <f t="shared" si="3"/>
        <v>4563606.7571666706</v>
      </c>
      <c r="AL14" s="988">
        <f t="shared" si="14"/>
        <v>37.419788569245682</v>
      </c>
      <c r="AM14" s="81">
        <v>12206158.831999995</v>
      </c>
      <c r="AN14" s="1017">
        <v>19074733.140000001</v>
      </c>
      <c r="AO14" s="125">
        <f>AN14-AM14</f>
        <v>6868574.3080000058</v>
      </c>
      <c r="AP14" s="988">
        <f t="shared" si="15"/>
        <v>56.271382361444999</v>
      </c>
      <c r="AQ14" s="81">
        <v>12215942.826999994</v>
      </c>
      <c r="AR14" s="83"/>
      <c r="AS14" s="125">
        <f t="shared" si="22"/>
        <v>-12215942.826999994</v>
      </c>
      <c r="AT14" s="988">
        <f t="shared" si="16"/>
        <v>-100</v>
      </c>
      <c r="AU14" s="81">
        <v>12220390.55266666</v>
      </c>
      <c r="AV14" s="83"/>
      <c r="AW14" s="125">
        <f t="shared" si="5"/>
        <v>-12220390.55266666</v>
      </c>
      <c r="AX14" s="988">
        <f t="shared" si="17"/>
        <v>-100</v>
      </c>
      <c r="AY14" s="81">
        <f>C14+G14+K14+O14+S14+W14+AA14+AE14+AI14+AM14+AQ14+AU14</f>
        <v>145434775.62049994</v>
      </c>
      <c r="AZ14" s="83">
        <f t="shared" si="6"/>
        <v>175246798.06</v>
      </c>
      <c r="BA14" s="118"/>
      <c r="BC14" s="118"/>
      <c r="BD14" s="118"/>
    </row>
    <row r="15" spans="1:57" s="119" customFormat="1" ht="18" customHeight="1" thickBot="1" x14ac:dyDescent="0.3">
      <c r="A15" s="429"/>
      <c r="B15" s="113" t="s">
        <v>159</v>
      </c>
      <c r="C15" s="4">
        <f>SUM(C16:C18)</f>
        <v>830730.42333333334</v>
      </c>
      <c r="D15" s="417">
        <f>SUM(D16:D18)</f>
        <v>830730.53</v>
      </c>
      <c r="E15" s="4">
        <f t="shared" si="18"/>
        <v>0.10666666668839753</v>
      </c>
      <c r="F15" s="242">
        <f t="shared" si="19"/>
        <v>1.2840105978462191E-5</v>
      </c>
      <c r="G15" s="4">
        <f>SUM(G16:G18)</f>
        <v>830730.42333333334</v>
      </c>
      <c r="H15" s="115">
        <f>SUM(H16:H18)</f>
        <v>830730.53</v>
      </c>
      <c r="I15" s="4">
        <f t="shared" si="7"/>
        <v>0.10666666668839753</v>
      </c>
      <c r="J15" s="242">
        <f t="shared" si="8"/>
        <v>1.2840105978462191E-5</v>
      </c>
      <c r="K15" s="4">
        <f>SUM(K16:K18)</f>
        <v>830730.42333333334</v>
      </c>
      <c r="L15" s="4">
        <f>SUM(L16:L18)</f>
        <v>830730.53</v>
      </c>
      <c r="M15" s="115">
        <f t="shared" si="23"/>
        <v>0.10666666668839753</v>
      </c>
      <c r="N15" s="242">
        <f t="shared" si="24"/>
        <v>1.2840105978462191E-5</v>
      </c>
      <c r="O15" s="916">
        <f>SUM(O16:O18)</f>
        <v>830730.42333333334</v>
      </c>
      <c r="P15" s="912">
        <f>SUM(P16:P18)</f>
        <v>830730.53</v>
      </c>
      <c r="Q15" s="912">
        <f t="shared" si="25"/>
        <v>0.10666666668839753</v>
      </c>
      <c r="R15" s="985">
        <f t="shared" si="9"/>
        <v>1.2840105978462191E-5</v>
      </c>
      <c r="S15" s="4">
        <f>SUM(S16:S18)</f>
        <v>830730.42333333334</v>
      </c>
      <c r="T15" s="115">
        <f>SUM(T16:T18)</f>
        <v>830730.53</v>
      </c>
      <c r="U15" s="4">
        <f t="shared" si="1"/>
        <v>0.10666666668839753</v>
      </c>
      <c r="V15" s="242">
        <f t="shared" si="10"/>
        <v>1.2840105978462191E-5</v>
      </c>
      <c r="W15" s="4">
        <f>SUM(W16:W18)</f>
        <v>830730.42333333334</v>
      </c>
      <c r="X15" s="115">
        <f>SUM(X16:X18)</f>
        <v>830730.53</v>
      </c>
      <c r="Y15" s="4">
        <f t="shared" si="20"/>
        <v>0.10666666668839753</v>
      </c>
      <c r="Z15" s="242">
        <f t="shared" si="11"/>
        <v>1.2840105978462191E-5</v>
      </c>
      <c r="AA15" s="4">
        <f>SUM(AA16:AA18)</f>
        <v>830730.42333333334</v>
      </c>
      <c r="AB15" s="115">
        <f>SUM(AB16:AB18)</f>
        <v>830730.53</v>
      </c>
      <c r="AC15" s="4">
        <f t="shared" si="21"/>
        <v>0.10666666668839753</v>
      </c>
      <c r="AD15" s="242">
        <f t="shared" si="12"/>
        <v>1.2840105978462191E-5</v>
      </c>
      <c r="AE15" s="4">
        <f>SUM(AE16:AE18)</f>
        <v>830730.42333333334</v>
      </c>
      <c r="AF15" s="115">
        <f>SUM(AF16:AF18)</f>
        <v>830730.53</v>
      </c>
      <c r="AG15" s="4">
        <f t="shared" si="2"/>
        <v>0.10666666668839753</v>
      </c>
      <c r="AH15" s="242">
        <f t="shared" si="13"/>
        <v>1.2840105978462191E-5</v>
      </c>
      <c r="AI15" s="115">
        <f>SUM(AI16:AI18)</f>
        <v>830730.42333333334</v>
      </c>
      <c r="AJ15" s="115">
        <f>SUM(AJ16:AJ18)</f>
        <v>830730.53</v>
      </c>
      <c r="AK15" s="4">
        <f t="shared" si="3"/>
        <v>0.10666666668839753</v>
      </c>
      <c r="AL15" s="242">
        <f t="shared" si="14"/>
        <v>1.2840105978462191E-5</v>
      </c>
      <c r="AM15" s="4">
        <f>SUM(AM16:AM18)</f>
        <v>830730.42333333334</v>
      </c>
      <c r="AN15" s="115">
        <f>SUM(AN16:AN18)</f>
        <v>830730.53</v>
      </c>
      <c r="AO15" s="4">
        <f t="shared" si="4"/>
        <v>0.10666666668839753</v>
      </c>
      <c r="AP15" s="242">
        <f t="shared" si="15"/>
        <v>1.2840105978462191E-5</v>
      </c>
      <c r="AQ15" s="4">
        <f>SUM(AQ16:AQ18)</f>
        <v>830730.42333333334</v>
      </c>
      <c r="AR15" s="115">
        <f>SUM(AR16:AR18)</f>
        <v>0</v>
      </c>
      <c r="AS15" s="4">
        <f t="shared" si="22"/>
        <v>-830730.42333333334</v>
      </c>
      <c r="AT15" s="318">
        <f t="shared" si="16"/>
        <v>-100</v>
      </c>
      <c r="AU15" s="4">
        <f>SUM(AU16:AU18)</f>
        <v>830730.42333333334</v>
      </c>
      <c r="AV15" s="115">
        <f>SUM(AV16:AV18)</f>
        <v>0</v>
      </c>
      <c r="AW15" s="4">
        <f t="shared" si="5"/>
        <v>-830730.42333333334</v>
      </c>
      <c r="AX15" s="242">
        <f t="shared" si="17"/>
        <v>-100</v>
      </c>
      <c r="AY15" s="115">
        <f>C15+G15+K15+O15+S15+W15+AA15+AE15+AI15+AM15+AQ15+AU15</f>
        <v>9968765.0800000019</v>
      </c>
      <c r="AZ15" s="115">
        <f t="shared" si="6"/>
        <v>8307305.3000000017</v>
      </c>
      <c r="BA15" s="118"/>
      <c r="BC15" s="334"/>
    </row>
    <row r="16" spans="1:57" s="119" customFormat="1" ht="18" customHeight="1" x14ac:dyDescent="0.25">
      <c r="A16" s="134">
        <v>55248</v>
      </c>
      <c r="B16" s="332" t="s">
        <v>9</v>
      </c>
      <c r="C16" s="542">
        <v>199045.21</v>
      </c>
      <c r="D16" s="87">
        <v>199045.21</v>
      </c>
      <c r="E16" s="137">
        <f t="shared" si="18"/>
        <v>0</v>
      </c>
      <c r="F16" s="237">
        <f t="shared" si="19"/>
        <v>0</v>
      </c>
      <c r="G16" s="888">
        <v>199045.21</v>
      </c>
      <c r="H16" s="204">
        <v>199045.21</v>
      </c>
      <c r="I16" s="190">
        <f t="shared" si="7"/>
        <v>0</v>
      </c>
      <c r="J16" s="371">
        <f t="shared" si="8"/>
        <v>0</v>
      </c>
      <c r="K16" s="888">
        <v>199045.21</v>
      </c>
      <c r="L16" s="130">
        <v>199045.21</v>
      </c>
      <c r="M16" s="137">
        <f t="shared" si="23"/>
        <v>0</v>
      </c>
      <c r="N16" s="237">
        <f t="shared" si="24"/>
        <v>0</v>
      </c>
      <c r="O16" s="888">
        <v>199045.21</v>
      </c>
      <c r="P16" s="1091">
        <v>199045.21</v>
      </c>
      <c r="Q16" s="137">
        <f t="shared" si="25"/>
        <v>0</v>
      </c>
      <c r="R16" s="237">
        <f t="shared" si="9"/>
        <v>0</v>
      </c>
      <c r="S16" s="888">
        <v>199045.21</v>
      </c>
      <c r="T16" s="137">
        <v>199045.21</v>
      </c>
      <c r="U16" s="137">
        <f t="shared" si="1"/>
        <v>0</v>
      </c>
      <c r="V16" s="237">
        <f t="shared" si="10"/>
        <v>0</v>
      </c>
      <c r="W16" s="888">
        <v>199045.21</v>
      </c>
      <c r="X16" s="137">
        <v>199045.21</v>
      </c>
      <c r="Y16" s="137">
        <f t="shared" si="20"/>
        <v>0</v>
      </c>
      <c r="Z16" s="237">
        <f t="shared" si="11"/>
        <v>0</v>
      </c>
      <c r="AA16" s="888">
        <v>199045.21</v>
      </c>
      <c r="AB16" s="980">
        <v>199045.21</v>
      </c>
      <c r="AC16" s="137">
        <f t="shared" si="21"/>
        <v>0</v>
      </c>
      <c r="AD16" s="237">
        <f t="shared" si="12"/>
        <v>0</v>
      </c>
      <c r="AE16" s="888">
        <v>199045.21</v>
      </c>
      <c r="AF16" s="889">
        <v>199045.21</v>
      </c>
      <c r="AG16" s="137">
        <f t="shared" si="2"/>
        <v>0</v>
      </c>
      <c r="AH16" s="237">
        <f t="shared" si="13"/>
        <v>0</v>
      </c>
      <c r="AI16" s="888">
        <v>199045.21</v>
      </c>
      <c r="AJ16" s="137">
        <v>199045.21</v>
      </c>
      <c r="AK16" s="137">
        <f t="shared" si="3"/>
        <v>0</v>
      </c>
      <c r="AL16" s="237">
        <f t="shared" si="14"/>
        <v>0</v>
      </c>
      <c r="AM16" s="888">
        <v>199045.21</v>
      </c>
      <c r="AN16" s="1018">
        <v>199045.21</v>
      </c>
      <c r="AO16" s="137">
        <f t="shared" si="4"/>
        <v>0</v>
      </c>
      <c r="AP16" s="237">
        <f t="shared" si="15"/>
        <v>0</v>
      </c>
      <c r="AQ16" s="888">
        <v>199045.21</v>
      </c>
      <c r="AR16" s="212"/>
      <c r="AS16" s="137">
        <f t="shared" si="22"/>
        <v>-199045.21</v>
      </c>
      <c r="AT16" s="252">
        <f t="shared" si="16"/>
        <v>-100</v>
      </c>
      <c r="AU16" s="888">
        <v>199045.21</v>
      </c>
      <c r="AV16" s="599"/>
      <c r="AW16" s="137">
        <f t="shared" si="5"/>
        <v>-199045.21</v>
      </c>
      <c r="AX16" s="237">
        <f t="shared" si="17"/>
        <v>-100</v>
      </c>
      <c r="AY16" s="177">
        <f>AA16+AE16+AI16+AM16+AQ16+AU16+W16+S16+O16+K16+G16+C16</f>
        <v>2388542.52</v>
      </c>
      <c r="AZ16" s="177">
        <f t="shared" si="6"/>
        <v>1990452.0999999999</v>
      </c>
      <c r="BA16" s="118"/>
      <c r="BC16" s="401"/>
    </row>
    <row r="17" spans="1:58" s="119" customFormat="1" ht="18" customHeight="1" x14ac:dyDescent="0.25">
      <c r="A17" s="139">
        <v>55249</v>
      </c>
      <c r="B17" s="382" t="s">
        <v>10</v>
      </c>
      <c r="C17" s="211">
        <v>70360.213333333362</v>
      </c>
      <c r="D17" s="82">
        <v>70360.320000000007</v>
      </c>
      <c r="E17" s="125">
        <f t="shared" si="18"/>
        <v>0.10666666664474178</v>
      </c>
      <c r="F17" s="237">
        <f t="shared" si="19"/>
        <v>1.5160082891263471E-4</v>
      </c>
      <c r="G17" s="889">
        <v>70360.213333333362</v>
      </c>
      <c r="H17" s="125">
        <v>70360.320000000007</v>
      </c>
      <c r="I17" s="137">
        <f t="shared" si="7"/>
        <v>0.10666666664474178</v>
      </c>
      <c r="J17" s="235">
        <f t="shared" si="8"/>
        <v>1.5160082891263471E-4</v>
      </c>
      <c r="K17" s="889">
        <v>70360.213333333362</v>
      </c>
      <c r="L17" s="130">
        <v>70360.320000000007</v>
      </c>
      <c r="M17" s="125">
        <f t="shared" si="23"/>
        <v>0.10666666664474178</v>
      </c>
      <c r="N17" s="235">
        <f t="shared" si="24"/>
        <v>1.5160082891263471E-4</v>
      </c>
      <c r="O17" s="889">
        <v>70360.213333333362</v>
      </c>
      <c r="P17" s="810">
        <v>70360.320000000007</v>
      </c>
      <c r="Q17" s="125">
        <f t="shared" si="25"/>
        <v>0.10666666664474178</v>
      </c>
      <c r="R17" s="235">
        <f t="shared" si="9"/>
        <v>1.5160082891263471E-4</v>
      </c>
      <c r="S17" s="889">
        <v>70360.213333333362</v>
      </c>
      <c r="T17" s="125">
        <v>70360.320000000007</v>
      </c>
      <c r="U17" s="125">
        <f t="shared" si="1"/>
        <v>0.10666666664474178</v>
      </c>
      <c r="V17" s="235">
        <f t="shared" si="10"/>
        <v>1.5160082891263471E-4</v>
      </c>
      <c r="W17" s="889">
        <v>70360.213333333362</v>
      </c>
      <c r="X17" s="125">
        <v>70360.320000000007</v>
      </c>
      <c r="Y17" s="125">
        <f t="shared" si="20"/>
        <v>0.10666666664474178</v>
      </c>
      <c r="Z17" s="235">
        <f t="shared" si="11"/>
        <v>1.5160082891263471E-4</v>
      </c>
      <c r="AA17" s="889">
        <v>70360.213333333362</v>
      </c>
      <c r="AB17" s="981">
        <v>70360.320000000007</v>
      </c>
      <c r="AC17" s="125">
        <f t="shared" si="21"/>
        <v>0.10666666664474178</v>
      </c>
      <c r="AD17" s="235">
        <f t="shared" si="12"/>
        <v>1.5160082891263471E-4</v>
      </c>
      <c r="AE17" s="889">
        <v>70360.213333333362</v>
      </c>
      <c r="AF17" s="889">
        <v>70360.320000000007</v>
      </c>
      <c r="AG17" s="137">
        <f t="shared" si="2"/>
        <v>0.10666666664474178</v>
      </c>
      <c r="AH17" s="235">
        <f t="shared" si="13"/>
        <v>1.5160082891263471E-4</v>
      </c>
      <c r="AI17" s="889">
        <v>70360.213333333362</v>
      </c>
      <c r="AJ17" s="125">
        <v>70360.320000000007</v>
      </c>
      <c r="AK17" s="137">
        <f t="shared" si="3"/>
        <v>0.10666666664474178</v>
      </c>
      <c r="AL17" s="235">
        <f t="shared" si="14"/>
        <v>1.5160082891263471E-4</v>
      </c>
      <c r="AM17" s="889">
        <v>70360.213333333362</v>
      </c>
      <c r="AN17" s="889">
        <v>70360.320000000007</v>
      </c>
      <c r="AO17" s="137">
        <f t="shared" si="4"/>
        <v>0.10666666664474178</v>
      </c>
      <c r="AP17" s="235">
        <f t="shared" si="15"/>
        <v>1.5160082891263471E-4</v>
      </c>
      <c r="AQ17" s="889">
        <v>70360.213333333362</v>
      </c>
      <c r="AR17" s="212"/>
      <c r="AS17" s="137">
        <f t="shared" si="22"/>
        <v>-70360.213333333362</v>
      </c>
      <c r="AT17" s="319">
        <f t="shared" si="16"/>
        <v>-100</v>
      </c>
      <c r="AU17" s="889">
        <v>70360.213333333362</v>
      </c>
      <c r="AV17" s="599"/>
      <c r="AW17" s="125">
        <f t="shared" si="5"/>
        <v>-70360.213333333362</v>
      </c>
      <c r="AX17" s="235">
        <f t="shared" si="17"/>
        <v>-100</v>
      </c>
      <c r="AY17" s="177">
        <f>AA17+AE17+AI17+AM17+AQ17+AU17+W17+S17+O17+K17+G17+C17</f>
        <v>844322.56000000041</v>
      </c>
      <c r="AZ17" s="177">
        <f t="shared" si="6"/>
        <v>703603.20000000019</v>
      </c>
      <c r="BA17" s="118"/>
      <c r="BC17" s="401"/>
    </row>
    <row r="18" spans="1:58" s="119" customFormat="1" ht="18" customHeight="1" thickBot="1" x14ac:dyDescent="0.3">
      <c r="A18" s="127">
        <v>55247</v>
      </c>
      <c r="B18" s="384" t="s">
        <v>11</v>
      </c>
      <c r="C18" s="214">
        <v>561325</v>
      </c>
      <c r="D18" s="84">
        <v>561325</v>
      </c>
      <c r="E18" s="125">
        <f t="shared" si="18"/>
        <v>0</v>
      </c>
      <c r="F18" s="327">
        <f t="shared" si="19"/>
        <v>0</v>
      </c>
      <c r="G18" s="890">
        <v>561325</v>
      </c>
      <c r="H18" s="121">
        <v>561325</v>
      </c>
      <c r="I18" s="121">
        <f t="shared" si="7"/>
        <v>0</v>
      </c>
      <c r="J18" s="235">
        <f t="shared" si="8"/>
        <v>0</v>
      </c>
      <c r="K18" s="890">
        <v>561325</v>
      </c>
      <c r="L18" s="130">
        <v>561325</v>
      </c>
      <c r="M18" s="125">
        <f t="shared" si="23"/>
        <v>0</v>
      </c>
      <c r="N18" s="235">
        <f t="shared" si="24"/>
        <v>0</v>
      </c>
      <c r="O18" s="890">
        <v>561325</v>
      </c>
      <c r="P18" s="810">
        <v>561325</v>
      </c>
      <c r="Q18" s="125">
        <f t="shared" si="25"/>
        <v>0</v>
      </c>
      <c r="R18" s="235">
        <f t="shared" si="9"/>
        <v>0</v>
      </c>
      <c r="S18" s="890">
        <v>561325</v>
      </c>
      <c r="T18" s="125">
        <v>561325</v>
      </c>
      <c r="U18" s="125">
        <f t="shared" si="1"/>
        <v>0</v>
      </c>
      <c r="V18" s="235">
        <f t="shared" si="10"/>
        <v>0</v>
      </c>
      <c r="W18" s="890">
        <v>561325</v>
      </c>
      <c r="X18" s="125">
        <v>561325</v>
      </c>
      <c r="Y18" s="125">
        <f t="shared" si="20"/>
        <v>0</v>
      </c>
      <c r="Z18" s="235">
        <f t="shared" si="11"/>
        <v>0</v>
      </c>
      <c r="AA18" s="890">
        <v>561325</v>
      </c>
      <c r="AB18" s="981">
        <v>561325</v>
      </c>
      <c r="AC18" s="125">
        <f t="shared" si="21"/>
        <v>0</v>
      </c>
      <c r="AD18" s="235">
        <f t="shared" si="12"/>
        <v>0</v>
      </c>
      <c r="AE18" s="890">
        <v>561325</v>
      </c>
      <c r="AF18" s="889">
        <v>561325</v>
      </c>
      <c r="AG18" s="137">
        <f t="shared" si="2"/>
        <v>0</v>
      </c>
      <c r="AH18" s="235">
        <f t="shared" si="13"/>
        <v>0</v>
      </c>
      <c r="AI18" s="890">
        <v>561325</v>
      </c>
      <c r="AJ18" s="125">
        <v>561325</v>
      </c>
      <c r="AK18" s="137">
        <f t="shared" si="3"/>
        <v>0</v>
      </c>
      <c r="AL18" s="235">
        <f t="shared" si="14"/>
        <v>0</v>
      </c>
      <c r="AM18" s="890">
        <v>561325</v>
      </c>
      <c r="AN18" s="889">
        <v>561325</v>
      </c>
      <c r="AO18" s="137">
        <f t="shared" si="4"/>
        <v>0</v>
      </c>
      <c r="AP18" s="235">
        <f t="shared" si="15"/>
        <v>0</v>
      </c>
      <c r="AQ18" s="890">
        <v>561325</v>
      </c>
      <c r="AR18" s="219"/>
      <c r="AS18" s="137">
        <f t="shared" si="22"/>
        <v>-561325</v>
      </c>
      <c r="AT18" s="319">
        <f t="shared" si="16"/>
        <v>-100</v>
      </c>
      <c r="AU18" s="890">
        <v>561325</v>
      </c>
      <c r="AV18" s="599"/>
      <c r="AW18" s="125">
        <f t="shared" si="5"/>
        <v>-561325</v>
      </c>
      <c r="AX18" s="235">
        <f t="shared" si="17"/>
        <v>-100</v>
      </c>
      <c r="AY18" s="177">
        <f>AA18+AE18+AI18+AM18+AQ18+AU18+W18+S18+O18+K18+G18+C18</f>
        <v>6735900</v>
      </c>
      <c r="AZ18" s="177">
        <f t="shared" si="6"/>
        <v>5613250</v>
      </c>
      <c r="BA18" s="118"/>
      <c r="BC18" s="401"/>
    </row>
    <row r="19" spans="1:58" s="119" customFormat="1" ht="18" customHeight="1" thickBot="1" x14ac:dyDescent="0.3">
      <c r="A19" s="140"/>
      <c r="B19" s="381" t="s">
        <v>160</v>
      </c>
      <c r="C19" s="7">
        <f>SUM(C20:C40)</f>
        <v>143817.25666666668</v>
      </c>
      <c r="D19" s="101">
        <f>SUM(D20:D40)</f>
        <v>234659.91</v>
      </c>
      <c r="E19" s="4">
        <f t="shared" si="18"/>
        <v>90842.653333333321</v>
      </c>
      <c r="F19" s="242">
        <f t="shared" si="19"/>
        <v>63.165335954004753</v>
      </c>
      <c r="G19" s="7">
        <f>SUM(G20:G40)</f>
        <v>143817.25666666668</v>
      </c>
      <c r="H19" s="191">
        <f>SUM(H20:H40)</f>
        <v>659261.87</v>
      </c>
      <c r="I19" s="4">
        <f>H19-G19</f>
        <v>515444.61333333328</v>
      </c>
      <c r="J19" s="242">
        <f t="shared" si="8"/>
        <v>358.4024791461627</v>
      </c>
      <c r="K19" s="7">
        <f>SUM(K20:K40)</f>
        <v>143817.25666666668</v>
      </c>
      <c r="L19" s="191">
        <f>SUM(L20:L40)</f>
        <v>332614.90000000002</v>
      </c>
      <c r="M19" s="191">
        <f t="shared" si="23"/>
        <v>188797.64333333334</v>
      </c>
      <c r="N19" s="242">
        <f t="shared" si="24"/>
        <v>131.27607055592793</v>
      </c>
      <c r="O19" s="7">
        <f>SUM(O20:O40)</f>
        <v>143817.25666666668</v>
      </c>
      <c r="P19" s="191">
        <f>SUM(P20:P40)</f>
        <v>965570.87000000011</v>
      </c>
      <c r="Q19" s="191">
        <f t="shared" si="25"/>
        <v>821753.6133333334</v>
      </c>
      <c r="R19" s="242">
        <f t="shared" si="9"/>
        <v>571.38735112849349</v>
      </c>
      <c r="S19" s="7">
        <f>SUM(S20:S40)</f>
        <v>343817.25666666671</v>
      </c>
      <c r="T19" s="191">
        <f>SUM(T20:T40)</f>
        <v>709121.53</v>
      </c>
      <c r="U19" s="191">
        <f t="shared" si="1"/>
        <v>365304.27333333332</v>
      </c>
      <c r="V19" s="242">
        <f t="shared" si="10"/>
        <v>106.24954572524507</v>
      </c>
      <c r="W19" s="7">
        <f>SUM(W20:W40)</f>
        <v>143817.25666666668</v>
      </c>
      <c r="X19" s="191">
        <f>SUM(X20:X40)</f>
        <v>595570.43999999994</v>
      </c>
      <c r="Y19" s="191">
        <f t="shared" si="20"/>
        <v>451753.18333333323</v>
      </c>
      <c r="Z19" s="242">
        <f t="shared" si="11"/>
        <v>314.11611777603775</v>
      </c>
      <c r="AA19" s="7">
        <f>SUM(AA20:AA40)</f>
        <v>117450.55666666666</v>
      </c>
      <c r="AB19" s="982">
        <f>SUM(AB20:AB40)</f>
        <v>838248.80999999994</v>
      </c>
      <c r="AC19" s="191">
        <f t="shared" si="21"/>
        <v>720798.2533333333</v>
      </c>
      <c r="AD19" s="242">
        <f t="shared" si="12"/>
        <v>613.70356496394641</v>
      </c>
      <c r="AE19" s="7">
        <f>SUM(AE20:AE40)</f>
        <v>143817.25666666668</v>
      </c>
      <c r="AF19" s="191">
        <f>SUM(AF20:AF40)</f>
        <v>512214.66999999993</v>
      </c>
      <c r="AG19" s="191">
        <f t="shared" si="2"/>
        <v>368397.41333333321</v>
      </c>
      <c r="AH19" s="242">
        <f t="shared" si="13"/>
        <v>256.15661282372292</v>
      </c>
      <c r="AI19" s="4">
        <f>SUM(AI20:AI40)</f>
        <v>143817.25666666668</v>
      </c>
      <c r="AJ19" s="191">
        <f>SUM(AJ20:AJ40)</f>
        <v>408451.58999999997</v>
      </c>
      <c r="AK19" s="191">
        <f t="shared" si="3"/>
        <v>264634.33333333326</v>
      </c>
      <c r="AL19" s="242">
        <f t="shared" si="14"/>
        <v>184.00735729975096</v>
      </c>
      <c r="AM19" s="7">
        <f>SUM(AM20:AM40)</f>
        <v>143817.25666666668</v>
      </c>
      <c r="AN19" s="191">
        <f>SUM(AN20:AN40)</f>
        <v>567984.60000000009</v>
      </c>
      <c r="AO19" s="191">
        <f t="shared" si="4"/>
        <v>424167.34333333338</v>
      </c>
      <c r="AP19" s="242">
        <f t="shared" si="15"/>
        <v>294.93494255452936</v>
      </c>
      <c r="AQ19" s="221">
        <f>SUM(AQ20:AQ40)</f>
        <v>143818.25666666665</v>
      </c>
      <c r="AR19" s="4">
        <f>SUM(AR20:AR40)</f>
        <v>0</v>
      </c>
      <c r="AS19" s="191">
        <f t="shared" si="22"/>
        <v>-143818.25666666665</v>
      </c>
      <c r="AT19" s="242">
        <f t="shared" si="16"/>
        <v>-100</v>
      </c>
      <c r="AU19" s="7">
        <f>SUM(AU20:AU40)</f>
        <v>343817.25666666671</v>
      </c>
      <c r="AV19" s="4">
        <f>SUM(AV20:AV40)</f>
        <v>0</v>
      </c>
      <c r="AW19" s="191">
        <f t="shared" si="5"/>
        <v>-343817.25666666671</v>
      </c>
      <c r="AX19" s="242">
        <f t="shared" si="17"/>
        <v>-100</v>
      </c>
      <c r="AY19" s="4">
        <f>AA19+AE19+AI19+AM19+AQ19+AU19+W19+S19+O19+K19+G19+C19</f>
        <v>2099441.38</v>
      </c>
      <c r="AZ19" s="7">
        <f t="shared" si="6"/>
        <v>5823699.1899999995</v>
      </c>
      <c r="BA19" s="118"/>
      <c r="BC19" s="334"/>
      <c r="BD19" s="334"/>
    </row>
    <row r="20" spans="1:58" s="119" customFormat="1" ht="18" customHeight="1" x14ac:dyDescent="0.25">
      <c r="A20" s="141">
        <v>4962</v>
      </c>
      <c r="B20" s="381" t="s">
        <v>164</v>
      </c>
      <c r="C20" s="894">
        <v>-79792</v>
      </c>
      <c r="D20" s="88">
        <v>-69555.759999999995</v>
      </c>
      <c r="E20" s="137">
        <f t="shared" si="18"/>
        <v>10236.240000000005</v>
      </c>
      <c r="F20" s="126">
        <f>((D20/C20)-1)*100</f>
        <v>-12.82865450170444</v>
      </c>
      <c r="G20" s="877">
        <v>-79792</v>
      </c>
      <c r="H20" s="144">
        <v>-40558.14</v>
      </c>
      <c r="I20" s="136">
        <f t="shared" ref="I20:I40" si="26">H20-G20</f>
        <v>39233.86</v>
      </c>
      <c r="J20" s="126">
        <f t="shared" si="8"/>
        <v>-49.170167435331869</v>
      </c>
      <c r="K20" s="877">
        <v>-79792</v>
      </c>
      <c r="L20" s="145">
        <v>-82499.53</v>
      </c>
      <c r="M20" s="190">
        <f t="shared" si="23"/>
        <v>-2707.5299999999988</v>
      </c>
      <c r="N20" s="126">
        <f>((L20/K20)-1)*100</f>
        <v>3.3932349107679949</v>
      </c>
      <c r="O20" s="877">
        <v>-79792</v>
      </c>
      <c r="P20" s="144">
        <v>-22153.119999999999</v>
      </c>
      <c r="Q20" s="190">
        <f t="shared" si="25"/>
        <v>57638.880000000005</v>
      </c>
      <c r="R20" s="126">
        <f t="shared" si="9"/>
        <v>-72.236414678163214</v>
      </c>
      <c r="S20" s="877">
        <v>-79792</v>
      </c>
      <c r="T20" s="144">
        <v>-15325.83</v>
      </c>
      <c r="U20" s="190">
        <f t="shared" si="1"/>
        <v>64466.17</v>
      </c>
      <c r="V20" s="126">
        <f t="shared" si="10"/>
        <v>-80.792773711650284</v>
      </c>
      <c r="W20" s="877">
        <v>-79792</v>
      </c>
      <c r="X20" s="144">
        <v>-18642.27</v>
      </c>
      <c r="Y20" s="190">
        <f t="shared" si="20"/>
        <v>61149.729999999996</v>
      </c>
      <c r="Z20" s="126">
        <f t="shared" si="11"/>
        <v>-76.63641718468017</v>
      </c>
      <c r="AA20" s="877">
        <v>-79792</v>
      </c>
      <c r="AB20" s="210">
        <v>-21641.98</v>
      </c>
      <c r="AC20" s="205">
        <f t="shared" si="21"/>
        <v>58150.020000000004</v>
      </c>
      <c r="AD20" s="249">
        <f t="shared" si="12"/>
        <v>-72.87700521355525</v>
      </c>
      <c r="AE20" s="998">
        <v>-79792</v>
      </c>
      <c r="AF20" s="120">
        <v>-38933.910000000003</v>
      </c>
      <c r="AG20" s="190">
        <f t="shared" si="2"/>
        <v>40858.089999999997</v>
      </c>
      <c r="AH20" s="859">
        <f t="shared" si="13"/>
        <v>-51.205747443352713</v>
      </c>
      <c r="AI20" s="877">
        <v>-79792</v>
      </c>
      <c r="AJ20" s="144">
        <v>-23718.14</v>
      </c>
      <c r="AK20" s="190">
        <f t="shared" si="3"/>
        <v>56073.86</v>
      </c>
      <c r="AL20" s="126">
        <f t="shared" si="14"/>
        <v>-70.275040104271099</v>
      </c>
      <c r="AM20" s="877">
        <v>-79792</v>
      </c>
      <c r="AN20" s="1019">
        <v>-152567.56</v>
      </c>
      <c r="AO20" s="190">
        <f t="shared" si="4"/>
        <v>-72775.56</v>
      </c>
      <c r="AP20" s="126">
        <f t="shared" si="15"/>
        <v>91.206587126528987</v>
      </c>
      <c r="AQ20" s="877">
        <v>-79792</v>
      </c>
      <c r="AR20" s="224"/>
      <c r="AS20" s="190">
        <f t="shared" si="22"/>
        <v>79792</v>
      </c>
      <c r="AT20" s="126">
        <f t="shared" si="16"/>
        <v>-100</v>
      </c>
      <c r="AU20" s="877">
        <v>-79792</v>
      </c>
      <c r="AV20" s="212"/>
      <c r="AW20" s="190">
        <f t="shared" si="5"/>
        <v>79792</v>
      </c>
      <c r="AX20" s="126">
        <f t="shared" si="17"/>
        <v>-100</v>
      </c>
      <c r="AY20" s="138">
        <f>C20+G20+K20+O20+S20+W20+AA20+AE20+AI20+AM20+AQ20+AU20</f>
        <v>-957504</v>
      </c>
      <c r="AZ20" s="460">
        <f t="shared" si="6"/>
        <v>-485596.23999999993</v>
      </c>
      <c r="BA20" s="118"/>
      <c r="BC20" s="334"/>
      <c r="BD20" s="334"/>
    </row>
    <row r="21" spans="1:58" s="119" customFormat="1" ht="18" customHeight="1" x14ac:dyDescent="0.25">
      <c r="A21" s="127">
        <v>5001</v>
      </c>
      <c r="B21" s="382" t="s">
        <v>12</v>
      </c>
      <c r="C21" s="895">
        <v>140556.63666666666</v>
      </c>
      <c r="D21" s="90">
        <v>125246.49</v>
      </c>
      <c r="E21" s="125">
        <f t="shared" si="18"/>
        <v>-15310.146666666653</v>
      </c>
      <c r="F21" s="126">
        <f>((D21/C21)-1)*100</f>
        <v>-10.892510684483025</v>
      </c>
      <c r="G21" s="878">
        <v>140556.63666666666</v>
      </c>
      <c r="H21" s="125">
        <v>114909.82</v>
      </c>
      <c r="I21" s="121">
        <f t="shared" si="26"/>
        <v>-25646.816666666651</v>
      </c>
      <c r="J21" s="126">
        <f t="shared" si="8"/>
        <v>-18.246606688155666</v>
      </c>
      <c r="K21" s="878">
        <v>140556.63666666666</v>
      </c>
      <c r="L21" s="125">
        <v>130883.74</v>
      </c>
      <c r="M21" s="125">
        <f t="shared" si="23"/>
        <v>-9672.8966666666529</v>
      </c>
      <c r="N21" s="126">
        <f>((L21/K21)-1)*100</f>
        <v>-6.8818498336767675</v>
      </c>
      <c r="O21" s="878">
        <v>140556.63666666666</v>
      </c>
      <c r="P21" s="149">
        <v>137938.21</v>
      </c>
      <c r="Q21" s="125">
        <f t="shared" si="25"/>
        <v>-2618.4266666666663</v>
      </c>
      <c r="R21" s="126">
        <f t="shared" si="9"/>
        <v>-1.8628979241132049</v>
      </c>
      <c r="S21" s="878">
        <v>140556.63666666666</v>
      </c>
      <c r="T21" s="149">
        <v>126753.8</v>
      </c>
      <c r="U21" s="125">
        <f t="shared" si="1"/>
        <v>-13802.836666666655</v>
      </c>
      <c r="V21" s="126">
        <f t="shared" si="10"/>
        <v>-9.8201244665525156</v>
      </c>
      <c r="W21" s="878">
        <v>140556.63666666666</v>
      </c>
      <c r="X21" s="149">
        <v>121341.33</v>
      </c>
      <c r="Y21" s="125">
        <f t="shared" si="20"/>
        <v>-19215.306666666656</v>
      </c>
      <c r="Z21" s="126">
        <f t="shared" si="11"/>
        <v>-13.670864017781103</v>
      </c>
      <c r="AA21" s="878">
        <v>140556.63666666666</v>
      </c>
      <c r="AB21" s="983">
        <v>129126.13</v>
      </c>
      <c r="AC21" s="125">
        <f t="shared" si="21"/>
        <v>-11430.506666666653</v>
      </c>
      <c r="AD21" s="126">
        <f t="shared" si="12"/>
        <v>-8.1323137332706459</v>
      </c>
      <c r="AE21" s="999">
        <v>140556.63666666666</v>
      </c>
      <c r="AF21" s="997">
        <v>140527.39000000001</v>
      </c>
      <c r="AG21" s="125">
        <f>AF21-AE21</f>
        <v>-29.24666666664416</v>
      </c>
      <c r="AH21" s="216">
        <f t="shared" si="13"/>
        <v>-2.0807745091400154E-2</v>
      </c>
      <c r="AI21" s="878">
        <v>140556.63666666666</v>
      </c>
      <c r="AJ21" s="125">
        <v>119011.27</v>
      </c>
      <c r="AK21" s="125">
        <f>AJ21-AI21</f>
        <v>-21545.366666666654</v>
      </c>
      <c r="AL21" s="126">
        <f t="shared" si="14"/>
        <v>-15.328601464591095</v>
      </c>
      <c r="AM21" s="878">
        <v>140556.63666666666</v>
      </c>
      <c r="AN21" s="1020">
        <v>142848.28</v>
      </c>
      <c r="AO21" s="125">
        <f>AN21-AM21</f>
        <v>2291.6433333333407</v>
      </c>
      <c r="AP21" s="126">
        <f t="shared" si="15"/>
        <v>1.6304056412277612</v>
      </c>
      <c r="AQ21" s="878">
        <v>140556.63666666666</v>
      </c>
      <c r="AR21" s="224"/>
      <c r="AS21" s="125">
        <f>AR21-AQ21</f>
        <v>-140556.63666666666</v>
      </c>
      <c r="AT21" s="126">
        <f t="shared" si="16"/>
        <v>-100</v>
      </c>
      <c r="AU21" s="878">
        <v>140556.63666666666</v>
      </c>
      <c r="AV21" s="211"/>
      <c r="AW21" s="125">
        <f t="shared" si="5"/>
        <v>-140556.63666666666</v>
      </c>
      <c r="AX21" s="126">
        <f t="shared" si="17"/>
        <v>-100</v>
      </c>
      <c r="AY21" s="126">
        <f t="shared" ref="AY21:AY40" si="27">C21+G21+K21+O21+S21+W21+AA21+AE21+AI21+AM21+AQ21+AU21</f>
        <v>1686679.6400000004</v>
      </c>
      <c r="AZ21" s="126">
        <f>SUM(D21+H21+L21+P21+T21+X21+AB21+AF21+AJ21+AN21+AR21+AV21)</f>
        <v>1288586.46</v>
      </c>
      <c r="BA21" s="118"/>
      <c r="BC21" s="334"/>
      <c r="BD21" s="334"/>
    </row>
    <row r="22" spans="1:58" s="119" customFormat="1" ht="18" customHeight="1" x14ac:dyDescent="0.25">
      <c r="A22" s="127">
        <v>4993</v>
      </c>
      <c r="B22" s="382" t="s">
        <v>13</v>
      </c>
      <c r="C22" s="895">
        <v>0</v>
      </c>
      <c r="D22" s="90">
        <v>0</v>
      </c>
      <c r="E22" s="125">
        <f t="shared" si="18"/>
        <v>0</v>
      </c>
      <c r="F22" s="126"/>
      <c r="G22" s="211">
        <v>0</v>
      </c>
      <c r="H22" s="149">
        <v>0</v>
      </c>
      <c r="I22" s="121">
        <f t="shared" si="26"/>
        <v>0</v>
      </c>
      <c r="J22" s="126"/>
      <c r="K22" s="211">
        <v>0</v>
      </c>
      <c r="L22" s="149">
        <v>0</v>
      </c>
      <c r="M22" s="125">
        <f t="shared" si="23"/>
        <v>0</v>
      </c>
      <c r="N22" s="126"/>
      <c r="O22" s="211">
        <v>0</v>
      </c>
      <c r="P22" s="149">
        <v>0</v>
      </c>
      <c r="Q22" s="125">
        <f t="shared" si="25"/>
        <v>0</v>
      </c>
      <c r="R22" s="126"/>
      <c r="S22" s="211">
        <v>0</v>
      </c>
      <c r="T22" s="149">
        <v>0</v>
      </c>
      <c r="U22" s="125">
        <f t="shared" si="1"/>
        <v>0</v>
      </c>
      <c r="V22" s="126"/>
      <c r="W22" s="211">
        <v>0</v>
      </c>
      <c r="X22" s="149">
        <v>0</v>
      </c>
      <c r="Y22" s="125">
        <f t="shared" si="20"/>
        <v>0</v>
      </c>
      <c r="Z22" s="126"/>
      <c r="AA22" s="211">
        <v>0</v>
      </c>
      <c r="AB22" s="211">
        <v>0</v>
      </c>
      <c r="AC22" s="125">
        <f t="shared" si="21"/>
        <v>0</v>
      </c>
      <c r="AD22" s="126"/>
      <c r="AE22" s="211">
        <v>0</v>
      </c>
      <c r="AF22" s="121">
        <v>0</v>
      </c>
      <c r="AG22" s="125">
        <f t="shared" ref="AG22:AG40" si="28">AF22-AE22</f>
        <v>0</v>
      </c>
      <c r="AH22" s="216"/>
      <c r="AI22" s="224">
        <v>0</v>
      </c>
      <c r="AJ22" s="125">
        <v>0</v>
      </c>
      <c r="AK22" s="125">
        <f t="shared" ref="AK22:AK35" si="29">AJ22-AI22</f>
        <v>0</v>
      </c>
      <c r="AL22" s="126"/>
      <c r="AM22" s="211">
        <v>0</v>
      </c>
      <c r="AN22" s="1020">
        <v>0</v>
      </c>
      <c r="AO22" s="125">
        <f t="shared" ref="AO22:AO35" si="30">AN22-AM22</f>
        <v>0</v>
      </c>
      <c r="AP22" s="126"/>
      <c r="AQ22" s="121">
        <v>0</v>
      </c>
      <c r="AR22" s="224">
        <v>0</v>
      </c>
      <c r="AS22" s="125">
        <f t="shared" ref="AS22:AS40" si="31">AR22-AQ22</f>
        <v>0</v>
      </c>
      <c r="AT22" s="126"/>
      <c r="AU22" s="211">
        <v>0</v>
      </c>
      <c r="AV22" s="211">
        <v>0</v>
      </c>
      <c r="AW22" s="125">
        <f t="shared" si="5"/>
        <v>0</v>
      </c>
      <c r="AX22" s="126"/>
      <c r="AY22" s="126">
        <f t="shared" si="27"/>
        <v>0</v>
      </c>
      <c r="AZ22" s="126">
        <f>SUM(D22+H22+L22+P22+T22+X22+AB22+AF22+AJ22+AN22+AR22+AV22)</f>
        <v>0</v>
      </c>
      <c r="BA22" s="118"/>
      <c r="BC22" s="334"/>
      <c r="BD22" s="334"/>
      <c r="BF22" s="334"/>
    </row>
    <row r="23" spans="1:58" s="119" customFormat="1" ht="18" customHeight="1" x14ac:dyDescent="0.25">
      <c r="A23" s="150" t="s">
        <v>143</v>
      </c>
      <c r="B23" s="989" t="s">
        <v>166</v>
      </c>
      <c r="C23" s="895">
        <v>8103.41</v>
      </c>
      <c r="D23" s="90">
        <f>8233.81</f>
        <v>8233.81</v>
      </c>
      <c r="E23" s="125">
        <f t="shared" si="18"/>
        <v>130.39999999999964</v>
      </c>
      <c r="F23" s="126">
        <f t="shared" ref="F23:F37" si="32">((D23/C23)-1)*100</f>
        <v>1.6091990902595388</v>
      </c>
      <c r="G23" s="878">
        <v>8103.41</v>
      </c>
      <c r="H23" s="149">
        <v>8266.75</v>
      </c>
      <c r="I23" s="121">
        <f t="shared" si="26"/>
        <v>163.34000000000015</v>
      </c>
      <c r="J23" s="126">
        <f t="shared" ref="J23:J37" si="33">((H23/G23)-1)*100</f>
        <v>2.015694627323561</v>
      </c>
      <c r="K23" s="878">
        <v>8103.41</v>
      </c>
      <c r="L23" s="149">
        <v>8299.7999999999993</v>
      </c>
      <c r="M23" s="125">
        <f t="shared" si="23"/>
        <v>196.38999999999942</v>
      </c>
      <c r="N23" s="126">
        <f t="shared" ref="N23:N37" si="34">((L23/K23)-1)*100</f>
        <v>2.4235476176078796</v>
      </c>
      <c r="O23" s="878">
        <v>8103.41</v>
      </c>
      <c r="P23" s="149">
        <v>8333.01</v>
      </c>
      <c r="Q23" s="125">
        <f t="shared" si="25"/>
        <v>229.60000000000036</v>
      </c>
      <c r="R23" s="126">
        <f t="shared" ref="R23:R37" si="35">((P23/O23)-1)*100</f>
        <v>2.8333750853035911</v>
      </c>
      <c r="S23" s="878">
        <v>8103.41</v>
      </c>
      <c r="T23" s="149">
        <v>8366.34</v>
      </c>
      <c r="U23" s="125">
        <f t="shared" si="1"/>
        <v>262.93000000000029</v>
      </c>
      <c r="V23" s="126">
        <f>((T23/S23)-1)*100</f>
        <v>3.2446834110578138</v>
      </c>
      <c r="W23" s="878">
        <v>8103.41</v>
      </c>
      <c r="X23" s="149">
        <v>8399.81</v>
      </c>
      <c r="Y23" s="125">
        <f t="shared" si="20"/>
        <v>296.39999999999964</v>
      </c>
      <c r="Z23" s="126">
        <f>((X23/W23)-1)*100</f>
        <v>3.6577194045469774</v>
      </c>
      <c r="AA23" s="878">
        <v>8103.41</v>
      </c>
      <c r="AB23" s="149">
        <v>8433.41</v>
      </c>
      <c r="AC23" s="125">
        <f t="shared" si="21"/>
        <v>330</v>
      </c>
      <c r="AD23" s="126">
        <f t="shared" si="12"/>
        <v>4.0723596609328672</v>
      </c>
      <c r="AE23" s="999">
        <v>8103.41</v>
      </c>
      <c r="AF23" s="121">
        <v>8467.14</v>
      </c>
      <c r="AG23" s="125">
        <f t="shared" si="28"/>
        <v>363.72999999999956</v>
      </c>
      <c r="AH23" s="216">
        <f t="shared" si="13"/>
        <v>4.488604180215483</v>
      </c>
      <c r="AI23" s="878">
        <v>8103.41</v>
      </c>
      <c r="AJ23" s="125">
        <v>8500.99</v>
      </c>
      <c r="AK23" s="125">
        <f t="shared" si="29"/>
        <v>397.57999999999993</v>
      </c>
      <c r="AL23" s="126">
        <f t="shared" si="14"/>
        <v>4.9063295575566324</v>
      </c>
      <c r="AM23" s="878">
        <v>8103.41</v>
      </c>
      <c r="AN23" s="1020">
        <v>8535.01</v>
      </c>
      <c r="AO23" s="125">
        <f t="shared" si="30"/>
        <v>431.60000000000036</v>
      </c>
      <c r="AP23" s="126">
        <f t="shared" si="15"/>
        <v>5.3261528171473449</v>
      </c>
      <c r="AQ23" s="878">
        <v>8103.41</v>
      </c>
      <c r="AR23" s="224"/>
      <c r="AS23" s="125">
        <f t="shared" si="31"/>
        <v>-8103.41</v>
      </c>
      <c r="AT23" s="126">
        <f t="shared" si="16"/>
        <v>-100</v>
      </c>
      <c r="AU23" s="878">
        <v>8103.41</v>
      </c>
      <c r="AV23" s="211"/>
      <c r="AW23" s="125">
        <f t="shared" si="5"/>
        <v>-8103.41</v>
      </c>
      <c r="AX23" s="126">
        <f t="shared" si="17"/>
        <v>-100</v>
      </c>
      <c r="AY23" s="126">
        <f t="shared" si="27"/>
        <v>97240.920000000027</v>
      </c>
      <c r="AZ23" s="126">
        <f>SUM(D23+H23+L23+P23+T23+X23+AB23+AF23+AJ23+AN23+AR23+AV23)</f>
        <v>83836.069999999992</v>
      </c>
      <c r="BA23" s="118"/>
    </row>
    <row r="24" spans="1:58" s="119" customFormat="1" ht="18" customHeight="1" x14ac:dyDescent="0.25">
      <c r="A24" s="127">
        <v>38583</v>
      </c>
      <c r="B24" s="989" t="s">
        <v>14</v>
      </c>
      <c r="C24" s="895">
        <v>0</v>
      </c>
      <c r="D24" s="90">
        <v>0</v>
      </c>
      <c r="E24" s="125">
        <f t="shared" si="18"/>
        <v>0</v>
      </c>
      <c r="F24" s="126"/>
      <c r="G24" s="211">
        <v>0</v>
      </c>
      <c r="H24" s="149">
        <v>0</v>
      </c>
      <c r="I24" s="121">
        <f t="shared" si="26"/>
        <v>0</v>
      </c>
      <c r="J24" s="126"/>
      <c r="K24" s="211">
        <v>0</v>
      </c>
      <c r="L24" s="149">
        <v>0</v>
      </c>
      <c r="M24" s="125">
        <f t="shared" si="23"/>
        <v>0</v>
      </c>
      <c r="N24" s="126"/>
      <c r="O24" s="211">
        <v>0</v>
      </c>
      <c r="P24" s="149">
        <v>0</v>
      </c>
      <c r="Q24" s="125">
        <f t="shared" si="25"/>
        <v>0</v>
      </c>
      <c r="R24" s="126"/>
      <c r="S24" s="211">
        <v>0</v>
      </c>
      <c r="T24" s="149">
        <v>0</v>
      </c>
      <c r="U24" s="125">
        <f t="shared" si="1"/>
        <v>0</v>
      </c>
      <c r="V24" s="126"/>
      <c r="W24" s="211">
        <v>0</v>
      </c>
      <c r="X24" s="149">
        <v>1450</v>
      </c>
      <c r="Y24" s="125">
        <f t="shared" si="20"/>
        <v>1450</v>
      </c>
      <c r="Z24" s="126"/>
      <c r="AA24" s="211">
        <v>0</v>
      </c>
      <c r="AB24" s="125">
        <v>179561.57</v>
      </c>
      <c r="AC24" s="125">
        <f t="shared" si="21"/>
        <v>179561.57</v>
      </c>
      <c r="AD24" s="126"/>
      <c r="AE24" s="211">
        <v>0</v>
      </c>
      <c r="AF24" s="997">
        <v>0</v>
      </c>
      <c r="AG24" s="125">
        <f t="shared" si="28"/>
        <v>0</v>
      </c>
      <c r="AH24" s="216"/>
      <c r="AI24" s="224">
        <v>0</v>
      </c>
      <c r="AJ24" s="125">
        <v>0</v>
      </c>
      <c r="AK24" s="125">
        <f t="shared" si="29"/>
        <v>0</v>
      </c>
      <c r="AL24" s="126"/>
      <c r="AM24" s="211">
        <v>0</v>
      </c>
      <c r="AN24" s="1020">
        <v>0</v>
      </c>
      <c r="AO24" s="125">
        <f t="shared" si="30"/>
        <v>0</v>
      </c>
      <c r="AP24" s="126"/>
      <c r="AQ24" s="121">
        <v>0</v>
      </c>
      <c r="AR24" s="224">
        <v>0</v>
      </c>
      <c r="AS24" s="125">
        <f t="shared" si="31"/>
        <v>0</v>
      </c>
      <c r="AT24" s="126"/>
      <c r="AU24" s="211">
        <v>0</v>
      </c>
      <c r="AV24" s="211">
        <v>0</v>
      </c>
      <c r="AW24" s="125">
        <f t="shared" si="5"/>
        <v>0</v>
      </c>
      <c r="AX24" s="126"/>
      <c r="AY24" s="126">
        <f t="shared" si="27"/>
        <v>0</v>
      </c>
      <c r="AZ24" s="126">
        <f>SUM(D24+H24+L24+P24+T24+X24+AB24+AF24+AJ24+AN24+AR24+AV24)</f>
        <v>181011.57</v>
      </c>
      <c r="BA24" s="118"/>
    </row>
    <row r="25" spans="1:58" s="119" customFormat="1" ht="18" customHeight="1" x14ac:dyDescent="0.25">
      <c r="A25" s="150" t="s">
        <v>142</v>
      </c>
      <c r="B25" s="989" t="s">
        <v>15</v>
      </c>
      <c r="C25" s="895">
        <v>30038.32333333333</v>
      </c>
      <c r="D25" s="82">
        <f>3687.19+13985.6</f>
        <v>17672.79</v>
      </c>
      <c r="E25" s="125">
        <f t="shared" si="18"/>
        <v>-12365.533333333329</v>
      </c>
      <c r="F25" s="126">
        <f t="shared" si="32"/>
        <v>-41.165857348673583</v>
      </c>
      <c r="G25" s="878">
        <v>30038.32333333333</v>
      </c>
      <c r="H25" s="149">
        <f>4937.5+15543.65</f>
        <v>20481.150000000001</v>
      </c>
      <c r="I25" s="121">
        <f t="shared" si="26"/>
        <v>-9557.1733333333286</v>
      </c>
      <c r="J25" s="126">
        <f t="shared" si="33"/>
        <v>-31.81660050488836</v>
      </c>
      <c r="K25" s="878">
        <v>30038.32333333333</v>
      </c>
      <c r="L25" s="149">
        <v>35725.839999999997</v>
      </c>
      <c r="M25" s="125">
        <f t="shared" si="23"/>
        <v>5687.5166666666664</v>
      </c>
      <c r="N25" s="126">
        <f t="shared" si="34"/>
        <v>18.93420149837479</v>
      </c>
      <c r="O25" s="878">
        <v>30038.32333333333</v>
      </c>
      <c r="P25" s="149">
        <v>55691.95</v>
      </c>
      <c r="Q25" s="125">
        <f t="shared" si="25"/>
        <v>25653.626666666667</v>
      </c>
      <c r="R25" s="126">
        <f t="shared" si="35"/>
        <v>85.402991312098322</v>
      </c>
      <c r="S25" s="878">
        <v>30038.32333333333</v>
      </c>
      <c r="T25" s="149">
        <v>103322.97</v>
      </c>
      <c r="U25" s="125">
        <f t="shared" si="1"/>
        <v>73284.646666666667</v>
      </c>
      <c r="V25" s="126">
        <f t="shared" ref="V25:V34" si="36">((T25/S25)-1)*100</f>
        <v>243.97049679981032</v>
      </c>
      <c r="W25" s="878">
        <v>30038.32333333333</v>
      </c>
      <c r="X25" s="149">
        <v>134830.43</v>
      </c>
      <c r="Y25" s="125">
        <f t="shared" si="20"/>
        <v>104792.10666666666</v>
      </c>
      <c r="Z25" s="126">
        <f t="shared" ref="Z25:Z37" si="37">((X25/W25)-1)*100</f>
        <v>348.8613712016994</v>
      </c>
      <c r="AA25" s="878">
        <v>30038.32333333333</v>
      </c>
      <c r="AB25" s="125">
        <v>150058.22</v>
      </c>
      <c r="AC25" s="125">
        <f t="shared" si="21"/>
        <v>120019.89666666667</v>
      </c>
      <c r="AD25" s="126">
        <f t="shared" si="12"/>
        <v>399.55591174252191</v>
      </c>
      <c r="AE25" s="999">
        <v>30038.32333333333</v>
      </c>
      <c r="AF25" s="997">
        <v>195348.01</v>
      </c>
      <c r="AG25" s="125">
        <f t="shared" si="28"/>
        <v>165309.68666666668</v>
      </c>
      <c r="AH25" s="216">
        <f t="shared" si="13"/>
        <v>550.32927381543834</v>
      </c>
      <c r="AI25" s="878">
        <v>30038.32333333333</v>
      </c>
      <c r="AJ25" s="125">
        <v>200368.59</v>
      </c>
      <c r="AK25" s="125">
        <f t="shared" si="29"/>
        <v>170330.26666666666</v>
      </c>
      <c r="AL25" s="126">
        <f t="shared" si="14"/>
        <v>567.04318938351753</v>
      </c>
      <c r="AM25" s="878">
        <v>30038.32333333333</v>
      </c>
      <c r="AN25" s="1020">
        <v>211239.19</v>
      </c>
      <c r="AO25" s="125">
        <f t="shared" si="30"/>
        <v>181200.86666666667</v>
      </c>
      <c r="AP25" s="126">
        <f t="shared" si="15"/>
        <v>603.23229314729849</v>
      </c>
      <c r="AQ25" s="878">
        <v>30039.323333333301</v>
      </c>
      <c r="AR25" s="224"/>
      <c r="AS25" s="125">
        <f t="shared" si="31"/>
        <v>-30039.323333333301</v>
      </c>
      <c r="AT25" s="126">
        <f t="shared" si="16"/>
        <v>-100</v>
      </c>
      <c r="AU25" s="878">
        <v>30038.32333333333</v>
      </c>
      <c r="AV25" s="211"/>
      <c r="AW25" s="125">
        <f t="shared" si="5"/>
        <v>-30038.32333333333</v>
      </c>
      <c r="AX25" s="126">
        <f t="shared" si="17"/>
        <v>-100</v>
      </c>
      <c r="AY25" s="126">
        <f t="shared" si="27"/>
        <v>360460.87999999989</v>
      </c>
      <c r="AZ25" s="126">
        <f t="shared" ref="AZ25:AZ40" si="38">SUM(D25+H25+L25+P25+T25+X25+AB25+AF25+AJ25+AN25+AR25+AV25)</f>
        <v>1124739.1399999999</v>
      </c>
      <c r="BA25" s="118"/>
      <c r="BC25" s="334"/>
    </row>
    <row r="26" spans="1:58" s="119" customFormat="1" ht="18" customHeight="1" x14ac:dyDescent="0.25">
      <c r="A26" s="127">
        <v>27432</v>
      </c>
      <c r="B26" s="989" t="s">
        <v>16</v>
      </c>
      <c r="C26" s="895">
        <v>14174.276666666667</v>
      </c>
      <c r="D26" s="90">
        <v>16916.22</v>
      </c>
      <c r="E26" s="125">
        <f t="shared" si="18"/>
        <v>2741.9433333333345</v>
      </c>
      <c r="F26" s="126">
        <f t="shared" si="32"/>
        <v>19.344502705958199</v>
      </c>
      <c r="G26" s="878">
        <v>14174.276666666667</v>
      </c>
      <c r="H26" s="149">
        <v>16916.22</v>
      </c>
      <c r="I26" s="121">
        <f t="shared" si="26"/>
        <v>2741.9433333333345</v>
      </c>
      <c r="J26" s="126">
        <f t="shared" si="33"/>
        <v>19.344502705958199</v>
      </c>
      <c r="K26" s="878">
        <v>14174.276666666667</v>
      </c>
      <c r="L26" s="149">
        <v>16916.22</v>
      </c>
      <c r="M26" s="125">
        <f t="shared" si="23"/>
        <v>2741.9433333333345</v>
      </c>
      <c r="N26" s="126">
        <f t="shared" si="34"/>
        <v>19.344502705958199</v>
      </c>
      <c r="O26" s="878">
        <v>14174.276666666667</v>
      </c>
      <c r="P26" s="149">
        <v>16916.22</v>
      </c>
      <c r="Q26" s="125">
        <f t="shared" si="25"/>
        <v>2741.9433333333345</v>
      </c>
      <c r="R26" s="126">
        <f t="shared" si="35"/>
        <v>19.344502705958199</v>
      </c>
      <c r="S26" s="878">
        <v>14174.276666666667</v>
      </c>
      <c r="T26" s="149">
        <v>16916.22</v>
      </c>
      <c r="U26" s="125">
        <f t="shared" si="1"/>
        <v>2741.9433333333345</v>
      </c>
      <c r="V26" s="126">
        <f t="shared" si="36"/>
        <v>19.344502705958199</v>
      </c>
      <c r="W26" s="878">
        <v>14174.276666666667</v>
      </c>
      <c r="X26" s="149">
        <v>16916.22</v>
      </c>
      <c r="Y26" s="125">
        <f t="shared" si="20"/>
        <v>2741.9433333333345</v>
      </c>
      <c r="Z26" s="126">
        <f t="shared" si="37"/>
        <v>19.344502705958199</v>
      </c>
      <c r="AA26" s="878">
        <v>14174.276666666667</v>
      </c>
      <c r="AB26" s="125">
        <v>8916.2199999999993</v>
      </c>
      <c r="AC26" s="125">
        <f t="shared" si="21"/>
        <v>-5258.0566666666673</v>
      </c>
      <c r="AD26" s="126">
        <f t="shared" si="12"/>
        <v>-37.095767144378691</v>
      </c>
      <c r="AE26" s="999">
        <v>14174.276666666667</v>
      </c>
      <c r="AF26" s="121">
        <v>8916.2199999999993</v>
      </c>
      <c r="AG26" s="125">
        <f t="shared" si="28"/>
        <v>-5258.0566666666673</v>
      </c>
      <c r="AH26" s="216">
        <f t="shared" si="13"/>
        <v>-37.095767144378691</v>
      </c>
      <c r="AI26" s="878">
        <v>14174.276666666667</v>
      </c>
      <c r="AJ26" s="125">
        <v>8916.2199999999993</v>
      </c>
      <c r="AK26" s="125">
        <f t="shared" si="29"/>
        <v>-5258.0566666666673</v>
      </c>
      <c r="AL26" s="126">
        <f t="shared" si="14"/>
        <v>-37.095767144378691</v>
      </c>
      <c r="AM26" s="878">
        <v>14174.276666666667</v>
      </c>
      <c r="AN26" s="1020">
        <v>8916.2199999999993</v>
      </c>
      <c r="AO26" s="125">
        <f t="shared" si="30"/>
        <v>-5258.0566666666673</v>
      </c>
      <c r="AP26" s="126">
        <f t="shared" si="15"/>
        <v>-37.095767144378691</v>
      </c>
      <c r="AQ26" s="878">
        <v>14174.276666666667</v>
      </c>
      <c r="AR26" s="224"/>
      <c r="AS26" s="125">
        <f t="shared" si="31"/>
        <v>-14174.276666666667</v>
      </c>
      <c r="AT26" s="126">
        <f t="shared" si="16"/>
        <v>-100</v>
      </c>
      <c r="AU26" s="878">
        <v>14174.276666666667</v>
      </c>
      <c r="AV26" s="211"/>
      <c r="AW26" s="125">
        <f t="shared" si="5"/>
        <v>-14174.276666666667</v>
      </c>
      <c r="AX26" s="126">
        <f t="shared" si="17"/>
        <v>-100</v>
      </c>
      <c r="AY26" s="126">
        <f t="shared" si="27"/>
        <v>170091.32000000004</v>
      </c>
      <c r="AZ26" s="126">
        <f t="shared" si="38"/>
        <v>137162.20000000001</v>
      </c>
      <c r="BA26" s="118"/>
      <c r="BC26" s="334"/>
    </row>
    <row r="27" spans="1:58" s="119" customFormat="1" ht="18" customHeight="1" x14ac:dyDescent="0.25">
      <c r="A27" s="127">
        <v>54902</v>
      </c>
      <c r="B27" s="989" t="s">
        <v>3702</v>
      </c>
      <c r="C27" s="895">
        <v>0</v>
      </c>
      <c r="D27" s="90">
        <v>0</v>
      </c>
      <c r="E27" s="125">
        <f t="shared" si="18"/>
        <v>0</v>
      </c>
      <c r="F27" s="126"/>
      <c r="G27" s="878">
        <v>0</v>
      </c>
      <c r="H27" s="149">
        <v>0</v>
      </c>
      <c r="I27" s="121">
        <f t="shared" si="26"/>
        <v>0</v>
      </c>
      <c r="J27" s="126"/>
      <c r="K27" s="878">
        <v>0</v>
      </c>
      <c r="L27" s="149">
        <v>0</v>
      </c>
      <c r="M27" s="125">
        <f t="shared" si="23"/>
        <v>0</v>
      </c>
      <c r="N27" s="126"/>
      <c r="O27" s="878">
        <v>0</v>
      </c>
      <c r="P27" s="149">
        <v>565315.62</v>
      </c>
      <c r="Q27" s="125">
        <f t="shared" si="25"/>
        <v>565315.62</v>
      </c>
      <c r="R27" s="126"/>
      <c r="S27" s="878">
        <v>0</v>
      </c>
      <c r="T27" s="149">
        <v>0</v>
      </c>
      <c r="U27" s="125">
        <f t="shared" si="1"/>
        <v>0</v>
      </c>
      <c r="V27" s="126"/>
      <c r="W27" s="878">
        <v>0</v>
      </c>
      <c r="X27" s="149">
        <v>0</v>
      </c>
      <c r="Y27" s="125">
        <f t="shared" si="20"/>
        <v>0</v>
      </c>
      <c r="Z27" s="126"/>
      <c r="AA27" s="878">
        <v>0</v>
      </c>
      <c r="AB27" s="125">
        <v>0</v>
      </c>
      <c r="AC27" s="125">
        <f t="shared" si="21"/>
        <v>0</v>
      </c>
      <c r="AD27" s="126"/>
      <c r="AE27" s="999">
        <v>0</v>
      </c>
      <c r="AF27" s="121">
        <v>0</v>
      </c>
      <c r="AG27" s="125">
        <f t="shared" si="28"/>
        <v>0</v>
      </c>
      <c r="AH27" s="216"/>
      <c r="AI27" s="878">
        <v>0</v>
      </c>
      <c r="AJ27" s="125">
        <v>0</v>
      </c>
      <c r="AK27" s="125">
        <f t="shared" si="29"/>
        <v>0</v>
      </c>
      <c r="AL27" s="126"/>
      <c r="AM27" s="878">
        <v>0</v>
      </c>
      <c r="AN27" s="1020">
        <v>0</v>
      </c>
      <c r="AO27" s="125">
        <f t="shared" si="30"/>
        <v>0</v>
      </c>
      <c r="AP27" s="126"/>
      <c r="AQ27" s="878">
        <v>0</v>
      </c>
      <c r="AR27" s="224">
        <v>0</v>
      </c>
      <c r="AS27" s="125">
        <f t="shared" si="31"/>
        <v>0</v>
      </c>
      <c r="AT27" s="126"/>
      <c r="AU27" s="878">
        <v>0</v>
      </c>
      <c r="AV27" s="211">
        <v>0</v>
      </c>
      <c r="AW27" s="125">
        <f t="shared" si="5"/>
        <v>0</v>
      </c>
      <c r="AX27" s="126"/>
      <c r="AY27" s="126">
        <f t="shared" si="27"/>
        <v>0</v>
      </c>
      <c r="AZ27" s="126">
        <f t="shared" si="38"/>
        <v>565315.62</v>
      </c>
      <c r="BA27" s="118"/>
      <c r="BC27" s="334"/>
    </row>
    <row r="28" spans="1:58" s="119" customFormat="1" ht="18" customHeight="1" x14ac:dyDescent="0.25">
      <c r="A28" s="127">
        <v>5180</v>
      </c>
      <c r="B28" s="382" t="s">
        <v>18</v>
      </c>
      <c r="C28" s="895">
        <v>26367</v>
      </c>
      <c r="D28" s="82">
        <v>25100</v>
      </c>
      <c r="E28" s="125">
        <f t="shared" si="18"/>
        <v>-1267</v>
      </c>
      <c r="F28" s="126">
        <f t="shared" si="32"/>
        <v>-4.8052489854742646</v>
      </c>
      <c r="G28" s="895">
        <v>26367</v>
      </c>
      <c r="H28" s="125">
        <v>52640</v>
      </c>
      <c r="I28" s="121">
        <f t="shared" si="26"/>
        <v>26273</v>
      </c>
      <c r="J28" s="126">
        <f t="shared" si="33"/>
        <v>99.643493761140817</v>
      </c>
      <c r="K28" s="895">
        <v>26367</v>
      </c>
      <c r="L28" s="125">
        <v>14000</v>
      </c>
      <c r="M28" s="125">
        <f t="shared" si="23"/>
        <v>-12367</v>
      </c>
      <c r="N28" s="126">
        <f t="shared" si="34"/>
        <v>-46.903326127356159</v>
      </c>
      <c r="O28" s="895">
        <v>26367</v>
      </c>
      <c r="P28" s="125">
        <v>14000</v>
      </c>
      <c r="Q28" s="125">
        <f t="shared" si="25"/>
        <v>-12367</v>
      </c>
      <c r="R28" s="126">
        <f t="shared" si="35"/>
        <v>-46.903326127356159</v>
      </c>
      <c r="S28" s="895">
        <v>26367</v>
      </c>
      <c r="T28" s="125">
        <v>14000</v>
      </c>
      <c r="U28" s="125">
        <f t="shared" si="1"/>
        <v>-12367</v>
      </c>
      <c r="V28" s="126">
        <f t="shared" si="36"/>
        <v>-46.903326127356159</v>
      </c>
      <c r="W28" s="895">
        <v>26367</v>
      </c>
      <c r="X28" s="125">
        <v>14000</v>
      </c>
      <c r="Y28" s="125">
        <f t="shared" si="20"/>
        <v>-12367</v>
      </c>
      <c r="Z28" s="126">
        <f t="shared" si="37"/>
        <v>-46.903326127356159</v>
      </c>
      <c r="AA28" s="895">
        <v>1453.5766666666668</v>
      </c>
      <c r="AB28" s="125">
        <v>14000</v>
      </c>
      <c r="AC28" s="125">
        <f t="shared" si="21"/>
        <v>12546.423333333332</v>
      </c>
      <c r="AD28" s="126">
        <f t="shared" si="12"/>
        <v>863.14149236481035</v>
      </c>
      <c r="AE28" s="997">
        <v>26367</v>
      </c>
      <c r="AF28" s="997">
        <v>14000</v>
      </c>
      <c r="AG28" s="125">
        <f t="shared" si="28"/>
        <v>-12367</v>
      </c>
      <c r="AH28" s="216">
        <f t="shared" si="13"/>
        <v>-46.903326127356159</v>
      </c>
      <c r="AI28" s="895">
        <v>26367</v>
      </c>
      <c r="AJ28" s="125">
        <v>14000</v>
      </c>
      <c r="AK28" s="125">
        <f t="shared" si="29"/>
        <v>-12367</v>
      </c>
      <c r="AL28" s="126">
        <f t="shared" si="14"/>
        <v>-46.903326127356159</v>
      </c>
      <c r="AM28" s="895">
        <v>26367</v>
      </c>
      <c r="AN28" s="889">
        <v>14500</v>
      </c>
      <c r="AO28" s="125">
        <f t="shared" si="30"/>
        <v>-11867</v>
      </c>
      <c r="AP28" s="126">
        <f t="shared" si="15"/>
        <v>-45.007016346190312</v>
      </c>
      <c r="AQ28" s="895">
        <v>26367</v>
      </c>
      <c r="AR28" s="224"/>
      <c r="AS28" s="125">
        <f t="shared" si="31"/>
        <v>-26367</v>
      </c>
      <c r="AT28" s="126">
        <f t="shared" si="16"/>
        <v>-100</v>
      </c>
      <c r="AU28" s="895">
        <v>26367</v>
      </c>
      <c r="AV28" s="211"/>
      <c r="AW28" s="125">
        <f t="shared" si="5"/>
        <v>-26367</v>
      </c>
      <c r="AX28" s="126">
        <f t="shared" si="17"/>
        <v>-100</v>
      </c>
      <c r="AY28" s="126">
        <f t="shared" si="27"/>
        <v>291490.57666666666</v>
      </c>
      <c r="AZ28" s="126">
        <f t="shared" si="38"/>
        <v>190240</v>
      </c>
      <c r="BA28" s="118"/>
      <c r="BC28" s="334"/>
    </row>
    <row r="29" spans="1:58" s="119" customFormat="1" ht="18" customHeight="1" x14ac:dyDescent="0.25">
      <c r="A29" s="127">
        <v>5181</v>
      </c>
      <c r="B29" s="332" t="s">
        <v>19</v>
      </c>
      <c r="C29" s="895">
        <v>1453.5766666666668</v>
      </c>
      <c r="D29" s="82">
        <f>859.28+1478.4</f>
        <v>2337.6800000000003</v>
      </c>
      <c r="E29" s="125">
        <f t="shared" si="18"/>
        <v>884.10333333333347</v>
      </c>
      <c r="F29" s="126">
        <f t="shared" si="32"/>
        <v>60.822614562240716</v>
      </c>
      <c r="G29" s="878">
        <v>1453.5766666666668</v>
      </c>
      <c r="H29" s="125">
        <v>4477.6499999999996</v>
      </c>
      <c r="I29" s="121">
        <f t="shared" si="26"/>
        <v>3024.0733333333328</v>
      </c>
      <c r="J29" s="126">
        <f t="shared" si="33"/>
        <v>208.04360737766379</v>
      </c>
      <c r="K29" s="878">
        <v>1453.5766666666668</v>
      </c>
      <c r="L29" s="125">
        <v>5694.77</v>
      </c>
      <c r="M29" s="125">
        <f t="shared" si="23"/>
        <v>4241.1933333333336</v>
      </c>
      <c r="N29" s="126">
        <f t="shared" si="34"/>
        <v>291.77637689102511</v>
      </c>
      <c r="O29" s="878">
        <v>1453.5766666666668</v>
      </c>
      <c r="P29" s="125">
        <v>5795.34</v>
      </c>
      <c r="Q29" s="125">
        <f t="shared" si="25"/>
        <v>4341.7633333333333</v>
      </c>
      <c r="R29" s="126">
        <f t="shared" si="35"/>
        <v>298.69517259724859</v>
      </c>
      <c r="S29" s="878">
        <v>1453.5766666666668</v>
      </c>
      <c r="T29" s="125">
        <v>3259.23</v>
      </c>
      <c r="U29" s="125">
        <f t="shared" si="1"/>
        <v>1805.6533333333332</v>
      </c>
      <c r="V29" s="126">
        <f t="shared" si="36"/>
        <v>124.22140329715434</v>
      </c>
      <c r="W29" s="878">
        <v>1453.5766666666668</v>
      </c>
      <c r="X29" s="125">
        <v>7389.72</v>
      </c>
      <c r="Y29" s="125">
        <f t="shared" si="20"/>
        <v>5936.1433333333334</v>
      </c>
      <c r="Z29" s="126">
        <f t="shared" si="37"/>
        <v>408.3818534970062</v>
      </c>
      <c r="AA29" s="878">
        <v>1000</v>
      </c>
      <c r="AB29" s="125">
        <v>9089</v>
      </c>
      <c r="AC29" s="125">
        <f t="shared" si="21"/>
        <v>8089</v>
      </c>
      <c r="AD29" s="126">
        <f t="shared" si="12"/>
        <v>808.90000000000009</v>
      </c>
      <c r="AE29" s="999">
        <v>1453.5766666666668</v>
      </c>
      <c r="AF29" s="121">
        <v>8356.17</v>
      </c>
      <c r="AG29" s="125">
        <f t="shared" si="28"/>
        <v>6902.5933333333332</v>
      </c>
      <c r="AH29" s="216">
        <f t="shared" si="13"/>
        <v>474.86957458957556</v>
      </c>
      <c r="AI29" s="878">
        <v>1453.5766666666668</v>
      </c>
      <c r="AJ29" s="125">
        <v>1116.5999999999999</v>
      </c>
      <c r="AK29" s="125">
        <f t="shared" si="29"/>
        <v>-336.97666666666692</v>
      </c>
      <c r="AL29" s="126">
        <f t="shared" si="14"/>
        <v>-23.18258640181806</v>
      </c>
      <c r="AM29" s="878">
        <v>1453.5766666666668</v>
      </c>
      <c r="AN29" s="1021">
        <v>3961.23</v>
      </c>
      <c r="AO29" s="125">
        <f t="shared" si="30"/>
        <v>2507.6533333333332</v>
      </c>
      <c r="AP29" s="126">
        <f t="shared" si="15"/>
        <v>172.51606955716125</v>
      </c>
      <c r="AQ29" s="878">
        <v>1453.5766666666668</v>
      </c>
      <c r="AR29" s="224"/>
      <c r="AS29" s="125">
        <f t="shared" si="31"/>
        <v>-1453.5766666666668</v>
      </c>
      <c r="AT29" s="126">
        <f t="shared" si="16"/>
        <v>-100</v>
      </c>
      <c r="AU29" s="878">
        <v>1453.5766666666668</v>
      </c>
      <c r="AV29" s="211"/>
      <c r="AW29" s="125">
        <f t="shared" si="5"/>
        <v>-1453.5766666666668</v>
      </c>
      <c r="AX29" s="126">
        <f t="shared" si="17"/>
        <v>-100</v>
      </c>
      <c r="AY29" s="126">
        <f t="shared" si="27"/>
        <v>16989.343333333338</v>
      </c>
      <c r="AZ29" s="126">
        <f t="shared" si="38"/>
        <v>51477.39</v>
      </c>
      <c r="BA29" s="118"/>
      <c r="BC29" s="334"/>
    </row>
    <row r="30" spans="1:58" s="119" customFormat="1" ht="18" customHeight="1" x14ac:dyDescent="0.25">
      <c r="A30" s="127">
        <v>5193</v>
      </c>
      <c r="B30" s="332" t="s">
        <v>128</v>
      </c>
      <c r="C30" s="895">
        <v>1000</v>
      </c>
      <c r="D30" s="82">
        <v>32013.22</v>
      </c>
      <c r="E30" s="125">
        <f t="shared" si="18"/>
        <v>31013.22</v>
      </c>
      <c r="F30" s="126">
        <f t="shared" si="32"/>
        <v>3101.3220000000006</v>
      </c>
      <c r="G30" s="878">
        <v>1000</v>
      </c>
      <c r="H30" s="125">
        <v>16403.05</v>
      </c>
      <c r="I30" s="121">
        <f t="shared" si="26"/>
        <v>15403.05</v>
      </c>
      <c r="J30" s="126">
        <f t="shared" si="33"/>
        <v>1540.3050000000001</v>
      </c>
      <c r="K30" s="878">
        <v>1000</v>
      </c>
      <c r="L30" s="125">
        <v>0</v>
      </c>
      <c r="M30" s="125">
        <f t="shared" si="23"/>
        <v>-1000</v>
      </c>
      <c r="N30" s="126">
        <f t="shared" si="34"/>
        <v>-100</v>
      </c>
      <c r="O30" s="878">
        <v>1000</v>
      </c>
      <c r="P30" s="125">
        <v>17355.63</v>
      </c>
      <c r="Q30" s="125">
        <f t="shared" si="25"/>
        <v>16355.630000000001</v>
      </c>
      <c r="R30" s="126">
        <f t="shared" si="35"/>
        <v>1635.5630000000001</v>
      </c>
      <c r="S30" s="878">
        <v>1000</v>
      </c>
      <c r="T30" s="125">
        <v>25937.01</v>
      </c>
      <c r="U30" s="125">
        <f t="shared" si="1"/>
        <v>24937.01</v>
      </c>
      <c r="V30" s="126">
        <f t="shared" si="36"/>
        <v>2493.7009999999996</v>
      </c>
      <c r="W30" s="878">
        <v>1000</v>
      </c>
      <c r="X30" s="125">
        <v>133151.45000000001</v>
      </c>
      <c r="Y30" s="125">
        <f t="shared" si="20"/>
        <v>132151.45000000001</v>
      </c>
      <c r="Z30" s="126">
        <f t="shared" si="37"/>
        <v>13215.145</v>
      </c>
      <c r="AA30" s="878">
        <v>1000</v>
      </c>
      <c r="AB30" s="125">
        <v>0</v>
      </c>
      <c r="AC30" s="125">
        <f t="shared" si="21"/>
        <v>-1000</v>
      </c>
      <c r="AD30" s="126">
        <f t="shared" si="12"/>
        <v>-100</v>
      </c>
      <c r="AE30" s="999">
        <v>1000</v>
      </c>
      <c r="AF30" s="841">
        <v>131529.14000000001</v>
      </c>
      <c r="AG30" s="125">
        <f t="shared" si="28"/>
        <v>130529.14000000001</v>
      </c>
      <c r="AH30" s="216">
        <f t="shared" si="13"/>
        <v>13052.914000000001</v>
      </c>
      <c r="AI30" s="878">
        <v>1000</v>
      </c>
      <c r="AJ30" s="125">
        <v>18854.5</v>
      </c>
      <c r="AK30" s="125">
        <f t="shared" si="29"/>
        <v>17854.5</v>
      </c>
      <c r="AL30" s="126">
        <f t="shared" si="14"/>
        <v>1785.4500000000003</v>
      </c>
      <c r="AM30" s="878">
        <v>1000</v>
      </c>
      <c r="AN30" s="889">
        <v>0</v>
      </c>
      <c r="AO30" s="125">
        <f t="shared" si="30"/>
        <v>-1000</v>
      </c>
      <c r="AP30" s="126">
        <f t="shared" si="15"/>
        <v>-100</v>
      </c>
      <c r="AQ30" s="878">
        <v>1000</v>
      </c>
      <c r="AR30" s="224"/>
      <c r="AS30" s="125">
        <f t="shared" si="31"/>
        <v>-1000</v>
      </c>
      <c r="AT30" s="126">
        <f t="shared" si="16"/>
        <v>-100</v>
      </c>
      <c r="AU30" s="878">
        <v>1000</v>
      </c>
      <c r="AV30" s="211"/>
      <c r="AW30" s="125">
        <f t="shared" si="5"/>
        <v>-1000</v>
      </c>
      <c r="AX30" s="126">
        <f t="shared" si="17"/>
        <v>-100</v>
      </c>
      <c r="AY30" s="126">
        <f t="shared" si="27"/>
        <v>12000</v>
      </c>
      <c r="AZ30" s="126">
        <f t="shared" si="38"/>
        <v>375244</v>
      </c>
      <c r="BA30" s="118"/>
      <c r="BC30" s="334"/>
    </row>
    <row r="31" spans="1:58" s="119" customFormat="1" ht="18" customHeight="1" x14ac:dyDescent="0.25">
      <c r="A31" s="127">
        <v>5194</v>
      </c>
      <c r="B31" s="382" t="s">
        <v>20</v>
      </c>
      <c r="C31" s="895">
        <v>1000</v>
      </c>
      <c r="D31" s="82">
        <v>0.15</v>
      </c>
      <c r="E31" s="125">
        <f t="shared" si="18"/>
        <v>-999.85</v>
      </c>
      <c r="F31" s="126">
        <f t="shared" si="32"/>
        <v>-99.984999999999999</v>
      </c>
      <c r="G31" s="878">
        <v>1000</v>
      </c>
      <c r="H31" s="125">
        <v>2.4700000000000002</v>
      </c>
      <c r="I31" s="121">
        <f t="shared" si="26"/>
        <v>-997.53</v>
      </c>
      <c r="J31" s="126">
        <f t="shared" si="33"/>
        <v>-99.753</v>
      </c>
      <c r="K31" s="878">
        <v>1000</v>
      </c>
      <c r="L31" s="125">
        <v>2.82</v>
      </c>
      <c r="M31" s="125">
        <f t="shared" si="23"/>
        <v>-997.18</v>
      </c>
      <c r="N31" s="126">
        <f t="shared" si="34"/>
        <v>-99.717999999999989</v>
      </c>
      <c r="O31" s="878">
        <v>1000</v>
      </c>
      <c r="P31" s="125">
        <v>0.22</v>
      </c>
      <c r="Q31" s="125">
        <f t="shared" si="25"/>
        <v>-999.78</v>
      </c>
      <c r="R31" s="126">
        <f t="shared" si="35"/>
        <v>-99.977999999999994</v>
      </c>
      <c r="S31" s="878">
        <v>1000</v>
      </c>
      <c r="T31" s="125">
        <v>3.28</v>
      </c>
      <c r="U31" s="125">
        <f t="shared" si="1"/>
        <v>-996.72</v>
      </c>
      <c r="V31" s="126">
        <f t="shared" si="36"/>
        <v>-99.672000000000011</v>
      </c>
      <c r="W31" s="878">
        <v>1000</v>
      </c>
      <c r="X31" s="125">
        <v>13899.57</v>
      </c>
      <c r="Y31" s="125">
        <f t="shared" si="20"/>
        <v>12899.57</v>
      </c>
      <c r="Z31" s="126">
        <f t="shared" si="37"/>
        <v>1289.9569999999999</v>
      </c>
      <c r="AA31" s="878">
        <v>0</v>
      </c>
      <c r="AB31" s="125">
        <v>267921.84999999998</v>
      </c>
      <c r="AC31" s="125">
        <f t="shared" si="21"/>
        <v>267921.84999999998</v>
      </c>
      <c r="AD31" s="126">
        <v>0</v>
      </c>
      <c r="AE31" s="999">
        <v>1000</v>
      </c>
      <c r="AF31" s="121">
        <v>445.87</v>
      </c>
      <c r="AG31" s="125">
        <f t="shared" si="28"/>
        <v>-554.13</v>
      </c>
      <c r="AH31" s="216">
        <f t="shared" si="13"/>
        <v>-55.413000000000004</v>
      </c>
      <c r="AI31" s="878">
        <v>1000</v>
      </c>
      <c r="AJ31" s="125">
        <v>18438.78</v>
      </c>
      <c r="AK31" s="125">
        <f t="shared" si="29"/>
        <v>17438.78</v>
      </c>
      <c r="AL31" s="126">
        <f t="shared" si="14"/>
        <v>1743.8779999999997</v>
      </c>
      <c r="AM31" s="878">
        <v>1000</v>
      </c>
      <c r="AN31" s="889">
        <v>0.17</v>
      </c>
      <c r="AO31" s="125">
        <f t="shared" si="30"/>
        <v>-999.83</v>
      </c>
      <c r="AP31" s="126">
        <f t="shared" si="15"/>
        <v>-99.983000000000004</v>
      </c>
      <c r="AQ31" s="878">
        <v>1000</v>
      </c>
      <c r="AR31" s="224"/>
      <c r="AS31" s="125">
        <f t="shared" si="31"/>
        <v>-1000</v>
      </c>
      <c r="AT31" s="126">
        <f t="shared" si="16"/>
        <v>-100</v>
      </c>
      <c r="AU31" s="878">
        <v>1000</v>
      </c>
      <c r="AV31" s="211"/>
      <c r="AW31" s="125">
        <f t="shared" si="5"/>
        <v>-1000</v>
      </c>
      <c r="AX31" s="126">
        <f t="shared" si="17"/>
        <v>-100</v>
      </c>
      <c r="AY31" s="126">
        <f t="shared" si="27"/>
        <v>11000</v>
      </c>
      <c r="AZ31" s="126">
        <f t="shared" si="38"/>
        <v>300715.18</v>
      </c>
      <c r="BA31" s="118"/>
      <c r="BC31" s="334"/>
    </row>
    <row r="32" spans="1:58" s="119" customFormat="1" ht="18" customHeight="1" x14ac:dyDescent="0.25">
      <c r="A32" s="127">
        <v>5195</v>
      </c>
      <c r="B32" s="382" t="s">
        <v>21</v>
      </c>
      <c r="C32" s="895">
        <v>0</v>
      </c>
      <c r="D32" s="82">
        <v>1886.02</v>
      </c>
      <c r="E32" s="125">
        <f t="shared" si="18"/>
        <v>1886.02</v>
      </c>
      <c r="F32" s="126"/>
      <c r="G32" s="211">
        <v>0</v>
      </c>
      <c r="H32" s="125">
        <v>4662.03</v>
      </c>
      <c r="I32" s="121">
        <f t="shared" si="26"/>
        <v>4662.03</v>
      </c>
      <c r="J32" s="126"/>
      <c r="K32" s="211">
        <v>0</v>
      </c>
      <c r="L32" s="125">
        <v>66788.05</v>
      </c>
      <c r="M32" s="125">
        <f t="shared" si="23"/>
        <v>66788.05</v>
      </c>
      <c r="N32" s="126"/>
      <c r="O32" s="211">
        <v>0</v>
      </c>
      <c r="P32" s="125">
        <v>87627.64</v>
      </c>
      <c r="Q32" s="125">
        <f t="shared" si="25"/>
        <v>87627.64</v>
      </c>
      <c r="R32" s="126"/>
      <c r="S32" s="211">
        <v>0</v>
      </c>
      <c r="T32" s="125">
        <v>6840.12</v>
      </c>
      <c r="U32" s="125">
        <f t="shared" si="1"/>
        <v>6840.12</v>
      </c>
      <c r="V32" s="126"/>
      <c r="W32" s="211">
        <v>0</v>
      </c>
      <c r="X32" s="125">
        <v>17210.66</v>
      </c>
      <c r="Y32" s="125">
        <f t="shared" si="20"/>
        <v>17210.66</v>
      </c>
      <c r="Z32" s="126"/>
      <c r="AA32" s="211">
        <v>0</v>
      </c>
      <c r="AB32" s="125">
        <v>1490.21</v>
      </c>
      <c r="AC32" s="125">
        <f t="shared" si="21"/>
        <v>1490.21</v>
      </c>
      <c r="AD32" s="126"/>
      <c r="AE32" s="211">
        <v>0</v>
      </c>
      <c r="AF32" s="121">
        <v>1207.3800000000001</v>
      </c>
      <c r="AG32" s="125">
        <f t="shared" si="28"/>
        <v>1207.3800000000001</v>
      </c>
      <c r="AH32" s="216"/>
      <c r="AI32" s="211">
        <v>0</v>
      </c>
      <c r="AJ32" s="125">
        <v>119.76</v>
      </c>
      <c r="AK32" s="125">
        <f t="shared" si="29"/>
        <v>119.76</v>
      </c>
      <c r="AL32" s="126"/>
      <c r="AM32" s="211">
        <v>0</v>
      </c>
      <c r="AN32" s="889">
        <v>0.33</v>
      </c>
      <c r="AO32" s="125">
        <f t="shared" si="30"/>
        <v>0.33</v>
      </c>
      <c r="AP32" s="126"/>
      <c r="AQ32" s="121">
        <v>0</v>
      </c>
      <c r="AR32" s="224"/>
      <c r="AS32" s="125">
        <f t="shared" si="31"/>
        <v>0</v>
      </c>
      <c r="AT32" s="126"/>
      <c r="AU32" s="211">
        <v>0</v>
      </c>
      <c r="AV32" s="211"/>
      <c r="AW32" s="125">
        <f t="shared" si="5"/>
        <v>0</v>
      </c>
      <c r="AX32" s="126"/>
      <c r="AY32" s="126">
        <f t="shared" si="27"/>
        <v>0</v>
      </c>
      <c r="AZ32" s="126">
        <f t="shared" si="38"/>
        <v>187832.19999999998</v>
      </c>
      <c r="BA32" s="118"/>
    </row>
    <row r="33" spans="1:58" s="119" customFormat="1" ht="18" customHeight="1" x14ac:dyDescent="0.25">
      <c r="A33" s="127" t="s">
        <v>3709</v>
      </c>
      <c r="B33" s="382" t="s">
        <v>22</v>
      </c>
      <c r="C33" s="895">
        <v>0</v>
      </c>
      <c r="D33" s="82">
        <v>41809.29</v>
      </c>
      <c r="E33" s="125">
        <f t="shared" si="18"/>
        <v>41809.29</v>
      </c>
      <c r="F33" s="126"/>
      <c r="G33" s="224">
        <v>0</v>
      </c>
      <c r="H33" s="125">
        <v>0</v>
      </c>
      <c r="I33" s="121">
        <f t="shared" si="26"/>
        <v>0</v>
      </c>
      <c r="J33" s="126"/>
      <c r="K33" s="224">
        <v>0</v>
      </c>
      <c r="L33" s="125">
        <v>83618.58</v>
      </c>
      <c r="M33" s="125">
        <f t="shared" si="23"/>
        <v>83618.58</v>
      </c>
      <c r="N33" s="126"/>
      <c r="O33" s="224">
        <v>0</v>
      </c>
      <c r="P33" s="125">
        <v>41809.29</v>
      </c>
      <c r="Q33" s="125">
        <f t="shared" si="25"/>
        <v>41809.29</v>
      </c>
      <c r="R33" s="126"/>
      <c r="S33" s="224">
        <v>0</v>
      </c>
      <c r="T33" s="125">
        <v>41809.29</v>
      </c>
      <c r="U33" s="125">
        <f t="shared" si="1"/>
        <v>41809.29</v>
      </c>
      <c r="V33" s="126"/>
      <c r="W33" s="224">
        <v>0</v>
      </c>
      <c r="X33" s="125">
        <v>41809.29</v>
      </c>
      <c r="Y33" s="125">
        <f t="shared" si="20"/>
        <v>41809.29</v>
      </c>
      <c r="Z33" s="126"/>
      <c r="AA33" s="224">
        <v>0</v>
      </c>
      <c r="AB33" s="125">
        <v>41809.29</v>
      </c>
      <c r="AC33" s="125">
        <f t="shared" si="21"/>
        <v>41809.29</v>
      </c>
      <c r="AD33" s="126"/>
      <c r="AE33" s="224">
        <v>0</v>
      </c>
      <c r="AF33" s="997">
        <v>41809.29</v>
      </c>
      <c r="AG33" s="125">
        <f t="shared" si="28"/>
        <v>41809.29</v>
      </c>
      <c r="AH33" s="216"/>
      <c r="AI33" s="224">
        <v>0</v>
      </c>
      <c r="AJ33" s="125">
        <v>42642.62</v>
      </c>
      <c r="AK33" s="125">
        <f t="shared" si="29"/>
        <v>42642.62</v>
      </c>
      <c r="AL33" s="126"/>
      <c r="AM33" s="224">
        <v>0</v>
      </c>
      <c r="AN33" s="889">
        <v>330137.93</v>
      </c>
      <c r="AO33" s="125">
        <f t="shared" si="30"/>
        <v>330137.93</v>
      </c>
      <c r="AP33" s="126"/>
      <c r="AQ33" s="224">
        <v>0</v>
      </c>
      <c r="AR33" s="224"/>
      <c r="AS33" s="125">
        <f t="shared" si="31"/>
        <v>0</v>
      </c>
      <c r="AT33" s="126"/>
      <c r="AU33" s="224">
        <v>0</v>
      </c>
      <c r="AV33" s="211"/>
      <c r="AW33" s="125">
        <f t="shared" si="5"/>
        <v>0</v>
      </c>
      <c r="AX33" s="126"/>
      <c r="AY33" s="126">
        <f t="shared" si="27"/>
        <v>0</v>
      </c>
      <c r="AZ33" s="126">
        <f t="shared" si="38"/>
        <v>707254.87</v>
      </c>
      <c r="BA33" s="118"/>
    </row>
    <row r="34" spans="1:58" s="119" customFormat="1" ht="18" customHeight="1" x14ac:dyDescent="0.25">
      <c r="A34" s="127">
        <v>32733</v>
      </c>
      <c r="B34" s="382" t="s">
        <v>144</v>
      </c>
      <c r="C34" s="895">
        <v>32.699999999999996</v>
      </c>
      <c r="D34" s="82">
        <v>0</v>
      </c>
      <c r="E34" s="125">
        <f t="shared" si="18"/>
        <v>-32.699999999999996</v>
      </c>
      <c r="F34" s="126">
        <f t="shared" si="32"/>
        <v>-100</v>
      </c>
      <c r="G34" s="878">
        <v>32.699999999999996</v>
      </c>
      <c r="H34" s="125">
        <v>1</v>
      </c>
      <c r="I34" s="121">
        <f t="shared" si="26"/>
        <v>-31.699999999999996</v>
      </c>
      <c r="J34" s="126">
        <f t="shared" si="33"/>
        <v>-96.941896024464839</v>
      </c>
      <c r="K34" s="878">
        <v>32.699999999999996</v>
      </c>
      <c r="L34" s="125">
        <v>-222.31</v>
      </c>
      <c r="M34" s="125">
        <f t="shared" si="23"/>
        <v>-255.01</v>
      </c>
      <c r="N34" s="126">
        <f t="shared" si="34"/>
        <v>-779.84709480122331</v>
      </c>
      <c r="O34" s="878">
        <v>32.699999999999996</v>
      </c>
      <c r="P34" s="811">
        <v>290.8</v>
      </c>
      <c r="Q34" s="125">
        <f t="shared" si="25"/>
        <v>258.10000000000002</v>
      </c>
      <c r="R34" s="126">
        <f t="shared" si="35"/>
        <v>789.29663608562703</v>
      </c>
      <c r="S34" s="878">
        <v>32.699999999999996</v>
      </c>
      <c r="T34" s="125">
        <v>59.9</v>
      </c>
      <c r="U34" s="125">
        <f t="shared" si="1"/>
        <v>27.200000000000003</v>
      </c>
      <c r="V34" s="126">
        <f t="shared" si="36"/>
        <v>83.180428134556593</v>
      </c>
      <c r="W34" s="878">
        <v>32.699999999999996</v>
      </c>
      <c r="X34" s="125">
        <v>297.3</v>
      </c>
      <c r="Y34" s="125">
        <f t="shared" si="20"/>
        <v>264.60000000000002</v>
      </c>
      <c r="Z34" s="126">
        <f t="shared" si="37"/>
        <v>809.17431192660558</v>
      </c>
      <c r="AA34" s="878">
        <v>33</v>
      </c>
      <c r="AB34" s="125">
        <v>15308.5</v>
      </c>
      <c r="AC34" s="125">
        <f t="shared" si="21"/>
        <v>15275.5</v>
      </c>
      <c r="AD34" s="126">
        <v>0</v>
      </c>
      <c r="AE34" s="999">
        <v>32.699999999999996</v>
      </c>
      <c r="AF34" s="841">
        <v>43.5</v>
      </c>
      <c r="AG34" s="125">
        <f t="shared" si="28"/>
        <v>10.800000000000004</v>
      </c>
      <c r="AH34" s="216">
        <f t="shared" si="13"/>
        <v>33.027522935779842</v>
      </c>
      <c r="AI34" s="878">
        <v>32.699999999999996</v>
      </c>
      <c r="AJ34" s="125">
        <v>200.4</v>
      </c>
      <c r="AK34" s="125">
        <f t="shared" si="29"/>
        <v>167.70000000000002</v>
      </c>
      <c r="AL34" s="126">
        <f t="shared" si="14"/>
        <v>512.84403669724782</v>
      </c>
      <c r="AM34" s="878">
        <v>32.699999999999996</v>
      </c>
      <c r="AN34" s="889">
        <v>413.8</v>
      </c>
      <c r="AO34" s="125">
        <f t="shared" si="30"/>
        <v>381.1</v>
      </c>
      <c r="AP34" s="126">
        <f t="shared" si="15"/>
        <v>1165.4434250764527</v>
      </c>
      <c r="AQ34" s="878">
        <v>32.699999999999996</v>
      </c>
      <c r="AR34" s="224"/>
      <c r="AS34" s="125">
        <f t="shared" si="31"/>
        <v>-32.699999999999996</v>
      </c>
      <c r="AT34" s="126">
        <f t="shared" si="16"/>
        <v>-100</v>
      </c>
      <c r="AU34" s="878">
        <v>32.699999999999996</v>
      </c>
      <c r="AV34" s="211"/>
      <c r="AW34" s="125">
        <f t="shared" si="5"/>
        <v>-32.699999999999996</v>
      </c>
      <c r="AX34" s="126">
        <f t="shared" si="17"/>
        <v>-100</v>
      </c>
      <c r="AY34" s="126">
        <f t="shared" si="27"/>
        <v>392.69999999999993</v>
      </c>
      <c r="AZ34" s="126">
        <f t="shared" si="38"/>
        <v>16392.89</v>
      </c>
      <c r="BA34" s="118"/>
    </row>
    <row r="35" spans="1:58" s="119" customFormat="1" ht="18" customHeight="1" x14ac:dyDescent="0.25">
      <c r="A35" s="127" t="s">
        <v>3763</v>
      </c>
      <c r="B35" s="382" t="s">
        <v>133</v>
      </c>
      <c r="C35" s="895">
        <v>0</v>
      </c>
      <c r="D35" s="82">
        <v>0</v>
      </c>
      <c r="E35" s="125">
        <f t="shared" si="18"/>
        <v>0</v>
      </c>
      <c r="F35" s="126"/>
      <c r="G35" s="211">
        <v>0</v>
      </c>
      <c r="H35" s="125">
        <v>428059.87</v>
      </c>
      <c r="I35" s="121">
        <f t="shared" si="26"/>
        <v>428059.87</v>
      </c>
      <c r="J35" s="126"/>
      <c r="K35" s="211">
        <v>0</v>
      </c>
      <c r="L35" s="125">
        <v>20406.919999999998</v>
      </c>
      <c r="M35" s="125">
        <f t="shared" si="23"/>
        <v>20406.919999999998</v>
      </c>
      <c r="N35" s="126"/>
      <c r="O35" s="211">
        <v>0</v>
      </c>
      <c r="P35" s="125">
        <v>2557.56</v>
      </c>
      <c r="Q35" s="125">
        <f t="shared" si="25"/>
        <v>2557.56</v>
      </c>
      <c r="R35" s="126"/>
      <c r="S35" s="211">
        <v>0</v>
      </c>
      <c r="T35" s="125">
        <v>101139.36</v>
      </c>
      <c r="U35" s="125">
        <f t="shared" si="1"/>
        <v>101139.36</v>
      </c>
      <c r="V35" s="126"/>
      <c r="W35" s="211">
        <v>0</v>
      </c>
      <c r="X35" s="125">
        <v>516.92999999999995</v>
      </c>
      <c r="Y35" s="125">
        <f t="shared" si="20"/>
        <v>516.92999999999995</v>
      </c>
      <c r="Z35" s="126"/>
      <c r="AA35" s="211">
        <v>0</v>
      </c>
      <c r="AB35" s="125">
        <v>640.89</v>
      </c>
      <c r="AC35" s="125">
        <f t="shared" si="21"/>
        <v>640.89</v>
      </c>
      <c r="AD35" s="126"/>
      <c r="AE35" s="211">
        <v>0</v>
      </c>
      <c r="AF35" s="841">
        <v>498.47</v>
      </c>
      <c r="AG35" s="125">
        <f t="shared" si="28"/>
        <v>498.47</v>
      </c>
      <c r="AH35" s="216">
        <v>0</v>
      </c>
      <c r="AI35" s="211">
        <v>0</v>
      </c>
      <c r="AJ35" s="125">
        <v>0</v>
      </c>
      <c r="AK35" s="125">
        <f t="shared" si="29"/>
        <v>0</v>
      </c>
      <c r="AL35" s="126"/>
      <c r="AM35" s="211">
        <v>0</v>
      </c>
      <c r="AN35" s="889">
        <v>0</v>
      </c>
      <c r="AO35" s="125">
        <f t="shared" si="30"/>
        <v>0</v>
      </c>
      <c r="AP35" s="126"/>
      <c r="AQ35" s="121">
        <v>0</v>
      </c>
      <c r="AR35" s="224">
        <v>0</v>
      </c>
      <c r="AS35" s="125">
        <f t="shared" si="31"/>
        <v>0</v>
      </c>
      <c r="AT35" s="126"/>
      <c r="AU35" s="211">
        <v>0</v>
      </c>
      <c r="AV35" s="211">
        <v>0</v>
      </c>
      <c r="AW35" s="125">
        <f t="shared" si="5"/>
        <v>0</v>
      </c>
      <c r="AX35" s="126"/>
      <c r="AY35" s="126">
        <f t="shared" si="27"/>
        <v>0</v>
      </c>
      <c r="AZ35" s="126">
        <f t="shared" si="38"/>
        <v>553820</v>
      </c>
      <c r="BA35" s="118"/>
    </row>
    <row r="36" spans="1:58" s="119" customFormat="1" ht="18" customHeight="1" x14ac:dyDescent="0.25">
      <c r="A36" s="127">
        <v>53475</v>
      </c>
      <c r="B36" s="382" t="s">
        <v>140</v>
      </c>
      <c r="C36" s="895">
        <v>0</v>
      </c>
      <c r="D36" s="82">
        <v>33000</v>
      </c>
      <c r="E36" s="125">
        <f t="shared" si="18"/>
        <v>33000</v>
      </c>
      <c r="F36" s="126"/>
      <c r="G36" s="224">
        <v>0</v>
      </c>
      <c r="H36" s="125">
        <v>33000</v>
      </c>
      <c r="I36" s="121">
        <f t="shared" si="26"/>
        <v>33000</v>
      </c>
      <c r="J36" s="126"/>
      <c r="K36" s="224">
        <v>0</v>
      </c>
      <c r="L36" s="125">
        <v>33000</v>
      </c>
      <c r="M36" s="125">
        <f t="shared" si="23"/>
        <v>33000</v>
      </c>
      <c r="N36" s="126"/>
      <c r="O36" s="224">
        <v>0</v>
      </c>
      <c r="P36" s="125">
        <v>33000</v>
      </c>
      <c r="Q36" s="125">
        <f>P36-O36</f>
        <v>33000</v>
      </c>
      <c r="R36" s="126"/>
      <c r="S36" s="224">
        <v>0</v>
      </c>
      <c r="T36" s="125">
        <v>33000</v>
      </c>
      <c r="U36" s="125">
        <f>T36-S36</f>
        <v>33000</v>
      </c>
      <c r="V36" s="216"/>
      <c r="W36" s="224">
        <v>0</v>
      </c>
      <c r="X36" s="125">
        <v>33000</v>
      </c>
      <c r="Y36" s="125">
        <f t="shared" si="20"/>
        <v>33000</v>
      </c>
      <c r="Z36" s="126"/>
      <c r="AA36" s="224">
        <v>0</v>
      </c>
      <c r="AB36" s="125">
        <v>33000</v>
      </c>
      <c r="AC36" s="125">
        <f t="shared" si="21"/>
        <v>33000</v>
      </c>
      <c r="AD36" s="216"/>
      <c r="AE36" s="224">
        <v>0</v>
      </c>
      <c r="AF36" s="997">
        <v>0</v>
      </c>
      <c r="AG36" s="125">
        <f t="shared" si="28"/>
        <v>0</v>
      </c>
      <c r="AH36" s="216"/>
      <c r="AI36" s="224">
        <v>0</v>
      </c>
      <c r="AJ36" s="125">
        <v>0</v>
      </c>
      <c r="AK36" s="125">
        <f>AJ36-AI36</f>
        <v>0</v>
      </c>
      <c r="AL36" s="216"/>
      <c r="AM36" s="224">
        <v>0</v>
      </c>
      <c r="AN36" s="889">
        <v>0</v>
      </c>
      <c r="AO36" s="125">
        <f>AN36-AM36</f>
        <v>0</v>
      </c>
      <c r="AP36" s="126"/>
      <c r="AQ36" s="224">
        <v>0</v>
      </c>
      <c r="AR36" s="224"/>
      <c r="AS36" s="125">
        <f t="shared" si="31"/>
        <v>0</v>
      </c>
      <c r="AT36" s="126"/>
      <c r="AU36" s="224">
        <v>0</v>
      </c>
      <c r="AV36" s="211"/>
      <c r="AW36" s="125">
        <f t="shared" si="5"/>
        <v>0</v>
      </c>
      <c r="AX36" s="126"/>
      <c r="AY36" s="126">
        <f t="shared" si="27"/>
        <v>0</v>
      </c>
      <c r="AZ36" s="126">
        <f>SUM(D36+H36+L36+P36+T36+X36+AB36+AF36+AJ36+AN36+AR36+AV36)</f>
        <v>231000</v>
      </c>
      <c r="BA36" s="118"/>
    </row>
    <row r="37" spans="1:58" s="119" customFormat="1" ht="18" customHeight="1" x14ac:dyDescent="0.25">
      <c r="A37" s="127">
        <v>5177</v>
      </c>
      <c r="B37" s="382" t="s">
        <v>23</v>
      </c>
      <c r="C37" s="895">
        <v>883.33333333333337</v>
      </c>
      <c r="D37" s="82">
        <v>0</v>
      </c>
      <c r="E37" s="125">
        <f t="shared" si="18"/>
        <v>-883.33333333333337</v>
      </c>
      <c r="F37" s="126">
        <f t="shared" si="32"/>
        <v>-100</v>
      </c>
      <c r="G37" s="878">
        <v>883.33333333333337</v>
      </c>
      <c r="H37" s="125">
        <v>0</v>
      </c>
      <c r="I37" s="121">
        <f t="shared" si="26"/>
        <v>-883.33333333333337</v>
      </c>
      <c r="J37" s="126">
        <f t="shared" si="33"/>
        <v>-100</v>
      </c>
      <c r="K37" s="878">
        <v>883.33333333333337</v>
      </c>
      <c r="L37" s="125">
        <v>0</v>
      </c>
      <c r="M37" s="125">
        <f t="shared" si="23"/>
        <v>-883.33333333333337</v>
      </c>
      <c r="N37" s="126">
        <f t="shared" si="34"/>
        <v>-100</v>
      </c>
      <c r="O37" s="878">
        <v>883.33333333333337</v>
      </c>
      <c r="P37" s="125">
        <v>1092.5</v>
      </c>
      <c r="Q37" s="125">
        <f t="shared" si="25"/>
        <v>209.16666666666663</v>
      </c>
      <c r="R37" s="126">
        <f t="shared" si="35"/>
        <v>23.679245283018858</v>
      </c>
      <c r="S37" s="878">
        <v>883.33333333333337</v>
      </c>
      <c r="T37" s="125">
        <v>0</v>
      </c>
      <c r="U37" s="125">
        <f t="shared" ref="U37:U43" si="39">T37-S37</f>
        <v>-883.33333333333337</v>
      </c>
      <c r="V37" s="216">
        <f>((T37/S37)-1)*100</f>
        <v>-100</v>
      </c>
      <c r="W37" s="878">
        <v>883.33333333333337</v>
      </c>
      <c r="X37" s="125">
        <v>0</v>
      </c>
      <c r="Y37" s="125">
        <f t="shared" si="20"/>
        <v>-883.33333333333337</v>
      </c>
      <c r="Z37" s="126">
        <f t="shared" si="37"/>
        <v>-100</v>
      </c>
      <c r="AA37" s="224">
        <v>883.33333333333337</v>
      </c>
      <c r="AB37" s="125">
        <v>535.5</v>
      </c>
      <c r="AC37" s="125">
        <f t="shared" si="21"/>
        <v>-347.83333333333337</v>
      </c>
      <c r="AD37" s="216">
        <v>0</v>
      </c>
      <c r="AE37" s="999">
        <v>883.33333333333337</v>
      </c>
      <c r="AF37" s="121">
        <v>0</v>
      </c>
      <c r="AG37" s="125">
        <f t="shared" si="28"/>
        <v>-883.33333333333337</v>
      </c>
      <c r="AH37" s="216">
        <v>0</v>
      </c>
      <c r="AI37" s="878">
        <v>883.33333333333337</v>
      </c>
      <c r="AJ37" s="125">
        <v>0</v>
      </c>
      <c r="AK37" s="125">
        <f>AJ37-AI37</f>
        <v>-883.33333333333337</v>
      </c>
      <c r="AL37" s="216">
        <f>((AJ37/AI37)-1)*100</f>
        <v>-100</v>
      </c>
      <c r="AM37" s="878">
        <v>883.33333333333337</v>
      </c>
      <c r="AN37" s="889">
        <v>0</v>
      </c>
      <c r="AO37" s="125">
        <f>AN37-AM37</f>
        <v>-883.33333333333337</v>
      </c>
      <c r="AP37" s="126">
        <v>0</v>
      </c>
      <c r="AQ37" s="878">
        <v>883.33333333333337</v>
      </c>
      <c r="AR37" s="224"/>
      <c r="AS37" s="125">
        <f t="shared" si="31"/>
        <v>-883.33333333333337</v>
      </c>
      <c r="AT37" s="126">
        <f t="shared" si="16"/>
        <v>-100</v>
      </c>
      <c r="AU37" s="878">
        <v>883.33333333333337</v>
      </c>
      <c r="AV37" s="211"/>
      <c r="AW37" s="125">
        <f t="shared" si="5"/>
        <v>-883.33333333333337</v>
      </c>
      <c r="AX37" s="126">
        <f t="shared" si="17"/>
        <v>-100</v>
      </c>
      <c r="AY37" s="126">
        <f t="shared" si="27"/>
        <v>10600</v>
      </c>
      <c r="AZ37" s="126">
        <f t="shared" si="38"/>
        <v>1628</v>
      </c>
      <c r="BA37" s="118"/>
      <c r="BE37" s="401"/>
    </row>
    <row r="38" spans="1:58" s="119" customFormat="1" ht="18" customHeight="1" x14ac:dyDescent="0.25">
      <c r="A38" s="127">
        <v>5199</v>
      </c>
      <c r="B38" s="332" t="s">
        <v>129</v>
      </c>
      <c r="C38" s="895">
        <v>0</v>
      </c>
      <c r="D38" s="82">
        <v>0</v>
      </c>
      <c r="E38" s="125">
        <f t="shared" si="18"/>
        <v>0</v>
      </c>
      <c r="F38" s="126"/>
      <c r="G38" s="211">
        <v>0</v>
      </c>
      <c r="H38" s="125">
        <v>0</v>
      </c>
      <c r="I38" s="121">
        <f t="shared" si="26"/>
        <v>0</v>
      </c>
      <c r="J38" s="126"/>
      <c r="K38" s="211">
        <v>0</v>
      </c>
      <c r="L38" s="125">
        <v>0</v>
      </c>
      <c r="M38" s="125">
        <f t="shared" si="23"/>
        <v>0</v>
      </c>
      <c r="N38" s="126"/>
      <c r="O38" s="211">
        <v>0</v>
      </c>
      <c r="P38" s="125">
        <v>0</v>
      </c>
      <c r="Q38" s="125">
        <f t="shared" si="25"/>
        <v>0</v>
      </c>
      <c r="R38" s="126"/>
      <c r="S38" s="211">
        <v>0</v>
      </c>
      <c r="T38" s="125">
        <v>0</v>
      </c>
      <c r="U38" s="125">
        <f t="shared" si="39"/>
        <v>0</v>
      </c>
      <c r="V38" s="216"/>
      <c r="W38" s="211">
        <v>0</v>
      </c>
      <c r="X38" s="125">
        <v>70000</v>
      </c>
      <c r="Y38" s="125">
        <f t="shared" si="20"/>
        <v>70000</v>
      </c>
      <c r="Z38" s="126"/>
      <c r="AA38" s="211">
        <v>0</v>
      </c>
      <c r="AB38" s="125">
        <v>0</v>
      </c>
      <c r="AC38" s="125">
        <f t="shared" si="21"/>
        <v>0</v>
      </c>
      <c r="AD38" s="216"/>
      <c r="AE38" s="211">
        <v>0</v>
      </c>
      <c r="AF38" s="121">
        <v>0</v>
      </c>
      <c r="AG38" s="125">
        <f t="shared" si="28"/>
        <v>0</v>
      </c>
      <c r="AH38" s="216"/>
      <c r="AI38" s="211">
        <v>0</v>
      </c>
      <c r="AJ38" s="125">
        <v>0</v>
      </c>
      <c r="AK38" s="125">
        <f>AJ38-AI38</f>
        <v>0</v>
      </c>
      <c r="AL38" s="216"/>
      <c r="AM38" s="224">
        <v>0</v>
      </c>
      <c r="AN38" s="889">
        <v>0</v>
      </c>
      <c r="AO38" s="125">
        <f>AN38-AM38</f>
        <v>0</v>
      </c>
      <c r="AP38" s="126"/>
      <c r="AQ38" s="121">
        <v>0</v>
      </c>
      <c r="AR38" s="224"/>
      <c r="AS38" s="125">
        <f t="shared" si="31"/>
        <v>0</v>
      </c>
      <c r="AT38" s="126"/>
      <c r="AU38" s="211">
        <v>0</v>
      </c>
      <c r="AV38" s="211"/>
      <c r="AW38" s="125">
        <f t="shared" si="5"/>
        <v>0</v>
      </c>
      <c r="AX38" s="126"/>
      <c r="AY38" s="126">
        <f t="shared" si="27"/>
        <v>0</v>
      </c>
      <c r="AZ38" s="126">
        <f t="shared" si="38"/>
        <v>70000</v>
      </c>
      <c r="BA38" s="118"/>
      <c r="BE38" s="401"/>
    </row>
    <row r="39" spans="1:58" s="119" customFormat="1" ht="18" customHeight="1" x14ac:dyDescent="0.25">
      <c r="A39" s="127">
        <v>53327</v>
      </c>
      <c r="B39" s="989" t="s">
        <v>131</v>
      </c>
      <c r="C39" s="895">
        <v>0</v>
      </c>
      <c r="D39" s="90">
        <v>0</v>
      </c>
      <c r="E39" s="125">
        <f t="shared" si="18"/>
        <v>0</v>
      </c>
      <c r="F39" s="126"/>
      <c r="G39" s="211">
        <v>0</v>
      </c>
      <c r="H39" s="149">
        <v>0</v>
      </c>
      <c r="I39" s="121">
        <f t="shared" si="26"/>
        <v>0</v>
      </c>
      <c r="J39" s="126"/>
      <c r="K39" s="211">
        <v>0</v>
      </c>
      <c r="L39" s="149">
        <v>0</v>
      </c>
      <c r="M39" s="125">
        <f t="shared" si="23"/>
        <v>0</v>
      </c>
      <c r="N39" s="126"/>
      <c r="O39" s="211">
        <v>0</v>
      </c>
      <c r="P39" s="149">
        <v>0</v>
      </c>
      <c r="Q39" s="125">
        <f t="shared" si="25"/>
        <v>0</v>
      </c>
      <c r="R39" s="389"/>
      <c r="S39" s="1092">
        <v>200000</v>
      </c>
      <c r="T39" s="943">
        <v>243039.84</v>
      </c>
      <c r="U39" s="125">
        <f t="shared" si="39"/>
        <v>43039.839999999997</v>
      </c>
      <c r="V39" s="909">
        <f>((T39/S39)-1)*100</f>
        <v>21.519920000000003</v>
      </c>
      <c r="W39" s="211">
        <v>0</v>
      </c>
      <c r="X39" s="125">
        <v>0</v>
      </c>
      <c r="Y39" s="125">
        <f t="shared" si="20"/>
        <v>0</v>
      </c>
      <c r="Z39" s="126"/>
      <c r="AA39" s="211">
        <v>0</v>
      </c>
      <c r="AB39" s="125">
        <v>0</v>
      </c>
      <c r="AC39" s="125">
        <f t="shared" si="21"/>
        <v>0</v>
      </c>
      <c r="AD39" s="216"/>
      <c r="AE39" s="211">
        <v>0</v>
      </c>
      <c r="AF39" s="997">
        <v>0</v>
      </c>
      <c r="AG39" s="125">
        <f t="shared" si="28"/>
        <v>0</v>
      </c>
      <c r="AH39" s="216"/>
      <c r="AI39" s="224">
        <v>0</v>
      </c>
      <c r="AJ39" s="125">
        <v>0</v>
      </c>
      <c r="AK39" s="125">
        <f>AJ39-AI39</f>
        <v>0</v>
      </c>
      <c r="AL39" s="216"/>
      <c r="AM39" s="224">
        <v>0</v>
      </c>
      <c r="AN39" s="1020">
        <v>0</v>
      </c>
      <c r="AO39" s="125">
        <f>AN39-AM39</f>
        <v>0</v>
      </c>
      <c r="AP39" s="126"/>
      <c r="AQ39" s="121">
        <v>0</v>
      </c>
      <c r="AR39" s="224">
        <v>0</v>
      </c>
      <c r="AS39" s="125">
        <f t="shared" si="31"/>
        <v>0</v>
      </c>
      <c r="AT39" s="126"/>
      <c r="AU39" s="211">
        <v>200000</v>
      </c>
      <c r="AV39" s="211"/>
      <c r="AW39" s="125">
        <f t="shared" si="5"/>
        <v>-200000</v>
      </c>
      <c r="AX39" s="126">
        <f t="shared" si="17"/>
        <v>-100</v>
      </c>
      <c r="AY39" s="126">
        <f t="shared" si="27"/>
        <v>400000</v>
      </c>
      <c r="AZ39" s="126">
        <f t="shared" si="38"/>
        <v>243039.84</v>
      </c>
      <c r="BA39" s="118"/>
    </row>
    <row r="40" spans="1:58" s="119" customFormat="1" ht="18" customHeight="1" thickBot="1" x14ac:dyDescent="0.3">
      <c r="A40" s="155">
        <v>27455</v>
      </c>
      <c r="B40" s="384" t="s">
        <v>130</v>
      </c>
      <c r="C40" s="157">
        <v>0</v>
      </c>
      <c r="D40" s="91">
        <v>0</v>
      </c>
      <c r="E40" s="159">
        <f t="shared" si="18"/>
        <v>0</v>
      </c>
      <c r="F40" s="160"/>
      <c r="G40" s="214">
        <v>0</v>
      </c>
      <c r="H40" s="159">
        <v>0</v>
      </c>
      <c r="I40" s="159">
        <f t="shared" si="26"/>
        <v>0</v>
      </c>
      <c r="J40" s="126"/>
      <c r="K40" s="214">
        <v>0</v>
      </c>
      <c r="L40" s="159">
        <v>0</v>
      </c>
      <c r="M40" s="159">
        <f t="shared" si="23"/>
        <v>0</v>
      </c>
      <c r="N40" s="160"/>
      <c r="O40" s="214">
        <v>0</v>
      </c>
      <c r="P40" s="182">
        <v>0</v>
      </c>
      <c r="Q40" s="182">
        <f t="shared" si="25"/>
        <v>0</v>
      </c>
      <c r="R40" s="160"/>
      <c r="S40" s="247">
        <v>0</v>
      </c>
      <c r="T40" s="159">
        <v>0</v>
      </c>
      <c r="U40" s="182">
        <f t="shared" si="39"/>
        <v>0</v>
      </c>
      <c r="V40" s="217"/>
      <c r="W40" s="214">
        <v>0</v>
      </c>
      <c r="X40" s="159">
        <v>0</v>
      </c>
      <c r="Y40" s="159">
        <f t="shared" si="20"/>
        <v>0</v>
      </c>
      <c r="Z40" s="160"/>
      <c r="AA40" s="214">
        <v>0</v>
      </c>
      <c r="AB40" s="159">
        <v>0</v>
      </c>
      <c r="AC40" s="159">
        <f t="shared" si="21"/>
        <v>0</v>
      </c>
      <c r="AD40" s="159"/>
      <c r="AE40" s="214">
        <v>0</v>
      </c>
      <c r="AF40" s="208">
        <v>0</v>
      </c>
      <c r="AG40" s="159">
        <f t="shared" si="28"/>
        <v>0</v>
      </c>
      <c r="AH40" s="860"/>
      <c r="AI40" s="214">
        <v>0</v>
      </c>
      <c r="AJ40" s="159">
        <v>0</v>
      </c>
      <c r="AK40" s="159">
        <f>AJ40-AI40</f>
        <v>0</v>
      </c>
      <c r="AL40" s="217"/>
      <c r="AM40" s="229">
        <v>0</v>
      </c>
      <c r="AN40" s="890">
        <v>0</v>
      </c>
      <c r="AO40" s="159">
        <f>AN40-AM40</f>
        <v>0</v>
      </c>
      <c r="AP40" s="160"/>
      <c r="AQ40" s="208">
        <v>0</v>
      </c>
      <c r="AR40" s="229">
        <v>0</v>
      </c>
      <c r="AS40" s="159">
        <f t="shared" si="31"/>
        <v>0</v>
      </c>
      <c r="AT40" s="160"/>
      <c r="AU40" s="214">
        <v>0</v>
      </c>
      <c r="AV40" s="214">
        <v>0</v>
      </c>
      <c r="AW40" s="159">
        <f t="shared" si="5"/>
        <v>0</v>
      </c>
      <c r="AX40" s="160"/>
      <c r="AY40" s="160">
        <f t="shared" si="27"/>
        <v>0</v>
      </c>
      <c r="AZ40" s="160">
        <f t="shared" si="38"/>
        <v>0</v>
      </c>
      <c r="BA40" s="118"/>
    </row>
    <row r="41" spans="1:58" s="119" customFormat="1" ht="18" customHeight="1" thickBot="1" x14ac:dyDescent="0.3">
      <c r="A41" s="926"/>
      <c r="B41" s="927"/>
      <c r="C41" s="927"/>
      <c r="D41" s="968"/>
      <c r="E41" s="67"/>
      <c r="F41" s="67"/>
      <c r="G41" s="129"/>
      <c r="H41" s="928"/>
      <c r="I41" s="67"/>
      <c r="J41" s="129"/>
      <c r="K41" s="129"/>
      <c r="L41" s="928"/>
      <c r="M41" s="67"/>
      <c r="N41" s="67"/>
      <c r="O41" s="129"/>
      <c r="P41" s="928"/>
      <c r="Q41" s="67"/>
      <c r="R41" s="67"/>
      <c r="S41" s="129"/>
      <c r="T41" s="131"/>
      <c r="U41" s="131"/>
      <c r="V41" s="929"/>
      <c r="W41" s="129"/>
      <c r="X41" s="131"/>
      <c r="Y41" s="131"/>
      <c r="Z41" s="928"/>
      <c r="AA41" s="129"/>
      <c r="AB41" s="131"/>
      <c r="AC41" s="131"/>
      <c r="AD41" s="131"/>
      <c r="AE41" s="181"/>
      <c r="AF41" s="129"/>
      <c r="AG41" s="131"/>
      <c r="AH41" s="930"/>
      <c r="AI41" s="129"/>
      <c r="AJ41" s="131"/>
      <c r="AK41" s="131"/>
      <c r="AL41" s="929"/>
      <c r="AM41" s="207"/>
      <c r="AN41" s="131"/>
      <c r="AO41" s="131"/>
      <c r="AP41" s="928"/>
      <c r="AQ41" s="129"/>
      <c r="AR41" s="207"/>
      <c r="AS41" s="131"/>
      <c r="AT41" s="928"/>
      <c r="AU41" s="129"/>
      <c r="AV41" s="129"/>
      <c r="AW41" s="131"/>
      <c r="AX41" s="928"/>
      <c r="AY41" s="928"/>
      <c r="AZ41" s="928"/>
      <c r="BA41" s="118"/>
    </row>
    <row r="42" spans="1:58" s="119" customFormat="1" ht="18" customHeight="1" thickBot="1" x14ac:dyDescent="0.3">
      <c r="A42" s="166"/>
      <c r="B42" s="166" t="s">
        <v>3678</v>
      </c>
      <c r="C42" s="931">
        <f>SUM(C43)</f>
        <v>26367</v>
      </c>
      <c r="D42" s="944">
        <f>SUM(D43)</f>
        <v>50757.2</v>
      </c>
      <c r="E42" s="940">
        <f>D42-C42</f>
        <v>24390.199999999997</v>
      </c>
      <c r="F42" s="942">
        <f>((D42/C42)-1)*100</f>
        <v>92.502749649182675</v>
      </c>
      <c r="G42" s="931">
        <f>SUM(G43)</f>
        <v>26367</v>
      </c>
      <c r="H42" s="944">
        <f>SUM(H43)</f>
        <v>52849.599999999999</v>
      </c>
      <c r="I42" s="940">
        <f>H42-G42</f>
        <v>26482.6</v>
      </c>
      <c r="J42" s="942">
        <f>((H42/G42)-1)*100</f>
        <v>100.43842682140553</v>
      </c>
      <c r="K42" s="931">
        <f>SUM(K43)</f>
        <v>26367</v>
      </c>
      <c r="L42" s="944">
        <f>SUM(L43)</f>
        <v>61299.27</v>
      </c>
      <c r="M42" s="940">
        <f>L42-K42</f>
        <v>34932.269999999997</v>
      </c>
      <c r="N42" s="942">
        <f>((L42/K42)-1)*100</f>
        <v>132.48481055865287</v>
      </c>
      <c r="O42" s="931">
        <f>SUM(O43)</f>
        <v>26367</v>
      </c>
      <c r="P42" s="944">
        <f>SUM(P43)</f>
        <v>57408.91</v>
      </c>
      <c r="Q42" s="940">
        <f>P42-O42</f>
        <v>31041.910000000003</v>
      </c>
      <c r="R42" s="942">
        <f>((P42/O42)-1)*100</f>
        <v>117.73015511814013</v>
      </c>
      <c r="S42" s="931">
        <f>SUM(S43)</f>
        <v>26367</v>
      </c>
      <c r="T42" s="931">
        <f>SUM(T43)</f>
        <v>55018.47</v>
      </c>
      <c r="U42" s="931">
        <f>T42-S42</f>
        <v>28651.47</v>
      </c>
      <c r="V42" s="931">
        <f>((T42/S42)-1)*100</f>
        <v>108.66412561155991</v>
      </c>
      <c r="W42" s="931">
        <f>SUM(W43)</f>
        <v>26367</v>
      </c>
      <c r="X42" s="931">
        <f>SUM(X43)</f>
        <v>58690.45</v>
      </c>
      <c r="Y42" s="931">
        <f>X42-W42</f>
        <v>32323.449999999997</v>
      </c>
      <c r="Z42" s="944">
        <f>((X42/W42)-1)*100</f>
        <v>122.59054879205067</v>
      </c>
      <c r="AA42" s="977">
        <f>SUM(AA43)</f>
        <v>52734</v>
      </c>
      <c r="AB42" s="978">
        <f>SUM(AB43)</f>
        <v>54124.61</v>
      </c>
      <c r="AC42" s="979">
        <f>AB42-AA42</f>
        <v>1390.6100000000006</v>
      </c>
      <c r="AD42" s="979">
        <f>((AB42/AA42)-1)*100</f>
        <v>2.6370273447870352</v>
      </c>
      <c r="AE42" s="931">
        <f>SUM(AE43)</f>
        <v>26367</v>
      </c>
      <c r="AF42" s="978">
        <f>SUM(AF43)</f>
        <v>56849.72</v>
      </c>
      <c r="AG42" s="166">
        <f>AF42-AE42</f>
        <v>30482.720000000001</v>
      </c>
      <c r="AH42" s="166">
        <f>((AF42/AE42)-1)*100</f>
        <v>115.60936018507984</v>
      </c>
      <c r="AI42" s="931">
        <f>SUM(AI43)</f>
        <v>26367</v>
      </c>
      <c r="AJ42" s="978">
        <f>SUM(AJ43)</f>
        <v>116138</v>
      </c>
      <c r="AK42" s="931">
        <f>AJ42-AI42</f>
        <v>89771</v>
      </c>
      <c r="AL42" s="931">
        <f>((AJ42/AI42)-1)*100</f>
        <v>340.46725073007929</v>
      </c>
      <c r="AM42" s="931">
        <f>SUM(AM43)</f>
        <v>26367</v>
      </c>
      <c r="AN42" s="931">
        <f>SUM(AN43)</f>
        <v>133083</v>
      </c>
      <c r="AO42" s="931">
        <f>AN42-AM42</f>
        <v>106716</v>
      </c>
      <c r="AP42" s="931">
        <f>((AN42/AM42)-1)*100</f>
        <v>404.73318921378996</v>
      </c>
      <c r="AQ42" s="931">
        <f>SUM(AQ43)</f>
        <v>26367</v>
      </c>
      <c r="AR42" s="931">
        <f>SUM(AR43)</f>
        <v>0</v>
      </c>
      <c r="AS42" s="931">
        <f>AR42-AQ42</f>
        <v>-26367</v>
      </c>
      <c r="AT42" s="931" t="e">
        <f>((AQ42/AR42)-1)*100</f>
        <v>#DIV/0!</v>
      </c>
      <c r="AU42" s="931">
        <f>SUM(AU43)</f>
        <v>26367</v>
      </c>
      <c r="AV42" s="931">
        <f>SUM(AV43)</f>
        <v>0</v>
      </c>
      <c r="AW42" s="931">
        <f>AV42-AU42</f>
        <v>-26367</v>
      </c>
      <c r="AX42" s="931" t="e">
        <f>((AU42/AV42)-1)*100</f>
        <v>#DIV/0!</v>
      </c>
      <c r="AY42" s="1093">
        <f>C42+G42+K42+O42+S42+W42+AA42+AE42+AI42+AM42+AQ42+AU42</f>
        <v>342771</v>
      </c>
      <c r="AZ42" s="1093">
        <f>D42+H42+L42+P42+T42+X42+AB42+AF42+AJ42+AN42+AR42+AV42</f>
        <v>696219.23</v>
      </c>
      <c r="BA42" s="118"/>
      <c r="BC42" s="334"/>
      <c r="BD42" s="334"/>
    </row>
    <row r="43" spans="1:58" s="11" customFormat="1" ht="18" customHeight="1" thickBot="1" x14ac:dyDescent="0.3">
      <c r="A43" s="932" t="s">
        <v>3704</v>
      </c>
      <c r="B43" s="936" t="s">
        <v>3678</v>
      </c>
      <c r="C43" s="933">
        <v>26367</v>
      </c>
      <c r="D43" s="933">
        <v>50757.2</v>
      </c>
      <c r="E43" s="945">
        <f>D43-C43</f>
        <v>24390.199999999997</v>
      </c>
      <c r="F43" s="946">
        <f>((D43/C43)-1)*100</f>
        <v>92.502749649182675</v>
      </c>
      <c r="G43" s="934">
        <v>26367</v>
      </c>
      <c r="H43" s="934">
        <v>52849.599999999999</v>
      </c>
      <c r="I43" s="934">
        <f>H43-G43</f>
        <v>26482.6</v>
      </c>
      <c r="J43" s="934">
        <f>((H43/G43)-1)*100</f>
        <v>100.43842682140553</v>
      </c>
      <c r="K43" s="941">
        <v>26367</v>
      </c>
      <c r="L43" s="941">
        <f>110.57+61188.7</f>
        <v>61299.27</v>
      </c>
      <c r="M43" s="935">
        <f>L43-K43</f>
        <v>34932.269999999997</v>
      </c>
      <c r="N43" s="935">
        <f>((L43/K43)-1)*100</f>
        <v>132.48481055865287</v>
      </c>
      <c r="O43" s="935">
        <v>26367</v>
      </c>
      <c r="P43" s="935">
        <v>57408.91</v>
      </c>
      <c r="Q43" s="935">
        <f>P43-O43</f>
        <v>31041.910000000003</v>
      </c>
      <c r="R43" s="935">
        <f>((P43/O43)-1)*100</f>
        <v>117.73015511814013</v>
      </c>
      <c r="S43" s="937">
        <v>26367</v>
      </c>
      <c r="T43" s="938">
        <v>55018.47</v>
      </c>
      <c r="U43" s="719">
        <f t="shared" si="39"/>
        <v>28651.47</v>
      </c>
      <c r="V43" s="719">
        <f>((T43/S43)-1)*100</f>
        <v>108.66412561155991</v>
      </c>
      <c r="W43" s="948">
        <v>26367</v>
      </c>
      <c r="X43" s="949">
        <v>58690.45</v>
      </c>
      <c r="Y43" s="4">
        <f>X42-W42</f>
        <v>32323.449999999997</v>
      </c>
      <c r="Z43" s="209">
        <f>((X43/W43)-1)*100</f>
        <v>122.59054879205067</v>
      </c>
      <c r="AA43" s="247">
        <v>52734</v>
      </c>
      <c r="AB43" s="182">
        <v>54124.61</v>
      </c>
      <c r="AC43" s="976">
        <f>AB42-AA42</f>
        <v>1390.6100000000006</v>
      </c>
      <c r="AD43" s="1076">
        <f>((AB43/AA43)-1)*100</f>
        <v>2.6370273447870352</v>
      </c>
      <c r="AE43" s="1000">
        <v>26367</v>
      </c>
      <c r="AF43" s="1000">
        <v>56849.72</v>
      </c>
      <c r="AG43" s="1001">
        <f>AF43-AE43</f>
        <v>30482.720000000001</v>
      </c>
      <c r="AH43" s="1001">
        <f>((AF43/AE43)-1)*100</f>
        <v>115.60936018507984</v>
      </c>
      <c r="AI43" s="719">
        <v>26367</v>
      </c>
      <c r="AJ43" s="719">
        <v>116138</v>
      </c>
      <c r="AK43" s="1005">
        <f>AJ43-AI43</f>
        <v>89771</v>
      </c>
      <c r="AL43" s="1005">
        <f>((AJ43/AI43)-1)*100</f>
        <v>340.46725073007929</v>
      </c>
      <c r="AM43" s="1025">
        <v>26367</v>
      </c>
      <c r="AN43" s="1025">
        <v>133083</v>
      </c>
      <c r="AO43" s="936">
        <v>92</v>
      </c>
      <c r="AP43" s="1094">
        <f>((AN43/AM43)-1)*100</f>
        <v>404.73318921378996</v>
      </c>
      <c r="AQ43" s="1025">
        <v>26367</v>
      </c>
      <c r="AR43" s="939"/>
      <c r="AS43" s="936"/>
      <c r="AT43" s="935"/>
      <c r="AU43" s="1025">
        <v>26367</v>
      </c>
      <c r="AV43" s="936"/>
      <c r="AW43" s="936"/>
      <c r="AX43" s="935"/>
      <c r="AY43" s="1095">
        <f>C43+G43+K43+O43+S43+W43+AA43+AE43+AI43+AM43+AQ43+AU43</f>
        <v>342771</v>
      </c>
      <c r="AZ43" s="1095">
        <f>D43+H43+L43+P43+T43+X43+AB43+AF43+AJ43+AN43+AR43+AV43</f>
        <v>696219.23</v>
      </c>
      <c r="BA43" s="63"/>
    </row>
    <row r="44" spans="1:58" s="11" customFormat="1" ht="18" customHeight="1" thickBot="1" x14ac:dyDescent="0.3">
      <c r="A44" s="161"/>
      <c r="C44" s="163"/>
      <c r="D44" s="93"/>
      <c r="E44" s="163"/>
      <c r="F44" s="195"/>
      <c r="G44" s="163"/>
      <c r="H44" s="118"/>
      <c r="I44" s="163"/>
      <c r="J44" s="132"/>
      <c r="N44" s="132"/>
      <c r="P44" s="132"/>
      <c r="Q44" s="908"/>
      <c r="R44" s="132"/>
      <c r="V44" s="132"/>
      <c r="Z44" s="132"/>
      <c r="AD44" s="132"/>
      <c r="AF44" s="132"/>
      <c r="AH44" s="132"/>
      <c r="AJ44" s="163"/>
      <c r="AL44" s="132"/>
      <c r="AP44" s="132"/>
      <c r="AR44" s="164"/>
      <c r="AT44" s="132"/>
      <c r="AX44" s="132"/>
      <c r="BA44" s="63"/>
    </row>
    <row r="45" spans="1:58" s="8" customFormat="1" ht="18" customHeight="1" thickBot="1" x14ac:dyDescent="0.3">
      <c r="A45" s="165"/>
      <c r="B45" s="1082" t="s">
        <v>24</v>
      </c>
      <c r="C45" s="601">
        <f>C47+C72+C117+C130+C154+C173+C207</f>
        <v>15321675.357950002</v>
      </c>
      <c r="D45" s="411">
        <f>D47+D72+D117+D130+D154+D173+D207</f>
        <v>15817218.870000001</v>
      </c>
      <c r="E45" s="95">
        <f>D45-C45</f>
        <v>495543.51204999909</v>
      </c>
      <c r="F45" s="238">
        <f>((D45/C45)-1)*100</f>
        <v>3.2342645335640574</v>
      </c>
      <c r="G45" s="95">
        <f>G47+G72+G117+G130+G154+G173+G207</f>
        <v>15321675.357950002</v>
      </c>
      <c r="H45" s="370">
        <f>H47+H72+H117+H130+H154+H173+H207</f>
        <v>16016758.419999996</v>
      </c>
      <c r="I45" s="95">
        <f>H45-G45</f>
        <v>695083.06204999425</v>
      </c>
      <c r="J45" s="238">
        <f>((H45/G45)-1)*100</f>
        <v>4.5365995937861614</v>
      </c>
      <c r="K45" s="95">
        <f>K47+K72+K117+K130+K154+K173+K207</f>
        <v>15321675.357950002</v>
      </c>
      <c r="L45" s="95">
        <f>L47+L72+L117+L130+L154+L173+L207</f>
        <v>18756972.740000002</v>
      </c>
      <c r="M45" s="95">
        <f>L45-K45</f>
        <v>3435297.3820500001</v>
      </c>
      <c r="N45" s="238">
        <f>((L45/K45)-1)*100</f>
        <v>22.421160230806734</v>
      </c>
      <c r="O45" s="95">
        <f>O47+O72+O117+O130+O154+O173+O207</f>
        <v>15318175.357950002</v>
      </c>
      <c r="P45" s="95">
        <f>P47+P72+P117+P130+P154+P173+P207</f>
        <v>21019899.18</v>
      </c>
      <c r="Q45" s="95">
        <f>P45-O45</f>
        <v>5701723.8220499977</v>
      </c>
      <c r="R45" s="238">
        <f>((P45/O45)-1)*100</f>
        <v>37.221951628141213</v>
      </c>
      <c r="S45" s="95">
        <f>S47+S72+S117+S130+S154+S173+S207</f>
        <v>15702775.357950002</v>
      </c>
      <c r="T45" s="95">
        <f>T47+T72+T117+T130+T154+T173+T207</f>
        <v>21402345.669999998</v>
      </c>
      <c r="U45" s="95">
        <f>T45-S45</f>
        <v>5699570.3120499961</v>
      </c>
      <c r="V45" s="238">
        <f>((T45/S45)-1)*100</f>
        <v>36.296579312423383</v>
      </c>
      <c r="W45" s="95">
        <f>W47+W72+W117+W130+W154+W173+W207</f>
        <v>15702775.357950002</v>
      </c>
      <c r="X45" s="95">
        <f>X47+X72+X117+X130+X154+X173+X207</f>
        <v>23312450.929999992</v>
      </c>
      <c r="Y45" s="95">
        <f>X45-W45</f>
        <v>7609675.5720499903</v>
      </c>
      <c r="Z45" s="238">
        <f>((X45/W45)-1)*100</f>
        <v>48.460704547985301</v>
      </c>
      <c r="AA45" s="95">
        <f>AA47+AA72+AA117+AA130+AA154+AA173+AA207</f>
        <v>15652775.357950002</v>
      </c>
      <c r="AB45" s="95">
        <f>AB47+AB72+AB117+AB130+AB154+AB173+AB207</f>
        <v>22205587.850000001</v>
      </c>
      <c r="AC45" s="95">
        <f>AB45-AA45</f>
        <v>6552812.4920499995</v>
      </c>
      <c r="AD45" s="238">
        <f>((AB45/AA45)-1)*100</f>
        <v>41.863582286203595</v>
      </c>
      <c r="AE45" s="95">
        <f>AE47+AE72+AE117+AE130+AE154+AE173+AE207</f>
        <v>15652775.357950002</v>
      </c>
      <c r="AF45" s="95">
        <f>AF47+AF72+AF117+AF130+AF154+AF173+AF207</f>
        <v>23651416.129999995</v>
      </c>
      <c r="AG45" s="95">
        <f>AF45-AE45</f>
        <v>7998640.7720499933</v>
      </c>
      <c r="AH45" s="238">
        <f>((AF45/AE45)-1)*100</f>
        <v>51.100463586398462</v>
      </c>
      <c r="AI45" s="18">
        <f>AI47+AI72+AI117+AI130+AI154+AI173+AI207</f>
        <v>15652775.357950002</v>
      </c>
      <c r="AJ45" s="18">
        <f>AJ47+AJ72+AJ117+AJ130+AJ154+AJ173+AJ207</f>
        <v>23572811.109999999</v>
      </c>
      <c r="AK45" s="95">
        <f>AJ45-AI45</f>
        <v>7920035.7520499974</v>
      </c>
      <c r="AL45" s="238">
        <f>((AJ45/AI45)-1)*100</f>
        <v>50.5982841440795</v>
      </c>
      <c r="AM45" s="18">
        <f>AM47+AM72+AM117+AM130+AM154+AM173+AM207</f>
        <v>15652775.357950002</v>
      </c>
      <c r="AN45" s="18">
        <f>AN47+AN72+AN117+AN130+AN154+AN173+AN207</f>
        <v>22326905.370000001</v>
      </c>
      <c r="AO45" s="95">
        <f>AN45-AM45</f>
        <v>6674130.0120499991</v>
      </c>
      <c r="AP45" s="238">
        <f>((AN45/AM45)-1)*100</f>
        <v>42.638636659793548</v>
      </c>
      <c r="AQ45" s="18">
        <f>AQ47+AQ72+AQ117+AQ130+AQ154+AQ173+AQ207</f>
        <v>15652775.357950002</v>
      </c>
      <c r="AR45" s="18">
        <f>AR47+AR72+AR117+AR130+AR154+AR173</f>
        <v>0</v>
      </c>
      <c r="AS45" s="95">
        <f>AR45-AQ45</f>
        <v>-15652775.357950002</v>
      </c>
      <c r="AT45" s="238">
        <f>((AR45/AQ45)-1)*100</f>
        <v>-100</v>
      </c>
      <c r="AU45" s="18">
        <f>AU47+AU72+AU117+AU130+AU154+AU173+AU207</f>
        <v>15652775.357950002</v>
      </c>
      <c r="AV45" s="18">
        <f>AV47+AV72+AV117+AV130+AV154+AV173</f>
        <v>0</v>
      </c>
      <c r="AW45" s="95">
        <f>AV45-AU45</f>
        <v>-15652775.357950002</v>
      </c>
      <c r="AX45" s="196">
        <f>((AV45/AU45)-1)*100</f>
        <v>-100</v>
      </c>
      <c r="AY45" s="18">
        <f>C45+G45+K45+O45+S45+W45+AA45+AE45+AI45+AM45+AQ45+AU45</f>
        <v>186605404.29540002</v>
      </c>
      <c r="AZ45" s="112">
        <f>SUM(D45+H45+L45+P45+T45+X45+AB45+AF45+AJ45+AN45+AR45+AV45)</f>
        <v>208082366.26999998</v>
      </c>
      <c r="BA45" s="63"/>
      <c r="BB45" s="64"/>
      <c r="BD45" s="9"/>
      <c r="BE45" s="10"/>
    </row>
    <row r="46" spans="1:58" s="11" customFormat="1" ht="18" customHeight="1" thickBot="1" x14ac:dyDescent="0.3">
      <c r="A46" s="161"/>
      <c r="C46" s="333"/>
      <c r="D46" s="93"/>
      <c r="E46" s="132"/>
      <c r="F46" s="369"/>
      <c r="H46" s="119"/>
      <c r="I46" s="132"/>
      <c r="J46" s="132"/>
      <c r="K46" s="163"/>
      <c r="L46" s="163"/>
      <c r="M46" s="132"/>
      <c r="N46" s="132"/>
      <c r="P46" s="132"/>
      <c r="Q46" s="132"/>
      <c r="R46" s="132"/>
      <c r="T46" s="132"/>
      <c r="U46" s="132"/>
      <c r="V46" s="132"/>
      <c r="W46" s="163"/>
      <c r="X46" s="163"/>
      <c r="Y46" s="163"/>
      <c r="Z46" s="132"/>
      <c r="AA46" s="163"/>
      <c r="AB46" s="163"/>
      <c r="AC46" s="163"/>
      <c r="AD46" s="132"/>
      <c r="AE46" s="163"/>
      <c r="AF46" s="163"/>
      <c r="AG46" s="163"/>
      <c r="AH46" s="132"/>
      <c r="AI46" s="163"/>
      <c r="AJ46" s="163"/>
      <c r="AK46" s="163"/>
      <c r="AL46" s="132"/>
      <c r="AM46" s="163"/>
      <c r="AN46" s="163"/>
      <c r="AO46" s="163"/>
      <c r="AP46" s="132"/>
      <c r="AQ46" s="163"/>
      <c r="AR46" s="163"/>
      <c r="AS46" s="163"/>
      <c r="AT46" s="132"/>
      <c r="AU46" s="163"/>
      <c r="AV46" s="163"/>
      <c r="AW46" s="163"/>
      <c r="AX46" s="132"/>
      <c r="AY46" s="163"/>
      <c r="AZ46" s="163"/>
      <c r="BA46" s="63"/>
    </row>
    <row r="47" spans="1:58" s="11" customFormat="1" ht="18" customHeight="1" thickBot="1" x14ac:dyDescent="0.3">
      <c r="A47" s="166"/>
      <c r="B47" s="1083" t="s">
        <v>167</v>
      </c>
      <c r="C47" s="412">
        <f>SUM(C48:C70)</f>
        <v>5143400</v>
      </c>
      <c r="D47" s="412">
        <f>SUM(D48:D70)</f>
        <v>5233246.99</v>
      </c>
      <c r="E47" s="80">
        <f>D47-C47</f>
        <v>89846.990000000224</v>
      </c>
      <c r="F47" s="244">
        <f t="shared" ref="F47:F68" si="40">((D47/C47)-1)*100</f>
        <v>1.746840416844897</v>
      </c>
      <c r="G47" s="104">
        <f>SUM(G48:G70)</f>
        <v>5143400</v>
      </c>
      <c r="H47" s="392">
        <f>SUM(H48:H70)</f>
        <v>5369684.8599999985</v>
      </c>
      <c r="I47" s="80">
        <f>H47-G47</f>
        <v>226284.85999999847</v>
      </c>
      <c r="J47" s="244">
        <f>((H47/G47)-1)*100</f>
        <v>4.3995189952171332</v>
      </c>
      <c r="K47" s="104">
        <f>SUM(K48:K70)</f>
        <v>5143400</v>
      </c>
      <c r="L47" s="80">
        <f>SUM(L48:L70)</f>
        <v>5521514.0900000026</v>
      </c>
      <c r="M47" s="80">
        <f>L47-K47</f>
        <v>378114.09000000264</v>
      </c>
      <c r="N47" s="244">
        <f>((L47/K47)-1)*100</f>
        <v>7.3514424310767712</v>
      </c>
      <c r="O47" s="104">
        <f>SUM(O48:O70)</f>
        <v>5142500</v>
      </c>
      <c r="P47" s="80">
        <f>SUM(P48:P70)</f>
        <v>5558608.8300000001</v>
      </c>
      <c r="Q47" s="80">
        <f t="shared" ref="Q47:Q55" si="41">P47-O47</f>
        <v>416108.83000000007</v>
      </c>
      <c r="R47" s="244">
        <f>((P47/O47)-1)*100</f>
        <v>8.0915669421487646</v>
      </c>
      <c r="S47" s="104">
        <f>SUM(S48:S70)</f>
        <v>5528000</v>
      </c>
      <c r="T47" s="80">
        <f>SUM(T48:T70)</f>
        <v>5948911.4499999993</v>
      </c>
      <c r="U47" s="80">
        <f>T47-S47</f>
        <v>420911.44999999925</v>
      </c>
      <c r="V47" s="244">
        <f>((T47/S47)-1)*100</f>
        <v>7.614172395079577</v>
      </c>
      <c r="W47" s="104">
        <f>SUM(W48:W70)</f>
        <v>5528000</v>
      </c>
      <c r="X47" s="80">
        <f>SUM(X48:X70)</f>
        <v>5835487.339999998</v>
      </c>
      <c r="Y47" s="80">
        <f>X47-W47</f>
        <v>307487.33999999799</v>
      </c>
      <c r="Z47" s="244">
        <f>((X47/W47)-1)*100</f>
        <v>5.5623614327061865</v>
      </c>
      <c r="AA47" s="104">
        <f>SUM(AA48:AA70)</f>
        <v>5527100</v>
      </c>
      <c r="AB47" s="80">
        <f>SUM(AB48:AB70)</f>
        <v>5903015.6699999999</v>
      </c>
      <c r="AC47" s="80">
        <f>AB47-AA47</f>
        <v>375915.66999999993</v>
      </c>
      <c r="AD47" s="244">
        <f>((AB47/AA47)-1)*100</f>
        <v>6.8013184129109394</v>
      </c>
      <c r="AE47" s="104">
        <f>SUM(AE48:AE70)</f>
        <v>5527100</v>
      </c>
      <c r="AF47" s="80">
        <f>SUM(AF48:AF70)</f>
        <v>5859442.3099999987</v>
      </c>
      <c r="AG47" s="80">
        <f>AF47-AE47</f>
        <v>332342.30999999866</v>
      </c>
      <c r="AH47" s="244">
        <f>((AF47/AE47)-1)*100</f>
        <v>6.012959960919817</v>
      </c>
      <c r="AI47" s="51">
        <f>SUM(AI48:AI70)</f>
        <v>5527100</v>
      </c>
      <c r="AJ47" s="42">
        <f>SUM(AJ48:AJ70)</f>
        <v>5815763.4499999983</v>
      </c>
      <c r="AK47" s="80">
        <f>AJ47-AI47</f>
        <v>288663.44999999832</v>
      </c>
      <c r="AL47" s="244">
        <f>((AJ47/AI47)-1)*100</f>
        <v>5.2226927321741723</v>
      </c>
      <c r="AM47" s="51">
        <f>SUM(AM48:AM70)</f>
        <v>5527100</v>
      </c>
      <c r="AN47" s="42">
        <f>SUM(AN48:AN70)</f>
        <v>5829063.3099999987</v>
      </c>
      <c r="AO47" s="80">
        <f>AN47-AM47</f>
        <v>301963.30999999866</v>
      </c>
      <c r="AP47" s="244">
        <f>((AN47/AM47)-1)*100</f>
        <v>5.4633227189665234</v>
      </c>
      <c r="AQ47" s="51">
        <f>SUM(AQ48:AQ70)</f>
        <v>5527100</v>
      </c>
      <c r="AR47" s="42">
        <f>SUM(AR48:AR70)</f>
        <v>0</v>
      </c>
      <c r="AS47" s="80">
        <f>AR47-AQ47</f>
        <v>-5527100</v>
      </c>
      <c r="AT47" s="244">
        <f>((AR47/AQ47)-1)*100</f>
        <v>-100</v>
      </c>
      <c r="AU47" s="51">
        <f>SUM(AU48:AU70)</f>
        <v>5527100</v>
      </c>
      <c r="AV47" s="42">
        <f>SUM(AV48:AV70)</f>
        <v>0</v>
      </c>
      <c r="AW47" s="80">
        <f>AV47-AU47</f>
        <v>-5527100</v>
      </c>
      <c r="AX47" s="215">
        <f>((AV47/AU47)-1)*100</f>
        <v>-100</v>
      </c>
      <c r="AY47" s="51">
        <f>C47+G47+K47+O47+S47+W47+AA47+AE47+AI47+AM47+AQ47+AU47</f>
        <v>64791300</v>
      </c>
      <c r="AZ47" s="79">
        <f t="shared" ref="AZ47:AZ55" si="42">SUM(D47+H47+L47+P47+T47+X47+AB47+AF47+AJ47+AN47+AR47+AV47)</f>
        <v>56874738.299999997</v>
      </c>
      <c r="BA47" s="63"/>
      <c r="BF47" s="400"/>
    </row>
    <row r="48" spans="1:58" s="119" customFormat="1" ht="18" customHeight="1" x14ac:dyDescent="0.25">
      <c r="A48" s="167" t="s">
        <v>25</v>
      </c>
      <c r="B48" s="331" t="s">
        <v>26</v>
      </c>
      <c r="C48" s="896">
        <v>3300000</v>
      </c>
      <c r="D48" s="96">
        <f>2977975.22+330359.95</f>
        <v>3308335.1700000004</v>
      </c>
      <c r="E48" s="565">
        <f t="shared" ref="E48:E68" si="43">D48-C48</f>
        <v>8335.1700000003912</v>
      </c>
      <c r="F48" s="566">
        <f t="shared" si="40"/>
        <v>0.25258090909092701</v>
      </c>
      <c r="G48" s="891">
        <v>3300000</v>
      </c>
      <c r="H48" s="169">
        <f>3131899.13+342441.26</f>
        <v>3474340.3899999997</v>
      </c>
      <c r="I48" s="169">
        <f>H48-G48</f>
        <v>174340.38999999966</v>
      </c>
      <c r="J48" s="567">
        <f>((H48/G48)-1)*100</f>
        <v>5.2830421212121115</v>
      </c>
      <c r="K48" s="575">
        <v>3300000</v>
      </c>
      <c r="L48" s="169">
        <v>3487163.33</v>
      </c>
      <c r="M48" s="169">
        <f>L48-K48</f>
        <v>187163.33000000007</v>
      </c>
      <c r="N48" s="567">
        <f>((L48/K48)-1)*100</f>
        <v>5.6716160606060662</v>
      </c>
      <c r="O48" s="575">
        <v>3300000</v>
      </c>
      <c r="P48" s="169">
        <v>3512945.15</v>
      </c>
      <c r="Q48" s="169">
        <f t="shared" si="41"/>
        <v>212945.14999999991</v>
      </c>
      <c r="R48" s="567">
        <f>((P48/O48)-1)*100</f>
        <v>6.4528833333333369</v>
      </c>
      <c r="S48" s="644">
        <v>3564000</v>
      </c>
      <c r="T48" s="169">
        <v>3731930.06</v>
      </c>
      <c r="U48" s="169">
        <f>T48-S48</f>
        <v>167930.06000000006</v>
      </c>
      <c r="V48" s="567">
        <f>((T48/S48)-1)*100</f>
        <v>4.7118423120089847</v>
      </c>
      <c r="W48" s="644">
        <v>3564000</v>
      </c>
      <c r="X48" s="169">
        <v>3738184.83</v>
      </c>
      <c r="Y48" s="761">
        <f>X48-W48</f>
        <v>174184.83000000007</v>
      </c>
      <c r="Z48" s="567">
        <f>((X48/W48)-1)*100</f>
        <v>4.8873409090909092</v>
      </c>
      <c r="AA48" s="644">
        <v>3564000</v>
      </c>
      <c r="AB48" s="644">
        <v>3758317.13</v>
      </c>
      <c r="AC48" s="169">
        <f>AB48-AA48</f>
        <v>194317.12999999989</v>
      </c>
      <c r="AD48" s="567">
        <f>((AB48/AA48)-1)*100</f>
        <v>5.4522202581369195</v>
      </c>
      <c r="AE48" s="644">
        <v>3564000</v>
      </c>
      <c r="AF48" s="644">
        <v>3817737.28</v>
      </c>
      <c r="AG48" s="169">
        <f>AF48-AE48</f>
        <v>253737.2799999998</v>
      </c>
      <c r="AH48" s="567">
        <f>((AF48/AE48)-1)*100</f>
        <v>7.1194523007856336</v>
      </c>
      <c r="AI48" s="644">
        <v>3564000</v>
      </c>
      <c r="AJ48" s="568">
        <v>3795493.62</v>
      </c>
      <c r="AK48" s="169">
        <f>AJ48-AI48</f>
        <v>231493.62000000011</v>
      </c>
      <c r="AL48" s="567">
        <f>((AJ48/AI48)-1)*100</f>
        <v>6.4953316498316482</v>
      </c>
      <c r="AM48" s="644">
        <v>3564000</v>
      </c>
      <c r="AN48" s="568">
        <v>3803057.36</v>
      </c>
      <c r="AO48" s="169">
        <f>AN48-AM48</f>
        <v>239057.35999999987</v>
      </c>
      <c r="AP48" s="567">
        <f>((AN48/AM48)-1)*100</f>
        <v>6.7075578002244729</v>
      </c>
      <c r="AQ48" s="644">
        <v>3564000</v>
      </c>
      <c r="AR48" s="171"/>
      <c r="AS48" s="169">
        <f>AR48-AQ48</f>
        <v>-3564000</v>
      </c>
      <c r="AT48" s="567">
        <f>((AR48/AQ48)-1)*100</f>
        <v>-100</v>
      </c>
      <c r="AU48" s="644">
        <v>3564000</v>
      </c>
      <c r="AV48" s="171"/>
      <c r="AW48" s="169">
        <f>AV48-AU48</f>
        <v>-3564000</v>
      </c>
      <c r="AX48" s="569">
        <f>((AV48/AU48)-1)*100</f>
        <v>-100</v>
      </c>
      <c r="AY48" s="571">
        <f>C48+G48+K48+O48+S48+W48+AA48+AE48+AI48+AM48+AQ48+AU48</f>
        <v>41712000</v>
      </c>
      <c r="AZ48" s="571">
        <f t="shared" si="42"/>
        <v>36427504.32</v>
      </c>
      <c r="BA48" s="118"/>
      <c r="BF48" s="401"/>
    </row>
    <row r="49" spans="1:53" s="119" customFormat="1" ht="18" customHeight="1" x14ac:dyDescent="0.25">
      <c r="A49" s="170">
        <v>11316</v>
      </c>
      <c r="B49" s="332" t="s">
        <v>27</v>
      </c>
      <c r="C49" s="897">
        <v>330000</v>
      </c>
      <c r="D49" s="97">
        <v>463577.97</v>
      </c>
      <c r="E49" s="373">
        <f t="shared" si="43"/>
        <v>133577.96999999997</v>
      </c>
      <c r="F49" s="372">
        <f t="shared" si="40"/>
        <v>40.478172727272721</v>
      </c>
      <c r="G49" s="892">
        <v>330000</v>
      </c>
      <c r="H49" s="172">
        <v>422026.11</v>
      </c>
      <c r="I49" s="172">
        <f>H49-G49</f>
        <v>92026.109999999986</v>
      </c>
      <c r="J49" s="245">
        <f>((H49/G49)-1)*100</f>
        <v>27.886699999999998</v>
      </c>
      <c r="K49" s="576">
        <v>330000</v>
      </c>
      <c r="L49" s="172">
        <v>410818.42</v>
      </c>
      <c r="M49" s="172">
        <f>L49-K49</f>
        <v>80818.419999999984</v>
      </c>
      <c r="N49" s="245">
        <f>((L49/K49)-1)*100</f>
        <v>24.490430303030308</v>
      </c>
      <c r="O49" s="576">
        <v>330000</v>
      </c>
      <c r="P49" s="172">
        <v>399869.15</v>
      </c>
      <c r="Q49" s="172">
        <f t="shared" si="41"/>
        <v>69869.150000000023</v>
      </c>
      <c r="R49" s="245">
        <f>((P49/O49)-1)*100</f>
        <v>21.17246969696971</v>
      </c>
      <c r="S49" s="171">
        <v>356400</v>
      </c>
      <c r="T49" s="172">
        <v>399161.26</v>
      </c>
      <c r="U49" s="172">
        <f>T49-S49</f>
        <v>42761.260000000009</v>
      </c>
      <c r="V49" s="245">
        <f>((T49/S49)-1)*100</f>
        <v>11.998108866442191</v>
      </c>
      <c r="W49" s="171">
        <v>356400</v>
      </c>
      <c r="X49" s="172">
        <v>404075.6</v>
      </c>
      <c r="Y49" s="969">
        <f>X49-W49</f>
        <v>47675.599999999977</v>
      </c>
      <c r="Z49" s="245">
        <f>((X49/W49)-1)*100</f>
        <v>13.376992143658795</v>
      </c>
      <c r="AA49" s="171">
        <v>356400</v>
      </c>
      <c r="AB49" s="644">
        <v>393060.16</v>
      </c>
      <c r="AC49" s="172">
        <f>AB49-AA49</f>
        <v>36660.159999999974</v>
      </c>
      <c r="AD49" s="245">
        <f>((AB49/AA49)-1)*100</f>
        <v>10.286240179573515</v>
      </c>
      <c r="AE49" s="171">
        <v>356400</v>
      </c>
      <c r="AF49" s="171">
        <v>403003.75</v>
      </c>
      <c r="AG49" s="169">
        <f>AF49-AE49</f>
        <v>46603.75</v>
      </c>
      <c r="AH49" s="245">
        <f>((AF49/AE49)-1)*100</f>
        <v>13.076248597081941</v>
      </c>
      <c r="AI49" s="171">
        <v>356400</v>
      </c>
      <c r="AJ49" s="173">
        <v>402839.47</v>
      </c>
      <c r="AK49" s="169">
        <f>AJ49-AI49</f>
        <v>46439.469999999972</v>
      </c>
      <c r="AL49" s="245">
        <f>((AJ49/AI49)-1)*100</f>
        <v>13.030154320987641</v>
      </c>
      <c r="AM49" s="171">
        <v>356400</v>
      </c>
      <c r="AN49" s="173">
        <v>396810.51</v>
      </c>
      <c r="AO49" s="169">
        <f>AN49-AM49</f>
        <v>40410.510000000009</v>
      </c>
      <c r="AP49" s="245">
        <f>((AN49/AM49)-1)*100</f>
        <v>11.338526936026948</v>
      </c>
      <c r="AQ49" s="171">
        <v>356400</v>
      </c>
      <c r="AR49" s="171"/>
      <c r="AS49" s="169">
        <f>AR49-AQ49</f>
        <v>-356400</v>
      </c>
      <c r="AT49" s="245">
        <f>((AR49/AQ49)-1)*100</f>
        <v>-100</v>
      </c>
      <c r="AU49" s="171">
        <v>356400</v>
      </c>
      <c r="AV49" s="171"/>
      <c r="AW49" s="172">
        <f>AV49-AU49</f>
        <v>-356400</v>
      </c>
      <c r="AX49" s="246">
        <f>((AV49/AU49)-1)*100</f>
        <v>-100</v>
      </c>
      <c r="AY49" s="571">
        <f t="shared" ref="AY49:AY70" si="44">C49+G49+K49+O49+S49+W49+AA49+AE49+AI49+AM49+AQ49+AU49</f>
        <v>4171200</v>
      </c>
      <c r="AZ49" s="174">
        <f t="shared" si="42"/>
        <v>4095242.3999999994</v>
      </c>
      <c r="BA49" s="118"/>
    </row>
    <row r="50" spans="1:53" s="119" customFormat="1" ht="18" customHeight="1" x14ac:dyDescent="0.25">
      <c r="A50" s="122">
        <v>11322</v>
      </c>
      <c r="B50" s="332" t="s">
        <v>28</v>
      </c>
      <c r="C50" s="897">
        <v>420000</v>
      </c>
      <c r="D50" s="97">
        <v>448923.15</v>
      </c>
      <c r="E50" s="373">
        <f t="shared" si="43"/>
        <v>28923.150000000023</v>
      </c>
      <c r="F50" s="372">
        <f t="shared" si="40"/>
        <v>6.8864642857142888</v>
      </c>
      <c r="G50" s="892">
        <v>420000</v>
      </c>
      <c r="H50" s="172">
        <v>445925.53</v>
      </c>
      <c r="I50" s="172">
        <f>H50-G50</f>
        <v>25925.530000000028</v>
      </c>
      <c r="J50" s="245">
        <f t="shared" ref="J50:J68" si="45">((H50/G50)-1)*100</f>
        <v>6.1727452380952341</v>
      </c>
      <c r="K50" s="576">
        <v>420000</v>
      </c>
      <c r="L50" s="172">
        <v>451108.86</v>
      </c>
      <c r="M50" s="172">
        <f>L50-K50</f>
        <v>31108.859999999986</v>
      </c>
      <c r="N50" s="245">
        <f t="shared" ref="N50:N68" si="46">((L50/K50)-1)*100</f>
        <v>7.4068714285714154</v>
      </c>
      <c r="O50" s="576">
        <v>420000</v>
      </c>
      <c r="P50" s="172">
        <v>451744.19</v>
      </c>
      <c r="Q50" s="172">
        <f t="shared" si="41"/>
        <v>31744.190000000002</v>
      </c>
      <c r="R50" s="245">
        <f t="shared" ref="R50:R55" si="47">((P50/O50)-1)*100</f>
        <v>7.558140476190478</v>
      </c>
      <c r="S50" s="171">
        <v>453600</v>
      </c>
      <c r="T50" s="172">
        <v>472660.95</v>
      </c>
      <c r="U50" s="172">
        <f>T50-S50</f>
        <v>19060.950000000012</v>
      </c>
      <c r="V50" s="245">
        <f t="shared" ref="V50:V68" si="48">((T50/S50)-1)*100</f>
        <v>4.2021494708994744</v>
      </c>
      <c r="W50" s="171">
        <v>453600</v>
      </c>
      <c r="X50" s="172">
        <v>477664.83</v>
      </c>
      <c r="Y50" s="969">
        <f>X50-W50</f>
        <v>24064.830000000016</v>
      </c>
      <c r="Z50" s="245">
        <f t="shared" ref="Z50:Z68" si="49">((X50/W50)-1)*100</f>
        <v>5.3052976190476331</v>
      </c>
      <c r="AA50" s="171">
        <v>453600</v>
      </c>
      <c r="AB50" s="644">
        <v>480340.19</v>
      </c>
      <c r="AC50" s="172">
        <f>AB50-AA50</f>
        <v>26740.190000000002</v>
      </c>
      <c r="AD50" s="245">
        <f t="shared" ref="AD50:AD68" si="50">((AB50/AA50)-1)*100</f>
        <v>5.8951036155202807</v>
      </c>
      <c r="AE50" s="171">
        <v>453600</v>
      </c>
      <c r="AF50" s="171">
        <v>488492.39</v>
      </c>
      <c r="AG50" s="169">
        <f>AF50-AE50</f>
        <v>34892.390000000014</v>
      </c>
      <c r="AH50" s="245">
        <f t="shared" ref="AH50:AH68" si="51">((AF50/AE50)-1)*100</f>
        <v>7.6923258377425086</v>
      </c>
      <c r="AI50" s="171">
        <v>453600</v>
      </c>
      <c r="AJ50" s="173">
        <v>485162.97</v>
      </c>
      <c r="AK50" s="169">
        <f>AJ50-AI50</f>
        <v>31562.969999999972</v>
      </c>
      <c r="AL50" s="245">
        <f t="shared" ref="AL50:AL68" si="52">((AJ50/AI50)-1)*100</f>
        <v>6.958326719576724</v>
      </c>
      <c r="AM50" s="171">
        <v>453600</v>
      </c>
      <c r="AN50" s="173">
        <v>487115.5</v>
      </c>
      <c r="AO50" s="169">
        <f>AN50-AM50</f>
        <v>33515.5</v>
      </c>
      <c r="AP50" s="245">
        <f t="shared" ref="AP50:AP68" si="53">((AN50/AM50)-1)*100</f>
        <v>7.3887786596119831</v>
      </c>
      <c r="AQ50" s="171">
        <v>453600</v>
      </c>
      <c r="AR50" s="171"/>
      <c r="AS50" s="169">
        <f>AR50-AQ50</f>
        <v>-453600</v>
      </c>
      <c r="AT50" s="245">
        <f t="shared" ref="AT50:AT68" si="54">((AR50/AQ50)-1)*100</f>
        <v>-100</v>
      </c>
      <c r="AU50" s="171">
        <v>453600</v>
      </c>
      <c r="AV50" s="171"/>
      <c r="AW50" s="172">
        <f>AV50-AU50</f>
        <v>-453600</v>
      </c>
      <c r="AX50" s="246">
        <f t="shared" ref="AX50:AX68" si="55">((AV50/AU50)-1)*100</f>
        <v>-100</v>
      </c>
      <c r="AY50" s="571">
        <f t="shared" si="44"/>
        <v>5308800</v>
      </c>
      <c r="AZ50" s="174">
        <f t="shared" si="42"/>
        <v>4689138.5600000005</v>
      </c>
      <c r="BA50" s="118"/>
    </row>
    <row r="51" spans="1:53" s="119" customFormat="1" ht="18" customHeight="1" x14ac:dyDescent="0.25">
      <c r="A51" s="122">
        <v>11304</v>
      </c>
      <c r="B51" s="332" t="s">
        <v>141</v>
      </c>
      <c r="C51" s="897">
        <v>42000</v>
      </c>
      <c r="D51" s="97">
        <v>48452.74</v>
      </c>
      <c r="E51" s="373">
        <f t="shared" si="43"/>
        <v>6452.739999999998</v>
      </c>
      <c r="F51" s="372">
        <f t="shared" si="40"/>
        <v>15.363666666666663</v>
      </c>
      <c r="G51" s="892">
        <v>42000</v>
      </c>
      <c r="H51" s="172">
        <v>54980.160000000003</v>
      </c>
      <c r="I51" s="172">
        <f>H51-G51</f>
        <v>12980.160000000003</v>
      </c>
      <c r="J51" s="245">
        <f t="shared" si="45"/>
        <v>30.905142857142877</v>
      </c>
      <c r="K51" s="576">
        <v>42000</v>
      </c>
      <c r="L51" s="172">
        <v>67638.149999999994</v>
      </c>
      <c r="M51" s="172">
        <f>L51-K51</f>
        <v>25638.149999999994</v>
      </c>
      <c r="N51" s="245">
        <f t="shared" si="46"/>
        <v>61.043214285714264</v>
      </c>
      <c r="O51" s="576">
        <v>42000</v>
      </c>
      <c r="P51" s="172">
        <v>50697.96</v>
      </c>
      <c r="Q51" s="172">
        <f t="shared" si="41"/>
        <v>8697.9599999999991</v>
      </c>
      <c r="R51" s="245">
        <f t="shared" si="47"/>
        <v>20.709428571428568</v>
      </c>
      <c r="S51" s="171">
        <v>45360</v>
      </c>
      <c r="T51" s="172">
        <v>58333.99</v>
      </c>
      <c r="U51" s="172">
        <f>T51-S51</f>
        <v>12973.989999999998</v>
      </c>
      <c r="V51" s="245">
        <f t="shared" si="48"/>
        <v>28.602270723104063</v>
      </c>
      <c r="W51" s="171">
        <v>45360</v>
      </c>
      <c r="X51" s="172">
        <v>79804.47</v>
      </c>
      <c r="Y51" s="969">
        <f>X51-W51</f>
        <v>34444.47</v>
      </c>
      <c r="Z51" s="245">
        <f t="shared" si="49"/>
        <v>75.93578042328042</v>
      </c>
      <c r="AA51" s="171">
        <v>45360</v>
      </c>
      <c r="AB51" s="644">
        <v>58922.02</v>
      </c>
      <c r="AC51" s="172">
        <f>AB51-AA51</f>
        <v>13562.019999999997</v>
      </c>
      <c r="AD51" s="245">
        <f t="shared" si="50"/>
        <v>29.898633156966483</v>
      </c>
      <c r="AE51" s="171">
        <v>45360</v>
      </c>
      <c r="AF51" s="171">
        <v>45348.66</v>
      </c>
      <c r="AG51" s="169">
        <f>AF51-AE51</f>
        <v>-11.339999999996508</v>
      </c>
      <c r="AH51" s="245">
        <f t="shared" si="51"/>
        <v>-2.4999999999997247E-2</v>
      </c>
      <c r="AI51" s="171">
        <v>45360</v>
      </c>
      <c r="AJ51" s="173">
        <v>68424.77</v>
      </c>
      <c r="AK51" s="169">
        <f>AJ51-AI51</f>
        <v>23064.770000000004</v>
      </c>
      <c r="AL51" s="245">
        <f t="shared" si="52"/>
        <v>50.848258377425061</v>
      </c>
      <c r="AM51" s="171">
        <v>45360</v>
      </c>
      <c r="AN51" s="173">
        <v>77844.929999999993</v>
      </c>
      <c r="AO51" s="169">
        <f>AN51-AM51</f>
        <v>32484.929999999993</v>
      </c>
      <c r="AP51" s="245">
        <f t="shared" si="53"/>
        <v>71.61580687830687</v>
      </c>
      <c r="AQ51" s="171">
        <v>45360</v>
      </c>
      <c r="AR51" s="171"/>
      <c r="AS51" s="169">
        <f>AR51-AQ51</f>
        <v>-45360</v>
      </c>
      <c r="AT51" s="245">
        <f t="shared" si="54"/>
        <v>-100</v>
      </c>
      <c r="AU51" s="171">
        <v>45360</v>
      </c>
      <c r="AV51" s="171"/>
      <c r="AW51" s="172">
        <f>AV51-AU51</f>
        <v>-45360</v>
      </c>
      <c r="AX51" s="246">
        <f t="shared" si="55"/>
        <v>-100</v>
      </c>
      <c r="AY51" s="571">
        <f t="shared" si="44"/>
        <v>530880</v>
      </c>
      <c r="AZ51" s="174">
        <f t="shared" si="42"/>
        <v>610447.85000000009</v>
      </c>
      <c r="BA51" s="118"/>
    </row>
    <row r="52" spans="1:53" s="119" customFormat="1" ht="18" customHeight="1" x14ac:dyDescent="0.25">
      <c r="A52" s="122">
        <v>53468</v>
      </c>
      <c r="B52" s="332" t="s">
        <v>125</v>
      </c>
      <c r="C52" s="897">
        <v>60000</v>
      </c>
      <c r="D52" s="97">
        <v>350</v>
      </c>
      <c r="E52" s="373">
        <f t="shared" si="43"/>
        <v>-59650</v>
      </c>
      <c r="F52" s="372">
        <f t="shared" si="40"/>
        <v>-99.416666666666657</v>
      </c>
      <c r="G52" s="892">
        <v>60000</v>
      </c>
      <c r="H52" s="172">
        <v>0</v>
      </c>
      <c r="I52" s="172">
        <f t="shared" ref="I52:I68" si="56">H52-G52</f>
        <v>-60000</v>
      </c>
      <c r="J52" s="245">
        <f t="shared" si="45"/>
        <v>-100</v>
      </c>
      <c r="K52" s="211">
        <v>60000</v>
      </c>
      <c r="L52" s="172">
        <v>45883.34</v>
      </c>
      <c r="M52" s="172">
        <f t="shared" ref="M52:M68" si="57">L52-K52</f>
        <v>-14116.660000000003</v>
      </c>
      <c r="N52" s="245">
        <f t="shared" si="46"/>
        <v>-23.527766666666672</v>
      </c>
      <c r="O52" s="211">
        <v>60000</v>
      </c>
      <c r="P52" s="172">
        <v>64116.66</v>
      </c>
      <c r="Q52" s="172">
        <f t="shared" si="41"/>
        <v>4116.6600000000035</v>
      </c>
      <c r="R52" s="245">
        <f t="shared" si="47"/>
        <v>6.8610999999999978</v>
      </c>
      <c r="S52" s="211">
        <v>60000</v>
      </c>
      <c r="T52" s="172">
        <v>0</v>
      </c>
      <c r="U52" s="172">
        <f t="shared" ref="U52:U68" si="58">T52-S52</f>
        <v>-60000</v>
      </c>
      <c r="V52" s="245">
        <f t="shared" si="48"/>
        <v>-100</v>
      </c>
      <c r="W52" s="211">
        <v>60000</v>
      </c>
      <c r="X52" s="172">
        <v>56550.06</v>
      </c>
      <c r="Y52" s="969">
        <f t="shared" ref="Y52:Y68" si="59">X52-W52</f>
        <v>-3449.9400000000023</v>
      </c>
      <c r="Z52" s="245">
        <f t="shared" si="49"/>
        <v>-5.7499000000000073</v>
      </c>
      <c r="AA52" s="211">
        <v>60000</v>
      </c>
      <c r="AB52" s="858">
        <v>41216.68</v>
      </c>
      <c r="AC52" s="172">
        <f t="shared" ref="AC52:AC68" si="60">AB52-AA52</f>
        <v>-18783.32</v>
      </c>
      <c r="AD52" s="245">
        <f t="shared" si="50"/>
        <v>-31.305533333333337</v>
      </c>
      <c r="AE52" s="211">
        <v>60000</v>
      </c>
      <c r="AF52" s="171">
        <v>58150.02</v>
      </c>
      <c r="AG52" s="169">
        <f t="shared" ref="AG52:AG68" si="61">AF52-AE52</f>
        <v>-1849.9800000000032</v>
      </c>
      <c r="AH52" s="245">
        <f t="shared" si="51"/>
        <v>-3.0832999999999999</v>
      </c>
      <c r="AI52" s="211">
        <v>60000</v>
      </c>
      <c r="AJ52" s="173">
        <v>62383.34</v>
      </c>
      <c r="AK52" s="169">
        <f t="shared" ref="AK52:AK68" si="62">AJ52-AI52</f>
        <v>2383.3399999999965</v>
      </c>
      <c r="AL52" s="245">
        <f t="shared" si="52"/>
        <v>3.9722333333333193</v>
      </c>
      <c r="AM52" s="211">
        <v>60000</v>
      </c>
      <c r="AN52" s="173">
        <v>52700</v>
      </c>
      <c r="AO52" s="169">
        <f t="shared" ref="AO52:AO68" si="63">AN52-AM52</f>
        <v>-7300</v>
      </c>
      <c r="AP52" s="245">
        <f t="shared" si="53"/>
        <v>-12.16666666666667</v>
      </c>
      <c r="AQ52" s="211">
        <v>60000</v>
      </c>
      <c r="AR52" s="171"/>
      <c r="AS52" s="169">
        <f t="shared" ref="AS52:AS68" si="64">AR52-AQ52</f>
        <v>-60000</v>
      </c>
      <c r="AT52" s="245">
        <f t="shared" si="54"/>
        <v>-100</v>
      </c>
      <c r="AU52" s="211">
        <v>60000</v>
      </c>
      <c r="AV52" s="171"/>
      <c r="AW52" s="172">
        <f t="shared" ref="AW52:AW68" si="65">AV52-AU52</f>
        <v>-60000</v>
      </c>
      <c r="AX52" s="246">
        <f t="shared" si="55"/>
        <v>-100</v>
      </c>
      <c r="AY52" s="571">
        <f t="shared" si="44"/>
        <v>720000</v>
      </c>
      <c r="AZ52" s="174">
        <f t="shared" si="42"/>
        <v>381350.1</v>
      </c>
      <c r="BA52" s="118"/>
    </row>
    <row r="53" spans="1:53" s="119" customFormat="1" ht="18" customHeight="1" x14ac:dyDescent="0.25">
      <c r="A53" s="122">
        <v>53469</v>
      </c>
      <c r="B53" s="332" t="s">
        <v>333</v>
      </c>
      <c r="C53" s="897">
        <v>25000</v>
      </c>
      <c r="D53" s="97">
        <v>12965.22</v>
      </c>
      <c r="E53" s="373">
        <f t="shared" si="43"/>
        <v>-12034.78</v>
      </c>
      <c r="F53" s="372">
        <f t="shared" si="40"/>
        <v>-48.139120000000005</v>
      </c>
      <c r="G53" s="892">
        <v>25000</v>
      </c>
      <c r="H53" s="172">
        <v>11025.29</v>
      </c>
      <c r="I53" s="172">
        <f t="shared" si="56"/>
        <v>-13974.71</v>
      </c>
      <c r="J53" s="245">
        <f t="shared" si="45"/>
        <v>-55.898839999999993</v>
      </c>
      <c r="K53" s="211">
        <v>25000</v>
      </c>
      <c r="L53" s="172">
        <v>8566.07</v>
      </c>
      <c r="M53" s="172">
        <f t="shared" si="57"/>
        <v>-16433.93</v>
      </c>
      <c r="N53" s="245">
        <f t="shared" si="46"/>
        <v>-65.735720000000015</v>
      </c>
      <c r="O53" s="211">
        <v>25000</v>
      </c>
      <c r="P53" s="172">
        <v>7611.93</v>
      </c>
      <c r="Q53" s="172">
        <f t="shared" si="41"/>
        <v>-17388.07</v>
      </c>
      <c r="R53" s="245">
        <f t="shared" si="47"/>
        <v>-69.552279999999996</v>
      </c>
      <c r="S53" s="171">
        <v>27000</v>
      </c>
      <c r="T53" s="172">
        <v>7951.76</v>
      </c>
      <c r="U53" s="172">
        <f t="shared" si="58"/>
        <v>-19048.239999999998</v>
      </c>
      <c r="V53" s="245">
        <f t="shared" si="48"/>
        <v>-70.549037037037039</v>
      </c>
      <c r="W53" s="171">
        <v>27000</v>
      </c>
      <c r="X53" s="172">
        <v>8571.42</v>
      </c>
      <c r="Y53" s="969">
        <f t="shared" si="59"/>
        <v>-18428.580000000002</v>
      </c>
      <c r="Z53" s="245">
        <f t="shared" si="49"/>
        <v>-68.253999999999991</v>
      </c>
      <c r="AA53" s="171">
        <v>27000</v>
      </c>
      <c r="AB53" s="858">
        <v>7443.49</v>
      </c>
      <c r="AC53" s="172">
        <f t="shared" si="60"/>
        <v>-19556.510000000002</v>
      </c>
      <c r="AD53" s="245">
        <f t="shared" si="50"/>
        <v>-72.431518518518516</v>
      </c>
      <c r="AE53" s="171">
        <v>27000</v>
      </c>
      <c r="AF53" s="171">
        <v>33011.279999999999</v>
      </c>
      <c r="AG53" s="169">
        <f t="shared" si="61"/>
        <v>6011.2799999999988</v>
      </c>
      <c r="AH53" s="245">
        <f t="shared" si="51"/>
        <v>22.263999999999996</v>
      </c>
      <c r="AI53" s="171">
        <v>27000</v>
      </c>
      <c r="AJ53" s="173">
        <v>6239.58</v>
      </c>
      <c r="AK53" s="169">
        <f t="shared" si="62"/>
        <v>-20760.419999999998</v>
      </c>
      <c r="AL53" s="245">
        <f t="shared" si="52"/>
        <v>-76.890444444444441</v>
      </c>
      <c r="AM53" s="171">
        <v>27000</v>
      </c>
      <c r="AN53" s="173">
        <v>10157.219999999999</v>
      </c>
      <c r="AO53" s="169">
        <f t="shared" si="63"/>
        <v>-16842.78</v>
      </c>
      <c r="AP53" s="245">
        <f t="shared" si="53"/>
        <v>-62.380666666666663</v>
      </c>
      <c r="AQ53" s="171">
        <v>27000</v>
      </c>
      <c r="AR53" s="171"/>
      <c r="AS53" s="169">
        <f t="shared" si="64"/>
        <v>-27000</v>
      </c>
      <c r="AT53" s="245">
        <f t="shared" si="54"/>
        <v>-100</v>
      </c>
      <c r="AU53" s="171">
        <v>27000</v>
      </c>
      <c r="AV53" s="171"/>
      <c r="AW53" s="172">
        <f t="shared" si="65"/>
        <v>-27000</v>
      </c>
      <c r="AX53" s="246">
        <f t="shared" si="55"/>
        <v>-100</v>
      </c>
      <c r="AY53" s="571">
        <f t="shared" si="44"/>
        <v>316000</v>
      </c>
      <c r="AZ53" s="174">
        <f t="shared" si="42"/>
        <v>113543.26</v>
      </c>
      <c r="BA53" s="118"/>
    </row>
    <row r="54" spans="1:53" s="119" customFormat="1" ht="18" customHeight="1" x14ac:dyDescent="0.25">
      <c r="A54" s="122">
        <v>11369</v>
      </c>
      <c r="B54" s="332" t="s">
        <v>224</v>
      </c>
      <c r="C54" s="897">
        <v>47000</v>
      </c>
      <c r="D54" s="97">
        <v>28286.82</v>
      </c>
      <c r="E54" s="373">
        <f t="shared" si="43"/>
        <v>-18713.18</v>
      </c>
      <c r="F54" s="372">
        <f t="shared" si="40"/>
        <v>-39.815276595744685</v>
      </c>
      <c r="G54" s="892">
        <v>47000</v>
      </c>
      <c r="H54" s="172">
        <v>26087.54</v>
      </c>
      <c r="I54" s="172">
        <f t="shared" si="56"/>
        <v>-20912.46</v>
      </c>
      <c r="J54" s="245">
        <f t="shared" si="45"/>
        <v>-44.494595744680851</v>
      </c>
      <c r="K54" s="576">
        <v>47000</v>
      </c>
      <c r="L54" s="172">
        <v>44882.16</v>
      </c>
      <c r="M54" s="172">
        <f t="shared" si="57"/>
        <v>-2117.8399999999965</v>
      </c>
      <c r="N54" s="245">
        <f t="shared" si="46"/>
        <v>-4.5060425531914809</v>
      </c>
      <c r="O54" s="576">
        <v>47000</v>
      </c>
      <c r="P54" s="172">
        <v>61588.79</v>
      </c>
      <c r="Q54" s="172">
        <f t="shared" si="41"/>
        <v>14588.79</v>
      </c>
      <c r="R54" s="245">
        <f t="shared" si="47"/>
        <v>31.03997872340425</v>
      </c>
      <c r="S54" s="171">
        <v>50000</v>
      </c>
      <c r="T54" s="172">
        <v>118419.09</v>
      </c>
      <c r="U54" s="172">
        <f t="shared" si="58"/>
        <v>68419.09</v>
      </c>
      <c r="V54" s="245">
        <f t="shared" si="48"/>
        <v>136.83817999999999</v>
      </c>
      <c r="W54" s="171">
        <v>50000</v>
      </c>
      <c r="X54" s="172">
        <v>36770.730000000003</v>
      </c>
      <c r="Y54" s="969">
        <f t="shared" si="59"/>
        <v>-13229.269999999997</v>
      </c>
      <c r="Z54" s="245">
        <f t="shared" si="49"/>
        <v>-26.458539999999996</v>
      </c>
      <c r="AA54" s="171">
        <v>50000</v>
      </c>
      <c r="AB54" s="858">
        <v>78954.45</v>
      </c>
      <c r="AC54" s="172">
        <f t="shared" si="60"/>
        <v>28954.449999999997</v>
      </c>
      <c r="AD54" s="245">
        <f t="shared" si="50"/>
        <v>57.908899999999996</v>
      </c>
      <c r="AE54" s="171">
        <v>50000</v>
      </c>
      <c r="AF54" s="171">
        <v>30094.42</v>
      </c>
      <c r="AG54" s="169">
        <f t="shared" si="61"/>
        <v>-19905.580000000002</v>
      </c>
      <c r="AH54" s="245">
        <f t="shared" si="51"/>
        <v>-39.811160000000001</v>
      </c>
      <c r="AI54" s="171">
        <v>50000</v>
      </c>
      <c r="AJ54" s="173">
        <v>20896.37</v>
      </c>
      <c r="AK54" s="169">
        <f t="shared" si="62"/>
        <v>-29103.63</v>
      </c>
      <c r="AL54" s="245">
        <f t="shared" si="52"/>
        <v>-58.207260000000005</v>
      </c>
      <c r="AM54" s="171">
        <v>50000</v>
      </c>
      <c r="AN54" s="173">
        <v>18657.68</v>
      </c>
      <c r="AO54" s="169">
        <f t="shared" si="63"/>
        <v>-31342.32</v>
      </c>
      <c r="AP54" s="245">
        <f t="shared" si="53"/>
        <v>-62.684640000000002</v>
      </c>
      <c r="AQ54" s="171">
        <v>50000</v>
      </c>
      <c r="AR54" s="171"/>
      <c r="AS54" s="169">
        <f t="shared" si="64"/>
        <v>-50000</v>
      </c>
      <c r="AT54" s="245">
        <f t="shared" si="54"/>
        <v>-100</v>
      </c>
      <c r="AU54" s="171">
        <v>50000</v>
      </c>
      <c r="AV54" s="171"/>
      <c r="AW54" s="172">
        <f t="shared" si="65"/>
        <v>-50000</v>
      </c>
      <c r="AX54" s="246">
        <f t="shared" si="55"/>
        <v>-100</v>
      </c>
      <c r="AY54" s="571">
        <f t="shared" si="44"/>
        <v>588000</v>
      </c>
      <c r="AZ54" s="174">
        <f t="shared" si="42"/>
        <v>464638.05</v>
      </c>
      <c r="BA54" s="118"/>
    </row>
    <row r="55" spans="1:53" s="119" customFormat="1" ht="18" customHeight="1" x14ac:dyDescent="0.25">
      <c r="A55" s="122" t="s">
        <v>3680</v>
      </c>
      <c r="B55" s="332" t="s">
        <v>29</v>
      </c>
      <c r="C55" s="897">
        <v>373000</v>
      </c>
      <c r="D55" s="97">
        <f>333000.32+35764.22</f>
        <v>368764.54000000004</v>
      </c>
      <c r="E55" s="373">
        <f t="shared" si="43"/>
        <v>-4235.4599999999627</v>
      </c>
      <c r="F55" s="372">
        <f t="shared" si="40"/>
        <v>-1.1355120643431582</v>
      </c>
      <c r="G55" s="892">
        <v>373000</v>
      </c>
      <c r="H55" s="172">
        <f>324619.29+43162.24</f>
        <v>367781.52999999997</v>
      </c>
      <c r="I55" s="172">
        <f t="shared" si="56"/>
        <v>-5218.4700000000303</v>
      </c>
      <c r="J55" s="245">
        <f t="shared" si="45"/>
        <v>-1.399053619302959</v>
      </c>
      <c r="K55" s="576">
        <v>373000</v>
      </c>
      <c r="L55" s="172">
        <v>369105.59</v>
      </c>
      <c r="M55" s="172">
        <f t="shared" si="57"/>
        <v>-3894.4099999999744</v>
      </c>
      <c r="N55" s="245">
        <f t="shared" si="46"/>
        <v>-1.0440777479892693</v>
      </c>
      <c r="O55" s="576">
        <v>373000</v>
      </c>
      <c r="P55" s="125">
        <v>404583.67</v>
      </c>
      <c r="Q55" s="172">
        <f t="shared" si="41"/>
        <v>31583.669999999984</v>
      </c>
      <c r="R55" s="245">
        <f t="shared" si="47"/>
        <v>8.4674718498659374</v>
      </c>
      <c r="S55" s="171">
        <v>402840</v>
      </c>
      <c r="T55" s="172">
        <v>545088.91</v>
      </c>
      <c r="U55" s="172">
        <f t="shared" si="58"/>
        <v>142248.91000000003</v>
      </c>
      <c r="V55" s="245">
        <f t="shared" si="48"/>
        <v>35.311515738258372</v>
      </c>
      <c r="W55" s="171">
        <v>402840</v>
      </c>
      <c r="X55" s="172">
        <v>412728.57</v>
      </c>
      <c r="Y55" s="969">
        <f t="shared" si="59"/>
        <v>9888.570000000007</v>
      </c>
      <c r="Z55" s="245">
        <f t="shared" si="49"/>
        <v>2.4547140303842641</v>
      </c>
      <c r="AA55" s="171">
        <v>402840</v>
      </c>
      <c r="AB55" s="858">
        <v>447839.68</v>
      </c>
      <c r="AC55" s="172">
        <f t="shared" si="60"/>
        <v>44999.679999999993</v>
      </c>
      <c r="AD55" s="245">
        <f t="shared" si="50"/>
        <v>11.170608678383465</v>
      </c>
      <c r="AE55" s="171">
        <v>402840</v>
      </c>
      <c r="AF55" s="171">
        <v>369752.98</v>
      </c>
      <c r="AG55" s="169">
        <f t="shared" si="61"/>
        <v>-33087.020000000019</v>
      </c>
      <c r="AH55" s="245">
        <f t="shared" si="51"/>
        <v>-8.2134395789891794</v>
      </c>
      <c r="AI55" s="171">
        <v>402840</v>
      </c>
      <c r="AJ55" s="173">
        <v>364735.17</v>
      </c>
      <c r="AK55" s="169">
        <f t="shared" si="62"/>
        <v>-38104.830000000016</v>
      </c>
      <c r="AL55" s="245">
        <f t="shared" si="52"/>
        <v>-9.4590482573726593</v>
      </c>
      <c r="AM55" s="171">
        <v>402840</v>
      </c>
      <c r="AN55" s="173">
        <v>371396.22</v>
      </c>
      <c r="AO55" s="169">
        <f t="shared" si="63"/>
        <v>-31443.780000000028</v>
      </c>
      <c r="AP55" s="245">
        <f t="shared" si="53"/>
        <v>-7.805525767053922</v>
      </c>
      <c r="AQ55" s="171">
        <v>402840</v>
      </c>
      <c r="AR55" s="171"/>
      <c r="AS55" s="169">
        <f t="shared" si="64"/>
        <v>-402840</v>
      </c>
      <c r="AT55" s="245">
        <f t="shared" si="54"/>
        <v>-100</v>
      </c>
      <c r="AU55" s="171">
        <v>402840</v>
      </c>
      <c r="AV55" s="171"/>
      <c r="AW55" s="172">
        <f t="shared" si="65"/>
        <v>-402840</v>
      </c>
      <c r="AX55" s="246">
        <f t="shared" si="55"/>
        <v>-100</v>
      </c>
      <c r="AY55" s="571">
        <f t="shared" si="44"/>
        <v>4714720</v>
      </c>
      <c r="AZ55" s="174">
        <f t="shared" si="42"/>
        <v>4021776.8600000003</v>
      </c>
      <c r="BA55" s="118"/>
    </row>
    <row r="56" spans="1:53" s="119" customFormat="1" ht="18" customHeight="1" x14ac:dyDescent="0.25">
      <c r="A56" s="170">
        <v>11481</v>
      </c>
      <c r="B56" s="332" t="s">
        <v>30</v>
      </c>
      <c r="C56" s="897">
        <v>170000</v>
      </c>
      <c r="D56" s="82">
        <v>152160.51999999999</v>
      </c>
      <c r="E56" s="373">
        <f t="shared" si="43"/>
        <v>-17839.48000000001</v>
      </c>
      <c r="F56" s="372">
        <f t="shared" si="40"/>
        <v>-10.493811764705885</v>
      </c>
      <c r="G56" s="892">
        <v>170000</v>
      </c>
      <c r="H56" s="125">
        <v>151778</v>
      </c>
      <c r="I56" s="172">
        <f t="shared" si="56"/>
        <v>-18222</v>
      </c>
      <c r="J56" s="245">
        <f t="shared" si="45"/>
        <v>-10.71882352941177</v>
      </c>
      <c r="K56" s="211">
        <v>170000</v>
      </c>
      <c r="L56" s="125">
        <v>153410.82</v>
      </c>
      <c r="M56" s="172">
        <f t="shared" si="57"/>
        <v>-16589.179999999993</v>
      </c>
      <c r="N56" s="245">
        <f t="shared" si="46"/>
        <v>-9.7583411764705872</v>
      </c>
      <c r="O56" s="211">
        <v>170000</v>
      </c>
      <c r="P56" s="137">
        <v>165588.18</v>
      </c>
      <c r="Q56" s="172">
        <f t="shared" ref="Q56:Q68" si="66">P55-O56</f>
        <v>234583.66999999998</v>
      </c>
      <c r="R56" s="245">
        <f t="shared" ref="R56:R68" si="67">((P55/O56)-1)*100</f>
        <v>137.99039411764707</v>
      </c>
      <c r="S56" s="121">
        <v>170000</v>
      </c>
      <c r="T56" s="125">
        <v>165161.57999999999</v>
      </c>
      <c r="U56" s="172">
        <f t="shared" si="58"/>
        <v>-4838.4200000000128</v>
      </c>
      <c r="V56" s="245">
        <f t="shared" si="48"/>
        <v>-2.8461294117647085</v>
      </c>
      <c r="W56" s="121">
        <v>170000</v>
      </c>
      <c r="X56" s="125">
        <v>159545.85999999999</v>
      </c>
      <c r="Y56" s="969">
        <f t="shared" si="59"/>
        <v>-10454.140000000014</v>
      </c>
      <c r="Z56" s="245">
        <f t="shared" si="49"/>
        <v>-6.1494941176470697</v>
      </c>
      <c r="AA56" s="121">
        <v>170000</v>
      </c>
      <c r="AB56" s="858">
        <v>163296.26</v>
      </c>
      <c r="AC56" s="172">
        <f t="shared" si="60"/>
        <v>-6703.7399999999907</v>
      </c>
      <c r="AD56" s="245">
        <f t="shared" si="50"/>
        <v>-3.9433764705882335</v>
      </c>
      <c r="AE56" s="121">
        <v>170000</v>
      </c>
      <c r="AF56" s="171">
        <v>155472.32999999999</v>
      </c>
      <c r="AG56" s="169">
        <f t="shared" si="61"/>
        <v>-14527.670000000013</v>
      </c>
      <c r="AH56" s="245">
        <f t="shared" si="51"/>
        <v>-8.5456882352941239</v>
      </c>
      <c r="AI56" s="121">
        <v>170000</v>
      </c>
      <c r="AJ56" s="153">
        <v>163844.35999999999</v>
      </c>
      <c r="AK56" s="169">
        <f t="shared" si="62"/>
        <v>-6155.640000000014</v>
      </c>
      <c r="AL56" s="245">
        <f t="shared" si="52"/>
        <v>-3.6209647058823569</v>
      </c>
      <c r="AM56" s="121">
        <v>170000</v>
      </c>
      <c r="AN56" s="153">
        <v>168111.51</v>
      </c>
      <c r="AO56" s="169">
        <f t="shared" si="63"/>
        <v>-1888.4899999999907</v>
      </c>
      <c r="AP56" s="245">
        <f t="shared" si="53"/>
        <v>-1.110876470588229</v>
      </c>
      <c r="AQ56" s="121">
        <v>170000</v>
      </c>
      <c r="AR56" s="171"/>
      <c r="AS56" s="169">
        <f t="shared" si="64"/>
        <v>-170000</v>
      </c>
      <c r="AT56" s="245">
        <f t="shared" si="54"/>
        <v>-100</v>
      </c>
      <c r="AU56" s="121">
        <v>170000</v>
      </c>
      <c r="AV56" s="171"/>
      <c r="AW56" s="172">
        <f t="shared" si="65"/>
        <v>-170000</v>
      </c>
      <c r="AX56" s="246">
        <f t="shared" si="55"/>
        <v>-100</v>
      </c>
      <c r="AY56" s="571">
        <f t="shared" si="44"/>
        <v>2040000</v>
      </c>
      <c r="AZ56" s="175">
        <f t="shared" ref="AZ56:AZ68" si="68">SUM(D56+H56+L56+P55+T56+X56+AB56+AF56+AJ56+AN56+AR56+AV56)</f>
        <v>1837364.91</v>
      </c>
      <c r="BA56" s="118"/>
    </row>
    <row r="57" spans="1:53" s="119" customFormat="1" ht="18" customHeight="1" x14ac:dyDescent="0.25">
      <c r="A57" s="170">
        <v>11434</v>
      </c>
      <c r="B57" s="332" t="s">
        <v>173</v>
      </c>
      <c r="C57" s="897">
        <v>30000</v>
      </c>
      <c r="D57" s="87">
        <v>33979.14</v>
      </c>
      <c r="E57" s="373">
        <f t="shared" si="43"/>
        <v>3979.1399999999994</v>
      </c>
      <c r="F57" s="372">
        <f t="shared" si="40"/>
        <v>13.263800000000003</v>
      </c>
      <c r="G57" s="892">
        <v>30000</v>
      </c>
      <c r="H57" s="137">
        <v>37878.67</v>
      </c>
      <c r="I57" s="172">
        <f t="shared" si="56"/>
        <v>7878.6699999999983</v>
      </c>
      <c r="J57" s="245">
        <f t="shared" si="45"/>
        <v>26.262233333333327</v>
      </c>
      <c r="K57" s="212">
        <v>30000</v>
      </c>
      <c r="L57" s="137">
        <v>57015.98</v>
      </c>
      <c r="M57" s="172">
        <f t="shared" si="57"/>
        <v>27015.980000000003</v>
      </c>
      <c r="N57" s="245">
        <f t="shared" si="46"/>
        <v>90.053266666666687</v>
      </c>
      <c r="O57" s="212">
        <v>30000</v>
      </c>
      <c r="P57" s="137">
        <v>53084.23</v>
      </c>
      <c r="Q57" s="172">
        <f t="shared" si="66"/>
        <v>135588.18</v>
      </c>
      <c r="R57" s="245">
        <f t="shared" si="67"/>
        <v>451.96059999999994</v>
      </c>
      <c r="S57" s="136">
        <v>30000</v>
      </c>
      <c r="T57" s="137">
        <v>64263.040000000001</v>
      </c>
      <c r="U57" s="172">
        <f t="shared" si="58"/>
        <v>34263.040000000001</v>
      </c>
      <c r="V57" s="245">
        <f t="shared" si="48"/>
        <v>114.21013333333332</v>
      </c>
      <c r="W57" s="136">
        <v>30000</v>
      </c>
      <c r="X57" s="137">
        <v>54010.2</v>
      </c>
      <c r="Y57" s="969">
        <f t="shared" si="59"/>
        <v>24010.199999999997</v>
      </c>
      <c r="Z57" s="245">
        <f t="shared" si="49"/>
        <v>80.033999999999978</v>
      </c>
      <c r="AA57" s="136">
        <v>30000</v>
      </c>
      <c r="AB57" s="858">
        <v>45935.32</v>
      </c>
      <c r="AC57" s="172">
        <f t="shared" si="60"/>
        <v>15935.32</v>
      </c>
      <c r="AD57" s="245">
        <f t="shared" si="50"/>
        <v>53.117733333333341</v>
      </c>
      <c r="AE57" s="136">
        <v>30000</v>
      </c>
      <c r="AF57" s="171">
        <v>54586.86</v>
      </c>
      <c r="AG57" s="169">
        <f t="shared" si="61"/>
        <v>24586.86</v>
      </c>
      <c r="AH57" s="245">
        <f t="shared" si="51"/>
        <v>81.95620000000001</v>
      </c>
      <c r="AI57" s="136">
        <v>30000</v>
      </c>
      <c r="AJ57" s="176">
        <v>48880.57</v>
      </c>
      <c r="AK57" s="169">
        <f t="shared" si="62"/>
        <v>18880.57</v>
      </c>
      <c r="AL57" s="245">
        <f t="shared" si="52"/>
        <v>62.935233333333329</v>
      </c>
      <c r="AM57" s="136">
        <v>30000</v>
      </c>
      <c r="AN57" s="176">
        <v>46065.25</v>
      </c>
      <c r="AO57" s="169">
        <f t="shared" si="63"/>
        <v>16065.25</v>
      </c>
      <c r="AP57" s="245">
        <f t="shared" si="53"/>
        <v>53.550833333333323</v>
      </c>
      <c r="AQ57" s="136">
        <v>30000</v>
      </c>
      <c r="AR57" s="171"/>
      <c r="AS57" s="169">
        <f t="shared" si="64"/>
        <v>-30000</v>
      </c>
      <c r="AT57" s="245">
        <f t="shared" si="54"/>
        <v>-100</v>
      </c>
      <c r="AU57" s="136">
        <v>30000</v>
      </c>
      <c r="AV57" s="171"/>
      <c r="AW57" s="172">
        <f t="shared" si="65"/>
        <v>-30000</v>
      </c>
      <c r="AX57" s="246">
        <f t="shared" si="55"/>
        <v>-100</v>
      </c>
      <c r="AY57" s="571">
        <f t="shared" si="44"/>
        <v>360000</v>
      </c>
      <c r="AZ57" s="177">
        <f t="shared" si="68"/>
        <v>608203.21</v>
      </c>
      <c r="BA57" s="118"/>
    </row>
    <row r="58" spans="1:53" s="119" customFormat="1" ht="18" customHeight="1" x14ac:dyDescent="0.25">
      <c r="A58" s="170">
        <v>11498</v>
      </c>
      <c r="B58" s="332" t="s">
        <v>174</v>
      </c>
      <c r="C58" s="897">
        <v>8000</v>
      </c>
      <c r="D58" s="87">
        <v>9440.02</v>
      </c>
      <c r="E58" s="373">
        <f t="shared" si="43"/>
        <v>1440.0200000000004</v>
      </c>
      <c r="F58" s="372">
        <f t="shared" si="40"/>
        <v>18.000250000000008</v>
      </c>
      <c r="G58" s="892">
        <v>8000</v>
      </c>
      <c r="H58" s="137">
        <v>9494.9699999999993</v>
      </c>
      <c r="I58" s="172">
        <f t="shared" si="56"/>
        <v>1494.9699999999993</v>
      </c>
      <c r="J58" s="245">
        <f t="shared" si="45"/>
        <v>18.68712499999998</v>
      </c>
      <c r="K58" s="212">
        <v>8000</v>
      </c>
      <c r="L58" s="137">
        <v>8250.4599999999991</v>
      </c>
      <c r="M58" s="172">
        <f t="shared" si="57"/>
        <v>250.45999999999913</v>
      </c>
      <c r="N58" s="245">
        <f t="shared" si="46"/>
        <v>3.1307499999999822</v>
      </c>
      <c r="O58" s="212">
        <v>8000</v>
      </c>
      <c r="P58" s="137">
        <v>9073.7099999999991</v>
      </c>
      <c r="Q58" s="172">
        <f t="shared" si="66"/>
        <v>45084.23</v>
      </c>
      <c r="R58" s="245">
        <f t="shared" si="67"/>
        <v>563.55287500000009</v>
      </c>
      <c r="S58" s="136">
        <v>8000</v>
      </c>
      <c r="T58" s="137">
        <v>9626.1</v>
      </c>
      <c r="U58" s="172">
        <f t="shared" si="58"/>
        <v>1626.1000000000004</v>
      </c>
      <c r="V58" s="245">
        <f t="shared" si="48"/>
        <v>20.326250000000012</v>
      </c>
      <c r="W58" s="136">
        <v>8000</v>
      </c>
      <c r="X58" s="137">
        <v>9132.17</v>
      </c>
      <c r="Y58" s="969">
        <f t="shared" si="59"/>
        <v>1132.17</v>
      </c>
      <c r="Z58" s="245">
        <f t="shared" si="49"/>
        <v>14.152125000000005</v>
      </c>
      <c r="AA58" s="136">
        <v>8000</v>
      </c>
      <c r="AB58" s="858">
        <v>12129.16</v>
      </c>
      <c r="AC58" s="172">
        <f t="shared" si="60"/>
        <v>4129.16</v>
      </c>
      <c r="AD58" s="245">
        <f t="shared" si="50"/>
        <v>51.614500000000007</v>
      </c>
      <c r="AE58" s="136">
        <v>8000</v>
      </c>
      <c r="AF58" s="171">
        <v>11334.58</v>
      </c>
      <c r="AG58" s="169">
        <f t="shared" si="61"/>
        <v>3334.58</v>
      </c>
      <c r="AH58" s="245">
        <f t="shared" si="51"/>
        <v>41.68225000000001</v>
      </c>
      <c r="AI58" s="136">
        <v>8000</v>
      </c>
      <c r="AJ58" s="176">
        <v>12605.88</v>
      </c>
      <c r="AK58" s="169">
        <f t="shared" si="62"/>
        <v>4605.8799999999992</v>
      </c>
      <c r="AL58" s="245">
        <f t="shared" si="52"/>
        <v>57.573499999999989</v>
      </c>
      <c r="AM58" s="136">
        <v>8000</v>
      </c>
      <c r="AN58" s="176">
        <v>12849.7</v>
      </c>
      <c r="AO58" s="169">
        <f t="shared" si="63"/>
        <v>4849.7000000000007</v>
      </c>
      <c r="AP58" s="245">
        <f t="shared" si="53"/>
        <v>60.621250000000003</v>
      </c>
      <c r="AQ58" s="136">
        <v>8000</v>
      </c>
      <c r="AR58" s="171"/>
      <c r="AS58" s="169">
        <f t="shared" si="64"/>
        <v>-8000</v>
      </c>
      <c r="AT58" s="245">
        <f t="shared" si="54"/>
        <v>-100</v>
      </c>
      <c r="AU58" s="136">
        <v>8000</v>
      </c>
      <c r="AV58" s="171"/>
      <c r="AW58" s="172">
        <f t="shared" si="65"/>
        <v>-8000</v>
      </c>
      <c r="AX58" s="246">
        <f t="shared" si="55"/>
        <v>-100</v>
      </c>
      <c r="AY58" s="571">
        <f t="shared" si="44"/>
        <v>96000</v>
      </c>
      <c r="AZ58" s="177">
        <f t="shared" si="68"/>
        <v>147947.27000000002</v>
      </c>
      <c r="BA58" s="118"/>
    </row>
    <row r="59" spans="1:53" s="119" customFormat="1" ht="18" customHeight="1" x14ac:dyDescent="0.25">
      <c r="A59" s="170">
        <v>12320</v>
      </c>
      <c r="B59" s="332" t="s">
        <v>175</v>
      </c>
      <c r="C59" s="897">
        <v>13000</v>
      </c>
      <c r="D59" s="87">
        <v>5867</v>
      </c>
      <c r="E59" s="373">
        <f t="shared" si="43"/>
        <v>-7133</v>
      </c>
      <c r="F59" s="372">
        <f t="shared" si="40"/>
        <v>-54.869230769230768</v>
      </c>
      <c r="G59" s="892">
        <v>13000</v>
      </c>
      <c r="H59" s="137">
        <v>6667</v>
      </c>
      <c r="I59" s="172">
        <f t="shared" si="56"/>
        <v>-6333</v>
      </c>
      <c r="J59" s="245">
        <f t="shared" si="45"/>
        <v>-48.715384615384615</v>
      </c>
      <c r="K59" s="212">
        <v>13000</v>
      </c>
      <c r="L59" s="137">
        <v>7617</v>
      </c>
      <c r="M59" s="172">
        <f t="shared" si="57"/>
        <v>-5383</v>
      </c>
      <c r="N59" s="245">
        <f t="shared" si="46"/>
        <v>-41.407692307692315</v>
      </c>
      <c r="O59" s="212">
        <v>13000</v>
      </c>
      <c r="P59" s="137">
        <v>8148.25</v>
      </c>
      <c r="Q59" s="172">
        <f t="shared" si="66"/>
        <v>-3926.2900000000009</v>
      </c>
      <c r="R59" s="245">
        <f t="shared" si="67"/>
        <v>-30.202230769230777</v>
      </c>
      <c r="S59" s="136">
        <v>13000</v>
      </c>
      <c r="T59" s="137">
        <v>15217</v>
      </c>
      <c r="U59" s="172">
        <f t="shared" si="58"/>
        <v>2217</v>
      </c>
      <c r="V59" s="245">
        <f t="shared" si="48"/>
        <v>17.053846153846152</v>
      </c>
      <c r="W59" s="136">
        <v>13000</v>
      </c>
      <c r="X59" s="137">
        <v>18367</v>
      </c>
      <c r="Y59" s="969">
        <f t="shared" si="59"/>
        <v>5367</v>
      </c>
      <c r="Z59" s="245">
        <f t="shared" si="49"/>
        <v>41.284615384615385</v>
      </c>
      <c r="AA59" s="136">
        <v>13000</v>
      </c>
      <c r="AB59" s="858">
        <v>13067</v>
      </c>
      <c r="AC59" s="172">
        <f t="shared" si="60"/>
        <v>67</v>
      </c>
      <c r="AD59" s="245">
        <f t="shared" si="50"/>
        <v>0.51538461538460645</v>
      </c>
      <c r="AE59" s="136">
        <v>13000</v>
      </c>
      <c r="AF59" s="171">
        <v>10577</v>
      </c>
      <c r="AG59" s="169">
        <f t="shared" si="61"/>
        <v>-2423</v>
      </c>
      <c r="AH59" s="245">
        <f t="shared" si="51"/>
        <v>-18.638461538461538</v>
      </c>
      <c r="AI59" s="136">
        <v>13000</v>
      </c>
      <c r="AJ59" s="176">
        <v>13185.66</v>
      </c>
      <c r="AK59" s="169">
        <f t="shared" si="62"/>
        <v>185.65999999999985</v>
      </c>
      <c r="AL59" s="245">
        <f t="shared" si="52"/>
        <v>1.4281538461538457</v>
      </c>
      <c r="AM59" s="136">
        <v>13000</v>
      </c>
      <c r="AN59" s="176">
        <v>11412</v>
      </c>
      <c r="AO59" s="169">
        <f t="shared" si="63"/>
        <v>-1588</v>
      </c>
      <c r="AP59" s="245">
        <f t="shared" si="53"/>
        <v>-12.215384615384616</v>
      </c>
      <c r="AQ59" s="136">
        <v>13000</v>
      </c>
      <c r="AR59" s="171"/>
      <c r="AS59" s="169">
        <f t="shared" si="64"/>
        <v>-13000</v>
      </c>
      <c r="AT59" s="245">
        <f t="shared" si="54"/>
        <v>-100</v>
      </c>
      <c r="AU59" s="136">
        <v>13000</v>
      </c>
      <c r="AV59" s="171"/>
      <c r="AW59" s="172">
        <f t="shared" si="65"/>
        <v>-13000</v>
      </c>
      <c r="AX59" s="246">
        <f t="shared" si="55"/>
        <v>-100</v>
      </c>
      <c r="AY59" s="571">
        <f t="shared" si="44"/>
        <v>156000</v>
      </c>
      <c r="AZ59" s="177">
        <f t="shared" si="68"/>
        <v>111050.37</v>
      </c>
      <c r="BA59" s="118"/>
    </row>
    <row r="60" spans="1:53" s="119" customFormat="1" ht="18" customHeight="1" x14ac:dyDescent="0.25">
      <c r="A60" s="170" t="s">
        <v>33</v>
      </c>
      <c r="B60" s="332" t="s">
        <v>176</v>
      </c>
      <c r="C60" s="897">
        <v>280000</v>
      </c>
      <c r="D60" s="87">
        <f>283837.8+9980</f>
        <v>293817.8</v>
      </c>
      <c r="E60" s="373">
        <f t="shared" si="43"/>
        <v>13817.799999999988</v>
      </c>
      <c r="F60" s="372">
        <f t="shared" si="40"/>
        <v>4.9349285714285651</v>
      </c>
      <c r="G60" s="892">
        <v>280000</v>
      </c>
      <c r="H60" s="137">
        <f>288515+4032</f>
        <v>292547</v>
      </c>
      <c r="I60" s="172">
        <f t="shared" si="56"/>
        <v>12547</v>
      </c>
      <c r="J60" s="245">
        <f t="shared" si="45"/>
        <v>4.481071428571437</v>
      </c>
      <c r="K60" s="212">
        <v>280000</v>
      </c>
      <c r="L60" s="137">
        <v>308353.96999999997</v>
      </c>
      <c r="M60" s="172">
        <f t="shared" si="57"/>
        <v>28353.969999999972</v>
      </c>
      <c r="N60" s="245">
        <f t="shared" si="46"/>
        <v>10.126417857142854</v>
      </c>
      <c r="O60" s="212">
        <v>280000</v>
      </c>
      <c r="P60" s="137">
        <v>291419.59999999998</v>
      </c>
      <c r="Q60" s="172">
        <f t="shared" si="66"/>
        <v>-271851.75</v>
      </c>
      <c r="R60" s="245">
        <f t="shared" si="67"/>
        <v>-97.089910714285708</v>
      </c>
      <c r="S60" s="136">
        <v>302400</v>
      </c>
      <c r="T60" s="137">
        <v>298452.96000000002</v>
      </c>
      <c r="U60" s="172">
        <f t="shared" si="58"/>
        <v>-3947.039999999979</v>
      </c>
      <c r="V60" s="245">
        <f t="shared" si="48"/>
        <v>-1.3052380952380926</v>
      </c>
      <c r="W60" s="136">
        <v>302400</v>
      </c>
      <c r="X60" s="137">
        <v>315973.51</v>
      </c>
      <c r="Y60" s="969">
        <f t="shared" si="59"/>
        <v>13573.510000000009</v>
      </c>
      <c r="Z60" s="245">
        <f t="shared" si="49"/>
        <v>4.4885945767195734</v>
      </c>
      <c r="AA60" s="136">
        <v>302400</v>
      </c>
      <c r="AB60" s="858">
        <v>318445.26</v>
      </c>
      <c r="AC60" s="172">
        <f t="shared" si="60"/>
        <v>16045.260000000009</v>
      </c>
      <c r="AD60" s="245">
        <f t="shared" si="50"/>
        <v>5.3059722222222216</v>
      </c>
      <c r="AE60" s="136">
        <v>302400</v>
      </c>
      <c r="AF60" s="171">
        <v>324287.06</v>
      </c>
      <c r="AG60" s="169">
        <f t="shared" si="61"/>
        <v>21887.059999999998</v>
      </c>
      <c r="AH60" s="245">
        <f t="shared" si="51"/>
        <v>7.2377843915343965</v>
      </c>
      <c r="AI60" s="136">
        <v>302400</v>
      </c>
      <c r="AJ60" s="176">
        <v>302248.26</v>
      </c>
      <c r="AK60" s="169">
        <f t="shared" si="62"/>
        <v>-151.73999999999069</v>
      </c>
      <c r="AL60" s="245">
        <f t="shared" si="52"/>
        <v>-5.017857142857185E-2</v>
      </c>
      <c r="AM60" s="136">
        <v>302400</v>
      </c>
      <c r="AN60" s="176">
        <v>311173.15000000002</v>
      </c>
      <c r="AO60" s="169">
        <f t="shared" si="63"/>
        <v>8773.1500000000233</v>
      </c>
      <c r="AP60" s="245">
        <f t="shared" si="53"/>
        <v>2.9011739417989402</v>
      </c>
      <c r="AQ60" s="136">
        <v>302400</v>
      </c>
      <c r="AR60" s="171"/>
      <c r="AS60" s="169">
        <f t="shared" si="64"/>
        <v>-302400</v>
      </c>
      <c r="AT60" s="245">
        <f t="shared" si="54"/>
        <v>-100</v>
      </c>
      <c r="AU60" s="136">
        <v>302400</v>
      </c>
      <c r="AV60" s="171"/>
      <c r="AW60" s="172">
        <f t="shared" si="65"/>
        <v>-302400</v>
      </c>
      <c r="AX60" s="246">
        <f t="shared" si="55"/>
        <v>-100</v>
      </c>
      <c r="AY60" s="571">
        <f t="shared" si="44"/>
        <v>3539200</v>
      </c>
      <c r="AZ60" s="177">
        <f t="shared" si="68"/>
        <v>2773447.22</v>
      </c>
      <c r="BA60" s="118"/>
    </row>
    <row r="61" spans="1:53" s="119" customFormat="1" ht="18" customHeight="1" x14ac:dyDescent="0.25">
      <c r="A61" s="170">
        <v>12276</v>
      </c>
      <c r="B61" s="332" t="s">
        <v>34</v>
      </c>
      <c r="C61" s="897">
        <v>9000</v>
      </c>
      <c r="D61" s="46">
        <v>11747.92</v>
      </c>
      <c r="E61" s="373">
        <f t="shared" si="43"/>
        <v>2747.92</v>
      </c>
      <c r="F61" s="372">
        <f t="shared" si="40"/>
        <v>30.532444444444451</v>
      </c>
      <c r="G61" s="892">
        <v>9000</v>
      </c>
      <c r="H61" s="137">
        <v>13984.59</v>
      </c>
      <c r="I61" s="172">
        <f t="shared" si="56"/>
        <v>4984.59</v>
      </c>
      <c r="J61" s="245">
        <f t="shared" si="45"/>
        <v>55.384333333333323</v>
      </c>
      <c r="K61" s="212">
        <v>9000</v>
      </c>
      <c r="L61" s="137">
        <v>13134.23</v>
      </c>
      <c r="M61" s="172">
        <f t="shared" si="57"/>
        <v>4134.2299999999996</v>
      </c>
      <c r="N61" s="245">
        <f t="shared" si="46"/>
        <v>45.93588888888889</v>
      </c>
      <c r="O61" s="212">
        <v>9000</v>
      </c>
      <c r="P61" s="137">
        <v>9827.56</v>
      </c>
      <c r="Q61" s="172">
        <f t="shared" si="66"/>
        <v>282419.59999999998</v>
      </c>
      <c r="R61" s="245">
        <f t="shared" si="67"/>
        <v>3137.9955555555553</v>
      </c>
      <c r="S61" s="136">
        <v>9000</v>
      </c>
      <c r="T61" s="137">
        <v>9047.56</v>
      </c>
      <c r="U61" s="172">
        <f t="shared" si="58"/>
        <v>47.559999999999491</v>
      </c>
      <c r="V61" s="245">
        <f t="shared" si="48"/>
        <v>0.5284444444444425</v>
      </c>
      <c r="W61" s="136">
        <v>9000</v>
      </c>
      <c r="X61" s="137">
        <v>11362.22</v>
      </c>
      <c r="Y61" s="969">
        <f t="shared" si="59"/>
        <v>2362.2199999999993</v>
      </c>
      <c r="Z61" s="245">
        <f t="shared" si="49"/>
        <v>26.246888888888886</v>
      </c>
      <c r="AA61" s="136">
        <v>9000</v>
      </c>
      <c r="AB61" s="858">
        <v>8303.56</v>
      </c>
      <c r="AC61" s="172">
        <f t="shared" si="60"/>
        <v>-696.44000000000051</v>
      </c>
      <c r="AD61" s="245">
        <f t="shared" si="50"/>
        <v>-7.7382222222222241</v>
      </c>
      <c r="AE61" s="136">
        <v>9000</v>
      </c>
      <c r="AF61" s="171">
        <v>8055.56</v>
      </c>
      <c r="AG61" s="169">
        <f t="shared" si="61"/>
        <v>-944.4399999999996</v>
      </c>
      <c r="AH61" s="245">
        <f t="shared" si="51"/>
        <v>-10.493777777777769</v>
      </c>
      <c r="AI61" s="136">
        <v>9000</v>
      </c>
      <c r="AJ61" s="176">
        <v>2437.67</v>
      </c>
      <c r="AK61" s="169">
        <f t="shared" si="62"/>
        <v>-6562.33</v>
      </c>
      <c r="AL61" s="245">
        <f t="shared" si="52"/>
        <v>-72.914777777777772</v>
      </c>
      <c r="AM61" s="136">
        <v>9000</v>
      </c>
      <c r="AN61" s="176">
        <v>12605.67</v>
      </c>
      <c r="AO61" s="169">
        <f t="shared" si="63"/>
        <v>3605.67</v>
      </c>
      <c r="AP61" s="245">
        <v>0</v>
      </c>
      <c r="AQ61" s="136">
        <v>9000</v>
      </c>
      <c r="AR61" s="171"/>
      <c r="AS61" s="169">
        <f t="shared" si="64"/>
        <v>-9000</v>
      </c>
      <c r="AT61" s="245">
        <f t="shared" si="54"/>
        <v>-100</v>
      </c>
      <c r="AU61" s="136">
        <v>9000</v>
      </c>
      <c r="AV61" s="171"/>
      <c r="AW61" s="172">
        <f t="shared" si="65"/>
        <v>-9000</v>
      </c>
      <c r="AX61" s="246">
        <f t="shared" si="55"/>
        <v>-100</v>
      </c>
      <c r="AY61" s="571">
        <f t="shared" si="44"/>
        <v>108000</v>
      </c>
      <c r="AZ61" s="177">
        <f t="shared" si="68"/>
        <v>382098.5799999999</v>
      </c>
      <c r="BA61" s="118"/>
    </row>
    <row r="62" spans="1:53" s="119" customFormat="1" ht="18" customHeight="1" x14ac:dyDescent="0.25">
      <c r="A62" s="170">
        <v>12204</v>
      </c>
      <c r="B62" s="332" t="s">
        <v>177</v>
      </c>
      <c r="C62" s="897">
        <v>4000</v>
      </c>
      <c r="D62" s="46">
        <v>0</v>
      </c>
      <c r="E62" s="373">
        <f t="shared" si="43"/>
        <v>-4000</v>
      </c>
      <c r="F62" s="372">
        <f t="shared" si="40"/>
        <v>-100</v>
      </c>
      <c r="G62" s="892">
        <v>4000</v>
      </c>
      <c r="H62" s="137">
        <v>9981.51</v>
      </c>
      <c r="I62" s="172">
        <f t="shared" si="56"/>
        <v>5981.51</v>
      </c>
      <c r="J62" s="245">
        <f t="shared" si="45"/>
        <v>149.53775000000002</v>
      </c>
      <c r="K62" s="212">
        <v>4000</v>
      </c>
      <c r="L62" s="137">
        <v>0</v>
      </c>
      <c r="M62" s="172">
        <f t="shared" si="57"/>
        <v>-4000</v>
      </c>
      <c r="N62" s="245">
        <f t="shared" si="46"/>
        <v>-100</v>
      </c>
      <c r="O62" s="212">
        <v>4000</v>
      </c>
      <c r="P62" s="137">
        <v>2673.99</v>
      </c>
      <c r="Q62" s="172">
        <f t="shared" si="66"/>
        <v>5827.5599999999995</v>
      </c>
      <c r="R62" s="245">
        <f t="shared" si="67"/>
        <v>145.68899999999999</v>
      </c>
      <c r="S62" s="136">
        <v>4000</v>
      </c>
      <c r="T62" s="137">
        <v>2420.17</v>
      </c>
      <c r="U62" s="172">
        <f t="shared" si="58"/>
        <v>-1579.83</v>
      </c>
      <c r="V62" s="245">
        <f t="shared" si="48"/>
        <v>-39.495749999999994</v>
      </c>
      <c r="W62" s="136">
        <v>4000</v>
      </c>
      <c r="X62" s="137">
        <v>2894.94</v>
      </c>
      <c r="Y62" s="969">
        <f t="shared" si="59"/>
        <v>-1105.06</v>
      </c>
      <c r="Z62" s="245">
        <f t="shared" si="49"/>
        <v>-27.6265</v>
      </c>
      <c r="AA62" s="136">
        <v>4000</v>
      </c>
      <c r="AB62" s="858">
        <v>5940.57</v>
      </c>
      <c r="AC62" s="172">
        <f t="shared" si="60"/>
        <v>1940.5699999999997</v>
      </c>
      <c r="AD62" s="245">
        <f t="shared" si="50"/>
        <v>48.514250000000004</v>
      </c>
      <c r="AE62" s="136">
        <v>4000</v>
      </c>
      <c r="AF62" s="171">
        <v>3731.56</v>
      </c>
      <c r="AG62" s="169">
        <f t="shared" si="61"/>
        <v>-268.44000000000005</v>
      </c>
      <c r="AH62" s="245">
        <f t="shared" si="51"/>
        <v>-6.7110000000000003</v>
      </c>
      <c r="AI62" s="136">
        <v>4000</v>
      </c>
      <c r="AJ62" s="176">
        <v>2280.2199999999998</v>
      </c>
      <c r="AK62" s="169">
        <f t="shared" si="62"/>
        <v>-1719.7800000000002</v>
      </c>
      <c r="AL62" s="245">
        <f t="shared" si="52"/>
        <v>-42.994500000000002</v>
      </c>
      <c r="AM62" s="136">
        <v>4000</v>
      </c>
      <c r="AN62" s="176">
        <v>2040.67</v>
      </c>
      <c r="AO62" s="169">
        <f t="shared" si="63"/>
        <v>-1959.33</v>
      </c>
      <c r="AP62" s="245">
        <f t="shared" si="53"/>
        <v>-48.983249999999998</v>
      </c>
      <c r="AQ62" s="136">
        <v>4000</v>
      </c>
      <c r="AR62" s="171"/>
      <c r="AS62" s="169">
        <f t="shared" si="64"/>
        <v>-4000</v>
      </c>
      <c r="AT62" s="245">
        <f t="shared" si="54"/>
        <v>-100</v>
      </c>
      <c r="AU62" s="136">
        <v>4000</v>
      </c>
      <c r="AV62" s="171"/>
      <c r="AW62" s="172">
        <f t="shared" si="65"/>
        <v>-4000</v>
      </c>
      <c r="AX62" s="246">
        <f t="shared" si="55"/>
        <v>-100</v>
      </c>
      <c r="AY62" s="571">
        <f t="shared" si="44"/>
        <v>48000</v>
      </c>
      <c r="AZ62" s="177">
        <f t="shared" si="68"/>
        <v>39117.199999999997</v>
      </c>
      <c r="BA62" s="118"/>
    </row>
    <row r="63" spans="1:53" s="119" customFormat="1" ht="18" customHeight="1" x14ac:dyDescent="0.25">
      <c r="A63" s="170">
        <v>11652</v>
      </c>
      <c r="B63" s="332" t="s">
        <v>178</v>
      </c>
      <c r="C63" s="897">
        <v>4000</v>
      </c>
      <c r="D63" s="46">
        <v>2750</v>
      </c>
      <c r="E63" s="373">
        <f t="shared" si="43"/>
        <v>-1250</v>
      </c>
      <c r="F63" s="372">
        <f t="shared" si="40"/>
        <v>-31.25</v>
      </c>
      <c r="G63" s="892">
        <v>4000</v>
      </c>
      <c r="H63" s="137">
        <v>3050</v>
      </c>
      <c r="I63" s="172">
        <f t="shared" si="56"/>
        <v>-950</v>
      </c>
      <c r="J63" s="245">
        <f t="shared" si="45"/>
        <v>-23.750000000000004</v>
      </c>
      <c r="K63" s="212">
        <v>4000</v>
      </c>
      <c r="L63" s="137">
        <v>4000</v>
      </c>
      <c r="M63" s="172">
        <f t="shared" si="57"/>
        <v>0</v>
      </c>
      <c r="N63" s="245">
        <f t="shared" si="46"/>
        <v>0</v>
      </c>
      <c r="O63" s="212">
        <v>4000</v>
      </c>
      <c r="P63" s="137">
        <v>6159.49</v>
      </c>
      <c r="Q63" s="172">
        <f t="shared" si="66"/>
        <v>-1326.0100000000002</v>
      </c>
      <c r="R63" s="245">
        <f t="shared" si="67"/>
        <v>-33.15025</v>
      </c>
      <c r="S63" s="136">
        <v>4000</v>
      </c>
      <c r="T63" s="137">
        <v>2500</v>
      </c>
      <c r="U63" s="172">
        <f t="shared" si="58"/>
        <v>-1500</v>
      </c>
      <c r="V63" s="245">
        <f t="shared" si="48"/>
        <v>-37.5</v>
      </c>
      <c r="W63" s="136">
        <v>4000</v>
      </c>
      <c r="X63" s="137">
        <v>5936.35</v>
      </c>
      <c r="Y63" s="969">
        <f t="shared" si="59"/>
        <v>1936.3500000000004</v>
      </c>
      <c r="Z63" s="245">
        <f t="shared" si="49"/>
        <v>48.408749999999998</v>
      </c>
      <c r="AA63" s="136">
        <v>4000</v>
      </c>
      <c r="AB63" s="858">
        <v>5211.96</v>
      </c>
      <c r="AC63" s="172">
        <f t="shared" si="60"/>
        <v>1211.96</v>
      </c>
      <c r="AD63" s="245">
        <f t="shared" si="50"/>
        <v>30.29900000000001</v>
      </c>
      <c r="AE63" s="136">
        <v>4000</v>
      </c>
      <c r="AF63" s="171">
        <v>4590</v>
      </c>
      <c r="AG63" s="169">
        <f t="shared" si="61"/>
        <v>590</v>
      </c>
      <c r="AH63" s="245">
        <f t="shared" si="51"/>
        <v>14.749999999999996</v>
      </c>
      <c r="AI63" s="136">
        <v>4000</v>
      </c>
      <c r="AJ63" s="176">
        <v>15346.8</v>
      </c>
      <c r="AK63" s="169">
        <f t="shared" si="62"/>
        <v>11346.8</v>
      </c>
      <c r="AL63" s="245">
        <f t="shared" si="52"/>
        <v>283.67</v>
      </c>
      <c r="AM63" s="136">
        <v>4000</v>
      </c>
      <c r="AN63" s="176">
        <v>750</v>
      </c>
      <c r="AO63" s="169">
        <f t="shared" si="63"/>
        <v>-3250</v>
      </c>
      <c r="AP63" s="245">
        <f t="shared" si="53"/>
        <v>-81.25</v>
      </c>
      <c r="AQ63" s="136">
        <v>4000</v>
      </c>
      <c r="AR63" s="171"/>
      <c r="AS63" s="169">
        <f t="shared" si="64"/>
        <v>-4000</v>
      </c>
      <c r="AT63" s="245">
        <f t="shared" si="54"/>
        <v>-100</v>
      </c>
      <c r="AU63" s="136">
        <v>4000</v>
      </c>
      <c r="AV63" s="171"/>
      <c r="AW63" s="172">
        <f t="shared" si="65"/>
        <v>-4000</v>
      </c>
      <c r="AX63" s="246">
        <f t="shared" si="55"/>
        <v>-100</v>
      </c>
      <c r="AY63" s="571">
        <f t="shared" si="44"/>
        <v>48000</v>
      </c>
      <c r="AZ63" s="177">
        <f t="shared" si="68"/>
        <v>46809.1</v>
      </c>
      <c r="BA63" s="118"/>
    </row>
    <row r="64" spans="1:53" s="119" customFormat="1" ht="18" customHeight="1" x14ac:dyDescent="0.25">
      <c r="A64" s="170" t="s">
        <v>136</v>
      </c>
      <c r="B64" s="332" t="s">
        <v>36</v>
      </c>
      <c r="C64" s="897">
        <v>2000</v>
      </c>
      <c r="D64" s="46">
        <f>0+1652.15+329.97+0+0</f>
        <v>1982.1200000000001</v>
      </c>
      <c r="E64" s="373">
        <f t="shared" si="43"/>
        <v>-17.879999999999882</v>
      </c>
      <c r="F64" s="372">
        <f t="shared" si="40"/>
        <v>-0.8939999999999948</v>
      </c>
      <c r="G64" s="892">
        <v>2000</v>
      </c>
      <c r="H64" s="137">
        <f>1652.15+-329.97</f>
        <v>1322.18</v>
      </c>
      <c r="I64" s="172">
        <f t="shared" si="56"/>
        <v>-677.81999999999994</v>
      </c>
      <c r="J64" s="245">
        <f t="shared" si="45"/>
        <v>-33.890999999999991</v>
      </c>
      <c r="K64" s="212">
        <v>2000</v>
      </c>
      <c r="L64" s="137">
        <v>1652.15</v>
      </c>
      <c r="M64" s="172">
        <f t="shared" si="57"/>
        <v>-347.84999999999991</v>
      </c>
      <c r="N64" s="245">
        <f t="shared" si="46"/>
        <v>-17.392499999999998</v>
      </c>
      <c r="O64" s="212">
        <v>2000</v>
      </c>
      <c r="P64" s="137">
        <v>1652.15</v>
      </c>
      <c r="Q64" s="172">
        <f t="shared" si="66"/>
        <v>4159.49</v>
      </c>
      <c r="R64" s="245">
        <f t="shared" si="67"/>
        <v>207.97450000000001</v>
      </c>
      <c r="S64" s="136">
        <v>2000</v>
      </c>
      <c r="T64" s="137">
        <v>1715.42</v>
      </c>
      <c r="U64" s="172">
        <f t="shared" si="58"/>
        <v>-284.57999999999993</v>
      </c>
      <c r="V64" s="245">
        <f t="shared" si="48"/>
        <v>-14.228999999999992</v>
      </c>
      <c r="W64" s="136">
        <v>2000</v>
      </c>
      <c r="X64" s="137">
        <v>4869.0200000000004</v>
      </c>
      <c r="Y64" s="969">
        <f t="shared" si="59"/>
        <v>2869.0200000000004</v>
      </c>
      <c r="Z64" s="245">
        <f t="shared" si="49"/>
        <v>143.45100000000005</v>
      </c>
      <c r="AA64" s="136">
        <v>2000</v>
      </c>
      <c r="AB64" s="137">
        <v>19695.96</v>
      </c>
      <c r="AC64" s="172">
        <f t="shared" si="60"/>
        <v>17695.96</v>
      </c>
      <c r="AD64" s="245">
        <f t="shared" si="50"/>
        <v>884.798</v>
      </c>
      <c r="AE64" s="136">
        <v>2000</v>
      </c>
      <c r="AF64" s="136">
        <v>4121.9399999999996</v>
      </c>
      <c r="AG64" s="169">
        <f t="shared" si="61"/>
        <v>2121.9399999999996</v>
      </c>
      <c r="AH64" s="245">
        <f t="shared" si="51"/>
        <v>106.09699999999998</v>
      </c>
      <c r="AI64" s="136">
        <v>2000</v>
      </c>
      <c r="AJ64" s="176">
        <v>2838.85</v>
      </c>
      <c r="AK64" s="169">
        <f t="shared" si="62"/>
        <v>838.84999999999991</v>
      </c>
      <c r="AL64" s="245">
        <f t="shared" si="52"/>
        <v>41.942499999999995</v>
      </c>
      <c r="AM64" s="136">
        <v>2000</v>
      </c>
      <c r="AN64" s="176">
        <v>2451.25</v>
      </c>
      <c r="AO64" s="169">
        <f t="shared" si="63"/>
        <v>451.25</v>
      </c>
      <c r="AP64" s="245">
        <f t="shared" si="53"/>
        <v>22.562499999999996</v>
      </c>
      <c r="AQ64" s="136">
        <v>2000</v>
      </c>
      <c r="AR64" s="171"/>
      <c r="AS64" s="169">
        <f t="shared" si="64"/>
        <v>-2000</v>
      </c>
      <c r="AT64" s="245">
        <f t="shared" si="54"/>
        <v>-100</v>
      </c>
      <c r="AU64" s="136">
        <v>2000</v>
      </c>
      <c r="AV64" s="171"/>
      <c r="AW64" s="172">
        <f t="shared" si="65"/>
        <v>-2000</v>
      </c>
      <c r="AX64" s="246">
        <f t="shared" si="55"/>
        <v>-100</v>
      </c>
      <c r="AY64" s="571">
        <f t="shared" si="44"/>
        <v>24000</v>
      </c>
      <c r="AZ64" s="177">
        <f t="shared" si="68"/>
        <v>46808.38</v>
      </c>
      <c r="BA64" s="118"/>
    </row>
    <row r="65" spans="1:55" s="119" customFormat="1" ht="30" customHeight="1" x14ac:dyDescent="0.25">
      <c r="A65" s="170" t="s">
        <v>37</v>
      </c>
      <c r="B65" s="332" t="s">
        <v>39</v>
      </c>
      <c r="C65" s="897">
        <v>2000</v>
      </c>
      <c r="D65" s="46">
        <f>3765.21+74.79</f>
        <v>3840</v>
      </c>
      <c r="E65" s="373">
        <f t="shared" si="43"/>
        <v>1840</v>
      </c>
      <c r="F65" s="372">
        <f t="shared" si="40"/>
        <v>92</v>
      </c>
      <c r="G65" s="892">
        <v>2000</v>
      </c>
      <c r="H65" s="137">
        <f>2420.94+104.93</f>
        <v>2525.87</v>
      </c>
      <c r="I65" s="172">
        <f t="shared" si="56"/>
        <v>525.86999999999989</v>
      </c>
      <c r="J65" s="245">
        <f t="shared" si="45"/>
        <v>26.293499999999991</v>
      </c>
      <c r="K65" s="212">
        <v>2000</v>
      </c>
      <c r="L65" s="137">
        <v>4215.91</v>
      </c>
      <c r="M65" s="172">
        <f t="shared" si="57"/>
        <v>2215.91</v>
      </c>
      <c r="N65" s="245">
        <f t="shared" si="46"/>
        <v>110.7955</v>
      </c>
      <c r="O65" s="212">
        <v>2000</v>
      </c>
      <c r="P65" s="137">
        <v>2364.41</v>
      </c>
      <c r="Q65" s="172">
        <f t="shared" si="66"/>
        <v>-347.84999999999991</v>
      </c>
      <c r="R65" s="245">
        <f t="shared" si="67"/>
        <v>-17.392499999999998</v>
      </c>
      <c r="S65" s="136">
        <v>2000</v>
      </c>
      <c r="T65" s="137">
        <v>4104.22</v>
      </c>
      <c r="U65" s="172">
        <f t="shared" si="58"/>
        <v>2104.2200000000003</v>
      </c>
      <c r="V65" s="245">
        <f t="shared" si="48"/>
        <v>105.21100000000003</v>
      </c>
      <c r="W65" s="136">
        <v>2000</v>
      </c>
      <c r="X65" s="137">
        <v>1708.26</v>
      </c>
      <c r="Y65" s="969">
        <f t="shared" si="59"/>
        <v>-291.74</v>
      </c>
      <c r="Z65" s="245">
        <f t="shared" si="49"/>
        <v>-14.587000000000005</v>
      </c>
      <c r="AA65" s="136">
        <v>2000</v>
      </c>
      <c r="AB65" s="137">
        <v>4277.47</v>
      </c>
      <c r="AC65" s="172">
        <f t="shared" si="60"/>
        <v>2277.4700000000003</v>
      </c>
      <c r="AD65" s="245">
        <f t="shared" si="50"/>
        <v>113.87350000000001</v>
      </c>
      <c r="AE65" s="136">
        <v>2000</v>
      </c>
      <c r="AF65" s="136">
        <v>1359.15</v>
      </c>
      <c r="AG65" s="169">
        <f t="shared" si="61"/>
        <v>-640.84999999999991</v>
      </c>
      <c r="AH65" s="245">
        <f t="shared" si="51"/>
        <v>-32.042499999999997</v>
      </c>
      <c r="AI65" s="136">
        <v>2000</v>
      </c>
      <c r="AJ65" s="176">
        <v>3395.89</v>
      </c>
      <c r="AK65" s="169">
        <f t="shared" si="62"/>
        <v>1395.8899999999999</v>
      </c>
      <c r="AL65" s="245">
        <f t="shared" si="52"/>
        <v>69.794499999999999</v>
      </c>
      <c r="AM65" s="136">
        <v>2000</v>
      </c>
      <c r="AN65" s="176">
        <v>2775.43</v>
      </c>
      <c r="AO65" s="169">
        <f t="shared" si="63"/>
        <v>775.42999999999984</v>
      </c>
      <c r="AP65" s="245">
        <f t="shared" si="53"/>
        <v>38.771499999999982</v>
      </c>
      <c r="AQ65" s="136">
        <v>2000</v>
      </c>
      <c r="AR65" s="171"/>
      <c r="AS65" s="169">
        <f t="shared" si="64"/>
        <v>-2000</v>
      </c>
      <c r="AT65" s="245">
        <f t="shared" si="54"/>
        <v>-100</v>
      </c>
      <c r="AU65" s="136">
        <v>2000</v>
      </c>
      <c r="AV65" s="171"/>
      <c r="AW65" s="172">
        <f t="shared" si="65"/>
        <v>-2000</v>
      </c>
      <c r="AX65" s="246">
        <f t="shared" si="55"/>
        <v>-100</v>
      </c>
      <c r="AY65" s="571">
        <f t="shared" si="44"/>
        <v>24000</v>
      </c>
      <c r="AZ65" s="177">
        <f t="shared" si="68"/>
        <v>29854.35</v>
      </c>
      <c r="BA65" s="118"/>
    </row>
    <row r="66" spans="1:55" s="119" customFormat="1" ht="18" customHeight="1" x14ac:dyDescent="0.25">
      <c r="A66" s="170" t="s">
        <v>41</v>
      </c>
      <c r="B66" s="332" t="s">
        <v>43</v>
      </c>
      <c r="C66" s="897">
        <v>1000</v>
      </c>
      <c r="D66" s="46">
        <f>90+852.04+0+0</f>
        <v>942.04</v>
      </c>
      <c r="E66" s="373">
        <f t="shared" si="43"/>
        <v>-57.960000000000036</v>
      </c>
      <c r="F66" s="372">
        <f t="shared" si="40"/>
        <v>-5.7960000000000012</v>
      </c>
      <c r="G66" s="892">
        <v>1000</v>
      </c>
      <c r="H66" s="137">
        <f>640+852.04+234.29</f>
        <v>1726.33</v>
      </c>
      <c r="I66" s="172">
        <f t="shared" si="56"/>
        <v>726.32999999999993</v>
      </c>
      <c r="J66" s="245">
        <f t="shared" si="45"/>
        <v>72.632999999999996</v>
      </c>
      <c r="K66" s="212">
        <v>1000</v>
      </c>
      <c r="L66" s="137">
        <v>2522.5</v>
      </c>
      <c r="M66" s="172">
        <f t="shared" si="57"/>
        <v>1522.5</v>
      </c>
      <c r="N66" s="245">
        <f t="shared" si="46"/>
        <v>152.25</v>
      </c>
      <c r="O66" s="212">
        <v>1000</v>
      </c>
      <c r="P66" s="137">
        <v>3020.02</v>
      </c>
      <c r="Q66" s="172">
        <f t="shared" si="66"/>
        <v>1364.4099999999999</v>
      </c>
      <c r="R66" s="245">
        <f t="shared" si="67"/>
        <v>136.441</v>
      </c>
      <c r="S66" s="136">
        <v>1000</v>
      </c>
      <c r="T66" s="137">
        <v>6150.12</v>
      </c>
      <c r="U66" s="172">
        <f t="shared" si="58"/>
        <v>5150.12</v>
      </c>
      <c r="V66" s="245">
        <f t="shared" si="48"/>
        <v>515.01200000000006</v>
      </c>
      <c r="W66" s="136">
        <v>1000</v>
      </c>
      <c r="X66" s="137">
        <v>1338.39</v>
      </c>
      <c r="Y66" s="969">
        <f t="shared" si="59"/>
        <v>338.3900000000001</v>
      </c>
      <c r="Z66" s="245">
        <f t="shared" si="49"/>
        <v>33.83900000000002</v>
      </c>
      <c r="AA66" s="136">
        <v>1000</v>
      </c>
      <c r="AB66" s="137">
        <v>2038.38</v>
      </c>
      <c r="AC66" s="172">
        <f t="shared" si="60"/>
        <v>1038.3800000000001</v>
      </c>
      <c r="AD66" s="245">
        <f t="shared" si="50"/>
        <v>103.83800000000001</v>
      </c>
      <c r="AE66" s="136">
        <v>1000</v>
      </c>
      <c r="AF66" s="136">
        <v>1219.6199999999999</v>
      </c>
      <c r="AG66" s="169">
        <f t="shared" si="61"/>
        <v>219.61999999999989</v>
      </c>
      <c r="AH66" s="245">
        <f t="shared" si="51"/>
        <v>21.961999999999993</v>
      </c>
      <c r="AI66" s="136">
        <v>1000</v>
      </c>
      <c r="AJ66" s="176">
        <v>4512.47</v>
      </c>
      <c r="AK66" s="169">
        <f t="shared" si="62"/>
        <v>3512.4700000000003</v>
      </c>
      <c r="AL66" s="245">
        <f t="shared" si="52"/>
        <v>351.24700000000007</v>
      </c>
      <c r="AM66" s="136">
        <v>1000</v>
      </c>
      <c r="AN66" s="176">
        <v>1760.19</v>
      </c>
      <c r="AO66" s="169">
        <f t="shared" si="63"/>
        <v>760.19</v>
      </c>
      <c r="AP66" s="245">
        <f t="shared" si="53"/>
        <v>76.01900000000002</v>
      </c>
      <c r="AQ66" s="136">
        <v>1000</v>
      </c>
      <c r="AR66" s="171"/>
      <c r="AS66" s="169">
        <f t="shared" si="64"/>
        <v>-1000</v>
      </c>
      <c r="AT66" s="245">
        <f t="shared" si="54"/>
        <v>-100</v>
      </c>
      <c r="AU66" s="136">
        <v>1000</v>
      </c>
      <c r="AV66" s="171"/>
      <c r="AW66" s="172">
        <f t="shared" si="65"/>
        <v>-1000</v>
      </c>
      <c r="AX66" s="246">
        <f t="shared" si="55"/>
        <v>-100</v>
      </c>
      <c r="AY66" s="571">
        <f t="shared" si="44"/>
        <v>12000</v>
      </c>
      <c r="AZ66" s="177">
        <f t="shared" si="68"/>
        <v>24574.449999999997</v>
      </c>
      <c r="BA66" s="118"/>
    </row>
    <row r="67" spans="1:55" s="119" customFormat="1" ht="36.75" customHeight="1" x14ac:dyDescent="0.25">
      <c r="A67" s="170">
        <v>12267</v>
      </c>
      <c r="B67" s="332" t="s">
        <v>44</v>
      </c>
      <c r="C67" s="897">
        <v>20000</v>
      </c>
      <c r="D67" s="46">
        <v>30805.71</v>
      </c>
      <c r="E67" s="373">
        <f t="shared" si="43"/>
        <v>10805.71</v>
      </c>
      <c r="F67" s="372">
        <f t="shared" si="40"/>
        <v>54.028549999999996</v>
      </c>
      <c r="G67" s="892">
        <v>20000</v>
      </c>
      <c r="H67" s="137">
        <v>32858.379999999997</v>
      </c>
      <c r="I67" s="172">
        <f t="shared" si="56"/>
        <v>12858.379999999997</v>
      </c>
      <c r="J67" s="245">
        <f t="shared" si="45"/>
        <v>64.291899999999984</v>
      </c>
      <c r="K67" s="212">
        <v>20000</v>
      </c>
      <c r="L67" s="137">
        <v>67397.83</v>
      </c>
      <c r="M67" s="172">
        <f t="shared" si="57"/>
        <v>47397.83</v>
      </c>
      <c r="N67" s="245">
        <f t="shared" si="46"/>
        <v>236.98915</v>
      </c>
      <c r="O67" s="212">
        <v>20000</v>
      </c>
      <c r="P67" s="125">
        <v>44932.61</v>
      </c>
      <c r="Q67" s="172">
        <f t="shared" si="66"/>
        <v>-16979.98</v>
      </c>
      <c r="R67" s="245">
        <f t="shared" si="67"/>
        <v>-84.899900000000002</v>
      </c>
      <c r="S67" s="136">
        <v>20000</v>
      </c>
      <c r="T67" s="137">
        <v>31592.38</v>
      </c>
      <c r="U67" s="172">
        <f t="shared" si="58"/>
        <v>11592.380000000001</v>
      </c>
      <c r="V67" s="245">
        <f t="shared" si="48"/>
        <v>57.961900000000014</v>
      </c>
      <c r="W67" s="136">
        <v>20000</v>
      </c>
      <c r="X67" s="137">
        <v>31017.81</v>
      </c>
      <c r="Y67" s="969">
        <f t="shared" si="59"/>
        <v>11017.810000000001</v>
      </c>
      <c r="Z67" s="245">
        <f t="shared" si="49"/>
        <v>55.089050000000015</v>
      </c>
      <c r="AA67" s="136">
        <v>20000</v>
      </c>
      <c r="AB67" s="137">
        <v>31604.48</v>
      </c>
      <c r="AC67" s="172">
        <f t="shared" si="60"/>
        <v>11604.48</v>
      </c>
      <c r="AD67" s="245">
        <f t="shared" si="50"/>
        <v>58.022400000000005</v>
      </c>
      <c r="AE67" s="136">
        <v>20000</v>
      </c>
      <c r="AF67" s="136">
        <v>31585.72</v>
      </c>
      <c r="AG67" s="169">
        <f t="shared" si="61"/>
        <v>11585.720000000001</v>
      </c>
      <c r="AH67" s="245">
        <f t="shared" si="51"/>
        <v>57.928599999999996</v>
      </c>
      <c r="AI67" s="136">
        <v>20000</v>
      </c>
      <c r="AJ67" s="176">
        <v>31585.72</v>
      </c>
      <c r="AK67" s="169">
        <f t="shared" si="62"/>
        <v>11585.720000000001</v>
      </c>
      <c r="AL67" s="245">
        <f t="shared" si="52"/>
        <v>57.928599999999996</v>
      </c>
      <c r="AM67" s="136">
        <v>20000</v>
      </c>
      <c r="AN67" s="176">
        <v>31337.81</v>
      </c>
      <c r="AO67" s="169">
        <f t="shared" si="63"/>
        <v>11337.810000000001</v>
      </c>
      <c r="AP67" s="245">
        <f t="shared" si="53"/>
        <v>56.689049999999995</v>
      </c>
      <c r="AQ67" s="136">
        <v>20000</v>
      </c>
      <c r="AR67" s="171"/>
      <c r="AS67" s="169">
        <f t="shared" si="64"/>
        <v>-20000</v>
      </c>
      <c r="AT67" s="245">
        <f t="shared" si="54"/>
        <v>-100</v>
      </c>
      <c r="AU67" s="136">
        <v>20000</v>
      </c>
      <c r="AV67" s="171"/>
      <c r="AW67" s="172">
        <f t="shared" si="65"/>
        <v>-20000</v>
      </c>
      <c r="AX67" s="246">
        <f t="shared" si="55"/>
        <v>-100</v>
      </c>
      <c r="AY67" s="571">
        <f t="shared" si="44"/>
        <v>240000</v>
      </c>
      <c r="AZ67" s="177">
        <f t="shared" si="68"/>
        <v>322805.86000000004</v>
      </c>
      <c r="BA67" s="118"/>
    </row>
    <row r="68" spans="1:55" s="119" customFormat="1" ht="18" customHeight="1" x14ac:dyDescent="0.25">
      <c r="A68" s="122" t="s">
        <v>45</v>
      </c>
      <c r="B68" s="382" t="s">
        <v>47</v>
      </c>
      <c r="C68" s="897">
        <v>1000</v>
      </c>
      <c r="D68" s="47">
        <f>4074.12+0</f>
        <v>4074.12</v>
      </c>
      <c r="E68" s="373">
        <f t="shared" si="43"/>
        <v>3074.12</v>
      </c>
      <c r="F68" s="372">
        <f t="shared" si="40"/>
        <v>307.41199999999998</v>
      </c>
      <c r="G68" s="892">
        <v>1000</v>
      </c>
      <c r="H68" s="125">
        <v>1634</v>
      </c>
      <c r="I68" s="172">
        <f t="shared" si="56"/>
        <v>634</v>
      </c>
      <c r="J68" s="245">
        <f t="shared" si="45"/>
        <v>63.399999999999991</v>
      </c>
      <c r="K68" s="211">
        <v>1000</v>
      </c>
      <c r="L68" s="125">
        <v>6634</v>
      </c>
      <c r="M68" s="172">
        <f t="shared" si="57"/>
        <v>5634</v>
      </c>
      <c r="N68" s="245">
        <f t="shared" si="46"/>
        <v>563.40000000000009</v>
      </c>
      <c r="O68" s="211">
        <v>1000</v>
      </c>
      <c r="P68" s="125">
        <v>5294.18</v>
      </c>
      <c r="Q68" s="172">
        <f t="shared" si="66"/>
        <v>43932.61</v>
      </c>
      <c r="R68" s="245">
        <f t="shared" si="67"/>
        <v>4393.2610000000004</v>
      </c>
      <c r="S68" s="121">
        <v>1000</v>
      </c>
      <c r="T68" s="125">
        <v>2942.84</v>
      </c>
      <c r="U68" s="171">
        <f t="shared" si="58"/>
        <v>1942.8400000000001</v>
      </c>
      <c r="V68" s="245">
        <f t="shared" si="48"/>
        <v>194.28400000000005</v>
      </c>
      <c r="W68" s="121">
        <v>1000</v>
      </c>
      <c r="X68" s="125">
        <v>2854.06</v>
      </c>
      <c r="Y68" s="970">
        <f t="shared" si="59"/>
        <v>1854.06</v>
      </c>
      <c r="Z68" s="245">
        <f t="shared" si="49"/>
        <v>185.40600000000001</v>
      </c>
      <c r="AA68" s="121">
        <v>1000</v>
      </c>
      <c r="AB68" s="137">
        <v>4665.62</v>
      </c>
      <c r="AC68" s="171">
        <f t="shared" si="60"/>
        <v>3665.62</v>
      </c>
      <c r="AD68" s="245">
        <f t="shared" si="50"/>
        <v>366.56199999999995</v>
      </c>
      <c r="AE68" s="121">
        <v>1000</v>
      </c>
      <c r="AF68" s="129">
        <v>1220.06</v>
      </c>
      <c r="AG68" s="171">
        <f t="shared" si="61"/>
        <v>220.05999999999995</v>
      </c>
      <c r="AH68" s="245">
        <f t="shared" si="51"/>
        <v>22.005999999999993</v>
      </c>
      <c r="AI68" s="121">
        <v>1000</v>
      </c>
      <c r="AJ68" s="153">
        <v>3772.15</v>
      </c>
      <c r="AK68" s="172">
        <f t="shared" si="62"/>
        <v>2772.15</v>
      </c>
      <c r="AL68" s="245">
        <f t="shared" si="52"/>
        <v>277.21499999999997</v>
      </c>
      <c r="AM68" s="121">
        <v>1000</v>
      </c>
      <c r="AN68" s="153">
        <v>4488.0600000000004</v>
      </c>
      <c r="AO68" s="171">
        <f t="shared" si="63"/>
        <v>3488.0600000000004</v>
      </c>
      <c r="AP68" s="245">
        <f t="shared" si="53"/>
        <v>348.8060000000001</v>
      </c>
      <c r="AQ68" s="121">
        <v>1000</v>
      </c>
      <c r="AR68" s="171"/>
      <c r="AS68" s="171">
        <f t="shared" si="64"/>
        <v>-1000</v>
      </c>
      <c r="AT68" s="245">
        <f t="shared" si="54"/>
        <v>-100</v>
      </c>
      <c r="AU68" s="121">
        <v>1000</v>
      </c>
      <c r="AV68" s="171"/>
      <c r="AW68" s="171">
        <f t="shared" si="65"/>
        <v>-1000</v>
      </c>
      <c r="AX68" s="246">
        <f t="shared" si="55"/>
        <v>-100</v>
      </c>
      <c r="AY68" s="571">
        <f t="shared" si="44"/>
        <v>12000</v>
      </c>
      <c r="AZ68" s="175">
        <f t="shared" si="68"/>
        <v>77217.519999999975</v>
      </c>
      <c r="BA68" s="118"/>
    </row>
    <row r="69" spans="1:55" s="119" customFormat="1" ht="18" customHeight="1" x14ac:dyDescent="0.25">
      <c r="A69" s="170">
        <v>11527</v>
      </c>
      <c r="B69" s="152" t="s">
        <v>112</v>
      </c>
      <c r="C69" s="212">
        <v>2400</v>
      </c>
      <c r="D69" s="87">
        <v>2184.9899999999998</v>
      </c>
      <c r="E69" s="893">
        <f>D69-C69</f>
        <v>-215.01000000000022</v>
      </c>
      <c r="F69" s="450">
        <f>((D69/C69)-1)*100</f>
        <v>-8.9587500000000038</v>
      </c>
      <c r="G69" s="212">
        <v>2400</v>
      </c>
      <c r="H69" s="87">
        <v>2069.81</v>
      </c>
      <c r="I69" s="87">
        <f>H69-G69</f>
        <v>-330.19000000000005</v>
      </c>
      <c r="J69" s="452">
        <f>((H69/G69)-1)*100</f>
        <v>-13.75791666666667</v>
      </c>
      <c r="K69" s="440">
        <v>2400</v>
      </c>
      <c r="L69" s="87">
        <v>2143.3200000000002</v>
      </c>
      <c r="M69" s="87">
        <f>L69-K69</f>
        <v>-256.67999999999984</v>
      </c>
      <c r="N69" s="453">
        <f>((L69/K69)-1)*100</f>
        <v>-10.694999999999988</v>
      </c>
      <c r="O69" s="440">
        <v>1500</v>
      </c>
      <c r="P69" s="87">
        <v>2212.9499999999998</v>
      </c>
      <c r="Q69" s="87">
        <f>P69-O69</f>
        <v>712.94999999999982</v>
      </c>
      <c r="R69" s="452">
        <f>((P69/O69)-1)*100</f>
        <v>47.529999999999987</v>
      </c>
      <c r="S69" s="440">
        <v>2400</v>
      </c>
      <c r="T69" s="87">
        <v>2172.04</v>
      </c>
      <c r="U69" s="87">
        <f>T69-S69</f>
        <v>-227.96000000000004</v>
      </c>
      <c r="V69" s="453">
        <f>((T69/S69)-1)*100</f>
        <v>-9.4983333333333313</v>
      </c>
      <c r="W69" s="440">
        <v>2400</v>
      </c>
      <c r="X69" s="137">
        <v>2127.04</v>
      </c>
      <c r="Y69" s="87">
        <f>X69-W69</f>
        <v>-272.96000000000004</v>
      </c>
      <c r="Z69" s="453">
        <f>((X69/W69)-1)*100</f>
        <v>-11.373333333333335</v>
      </c>
      <c r="AA69" s="440">
        <v>1500</v>
      </c>
      <c r="AB69" s="440">
        <v>2310.87</v>
      </c>
      <c r="AC69" s="87">
        <f>AB69-AA69</f>
        <v>810.86999999999989</v>
      </c>
      <c r="AD69" s="452">
        <f>((AB69/AA69)-1)*100</f>
        <v>54.057999999999986</v>
      </c>
      <c r="AE69" s="440">
        <v>1500</v>
      </c>
      <c r="AF69" s="440">
        <v>1710.09</v>
      </c>
      <c r="AG69" s="96">
        <f>AF69-AE69</f>
        <v>210.08999999999992</v>
      </c>
      <c r="AH69" s="453">
        <f>((AF69/AE69)-1)*100</f>
        <v>14.005999999999986</v>
      </c>
      <c r="AI69" s="440">
        <v>1500</v>
      </c>
      <c r="AJ69" s="46">
        <v>2653.66</v>
      </c>
      <c r="AK69" s="96">
        <f>AJ69-AI69</f>
        <v>1153.6599999999999</v>
      </c>
      <c r="AL69" s="452">
        <f>((AJ69/AI69)-1)*100</f>
        <v>76.910666666666657</v>
      </c>
      <c r="AM69" s="440">
        <v>1500</v>
      </c>
      <c r="AN69" s="46">
        <v>3503.2</v>
      </c>
      <c r="AO69" s="96">
        <f>AN69-AM69</f>
        <v>2003.1999999999998</v>
      </c>
      <c r="AP69" s="448">
        <f>((AN69/AM69)-1)*100</f>
        <v>133.54666666666665</v>
      </c>
      <c r="AQ69" s="440">
        <v>1500</v>
      </c>
      <c r="AR69" s="440"/>
      <c r="AS69" s="96">
        <f>AR69-AQ69</f>
        <v>-1500</v>
      </c>
      <c r="AT69" s="449">
        <f>((AR69/AQ69)-1)*100</f>
        <v>-100</v>
      </c>
      <c r="AU69" s="440">
        <v>1500</v>
      </c>
      <c r="AV69" s="46"/>
      <c r="AW69" s="87">
        <f>AV69-AU69</f>
        <v>-1500</v>
      </c>
      <c r="AX69" s="448">
        <f>((AV69/AU69)-1)*100</f>
        <v>-100</v>
      </c>
      <c r="AY69" s="571">
        <f t="shared" si="44"/>
        <v>22500</v>
      </c>
      <c r="AZ69" s="188">
        <f>SUM(D69+H69+L69+P69+T69+X69+AB69+AF69+AJ69+AN69+AR69+AV69)</f>
        <v>23087.97</v>
      </c>
      <c r="BA69" s="118"/>
      <c r="BB69" s="805"/>
      <c r="BC69" s="804"/>
    </row>
    <row r="70" spans="1:55" s="119" customFormat="1" ht="18" customHeight="1" thickBot="1" x14ac:dyDescent="0.3">
      <c r="A70" s="506">
        <v>11428</v>
      </c>
      <c r="B70" s="384" t="s">
        <v>3651</v>
      </c>
      <c r="C70" s="898">
        <v>0</v>
      </c>
      <c r="D70" s="48">
        <v>0</v>
      </c>
      <c r="E70" s="501">
        <f>D70-C70</f>
        <v>0</v>
      </c>
      <c r="F70" s="502"/>
      <c r="G70" s="247">
        <v>0</v>
      </c>
      <c r="H70" s="182">
        <v>0</v>
      </c>
      <c r="I70" s="230">
        <f>H70-G70</f>
        <v>0</v>
      </c>
      <c r="J70" s="503"/>
      <c r="K70" s="247">
        <v>0</v>
      </c>
      <c r="L70" s="182">
        <v>0</v>
      </c>
      <c r="M70" s="230">
        <f>L70-K70</f>
        <v>0</v>
      </c>
      <c r="N70" s="503"/>
      <c r="O70" s="247">
        <v>0</v>
      </c>
      <c r="P70" s="1096">
        <v>0</v>
      </c>
      <c r="Q70" s="230">
        <f>P70-O70</f>
        <v>0</v>
      </c>
      <c r="R70" s="503"/>
      <c r="S70" s="181">
        <v>0</v>
      </c>
      <c r="T70" s="182">
        <v>0</v>
      </c>
      <c r="U70" s="504">
        <f>T70-S70</f>
        <v>0</v>
      </c>
      <c r="V70" s="503"/>
      <c r="W70" s="181">
        <v>0</v>
      </c>
      <c r="X70" s="182">
        <v>0</v>
      </c>
      <c r="Y70" s="971">
        <f>X70-W70</f>
        <v>0</v>
      </c>
      <c r="Z70" s="503"/>
      <c r="AA70" s="181">
        <v>0</v>
      </c>
      <c r="AB70" s="182">
        <v>0</v>
      </c>
      <c r="AC70" s="504">
        <f>AB70-AA70</f>
        <v>0</v>
      </c>
      <c r="AD70" s="503"/>
      <c r="AE70" s="862">
        <v>0</v>
      </c>
      <c r="AF70" s="966">
        <v>0</v>
      </c>
      <c r="AG70" s="504">
        <f>AF70-AE70</f>
        <v>0</v>
      </c>
      <c r="AH70" s="503"/>
      <c r="AI70" s="181">
        <v>0</v>
      </c>
      <c r="AJ70" s="183">
        <v>0</v>
      </c>
      <c r="AK70" s="230">
        <f>AJ70-AI70</f>
        <v>0</v>
      </c>
      <c r="AL70" s="503"/>
      <c r="AM70" s="181">
        <v>0</v>
      </c>
      <c r="AN70" s="183">
        <v>0</v>
      </c>
      <c r="AO70" s="504">
        <f>AN70-AM70</f>
        <v>0</v>
      </c>
      <c r="AP70" s="503"/>
      <c r="AQ70" s="181">
        <v>0</v>
      </c>
      <c r="AR70" s="650">
        <v>0</v>
      </c>
      <c r="AS70" s="504">
        <f>AR70-AQ70</f>
        <v>0</v>
      </c>
      <c r="AT70" s="503"/>
      <c r="AU70" s="181">
        <v>0</v>
      </c>
      <c r="AV70" s="650">
        <v>0</v>
      </c>
      <c r="AW70" s="504">
        <f>AV70-AU70</f>
        <v>0</v>
      </c>
      <c r="AX70" s="505"/>
      <c r="AY70" s="505">
        <f t="shared" si="44"/>
        <v>0</v>
      </c>
      <c r="AZ70" s="184">
        <f>SUM(D70+H70+L70+P68+T70+X70+AB70+AF70+AJ70+AN70+AR70+AV70)</f>
        <v>5294.18</v>
      </c>
      <c r="BA70" s="118"/>
    </row>
    <row r="71" spans="1:55" s="11" customFormat="1" ht="18" customHeight="1" thickBot="1" x14ac:dyDescent="0.3">
      <c r="A71" s="161"/>
      <c r="B71" s="185"/>
      <c r="C71" s="333"/>
      <c r="D71" s="413"/>
      <c r="E71" s="231"/>
      <c r="F71" s="232"/>
      <c r="G71" s="146"/>
      <c r="H71" s="146"/>
      <c r="I71" s="231"/>
      <c r="J71" s="146"/>
      <c r="K71" s="146"/>
      <c r="L71" s="146"/>
      <c r="M71" s="231"/>
      <c r="N71" s="146"/>
      <c r="O71" s="146"/>
      <c r="Q71" s="231"/>
      <c r="R71" s="146"/>
      <c r="S71" s="146"/>
      <c r="T71" s="146"/>
      <c r="U71" s="231"/>
      <c r="V71" s="146"/>
      <c r="W71" s="146"/>
      <c r="X71" s="146"/>
      <c r="Y71" s="972"/>
      <c r="Z71" s="146"/>
      <c r="AA71" s="146"/>
      <c r="AB71" s="146"/>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c r="AY71" s="146"/>
      <c r="AZ71" s="146"/>
      <c r="BA71" s="63"/>
    </row>
    <row r="72" spans="1:55" s="11" customFormat="1" ht="18" customHeight="1" thickBot="1" x14ac:dyDescent="0.3">
      <c r="A72" s="1023"/>
      <c r="B72" s="330" t="s">
        <v>168</v>
      </c>
      <c r="C72" s="474">
        <f>SUM(C73:C112)</f>
        <v>5168000</v>
      </c>
      <c r="D72" s="475">
        <f>SUM(D73:D114)</f>
        <v>5968005.2699999996</v>
      </c>
      <c r="E72" s="476">
        <f>D72-C72</f>
        <v>800005.26999999955</v>
      </c>
      <c r="F72" s="477">
        <f>((D72/C72)-1)*100</f>
        <v>15.479978134674921</v>
      </c>
      <c r="G72" s="478">
        <f>SUM(G74:G112)</f>
        <v>5168000</v>
      </c>
      <c r="H72" s="392">
        <f>SUM(H73:H112)</f>
        <v>5710283.96</v>
      </c>
      <c r="I72" s="392">
        <f>H72-G72</f>
        <v>542283.96</v>
      </c>
      <c r="J72" s="393">
        <f>((H72/G72)-1)*100</f>
        <v>10.493110681114558</v>
      </c>
      <c r="K72" s="478">
        <f>SUM(K74:K112)</f>
        <v>5168000</v>
      </c>
      <c r="L72" s="392">
        <f>SUM(L73:L112)</f>
        <v>5760335.4200000009</v>
      </c>
      <c r="M72" s="392">
        <f>L72-K72</f>
        <v>592335.42000000086</v>
      </c>
      <c r="N72" s="393">
        <f>((L72/K72)-1)*100</f>
        <v>11.46159868421055</v>
      </c>
      <c r="O72" s="478">
        <f>SUM(O74:O112)</f>
        <v>5168000</v>
      </c>
      <c r="P72" s="392">
        <f>SUM(P73:P112)</f>
        <v>6014675.7200000007</v>
      </c>
      <c r="Q72" s="392">
        <f>P72-O72</f>
        <v>846675.72000000067</v>
      </c>
      <c r="R72" s="393">
        <f>((P72/O72)-1)*100</f>
        <v>16.38304411764706</v>
      </c>
      <c r="S72" s="478">
        <f>SUM(S74:S112)</f>
        <v>5168000</v>
      </c>
      <c r="T72" s="392">
        <f>SUM(T73:T112)</f>
        <v>6059097.2100000009</v>
      </c>
      <c r="U72" s="392">
        <f>T72-S72</f>
        <v>891097.21000000089</v>
      </c>
      <c r="V72" s="393">
        <f>((T72/S72)-1)*100</f>
        <v>17.24259307275544</v>
      </c>
      <c r="W72" s="478">
        <f>SUM(W74:W112)</f>
        <v>5168000</v>
      </c>
      <c r="X72" s="392">
        <f>SUM(X73:X114)</f>
        <v>6183621.4800000004</v>
      </c>
      <c r="Y72" s="973">
        <f>X72-W72</f>
        <v>1015621.4800000004</v>
      </c>
      <c r="Z72" s="394">
        <f>((X72/W72)-1)*100</f>
        <v>19.652118421052634</v>
      </c>
      <c r="AA72" s="478">
        <f>SUM(AA74:AA112)</f>
        <v>5168000</v>
      </c>
      <c r="AB72" s="392">
        <f>SUM(AB73:AB114)</f>
        <v>6198319.5000000019</v>
      </c>
      <c r="AC72" s="392">
        <f>AB72-AA72</f>
        <v>1030319.5000000019</v>
      </c>
      <c r="AD72" s="393">
        <f>((AB72/AA72)-1)*100</f>
        <v>19.936522832817371</v>
      </c>
      <c r="AE72" s="478">
        <f>SUM(AE74:AE112)</f>
        <v>5168000</v>
      </c>
      <c r="AF72" s="392">
        <f>SUM(AF73:AF115)</f>
        <v>6724085.629999999</v>
      </c>
      <c r="AG72" s="392">
        <f>AF72-AE72</f>
        <v>1556085.629999999</v>
      </c>
      <c r="AH72" s="393">
        <f>((AF72/AE72)-1)*100</f>
        <v>30.110016060371493</v>
      </c>
      <c r="AI72" s="487">
        <f>SUM(AI74:AI112)</f>
        <v>5168000</v>
      </c>
      <c r="AJ72" s="396">
        <f>SUM(AJ73:AJ115)</f>
        <v>6015617.2700000014</v>
      </c>
      <c r="AK72" s="392">
        <f>AJ72-AI72</f>
        <v>847617.27000000142</v>
      </c>
      <c r="AL72" s="393">
        <f>((AJ72/AI72)-1)*100</f>
        <v>16.401262964396302</v>
      </c>
      <c r="AM72" s="487">
        <f>SUM(AM74:AM112)</f>
        <v>5168000</v>
      </c>
      <c r="AN72" s="396">
        <f>SUM(AN73:AN115)</f>
        <v>6760422.0600000015</v>
      </c>
      <c r="AO72" s="392">
        <f>AN72-AM72</f>
        <v>1592422.0600000015</v>
      </c>
      <c r="AP72" s="393">
        <f>((AN72/AM72)-1)*100</f>
        <v>30.813120356037182</v>
      </c>
      <c r="AQ72" s="487">
        <f>SUM(AQ74:AQ112)</f>
        <v>5168000</v>
      </c>
      <c r="AR72" s="396">
        <f>SUM(AR73:AR112)</f>
        <v>0</v>
      </c>
      <c r="AS72" s="392">
        <f>AR72-AQ72</f>
        <v>-5168000</v>
      </c>
      <c r="AT72" s="393">
        <f>((AR72/AQ72)-1)*100</f>
        <v>-100</v>
      </c>
      <c r="AU72" s="487">
        <f>SUM(AU73:AU112)</f>
        <v>5168000</v>
      </c>
      <c r="AV72" s="396">
        <f>SUM(AV73:AV112)</f>
        <v>0</v>
      </c>
      <c r="AW72" s="392">
        <f>AV72-AU72</f>
        <v>-5168000</v>
      </c>
      <c r="AX72" s="393">
        <f>((AV72/AU72)-1)*100</f>
        <v>-100</v>
      </c>
      <c r="AY72" s="397">
        <f>C72+G72+K72+O72+S72+W72+AA72+AE72+AI72+AM72+AQ72+AU72</f>
        <v>62016000</v>
      </c>
      <c r="AZ72" s="397">
        <f>SUM(D72+H72+L72+P72+T72+X72+AB72+AF72+AJ72+AN72+AR72+AV72)</f>
        <v>61394463.520000003</v>
      </c>
      <c r="BA72" s="63"/>
    </row>
    <row r="73" spans="1:55" s="11" customFormat="1" ht="18" customHeight="1" x14ac:dyDescent="0.25">
      <c r="A73" s="1024">
        <v>54493</v>
      </c>
      <c r="B73" s="1022" t="s">
        <v>3676</v>
      </c>
      <c r="C73" s="899">
        <v>0</v>
      </c>
      <c r="D73" s="495">
        <v>21101.24</v>
      </c>
      <c r="E73" s="459">
        <f>D73-C73</f>
        <v>21101.24</v>
      </c>
      <c r="F73" s="469"/>
      <c r="G73" s="899">
        <v>0</v>
      </c>
      <c r="H73" s="495">
        <v>50867.72</v>
      </c>
      <c r="I73" s="459">
        <f>H73-G73</f>
        <v>50867.72</v>
      </c>
      <c r="J73" s="469"/>
      <c r="K73" s="899">
        <v>0</v>
      </c>
      <c r="L73" s="829">
        <v>27732.07</v>
      </c>
      <c r="M73" s="467">
        <f>L73-K73</f>
        <v>27732.07</v>
      </c>
      <c r="N73" s="469"/>
      <c r="O73" s="899">
        <v>0</v>
      </c>
      <c r="P73" s="812">
        <v>36297.82</v>
      </c>
      <c r="Q73" s="459">
        <f>P73-O73</f>
        <v>36297.82</v>
      </c>
      <c r="R73" s="497"/>
      <c r="S73" s="899">
        <v>0</v>
      </c>
      <c r="T73" s="496">
        <v>36655.57</v>
      </c>
      <c r="U73" s="459">
        <f>T73-S73</f>
        <v>36655.57</v>
      </c>
      <c r="V73" s="470"/>
      <c r="W73" s="899">
        <v>0</v>
      </c>
      <c r="X73" s="496">
        <v>29477.71</v>
      </c>
      <c r="Y73" s="974">
        <f>X73-W73</f>
        <v>29477.71</v>
      </c>
      <c r="Z73" s="485"/>
      <c r="AA73" s="899">
        <v>0</v>
      </c>
      <c r="AB73" s="468">
        <v>6720.24</v>
      </c>
      <c r="AC73" s="459">
        <f>AB73-AA73</f>
        <v>6720.24</v>
      </c>
      <c r="AD73" s="499"/>
      <c r="AE73" s="899">
        <v>0</v>
      </c>
      <c r="AF73" s="468">
        <v>13557.85</v>
      </c>
      <c r="AG73" s="467">
        <f>AF73-AE73</f>
        <v>13557.85</v>
      </c>
      <c r="AH73" s="470"/>
      <c r="AI73" s="899">
        <v>0</v>
      </c>
      <c r="AJ73" s="463">
        <v>17749.560000000001</v>
      </c>
      <c r="AK73" s="467">
        <f>AJ73-AI73</f>
        <v>17749.560000000001</v>
      </c>
      <c r="AL73" s="470"/>
      <c r="AM73" s="899">
        <v>0</v>
      </c>
      <c r="AN73" s="496">
        <v>3849.78</v>
      </c>
      <c r="AO73" s="467">
        <f>AN73-AM73</f>
        <v>3849.78</v>
      </c>
      <c r="AP73" s="470"/>
      <c r="AQ73" s="899">
        <v>0</v>
      </c>
      <c r="AR73" s="468"/>
      <c r="AS73" s="467">
        <f>AR73-AQ73</f>
        <v>0</v>
      </c>
      <c r="AT73" s="470"/>
      <c r="AU73" s="899">
        <v>0</v>
      </c>
      <c r="AV73" s="468"/>
      <c r="AW73" s="459">
        <f>AV73-AU73</f>
        <v>0</v>
      </c>
      <c r="AX73" s="470"/>
      <c r="AY73" s="1097">
        <f>C73+G73+K73+O73+S73+W73+AA73+AE73+AI73+AM73+AQ73+AU73</f>
        <v>0</v>
      </c>
      <c r="AZ73" s="571">
        <f>SUM(D73+H73+L73+P73+T73+X73+AB73+AF73+AJ73+AN73+AR73+AV73)</f>
        <v>244009.56</v>
      </c>
      <c r="BA73" s="63"/>
    </row>
    <row r="74" spans="1:55" s="12" customFormat="1" ht="18" customHeight="1" x14ac:dyDescent="0.25">
      <c r="A74" s="390" t="s">
        <v>3655</v>
      </c>
      <c r="B74" s="907" t="s">
        <v>3673</v>
      </c>
      <c r="C74" s="899">
        <v>1500000</v>
      </c>
      <c r="D74" s="465">
        <f>1462131.48+607318.35</f>
        <v>2069449.83</v>
      </c>
      <c r="E74" s="459">
        <f t="shared" ref="E74:E115" si="69">D74-C74</f>
        <v>569449.83000000007</v>
      </c>
      <c r="F74" s="469">
        <f>((D74/C74)-1)*100</f>
        <v>37.963322000000012</v>
      </c>
      <c r="G74" s="479">
        <v>1500000</v>
      </c>
      <c r="H74" s="459">
        <f>1393186.84+456045.12</f>
        <v>1849231.96</v>
      </c>
      <c r="I74" s="459">
        <f>H74-G74</f>
        <v>349231.95999999996</v>
      </c>
      <c r="J74" s="469">
        <f>((H74/G74)-1)*100</f>
        <v>23.282130666666667</v>
      </c>
      <c r="K74" s="479">
        <v>1500000</v>
      </c>
      <c r="L74" s="830">
        <v>1825877.31</v>
      </c>
      <c r="M74" s="467">
        <f>L74-K74</f>
        <v>325877.31000000006</v>
      </c>
      <c r="N74" s="469">
        <f>((L74/K74)-1)*100</f>
        <v>21.725154000000014</v>
      </c>
      <c r="O74" s="479">
        <v>1500000</v>
      </c>
      <c r="P74" s="813">
        <v>2157011.5</v>
      </c>
      <c r="Q74" s="459">
        <f>P74-O74</f>
        <v>657011.5</v>
      </c>
      <c r="R74" s="469">
        <f>((P74/O74)-1)*100</f>
        <v>43.800766666666661</v>
      </c>
      <c r="S74" s="479">
        <v>1500000</v>
      </c>
      <c r="T74" s="459">
        <v>2078596.32</v>
      </c>
      <c r="U74" s="459">
        <f>T74-S74</f>
        <v>578596.32000000007</v>
      </c>
      <c r="V74" s="470">
        <f>((T74/S74)-1)*100</f>
        <v>38.573088000000013</v>
      </c>
      <c r="W74" s="479">
        <v>1500000</v>
      </c>
      <c r="X74" s="459">
        <v>2318394.2999999998</v>
      </c>
      <c r="Y74" s="974">
        <f>X74-W74</f>
        <v>818394.29999999981</v>
      </c>
      <c r="Z74" s="485">
        <f>((X74/W74)-1)*100</f>
        <v>54.559619999999988</v>
      </c>
      <c r="AA74" s="479">
        <v>1500000</v>
      </c>
      <c r="AB74" s="468">
        <v>2251516.6800000002</v>
      </c>
      <c r="AC74" s="459">
        <f>AB74-AA74</f>
        <v>751516.68000000017</v>
      </c>
      <c r="AD74" s="470">
        <f>((AB74/AA74)-1)*100</f>
        <v>50.101112000000001</v>
      </c>
      <c r="AE74" s="479">
        <v>1500000</v>
      </c>
      <c r="AF74" s="468">
        <v>2380302.31</v>
      </c>
      <c r="AG74" s="467">
        <f>AF74-AE74</f>
        <v>880302.31</v>
      </c>
      <c r="AH74" s="470">
        <f>((AF74/AE74)-1)*100</f>
        <v>58.686820666666662</v>
      </c>
      <c r="AI74" s="479">
        <v>1500000</v>
      </c>
      <c r="AJ74" s="869">
        <v>1947541.84</v>
      </c>
      <c r="AK74" s="467">
        <f>AJ74-AI74</f>
        <v>447541.84000000008</v>
      </c>
      <c r="AL74" s="470">
        <f>((AJ74/AI74)-1)*100</f>
        <v>29.836122666666665</v>
      </c>
      <c r="AM74" s="479">
        <v>1500000</v>
      </c>
      <c r="AN74" s="463">
        <v>2379444.4900000002</v>
      </c>
      <c r="AO74" s="467">
        <f>AN74-AM74</f>
        <v>879444.49000000022</v>
      </c>
      <c r="AP74" s="470">
        <f>((AN74/AM74)-1)*100</f>
        <v>58.629632666666673</v>
      </c>
      <c r="AQ74" s="479">
        <v>1500000</v>
      </c>
      <c r="AR74" s="468"/>
      <c r="AS74" s="459">
        <f>AR74-AQ74</f>
        <v>-1500000</v>
      </c>
      <c r="AT74" s="470">
        <f>((AR74/AQ74)-1)*100</f>
        <v>-100</v>
      </c>
      <c r="AU74" s="479">
        <v>1500000</v>
      </c>
      <c r="AV74" s="468"/>
      <c r="AW74" s="459">
        <f>AV74-AU74</f>
        <v>-1500000</v>
      </c>
      <c r="AX74" s="470">
        <f>((AV74/AU74)-1)*100</f>
        <v>-100</v>
      </c>
      <c r="AY74" s="1097">
        <f t="shared" ref="AY74:AY115" si="70">C74+G74+K74+O74+S74+W74+AA74+AE74+AI74+AM74+AQ74+AU74</f>
        <v>18000000</v>
      </c>
      <c r="AZ74" s="174">
        <f t="shared" ref="AZ74:AZ115" si="71">SUM(D74+H74+L74+P74+T74+X74+AB74+AF74+AJ74+AN74+AR74+AV74)</f>
        <v>21257366.539999999</v>
      </c>
      <c r="BA74" s="824"/>
    </row>
    <row r="75" spans="1:55" s="119" customFormat="1" ht="18" customHeight="1" x14ac:dyDescent="0.25">
      <c r="A75" s="390">
        <v>12202</v>
      </c>
      <c r="B75" s="907" t="s">
        <v>49</v>
      </c>
      <c r="C75" s="899">
        <v>90000</v>
      </c>
      <c r="D75" s="465">
        <v>98035.16</v>
      </c>
      <c r="E75" s="459">
        <f t="shared" si="69"/>
        <v>8035.1600000000035</v>
      </c>
      <c r="F75" s="469">
        <f t="shared" ref="F75:F104" si="72">((D75/C75)-1)*100</f>
        <v>8.9279555555555667</v>
      </c>
      <c r="G75" s="479">
        <v>90000</v>
      </c>
      <c r="H75" s="459">
        <v>86599.5</v>
      </c>
      <c r="I75" s="459">
        <f>H75-G75</f>
        <v>-3400.5</v>
      </c>
      <c r="J75" s="469">
        <f t="shared" ref="J75:J104" si="73">((H75/G75)-1)*100</f>
        <v>-3.778333333333328</v>
      </c>
      <c r="K75" s="479">
        <v>90000</v>
      </c>
      <c r="L75" s="830">
        <v>99119.2</v>
      </c>
      <c r="M75" s="467">
        <f>L75-K75</f>
        <v>9119.1999999999971</v>
      </c>
      <c r="N75" s="469">
        <f t="shared" ref="N75:N104" si="74">((L75/K75)-1)*100</f>
        <v>10.132444444444433</v>
      </c>
      <c r="O75" s="479">
        <v>90000</v>
      </c>
      <c r="P75" s="813">
        <v>96119.2</v>
      </c>
      <c r="Q75" s="459">
        <f>P75-O75</f>
        <v>6119.1999999999971</v>
      </c>
      <c r="R75" s="469">
        <f t="shared" ref="R75:R104" si="75">((P75/O75)-1)*100</f>
        <v>6.7991111111111113</v>
      </c>
      <c r="S75" s="479">
        <v>90000</v>
      </c>
      <c r="T75" s="459">
        <v>100635.16</v>
      </c>
      <c r="U75" s="459">
        <f>T75-S75</f>
        <v>10635.160000000003</v>
      </c>
      <c r="V75" s="470">
        <f t="shared" ref="V75:V111" si="76">((T75/S75)-1)*100</f>
        <v>11.816844444444442</v>
      </c>
      <c r="W75" s="479">
        <v>90000</v>
      </c>
      <c r="X75" s="459">
        <v>96600</v>
      </c>
      <c r="Y75" s="974">
        <f>X75-W75</f>
        <v>6600</v>
      </c>
      <c r="Z75" s="485">
        <f t="shared" ref="Z75:Z111" si="77">((X75/W75)-1)*100</f>
        <v>7.333333333333325</v>
      </c>
      <c r="AA75" s="479">
        <v>90000</v>
      </c>
      <c r="AB75" s="468">
        <v>99035.16</v>
      </c>
      <c r="AC75" s="459">
        <f t="shared" ref="AC75:AC107" si="78">AB75-AA75</f>
        <v>9035.1600000000035</v>
      </c>
      <c r="AD75" s="470">
        <f t="shared" ref="AD75:AD107" si="79">((AB75/AA75)-1)*100</f>
        <v>10.039066666666674</v>
      </c>
      <c r="AE75" s="479">
        <v>90000</v>
      </c>
      <c r="AF75" s="468">
        <v>99035.16</v>
      </c>
      <c r="AG75" s="467">
        <f t="shared" ref="AG75:AG107" si="80">AF75-AE75</f>
        <v>9035.1600000000035</v>
      </c>
      <c r="AH75" s="470">
        <f t="shared" ref="AH75:AH107" si="81">((AF75/AE75)-1)*100</f>
        <v>10.039066666666674</v>
      </c>
      <c r="AI75" s="479">
        <v>90000</v>
      </c>
      <c r="AJ75" s="463">
        <v>113215.16</v>
      </c>
      <c r="AK75" s="467">
        <f t="shared" ref="AK75:AK107" si="82">AJ75-AI75</f>
        <v>23215.160000000003</v>
      </c>
      <c r="AL75" s="470">
        <f t="shared" ref="AL75:AL107" si="83">((AJ75/AI75)-1)*100</f>
        <v>25.79462222222222</v>
      </c>
      <c r="AM75" s="479">
        <v>90000</v>
      </c>
      <c r="AN75" s="463">
        <v>113695.16</v>
      </c>
      <c r="AO75" s="467">
        <f t="shared" ref="AO75:AO107" si="84">AN75-AM75</f>
        <v>23695.160000000003</v>
      </c>
      <c r="AP75" s="470">
        <f t="shared" ref="AP75:AP107" si="85">((AN75/AM75)-1)*100</f>
        <v>26.327955555555562</v>
      </c>
      <c r="AQ75" s="479">
        <v>90000</v>
      </c>
      <c r="AR75" s="468"/>
      <c r="AS75" s="467">
        <f t="shared" ref="AS75:AS105" si="86">AR75-AQ75</f>
        <v>-90000</v>
      </c>
      <c r="AT75" s="470">
        <f t="shared" ref="AT75:AT104" si="87">((AR75/AQ75)-1)*100</f>
        <v>-100</v>
      </c>
      <c r="AU75" s="479">
        <v>90000</v>
      </c>
      <c r="AV75" s="463"/>
      <c r="AW75" s="459">
        <f t="shared" ref="AW75:AW107" si="88">AV75-AU75</f>
        <v>-90000</v>
      </c>
      <c r="AX75" s="470">
        <f t="shared" ref="AX75:AX107" si="89">((AV75/AU75)-1)*100</f>
        <v>-100</v>
      </c>
      <c r="AY75" s="1097">
        <f t="shared" si="70"/>
        <v>1080000</v>
      </c>
      <c r="AZ75" s="174">
        <f t="shared" si="71"/>
        <v>1002088.8600000001</v>
      </c>
      <c r="BA75" s="118"/>
      <c r="BB75" s="805"/>
      <c r="BC75" s="825"/>
    </row>
    <row r="76" spans="1:55" s="119" customFormat="1" ht="18" customHeight="1" x14ac:dyDescent="0.25">
      <c r="A76" s="170">
        <v>12461</v>
      </c>
      <c r="B76" s="332" t="s">
        <v>165</v>
      </c>
      <c r="C76" s="899">
        <v>3000</v>
      </c>
      <c r="D76" s="465">
        <v>3134.42</v>
      </c>
      <c r="E76" s="459">
        <f t="shared" si="69"/>
        <v>134.42000000000007</v>
      </c>
      <c r="F76" s="469">
        <f t="shared" si="72"/>
        <v>4.4806666666666661</v>
      </c>
      <c r="G76" s="479">
        <v>3000</v>
      </c>
      <c r="H76" s="459">
        <v>3134.42</v>
      </c>
      <c r="I76" s="459">
        <f t="shared" ref="I76:I115" si="90">H76-G76</f>
        <v>134.42000000000007</v>
      </c>
      <c r="J76" s="469">
        <f t="shared" si="73"/>
        <v>4.4806666666666661</v>
      </c>
      <c r="K76" s="479">
        <v>3000</v>
      </c>
      <c r="L76" s="830">
        <v>3134.42</v>
      </c>
      <c r="M76" s="467">
        <f t="shared" ref="M76:M105" si="91">L76-K76</f>
        <v>134.42000000000007</v>
      </c>
      <c r="N76" s="469">
        <f t="shared" si="74"/>
        <v>4.4806666666666661</v>
      </c>
      <c r="O76" s="479">
        <v>3000</v>
      </c>
      <c r="P76" s="813">
        <v>3134.42</v>
      </c>
      <c r="Q76" s="459">
        <f t="shared" ref="Q76:Q105" si="92">P76-O76</f>
        <v>134.42000000000007</v>
      </c>
      <c r="R76" s="469">
        <f t="shared" si="75"/>
        <v>4.4806666666666661</v>
      </c>
      <c r="S76" s="479">
        <v>3000</v>
      </c>
      <c r="T76" s="459">
        <v>7232.75</v>
      </c>
      <c r="U76" s="459">
        <f t="shared" ref="U76:U115" si="93">T76-S76</f>
        <v>4232.75</v>
      </c>
      <c r="V76" s="470">
        <f t="shared" si="76"/>
        <v>141.09166666666667</v>
      </c>
      <c r="W76" s="479">
        <v>3000</v>
      </c>
      <c r="X76" s="459">
        <v>7232.75</v>
      </c>
      <c r="Y76" s="974">
        <f t="shared" ref="Y76:Y115" si="94">X76-W76</f>
        <v>4232.75</v>
      </c>
      <c r="Z76" s="485">
        <f t="shared" si="77"/>
        <v>141.09166666666667</v>
      </c>
      <c r="AA76" s="479">
        <v>3000</v>
      </c>
      <c r="AB76" s="468">
        <v>7232.75</v>
      </c>
      <c r="AC76" s="459">
        <f t="shared" si="78"/>
        <v>4232.75</v>
      </c>
      <c r="AD76" s="470">
        <f t="shared" si="79"/>
        <v>141.09166666666667</v>
      </c>
      <c r="AE76" s="479">
        <v>3000</v>
      </c>
      <c r="AF76" s="468">
        <v>3134.42</v>
      </c>
      <c r="AG76" s="467">
        <f t="shared" si="80"/>
        <v>134.42000000000007</v>
      </c>
      <c r="AH76" s="470">
        <f t="shared" si="81"/>
        <v>4.4806666666666661</v>
      </c>
      <c r="AI76" s="479">
        <v>3000</v>
      </c>
      <c r="AJ76" s="463">
        <v>3134.42</v>
      </c>
      <c r="AK76" s="467">
        <f t="shared" si="82"/>
        <v>134.42000000000007</v>
      </c>
      <c r="AL76" s="470">
        <f t="shared" si="83"/>
        <v>4.4806666666666661</v>
      </c>
      <c r="AM76" s="479">
        <v>3000</v>
      </c>
      <c r="AN76" s="463">
        <v>3134.42</v>
      </c>
      <c r="AO76" s="467">
        <f t="shared" si="84"/>
        <v>134.42000000000007</v>
      </c>
      <c r="AP76" s="470">
        <f t="shared" si="85"/>
        <v>4.4806666666666661</v>
      </c>
      <c r="AQ76" s="479">
        <v>3000</v>
      </c>
      <c r="AR76" s="468"/>
      <c r="AS76" s="467">
        <f t="shared" si="86"/>
        <v>-3000</v>
      </c>
      <c r="AT76" s="470">
        <f t="shared" si="87"/>
        <v>-100</v>
      </c>
      <c r="AU76" s="479">
        <v>3000</v>
      </c>
      <c r="AV76" s="463"/>
      <c r="AW76" s="459">
        <f t="shared" si="88"/>
        <v>-3000</v>
      </c>
      <c r="AX76" s="470">
        <f t="shared" si="89"/>
        <v>-100</v>
      </c>
      <c r="AY76" s="1097">
        <f t="shared" si="70"/>
        <v>36000</v>
      </c>
      <c r="AZ76" s="174">
        <f t="shared" si="71"/>
        <v>43639.189999999995</v>
      </c>
      <c r="BA76" s="118"/>
      <c r="BB76" s="805"/>
      <c r="BC76" s="804"/>
    </row>
    <row r="77" spans="1:55" s="119" customFormat="1" ht="18" customHeight="1" x14ac:dyDescent="0.25">
      <c r="A77" s="170">
        <v>12207</v>
      </c>
      <c r="B77" s="332" t="s">
        <v>179</v>
      </c>
      <c r="C77" s="899">
        <v>25000</v>
      </c>
      <c r="D77" s="465">
        <v>21127.57</v>
      </c>
      <c r="E77" s="459">
        <f t="shared" si="69"/>
        <v>-3872.4300000000003</v>
      </c>
      <c r="F77" s="469">
        <f t="shared" si="72"/>
        <v>-15.489719999999995</v>
      </c>
      <c r="G77" s="479">
        <v>25000</v>
      </c>
      <c r="H77" s="459">
        <v>12861.2</v>
      </c>
      <c r="I77" s="459">
        <f t="shared" si="90"/>
        <v>-12138.8</v>
      </c>
      <c r="J77" s="469">
        <f t="shared" si="73"/>
        <v>-48.555199999999999</v>
      </c>
      <c r="K77" s="479">
        <v>25000</v>
      </c>
      <c r="L77" s="830">
        <v>16363.66</v>
      </c>
      <c r="M77" s="467">
        <f t="shared" si="91"/>
        <v>-8636.34</v>
      </c>
      <c r="N77" s="469">
        <f t="shared" si="74"/>
        <v>-34.545360000000002</v>
      </c>
      <c r="O77" s="479">
        <v>25000</v>
      </c>
      <c r="P77" s="813">
        <v>19820.61</v>
      </c>
      <c r="Q77" s="459">
        <f t="shared" si="92"/>
        <v>-5179.3899999999994</v>
      </c>
      <c r="R77" s="469">
        <f t="shared" si="75"/>
        <v>-20.717560000000002</v>
      </c>
      <c r="S77" s="479">
        <v>25000</v>
      </c>
      <c r="T77" s="459">
        <v>18943.669999999998</v>
      </c>
      <c r="U77" s="459">
        <f t="shared" si="93"/>
        <v>-6056.3300000000017</v>
      </c>
      <c r="V77" s="470">
        <f t="shared" si="76"/>
        <v>-24.225320000000007</v>
      </c>
      <c r="W77" s="479">
        <v>25000</v>
      </c>
      <c r="X77" s="459">
        <v>15831.62</v>
      </c>
      <c r="Y77" s="974">
        <f t="shared" si="94"/>
        <v>-9168.3799999999992</v>
      </c>
      <c r="Z77" s="485">
        <f t="shared" si="77"/>
        <v>-36.673519999999996</v>
      </c>
      <c r="AA77" s="479">
        <v>25000</v>
      </c>
      <c r="AB77" s="468">
        <v>20080.41</v>
      </c>
      <c r="AC77" s="459">
        <f t="shared" si="78"/>
        <v>-4919.59</v>
      </c>
      <c r="AD77" s="470">
        <f t="shared" si="79"/>
        <v>-19.678360000000005</v>
      </c>
      <c r="AE77" s="479">
        <v>25000</v>
      </c>
      <c r="AF77" s="468">
        <v>12675.31</v>
      </c>
      <c r="AG77" s="467">
        <f t="shared" si="80"/>
        <v>-12324.69</v>
      </c>
      <c r="AH77" s="470">
        <f t="shared" si="81"/>
        <v>-49.298759999999994</v>
      </c>
      <c r="AI77" s="479">
        <v>25000</v>
      </c>
      <c r="AJ77" s="463">
        <v>10881.82</v>
      </c>
      <c r="AK77" s="467">
        <f t="shared" si="82"/>
        <v>-14118.18</v>
      </c>
      <c r="AL77" s="470">
        <f t="shared" si="83"/>
        <v>-56.472719999999995</v>
      </c>
      <c r="AM77" s="479">
        <v>25000</v>
      </c>
      <c r="AN77" s="463">
        <v>12097.77</v>
      </c>
      <c r="AO77" s="467">
        <f t="shared" si="84"/>
        <v>-12902.23</v>
      </c>
      <c r="AP77" s="470">
        <f t="shared" si="85"/>
        <v>-51.608919999999991</v>
      </c>
      <c r="AQ77" s="479">
        <v>25000</v>
      </c>
      <c r="AR77" s="468"/>
      <c r="AS77" s="467">
        <f t="shared" si="86"/>
        <v>-25000</v>
      </c>
      <c r="AT77" s="470">
        <f t="shared" si="87"/>
        <v>-100</v>
      </c>
      <c r="AU77" s="479">
        <v>25000</v>
      </c>
      <c r="AV77" s="463"/>
      <c r="AW77" s="459">
        <f t="shared" si="88"/>
        <v>-25000</v>
      </c>
      <c r="AX77" s="470">
        <f t="shared" si="89"/>
        <v>-100</v>
      </c>
      <c r="AY77" s="1097">
        <f t="shared" si="70"/>
        <v>300000</v>
      </c>
      <c r="AZ77" s="571">
        <f t="shared" si="71"/>
        <v>160683.64000000001</v>
      </c>
      <c r="BA77" s="118"/>
      <c r="BB77" s="805"/>
      <c r="BC77" s="804"/>
    </row>
    <row r="78" spans="1:55" s="119" customFormat="1" ht="18" customHeight="1" x14ac:dyDescent="0.25">
      <c r="A78" s="170">
        <v>12899</v>
      </c>
      <c r="B78" s="332" t="s">
        <v>180</v>
      </c>
      <c r="C78" s="899">
        <v>900000</v>
      </c>
      <c r="D78" s="465">
        <v>796604.23</v>
      </c>
      <c r="E78" s="459">
        <f t="shared" si="69"/>
        <v>-103395.77000000002</v>
      </c>
      <c r="F78" s="469">
        <f t="shared" si="72"/>
        <v>-11.488418888888896</v>
      </c>
      <c r="G78" s="479">
        <v>900000</v>
      </c>
      <c r="H78" s="459">
        <v>667050.85</v>
      </c>
      <c r="I78" s="459">
        <f t="shared" si="90"/>
        <v>-232949.15000000002</v>
      </c>
      <c r="J78" s="469">
        <f t="shared" si="73"/>
        <v>-25.883238888888894</v>
      </c>
      <c r="K78" s="479">
        <v>900000</v>
      </c>
      <c r="L78" s="830">
        <v>942929.66</v>
      </c>
      <c r="M78" s="467">
        <f>L78-K78</f>
        <v>42929.660000000033</v>
      </c>
      <c r="N78" s="469">
        <f t="shared" si="74"/>
        <v>4.7699622222222349</v>
      </c>
      <c r="O78" s="479">
        <v>900000</v>
      </c>
      <c r="P78" s="813">
        <v>682303.7</v>
      </c>
      <c r="Q78" s="459">
        <f t="shared" si="92"/>
        <v>-217696.30000000005</v>
      </c>
      <c r="R78" s="469">
        <f t="shared" si="75"/>
        <v>-24.188477777777784</v>
      </c>
      <c r="S78" s="479">
        <v>900000</v>
      </c>
      <c r="T78" s="459">
        <v>684093.69</v>
      </c>
      <c r="U78" s="459">
        <f t="shared" si="93"/>
        <v>-215906.31000000006</v>
      </c>
      <c r="V78" s="470">
        <f t="shared" si="76"/>
        <v>-23.989590000000007</v>
      </c>
      <c r="W78" s="479">
        <v>900000</v>
      </c>
      <c r="X78" s="459">
        <v>810274.66</v>
      </c>
      <c r="Y78" s="974">
        <f t="shared" si="94"/>
        <v>-89725.339999999967</v>
      </c>
      <c r="Z78" s="485">
        <f t="shared" si="77"/>
        <v>-9.969482222222215</v>
      </c>
      <c r="AA78" s="479">
        <v>900000</v>
      </c>
      <c r="AB78" s="468">
        <v>667898.34</v>
      </c>
      <c r="AC78" s="459">
        <f t="shared" si="78"/>
        <v>-232101.66000000003</v>
      </c>
      <c r="AD78" s="470">
        <f t="shared" si="79"/>
        <v>-25.789073333333334</v>
      </c>
      <c r="AE78" s="479">
        <v>900000</v>
      </c>
      <c r="AF78" s="468">
        <v>688436.75</v>
      </c>
      <c r="AG78" s="467">
        <f t="shared" si="80"/>
        <v>-211563.25</v>
      </c>
      <c r="AH78" s="470">
        <f t="shared" si="81"/>
        <v>-23.507027777777779</v>
      </c>
      <c r="AI78" s="479">
        <v>900000</v>
      </c>
      <c r="AJ78" s="463">
        <v>856848.92</v>
      </c>
      <c r="AK78" s="467">
        <f t="shared" si="82"/>
        <v>-43151.079999999958</v>
      </c>
      <c r="AL78" s="470">
        <f t="shared" si="83"/>
        <v>-4.794564444444438</v>
      </c>
      <c r="AM78" s="479">
        <v>900000</v>
      </c>
      <c r="AN78" s="463">
        <v>721416.32</v>
      </c>
      <c r="AO78" s="467">
        <f t="shared" si="84"/>
        <v>-178583.68000000005</v>
      </c>
      <c r="AP78" s="470">
        <f t="shared" si="85"/>
        <v>-19.842631111111121</v>
      </c>
      <c r="AQ78" s="479">
        <v>900000</v>
      </c>
      <c r="AR78" s="468"/>
      <c r="AS78" s="467">
        <f t="shared" si="86"/>
        <v>-900000</v>
      </c>
      <c r="AT78" s="470">
        <f t="shared" si="87"/>
        <v>-100</v>
      </c>
      <c r="AU78" s="479">
        <v>900000</v>
      </c>
      <c r="AV78" s="463"/>
      <c r="AW78" s="459">
        <f t="shared" si="88"/>
        <v>-900000</v>
      </c>
      <c r="AX78" s="470">
        <f t="shared" si="89"/>
        <v>-100</v>
      </c>
      <c r="AY78" s="1097">
        <f t="shared" si="70"/>
        <v>10800000</v>
      </c>
      <c r="AZ78" s="174">
        <f t="shared" si="71"/>
        <v>7517857.1200000001</v>
      </c>
      <c r="BA78" s="118"/>
      <c r="BB78" s="805"/>
      <c r="BC78" s="825"/>
    </row>
    <row r="79" spans="1:55" s="119" customFormat="1" ht="18" customHeight="1" x14ac:dyDescent="0.25">
      <c r="A79" s="170">
        <v>25044</v>
      </c>
      <c r="B79" s="332" t="s">
        <v>181</v>
      </c>
      <c r="C79" s="899">
        <v>70000</v>
      </c>
      <c r="D79" s="465">
        <v>87287.64</v>
      </c>
      <c r="E79" s="459">
        <f t="shared" si="69"/>
        <v>17287.64</v>
      </c>
      <c r="F79" s="469">
        <f t="shared" si="72"/>
        <v>24.69662857142858</v>
      </c>
      <c r="G79" s="479">
        <v>70000</v>
      </c>
      <c r="H79" s="459">
        <v>79322.039999999994</v>
      </c>
      <c r="I79" s="459">
        <f t="shared" si="90"/>
        <v>9322.0399999999936</v>
      </c>
      <c r="J79" s="469">
        <f t="shared" si="73"/>
        <v>13.317199999999985</v>
      </c>
      <c r="K79" s="479">
        <v>70000</v>
      </c>
      <c r="L79" s="830">
        <v>86071.8</v>
      </c>
      <c r="M79" s="467">
        <f t="shared" si="91"/>
        <v>16071.800000000003</v>
      </c>
      <c r="N79" s="469">
        <f t="shared" si="74"/>
        <v>22.959714285714284</v>
      </c>
      <c r="O79" s="479">
        <v>70000</v>
      </c>
      <c r="P79" s="813">
        <v>83980.68</v>
      </c>
      <c r="Q79" s="459">
        <f t="shared" si="92"/>
        <v>13980.679999999993</v>
      </c>
      <c r="R79" s="469">
        <f t="shared" si="75"/>
        <v>19.972399999999979</v>
      </c>
      <c r="S79" s="479">
        <v>70000</v>
      </c>
      <c r="T79" s="459">
        <v>86779.02</v>
      </c>
      <c r="U79" s="459">
        <f t="shared" si="93"/>
        <v>16779.020000000004</v>
      </c>
      <c r="V79" s="470">
        <f t="shared" si="76"/>
        <v>23.970028571428582</v>
      </c>
      <c r="W79" s="479">
        <v>70000</v>
      </c>
      <c r="X79" s="459">
        <v>83085.36</v>
      </c>
      <c r="Y79" s="974">
        <f t="shared" si="94"/>
        <v>13085.36</v>
      </c>
      <c r="Z79" s="485">
        <f t="shared" si="77"/>
        <v>18.693371428571439</v>
      </c>
      <c r="AA79" s="479">
        <v>70000</v>
      </c>
      <c r="AB79" s="468">
        <v>99882.54</v>
      </c>
      <c r="AC79" s="459">
        <f t="shared" si="78"/>
        <v>29882.539999999994</v>
      </c>
      <c r="AD79" s="470">
        <f t="shared" si="79"/>
        <v>42.689342857142854</v>
      </c>
      <c r="AE79" s="479">
        <v>70000</v>
      </c>
      <c r="AF79" s="468">
        <v>94444.03</v>
      </c>
      <c r="AG79" s="467">
        <f t="shared" si="80"/>
        <v>24444.03</v>
      </c>
      <c r="AH79" s="470">
        <f t="shared" si="81"/>
        <v>34.920042857142853</v>
      </c>
      <c r="AI79" s="479">
        <v>70000</v>
      </c>
      <c r="AJ79" s="463">
        <v>78980.679999999993</v>
      </c>
      <c r="AK79" s="467">
        <f t="shared" si="82"/>
        <v>8980.679999999993</v>
      </c>
      <c r="AL79" s="470">
        <f t="shared" si="83"/>
        <v>12.82954285714284</v>
      </c>
      <c r="AM79" s="479">
        <v>70000</v>
      </c>
      <c r="AN79" s="463">
        <v>80950</v>
      </c>
      <c r="AO79" s="467">
        <f t="shared" si="84"/>
        <v>10950</v>
      </c>
      <c r="AP79" s="470">
        <f t="shared" si="85"/>
        <v>15.642857142857135</v>
      </c>
      <c r="AQ79" s="479">
        <v>70000</v>
      </c>
      <c r="AR79" s="468"/>
      <c r="AS79" s="467">
        <f t="shared" si="86"/>
        <v>-70000</v>
      </c>
      <c r="AT79" s="470">
        <f t="shared" si="87"/>
        <v>-100</v>
      </c>
      <c r="AU79" s="479">
        <v>70000</v>
      </c>
      <c r="AV79" s="463"/>
      <c r="AW79" s="459">
        <f t="shared" si="88"/>
        <v>-70000</v>
      </c>
      <c r="AX79" s="470">
        <f t="shared" si="89"/>
        <v>-100</v>
      </c>
      <c r="AY79" s="1097">
        <f t="shared" si="70"/>
        <v>840000</v>
      </c>
      <c r="AZ79" s="174">
        <f t="shared" si="71"/>
        <v>860783.79</v>
      </c>
      <c r="BA79" s="118"/>
      <c r="BB79" s="805"/>
      <c r="BC79" s="804"/>
    </row>
    <row r="80" spans="1:55" s="119" customFormat="1" ht="18" customHeight="1" x14ac:dyDescent="0.25">
      <c r="A80" s="170" t="s">
        <v>126</v>
      </c>
      <c r="B80" s="332" t="s">
        <v>50</v>
      </c>
      <c r="C80" s="899">
        <v>5000</v>
      </c>
      <c r="D80" s="465">
        <f>4357.7+0</f>
        <v>4357.7</v>
      </c>
      <c r="E80" s="459">
        <f t="shared" si="69"/>
        <v>-642.30000000000018</v>
      </c>
      <c r="F80" s="469">
        <f t="shared" si="72"/>
        <v>-12.846000000000002</v>
      </c>
      <c r="G80" s="479">
        <v>5000</v>
      </c>
      <c r="H80" s="459">
        <v>916.52</v>
      </c>
      <c r="I80" s="459">
        <f t="shared" si="90"/>
        <v>-4083.48</v>
      </c>
      <c r="J80" s="469">
        <f t="shared" si="73"/>
        <v>-81.669600000000003</v>
      </c>
      <c r="K80" s="479">
        <v>5000</v>
      </c>
      <c r="L80" s="830">
        <v>1875</v>
      </c>
      <c r="M80" s="467">
        <f t="shared" si="91"/>
        <v>-3125</v>
      </c>
      <c r="N80" s="469">
        <f t="shared" si="74"/>
        <v>-62.5</v>
      </c>
      <c r="O80" s="479">
        <v>5000</v>
      </c>
      <c r="P80" s="813">
        <v>5895.45</v>
      </c>
      <c r="Q80" s="459">
        <f t="shared" si="92"/>
        <v>895.44999999999982</v>
      </c>
      <c r="R80" s="469">
        <f t="shared" si="75"/>
        <v>17.908999999999999</v>
      </c>
      <c r="S80" s="479">
        <v>5000</v>
      </c>
      <c r="T80" s="459">
        <v>2774.6</v>
      </c>
      <c r="U80" s="459">
        <f t="shared" si="93"/>
        <v>-2225.4</v>
      </c>
      <c r="V80" s="470">
        <f t="shared" si="76"/>
        <v>-44.508000000000003</v>
      </c>
      <c r="W80" s="479">
        <v>5000</v>
      </c>
      <c r="X80" s="459">
        <v>4429.3</v>
      </c>
      <c r="Y80" s="974">
        <f t="shared" si="94"/>
        <v>-570.69999999999982</v>
      </c>
      <c r="Z80" s="485">
        <f t="shared" si="77"/>
        <v>-11.413999999999991</v>
      </c>
      <c r="AA80" s="479">
        <v>5000</v>
      </c>
      <c r="AB80" s="468">
        <v>1212.8499999999999</v>
      </c>
      <c r="AC80" s="459">
        <f t="shared" si="78"/>
        <v>-3787.15</v>
      </c>
      <c r="AD80" s="470">
        <f t="shared" si="79"/>
        <v>-75.743000000000009</v>
      </c>
      <c r="AE80" s="479">
        <v>5000</v>
      </c>
      <c r="AF80" s="468">
        <v>0</v>
      </c>
      <c r="AG80" s="467">
        <f t="shared" si="80"/>
        <v>-5000</v>
      </c>
      <c r="AH80" s="470">
        <f t="shared" si="81"/>
        <v>-100</v>
      </c>
      <c r="AI80" s="479">
        <v>5000</v>
      </c>
      <c r="AJ80" s="463">
        <v>4507.67</v>
      </c>
      <c r="AK80" s="467">
        <f t="shared" si="82"/>
        <v>-492.32999999999993</v>
      </c>
      <c r="AL80" s="470">
        <f t="shared" si="83"/>
        <v>-9.8465999999999951</v>
      </c>
      <c r="AM80" s="479">
        <v>5000</v>
      </c>
      <c r="AN80" s="463">
        <v>3116.94</v>
      </c>
      <c r="AO80" s="467">
        <f t="shared" si="84"/>
        <v>-1883.06</v>
      </c>
      <c r="AP80" s="470">
        <f t="shared" si="85"/>
        <v>-37.661199999999994</v>
      </c>
      <c r="AQ80" s="479">
        <v>5000</v>
      </c>
      <c r="AR80" s="468"/>
      <c r="AS80" s="467">
        <f t="shared" si="86"/>
        <v>-5000</v>
      </c>
      <c r="AT80" s="470">
        <f t="shared" si="87"/>
        <v>-100</v>
      </c>
      <c r="AU80" s="479">
        <v>5000</v>
      </c>
      <c r="AV80" s="463"/>
      <c r="AW80" s="459">
        <f t="shared" si="88"/>
        <v>-5000</v>
      </c>
      <c r="AX80" s="470">
        <f t="shared" si="89"/>
        <v>-100</v>
      </c>
      <c r="AY80" s="1097">
        <f t="shared" si="70"/>
        <v>60000</v>
      </c>
      <c r="AZ80" s="174">
        <f t="shared" si="71"/>
        <v>29086.029999999995</v>
      </c>
      <c r="BA80" s="118"/>
      <c r="BB80" s="805"/>
      <c r="BC80" s="825"/>
    </row>
    <row r="81" spans="1:55" s="119" customFormat="1" ht="18" customHeight="1" x14ac:dyDescent="0.25">
      <c r="A81" s="170">
        <v>12226</v>
      </c>
      <c r="B81" s="332" t="s">
        <v>51</v>
      </c>
      <c r="C81" s="899">
        <v>0</v>
      </c>
      <c r="D81" s="465">
        <v>65557.279999999999</v>
      </c>
      <c r="E81" s="459">
        <f t="shared" si="69"/>
        <v>65557.279999999999</v>
      </c>
      <c r="F81" s="469"/>
      <c r="G81" s="899">
        <v>0</v>
      </c>
      <c r="H81" s="459">
        <v>37803.49</v>
      </c>
      <c r="I81" s="459">
        <f t="shared" si="90"/>
        <v>37803.49</v>
      </c>
      <c r="J81" s="469"/>
      <c r="K81" s="899">
        <v>0</v>
      </c>
      <c r="L81" s="830">
        <v>18211.59</v>
      </c>
      <c r="M81" s="467">
        <f>L81+K81</f>
        <v>18211.59</v>
      </c>
      <c r="N81" s="469"/>
      <c r="O81" s="899">
        <v>0</v>
      </c>
      <c r="P81" s="813">
        <v>27741.9</v>
      </c>
      <c r="Q81" s="459">
        <f t="shared" si="92"/>
        <v>27741.9</v>
      </c>
      <c r="R81" s="469"/>
      <c r="S81" s="899">
        <v>0</v>
      </c>
      <c r="T81" s="459">
        <v>14881.81</v>
      </c>
      <c r="U81" s="459">
        <f t="shared" si="93"/>
        <v>14881.81</v>
      </c>
      <c r="V81" s="470"/>
      <c r="W81" s="899">
        <v>0</v>
      </c>
      <c r="X81" s="459">
        <v>22244.25</v>
      </c>
      <c r="Y81" s="974">
        <f t="shared" si="94"/>
        <v>22244.25</v>
      </c>
      <c r="Z81" s="485"/>
      <c r="AA81" s="899">
        <v>0</v>
      </c>
      <c r="AB81" s="468">
        <v>42628.15</v>
      </c>
      <c r="AC81" s="459">
        <f t="shared" si="78"/>
        <v>42628.15</v>
      </c>
      <c r="AD81" s="470"/>
      <c r="AE81" s="899">
        <v>0</v>
      </c>
      <c r="AF81" s="468">
        <v>17604.91</v>
      </c>
      <c r="AG81" s="467">
        <f t="shared" si="80"/>
        <v>17604.91</v>
      </c>
      <c r="AH81" s="470"/>
      <c r="AI81" s="899">
        <v>0</v>
      </c>
      <c r="AJ81" s="463">
        <v>23365.47</v>
      </c>
      <c r="AK81" s="467">
        <f t="shared" si="82"/>
        <v>23365.47</v>
      </c>
      <c r="AL81" s="470"/>
      <c r="AM81" s="899">
        <v>0</v>
      </c>
      <c r="AN81" s="463">
        <v>64222.35</v>
      </c>
      <c r="AO81" s="467">
        <f t="shared" si="84"/>
        <v>64222.35</v>
      </c>
      <c r="AP81" s="470"/>
      <c r="AQ81" s="899">
        <v>0</v>
      </c>
      <c r="AR81" s="468"/>
      <c r="AS81" s="467">
        <f t="shared" si="86"/>
        <v>0</v>
      </c>
      <c r="AT81" s="470"/>
      <c r="AU81" s="899">
        <v>0</v>
      </c>
      <c r="AV81" s="463"/>
      <c r="AW81" s="459">
        <f t="shared" si="88"/>
        <v>0</v>
      </c>
      <c r="AX81" s="470"/>
      <c r="AY81" s="1097">
        <f t="shared" si="70"/>
        <v>0</v>
      </c>
      <c r="AZ81" s="571">
        <f t="shared" si="71"/>
        <v>334261.19999999995</v>
      </c>
      <c r="BA81" s="118"/>
      <c r="BB81" s="805"/>
      <c r="BC81" s="825"/>
    </row>
    <row r="82" spans="1:55" s="119" customFormat="1" ht="18" customHeight="1" x14ac:dyDescent="0.25">
      <c r="A82" s="170" t="s">
        <v>52</v>
      </c>
      <c r="B82" s="332" t="s">
        <v>182</v>
      </c>
      <c r="C82" s="899">
        <v>5000</v>
      </c>
      <c r="D82" s="465">
        <f>0+0</f>
        <v>0</v>
      </c>
      <c r="E82" s="459">
        <f t="shared" si="69"/>
        <v>-5000</v>
      </c>
      <c r="F82" s="469">
        <f t="shared" si="72"/>
        <v>-100</v>
      </c>
      <c r="G82" s="479">
        <v>5000</v>
      </c>
      <c r="H82" s="459">
        <v>15100</v>
      </c>
      <c r="I82" s="459">
        <f t="shared" si="90"/>
        <v>10100</v>
      </c>
      <c r="J82" s="469">
        <f t="shared" si="73"/>
        <v>202</v>
      </c>
      <c r="K82" s="479">
        <v>5000</v>
      </c>
      <c r="L82" s="830">
        <v>650</v>
      </c>
      <c r="M82" s="467">
        <f t="shared" si="91"/>
        <v>-4350</v>
      </c>
      <c r="N82" s="469">
        <f t="shared" si="74"/>
        <v>-87</v>
      </c>
      <c r="O82" s="479">
        <v>5000</v>
      </c>
      <c r="P82" s="813">
        <v>10000</v>
      </c>
      <c r="Q82" s="459">
        <f t="shared" si="92"/>
        <v>5000</v>
      </c>
      <c r="R82" s="469">
        <f t="shared" si="75"/>
        <v>100</v>
      </c>
      <c r="S82" s="479">
        <v>5000</v>
      </c>
      <c r="T82" s="459">
        <v>910</v>
      </c>
      <c r="U82" s="459">
        <f t="shared" si="93"/>
        <v>-4090</v>
      </c>
      <c r="V82" s="470">
        <f t="shared" si="76"/>
        <v>-81.800000000000011</v>
      </c>
      <c r="W82" s="479">
        <v>5000</v>
      </c>
      <c r="X82" s="459">
        <v>4680</v>
      </c>
      <c r="Y82" s="974">
        <f t="shared" si="94"/>
        <v>-320</v>
      </c>
      <c r="Z82" s="485">
        <f t="shared" si="77"/>
        <v>-6.399999999999995</v>
      </c>
      <c r="AA82" s="479">
        <v>5000</v>
      </c>
      <c r="AB82" s="459">
        <v>6800</v>
      </c>
      <c r="AC82" s="459">
        <f t="shared" si="78"/>
        <v>1800</v>
      </c>
      <c r="AD82" s="470">
        <f t="shared" si="79"/>
        <v>36.000000000000007</v>
      </c>
      <c r="AE82" s="479">
        <v>5000</v>
      </c>
      <c r="AF82" s="468">
        <v>19500</v>
      </c>
      <c r="AG82" s="467">
        <f t="shared" si="80"/>
        <v>14500</v>
      </c>
      <c r="AH82" s="470">
        <f t="shared" si="81"/>
        <v>290</v>
      </c>
      <c r="AI82" s="479">
        <v>5000</v>
      </c>
      <c r="AJ82" s="463">
        <v>29691.14</v>
      </c>
      <c r="AK82" s="467">
        <f t="shared" si="82"/>
        <v>24691.14</v>
      </c>
      <c r="AL82" s="470">
        <f t="shared" si="83"/>
        <v>493.82279999999997</v>
      </c>
      <c r="AM82" s="479">
        <v>5000</v>
      </c>
      <c r="AN82" s="463">
        <v>300</v>
      </c>
      <c r="AO82" s="467">
        <f t="shared" si="84"/>
        <v>-4700</v>
      </c>
      <c r="AP82" s="470">
        <f t="shared" si="85"/>
        <v>-94</v>
      </c>
      <c r="AQ82" s="479">
        <v>5000</v>
      </c>
      <c r="AR82" s="468"/>
      <c r="AS82" s="467">
        <f t="shared" si="86"/>
        <v>-5000</v>
      </c>
      <c r="AT82" s="470">
        <f t="shared" si="87"/>
        <v>-100</v>
      </c>
      <c r="AU82" s="479">
        <v>5000</v>
      </c>
      <c r="AV82" s="463"/>
      <c r="AW82" s="459">
        <f t="shared" si="88"/>
        <v>-5000</v>
      </c>
      <c r="AX82" s="470">
        <f t="shared" si="89"/>
        <v>-100</v>
      </c>
      <c r="AY82" s="1097">
        <f t="shared" si="70"/>
        <v>60000</v>
      </c>
      <c r="AZ82" s="174">
        <f t="shared" si="71"/>
        <v>87631.14</v>
      </c>
      <c r="BA82" s="118"/>
      <c r="BB82" s="805"/>
      <c r="BC82" s="825"/>
    </row>
    <row r="83" spans="1:55" s="119" customFormat="1" ht="18" customHeight="1" x14ac:dyDescent="0.25">
      <c r="A83" s="170">
        <v>12228</v>
      </c>
      <c r="B83" s="332" t="s">
        <v>183</v>
      </c>
      <c r="C83" s="899">
        <v>0</v>
      </c>
      <c r="D83" s="465">
        <v>0</v>
      </c>
      <c r="E83" s="459">
        <f t="shared" si="69"/>
        <v>0</v>
      </c>
      <c r="F83" s="469"/>
      <c r="G83" s="899">
        <v>0</v>
      </c>
      <c r="H83" s="459">
        <v>0</v>
      </c>
      <c r="I83" s="459">
        <f t="shared" si="90"/>
        <v>0</v>
      </c>
      <c r="J83" s="469"/>
      <c r="K83" s="459">
        <v>0</v>
      </c>
      <c r="L83" s="459">
        <v>0</v>
      </c>
      <c r="M83" s="467">
        <f t="shared" si="91"/>
        <v>0</v>
      </c>
      <c r="N83" s="469"/>
      <c r="O83" s="459">
        <v>0</v>
      </c>
      <c r="P83" s="459">
        <v>0</v>
      </c>
      <c r="Q83" s="459">
        <f t="shared" si="92"/>
        <v>0</v>
      </c>
      <c r="R83" s="469"/>
      <c r="S83" s="459">
        <v>0</v>
      </c>
      <c r="T83" s="459">
        <v>0</v>
      </c>
      <c r="U83" s="459">
        <f t="shared" si="93"/>
        <v>0</v>
      </c>
      <c r="V83" s="470"/>
      <c r="W83" s="459">
        <v>0</v>
      </c>
      <c r="X83" s="459">
        <v>0</v>
      </c>
      <c r="Y83" s="974">
        <f t="shared" si="94"/>
        <v>0</v>
      </c>
      <c r="Z83" s="485"/>
      <c r="AA83" s="459">
        <v>0</v>
      </c>
      <c r="AB83" s="459">
        <v>0</v>
      </c>
      <c r="AC83" s="459">
        <f t="shared" si="78"/>
        <v>0</v>
      </c>
      <c r="AD83" s="470"/>
      <c r="AE83" s="468">
        <v>0</v>
      </c>
      <c r="AF83" s="468">
        <v>0</v>
      </c>
      <c r="AG83" s="467">
        <f t="shared" si="80"/>
        <v>0</v>
      </c>
      <c r="AH83" s="470"/>
      <c r="AI83" s="463">
        <v>0</v>
      </c>
      <c r="AJ83" s="463">
        <v>0</v>
      </c>
      <c r="AK83" s="467">
        <f t="shared" si="82"/>
        <v>0</v>
      </c>
      <c r="AL83" s="470"/>
      <c r="AM83" s="463">
        <v>0</v>
      </c>
      <c r="AN83" s="463">
        <v>0</v>
      </c>
      <c r="AO83" s="467">
        <f t="shared" si="84"/>
        <v>0</v>
      </c>
      <c r="AP83" s="470"/>
      <c r="AQ83" s="479">
        <v>0</v>
      </c>
      <c r="AR83" s="468"/>
      <c r="AS83" s="467">
        <f t="shared" si="86"/>
        <v>0</v>
      </c>
      <c r="AT83" s="470"/>
      <c r="AU83" s="479">
        <v>0</v>
      </c>
      <c r="AV83" s="463"/>
      <c r="AW83" s="459">
        <f t="shared" si="88"/>
        <v>0</v>
      </c>
      <c r="AX83" s="470"/>
      <c r="AY83" s="1097">
        <f t="shared" si="70"/>
        <v>0</v>
      </c>
      <c r="AZ83" s="174">
        <f t="shared" si="71"/>
        <v>0</v>
      </c>
      <c r="BA83" s="118"/>
      <c r="BB83" s="805"/>
      <c r="BC83" s="825"/>
    </row>
    <row r="84" spans="1:55" s="119" customFormat="1" ht="18" customHeight="1" x14ac:dyDescent="0.25">
      <c r="A84" s="170">
        <v>12229</v>
      </c>
      <c r="B84" s="332" t="s">
        <v>54</v>
      </c>
      <c r="C84" s="899">
        <v>340000</v>
      </c>
      <c r="D84" s="465">
        <v>403109.99</v>
      </c>
      <c r="E84" s="459">
        <f t="shared" si="69"/>
        <v>63109.989999999991</v>
      </c>
      <c r="F84" s="469">
        <f t="shared" si="72"/>
        <v>18.561761764705874</v>
      </c>
      <c r="G84" s="479">
        <v>340000</v>
      </c>
      <c r="H84" s="459">
        <v>395939.21</v>
      </c>
      <c r="I84" s="459">
        <f t="shared" si="90"/>
        <v>55939.210000000021</v>
      </c>
      <c r="J84" s="469">
        <f t="shared" si="73"/>
        <v>16.452708823529427</v>
      </c>
      <c r="K84" s="479">
        <v>340000</v>
      </c>
      <c r="L84" s="830">
        <v>418583.66</v>
      </c>
      <c r="M84" s="467">
        <f t="shared" si="91"/>
        <v>78583.659999999974</v>
      </c>
      <c r="N84" s="469">
        <f t="shared" si="74"/>
        <v>23.112841176470589</v>
      </c>
      <c r="O84" s="479">
        <v>340000</v>
      </c>
      <c r="P84" s="813">
        <v>426889.94</v>
      </c>
      <c r="Q84" s="459">
        <f t="shared" si="92"/>
        <v>86889.94</v>
      </c>
      <c r="R84" s="469">
        <f t="shared" si="75"/>
        <v>25.555864705882357</v>
      </c>
      <c r="S84" s="479">
        <v>340000</v>
      </c>
      <c r="T84" s="459">
        <v>443819.21</v>
      </c>
      <c r="U84" s="459">
        <f t="shared" si="93"/>
        <v>103819.21000000002</v>
      </c>
      <c r="V84" s="470">
        <f t="shared" si="76"/>
        <v>30.535061764705883</v>
      </c>
      <c r="W84" s="479">
        <v>340000</v>
      </c>
      <c r="X84" s="459">
        <v>425949.88</v>
      </c>
      <c r="Y84" s="974">
        <f t="shared" si="94"/>
        <v>85949.88</v>
      </c>
      <c r="Z84" s="485">
        <f t="shared" si="77"/>
        <v>25.279376470588243</v>
      </c>
      <c r="AA84" s="479">
        <v>340000</v>
      </c>
      <c r="AB84" s="459">
        <v>427660.64</v>
      </c>
      <c r="AC84" s="459">
        <f t="shared" si="78"/>
        <v>87660.640000000014</v>
      </c>
      <c r="AD84" s="470">
        <f t="shared" si="79"/>
        <v>25.782541176470588</v>
      </c>
      <c r="AE84" s="479">
        <v>340000</v>
      </c>
      <c r="AF84" s="468">
        <v>427224.66</v>
      </c>
      <c r="AG84" s="467">
        <f t="shared" si="80"/>
        <v>87224.659999999974</v>
      </c>
      <c r="AH84" s="470">
        <f t="shared" si="81"/>
        <v>25.654311764705874</v>
      </c>
      <c r="AI84" s="479">
        <v>340000</v>
      </c>
      <c r="AJ84" s="463">
        <v>436611.49</v>
      </c>
      <c r="AK84" s="467">
        <f t="shared" si="82"/>
        <v>96611.489999999991</v>
      </c>
      <c r="AL84" s="470">
        <f t="shared" si="83"/>
        <v>28.415144117647053</v>
      </c>
      <c r="AM84" s="479">
        <v>340000</v>
      </c>
      <c r="AN84" s="463">
        <v>426428.66</v>
      </c>
      <c r="AO84" s="467">
        <f t="shared" si="84"/>
        <v>86428.659999999974</v>
      </c>
      <c r="AP84" s="470">
        <f t="shared" si="85"/>
        <v>25.420194117647043</v>
      </c>
      <c r="AQ84" s="479">
        <v>340000</v>
      </c>
      <c r="AR84" s="468"/>
      <c r="AS84" s="467">
        <f t="shared" si="86"/>
        <v>-340000</v>
      </c>
      <c r="AT84" s="470">
        <f t="shared" si="87"/>
        <v>-100</v>
      </c>
      <c r="AU84" s="479">
        <v>340000</v>
      </c>
      <c r="AV84" s="463"/>
      <c r="AW84" s="459">
        <f t="shared" si="88"/>
        <v>-340000</v>
      </c>
      <c r="AX84" s="470">
        <f t="shared" si="89"/>
        <v>-100</v>
      </c>
      <c r="AY84" s="1097">
        <f t="shared" si="70"/>
        <v>4080000</v>
      </c>
      <c r="AZ84" s="174">
        <f t="shared" si="71"/>
        <v>4232217.34</v>
      </c>
      <c r="BA84" s="118"/>
      <c r="BB84" s="805"/>
      <c r="BC84" s="825"/>
    </row>
    <row r="85" spans="1:55" s="119" customFormat="1" ht="18" customHeight="1" x14ac:dyDescent="0.25">
      <c r="A85" s="170">
        <v>12230</v>
      </c>
      <c r="B85" s="332" t="s">
        <v>184</v>
      </c>
      <c r="C85" s="899">
        <v>20000</v>
      </c>
      <c r="D85" s="465">
        <v>17589.95</v>
      </c>
      <c r="E85" s="459">
        <f t="shared" si="69"/>
        <v>-2410.0499999999993</v>
      </c>
      <c r="F85" s="469">
        <f t="shared" si="72"/>
        <v>-12.050249999999995</v>
      </c>
      <c r="G85" s="479">
        <v>20000</v>
      </c>
      <c r="H85" s="459">
        <v>20585.759999999998</v>
      </c>
      <c r="I85" s="459">
        <f t="shared" si="90"/>
        <v>585.7599999999984</v>
      </c>
      <c r="J85" s="469">
        <f t="shared" si="73"/>
        <v>2.9287999999999981</v>
      </c>
      <c r="K85" s="479">
        <v>20000</v>
      </c>
      <c r="L85" s="830">
        <v>19440.62</v>
      </c>
      <c r="M85" s="467">
        <f t="shared" si="91"/>
        <v>-559.38000000000102</v>
      </c>
      <c r="N85" s="469">
        <f t="shared" si="74"/>
        <v>-2.7969000000000022</v>
      </c>
      <c r="O85" s="479">
        <v>20000</v>
      </c>
      <c r="P85" s="813">
        <v>20197.560000000001</v>
      </c>
      <c r="Q85" s="459">
        <f t="shared" si="92"/>
        <v>197.56000000000131</v>
      </c>
      <c r="R85" s="469">
        <f t="shared" si="75"/>
        <v>0.98780000000000534</v>
      </c>
      <c r="S85" s="479">
        <v>20000</v>
      </c>
      <c r="T85" s="459">
        <v>18420.59</v>
      </c>
      <c r="U85" s="459">
        <f t="shared" si="93"/>
        <v>-1579.4099999999999</v>
      </c>
      <c r="V85" s="470">
        <f t="shared" si="76"/>
        <v>-7.8970499999999948</v>
      </c>
      <c r="W85" s="479">
        <v>20000</v>
      </c>
      <c r="X85" s="459">
        <v>18156.189999999999</v>
      </c>
      <c r="Y85" s="974">
        <f t="shared" si="94"/>
        <v>-1843.8100000000013</v>
      </c>
      <c r="Z85" s="485">
        <f t="shared" si="77"/>
        <v>-9.2190500000000064</v>
      </c>
      <c r="AA85" s="479">
        <v>20000</v>
      </c>
      <c r="AB85" s="459">
        <v>18567.349999999999</v>
      </c>
      <c r="AC85" s="459">
        <f t="shared" si="78"/>
        <v>-1432.6500000000015</v>
      </c>
      <c r="AD85" s="470">
        <f t="shared" si="79"/>
        <v>-7.1632500000000103</v>
      </c>
      <c r="AE85" s="479">
        <v>20000</v>
      </c>
      <c r="AF85" s="468">
        <v>17762.75</v>
      </c>
      <c r="AG85" s="467">
        <f t="shared" si="80"/>
        <v>-2237.25</v>
      </c>
      <c r="AH85" s="470">
        <f t="shared" si="81"/>
        <v>-11.186249999999998</v>
      </c>
      <c r="AI85" s="479">
        <v>20000</v>
      </c>
      <c r="AJ85" s="463">
        <v>18952.009999999998</v>
      </c>
      <c r="AK85" s="467">
        <f t="shared" si="82"/>
        <v>-1047.9900000000016</v>
      </c>
      <c r="AL85" s="470">
        <f t="shared" si="83"/>
        <v>-5.2399500000000039</v>
      </c>
      <c r="AM85" s="479">
        <v>20000</v>
      </c>
      <c r="AN85" s="463">
        <v>19305.21</v>
      </c>
      <c r="AO85" s="467">
        <f t="shared" si="84"/>
        <v>-694.79000000000087</v>
      </c>
      <c r="AP85" s="470">
        <f t="shared" si="85"/>
        <v>-3.4739500000000034</v>
      </c>
      <c r="AQ85" s="479">
        <v>20000</v>
      </c>
      <c r="AR85" s="468"/>
      <c r="AS85" s="467">
        <f t="shared" si="86"/>
        <v>-20000</v>
      </c>
      <c r="AT85" s="470">
        <f t="shared" si="87"/>
        <v>-100</v>
      </c>
      <c r="AU85" s="479">
        <v>20000</v>
      </c>
      <c r="AV85" s="463"/>
      <c r="AW85" s="459">
        <f t="shared" si="88"/>
        <v>-20000</v>
      </c>
      <c r="AX85" s="470">
        <f t="shared" si="89"/>
        <v>-100</v>
      </c>
      <c r="AY85" s="1097">
        <f t="shared" si="70"/>
        <v>240000</v>
      </c>
      <c r="AZ85" s="571">
        <f t="shared" si="71"/>
        <v>188977.99</v>
      </c>
      <c r="BA85" s="118"/>
      <c r="BB85" s="805"/>
      <c r="BC85" s="804"/>
    </row>
    <row r="86" spans="1:55" s="119" customFormat="1" ht="18" customHeight="1" x14ac:dyDescent="0.25">
      <c r="A86" s="170">
        <v>12231</v>
      </c>
      <c r="B86" s="332" t="s">
        <v>185</v>
      </c>
      <c r="C86" s="899">
        <v>40000</v>
      </c>
      <c r="D86" s="465">
        <v>35099.46</v>
      </c>
      <c r="E86" s="459">
        <f t="shared" si="69"/>
        <v>-4900.5400000000009</v>
      </c>
      <c r="F86" s="469">
        <f t="shared" si="72"/>
        <v>-12.251350000000006</v>
      </c>
      <c r="G86" s="479">
        <v>40000</v>
      </c>
      <c r="H86" s="459">
        <v>34281.18</v>
      </c>
      <c r="I86" s="459">
        <f t="shared" si="90"/>
        <v>-5718.82</v>
      </c>
      <c r="J86" s="469">
        <f t="shared" si="73"/>
        <v>-14.29705</v>
      </c>
      <c r="K86" s="479">
        <v>40000</v>
      </c>
      <c r="L86" s="830">
        <v>34473.86</v>
      </c>
      <c r="M86" s="467">
        <f t="shared" si="91"/>
        <v>-5526.1399999999994</v>
      </c>
      <c r="N86" s="469">
        <f t="shared" si="74"/>
        <v>-13.815350000000004</v>
      </c>
      <c r="O86" s="479">
        <v>40000</v>
      </c>
      <c r="P86" s="813">
        <v>31614.01</v>
      </c>
      <c r="Q86" s="459">
        <f t="shared" si="92"/>
        <v>-8385.9900000000016</v>
      </c>
      <c r="R86" s="469">
        <f t="shared" si="75"/>
        <v>-20.96497500000001</v>
      </c>
      <c r="S86" s="479">
        <v>40000</v>
      </c>
      <c r="T86" s="459">
        <v>36064.57</v>
      </c>
      <c r="U86" s="459">
        <f t="shared" si="93"/>
        <v>-3935.4300000000003</v>
      </c>
      <c r="V86" s="470">
        <f t="shared" si="76"/>
        <v>-9.8385750000000058</v>
      </c>
      <c r="W86" s="479">
        <v>40000</v>
      </c>
      <c r="X86" s="459">
        <v>43500.05</v>
      </c>
      <c r="Y86" s="974">
        <f t="shared" si="94"/>
        <v>3500.0500000000029</v>
      </c>
      <c r="Z86" s="485">
        <f t="shared" si="77"/>
        <v>8.7501250000000077</v>
      </c>
      <c r="AA86" s="479">
        <v>40000</v>
      </c>
      <c r="AB86" s="459">
        <v>32534.41</v>
      </c>
      <c r="AC86" s="459">
        <f t="shared" si="78"/>
        <v>-7465.59</v>
      </c>
      <c r="AD86" s="470">
        <f t="shared" si="79"/>
        <v>-18.663975000000001</v>
      </c>
      <c r="AE86" s="479">
        <v>40000</v>
      </c>
      <c r="AF86" s="468">
        <v>30522.11</v>
      </c>
      <c r="AG86" s="467">
        <f t="shared" si="80"/>
        <v>-9477.89</v>
      </c>
      <c r="AH86" s="470">
        <f t="shared" si="81"/>
        <v>-23.694724999999995</v>
      </c>
      <c r="AI86" s="479">
        <v>40000</v>
      </c>
      <c r="AJ86" s="463">
        <v>30051.61</v>
      </c>
      <c r="AK86" s="467">
        <f t="shared" si="82"/>
        <v>-9948.39</v>
      </c>
      <c r="AL86" s="470">
        <f t="shared" si="83"/>
        <v>-24.870974999999994</v>
      </c>
      <c r="AM86" s="479">
        <v>40000</v>
      </c>
      <c r="AN86" s="463">
        <v>31584.959999999999</v>
      </c>
      <c r="AO86" s="467">
        <f t="shared" si="84"/>
        <v>-8415.0400000000009</v>
      </c>
      <c r="AP86" s="470">
        <f t="shared" si="85"/>
        <v>-21.037600000000001</v>
      </c>
      <c r="AQ86" s="479">
        <v>40000</v>
      </c>
      <c r="AR86" s="468"/>
      <c r="AS86" s="467">
        <f t="shared" si="86"/>
        <v>-40000</v>
      </c>
      <c r="AT86" s="470">
        <f t="shared" si="87"/>
        <v>-100</v>
      </c>
      <c r="AU86" s="479">
        <v>40000</v>
      </c>
      <c r="AV86" s="463"/>
      <c r="AW86" s="459">
        <f t="shared" si="88"/>
        <v>-40000</v>
      </c>
      <c r="AX86" s="470">
        <f t="shared" si="89"/>
        <v>-100</v>
      </c>
      <c r="AY86" s="1097">
        <f t="shared" si="70"/>
        <v>480000</v>
      </c>
      <c r="AZ86" s="174">
        <f t="shared" si="71"/>
        <v>339726.22000000003</v>
      </c>
      <c r="BA86" s="118"/>
      <c r="BB86" s="805"/>
      <c r="BC86" s="804"/>
    </row>
    <row r="87" spans="1:55" s="119" customFormat="1" ht="18" customHeight="1" x14ac:dyDescent="0.25">
      <c r="A87" s="170">
        <v>51010</v>
      </c>
      <c r="B87" s="332" t="s">
        <v>186</v>
      </c>
      <c r="C87" s="899">
        <v>150000</v>
      </c>
      <c r="D87" s="465">
        <v>109777</v>
      </c>
      <c r="E87" s="459">
        <f t="shared" si="69"/>
        <v>-40223</v>
      </c>
      <c r="F87" s="469">
        <f t="shared" si="72"/>
        <v>-26.815333333333335</v>
      </c>
      <c r="G87" s="479">
        <v>150000</v>
      </c>
      <c r="H87" s="459">
        <v>97901.94</v>
      </c>
      <c r="I87" s="459">
        <f t="shared" si="90"/>
        <v>-52098.06</v>
      </c>
      <c r="J87" s="469">
        <f t="shared" si="73"/>
        <v>-34.732039999999998</v>
      </c>
      <c r="K87" s="479">
        <v>150000</v>
      </c>
      <c r="L87" s="830">
        <v>108441</v>
      </c>
      <c r="M87" s="467">
        <f t="shared" si="91"/>
        <v>-41559</v>
      </c>
      <c r="N87" s="469">
        <f t="shared" si="74"/>
        <v>-27.705999999999996</v>
      </c>
      <c r="O87" s="479">
        <v>150000</v>
      </c>
      <c r="P87" s="813">
        <v>104256</v>
      </c>
      <c r="Q87" s="459">
        <f t="shared" si="92"/>
        <v>-45744</v>
      </c>
      <c r="R87" s="469">
        <f t="shared" si="75"/>
        <v>-30.496000000000002</v>
      </c>
      <c r="S87" s="479">
        <v>150000</v>
      </c>
      <c r="T87" s="459">
        <v>108935</v>
      </c>
      <c r="U87" s="459">
        <f t="shared" si="93"/>
        <v>-41065</v>
      </c>
      <c r="V87" s="470">
        <f t="shared" si="76"/>
        <v>-27.376666666666672</v>
      </c>
      <c r="W87" s="479">
        <v>150000</v>
      </c>
      <c r="X87" s="459">
        <v>104620</v>
      </c>
      <c r="Y87" s="974">
        <f t="shared" si="94"/>
        <v>-45380</v>
      </c>
      <c r="Z87" s="485">
        <f t="shared" si="77"/>
        <v>-30.25333333333333</v>
      </c>
      <c r="AA87" s="479">
        <v>150000</v>
      </c>
      <c r="AB87" s="459">
        <v>106825</v>
      </c>
      <c r="AC87" s="459">
        <f t="shared" si="78"/>
        <v>-43175</v>
      </c>
      <c r="AD87" s="470">
        <f t="shared" si="79"/>
        <v>-28.783333333333339</v>
      </c>
      <c r="AE87" s="479">
        <v>150000</v>
      </c>
      <c r="AF87" s="468">
        <v>133485</v>
      </c>
      <c r="AG87" s="467">
        <f t="shared" si="80"/>
        <v>-16515</v>
      </c>
      <c r="AH87" s="470">
        <f t="shared" si="81"/>
        <v>-11.009999999999998</v>
      </c>
      <c r="AI87" s="479">
        <v>150000</v>
      </c>
      <c r="AJ87" s="463">
        <v>166147</v>
      </c>
      <c r="AK87" s="467">
        <f t="shared" si="82"/>
        <v>16147</v>
      </c>
      <c r="AL87" s="470">
        <f t="shared" si="83"/>
        <v>10.764666666666667</v>
      </c>
      <c r="AM87" s="479">
        <v>150000</v>
      </c>
      <c r="AN87" s="463">
        <v>155565</v>
      </c>
      <c r="AO87" s="467">
        <f t="shared" si="84"/>
        <v>5565</v>
      </c>
      <c r="AP87" s="470">
        <f t="shared" si="85"/>
        <v>3.7099999999999911</v>
      </c>
      <c r="AQ87" s="479">
        <v>150000</v>
      </c>
      <c r="AR87" s="468"/>
      <c r="AS87" s="467">
        <f t="shared" si="86"/>
        <v>-150000</v>
      </c>
      <c r="AT87" s="470">
        <f t="shared" si="87"/>
        <v>-100</v>
      </c>
      <c r="AU87" s="479">
        <v>150000</v>
      </c>
      <c r="AV87" s="463"/>
      <c r="AW87" s="459">
        <f t="shared" si="88"/>
        <v>-150000</v>
      </c>
      <c r="AX87" s="470">
        <f t="shared" si="89"/>
        <v>-100</v>
      </c>
      <c r="AY87" s="1097">
        <f t="shared" si="70"/>
        <v>1800000</v>
      </c>
      <c r="AZ87" s="174">
        <f t="shared" si="71"/>
        <v>1195952.94</v>
      </c>
      <c r="BA87" s="118"/>
      <c r="BB87" s="805"/>
      <c r="BC87" s="804"/>
    </row>
    <row r="88" spans="1:55" s="119" customFormat="1" ht="18" customHeight="1" x14ac:dyDescent="0.25">
      <c r="A88" s="170">
        <v>51011</v>
      </c>
      <c r="B88" s="332" t="s">
        <v>187</v>
      </c>
      <c r="C88" s="899">
        <v>290000</v>
      </c>
      <c r="D88" s="465">
        <v>297620</v>
      </c>
      <c r="E88" s="459">
        <f t="shared" si="69"/>
        <v>7620</v>
      </c>
      <c r="F88" s="469">
        <f t="shared" si="72"/>
        <v>2.6275862068965594</v>
      </c>
      <c r="G88" s="479">
        <v>290000</v>
      </c>
      <c r="H88" s="459">
        <v>264990</v>
      </c>
      <c r="I88" s="459">
        <f t="shared" si="90"/>
        <v>-25010</v>
      </c>
      <c r="J88" s="469">
        <f t="shared" si="73"/>
        <v>-8.6241379310344808</v>
      </c>
      <c r="K88" s="479">
        <v>290000</v>
      </c>
      <c r="L88" s="830">
        <v>292550</v>
      </c>
      <c r="M88" s="467">
        <f t="shared" si="91"/>
        <v>2550</v>
      </c>
      <c r="N88" s="469">
        <f t="shared" si="74"/>
        <v>0.87931034482757742</v>
      </c>
      <c r="O88" s="479">
        <v>290000</v>
      </c>
      <c r="P88" s="813">
        <v>284230</v>
      </c>
      <c r="Q88" s="459">
        <f t="shared" si="92"/>
        <v>-5770</v>
      </c>
      <c r="R88" s="469">
        <f t="shared" si="75"/>
        <v>-1.9896551724137956</v>
      </c>
      <c r="S88" s="479">
        <v>290000</v>
      </c>
      <c r="T88" s="459">
        <v>291770</v>
      </c>
      <c r="U88" s="459">
        <f t="shared" si="93"/>
        <v>1770</v>
      </c>
      <c r="V88" s="470">
        <f t="shared" si="76"/>
        <v>0.61034482758621778</v>
      </c>
      <c r="W88" s="479">
        <v>290000</v>
      </c>
      <c r="X88" s="459">
        <v>282280</v>
      </c>
      <c r="Y88" s="974">
        <f t="shared" si="94"/>
        <v>-7720</v>
      </c>
      <c r="Z88" s="485">
        <f t="shared" si="77"/>
        <v>-2.6620689655172391</v>
      </c>
      <c r="AA88" s="479">
        <v>290000</v>
      </c>
      <c r="AB88" s="459">
        <v>292160</v>
      </c>
      <c r="AC88" s="459">
        <f t="shared" si="78"/>
        <v>2160</v>
      </c>
      <c r="AD88" s="470">
        <f t="shared" si="79"/>
        <v>0.74482758620688649</v>
      </c>
      <c r="AE88" s="479">
        <v>290000</v>
      </c>
      <c r="AF88" s="468">
        <v>290210</v>
      </c>
      <c r="AG88" s="467">
        <f t="shared" si="80"/>
        <v>210</v>
      </c>
      <c r="AH88" s="470">
        <f t="shared" si="81"/>
        <v>7.2413793103454083E-2</v>
      </c>
      <c r="AI88" s="479">
        <v>290000</v>
      </c>
      <c r="AJ88" s="463">
        <v>282930</v>
      </c>
      <c r="AK88" s="467">
        <f t="shared" si="82"/>
        <v>-7070</v>
      </c>
      <c r="AL88" s="470">
        <f t="shared" si="83"/>
        <v>-2.4379310344827543</v>
      </c>
      <c r="AM88" s="479">
        <v>290000</v>
      </c>
      <c r="AN88" s="463">
        <v>289820</v>
      </c>
      <c r="AO88" s="467">
        <f t="shared" si="84"/>
        <v>-180</v>
      </c>
      <c r="AP88" s="470">
        <f t="shared" si="85"/>
        <v>-6.206896551723684E-2</v>
      </c>
      <c r="AQ88" s="479">
        <v>290000</v>
      </c>
      <c r="AR88" s="468"/>
      <c r="AS88" s="467">
        <f t="shared" si="86"/>
        <v>-290000</v>
      </c>
      <c r="AT88" s="470">
        <f t="shared" si="87"/>
        <v>-100</v>
      </c>
      <c r="AU88" s="479">
        <v>290000</v>
      </c>
      <c r="AV88" s="463"/>
      <c r="AW88" s="459">
        <f t="shared" si="88"/>
        <v>-290000</v>
      </c>
      <c r="AX88" s="470">
        <f t="shared" si="89"/>
        <v>-100</v>
      </c>
      <c r="AY88" s="1097">
        <f t="shared" si="70"/>
        <v>3480000</v>
      </c>
      <c r="AZ88" s="174">
        <f t="shared" si="71"/>
        <v>2868560</v>
      </c>
      <c r="BA88" s="118"/>
      <c r="BB88" s="805"/>
      <c r="BC88" s="804"/>
    </row>
    <row r="89" spans="1:55" s="119" customFormat="1" ht="18" customHeight="1" x14ac:dyDescent="0.25">
      <c r="A89" s="170">
        <v>51012</v>
      </c>
      <c r="B89" s="332" t="s">
        <v>55</v>
      </c>
      <c r="C89" s="899">
        <v>280000</v>
      </c>
      <c r="D89" s="465">
        <v>299212.94</v>
      </c>
      <c r="E89" s="459">
        <f t="shared" si="69"/>
        <v>19212.940000000002</v>
      </c>
      <c r="F89" s="469">
        <f t="shared" si="72"/>
        <v>6.861764285714278</v>
      </c>
      <c r="G89" s="479">
        <v>280000</v>
      </c>
      <c r="H89" s="459">
        <v>401244.28</v>
      </c>
      <c r="I89" s="459">
        <f t="shared" si="90"/>
        <v>121244.28000000003</v>
      </c>
      <c r="J89" s="469">
        <f t="shared" si="73"/>
        <v>43.30152857142857</v>
      </c>
      <c r="K89" s="479">
        <v>280000</v>
      </c>
      <c r="L89" s="830">
        <v>364507.75</v>
      </c>
      <c r="M89" s="467">
        <f t="shared" si="91"/>
        <v>84507.75</v>
      </c>
      <c r="N89" s="469">
        <f t="shared" si="74"/>
        <v>30.181339285714294</v>
      </c>
      <c r="O89" s="479">
        <v>280000</v>
      </c>
      <c r="P89" s="813">
        <v>349365.46</v>
      </c>
      <c r="Q89" s="459">
        <f t="shared" si="92"/>
        <v>69365.460000000021</v>
      </c>
      <c r="R89" s="469">
        <f t="shared" si="75"/>
        <v>24.773378571428584</v>
      </c>
      <c r="S89" s="479">
        <v>280000</v>
      </c>
      <c r="T89" s="459">
        <v>378112.26</v>
      </c>
      <c r="U89" s="459">
        <f t="shared" si="93"/>
        <v>98112.260000000009</v>
      </c>
      <c r="V89" s="470">
        <f t="shared" si="76"/>
        <v>35.040092857142866</v>
      </c>
      <c r="W89" s="479">
        <v>280000</v>
      </c>
      <c r="X89" s="459">
        <v>368022.8</v>
      </c>
      <c r="Y89" s="974">
        <f t="shared" si="94"/>
        <v>88022.799999999988</v>
      </c>
      <c r="Z89" s="485">
        <f t="shared" si="77"/>
        <v>31.436714285714285</v>
      </c>
      <c r="AA89" s="479">
        <v>280000</v>
      </c>
      <c r="AB89" s="459">
        <v>368022.8</v>
      </c>
      <c r="AC89" s="459">
        <f t="shared" si="78"/>
        <v>88022.799999999988</v>
      </c>
      <c r="AD89" s="470">
        <f t="shared" si="79"/>
        <v>31.436714285714285</v>
      </c>
      <c r="AE89" s="479">
        <v>280000</v>
      </c>
      <c r="AF89" s="468">
        <v>389888.4</v>
      </c>
      <c r="AG89" s="467">
        <f t="shared" si="80"/>
        <v>109888.40000000002</v>
      </c>
      <c r="AH89" s="470">
        <f t="shared" si="81"/>
        <v>39.245857142857155</v>
      </c>
      <c r="AI89" s="479">
        <v>280000</v>
      </c>
      <c r="AJ89" s="463">
        <v>366405.6</v>
      </c>
      <c r="AK89" s="467">
        <f t="shared" si="82"/>
        <v>86405.599999999977</v>
      </c>
      <c r="AL89" s="470">
        <f t="shared" si="83"/>
        <v>30.859142857142842</v>
      </c>
      <c r="AM89" s="479">
        <v>280000</v>
      </c>
      <c r="AN89" s="463">
        <v>376552</v>
      </c>
      <c r="AO89" s="467">
        <f t="shared" si="84"/>
        <v>96552</v>
      </c>
      <c r="AP89" s="470">
        <f t="shared" si="85"/>
        <v>34.482857142857149</v>
      </c>
      <c r="AQ89" s="479">
        <v>280000</v>
      </c>
      <c r="AR89" s="468"/>
      <c r="AS89" s="467">
        <f t="shared" si="86"/>
        <v>-280000</v>
      </c>
      <c r="AT89" s="470">
        <f t="shared" si="87"/>
        <v>-100</v>
      </c>
      <c r="AU89" s="479">
        <v>280000</v>
      </c>
      <c r="AV89" s="463"/>
      <c r="AW89" s="459">
        <f t="shared" si="88"/>
        <v>-280000</v>
      </c>
      <c r="AX89" s="470">
        <f t="shared" si="89"/>
        <v>-100</v>
      </c>
      <c r="AY89" s="1097">
        <f t="shared" si="70"/>
        <v>3360000</v>
      </c>
      <c r="AZ89" s="571">
        <f t="shared" si="71"/>
        <v>3661334.2899999996</v>
      </c>
      <c r="BA89" s="118"/>
      <c r="BB89" s="805"/>
      <c r="BC89" s="804"/>
    </row>
    <row r="90" spans="1:55" s="119" customFormat="1" ht="18" customHeight="1" x14ac:dyDescent="0.25">
      <c r="A90" s="170">
        <v>51013</v>
      </c>
      <c r="B90" s="332" t="s">
        <v>56</v>
      </c>
      <c r="C90" s="899">
        <v>8000</v>
      </c>
      <c r="D90" s="465">
        <v>7100</v>
      </c>
      <c r="E90" s="459">
        <f t="shared" si="69"/>
        <v>-900</v>
      </c>
      <c r="F90" s="469">
        <f t="shared" si="72"/>
        <v>-11.250000000000004</v>
      </c>
      <c r="G90" s="479">
        <v>8000</v>
      </c>
      <c r="H90" s="459">
        <v>6700</v>
      </c>
      <c r="I90" s="459">
        <f t="shared" si="90"/>
        <v>-1300</v>
      </c>
      <c r="J90" s="469">
        <f t="shared" si="73"/>
        <v>-16.249999999999996</v>
      </c>
      <c r="K90" s="479">
        <v>8000</v>
      </c>
      <c r="L90" s="830">
        <v>7500</v>
      </c>
      <c r="M90" s="467">
        <f t="shared" si="91"/>
        <v>-500</v>
      </c>
      <c r="N90" s="469">
        <f t="shared" si="74"/>
        <v>-6.25</v>
      </c>
      <c r="O90" s="479">
        <v>8000</v>
      </c>
      <c r="P90" s="813">
        <v>6900</v>
      </c>
      <c r="Q90" s="459">
        <f t="shared" si="92"/>
        <v>-1100</v>
      </c>
      <c r="R90" s="469">
        <f t="shared" si="75"/>
        <v>-13.749999999999996</v>
      </c>
      <c r="S90" s="479">
        <v>8000</v>
      </c>
      <c r="T90" s="459">
        <v>8273.35</v>
      </c>
      <c r="U90" s="459">
        <f t="shared" si="93"/>
        <v>273.35000000000036</v>
      </c>
      <c r="V90" s="470">
        <f t="shared" si="76"/>
        <v>3.4168750000000081</v>
      </c>
      <c r="W90" s="479">
        <v>8000</v>
      </c>
      <c r="X90" s="459">
        <v>7824.45</v>
      </c>
      <c r="Y90" s="974">
        <f t="shared" si="94"/>
        <v>-175.55000000000018</v>
      </c>
      <c r="Z90" s="485">
        <f t="shared" si="77"/>
        <v>-2.194375000000004</v>
      </c>
      <c r="AA90" s="479">
        <v>8000</v>
      </c>
      <c r="AB90" s="459">
        <v>7424.45</v>
      </c>
      <c r="AC90" s="459">
        <f t="shared" si="78"/>
        <v>-575.55000000000018</v>
      </c>
      <c r="AD90" s="470">
        <f t="shared" si="79"/>
        <v>-7.1943749999999973</v>
      </c>
      <c r="AE90" s="479">
        <v>8000</v>
      </c>
      <c r="AF90" s="468">
        <v>7824.45</v>
      </c>
      <c r="AG90" s="467">
        <f t="shared" si="80"/>
        <v>-175.55000000000018</v>
      </c>
      <c r="AH90" s="470">
        <f t="shared" si="81"/>
        <v>-2.194375000000004</v>
      </c>
      <c r="AI90" s="479">
        <v>8000</v>
      </c>
      <c r="AJ90" s="463">
        <v>7624.45</v>
      </c>
      <c r="AK90" s="467">
        <f t="shared" si="82"/>
        <v>-375.55000000000018</v>
      </c>
      <c r="AL90" s="470">
        <f t="shared" si="83"/>
        <v>-4.6943750000000062</v>
      </c>
      <c r="AM90" s="479">
        <v>8000</v>
      </c>
      <c r="AN90" s="463">
        <v>7224.45</v>
      </c>
      <c r="AO90" s="467">
        <f t="shared" si="84"/>
        <v>-775.55000000000018</v>
      </c>
      <c r="AP90" s="470">
        <f t="shared" si="85"/>
        <v>-9.6943749999999991</v>
      </c>
      <c r="AQ90" s="479">
        <v>8000</v>
      </c>
      <c r="AR90" s="468"/>
      <c r="AS90" s="467">
        <f t="shared" si="86"/>
        <v>-8000</v>
      </c>
      <c r="AT90" s="470">
        <f t="shared" si="87"/>
        <v>-100</v>
      </c>
      <c r="AU90" s="479">
        <v>8000</v>
      </c>
      <c r="AV90" s="463"/>
      <c r="AW90" s="459">
        <f t="shared" si="88"/>
        <v>-8000</v>
      </c>
      <c r="AX90" s="470">
        <f t="shared" si="89"/>
        <v>-100</v>
      </c>
      <c r="AY90" s="1097">
        <f t="shared" si="70"/>
        <v>96000</v>
      </c>
      <c r="AZ90" s="174">
        <f t="shared" si="71"/>
        <v>74395.599999999991</v>
      </c>
      <c r="BA90" s="118"/>
      <c r="BB90" s="805"/>
      <c r="BC90" s="804"/>
    </row>
    <row r="91" spans="1:55" s="119" customFormat="1" ht="18" customHeight="1" x14ac:dyDescent="0.25">
      <c r="A91" s="170">
        <v>51014</v>
      </c>
      <c r="B91" s="332" t="s">
        <v>57</v>
      </c>
      <c r="C91" s="899">
        <v>220000</v>
      </c>
      <c r="D91" s="465">
        <v>224985.14</v>
      </c>
      <c r="E91" s="459">
        <f t="shared" si="69"/>
        <v>4985.140000000014</v>
      </c>
      <c r="F91" s="469">
        <f t="shared" si="72"/>
        <v>2.2659727272727359</v>
      </c>
      <c r="G91" s="479">
        <v>220000</v>
      </c>
      <c r="H91" s="459">
        <v>229243.21</v>
      </c>
      <c r="I91" s="459">
        <f t="shared" si="90"/>
        <v>9243.2099999999919</v>
      </c>
      <c r="J91" s="469">
        <f t="shared" si="73"/>
        <v>4.2014590909090765</v>
      </c>
      <c r="K91" s="479">
        <v>220000</v>
      </c>
      <c r="L91" s="830">
        <v>227243.23</v>
      </c>
      <c r="M91" s="467">
        <f t="shared" si="91"/>
        <v>7243.2300000000105</v>
      </c>
      <c r="N91" s="469">
        <f t="shared" si="74"/>
        <v>3.2923772727272871</v>
      </c>
      <c r="O91" s="479">
        <v>220000</v>
      </c>
      <c r="P91" s="813">
        <v>228743.19</v>
      </c>
      <c r="Q91" s="459">
        <f t="shared" si="92"/>
        <v>8743.1900000000023</v>
      </c>
      <c r="R91" s="469">
        <f t="shared" si="75"/>
        <v>3.974177272727264</v>
      </c>
      <c r="S91" s="479">
        <v>220000</v>
      </c>
      <c r="T91" s="459">
        <v>228743.23</v>
      </c>
      <c r="U91" s="459">
        <f t="shared" si="93"/>
        <v>8743.2300000000105</v>
      </c>
      <c r="V91" s="470">
        <f t="shared" si="76"/>
        <v>3.9741954545454483</v>
      </c>
      <c r="W91" s="479">
        <v>220000</v>
      </c>
      <c r="X91" s="459">
        <v>228743.19</v>
      </c>
      <c r="Y91" s="974">
        <f t="shared" si="94"/>
        <v>8743.1900000000023</v>
      </c>
      <c r="Z91" s="485">
        <f t="shared" si="77"/>
        <v>3.974177272727264</v>
      </c>
      <c r="AA91" s="479">
        <v>220000</v>
      </c>
      <c r="AB91" s="459">
        <v>228743.22</v>
      </c>
      <c r="AC91" s="459">
        <f t="shared" si="78"/>
        <v>8743.2200000000012</v>
      </c>
      <c r="AD91" s="470">
        <f t="shared" si="79"/>
        <v>3.9741909090909022</v>
      </c>
      <c r="AE91" s="479">
        <v>220000</v>
      </c>
      <c r="AF91" s="468">
        <v>228743.21</v>
      </c>
      <c r="AG91" s="467">
        <f t="shared" si="80"/>
        <v>8743.2099999999919</v>
      </c>
      <c r="AH91" s="470">
        <f t="shared" si="81"/>
        <v>3.9741863636363561</v>
      </c>
      <c r="AI91" s="479">
        <v>220000</v>
      </c>
      <c r="AJ91" s="463">
        <v>228743.23</v>
      </c>
      <c r="AK91" s="467">
        <f t="shared" si="82"/>
        <v>8743.2300000000105</v>
      </c>
      <c r="AL91" s="470">
        <f t="shared" si="83"/>
        <v>3.9741954545454483</v>
      </c>
      <c r="AM91" s="479">
        <v>220000</v>
      </c>
      <c r="AN91" s="463">
        <v>228753.71</v>
      </c>
      <c r="AO91" s="467">
        <f t="shared" si="84"/>
        <v>8753.7099999999919</v>
      </c>
      <c r="AP91" s="470">
        <f t="shared" si="85"/>
        <v>3.9789590909090844</v>
      </c>
      <c r="AQ91" s="479">
        <v>220000</v>
      </c>
      <c r="AR91" s="468"/>
      <c r="AS91" s="467">
        <f t="shared" si="86"/>
        <v>-220000</v>
      </c>
      <c r="AT91" s="470">
        <f t="shared" si="87"/>
        <v>-100</v>
      </c>
      <c r="AU91" s="479">
        <v>220000</v>
      </c>
      <c r="AV91" s="463"/>
      <c r="AW91" s="459">
        <f t="shared" si="88"/>
        <v>-220000</v>
      </c>
      <c r="AX91" s="470">
        <f t="shared" si="89"/>
        <v>-100</v>
      </c>
      <c r="AY91" s="1097">
        <f t="shared" si="70"/>
        <v>2640000</v>
      </c>
      <c r="AZ91" s="174">
        <f t="shared" si="71"/>
        <v>2282684.56</v>
      </c>
      <c r="BA91" s="118"/>
      <c r="BB91" s="805"/>
      <c r="BC91" s="804"/>
    </row>
    <row r="92" spans="1:55" s="119" customFormat="1" ht="18" customHeight="1" x14ac:dyDescent="0.25">
      <c r="A92" s="170">
        <v>51019</v>
      </c>
      <c r="B92" s="332" t="s">
        <v>188</v>
      </c>
      <c r="C92" s="899">
        <v>160000</v>
      </c>
      <c r="D92" s="465">
        <v>175738.37</v>
      </c>
      <c r="E92" s="459">
        <f t="shared" si="69"/>
        <v>15738.369999999995</v>
      </c>
      <c r="F92" s="469">
        <f t="shared" si="72"/>
        <v>9.8364812500000056</v>
      </c>
      <c r="G92" s="479">
        <v>160000</v>
      </c>
      <c r="H92" s="459">
        <v>180287.81</v>
      </c>
      <c r="I92" s="459">
        <f t="shared" si="90"/>
        <v>20287.809999999998</v>
      </c>
      <c r="J92" s="469">
        <f t="shared" si="73"/>
        <v>12.67988124999999</v>
      </c>
      <c r="K92" s="479">
        <v>160000</v>
      </c>
      <c r="L92" s="830">
        <v>180287.81</v>
      </c>
      <c r="M92" s="467">
        <f t="shared" si="91"/>
        <v>20287.809999999998</v>
      </c>
      <c r="N92" s="469">
        <f t="shared" si="74"/>
        <v>12.67988124999999</v>
      </c>
      <c r="O92" s="479">
        <v>160000</v>
      </c>
      <c r="P92" s="813">
        <v>156565.73000000001</v>
      </c>
      <c r="Q92" s="459">
        <f t="shared" si="92"/>
        <v>-3434.2699999999895</v>
      </c>
      <c r="R92" s="469">
        <f t="shared" si="75"/>
        <v>-2.1464187499999898</v>
      </c>
      <c r="S92" s="479">
        <v>160000</v>
      </c>
      <c r="T92" s="459">
        <v>170702.4</v>
      </c>
      <c r="U92" s="459">
        <f t="shared" si="93"/>
        <v>10702.399999999994</v>
      </c>
      <c r="V92" s="470">
        <f t="shared" si="76"/>
        <v>6.6889999999999894</v>
      </c>
      <c r="W92" s="479">
        <v>160000</v>
      </c>
      <c r="X92" s="459">
        <v>170702.4</v>
      </c>
      <c r="Y92" s="974">
        <f t="shared" si="94"/>
        <v>10702.399999999994</v>
      </c>
      <c r="Z92" s="485">
        <f t="shared" si="77"/>
        <v>6.6889999999999894</v>
      </c>
      <c r="AA92" s="479">
        <v>160000</v>
      </c>
      <c r="AB92" s="459">
        <v>173500.79999999999</v>
      </c>
      <c r="AC92" s="459">
        <f t="shared" si="78"/>
        <v>13500.799999999988</v>
      </c>
      <c r="AD92" s="470">
        <f t="shared" si="79"/>
        <v>8.43799999999999</v>
      </c>
      <c r="AE92" s="479">
        <v>160000</v>
      </c>
      <c r="AF92" s="468">
        <v>126700.8</v>
      </c>
      <c r="AG92" s="467">
        <f t="shared" si="80"/>
        <v>-33299.199999999997</v>
      </c>
      <c r="AH92" s="470">
        <f t="shared" si="81"/>
        <v>-20.811999999999998</v>
      </c>
      <c r="AI92" s="479">
        <v>160000</v>
      </c>
      <c r="AJ92" s="463">
        <v>183864</v>
      </c>
      <c r="AK92" s="467">
        <f t="shared" si="82"/>
        <v>23864</v>
      </c>
      <c r="AL92" s="470">
        <f t="shared" si="83"/>
        <v>14.914999999999988</v>
      </c>
      <c r="AM92" s="479">
        <v>160000</v>
      </c>
      <c r="AN92" s="463">
        <v>152222.39999999999</v>
      </c>
      <c r="AO92" s="467">
        <f t="shared" si="84"/>
        <v>-7777.6000000000058</v>
      </c>
      <c r="AP92" s="470">
        <f t="shared" si="85"/>
        <v>-4.8610000000000042</v>
      </c>
      <c r="AQ92" s="479">
        <v>160000</v>
      </c>
      <c r="AR92" s="468"/>
      <c r="AS92" s="467">
        <f t="shared" si="86"/>
        <v>-160000</v>
      </c>
      <c r="AT92" s="470">
        <f t="shared" si="87"/>
        <v>-100</v>
      </c>
      <c r="AU92" s="479">
        <v>160000</v>
      </c>
      <c r="AV92" s="463"/>
      <c r="AW92" s="459">
        <f t="shared" si="88"/>
        <v>-160000</v>
      </c>
      <c r="AX92" s="470">
        <f t="shared" si="89"/>
        <v>-100</v>
      </c>
      <c r="AY92" s="1097">
        <f t="shared" si="70"/>
        <v>1920000</v>
      </c>
      <c r="AZ92" s="174">
        <f t="shared" si="71"/>
        <v>1670572.52</v>
      </c>
      <c r="BA92" s="118"/>
      <c r="BB92" s="805"/>
      <c r="BC92" s="804"/>
    </row>
    <row r="93" spans="1:55" s="119" customFormat="1" ht="18" customHeight="1" x14ac:dyDescent="0.25">
      <c r="A93" s="170">
        <v>51020</v>
      </c>
      <c r="B93" s="332" t="s">
        <v>58</v>
      </c>
      <c r="C93" s="899">
        <v>115000</v>
      </c>
      <c r="D93" s="465">
        <v>130960</v>
      </c>
      <c r="E93" s="459">
        <f t="shared" si="69"/>
        <v>15960</v>
      </c>
      <c r="F93" s="469">
        <f t="shared" si="72"/>
        <v>13.878260869565207</v>
      </c>
      <c r="G93" s="479">
        <v>115000</v>
      </c>
      <c r="H93" s="459">
        <v>117520</v>
      </c>
      <c r="I93" s="459">
        <f t="shared" si="90"/>
        <v>2520</v>
      </c>
      <c r="J93" s="470">
        <f t="shared" si="73"/>
        <v>2.1913043478260841</v>
      </c>
      <c r="K93" s="479">
        <v>115000</v>
      </c>
      <c r="L93" s="830">
        <v>129616</v>
      </c>
      <c r="M93" s="467">
        <f t="shared" si="91"/>
        <v>14616</v>
      </c>
      <c r="N93" s="469">
        <f t="shared" si="74"/>
        <v>12.709565217391305</v>
      </c>
      <c r="O93" s="479">
        <v>115000</v>
      </c>
      <c r="P93" s="813">
        <v>122584</v>
      </c>
      <c r="Q93" s="459">
        <f t="shared" si="92"/>
        <v>7584</v>
      </c>
      <c r="R93" s="469">
        <f t="shared" si="75"/>
        <v>6.5947826086956596</v>
      </c>
      <c r="S93" s="479">
        <v>115000</v>
      </c>
      <c r="T93" s="459">
        <v>125272</v>
      </c>
      <c r="U93" s="459">
        <f t="shared" si="93"/>
        <v>10272</v>
      </c>
      <c r="V93" s="470">
        <f t="shared" si="76"/>
        <v>8.932173913043485</v>
      </c>
      <c r="W93" s="479">
        <v>115000</v>
      </c>
      <c r="X93" s="459">
        <v>122584</v>
      </c>
      <c r="Y93" s="974">
        <f t="shared" si="94"/>
        <v>7584</v>
      </c>
      <c r="Z93" s="485">
        <f t="shared" si="77"/>
        <v>6.5947826086956596</v>
      </c>
      <c r="AA93" s="479">
        <v>115000</v>
      </c>
      <c r="AB93" s="459">
        <v>126616</v>
      </c>
      <c r="AC93" s="459">
        <f t="shared" si="78"/>
        <v>11616</v>
      </c>
      <c r="AD93" s="470">
        <f t="shared" si="79"/>
        <v>10.100869565217385</v>
      </c>
      <c r="AE93" s="479">
        <v>115000</v>
      </c>
      <c r="AF93" s="468">
        <v>125272</v>
      </c>
      <c r="AG93" s="467">
        <f t="shared" si="80"/>
        <v>10272</v>
      </c>
      <c r="AH93" s="470">
        <f t="shared" si="81"/>
        <v>8.932173913043485</v>
      </c>
      <c r="AI93" s="479">
        <v>115000</v>
      </c>
      <c r="AJ93" s="463">
        <v>122584</v>
      </c>
      <c r="AK93" s="467">
        <f t="shared" si="82"/>
        <v>7584</v>
      </c>
      <c r="AL93" s="470">
        <f t="shared" si="83"/>
        <v>6.5947826086956596</v>
      </c>
      <c r="AM93" s="479">
        <v>115000</v>
      </c>
      <c r="AN93" s="463">
        <v>125272</v>
      </c>
      <c r="AO93" s="467">
        <f t="shared" si="84"/>
        <v>10272</v>
      </c>
      <c r="AP93" s="470">
        <f t="shared" si="85"/>
        <v>8.932173913043485</v>
      </c>
      <c r="AQ93" s="479">
        <v>115000</v>
      </c>
      <c r="AR93" s="468"/>
      <c r="AS93" s="467">
        <f t="shared" si="86"/>
        <v>-115000</v>
      </c>
      <c r="AT93" s="470">
        <f t="shared" si="87"/>
        <v>-100</v>
      </c>
      <c r="AU93" s="479">
        <v>115000</v>
      </c>
      <c r="AV93" s="463"/>
      <c r="AW93" s="459">
        <f t="shared" si="88"/>
        <v>-115000</v>
      </c>
      <c r="AX93" s="470">
        <f t="shared" si="89"/>
        <v>-100</v>
      </c>
      <c r="AY93" s="1097">
        <f t="shared" si="70"/>
        <v>1380000</v>
      </c>
      <c r="AZ93" s="571">
        <f t="shared" si="71"/>
        <v>1248280</v>
      </c>
      <c r="BA93" s="118"/>
      <c r="BB93" s="805"/>
      <c r="BC93" s="804"/>
    </row>
    <row r="94" spans="1:55" s="119" customFormat="1" ht="18" customHeight="1" x14ac:dyDescent="0.25">
      <c r="A94" s="170">
        <v>51288</v>
      </c>
      <c r="B94" s="332" t="s">
        <v>59</v>
      </c>
      <c r="C94" s="899">
        <v>600000</v>
      </c>
      <c r="D94" s="465">
        <v>543591.1</v>
      </c>
      <c r="E94" s="459">
        <f t="shared" si="69"/>
        <v>-56408.900000000023</v>
      </c>
      <c r="F94" s="469">
        <f t="shared" si="72"/>
        <v>-9.4014833333333385</v>
      </c>
      <c r="G94" s="479">
        <v>600000</v>
      </c>
      <c r="H94" s="459">
        <v>505045.5</v>
      </c>
      <c r="I94" s="459">
        <f t="shared" si="90"/>
        <v>-94954.5</v>
      </c>
      <c r="J94" s="469">
        <f t="shared" si="73"/>
        <v>-15.825750000000005</v>
      </c>
      <c r="K94" s="479">
        <v>600000</v>
      </c>
      <c r="L94" s="830">
        <v>648041.75</v>
      </c>
      <c r="M94" s="467">
        <f t="shared" si="91"/>
        <v>48041.75</v>
      </c>
      <c r="N94" s="469">
        <f t="shared" si="74"/>
        <v>8.006958333333337</v>
      </c>
      <c r="O94" s="479">
        <v>600000</v>
      </c>
      <c r="P94" s="813">
        <v>591547.25</v>
      </c>
      <c r="Q94" s="459">
        <f t="shared" si="92"/>
        <v>-8452.75</v>
      </c>
      <c r="R94" s="469">
        <f t="shared" si="75"/>
        <v>-1.4087916666666644</v>
      </c>
      <c r="S94" s="479">
        <v>600000</v>
      </c>
      <c r="T94" s="459">
        <v>651471</v>
      </c>
      <c r="U94" s="459">
        <f t="shared" si="93"/>
        <v>51471</v>
      </c>
      <c r="V94" s="470">
        <f t="shared" si="76"/>
        <v>8.5785</v>
      </c>
      <c r="W94" s="479">
        <v>600000</v>
      </c>
      <c r="X94" s="459">
        <v>671614.25</v>
      </c>
      <c r="Y94" s="974">
        <f t="shared" si="94"/>
        <v>71614.25</v>
      </c>
      <c r="Z94" s="485">
        <f t="shared" si="77"/>
        <v>11.935708333333327</v>
      </c>
      <c r="AA94" s="479">
        <v>600000</v>
      </c>
      <c r="AB94" s="459">
        <v>640240.88</v>
      </c>
      <c r="AC94" s="459">
        <f t="shared" si="78"/>
        <v>40240.880000000005</v>
      </c>
      <c r="AD94" s="470">
        <f t="shared" si="79"/>
        <v>6.7068133333333391</v>
      </c>
      <c r="AE94" s="479">
        <v>600000</v>
      </c>
      <c r="AF94" s="468">
        <v>736414.22</v>
      </c>
      <c r="AG94" s="467">
        <f t="shared" si="80"/>
        <v>136414.21999999997</v>
      </c>
      <c r="AH94" s="470">
        <f t="shared" si="81"/>
        <v>22.735703333333323</v>
      </c>
      <c r="AI94" s="479">
        <v>600000</v>
      </c>
      <c r="AJ94" s="463">
        <v>733554</v>
      </c>
      <c r="AK94" s="467">
        <f t="shared" si="82"/>
        <v>133554</v>
      </c>
      <c r="AL94" s="470">
        <f t="shared" si="83"/>
        <v>22.259000000000007</v>
      </c>
      <c r="AM94" s="479">
        <v>600000</v>
      </c>
      <c r="AN94" s="463">
        <v>679313.5</v>
      </c>
      <c r="AO94" s="467">
        <f t="shared" si="84"/>
        <v>79313.5</v>
      </c>
      <c r="AP94" s="470">
        <f t="shared" si="85"/>
        <v>13.218916666666658</v>
      </c>
      <c r="AQ94" s="479">
        <v>600000</v>
      </c>
      <c r="AR94" s="468"/>
      <c r="AS94" s="467">
        <f t="shared" si="86"/>
        <v>-600000</v>
      </c>
      <c r="AT94" s="470">
        <f t="shared" si="87"/>
        <v>-100</v>
      </c>
      <c r="AU94" s="479">
        <v>600000</v>
      </c>
      <c r="AV94" s="463"/>
      <c r="AW94" s="459">
        <f t="shared" si="88"/>
        <v>-600000</v>
      </c>
      <c r="AX94" s="470">
        <f t="shared" si="89"/>
        <v>-100</v>
      </c>
      <c r="AY94" s="1097">
        <f t="shared" si="70"/>
        <v>7200000</v>
      </c>
      <c r="AZ94" s="174">
        <f t="shared" si="71"/>
        <v>6400833.4500000002</v>
      </c>
      <c r="BA94" s="118"/>
      <c r="BB94" s="805"/>
      <c r="BC94" s="804"/>
    </row>
    <row r="95" spans="1:55" s="119" customFormat="1" ht="18" customHeight="1" x14ac:dyDescent="0.25">
      <c r="A95" s="170">
        <v>51819</v>
      </c>
      <c r="B95" s="332" t="s">
        <v>189</v>
      </c>
      <c r="C95" s="899">
        <v>1000</v>
      </c>
      <c r="D95" s="465">
        <v>528.29</v>
      </c>
      <c r="E95" s="459">
        <f t="shared" si="69"/>
        <v>-471.71000000000004</v>
      </c>
      <c r="F95" s="469">
        <f t="shared" si="72"/>
        <v>-47.171000000000006</v>
      </c>
      <c r="G95" s="479">
        <v>1000</v>
      </c>
      <c r="H95" s="459">
        <v>337.29</v>
      </c>
      <c r="I95" s="459">
        <f t="shared" si="90"/>
        <v>-662.71</v>
      </c>
      <c r="J95" s="469">
        <f t="shared" si="73"/>
        <v>-66.270999999999987</v>
      </c>
      <c r="K95" s="479">
        <v>1000</v>
      </c>
      <c r="L95" s="830">
        <v>402.95</v>
      </c>
      <c r="M95" s="467">
        <f t="shared" si="91"/>
        <v>-597.04999999999995</v>
      </c>
      <c r="N95" s="469">
        <f t="shared" si="74"/>
        <v>-59.705000000000005</v>
      </c>
      <c r="O95" s="479">
        <v>1000</v>
      </c>
      <c r="P95" s="813">
        <v>480.09</v>
      </c>
      <c r="Q95" s="459">
        <f t="shared" si="92"/>
        <v>-519.91000000000008</v>
      </c>
      <c r="R95" s="469">
        <f t="shared" si="75"/>
        <v>-51.991000000000007</v>
      </c>
      <c r="S95" s="479">
        <v>1000</v>
      </c>
      <c r="T95" s="459">
        <v>462.95</v>
      </c>
      <c r="U95" s="459">
        <f t="shared" si="93"/>
        <v>-537.04999999999995</v>
      </c>
      <c r="V95" s="470">
        <f t="shared" si="76"/>
        <v>-53.705000000000005</v>
      </c>
      <c r="W95" s="479">
        <v>1000</v>
      </c>
      <c r="X95" s="459">
        <v>388.72</v>
      </c>
      <c r="Y95" s="974">
        <f t="shared" si="94"/>
        <v>-611.28</v>
      </c>
      <c r="Z95" s="485">
        <f t="shared" si="77"/>
        <v>-61.128000000000007</v>
      </c>
      <c r="AA95" s="479">
        <v>1000</v>
      </c>
      <c r="AB95" s="459">
        <v>480.21</v>
      </c>
      <c r="AC95" s="459">
        <f t="shared" si="78"/>
        <v>-519.79</v>
      </c>
      <c r="AD95" s="470">
        <f t="shared" si="79"/>
        <v>-51.978999999999999</v>
      </c>
      <c r="AE95" s="479">
        <v>1000</v>
      </c>
      <c r="AF95" s="468">
        <v>314.49</v>
      </c>
      <c r="AG95" s="467">
        <f t="shared" si="80"/>
        <v>-685.51</v>
      </c>
      <c r="AH95" s="470">
        <f t="shared" si="81"/>
        <v>-68.551000000000002</v>
      </c>
      <c r="AI95" s="479">
        <v>1000</v>
      </c>
      <c r="AJ95" s="463">
        <v>280.2</v>
      </c>
      <c r="AK95" s="467">
        <f t="shared" si="82"/>
        <v>-719.8</v>
      </c>
      <c r="AL95" s="470">
        <f t="shared" si="83"/>
        <v>-71.98</v>
      </c>
      <c r="AM95" s="479">
        <v>1000</v>
      </c>
      <c r="AN95" s="463">
        <v>297.35000000000002</v>
      </c>
      <c r="AO95" s="467">
        <f t="shared" si="84"/>
        <v>-702.65</v>
      </c>
      <c r="AP95" s="470">
        <f t="shared" si="85"/>
        <v>-70.265000000000001</v>
      </c>
      <c r="AQ95" s="479">
        <v>1000</v>
      </c>
      <c r="AR95" s="468"/>
      <c r="AS95" s="467">
        <f t="shared" si="86"/>
        <v>-1000</v>
      </c>
      <c r="AT95" s="470">
        <f t="shared" si="87"/>
        <v>-100</v>
      </c>
      <c r="AU95" s="479">
        <v>1000</v>
      </c>
      <c r="AV95" s="463"/>
      <c r="AW95" s="459">
        <f t="shared" si="88"/>
        <v>-1000</v>
      </c>
      <c r="AX95" s="470">
        <f t="shared" si="89"/>
        <v>-100</v>
      </c>
      <c r="AY95" s="1097">
        <f t="shared" si="70"/>
        <v>12000</v>
      </c>
      <c r="AZ95" s="174">
        <f t="shared" si="71"/>
        <v>3972.5399999999995</v>
      </c>
      <c r="BA95" s="118"/>
      <c r="BB95" s="805"/>
      <c r="BC95" s="804"/>
    </row>
    <row r="96" spans="1:55" s="119" customFormat="1" ht="18" customHeight="1" x14ac:dyDescent="0.25">
      <c r="A96" s="170">
        <v>51645</v>
      </c>
      <c r="B96" s="332" t="s">
        <v>3701</v>
      </c>
      <c r="C96" s="899">
        <v>0</v>
      </c>
      <c r="D96" s="465">
        <v>0</v>
      </c>
      <c r="E96" s="459">
        <f t="shared" si="69"/>
        <v>0</v>
      </c>
      <c r="F96" s="469"/>
      <c r="G96" s="899">
        <v>0</v>
      </c>
      <c r="H96" s="459">
        <v>963</v>
      </c>
      <c r="I96" s="459">
        <f t="shared" si="90"/>
        <v>963</v>
      </c>
      <c r="J96" s="469"/>
      <c r="K96" s="899">
        <v>0</v>
      </c>
      <c r="L96" s="830">
        <v>4480</v>
      </c>
      <c r="M96" s="467">
        <f t="shared" si="91"/>
        <v>4480</v>
      </c>
      <c r="N96" s="469"/>
      <c r="O96" s="899">
        <v>0</v>
      </c>
      <c r="P96" s="906">
        <v>-4480</v>
      </c>
      <c r="Q96" s="459">
        <f t="shared" si="92"/>
        <v>-4480</v>
      </c>
      <c r="R96" s="469"/>
      <c r="S96" s="899">
        <v>0</v>
      </c>
      <c r="T96" s="459">
        <v>0</v>
      </c>
      <c r="U96" s="459">
        <f t="shared" si="93"/>
        <v>0</v>
      </c>
      <c r="V96" s="470"/>
      <c r="W96" s="899">
        <v>0</v>
      </c>
      <c r="X96" s="459">
        <v>420</v>
      </c>
      <c r="Y96" s="974">
        <f t="shared" si="94"/>
        <v>420</v>
      </c>
      <c r="Z96" s="485"/>
      <c r="AA96" s="899">
        <v>0</v>
      </c>
      <c r="AB96" s="459">
        <v>420</v>
      </c>
      <c r="AC96" s="459">
        <f t="shared" si="78"/>
        <v>420</v>
      </c>
      <c r="AD96" s="470"/>
      <c r="AE96" s="899">
        <v>0</v>
      </c>
      <c r="AF96" s="468">
        <v>380</v>
      </c>
      <c r="AG96" s="467">
        <f t="shared" si="80"/>
        <v>380</v>
      </c>
      <c r="AH96" s="470"/>
      <c r="AI96" s="899">
        <v>0</v>
      </c>
      <c r="AJ96" s="463">
        <v>490</v>
      </c>
      <c r="AK96" s="467">
        <f t="shared" si="82"/>
        <v>490</v>
      </c>
      <c r="AL96" s="470"/>
      <c r="AM96" s="899">
        <v>0</v>
      </c>
      <c r="AN96" s="463">
        <v>380</v>
      </c>
      <c r="AO96" s="467">
        <f t="shared" si="84"/>
        <v>380</v>
      </c>
      <c r="AP96" s="470"/>
      <c r="AQ96" s="899">
        <v>0</v>
      </c>
      <c r="AR96" s="468"/>
      <c r="AS96" s="467">
        <f t="shared" si="86"/>
        <v>0</v>
      </c>
      <c r="AT96" s="470"/>
      <c r="AU96" s="899">
        <v>0</v>
      </c>
      <c r="AV96" s="463"/>
      <c r="AW96" s="459">
        <f t="shared" si="88"/>
        <v>0</v>
      </c>
      <c r="AX96" s="470"/>
      <c r="AY96" s="1097">
        <f t="shared" si="70"/>
        <v>0</v>
      </c>
      <c r="AZ96" s="174">
        <f t="shared" si="71"/>
        <v>3053</v>
      </c>
      <c r="BA96" s="118"/>
      <c r="BB96" s="805"/>
      <c r="BC96" s="804"/>
    </row>
    <row r="97" spans="1:95" s="119" customFormat="1" ht="18" customHeight="1" x14ac:dyDescent="0.25">
      <c r="A97" s="170">
        <v>51820</v>
      </c>
      <c r="B97" s="332" t="s">
        <v>190</v>
      </c>
      <c r="C97" s="899">
        <v>1000</v>
      </c>
      <c r="D97" s="465">
        <v>1218.4100000000001</v>
      </c>
      <c r="E97" s="459">
        <f t="shared" si="69"/>
        <v>218.41000000000008</v>
      </c>
      <c r="F97" s="469">
        <f t="shared" si="72"/>
        <v>21.841000000000001</v>
      </c>
      <c r="G97" s="479">
        <v>1000</v>
      </c>
      <c r="H97" s="459">
        <v>1027.4100000000001</v>
      </c>
      <c r="I97" s="459">
        <f t="shared" si="90"/>
        <v>27.410000000000082</v>
      </c>
      <c r="J97" s="469">
        <f t="shared" si="73"/>
        <v>2.7410000000000156</v>
      </c>
      <c r="K97" s="479">
        <v>1000</v>
      </c>
      <c r="L97" s="830">
        <v>1093.07</v>
      </c>
      <c r="M97" s="467">
        <f t="shared" si="91"/>
        <v>93.069999999999936</v>
      </c>
      <c r="N97" s="469">
        <f t="shared" si="74"/>
        <v>9.3069999999999986</v>
      </c>
      <c r="O97" s="479">
        <v>1000</v>
      </c>
      <c r="P97" s="813">
        <v>1170.21</v>
      </c>
      <c r="Q97" s="459">
        <f t="shared" si="92"/>
        <v>170.21000000000004</v>
      </c>
      <c r="R97" s="469">
        <f t="shared" si="75"/>
        <v>17.020999999999997</v>
      </c>
      <c r="S97" s="479">
        <v>1000</v>
      </c>
      <c r="T97" s="459">
        <v>1153.07</v>
      </c>
      <c r="U97" s="459">
        <f t="shared" si="93"/>
        <v>153.06999999999994</v>
      </c>
      <c r="V97" s="470">
        <f t="shared" si="76"/>
        <v>15.307000000000004</v>
      </c>
      <c r="W97" s="479">
        <v>1000</v>
      </c>
      <c r="X97" s="459">
        <v>1078.8399999999999</v>
      </c>
      <c r="Y97" s="974">
        <f t="shared" si="94"/>
        <v>78.839999999999918</v>
      </c>
      <c r="Z97" s="485">
        <f t="shared" si="77"/>
        <v>7.8840000000000021</v>
      </c>
      <c r="AA97" s="479">
        <v>1000</v>
      </c>
      <c r="AB97" s="459">
        <v>1170.21</v>
      </c>
      <c r="AC97" s="459">
        <f t="shared" si="78"/>
        <v>170.21000000000004</v>
      </c>
      <c r="AD97" s="470">
        <f t="shared" si="79"/>
        <v>17.020999999999997</v>
      </c>
      <c r="AE97" s="479">
        <v>1000</v>
      </c>
      <c r="AF97" s="468">
        <v>1004.61</v>
      </c>
      <c r="AG97" s="467">
        <f t="shared" si="80"/>
        <v>4.6100000000000136</v>
      </c>
      <c r="AH97" s="470">
        <f t="shared" si="81"/>
        <v>0.4610000000000003</v>
      </c>
      <c r="AI97" s="479">
        <v>1000</v>
      </c>
      <c r="AJ97" s="463">
        <v>970.32</v>
      </c>
      <c r="AK97" s="467">
        <f t="shared" si="82"/>
        <v>-29.67999999999995</v>
      </c>
      <c r="AL97" s="470">
        <f t="shared" si="83"/>
        <v>-2.9679999999999929</v>
      </c>
      <c r="AM97" s="479">
        <v>1000</v>
      </c>
      <c r="AN97" s="463">
        <v>987.47</v>
      </c>
      <c r="AO97" s="467">
        <f t="shared" si="84"/>
        <v>-12.529999999999973</v>
      </c>
      <c r="AP97" s="470">
        <f t="shared" si="85"/>
        <v>-1.252999999999993</v>
      </c>
      <c r="AQ97" s="479">
        <v>1000</v>
      </c>
      <c r="AR97" s="468"/>
      <c r="AS97" s="467">
        <f t="shared" si="86"/>
        <v>-1000</v>
      </c>
      <c r="AT97" s="470">
        <f t="shared" si="87"/>
        <v>-100</v>
      </c>
      <c r="AU97" s="479">
        <v>1000</v>
      </c>
      <c r="AV97" s="463"/>
      <c r="AW97" s="459">
        <f t="shared" si="88"/>
        <v>-1000</v>
      </c>
      <c r="AX97" s="470">
        <f t="shared" si="89"/>
        <v>-100</v>
      </c>
      <c r="AY97" s="1097">
        <f t="shared" si="70"/>
        <v>12000</v>
      </c>
      <c r="AZ97" s="174">
        <f t="shared" si="71"/>
        <v>10873.619999999999</v>
      </c>
      <c r="BA97" s="118"/>
      <c r="BB97" s="805"/>
      <c r="BC97" s="804"/>
    </row>
    <row r="98" spans="1:95" s="119" customFormat="1" ht="18" customHeight="1" x14ac:dyDescent="0.25">
      <c r="A98" s="170">
        <v>51821</v>
      </c>
      <c r="B98" s="332" t="s">
        <v>191</v>
      </c>
      <c r="C98" s="899">
        <v>4000</v>
      </c>
      <c r="D98" s="465">
        <v>3534.88</v>
      </c>
      <c r="E98" s="459">
        <f t="shared" si="69"/>
        <v>-465.11999999999989</v>
      </c>
      <c r="F98" s="469">
        <f t="shared" si="72"/>
        <v>-11.627999999999993</v>
      </c>
      <c r="G98" s="479">
        <v>4000</v>
      </c>
      <c r="H98" s="459">
        <v>3343.87</v>
      </c>
      <c r="I98" s="459">
        <f t="shared" si="90"/>
        <v>-656.13000000000011</v>
      </c>
      <c r="J98" s="469">
        <f t="shared" si="73"/>
        <v>-16.403250000000003</v>
      </c>
      <c r="K98" s="479">
        <v>4000</v>
      </c>
      <c r="L98" s="830">
        <v>3409.53</v>
      </c>
      <c r="M98" s="467">
        <f t="shared" si="91"/>
        <v>-590.4699999999998</v>
      </c>
      <c r="N98" s="469">
        <f t="shared" si="74"/>
        <v>-14.761749999999996</v>
      </c>
      <c r="O98" s="479">
        <v>4000</v>
      </c>
      <c r="P98" s="813">
        <v>3486.67</v>
      </c>
      <c r="Q98" s="459">
        <f t="shared" si="92"/>
        <v>-513.32999999999993</v>
      </c>
      <c r="R98" s="469">
        <f t="shared" si="75"/>
        <v>-12.833249999999996</v>
      </c>
      <c r="S98" s="479">
        <v>4000</v>
      </c>
      <c r="T98" s="459">
        <v>3469.53</v>
      </c>
      <c r="U98" s="459">
        <f t="shared" si="93"/>
        <v>-530.4699999999998</v>
      </c>
      <c r="V98" s="470">
        <f t="shared" si="76"/>
        <v>-13.261749999999994</v>
      </c>
      <c r="W98" s="479">
        <v>4000</v>
      </c>
      <c r="X98" s="459">
        <v>3395.3</v>
      </c>
      <c r="Y98" s="974">
        <f t="shared" si="94"/>
        <v>-604.69999999999982</v>
      </c>
      <c r="Z98" s="485">
        <f t="shared" si="77"/>
        <v>-15.117499999999994</v>
      </c>
      <c r="AA98" s="479">
        <v>4000</v>
      </c>
      <c r="AB98" s="459">
        <v>3486.67</v>
      </c>
      <c r="AC98" s="459">
        <f t="shared" si="78"/>
        <v>-513.32999999999993</v>
      </c>
      <c r="AD98" s="470">
        <f t="shared" si="79"/>
        <v>-12.833249999999996</v>
      </c>
      <c r="AE98" s="479">
        <v>4000</v>
      </c>
      <c r="AF98" s="468">
        <v>3321.06</v>
      </c>
      <c r="AG98" s="467">
        <f t="shared" si="80"/>
        <v>-678.94</v>
      </c>
      <c r="AH98" s="470">
        <f t="shared" si="81"/>
        <v>-16.973499999999998</v>
      </c>
      <c r="AI98" s="479">
        <v>4000</v>
      </c>
      <c r="AJ98" s="463">
        <v>3286.79</v>
      </c>
      <c r="AK98" s="467">
        <f t="shared" si="82"/>
        <v>-713.21</v>
      </c>
      <c r="AL98" s="470">
        <f t="shared" si="83"/>
        <v>-17.830250000000003</v>
      </c>
      <c r="AM98" s="479">
        <v>4000</v>
      </c>
      <c r="AN98" s="463">
        <v>3303.91</v>
      </c>
      <c r="AO98" s="467">
        <f t="shared" si="84"/>
        <v>-696.09000000000015</v>
      </c>
      <c r="AP98" s="470">
        <f t="shared" si="85"/>
        <v>-17.402250000000009</v>
      </c>
      <c r="AQ98" s="479">
        <v>4000</v>
      </c>
      <c r="AR98" s="468"/>
      <c r="AS98" s="467">
        <f t="shared" si="86"/>
        <v>-4000</v>
      </c>
      <c r="AT98" s="470">
        <f t="shared" si="87"/>
        <v>-100</v>
      </c>
      <c r="AU98" s="479">
        <v>4000</v>
      </c>
      <c r="AV98" s="463"/>
      <c r="AW98" s="459">
        <f t="shared" si="88"/>
        <v>-4000</v>
      </c>
      <c r="AX98" s="470">
        <f t="shared" si="89"/>
        <v>-100</v>
      </c>
      <c r="AY98" s="1097">
        <f t="shared" si="70"/>
        <v>48000</v>
      </c>
      <c r="AZ98" s="571">
        <f t="shared" si="71"/>
        <v>34038.21</v>
      </c>
      <c r="BA98" s="118"/>
      <c r="BB98" s="805"/>
      <c r="BC98" s="804"/>
    </row>
    <row r="99" spans="1:95" s="119" customFormat="1" ht="18" customHeight="1" x14ac:dyDescent="0.25">
      <c r="A99" s="170">
        <v>51822</v>
      </c>
      <c r="B99" s="332" t="s">
        <v>192</v>
      </c>
      <c r="C99" s="899">
        <v>90000</v>
      </c>
      <c r="D99" s="465">
        <v>80474.240000000005</v>
      </c>
      <c r="E99" s="459">
        <f t="shared" si="69"/>
        <v>-9525.7599999999948</v>
      </c>
      <c r="F99" s="469">
        <f t="shared" si="72"/>
        <v>-10.58417777777777</v>
      </c>
      <c r="G99" s="479">
        <v>90000</v>
      </c>
      <c r="H99" s="459">
        <v>80614.16</v>
      </c>
      <c r="I99" s="459">
        <f t="shared" si="90"/>
        <v>-9385.8399999999965</v>
      </c>
      <c r="J99" s="469">
        <f t="shared" si="73"/>
        <v>-10.428711111111111</v>
      </c>
      <c r="K99" s="479">
        <v>90000</v>
      </c>
      <c r="L99" s="830">
        <v>84624.51</v>
      </c>
      <c r="M99" s="467">
        <f t="shared" si="91"/>
        <v>-5375.4900000000052</v>
      </c>
      <c r="N99" s="469">
        <f t="shared" si="74"/>
        <v>-5.9727666666666739</v>
      </c>
      <c r="O99" s="479">
        <v>90000</v>
      </c>
      <c r="P99" s="813">
        <v>77679.8</v>
      </c>
      <c r="Q99" s="459">
        <f t="shared" si="92"/>
        <v>-12320.199999999997</v>
      </c>
      <c r="R99" s="469">
        <f t="shared" si="75"/>
        <v>-13.689111111111107</v>
      </c>
      <c r="S99" s="479">
        <v>90000</v>
      </c>
      <c r="T99" s="459">
        <v>83207.67</v>
      </c>
      <c r="U99" s="459">
        <f t="shared" si="93"/>
        <v>-6792.3300000000017</v>
      </c>
      <c r="V99" s="470">
        <f t="shared" si="76"/>
        <v>-7.5470333333333306</v>
      </c>
      <c r="W99" s="479">
        <v>90000</v>
      </c>
      <c r="X99" s="459">
        <v>86746.69</v>
      </c>
      <c r="Y99" s="974">
        <f t="shared" si="94"/>
        <v>-3253.3099999999977</v>
      </c>
      <c r="Z99" s="485">
        <f t="shared" si="77"/>
        <v>-3.6147888888888868</v>
      </c>
      <c r="AA99" s="479">
        <v>90000</v>
      </c>
      <c r="AB99" s="459">
        <v>89226.11</v>
      </c>
      <c r="AC99" s="459">
        <f t="shared" si="78"/>
        <v>-773.88999999999942</v>
      </c>
      <c r="AD99" s="470">
        <f t="shared" si="79"/>
        <v>-0.8598777777777733</v>
      </c>
      <c r="AE99" s="479">
        <v>90000</v>
      </c>
      <c r="AF99" s="468">
        <v>103539.26</v>
      </c>
      <c r="AG99" s="467">
        <f t="shared" si="80"/>
        <v>13539.259999999995</v>
      </c>
      <c r="AH99" s="470">
        <f t="shared" si="81"/>
        <v>15.043622222222218</v>
      </c>
      <c r="AI99" s="479">
        <v>90000</v>
      </c>
      <c r="AJ99" s="463">
        <v>95150.64</v>
      </c>
      <c r="AK99" s="467">
        <f t="shared" si="82"/>
        <v>5150.6399999999994</v>
      </c>
      <c r="AL99" s="470">
        <f t="shared" si="83"/>
        <v>5.7229333333333354</v>
      </c>
      <c r="AM99" s="479">
        <v>90000</v>
      </c>
      <c r="AN99" s="463">
        <v>96094.97</v>
      </c>
      <c r="AO99" s="467">
        <f t="shared" si="84"/>
        <v>6094.9700000000012</v>
      </c>
      <c r="AP99" s="470">
        <f t="shared" si="85"/>
        <v>6.7721888888888859</v>
      </c>
      <c r="AQ99" s="479">
        <v>90000</v>
      </c>
      <c r="AR99" s="468"/>
      <c r="AS99" s="467">
        <f t="shared" si="86"/>
        <v>-90000</v>
      </c>
      <c r="AT99" s="470">
        <f t="shared" si="87"/>
        <v>-100</v>
      </c>
      <c r="AU99" s="479">
        <v>90000</v>
      </c>
      <c r="AV99" s="463"/>
      <c r="AW99" s="459">
        <f t="shared" si="88"/>
        <v>-90000</v>
      </c>
      <c r="AX99" s="470">
        <f t="shared" si="89"/>
        <v>-100</v>
      </c>
      <c r="AY99" s="1097">
        <f t="shared" si="70"/>
        <v>1080000</v>
      </c>
      <c r="AZ99" s="174">
        <f t="shared" si="71"/>
        <v>877358.05</v>
      </c>
      <c r="BA99" s="118"/>
      <c r="BB99" s="805"/>
      <c r="BC99" s="804"/>
    </row>
    <row r="100" spans="1:95" s="119" customFormat="1" ht="18" customHeight="1" x14ac:dyDescent="0.25">
      <c r="A100" s="170">
        <v>52230</v>
      </c>
      <c r="B100" s="332" t="s">
        <v>193</v>
      </c>
      <c r="C100" s="899">
        <v>25000</v>
      </c>
      <c r="D100" s="465">
        <v>8696.42</v>
      </c>
      <c r="E100" s="459">
        <f t="shared" si="69"/>
        <v>-16303.58</v>
      </c>
      <c r="F100" s="469">
        <f t="shared" si="72"/>
        <v>-65.214320000000001</v>
      </c>
      <c r="G100" s="479">
        <v>25000</v>
      </c>
      <c r="H100" s="459">
        <v>61441</v>
      </c>
      <c r="I100" s="459">
        <f t="shared" si="90"/>
        <v>36441</v>
      </c>
      <c r="J100" s="469">
        <f t="shared" si="73"/>
        <v>145.76400000000001</v>
      </c>
      <c r="K100" s="479">
        <v>25000</v>
      </c>
      <c r="L100" s="830">
        <v>10600</v>
      </c>
      <c r="M100" s="467">
        <f t="shared" si="91"/>
        <v>-14400</v>
      </c>
      <c r="N100" s="469">
        <f t="shared" si="74"/>
        <v>-57.600000000000009</v>
      </c>
      <c r="O100" s="479">
        <v>25000</v>
      </c>
      <c r="P100" s="813">
        <v>10600</v>
      </c>
      <c r="Q100" s="459">
        <f t="shared" si="92"/>
        <v>-14400</v>
      </c>
      <c r="R100" s="469">
        <f t="shared" si="75"/>
        <v>-57.600000000000009</v>
      </c>
      <c r="S100" s="479">
        <v>25000</v>
      </c>
      <c r="T100" s="459">
        <v>10600</v>
      </c>
      <c r="U100" s="459">
        <f t="shared" si="93"/>
        <v>-14400</v>
      </c>
      <c r="V100" s="470">
        <f t="shared" si="76"/>
        <v>-57.600000000000009</v>
      </c>
      <c r="W100" s="479">
        <v>25000</v>
      </c>
      <c r="X100" s="459">
        <v>10600</v>
      </c>
      <c r="Y100" s="974">
        <f t="shared" si="94"/>
        <v>-14400</v>
      </c>
      <c r="Z100" s="485">
        <f t="shared" si="77"/>
        <v>-57.600000000000009</v>
      </c>
      <c r="AA100" s="479">
        <v>25000</v>
      </c>
      <c r="AB100" s="459">
        <v>10600</v>
      </c>
      <c r="AC100" s="459">
        <f t="shared" si="78"/>
        <v>-14400</v>
      </c>
      <c r="AD100" s="470">
        <f t="shared" si="79"/>
        <v>-57.600000000000009</v>
      </c>
      <c r="AE100" s="479">
        <v>25000</v>
      </c>
      <c r="AF100" s="468">
        <v>10600</v>
      </c>
      <c r="AG100" s="467">
        <f t="shared" si="80"/>
        <v>-14400</v>
      </c>
      <c r="AH100" s="470">
        <f t="shared" si="81"/>
        <v>-57.600000000000009</v>
      </c>
      <c r="AI100" s="479">
        <v>25000</v>
      </c>
      <c r="AJ100" s="463">
        <v>10600</v>
      </c>
      <c r="AK100" s="467">
        <f t="shared" si="82"/>
        <v>-14400</v>
      </c>
      <c r="AL100" s="470">
        <f t="shared" si="83"/>
        <v>-57.600000000000009</v>
      </c>
      <c r="AM100" s="479">
        <v>25000</v>
      </c>
      <c r="AN100" s="463">
        <v>10600</v>
      </c>
      <c r="AO100" s="467">
        <f t="shared" si="84"/>
        <v>-14400</v>
      </c>
      <c r="AP100" s="470">
        <f t="shared" si="85"/>
        <v>-57.600000000000009</v>
      </c>
      <c r="AQ100" s="479">
        <v>25000</v>
      </c>
      <c r="AR100" s="468"/>
      <c r="AS100" s="467">
        <f t="shared" si="86"/>
        <v>-25000</v>
      </c>
      <c r="AT100" s="470">
        <f t="shared" si="87"/>
        <v>-100</v>
      </c>
      <c r="AU100" s="479">
        <v>25000</v>
      </c>
      <c r="AV100" s="463"/>
      <c r="AW100" s="459">
        <f t="shared" si="88"/>
        <v>-25000</v>
      </c>
      <c r="AX100" s="470">
        <f t="shared" si="89"/>
        <v>-100</v>
      </c>
      <c r="AY100" s="1097">
        <f t="shared" si="70"/>
        <v>300000</v>
      </c>
      <c r="AZ100" s="174">
        <f t="shared" si="71"/>
        <v>154937.41999999998</v>
      </c>
      <c r="BA100" s="118"/>
      <c r="BB100" s="805"/>
      <c r="BC100" s="804"/>
    </row>
    <row r="101" spans="1:95" s="119" customFormat="1" ht="18" customHeight="1" x14ac:dyDescent="0.25">
      <c r="A101" s="170">
        <v>52563</v>
      </c>
      <c r="B101" s="332" t="s">
        <v>60</v>
      </c>
      <c r="C101" s="899">
        <v>20000</v>
      </c>
      <c r="D101" s="465">
        <v>14994.7</v>
      </c>
      <c r="E101" s="459">
        <f t="shared" si="69"/>
        <v>-5005.2999999999993</v>
      </c>
      <c r="F101" s="469">
        <f t="shared" si="72"/>
        <v>-25.026499999999995</v>
      </c>
      <c r="G101" s="479">
        <v>20000</v>
      </c>
      <c r="H101" s="459">
        <v>18346</v>
      </c>
      <c r="I101" s="459">
        <f t="shared" si="90"/>
        <v>-1654</v>
      </c>
      <c r="J101" s="469">
        <f t="shared" si="73"/>
        <v>-8.27</v>
      </c>
      <c r="K101" s="479">
        <v>20000</v>
      </c>
      <c r="L101" s="830">
        <v>18666</v>
      </c>
      <c r="M101" s="467">
        <f t="shared" si="91"/>
        <v>-1334</v>
      </c>
      <c r="N101" s="469">
        <f t="shared" si="74"/>
        <v>-6.6699999999999982</v>
      </c>
      <c r="O101" s="479">
        <v>20000</v>
      </c>
      <c r="P101" s="813">
        <v>17866</v>
      </c>
      <c r="Q101" s="459">
        <f t="shared" si="92"/>
        <v>-2134</v>
      </c>
      <c r="R101" s="469">
        <f t="shared" si="75"/>
        <v>-10.670000000000002</v>
      </c>
      <c r="S101" s="479">
        <v>20000</v>
      </c>
      <c r="T101" s="459">
        <v>17947</v>
      </c>
      <c r="U101" s="459">
        <f t="shared" si="93"/>
        <v>-2053</v>
      </c>
      <c r="V101" s="470">
        <f t="shared" si="76"/>
        <v>-10.265000000000002</v>
      </c>
      <c r="W101" s="479">
        <v>20000</v>
      </c>
      <c r="X101" s="459">
        <v>18046</v>
      </c>
      <c r="Y101" s="974">
        <f t="shared" si="94"/>
        <v>-1954</v>
      </c>
      <c r="Z101" s="485">
        <f t="shared" si="77"/>
        <v>-9.7700000000000014</v>
      </c>
      <c r="AA101" s="479">
        <v>20000</v>
      </c>
      <c r="AB101" s="459">
        <v>17966</v>
      </c>
      <c r="AC101" s="459">
        <f t="shared" si="78"/>
        <v>-2034</v>
      </c>
      <c r="AD101" s="470">
        <f t="shared" si="79"/>
        <v>-10.170000000000002</v>
      </c>
      <c r="AE101" s="479">
        <v>20000</v>
      </c>
      <c r="AF101" s="468">
        <v>18066</v>
      </c>
      <c r="AG101" s="467">
        <f t="shared" si="80"/>
        <v>-1934</v>
      </c>
      <c r="AH101" s="470">
        <f t="shared" si="81"/>
        <v>-9.6700000000000017</v>
      </c>
      <c r="AI101" s="479">
        <v>20000</v>
      </c>
      <c r="AJ101" s="463">
        <v>15546</v>
      </c>
      <c r="AK101" s="467">
        <f t="shared" si="82"/>
        <v>-4454</v>
      </c>
      <c r="AL101" s="470">
        <f t="shared" si="83"/>
        <v>-22.27</v>
      </c>
      <c r="AM101" s="479">
        <v>20000</v>
      </c>
      <c r="AN101" s="463">
        <v>17725.5</v>
      </c>
      <c r="AO101" s="467">
        <f t="shared" si="84"/>
        <v>-2274.5</v>
      </c>
      <c r="AP101" s="470">
        <f t="shared" si="85"/>
        <v>-11.372499999999997</v>
      </c>
      <c r="AQ101" s="479">
        <v>20000</v>
      </c>
      <c r="AR101" s="468"/>
      <c r="AS101" s="467">
        <f t="shared" si="86"/>
        <v>-20000</v>
      </c>
      <c r="AT101" s="470">
        <f t="shared" si="87"/>
        <v>-100</v>
      </c>
      <c r="AU101" s="479">
        <v>20000</v>
      </c>
      <c r="AV101" s="463"/>
      <c r="AW101" s="459">
        <f t="shared" si="88"/>
        <v>-20000</v>
      </c>
      <c r="AX101" s="470">
        <f t="shared" si="89"/>
        <v>-100</v>
      </c>
      <c r="AY101" s="1097">
        <f t="shared" si="70"/>
        <v>240000</v>
      </c>
      <c r="AZ101" s="174">
        <f t="shared" si="71"/>
        <v>175169.2</v>
      </c>
      <c r="BA101" s="118"/>
      <c r="BB101" s="805"/>
      <c r="BC101" s="804"/>
    </row>
    <row r="102" spans="1:95" s="119" customFormat="1" ht="18" customHeight="1" x14ac:dyDescent="0.25">
      <c r="A102" s="170">
        <v>12878</v>
      </c>
      <c r="B102" s="332" t="s">
        <v>194</v>
      </c>
      <c r="C102" s="899">
        <v>1000</v>
      </c>
      <c r="D102" s="465">
        <v>789.25</v>
      </c>
      <c r="E102" s="459">
        <f t="shared" si="69"/>
        <v>-210.75</v>
      </c>
      <c r="F102" s="469">
        <f t="shared" si="72"/>
        <v>-21.074999999999999</v>
      </c>
      <c r="G102" s="479">
        <v>1000</v>
      </c>
      <c r="H102" s="459">
        <v>1236.25</v>
      </c>
      <c r="I102" s="459">
        <f t="shared" si="90"/>
        <v>236.25</v>
      </c>
      <c r="J102" s="469">
        <f t="shared" si="73"/>
        <v>23.625000000000007</v>
      </c>
      <c r="K102" s="479">
        <v>1000</v>
      </c>
      <c r="L102" s="830">
        <v>973.7</v>
      </c>
      <c r="M102" s="467">
        <f t="shared" si="91"/>
        <v>-26.299999999999955</v>
      </c>
      <c r="N102" s="469">
        <f t="shared" si="74"/>
        <v>-2.629999999999999</v>
      </c>
      <c r="O102" s="479">
        <v>1000</v>
      </c>
      <c r="P102" s="813">
        <v>659.2</v>
      </c>
      <c r="Q102" s="459">
        <f t="shared" si="92"/>
        <v>-340.79999999999995</v>
      </c>
      <c r="R102" s="469">
        <f t="shared" si="75"/>
        <v>-34.08</v>
      </c>
      <c r="S102" s="479">
        <v>1000</v>
      </c>
      <c r="T102" s="459">
        <v>476.5</v>
      </c>
      <c r="U102" s="459">
        <f t="shared" si="93"/>
        <v>-523.5</v>
      </c>
      <c r="V102" s="470">
        <f t="shared" si="76"/>
        <v>-52.350000000000009</v>
      </c>
      <c r="W102" s="479">
        <v>1000</v>
      </c>
      <c r="X102" s="459">
        <v>670.7</v>
      </c>
      <c r="Y102" s="974">
        <f t="shared" si="94"/>
        <v>-329.29999999999995</v>
      </c>
      <c r="Z102" s="485">
        <f t="shared" si="77"/>
        <v>-32.929999999999993</v>
      </c>
      <c r="AA102" s="479">
        <v>1000</v>
      </c>
      <c r="AB102" s="459">
        <v>505.15</v>
      </c>
      <c r="AC102" s="459">
        <f t="shared" si="78"/>
        <v>-494.85</v>
      </c>
      <c r="AD102" s="470">
        <f t="shared" si="79"/>
        <v>-49.484999999999999</v>
      </c>
      <c r="AE102" s="479">
        <v>1000</v>
      </c>
      <c r="AF102" s="468">
        <v>760.1</v>
      </c>
      <c r="AG102" s="467">
        <f t="shared" si="80"/>
        <v>-239.89999999999998</v>
      </c>
      <c r="AH102" s="470">
        <f t="shared" si="81"/>
        <v>-23.990000000000002</v>
      </c>
      <c r="AI102" s="479">
        <v>1000</v>
      </c>
      <c r="AJ102" s="463">
        <v>508.25</v>
      </c>
      <c r="AK102" s="467">
        <f t="shared" si="82"/>
        <v>-491.75</v>
      </c>
      <c r="AL102" s="470">
        <f t="shared" si="83"/>
        <v>-49.175000000000004</v>
      </c>
      <c r="AM102" s="479">
        <v>1000</v>
      </c>
      <c r="AN102" s="463">
        <v>1010.7</v>
      </c>
      <c r="AO102" s="467">
        <f t="shared" si="84"/>
        <v>10.700000000000045</v>
      </c>
      <c r="AP102" s="470">
        <f t="shared" si="85"/>
        <v>1.0700000000000154</v>
      </c>
      <c r="AQ102" s="479">
        <v>1000</v>
      </c>
      <c r="AR102" s="468"/>
      <c r="AS102" s="467">
        <f t="shared" si="86"/>
        <v>-1000</v>
      </c>
      <c r="AT102" s="470">
        <f t="shared" si="87"/>
        <v>-100</v>
      </c>
      <c r="AU102" s="479">
        <v>1000</v>
      </c>
      <c r="AV102" s="463"/>
      <c r="AW102" s="459">
        <f t="shared" si="88"/>
        <v>-1000</v>
      </c>
      <c r="AX102" s="470">
        <f t="shared" si="89"/>
        <v>-100</v>
      </c>
      <c r="AY102" s="1097">
        <f t="shared" si="70"/>
        <v>12000</v>
      </c>
      <c r="AZ102" s="571">
        <f t="shared" si="71"/>
        <v>7589.7999999999993</v>
      </c>
      <c r="BA102" s="118"/>
      <c r="BB102" s="805"/>
      <c r="BC102" s="804"/>
    </row>
    <row r="103" spans="1:95" s="119" customFormat="1" ht="18" customHeight="1" x14ac:dyDescent="0.25">
      <c r="A103" s="170">
        <v>54956</v>
      </c>
      <c r="B103" s="332" t="s">
        <v>188</v>
      </c>
      <c r="C103" s="899">
        <v>0</v>
      </c>
      <c r="D103" s="465">
        <v>0</v>
      </c>
      <c r="E103" s="459">
        <f t="shared" si="69"/>
        <v>0</v>
      </c>
      <c r="F103" s="469"/>
      <c r="G103" s="899">
        <v>0</v>
      </c>
      <c r="H103" s="459">
        <v>0</v>
      </c>
      <c r="I103" s="459">
        <f t="shared" si="90"/>
        <v>0</v>
      </c>
      <c r="J103" s="469"/>
      <c r="K103" s="459">
        <v>0</v>
      </c>
      <c r="L103" s="459">
        <v>0</v>
      </c>
      <c r="M103" s="467">
        <f t="shared" si="91"/>
        <v>0</v>
      </c>
      <c r="N103" s="469"/>
      <c r="O103" s="459">
        <v>0</v>
      </c>
      <c r="P103" s="813">
        <v>9900</v>
      </c>
      <c r="Q103" s="459">
        <f t="shared" si="92"/>
        <v>9900</v>
      </c>
      <c r="R103" s="469"/>
      <c r="S103" s="459">
        <v>0</v>
      </c>
      <c r="T103" s="459">
        <v>10230</v>
      </c>
      <c r="U103" s="459">
        <f t="shared" si="93"/>
        <v>10230</v>
      </c>
      <c r="V103" s="470"/>
      <c r="W103" s="459">
        <v>0</v>
      </c>
      <c r="X103" s="459">
        <v>9900</v>
      </c>
      <c r="Y103" s="974">
        <f t="shared" si="94"/>
        <v>9900</v>
      </c>
      <c r="Z103" s="485"/>
      <c r="AA103" s="459">
        <v>0</v>
      </c>
      <c r="AB103" s="459">
        <v>10230</v>
      </c>
      <c r="AC103" s="459">
        <f t="shared" si="78"/>
        <v>10230</v>
      </c>
      <c r="AD103" s="470"/>
      <c r="AE103" s="459">
        <v>0</v>
      </c>
      <c r="AF103" s="468">
        <v>10230</v>
      </c>
      <c r="AG103" s="467">
        <f t="shared" si="80"/>
        <v>10230</v>
      </c>
      <c r="AH103" s="470"/>
      <c r="AI103" s="459">
        <v>0</v>
      </c>
      <c r="AJ103" s="463">
        <v>9900</v>
      </c>
      <c r="AK103" s="467">
        <f t="shared" si="82"/>
        <v>9900</v>
      </c>
      <c r="AL103" s="470"/>
      <c r="AM103" s="459">
        <v>0</v>
      </c>
      <c r="AN103" s="463">
        <v>10230.200000000001</v>
      </c>
      <c r="AO103" s="467">
        <f t="shared" si="84"/>
        <v>10230.200000000001</v>
      </c>
      <c r="AP103" s="470"/>
      <c r="AQ103" s="459">
        <v>0</v>
      </c>
      <c r="AR103" s="468"/>
      <c r="AS103" s="467">
        <f t="shared" si="86"/>
        <v>0</v>
      </c>
      <c r="AT103" s="470"/>
      <c r="AU103" s="467">
        <v>0</v>
      </c>
      <c r="AV103" s="463"/>
      <c r="AW103" s="459">
        <f t="shared" si="88"/>
        <v>0</v>
      </c>
      <c r="AX103" s="470"/>
      <c r="AY103" s="1097">
        <f t="shared" si="70"/>
        <v>0</v>
      </c>
      <c r="AZ103" s="571">
        <f t="shared" si="71"/>
        <v>70620.2</v>
      </c>
      <c r="BA103" s="118"/>
      <c r="BB103" s="805"/>
      <c r="BC103" s="804"/>
    </row>
    <row r="104" spans="1:95" s="119" customFormat="1" ht="18" customHeight="1" x14ac:dyDescent="0.25">
      <c r="A104" s="170">
        <v>51641</v>
      </c>
      <c r="B104" s="332" t="s">
        <v>61</v>
      </c>
      <c r="C104" s="899">
        <v>60000</v>
      </c>
      <c r="D104" s="465">
        <v>62500</v>
      </c>
      <c r="E104" s="459">
        <f t="shared" si="69"/>
        <v>2500</v>
      </c>
      <c r="F104" s="470">
        <f t="shared" si="72"/>
        <v>4.1666666666666741</v>
      </c>
      <c r="G104" s="479">
        <v>60000</v>
      </c>
      <c r="H104" s="459">
        <v>105600</v>
      </c>
      <c r="I104" s="459">
        <f t="shared" si="90"/>
        <v>45600</v>
      </c>
      <c r="J104" s="469">
        <f t="shared" si="73"/>
        <v>76</v>
      </c>
      <c r="K104" s="479">
        <v>60000</v>
      </c>
      <c r="L104" s="830">
        <v>55600</v>
      </c>
      <c r="M104" s="467">
        <f t="shared" si="91"/>
        <v>-4400</v>
      </c>
      <c r="N104" s="469">
        <f t="shared" si="74"/>
        <v>-7.3333333333333357</v>
      </c>
      <c r="O104" s="479">
        <v>60000</v>
      </c>
      <c r="P104" s="813">
        <v>61000</v>
      </c>
      <c r="Q104" s="459">
        <f t="shared" si="92"/>
        <v>1000</v>
      </c>
      <c r="R104" s="469">
        <f t="shared" si="75"/>
        <v>1.6666666666666607</v>
      </c>
      <c r="S104" s="479">
        <v>60000</v>
      </c>
      <c r="T104" s="459">
        <v>61000</v>
      </c>
      <c r="U104" s="459">
        <f t="shared" si="93"/>
        <v>1000</v>
      </c>
      <c r="V104" s="470">
        <f t="shared" si="76"/>
        <v>1.6666666666666607</v>
      </c>
      <c r="W104" s="479">
        <v>60000</v>
      </c>
      <c r="X104" s="459">
        <v>61000</v>
      </c>
      <c r="Y104" s="974">
        <f t="shared" si="94"/>
        <v>1000</v>
      </c>
      <c r="Z104" s="485">
        <f t="shared" si="77"/>
        <v>1.6666666666666607</v>
      </c>
      <c r="AA104" s="479">
        <v>60000</v>
      </c>
      <c r="AB104" s="459">
        <v>61000</v>
      </c>
      <c r="AC104" s="459">
        <f t="shared" si="78"/>
        <v>1000</v>
      </c>
      <c r="AD104" s="470">
        <f t="shared" si="79"/>
        <v>1.6666666666666607</v>
      </c>
      <c r="AE104" s="479">
        <v>60000</v>
      </c>
      <c r="AF104" s="468">
        <v>61000</v>
      </c>
      <c r="AG104" s="467">
        <f t="shared" si="80"/>
        <v>1000</v>
      </c>
      <c r="AH104" s="470">
        <f t="shared" si="81"/>
        <v>1.6666666666666607</v>
      </c>
      <c r="AI104" s="479">
        <v>60000</v>
      </c>
      <c r="AJ104" s="463">
        <v>61000</v>
      </c>
      <c r="AK104" s="467">
        <f t="shared" si="82"/>
        <v>1000</v>
      </c>
      <c r="AL104" s="470">
        <f t="shared" si="83"/>
        <v>1.6666666666666607</v>
      </c>
      <c r="AM104" s="479">
        <v>60000</v>
      </c>
      <c r="AN104" s="463">
        <v>63169.36</v>
      </c>
      <c r="AO104" s="467">
        <f t="shared" si="84"/>
        <v>3169.3600000000006</v>
      </c>
      <c r="AP104" s="470">
        <f t="shared" si="85"/>
        <v>5.2822666666666684</v>
      </c>
      <c r="AQ104" s="479">
        <v>60000</v>
      </c>
      <c r="AR104" s="468"/>
      <c r="AS104" s="467">
        <f t="shared" si="86"/>
        <v>-60000</v>
      </c>
      <c r="AT104" s="470">
        <f t="shared" si="87"/>
        <v>-100</v>
      </c>
      <c r="AU104" s="479">
        <v>60000</v>
      </c>
      <c r="AV104" s="463"/>
      <c r="AW104" s="463">
        <f t="shared" si="88"/>
        <v>-60000</v>
      </c>
      <c r="AX104" s="470">
        <f t="shared" si="89"/>
        <v>-100</v>
      </c>
      <c r="AY104" s="1097">
        <f t="shared" si="70"/>
        <v>720000</v>
      </c>
      <c r="AZ104" s="174">
        <f t="shared" si="71"/>
        <v>652869.36</v>
      </c>
      <c r="BA104" s="118"/>
      <c r="BB104" s="805"/>
      <c r="BC104" s="804"/>
    </row>
    <row r="105" spans="1:95" s="119" customFormat="1" ht="18" customHeight="1" x14ac:dyDescent="0.25">
      <c r="A105" s="170">
        <v>54957</v>
      </c>
      <c r="B105" s="382" t="s">
        <v>3703</v>
      </c>
      <c r="C105" s="899">
        <v>0</v>
      </c>
      <c r="D105" s="465">
        <v>0</v>
      </c>
      <c r="E105" s="459">
        <f t="shared" si="69"/>
        <v>0</v>
      </c>
      <c r="F105" s="470"/>
      <c r="G105" s="459">
        <v>0</v>
      </c>
      <c r="H105" s="459">
        <v>0</v>
      </c>
      <c r="I105" s="459">
        <f t="shared" si="90"/>
        <v>0</v>
      </c>
      <c r="J105" s="469"/>
      <c r="K105" s="459">
        <v>0</v>
      </c>
      <c r="L105" s="459">
        <v>0</v>
      </c>
      <c r="M105" s="467">
        <f t="shared" si="91"/>
        <v>0</v>
      </c>
      <c r="N105" s="469"/>
      <c r="O105" s="459">
        <v>0</v>
      </c>
      <c r="P105" s="813">
        <v>2500</v>
      </c>
      <c r="Q105" s="459">
        <f t="shared" si="92"/>
        <v>2500</v>
      </c>
      <c r="R105" s="469"/>
      <c r="S105" s="459">
        <v>0</v>
      </c>
      <c r="T105" s="459">
        <v>1500</v>
      </c>
      <c r="U105" s="459">
        <f t="shared" si="93"/>
        <v>1500</v>
      </c>
      <c r="V105" s="470"/>
      <c r="W105" s="459">
        <v>0</v>
      </c>
      <c r="X105" s="459">
        <v>2500</v>
      </c>
      <c r="Y105" s="974">
        <f t="shared" si="94"/>
        <v>2500</v>
      </c>
      <c r="Z105" s="485"/>
      <c r="AA105" s="459">
        <v>0</v>
      </c>
      <c r="AB105" s="459">
        <v>2000</v>
      </c>
      <c r="AC105" s="459">
        <f t="shared" si="78"/>
        <v>2000</v>
      </c>
      <c r="AD105" s="470"/>
      <c r="AE105" s="459">
        <v>0</v>
      </c>
      <c r="AF105" s="468">
        <v>2000</v>
      </c>
      <c r="AG105" s="467">
        <f t="shared" si="80"/>
        <v>2000</v>
      </c>
      <c r="AH105" s="470"/>
      <c r="AI105" s="459">
        <v>0</v>
      </c>
      <c r="AJ105" s="463">
        <v>2000</v>
      </c>
      <c r="AK105" s="467">
        <f t="shared" si="82"/>
        <v>2000</v>
      </c>
      <c r="AL105" s="470"/>
      <c r="AM105" s="459">
        <v>0</v>
      </c>
      <c r="AN105" s="463">
        <v>4500</v>
      </c>
      <c r="AO105" s="467">
        <f t="shared" si="84"/>
        <v>4500</v>
      </c>
      <c r="AP105" s="470"/>
      <c r="AQ105" s="459">
        <v>0</v>
      </c>
      <c r="AR105" s="468"/>
      <c r="AS105" s="467">
        <f t="shared" si="86"/>
        <v>0</v>
      </c>
      <c r="AT105" s="470"/>
      <c r="AU105" s="467">
        <v>0</v>
      </c>
      <c r="AV105" s="463"/>
      <c r="AW105" s="463">
        <f t="shared" si="88"/>
        <v>0</v>
      </c>
      <c r="AX105" s="470"/>
      <c r="AY105" s="1097">
        <f t="shared" si="70"/>
        <v>0</v>
      </c>
      <c r="AZ105" s="174">
        <f t="shared" si="71"/>
        <v>17000</v>
      </c>
      <c r="BA105" s="118"/>
      <c r="BB105" s="805"/>
      <c r="BC105" s="804"/>
    </row>
    <row r="106" spans="1:95" s="119" customFormat="1" ht="18" customHeight="1" x14ac:dyDescent="0.25">
      <c r="A106" s="170">
        <v>53920</v>
      </c>
      <c r="B106" s="382" t="s">
        <v>3630</v>
      </c>
      <c r="C106" s="899">
        <v>15000</v>
      </c>
      <c r="D106" s="465">
        <v>11000</v>
      </c>
      <c r="E106" s="459">
        <f t="shared" si="69"/>
        <v>-4000</v>
      </c>
      <c r="F106" s="470">
        <f>((D106/C106)-1)*100</f>
        <v>-26.666666666666671</v>
      </c>
      <c r="G106" s="479">
        <v>15000</v>
      </c>
      <c r="H106" s="459">
        <v>11000</v>
      </c>
      <c r="I106" s="459">
        <f t="shared" si="90"/>
        <v>-4000</v>
      </c>
      <c r="J106" s="469">
        <f t="shared" ref="J106:J111" si="95">((H106/G106)-1)*100</f>
        <v>-26.666666666666671</v>
      </c>
      <c r="K106" s="479">
        <v>15000</v>
      </c>
      <c r="L106" s="830">
        <v>11000</v>
      </c>
      <c r="M106" s="467">
        <f>L106-K106</f>
        <v>-4000</v>
      </c>
      <c r="N106" s="469">
        <f>((L106/K106)-1)*100</f>
        <v>-26.666666666666671</v>
      </c>
      <c r="O106" s="479">
        <v>15000</v>
      </c>
      <c r="P106" s="813">
        <v>11000</v>
      </c>
      <c r="Q106" s="459">
        <f>P106-O106</f>
        <v>-4000</v>
      </c>
      <c r="R106" s="469">
        <f>((P106/O106)-1)*100</f>
        <v>-26.666666666666671</v>
      </c>
      <c r="S106" s="479">
        <v>15000</v>
      </c>
      <c r="T106" s="459">
        <v>11000</v>
      </c>
      <c r="U106" s="459">
        <f t="shared" si="93"/>
        <v>-4000</v>
      </c>
      <c r="V106" s="470">
        <f t="shared" si="76"/>
        <v>-26.666666666666671</v>
      </c>
      <c r="W106" s="479">
        <v>15000</v>
      </c>
      <c r="X106" s="459">
        <v>11000</v>
      </c>
      <c r="Y106" s="974">
        <f t="shared" si="94"/>
        <v>-4000</v>
      </c>
      <c r="Z106" s="485">
        <f t="shared" si="77"/>
        <v>-26.666666666666671</v>
      </c>
      <c r="AA106" s="479">
        <v>15000</v>
      </c>
      <c r="AB106" s="459">
        <v>11000</v>
      </c>
      <c r="AC106" s="459">
        <f t="shared" si="78"/>
        <v>-4000</v>
      </c>
      <c r="AD106" s="470">
        <f t="shared" si="79"/>
        <v>-26.666666666666671</v>
      </c>
      <c r="AE106" s="479">
        <v>15000</v>
      </c>
      <c r="AF106" s="468">
        <v>11000</v>
      </c>
      <c r="AG106" s="467">
        <f t="shared" si="80"/>
        <v>-4000</v>
      </c>
      <c r="AH106" s="470">
        <f t="shared" si="81"/>
        <v>-26.666666666666671</v>
      </c>
      <c r="AI106" s="479">
        <v>15000</v>
      </c>
      <c r="AJ106" s="463">
        <v>11000</v>
      </c>
      <c r="AK106" s="467">
        <f t="shared" si="82"/>
        <v>-4000</v>
      </c>
      <c r="AL106" s="470">
        <f t="shared" si="83"/>
        <v>-26.666666666666671</v>
      </c>
      <c r="AM106" s="479">
        <v>15000</v>
      </c>
      <c r="AN106" s="463">
        <v>11000</v>
      </c>
      <c r="AO106" s="467">
        <f t="shared" si="84"/>
        <v>-4000</v>
      </c>
      <c r="AP106" s="470">
        <f t="shared" si="85"/>
        <v>-26.666666666666671</v>
      </c>
      <c r="AQ106" s="479">
        <v>15000</v>
      </c>
      <c r="AR106" s="468"/>
      <c r="AS106" s="467">
        <f>AR106-AQ106</f>
        <v>-15000</v>
      </c>
      <c r="AT106" s="470">
        <f>((AR106/AQ106)-1)*100</f>
        <v>-100</v>
      </c>
      <c r="AU106" s="479">
        <v>15000</v>
      </c>
      <c r="AV106" s="463"/>
      <c r="AW106" s="463">
        <f t="shared" si="88"/>
        <v>-15000</v>
      </c>
      <c r="AX106" s="470">
        <f t="shared" si="89"/>
        <v>-100</v>
      </c>
      <c r="AY106" s="1097">
        <f t="shared" si="70"/>
        <v>180000</v>
      </c>
      <c r="AZ106" s="174">
        <f t="shared" si="71"/>
        <v>110000</v>
      </c>
      <c r="BA106" s="118"/>
      <c r="BB106" s="805"/>
      <c r="BC106" s="804"/>
    </row>
    <row r="107" spans="1:95" s="119" customFormat="1" ht="18" customHeight="1" x14ac:dyDescent="0.25">
      <c r="A107" s="170">
        <v>53921</v>
      </c>
      <c r="B107" s="382" t="s">
        <v>3631</v>
      </c>
      <c r="C107" s="899">
        <v>10000</v>
      </c>
      <c r="D107" s="465">
        <v>8006</v>
      </c>
      <c r="E107" s="459">
        <f t="shared" si="69"/>
        <v>-1994</v>
      </c>
      <c r="F107" s="470">
        <f>((D107/C107)-1)*100</f>
        <v>-19.940000000000001</v>
      </c>
      <c r="G107" s="479">
        <v>10000</v>
      </c>
      <c r="H107" s="459">
        <v>2000</v>
      </c>
      <c r="I107" s="459">
        <f t="shared" si="90"/>
        <v>-8000</v>
      </c>
      <c r="J107" s="469">
        <f t="shared" si="95"/>
        <v>-80</v>
      </c>
      <c r="K107" s="479">
        <v>10000</v>
      </c>
      <c r="L107" s="830">
        <v>2000</v>
      </c>
      <c r="M107" s="467">
        <f>L107-K107</f>
        <v>-8000</v>
      </c>
      <c r="N107" s="469">
        <f>((L107/K107)-1)*100</f>
        <v>-80</v>
      </c>
      <c r="O107" s="479">
        <v>10000</v>
      </c>
      <c r="P107" s="813">
        <v>2000</v>
      </c>
      <c r="Q107" s="459">
        <f>P107-O107</f>
        <v>-8000</v>
      </c>
      <c r="R107" s="469">
        <f>((P107/O107)-1)*100</f>
        <v>-80</v>
      </c>
      <c r="S107" s="479">
        <v>10000</v>
      </c>
      <c r="T107" s="459">
        <v>2000</v>
      </c>
      <c r="U107" s="459">
        <f t="shared" si="93"/>
        <v>-8000</v>
      </c>
      <c r="V107" s="470">
        <f t="shared" si="76"/>
        <v>-80</v>
      </c>
      <c r="W107" s="479">
        <v>10000</v>
      </c>
      <c r="X107" s="459">
        <v>4002</v>
      </c>
      <c r="Y107" s="974">
        <f t="shared" si="94"/>
        <v>-5998</v>
      </c>
      <c r="Z107" s="485">
        <f t="shared" si="77"/>
        <v>-59.98</v>
      </c>
      <c r="AA107" s="479">
        <v>10000</v>
      </c>
      <c r="AB107" s="459">
        <v>6004</v>
      </c>
      <c r="AC107" s="459">
        <f t="shared" si="78"/>
        <v>-3996</v>
      </c>
      <c r="AD107" s="470">
        <f t="shared" si="79"/>
        <v>-39.959999999999994</v>
      </c>
      <c r="AE107" s="479">
        <v>10000</v>
      </c>
      <c r="AF107" s="468">
        <v>4002</v>
      </c>
      <c r="AG107" s="467">
        <f t="shared" si="80"/>
        <v>-5998</v>
      </c>
      <c r="AH107" s="470">
        <f t="shared" si="81"/>
        <v>-59.98</v>
      </c>
      <c r="AI107" s="479">
        <v>10000</v>
      </c>
      <c r="AJ107" s="463">
        <v>2000</v>
      </c>
      <c r="AK107" s="467">
        <f t="shared" si="82"/>
        <v>-8000</v>
      </c>
      <c r="AL107" s="470">
        <f t="shared" si="83"/>
        <v>-80</v>
      </c>
      <c r="AM107" s="479">
        <v>10000</v>
      </c>
      <c r="AN107" s="463">
        <v>8006</v>
      </c>
      <c r="AO107" s="467">
        <f t="shared" si="84"/>
        <v>-1994</v>
      </c>
      <c r="AP107" s="470">
        <f t="shared" si="85"/>
        <v>-19.940000000000001</v>
      </c>
      <c r="AQ107" s="479">
        <v>10000</v>
      </c>
      <c r="AR107" s="468"/>
      <c r="AS107" s="467">
        <f>AR107-AQ107</f>
        <v>-10000</v>
      </c>
      <c r="AT107" s="470">
        <f>((AR107/AQ107)-1)*100</f>
        <v>-100</v>
      </c>
      <c r="AU107" s="479">
        <v>10000</v>
      </c>
      <c r="AV107" s="463"/>
      <c r="AW107" s="463">
        <f t="shared" si="88"/>
        <v>-10000</v>
      </c>
      <c r="AX107" s="470">
        <f t="shared" si="89"/>
        <v>-100</v>
      </c>
      <c r="AY107" s="1097">
        <f t="shared" si="70"/>
        <v>120000</v>
      </c>
      <c r="AZ107" s="174">
        <f t="shared" si="71"/>
        <v>40020</v>
      </c>
      <c r="BA107" s="118"/>
      <c r="BB107" s="805"/>
      <c r="BC107" s="804"/>
    </row>
    <row r="108" spans="1:95" s="119" customFormat="1" ht="18" customHeight="1" x14ac:dyDescent="0.25">
      <c r="A108" s="1072">
        <v>52204</v>
      </c>
      <c r="B108" s="1075" t="s">
        <v>3636</v>
      </c>
      <c r="C108" s="899">
        <v>0</v>
      </c>
      <c r="D108" s="422">
        <v>0</v>
      </c>
      <c r="E108" s="459">
        <f t="shared" si="69"/>
        <v>0</v>
      </c>
      <c r="F108" s="471"/>
      <c r="G108" s="422">
        <v>0</v>
      </c>
      <c r="H108" s="423">
        <v>0</v>
      </c>
      <c r="I108" s="459">
        <f t="shared" si="90"/>
        <v>0</v>
      </c>
      <c r="J108" s="469"/>
      <c r="K108" s="459">
        <v>0</v>
      </c>
      <c r="L108" s="459">
        <v>0</v>
      </c>
      <c r="M108" s="467">
        <f>L108-K108</f>
        <v>0</v>
      </c>
      <c r="N108" s="469"/>
      <c r="O108" s="459">
        <v>0</v>
      </c>
      <c r="P108" s="459">
        <v>0</v>
      </c>
      <c r="Q108" s="459">
        <f>P108-O108</f>
        <v>0</v>
      </c>
      <c r="R108" s="469"/>
      <c r="S108" s="459">
        <v>0</v>
      </c>
      <c r="T108" s="459">
        <v>0</v>
      </c>
      <c r="U108" s="459">
        <f t="shared" si="93"/>
        <v>0</v>
      </c>
      <c r="V108" s="470"/>
      <c r="W108" s="459">
        <v>0</v>
      </c>
      <c r="X108" s="425">
        <v>7241.99</v>
      </c>
      <c r="Y108" s="974">
        <f t="shared" si="94"/>
        <v>7241.99</v>
      </c>
      <c r="Z108" s="485"/>
      <c r="AA108" s="459">
        <v>0</v>
      </c>
      <c r="AB108" s="425">
        <v>0</v>
      </c>
      <c r="AC108" s="459">
        <f t="shared" ref="AC108:AC115" si="96">AB108-AA108</f>
        <v>0</v>
      </c>
      <c r="AD108" s="470"/>
      <c r="AE108" s="459">
        <v>0</v>
      </c>
      <c r="AF108" s="468">
        <v>2201.9699999999998</v>
      </c>
      <c r="AG108" s="467">
        <f>AF108-AE108</f>
        <v>2201.9699999999998</v>
      </c>
      <c r="AH108" s="470"/>
      <c r="AI108" s="459">
        <v>0</v>
      </c>
      <c r="AJ108" s="463">
        <v>0</v>
      </c>
      <c r="AK108" s="467">
        <f t="shared" ref="AK108:AK115" si="97">AJ108-AI108</f>
        <v>0</v>
      </c>
      <c r="AL108" s="470"/>
      <c r="AM108" s="459">
        <v>0</v>
      </c>
      <c r="AN108" s="463">
        <v>0</v>
      </c>
      <c r="AO108" s="467">
        <f>AN108-AM108</f>
        <v>0</v>
      </c>
      <c r="AP108" s="470"/>
      <c r="AQ108" s="459">
        <v>0</v>
      </c>
      <c r="AR108" s="468"/>
      <c r="AS108" s="467">
        <f>AR108-AQ108</f>
        <v>0</v>
      </c>
      <c r="AT108" s="470"/>
      <c r="AU108" s="467">
        <v>0</v>
      </c>
      <c r="AV108" s="463"/>
      <c r="AW108" s="463">
        <f>AV108-AU108</f>
        <v>0</v>
      </c>
      <c r="AX108" s="470"/>
      <c r="AY108" s="1097">
        <f t="shared" si="70"/>
        <v>0</v>
      </c>
      <c r="AZ108" s="571">
        <f t="shared" si="71"/>
        <v>9443.9599999999991</v>
      </c>
      <c r="BA108" s="118"/>
      <c r="BB108" s="805"/>
    </row>
    <row r="109" spans="1:95" s="423" customFormat="1" ht="18" customHeight="1" x14ac:dyDescent="0.25">
      <c r="A109" s="1098">
        <v>54162</v>
      </c>
      <c r="B109" s="1099" t="s">
        <v>3650</v>
      </c>
      <c r="C109" s="480">
        <v>20000</v>
      </c>
      <c r="D109" s="905">
        <v>19894.060000000001</v>
      </c>
      <c r="E109" s="459">
        <f t="shared" si="69"/>
        <v>-105.93999999999869</v>
      </c>
      <c r="F109" s="471">
        <f>((D109/C109)-1)*100</f>
        <v>-0.52969999999998851</v>
      </c>
      <c r="G109" s="480">
        <v>20000</v>
      </c>
      <c r="H109" s="459">
        <v>26363.39</v>
      </c>
      <c r="I109" s="459">
        <f t="shared" si="90"/>
        <v>6363.3899999999994</v>
      </c>
      <c r="J109" s="469">
        <f t="shared" si="95"/>
        <v>31.816949999999999</v>
      </c>
      <c r="K109" s="480">
        <v>20000</v>
      </c>
      <c r="L109" s="831">
        <v>91240</v>
      </c>
      <c r="M109" s="467">
        <f>L109-K109</f>
        <v>71240</v>
      </c>
      <c r="N109" s="469">
        <f>((L109/K109)-1)*100</f>
        <v>356.20000000000005</v>
      </c>
      <c r="O109" s="480">
        <v>20000</v>
      </c>
      <c r="P109" s="806">
        <v>31320.33</v>
      </c>
      <c r="Q109" s="459">
        <f>P109-O109</f>
        <v>11320.330000000002</v>
      </c>
      <c r="R109" s="469">
        <f>((P109/O109)-1)*100</f>
        <v>56.601650000000014</v>
      </c>
      <c r="S109" s="480">
        <v>20000</v>
      </c>
      <c r="T109" s="424">
        <v>13393.42</v>
      </c>
      <c r="U109" s="459">
        <f t="shared" si="93"/>
        <v>-6606.58</v>
      </c>
      <c r="V109" s="470">
        <f t="shared" si="76"/>
        <v>-33.032899999999998</v>
      </c>
      <c r="W109" s="480">
        <v>20000</v>
      </c>
      <c r="X109" s="425">
        <v>6377.6</v>
      </c>
      <c r="Y109" s="974">
        <f t="shared" si="94"/>
        <v>-13622.4</v>
      </c>
      <c r="Z109" s="485">
        <f t="shared" si="77"/>
        <v>-68.111999999999995</v>
      </c>
      <c r="AA109" s="480">
        <v>20000</v>
      </c>
      <c r="AB109" s="425">
        <v>11392</v>
      </c>
      <c r="AC109" s="459">
        <f t="shared" si="96"/>
        <v>-8608</v>
      </c>
      <c r="AD109" s="470">
        <f>((AB109/AA109)-1)*100</f>
        <v>-43.04</v>
      </c>
      <c r="AE109" s="480">
        <v>20000</v>
      </c>
      <c r="AF109" s="468">
        <v>20256</v>
      </c>
      <c r="AG109" s="467">
        <f>AF109-AE109</f>
        <v>256</v>
      </c>
      <c r="AH109" s="470">
        <f>((AF109/AE109)-1)*100</f>
        <v>1.2799999999999923</v>
      </c>
      <c r="AI109" s="480">
        <v>20000</v>
      </c>
      <c r="AJ109" s="463">
        <v>19096</v>
      </c>
      <c r="AK109" s="467">
        <f t="shared" si="97"/>
        <v>-904</v>
      </c>
      <c r="AL109" s="470">
        <f>((AJ109/AI109)-1)*100</f>
        <v>-4.5200000000000014</v>
      </c>
      <c r="AM109" s="480">
        <v>20000</v>
      </c>
      <c r="AN109" s="463">
        <v>14976</v>
      </c>
      <c r="AO109" s="467">
        <f>AN109-AM109</f>
        <v>-5024</v>
      </c>
      <c r="AP109" s="470">
        <f>((AN109/AM109)-1)*100</f>
        <v>-25.119999999999997</v>
      </c>
      <c r="AQ109" s="480">
        <v>20000</v>
      </c>
      <c r="AR109" s="468"/>
      <c r="AS109" s="467">
        <f>AR109-AQ109</f>
        <v>-20000</v>
      </c>
      <c r="AT109" s="470">
        <f>((AR109/AQ109)-1)*100</f>
        <v>-100</v>
      </c>
      <c r="AU109" s="480">
        <v>20000</v>
      </c>
      <c r="AV109" s="463"/>
      <c r="AW109" s="463">
        <f>AV109-AU109</f>
        <v>-20000</v>
      </c>
      <c r="AX109" s="470">
        <f>((AV109/AU109)-1)*100</f>
        <v>-100</v>
      </c>
      <c r="AY109" s="1097">
        <f t="shared" si="70"/>
        <v>240000</v>
      </c>
      <c r="AZ109" s="174">
        <f t="shared" si="71"/>
        <v>254308.80000000005</v>
      </c>
      <c r="BA109" s="118"/>
      <c r="BB109" s="805"/>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row>
    <row r="110" spans="1:95" s="146" customFormat="1" ht="18" customHeight="1" x14ac:dyDescent="0.25">
      <c r="A110" s="1100">
        <v>54391</v>
      </c>
      <c r="B110" s="1075" t="s">
        <v>3657</v>
      </c>
      <c r="C110" s="480">
        <v>90000</v>
      </c>
      <c r="D110" s="905">
        <v>89480</v>
      </c>
      <c r="E110" s="459">
        <f t="shared" si="69"/>
        <v>-520</v>
      </c>
      <c r="F110" s="471">
        <f>((D110/C110)-1)*100</f>
        <v>-0.57777777777777706</v>
      </c>
      <c r="G110" s="480">
        <v>90000</v>
      </c>
      <c r="H110" s="459">
        <v>86560</v>
      </c>
      <c r="I110" s="459">
        <f t="shared" si="90"/>
        <v>-3440</v>
      </c>
      <c r="J110" s="469">
        <f t="shared" si="95"/>
        <v>-3.8222222222222269</v>
      </c>
      <c r="K110" s="480">
        <v>90000</v>
      </c>
      <c r="L110" s="831">
        <v>21364.66</v>
      </c>
      <c r="M110" s="467">
        <f t="shared" ref="M110:M115" si="98">L110-K110</f>
        <v>-68635.34</v>
      </c>
      <c r="N110" s="469">
        <f>((L110/K110)-1)*100</f>
        <v>-76.261488888888891</v>
      </c>
      <c r="O110" s="480">
        <v>90000</v>
      </c>
      <c r="P110" s="806">
        <v>89520</v>
      </c>
      <c r="Q110" s="459">
        <f t="shared" ref="Q110:Q115" si="99">P110-O110</f>
        <v>-480</v>
      </c>
      <c r="R110" s="469">
        <f>((P110/O110)-1)*100</f>
        <v>-0.53333333333333011</v>
      </c>
      <c r="S110" s="480">
        <v>90000</v>
      </c>
      <c r="T110" s="424">
        <v>88808</v>
      </c>
      <c r="U110" s="459">
        <f t="shared" si="93"/>
        <v>-1192</v>
      </c>
      <c r="V110" s="470">
        <f t="shared" si="76"/>
        <v>-1.3244444444444392</v>
      </c>
      <c r="W110" s="480">
        <v>90000</v>
      </c>
      <c r="X110" s="425">
        <v>91956.479999999996</v>
      </c>
      <c r="Y110" s="974">
        <f t="shared" si="94"/>
        <v>1956.4799999999959</v>
      </c>
      <c r="Z110" s="485">
        <f t="shared" si="77"/>
        <v>2.1738666666666573</v>
      </c>
      <c r="AA110" s="480">
        <v>90000</v>
      </c>
      <c r="AB110" s="425">
        <v>91836.479999999996</v>
      </c>
      <c r="AC110" s="459">
        <f t="shared" si="96"/>
        <v>1836.4799999999959</v>
      </c>
      <c r="AD110" s="470">
        <f>((AB110/AA110)-1)*100</f>
        <v>2.0405333333333386</v>
      </c>
      <c r="AE110" s="1003">
        <v>90000</v>
      </c>
      <c r="AF110" s="993">
        <v>87316.800000000003</v>
      </c>
      <c r="AG110" s="467">
        <f t="shared" ref="AG110:AG115" si="100">AF110-AE110</f>
        <v>-2683.1999999999971</v>
      </c>
      <c r="AH110" s="470">
        <f>((AF110/AE110)-1)*100</f>
        <v>-2.9813333333333247</v>
      </c>
      <c r="AI110" s="480">
        <v>90000</v>
      </c>
      <c r="AJ110" s="425">
        <v>75120</v>
      </c>
      <c r="AK110" s="467">
        <f t="shared" si="97"/>
        <v>-14880</v>
      </c>
      <c r="AL110" s="470">
        <f>((AJ110/AI110)-1)*100</f>
        <v>-16.533333333333331</v>
      </c>
      <c r="AM110" s="480">
        <v>90000</v>
      </c>
      <c r="AN110" s="463">
        <v>90356.479999999996</v>
      </c>
      <c r="AO110" s="467">
        <f t="shared" ref="AO110:AO115" si="101">AN110-AM110</f>
        <v>356.47999999999593</v>
      </c>
      <c r="AP110" s="470">
        <f>((AN110/AM110)-1)*100</f>
        <v>0.39608888888889027</v>
      </c>
      <c r="AQ110" s="480">
        <v>90000</v>
      </c>
      <c r="AR110" s="468"/>
      <c r="AS110" s="467">
        <f t="shared" ref="AS110:AS115" si="102">AR110-AQ110</f>
        <v>-90000</v>
      </c>
      <c r="AT110" s="470">
        <f>((AR110/AQ110)-1)*100</f>
        <v>-100</v>
      </c>
      <c r="AU110" s="480">
        <v>90000</v>
      </c>
      <c r="AV110" s="463"/>
      <c r="AW110" s="463">
        <f t="shared" ref="AW110:AW115" si="103">AV110-AU110</f>
        <v>-90000</v>
      </c>
      <c r="AX110" s="470">
        <f>((AV110/AU110)-1)*100</f>
        <v>-100</v>
      </c>
      <c r="AY110" s="1097">
        <f t="shared" si="70"/>
        <v>1080000</v>
      </c>
      <c r="AZ110" s="174">
        <f t="shared" si="71"/>
        <v>812318.9</v>
      </c>
      <c r="BA110" s="231"/>
    </row>
    <row r="111" spans="1:95" s="146" customFormat="1" ht="18" customHeight="1" x14ac:dyDescent="0.25">
      <c r="A111" s="1101">
        <v>54448</v>
      </c>
      <c r="B111" s="1075" t="s">
        <v>3675</v>
      </c>
      <c r="C111" s="480">
        <v>10000</v>
      </c>
      <c r="D111" s="952">
        <v>5450</v>
      </c>
      <c r="E111" s="953">
        <f t="shared" si="69"/>
        <v>-4550</v>
      </c>
      <c r="F111" s="954">
        <f>((D111/C111)-1)*100</f>
        <v>-45.499999999999993</v>
      </c>
      <c r="G111" s="955">
        <v>10000</v>
      </c>
      <c r="H111" s="953">
        <v>4825</v>
      </c>
      <c r="I111" s="953">
        <f t="shared" si="90"/>
        <v>-5175</v>
      </c>
      <c r="J111" s="957">
        <f t="shared" si="95"/>
        <v>-51.750000000000007</v>
      </c>
      <c r="K111" s="955">
        <v>10000</v>
      </c>
      <c r="L111" s="991">
        <v>5000</v>
      </c>
      <c r="M111" s="958">
        <f t="shared" si="98"/>
        <v>-5000</v>
      </c>
      <c r="N111" s="957">
        <f>((L111/K111)-1)*100</f>
        <v>-50</v>
      </c>
      <c r="O111" s="955">
        <v>10000</v>
      </c>
      <c r="P111" s="959">
        <v>4775</v>
      </c>
      <c r="Q111" s="953">
        <f t="shared" si="99"/>
        <v>-5225</v>
      </c>
      <c r="R111" s="957">
        <f>((P111/O111)-1)*100</f>
        <v>-52.25</v>
      </c>
      <c r="S111" s="955">
        <v>10000</v>
      </c>
      <c r="T111" s="956">
        <v>5325</v>
      </c>
      <c r="U111" s="953">
        <f t="shared" si="93"/>
        <v>-4675</v>
      </c>
      <c r="V111" s="960">
        <f t="shared" si="76"/>
        <v>-46.75</v>
      </c>
      <c r="W111" s="955">
        <v>10000</v>
      </c>
      <c r="X111" s="961">
        <v>7100</v>
      </c>
      <c r="Y111" s="975">
        <f t="shared" si="94"/>
        <v>-2900</v>
      </c>
      <c r="Z111" s="962">
        <f t="shared" si="77"/>
        <v>-29.000000000000004</v>
      </c>
      <c r="AA111" s="951">
        <v>10000</v>
      </c>
      <c r="AB111" s="520">
        <v>5700</v>
      </c>
      <c r="AC111" s="953">
        <f t="shared" si="96"/>
        <v>-4300</v>
      </c>
      <c r="AD111" s="470">
        <f>((AB111/AA111)-1)*100</f>
        <v>-43.000000000000007</v>
      </c>
      <c r="AE111" s="1004">
        <v>10000</v>
      </c>
      <c r="AF111" s="967">
        <v>7675</v>
      </c>
      <c r="AG111" s="958">
        <f t="shared" si="100"/>
        <v>-2325</v>
      </c>
      <c r="AH111" s="960">
        <f>((AF111/AE111)-1)*100</f>
        <v>-23.250000000000004</v>
      </c>
      <c r="AI111" s="955">
        <v>10000</v>
      </c>
      <c r="AJ111" s="961">
        <v>5925</v>
      </c>
      <c r="AK111" s="958">
        <f t="shared" si="97"/>
        <v>-4075</v>
      </c>
      <c r="AL111" s="960">
        <f>((AJ111/AI111)-1)*100</f>
        <v>-40.75</v>
      </c>
      <c r="AM111" s="955">
        <v>10000</v>
      </c>
      <c r="AN111" s="963">
        <v>5275</v>
      </c>
      <c r="AO111" s="958">
        <f t="shared" si="101"/>
        <v>-4725</v>
      </c>
      <c r="AP111" s="470">
        <f>((AN111/AM111)-1)*100</f>
        <v>-47.25</v>
      </c>
      <c r="AQ111" s="955">
        <v>10000</v>
      </c>
      <c r="AR111" s="964"/>
      <c r="AS111" s="958">
        <f t="shared" si="102"/>
        <v>-10000</v>
      </c>
      <c r="AT111" s="960">
        <f>((AR111/AQ111)-1)*100</f>
        <v>-100</v>
      </c>
      <c r="AU111" s="955">
        <v>10000</v>
      </c>
      <c r="AV111" s="963"/>
      <c r="AW111" s="963">
        <f t="shared" si="103"/>
        <v>-10000</v>
      </c>
      <c r="AX111" s="960">
        <f>((AV111/AU111)-1)*100</f>
        <v>-100</v>
      </c>
      <c r="AY111" s="1097">
        <f t="shared" si="70"/>
        <v>120000</v>
      </c>
      <c r="AZ111" s="965">
        <f t="shared" si="71"/>
        <v>57050</v>
      </c>
      <c r="BA111" s="231"/>
    </row>
    <row r="112" spans="1:95" s="146" customFormat="1" ht="18" customHeight="1" x14ac:dyDescent="0.25">
      <c r="A112" s="1100">
        <v>33263</v>
      </c>
      <c r="B112" s="1075" t="s">
        <v>3700</v>
      </c>
      <c r="C112" s="468">
        <v>0</v>
      </c>
      <c r="D112" s="992">
        <v>250000</v>
      </c>
      <c r="E112" s="459">
        <f t="shared" si="69"/>
        <v>250000</v>
      </c>
      <c r="F112" s="965"/>
      <c r="G112" s="899">
        <v>0</v>
      </c>
      <c r="H112" s="992">
        <v>250000</v>
      </c>
      <c r="I112" s="459">
        <f t="shared" si="90"/>
        <v>250000</v>
      </c>
      <c r="J112" s="465"/>
      <c r="K112" s="899">
        <v>0</v>
      </c>
      <c r="L112" s="992">
        <v>-2769.39</v>
      </c>
      <c r="M112" s="459">
        <f t="shared" si="98"/>
        <v>-2769.39</v>
      </c>
      <c r="N112" s="465"/>
      <c r="O112" s="899">
        <v>0</v>
      </c>
      <c r="P112" s="992">
        <v>250000</v>
      </c>
      <c r="Q112" s="459">
        <f t="shared" si="99"/>
        <v>250000</v>
      </c>
      <c r="R112" s="957"/>
      <c r="S112" s="899">
        <v>0</v>
      </c>
      <c r="T112" s="992">
        <v>255437.87</v>
      </c>
      <c r="U112" s="459">
        <f t="shared" si="93"/>
        <v>255437.87</v>
      </c>
      <c r="V112" s="465"/>
      <c r="W112" s="899">
        <v>0</v>
      </c>
      <c r="X112" s="992">
        <v>0</v>
      </c>
      <c r="Y112" s="459">
        <f t="shared" si="94"/>
        <v>0</v>
      </c>
      <c r="Z112" s="465"/>
      <c r="AA112" s="899">
        <v>0</v>
      </c>
      <c r="AB112" s="992">
        <v>250000</v>
      </c>
      <c r="AC112" s="953">
        <f t="shared" si="96"/>
        <v>250000</v>
      </c>
      <c r="AD112" s="470"/>
      <c r="AE112" s="211">
        <v>0</v>
      </c>
      <c r="AF112" s="1002">
        <v>500000</v>
      </c>
      <c r="AG112" s="958">
        <f t="shared" si="100"/>
        <v>500000</v>
      </c>
      <c r="AH112" s="465"/>
      <c r="AI112" s="899">
        <v>0</v>
      </c>
      <c r="AJ112" s="992">
        <v>0</v>
      </c>
      <c r="AK112" s="958">
        <f t="shared" si="97"/>
        <v>0</v>
      </c>
      <c r="AL112" s="465"/>
      <c r="AM112" s="899">
        <v>0</v>
      </c>
      <c r="AN112" s="992">
        <v>500000</v>
      </c>
      <c r="AO112" s="958">
        <f t="shared" si="101"/>
        <v>500000</v>
      </c>
      <c r="AP112" s="465"/>
      <c r="AQ112" s="899">
        <v>0</v>
      </c>
      <c r="AR112" s="1102"/>
      <c r="AS112" s="459">
        <f t="shared" si="102"/>
        <v>0</v>
      </c>
      <c r="AT112" s="465"/>
      <c r="AU112" s="899">
        <v>0</v>
      </c>
      <c r="AV112" s="465"/>
      <c r="AW112" s="993">
        <f t="shared" si="103"/>
        <v>0</v>
      </c>
      <c r="AX112" s="1103"/>
      <c r="AY112" s="1097">
        <f t="shared" si="70"/>
        <v>0</v>
      </c>
      <c r="AZ112" s="965">
        <f t="shared" si="71"/>
        <v>2252668.48</v>
      </c>
      <c r="BA112" s="231"/>
    </row>
    <row r="113" spans="1:53" s="146" customFormat="1" ht="18" customHeight="1" x14ac:dyDescent="0.25">
      <c r="A113" s="1101">
        <v>55062</v>
      </c>
      <c r="B113" s="1075" t="s">
        <v>3705</v>
      </c>
      <c r="C113" s="899">
        <v>0</v>
      </c>
      <c r="D113" s="465">
        <v>0</v>
      </c>
      <c r="E113" s="459">
        <f t="shared" si="69"/>
        <v>0</v>
      </c>
      <c r="F113" s="1104"/>
      <c r="G113" s="468">
        <v>0</v>
      </c>
      <c r="H113" s="995">
        <v>0</v>
      </c>
      <c r="I113" s="459">
        <f t="shared" si="90"/>
        <v>0</v>
      </c>
      <c r="J113" s="465"/>
      <c r="K113" s="899">
        <v>0</v>
      </c>
      <c r="L113" s="459">
        <v>0</v>
      </c>
      <c r="M113" s="459">
        <f t="shared" si="98"/>
        <v>0</v>
      </c>
      <c r="N113" s="465"/>
      <c r="O113" s="899">
        <v>0</v>
      </c>
      <c r="P113" s="459">
        <v>0</v>
      </c>
      <c r="Q113" s="459">
        <f t="shared" si="99"/>
        <v>0</v>
      </c>
      <c r="R113" s="465"/>
      <c r="S113" s="899">
        <v>0</v>
      </c>
      <c r="T113" s="459">
        <v>0</v>
      </c>
      <c r="U113" s="459">
        <f t="shared" si="93"/>
        <v>0</v>
      </c>
      <c r="V113" s="465"/>
      <c r="W113" s="899">
        <v>0</v>
      </c>
      <c r="X113" s="992">
        <v>950</v>
      </c>
      <c r="Y113" s="459">
        <f t="shared" si="94"/>
        <v>950</v>
      </c>
      <c r="Z113" s="465"/>
      <c r="AA113" s="899">
        <v>0</v>
      </c>
      <c r="AB113" s="992">
        <v>0</v>
      </c>
      <c r="AC113" s="953">
        <f t="shared" si="96"/>
        <v>0</v>
      </c>
      <c r="AD113" s="470"/>
      <c r="AE113" s="211">
        <v>0</v>
      </c>
      <c r="AF113" s="1002">
        <v>0</v>
      </c>
      <c r="AG113" s="958">
        <f t="shared" si="100"/>
        <v>0</v>
      </c>
      <c r="AH113" s="465"/>
      <c r="AI113" s="899">
        <v>0</v>
      </c>
      <c r="AJ113" s="992">
        <v>0</v>
      </c>
      <c r="AK113" s="958">
        <f t="shared" si="97"/>
        <v>0</v>
      </c>
      <c r="AL113" s="465"/>
      <c r="AM113" s="899">
        <v>0</v>
      </c>
      <c r="AN113" s="992">
        <v>0</v>
      </c>
      <c r="AO113" s="958">
        <f t="shared" si="101"/>
        <v>0</v>
      </c>
      <c r="AP113" s="465"/>
      <c r="AQ113" s="899">
        <v>0</v>
      </c>
      <c r="AR113" s="1102"/>
      <c r="AS113" s="459">
        <f t="shared" si="102"/>
        <v>0</v>
      </c>
      <c r="AT113" s="465"/>
      <c r="AU113" s="899">
        <v>0</v>
      </c>
      <c r="AV113" s="465"/>
      <c r="AW113" s="993">
        <f t="shared" si="103"/>
        <v>0</v>
      </c>
      <c r="AX113" s="1103"/>
      <c r="AY113" s="1097">
        <f>C113+G113+K113+O113+S113+W113+AA113+AE113+AI113+AM113+AQ113+AU113</f>
        <v>0</v>
      </c>
      <c r="AZ113" s="965">
        <f>SUM(D113+H113+L113+P113+T113+X113+AB113+AF113+AJ113+AN113+AR113+AV113)</f>
        <v>950</v>
      </c>
      <c r="BA113" s="1105"/>
    </row>
    <row r="114" spans="1:53" s="146" customFormat="1" ht="18" customHeight="1" x14ac:dyDescent="0.25">
      <c r="A114" s="1100">
        <v>55105</v>
      </c>
      <c r="B114" s="1075" t="s">
        <v>3706</v>
      </c>
      <c r="C114" s="899">
        <v>0</v>
      </c>
      <c r="D114" s="465">
        <v>0</v>
      </c>
      <c r="E114" s="459">
        <f t="shared" si="69"/>
        <v>0</v>
      </c>
      <c r="F114" s="1106"/>
      <c r="G114" s="468">
        <v>0</v>
      </c>
      <c r="H114" s="995">
        <v>0</v>
      </c>
      <c r="I114" s="459">
        <f t="shared" si="90"/>
        <v>0</v>
      </c>
      <c r="J114" s="905"/>
      <c r="K114" s="899">
        <v>0</v>
      </c>
      <c r="L114" s="459">
        <v>0</v>
      </c>
      <c r="M114" s="459">
        <f t="shared" si="98"/>
        <v>0</v>
      </c>
      <c r="N114" s="905"/>
      <c r="O114" s="899">
        <v>0</v>
      </c>
      <c r="P114" s="459">
        <v>0</v>
      </c>
      <c r="Q114" s="459">
        <f t="shared" si="99"/>
        <v>0</v>
      </c>
      <c r="R114" s="905"/>
      <c r="S114" s="899">
        <v>0</v>
      </c>
      <c r="T114" s="459">
        <v>0</v>
      </c>
      <c r="U114" s="459">
        <f t="shared" si="93"/>
        <v>0</v>
      </c>
      <c r="V114" s="905"/>
      <c r="W114" s="899">
        <v>0</v>
      </c>
      <c r="X114" s="1107">
        <v>24000</v>
      </c>
      <c r="Y114" s="459">
        <f t="shared" si="94"/>
        <v>24000</v>
      </c>
      <c r="Z114" s="905"/>
      <c r="AA114" s="899">
        <v>0</v>
      </c>
      <c r="AB114" s="459">
        <v>0</v>
      </c>
      <c r="AC114" s="953">
        <f t="shared" si="96"/>
        <v>0</v>
      </c>
      <c r="AD114" s="470"/>
      <c r="AE114" s="211">
        <v>0</v>
      </c>
      <c r="AF114" s="1002">
        <v>0</v>
      </c>
      <c r="AG114" s="958">
        <f t="shared" si="100"/>
        <v>0</v>
      </c>
      <c r="AH114" s="905"/>
      <c r="AI114" s="899">
        <v>0</v>
      </c>
      <c r="AJ114" s="992">
        <v>0</v>
      </c>
      <c r="AK114" s="958">
        <f t="shared" si="97"/>
        <v>0</v>
      </c>
      <c r="AL114" s="905"/>
      <c r="AM114" s="899">
        <v>0</v>
      </c>
      <c r="AN114" s="992">
        <v>0</v>
      </c>
      <c r="AO114" s="958">
        <f t="shared" si="101"/>
        <v>0</v>
      </c>
      <c r="AP114" s="905"/>
      <c r="AQ114" s="899">
        <v>0</v>
      </c>
      <c r="AR114" s="1108"/>
      <c r="AS114" s="459">
        <f t="shared" si="102"/>
        <v>0</v>
      </c>
      <c r="AT114" s="905"/>
      <c r="AU114" s="899">
        <v>0</v>
      </c>
      <c r="AV114" s="994"/>
      <c r="AW114" s="459">
        <f t="shared" si="103"/>
        <v>0</v>
      </c>
      <c r="AX114" s="1103"/>
      <c r="AY114" s="1097">
        <f t="shared" si="70"/>
        <v>0</v>
      </c>
      <c r="AZ114" s="965">
        <f t="shared" si="71"/>
        <v>24000</v>
      </c>
      <c r="BA114" s="1105"/>
    </row>
    <row r="115" spans="1:53" s="11" customFormat="1" ht="18" customHeight="1" thickBot="1" x14ac:dyDescent="0.3">
      <c r="A115" s="1101">
        <v>55229</v>
      </c>
      <c r="B115" s="1109" t="s">
        <v>3710</v>
      </c>
      <c r="C115" s="1110">
        <v>0</v>
      </c>
      <c r="D115" s="1111">
        <v>0</v>
      </c>
      <c r="E115" s="1112">
        <f t="shared" si="69"/>
        <v>0</v>
      </c>
      <c r="F115" s="1113"/>
      <c r="G115" s="1114">
        <v>0</v>
      </c>
      <c r="H115" s="1112">
        <v>0</v>
      </c>
      <c r="I115" s="1115">
        <f t="shared" si="90"/>
        <v>0</v>
      </c>
      <c r="J115" s="1116"/>
      <c r="K115" s="1114">
        <v>0</v>
      </c>
      <c r="L115" s="1115">
        <v>0</v>
      </c>
      <c r="M115" s="1111">
        <f t="shared" si="98"/>
        <v>0</v>
      </c>
      <c r="N115" s="1113"/>
      <c r="O115" s="1114">
        <v>0</v>
      </c>
      <c r="P115" s="1112">
        <v>0</v>
      </c>
      <c r="Q115" s="1115">
        <f t="shared" si="99"/>
        <v>0</v>
      </c>
      <c r="R115" s="1116"/>
      <c r="S115" s="1114">
        <v>0</v>
      </c>
      <c r="T115" s="1112">
        <v>0</v>
      </c>
      <c r="U115" s="1112">
        <f t="shared" si="93"/>
        <v>0</v>
      </c>
      <c r="V115" s="1113"/>
      <c r="W115" s="1114">
        <v>0</v>
      </c>
      <c r="X115" s="1112">
        <v>0</v>
      </c>
      <c r="Y115" s="1115">
        <f t="shared" si="94"/>
        <v>0</v>
      </c>
      <c r="Z115" s="1116"/>
      <c r="AA115" s="1114">
        <v>0</v>
      </c>
      <c r="AB115" s="1112">
        <v>0</v>
      </c>
      <c r="AC115" s="1112">
        <f t="shared" si="96"/>
        <v>0</v>
      </c>
      <c r="AD115" s="1113"/>
      <c r="AE115" s="1110">
        <v>0</v>
      </c>
      <c r="AF115" s="1111">
        <v>37680</v>
      </c>
      <c r="AG115" s="1112">
        <f t="shared" si="100"/>
        <v>37680</v>
      </c>
      <c r="AH115" s="1113"/>
      <c r="AI115" s="1114">
        <v>0</v>
      </c>
      <c r="AJ115" s="1112">
        <v>39360</v>
      </c>
      <c r="AK115" s="1112">
        <f t="shared" si="97"/>
        <v>39360</v>
      </c>
      <c r="AL115" s="1113"/>
      <c r="AM115" s="1114">
        <v>0</v>
      </c>
      <c r="AN115" s="1115">
        <v>48240</v>
      </c>
      <c r="AO115" s="1115">
        <f t="shared" si="101"/>
        <v>48240</v>
      </c>
      <c r="AP115" s="1116"/>
      <c r="AQ115" s="1109">
        <v>0</v>
      </c>
      <c r="AR115" s="1114"/>
      <c r="AS115" s="1112">
        <f t="shared" si="102"/>
        <v>0</v>
      </c>
      <c r="AT115" s="1113"/>
      <c r="AU115" s="1114">
        <v>0</v>
      </c>
      <c r="AV115" s="1115"/>
      <c r="AW115" s="1115">
        <f t="shared" si="103"/>
        <v>0</v>
      </c>
      <c r="AX115" s="1116"/>
      <c r="AY115" s="1109">
        <f t="shared" si="70"/>
        <v>0</v>
      </c>
      <c r="AZ115" s="1109">
        <f t="shared" si="71"/>
        <v>125280</v>
      </c>
      <c r="BA115" s="1117"/>
    </row>
    <row r="116" spans="1:53" s="11" customFormat="1" ht="18" customHeight="1" thickBot="1" x14ac:dyDescent="0.3">
      <c r="A116" s="1118"/>
      <c r="B116" s="908"/>
      <c r="C116" s="418"/>
      <c r="D116" s="419"/>
      <c r="E116" s="118"/>
      <c r="F116" s="464"/>
      <c r="G116" s="119"/>
      <c r="H116" s="119"/>
      <c r="I116" s="466"/>
      <c r="J116" s="119"/>
      <c r="K116" s="119"/>
      <c r="L116" s="119"/>
      <c r="M116" s="118"/>
      <c r="N116" s="119"/>
      <c r="O116" s="119"/>
      <c r="P116" s="119"/>
      <c r="Q116" s="118"/>
      <c r="R116" s="119"/>
      <c r="S116" s="119"/>
      <c r="T116" s="119"/>
      <c r="U116" s="118"/>
      <c r="V116" s="119"/>
      <c r="W116" s="119"/>
      <c r="X116" s="119"/>
      <c r="Y116" s="1"/>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420"/>
      <c r="AU116" s="119"/>
      <c r="AV116" s="119"/>
      <c r="AW116" s="119"/>
      <c r="AX116" s="119"/>
      <c r="AY116" s="1119"/>
      <c r="AZ116" s="1119"/>
      <c r="BA116" s="63"/>
    </row>
    <row r="117" spans="1:53" s="11" customFormat="1" ht="18" customHeight="1" thickBot="1" x14ac:dyDescent="0.3">
      <c r="A117" s="165"/>
      <c r="B117" s="49" t="s">
        <v>169</v>
      </c>
      <c r="C117" s="532">
        <f>SUM(C118:C127)</f>
        <v>157000</v>
      </c>
      <c r="D117" s="532">
        <f>SUM(D118:D127)</f>
        <v>145248.72999999998</v>
      </c>
      <c r="E117" s="530">
        <f t="shared" ref="E117:E127" si="104">D117-C117</f>
        <v>-11751.270000000019</v>
      </c>
      <c r="F117" s="533">
        <f t="shared" ref="F117:F127" si="105">((D117/C117)-1)*100</f>
        <v>-7.484885350318482</v>
      </c>
      <c r="G117" s="534">
        <f>SUM(G118:G127)</f>
        <v>157000</v>
      </c>
      <c r="H117" s="392">
        <f>SUM(H118:H127)</f>
        <v>158101.70000000001</v>
      </c>
      <c r="I117" s="392">
        <f>H117-G117</f>
        <v>1101.7000000000116</v>
      </c>
      <c r="J117" s="393">
        <f>((H117/G117)-1)*100</f>
        <v>0.70171974522292846</v>
      </c>
      <c r="K117" s="534">
        <f>SUM(K118:K127)</f>
        <v>157000</v>
      </c>
      <c r="L117" s="392">
        <f>SUM(L118:L127)</f>
        <v>130776.27</v>
      </c>
      <c r="M117" s="392">
        <f>L117-K117</f>
        <v>-26223.729999999996</v>
      </c>
      <c r="N117" s="393">
        <f>((L117/K117)-1)*100</f>
        <v>-16.703012738853495</v>
      </c>
      <c r="O117" s="534">
        <f>SUM(O118:O127)</f>
        <v>157000</v>
      </c>
      <c r="P117" s="392">
        <f>SUM(P118:P127)</f>
        <v>154469.96</v>
      </c>
      <c r="Q117" s="392">
        <f>P117-O117</f>
        <v>-2530.0400000000081</v>
      </c>
      <c r="R117" s="393">
        <f>((P117/O117)-1)*100</f>
        <v>-1.6114904458598756</v>
      </c>
      <c r="S117" s="534">
        <f>SUM(S118:S127)</f>
        <v>157000</v>
      </c>
      <c r="T117" s="392">
        <f>SUM(T118:T127)</f>
        <v>193426.36999999997</v>
      </c>
      <c r="U117" s="392">
        <f>T117-S117</f>
        <v>36426.369999999966</v>
      </c>
      <c r="V117" s="393">
        <f>((T117/S117)-1)*100</f>
        <v>23.20150955414011</v>
      </c>
      <c r="W117" s="534">
        <f>SUM(W118:W127)</f>
        <v>157000</v>
      </c>
      <c r="X117" s="392">
        <f>SUM(X118:X127)</f>
        <v>153415.28000000003</v>
      </c>
      <c r="Y117" s="973">
        <f>X117-W117</f>
        <v>-3584.7199999999721</v>
      </c>
      <c r="Z117" s="393">
        <f>((X117/W117)-1)*100</f>
        <v>-2.2832611464967956</v>
      </c>
      <c r="AA117" s="534">
        <f>SUM(AA118:AA127)</f>
        <v>157000</v>
      </c>
      <c r="AB117" s="392">
        <f>SUM(AB118:AB127)</f>
        <v>149671.93</v>
      </c>
      <c r="AC117" s="392">
        <f>AB117-AA117</f>
        <v>-7328.070000000007</v>
      </c>
      <c r="AD117" s="393">
        <f>((AB117/AA117)-1)*100</f>
        <v>-4.6675605095541473</v>
      </c>
      <c r="AE117" s="534">
        <f>SUM(AE118:AE127)</f>
        <v>157000</v>
      </c>
      <c r="AF117" s="392">
        <f>SUM(AF118:AF127)</f>
        <v>164101.57</v>
      </c>
      <c r="AG117" s="392">
        <f>AF117-AE117</f>
        <v>7101.570000000007</v>
      </c>
      <c r="AH117" s="393">
        <f>((AF117/AE117)-1)*100</f>
        <v>4.5232929936305677</v>
      </c>
      <c r="AI117" s="395">
        <f>SUM(AI118:AI127)</f>
        <v>157000</v>
      </c>
      <c r="AJ117" s="396">
        <f>SUM(AJ118:AJ127)</f>
        <v>164408.78999999998</v>
      </c>
      <c r="AK117" s="392">
        <f>AJ117-AI117</f>
        <v>7408.789999999979</v>
      </c>
      <c r="AL117" s="393">
        <f>((AJ117/AI117)-1)*100</f>
        <v>4.7189745222929735</v>
      </c>
      <c r="AM117" s="395">
        <f>SUM(AM118:AM127)</f>
        <v>157000</v>
      </c>
      <c r="AN117" s="396">
        <f>SUM(AN118:AN127)</f>
        <v>236321.44</v>
      </c>
      <c r="AO117" s="392">
        <f>AN117-AM117</f>
        <v>79321.440000000002</v>
      </c>
      <c r="AP117" s="393">
        <f>((AN117/AM117)-1)*100</f>
        <v>50.523210191082811</v>
      </c>
      <c r="AQ117" s="395">
        <f>SUM(AQ118:AQ127)</f>
        <v>157000</v>
      </c>
      <c r="AR117" s="396">
        <f>SUM(AR118:AR127)</f>
        <v>0</v>
      </c>
      <c r="AS117" s="392">
        <f>AR117-AQ117</f>
        <v>-157000</v>
      </c>
      <c r="AT117" s="393">
        <f>((AR117/AQ117)-1)*100</f>
        <v>-100</v>
      </c>
      <c r="AU117" s="395">
        <f>SUM(AU118:AU127)</f>
        <v>157000</v>
      </c>
      <c r="AV117" s="396">
        <f>SUM(AV118:AV127)</f>
        <v>0</v>
      </c>
      <c r="AW117" s="392">
        <f>AV117-AU117</f>
        <v>-157000</v>
      </c>
      <c r="AX117" s="530">
        <f>((AV117/AU117)-1)*100</f>
        <v>-100</v>
      </c>
      <c r="AY117" s="395">
        <f>C117+G117+K117+O117+S117+W117+AA117+AE117+AI117+AM117+AQ117+AU117</f>
        <v>1884000</v>
      </c>
      <c r="AZ117" s="531">
        <f t="shared" ref="AZ117:AZ127" si="106">SUM(D117+H117+L117+P117+T117+X117+AB117+AF117+AJ117+AN117+AR117+AV117)</f>
        <v>1649942.04</v>
      </c>
      <c r="BA117" s="63"/>
    </row>
    <row r="118" spans="1:53" s="119" customFormat="1" ht="18" customHeight="1" x14ac:dyDescent="0.25">
      <c r="A118" s="170">
        <v>12293</v>
      </c>
      <c r="B118" s="331" t="s">
        <v>195</v>
      </c>
      <c r="C118" s="900">
        <v>35000</v>
      </c>
      <c r="D118" s="87">
        <v>26638.82</v>
      </c>
      <c r="E118" s="138">
        <f t="shared" si="104"/>
        <v>-8361.18</v>
      </c>
      <c r="F118" s="371">
        <f t="shared" si="105"/>
        <v>-23.88908571428572</v>
      </c>
      <c r="G118" s="879">
        <v>35000</v>
      </c>
      <c r="H118" s="137">
        <v>35754.28</v>
      </c>
      <c r="I118" s="137">
        <f>H118-G118</f>
        <v>754.27999999999884</v>
      </c>
      <c r="J118" s="237">
        <f t="shared" ref="J118:J127" si="107">((H118/G118)-1)*100</f>
        <v>2.1550857142857094</v>
      </c>
      <c r="K118" s="879">
        <v>35000</v>
      </c>
      <c r="L118" s="137">
        <v>32466.21</v>
      </c>
      <c r="M118" s="137">
        <f>L118-K118</f>
        <v>-2533.7900000000009</v>
      </c>
      <c r="N118" s="237">
        <f t="shared" ref="N118:N127" si="108">((L118/K118)-1)*100</f>
        <v>-7.2394000000000069</v>
      </c>
      <c r="O118" s="879">
        <v>35000</v>
      </c>
      <c r="P118" s="137">
        <v>31786.59</v>
      </c>
      <c r="Q118" s="137">
        <f>P118-O118</f>
        <v>-3213.41</v>
      </c>
      <c r="R118" s="237">
        <f t="shared" ref="R118:R127" si="109">((P118/O118)-1)*100</f>
        <v>-9.1811714285714334</v>
      </c>
      <c r="S118" s="879">
        <v>35000</v>
      </c>
      <c r="T118" s="137">
        <v>30621.03</v>
      </c>
      <c r="U118" s="137">
        <f>T118-S118</f>
        <v>-4378.9700000000012</v>
      </c>
      <c r="V118" s="237">
        <f t="shared" ref="V118:V127" si="110">((T118/S118)-1)*100</f>
        <v>-12.511342857142861</v>
      </c>
      <c r="W118" s="879">
        <v>35000</v>
      </c>
      <c r="X118" s="137">
        <v>29436.07</v>
      </c>
      <c r="Y118" s="727">
        <f>X118-W118</f>
        <v>-5563.93</v>
      </c>
      <c r="Z118" s="237">
        <f t="shared" ref="Z118:Z127" si="111">((X118/W118)-1)*100</f>
        <v>-15.896942857142859</v>
      </c>
      <c r="AA118" s="879">
        <v>35000</v>
      </c>
      <c r="AB118" s="212">
        <v>26953.93</v>
      </c>
      <c r="AC118" s="137">
        <f>AB118-AA118</f>
        <v>-8046.07</v>
      </c>
      <c r="AD118" s="237">
        <f t="shared" ref="AD118:AD127" si="112">((AB118/AA118)-1)*100</f>
        <v>-22.988771428571432</v>
      </c>
      <c r="AE118" s="879">
        <v>35000</v>
      </c>
      <c r="AF118" s="212">
        <v>33116.800000000003</v>
      </c>
      <c r="AG118" s="169">
        <f t="shared" ref="AG118:AG127" si="113">AF118-AE118</f>
        <v>-1883.1999999999971</v>
      </c>
      <c r="AH118" s="237">
        <f t="shared" ref="AH118:AH127" si="114">((AF118/AE118)-1)*100</f>
        <v>-5.3805714285714235</v>
      </c>
      <c r="AI118" s="879">
        <v>35000</v>
      </c>
      <c r="AJ118" s="176">
        <v>30771.22</v>
      </c>
      <c r="AK118" s="169">
        <f t="shared" ref="AK118:AK127" si="115">AJ118-AI118</f>
        <v>-4228.7799999999988</v>
      </c>
      <c r="AL118" s="237">
        <f t="shared" ref="AL118:AL127" si="116">((AJ118/AI118)-1)*100</f>
        <v>-12.082228571428566</v>
      </c>
      <c r="AM118" s="879">
        <v>35000</v>
      </c>
      <c r="AN118" s="176">
        <v>32602.97</v>
      </c>
      <c r="AO118" s="169">
        <f t="shared" ref="AO118:AO127" si="117">AN118-AM118</f>
        <v>-2397.0299999999988</v>
      </c>
      <c r="AP118" s="237">
        <f t="shared" ref="AP118:AP127" si="118">((AN118/AM118)-1)*100</f>
        <v>-6.8486571428571397</v>
      </c>
      <c r="AQ118" s="879">
        <v>35000</v>
      </c>
      <c r="AR118" s="212"/>
      <c r="AS118" s="169">
        <f t="shared" ref="AS118:AS127" si="119">AR118-AQ118</f>
        <v>-35000</v>
      </c>
      <c r="AT118" s="237">
        <f t="shared" ref="AT118:AT127" si="120">((AR118/AQ118)-1)*100</f>
        <v>-100</v>
      </c>
      <c r="AU118" s="879">
        <v>35000</v>
      </c>
      <c r="AV118" s="176"/>
      <c r="AW118" s="137">
        <f>AV118-AU118</f>
        <v>-35000</v>
      </c>
      <c r="AX118" s="138">
        <f t="shared" ref="AX118:AX127" si="121">((AV118/AU118)-1)*100</f>
        <v>-100</v>
      </c>
      <c r="AY118" s="243">
        <f>C118+G118+K118+O118+S118+W118+AA118+AE118+AI118+AM118+AQ118+AU118</f>
        <v>420000</v>
      </c>
      <c r="AZ118" s="177">
        <f t="shared" si="106"/>
        <v>310147.91999999993</v>
      </c>
      <c r="BA118" s="118"/>
    </row>
    <row r="119" spans="1:53" s="119" customFormat="1" ht="18" customHeight="1" x14ac:dyDescent="0.25">
      <c r="A119" s="170">
        <v>12303</v>
      </c>
      <c r="B119" s="332" t="s">
        <v>196</v>
      </c>
      <c r="C119" s="900">
        <v>20000</v>
      </c>
      <c r="D119" s="87">
        <v>3565.37</v>
      </c>
      <c r="E119" s="138">
        <f t="shared" si="104"/>
        <v>-16434.63</v>
      </c>
      <c r="F119" s="371">
        <f t="shared" si="105"/>
        <v>-82.173150000000007</v>
      </c>
      <c r="G119" s="879">
        <v>20000</v>
      </c>
      <c r="H119" s="137">
        <v>8277.64</v>
      </c>
      <c r="I119" s="137">
        <f t="shared" ref="I119:I127" si="122">H119-G119</f>
        <v>-11722.36</v>
      </c>
      <c r="J119" s="237">
        <f t="shared" si="107"/>
        <v>-58.611800000000002</v>
      </c>
      <c r="K119" s="879">
        <v>20000</v>
      </c>
      <c r="L119" s="137">
        <v>9512.69</v>
      </c>
      <c r="M119" s="137">
        <f t="shared" ref="M119:M127" si="123">L119-K119</f>
        <v>-10487.31</v>
      </c>
      <c r="N119" s="237">
        <f t="shared" si="108"/>
        <v>-52.436550000000004</v>
      </c>
      <c r="O119" s="879">
        <v>20000</v>
      </c>
      <c r="P119" s="137">
        <v>11478.54</v>
      </c>
      <c r="Q119" s="137">
        <f t="shared" ref="Q119:Q127" si="124">P119-O119</f>
        <v>-8521.4599999999991</v>
      </c>
      <c r="R119" s="237">
        <f t="shared" si="109"/>
        <v>-42.607299999999995</v>
      </c>
      <c r="S119" s="879">
        <v>20000</v>
      </c>
      <c r="T119" s="137">
        <v>8932.34</v>
      </c>
      <c r="U119" s="137">
        <f t="shared" ref="U119:U127" si="125">T119-S119</f>
        <v>-11067.66</v>
      </c>
      <c r="V119" s="237">
        <f t="shared" si="110"/>
        <v>-55.338299999999997</v>
      </c>
      <c r="W119" s="879">
        <v>20000</v>
      </c>
      <c r="X119" s="137">
        <v>6404.22</v>
      </c>
      <c r="Y119" s="727">
        <f t="shared" ref="Y119:Y127" si="126">X119-W119</f>
        <v>-13595.779999999999</v>
      </c>
      <c r="Z119" s="237">
        <f t="shared" si="111"/>
        <v>-67.978899999999996</v>
      </c>
      <c r="AA119" s="879">
        <v>20000</v>
      </c>
      <c r="AB119" s="212">
        <v>5021.47</v>
      </c>
      <c r="AC119" s="137">
        <f t="shared" ref="AC119:AC127" si="127">AB119-AA119</f>
        <v>-14978.529999999999</v>
      </c>
      <c r="AD119" s="237">
        <f t="shared" si="112"/>
        <v>-74.892650000000003</v>
      </c>
      <c r="AE119" s="879">
        <v>20000</v>
      </c>
      <c r="AF119" s="212">
        <v>12524.45</v>
      </c>
      <c r="AG119" s="169">
        <f t="shared" si="113"/>
        <v>-7475.5499999999993</v>
      </c>
      <c r="AH119" s="237">
        <f t="shared" si="114"/>
        <v>-37.377749999999999</v>
      </c>
      <c r="AI119" s="879">
        <v>20000</v>
      </c>
      <c r="AJ119" s="176">
        <v>12504.04</v>
      </c>
      <c r="AK119" s="169">
        <f t="shared" si="115"/>
        <v>-7495.9599999999991</v>
      </c>
      <c r="AL119" s="237">
        <f t="shared" si="116"/>
        <v>-37.479799999999997</v>
      </c>
      <c r="AM119" s="879">
        <v>20000</v>
      </c>
      <c r="AN119" s="176">
        <v>12861.67</v>
      </c>
      <c r="AO119" s="169">
        <f t="shared" si="117"/>
        <v>-7138.33</v>
      </c>
      <c r="AP119" s="237">
        <f t="shared" si="118"/>
        <v>-35.691649999999996</v>
      </c>
      <c r="AQ119" s="879">
        <v>20000</v>
      </c>
      <c r="AR119" s="212"/>
      <c r="AS119" s="169">
        <f t="shared" si="119"/>
        <v>-20000</v>
      </c>
      <c r="AT119" s="237">
        <f t="shared" si="120"/>
        <v>-100</v>
      </c>
      <c r="AU119" s="879">
        <v>20000</v>
      </c>
      <c r="AV119" s="176"/>
      <c r="AW119" s="137">
        <f>AV119-AU119</f>
        <v>-20000</v>
      </c>
      <c r="AX119" s="138">
        <f t="shared" si="121"/>
        <v>-100</v>
      </c>
      <c r="AY119" s="243">
        <f t="shared" ref="AY119:AY127" si="128">C119+G119+K119+O119+S119+W119+AA119+AE119+AI119+AM119+AQ119+AU119</f>
        <v>240000</v>
      </c>
      <c r="AZ119" s="177">
        <f t="shared" si="106"/>
        <v>91082.430000000008</v>
      </c>
      <c r="BA119" s="118"/>
    </row>
    <row r="120" spans="1:53" s="119" customFormat="1" ht="18" customHeight="1" x14ac:dyDescent="0.25">
      <c r="A120" s="170">
        <v>11528</v>
      </c>
      <c r="B120" s="332" t="s">
        <v>197</v>
      </c>
      <c r="C120" s="900">
        <v>7000</v>
      </c>
      <c r="D120" s="87">
        <v>6478</v>
      </c>
      <c r="E120" s="138">
        <f t="shared" si="104"/>
        <v>-522</v>
      </c>
      <c r="F120" s="371">
        <f t="shared" si="105"/>
        <v>-7.4571428571428626</v>
      </c>
      <c r="G120" s="879">
        <v>7000</v>
      </c>
      <c r="H120" s="137">
        <v>5878</v>
      </c>
      <c r="I120" s="137">
        <f>H120-G120</f>
        <v>-1122</v>
      </c>
      <c r="J120" s="237">
        <f t="shared" si="107"/>
        <v>-16.028571428571425</v>
      </c>
      <c r="K120" s="879">
        <v>7000</v>
      </c>
      <c r="L120" s="137">
        <v>6118</v>
      </c>
      <c r="M120" s="137">
        <f>L120-K120</f>
        <v>-882</v>
      </c>
      <c r="N120" s="237">
        <f t="shared" si="108"/>
        <v>-12.6</v>
      </c>
      <c r="O120" s="879">
        <v>7000</v>
      </c>
      <c r="P120" s="137">
        <v>5918</v>
      </c>
      <c r="Q120" s="137">
        <f>P120-O120</f>
        <v>-1082</v>
      </c>
      <c r="R120" s="237">
        <f t="shared" si="109"/>
        <v>-15.457142857142859</v>
      </c>
      <c r="S120" s="879">
        <v>7000</v>
      </c>
      <c r="T120" s="137">
        <v>5878</v>
      </c>
      <c r="U120" s="137">
        <f>T120-S120</f>
        <v>-1122</v>
      </c>
      <c r="V120" s="237">
        <f t="shared" si="110"/>
        <v>-16.028571428571425</v>
      </c>
      <c r="W120" s="879">
        <v>7000</v>
      </c>
      <c r="X120" s="137">
        <v>5998</v>
      </c>
      <c r="Y120" s="727">
        <f>X120-W120</f>
        <v>-1002</v>
      </c>
      <c r="Z120" s="237">
        <f t="shared" si="111"/>
        <v>-14.314285714285713</v>
      </c>
      <c r="AA120" s="879">
        <v>7000</v>
      </c>
      <c r="AB120" s="212">
        <v>6153</v>
      </c>
      <c r="AC120" s="137">
        <f>AB120-AA120</f>
        <v>-847</v>
      </c>
      <c r="AD120" s="237">
        <f t="shared" si="112"/>
        <v>-12.1</v>
      </c>
      <c r="AE120" s="879">
        <v>7000</v>
      </c>
      <c r="AF120" s="212">
        <v>6153</v>
      </c>
      <c r="AG120" s="169">
        <f t="shared" si="113"/>
        <v>-847</v>
      </c>
      <c r="AH120" s="237">
        <f t="shared" si="114"/>
        <v>-12.1</v>
      </c>
      <c r="AI120" s="879">
        <v>7000</v>
      </c>
      <c r="AJ120" s="176">
        <v>6153</v>
      </c>
      <c r="AK120" s="169">
        <f t="shared" si="115"/>
        <v>-847</v>
      </c>
      <c r="AL120" s="237">
        <f t="shared" si="116"/>
        <v>-12.1</v>
      </c>
      <c r="AM120" s="879">
        <v>7000</v>
      </c>
      <c r="AN120" s="176">
        <v>6273</v>
      </c>
      <c r="AO120" s="169">
        <f t="shared" si="117"/>
        <v>-727</v>
      </c>
      <c r="AP120" s="237">
        <f t="shared" si="118"/>
        <v>-10.385714285714286</v>
      </c>
      <c r="AQ120" s="879">
        <v>7000</v>
      </c>
      <c r="AR120" s="212"/>
      <c r="AS120" s="169">
        <f t="shared" si="119"/>
        <v>-7000</v>
      </c>
      <c r="AT120" s="237">
        <f t="shared" si="120"/>
        <v>-100</v>
      </c>
      <c r="AU120" s="879">
        <v>7000</v>
      </c>
      <c r="AV120" s="176"/>
      <c r="AW120" s="137">
        <f t="shared" ref="AW120:AW127" si="129">AV120-AU120</f>
        <v>-7000</v>
      </c>
      <c r="AX120" s="138">
        <f t="shared" si="121"/>
        <v>-100</v>
      </c>
      <c r="AY120" s="243">
        <f t="shared" si="128"/>
        <v>84000</v>
      </c>
      <c r="AZ120" s="177">
        <f t="shared" si="106"/>
        <v>61000</v>
      </c>
      <c r="BA120" s="118"/>
    </row>
    <row r="121" spans="1:53" s="119" customFormat="1" ht="18" customHeight="1" x14ac:dyDescent="0.25">
      <c r="A121" s="170" t="s">
        <v>3624</v>
      </c>
      <c r="B121" s="332" t="s">
        <v>331</v>
      </c>
      <c r="C121" s="900">
        <v>50000</v>
      </c>
      <c r="D121" s="87">
        <f>25630.84+37612.53</f>
        <v>63243.369999999995</v>
      </c>
      <c r="E121" s="138">
        <f t="shared" si="104"/>
        <v>13243.369999999995</v>
      </c>
      <c r="F121" s="371">
        <f t="shared" si="105"/>
        <v>26.486739999999998</v>
      </c>
      <c r="G121" s="879">
        <v>50000</v>
      </c>
      <c r="H121" s="137">
        <f>22114.42+37918.85</f>
        <v>60033.27</v>
      </c>
      <c r="I121" s="137">
        <f t="shared" si="122"/>
        <v>10033.269999999997</v>
      </c>
      <c r="J121" s="237">
        <f t="shared" si="107"/>
        <v>20.066539999999989</v>
      </c>
      <c r="K121" s="879">
        <v>50000</v>
      </c>
      <c r="L121" s="137">
        <v>43077.89</v>
      </c>
      <c r="M121" s="137">
        <f t="shared" si="123"/>
        <v>-6922.1100000000006</v>
      </c>
      <c r="N121" s="237">
        <f t="shared" si="108"/>
        <v>-13.844219999999996</v>
      </c>
      <c r="O121" s="879">
        <v>50000</v>
      </c>
      <c r="P121" s="137">
        <v>64044.3</v>
      </c>
      <c r="Q121" s="137">
        <f t="shared" si="124"/>
        <v>14044.300000000003</v>
      </c>
      <c r="R121" s="237">
        <f t="shared" si="109"/>
        <v>28.088599999999996</v>
      </c>
      <c r="S121" s="879">
        <v>50000</v>
      </c>
      <c r="T121" s="137">
        <v>97367.22</v>
      </c>
      <c r="U121" s="137">
        <f t="shared" si="125"/>
        <v>47367.22</v>
      </c>
      <c r="V121" s="237">
        <f t="shared" si="110"/>
        <v>94.734439999999992</v>
      </c>
      <c r="W121" s="879">
        <v>50000</v>
      </c>
      <c r="X121" s="137">
        <v>66394.22</v>
      </c>
      <c r="Y121" s="727">
        <f t="shared" si="126"/>
        <v>16394.22</v>
      </c>
      <c r="Z121" s="237">
        <f t="shared" si="111"/>
        <v>32.788440000000008</v>
      </c>
      <c r="AA121" s="879">
        <v>50000</v>
      </c>
      <c r="AB121" s="212">
        <v>67770.36</v>
      </c>
      <c r="AC121" s="137">
        <f t="shared" si="127"/>
        <v>17770.36</v>
      </c>
      <c r="AD121" s="237">
        <f t="shared" si="112"/>
        <v>35.540719999999993</v>
      </c>
      <c r="AE121" s="879">
        <v>50000</v>
      </c>
      <c r="AF121" s="212">
        <v>68112.100000000006</v>
      </c>
      <c r="AG121" s="169">
        <f t="shared" si="113"/>
        <v>18112.100000000006</v>
      </c>
      <c r="AH121" s="237">
        <f t="shared" si="114"/>
        <v>36.224200000000017</v>
      </c>
      <c r="AI121" s="879">
        <v>50000</v>
      </c>
      <c r="AJ121" s="176">
        <v>72435.899999999994</v>
      </c>
      <c r="AK121" s="169">
        <f t="shared" si="115"/>
        <v>22435.899999999994</v>
      </c>
      <c r="AL121" s="237">
        <f t="shared" si="116"/>
        <v>44.871799999999993</v>
      </c>
      <c r="AM121" s="879">
        <v>50000</v>
      </c>
      <c r="AN121" s="176">
        <v>150944.85999999999</v>
      </c>
      <c r="AO121" s="169">
        <f t="shared" si="117"/>
        <v>100944.85999999999</v>
      </c>
      <c r="AP121" s="237">
        <f t="shared" si="118"/>
        <v>201.88971999999995</v>
      </c>
      <c r="AQ121" s="879">
        <v>50000</v>
      </c>
      <c r="AR121" s="212"/>
      <c r="AS121" s="169">
        <f t="shared" si="119"/>
        <v>-50000</v>
      </c>
      <c r="AT121" s="237">
        <f t="shared" si="120"/>
        <v>-100</v>
      </c>
      <c r="AU121" s="879">
        <v>50000</v>
      </c>
      <c r="AV121" s="176"/>
      <c r="AW121" s="137">
        <f t="shared" si="129"/>
        <v>-50000</v>
      </c>
      <c r="AX121" s="138">
        <f t="shared" si="121"/>
        <v>-100</v>
      </c>
      <c r="AY121" s="243">
        <f t="shared" si="128"/>
        <v>600000</v>
      </c>
      <c r="AZ121" s="177">
        <f t="shared" si="106"/>
        <v>753423.48999999987</v>
      </c>
      <c r="BA121" s="118"/>
    </row>
    <row r="122" spans="1:53" s="119" customFormat="1" ht="18" customHeight="1" x14ac:dyDescent="0.25">
      <c r="A122" s="170" t="s">
        <v>63</v>
      </c>
      <c r="B122" s="332" t="s">
        <v>65</v>
      </c>
      <c r="C122" s="900">
        <v>10000</v>
      </c>
      <c r="D122" s="87">
        <f>0+12403.51</f>
        <v>12403.51</v>
      </c>
      <c r="E122" s="138">
        <f t="shared" si="104"/>
        <v>2403.5100000000002</v>
      </c>
      <c r="F122" s="371">
        <f t="shared" si="105"/>
        <v>24.0351</v>
      </c>
      <c r="G122" s="879">
        <v>10000</v>
      </c>
      <c r="H122" s="137">
        <v>12399.25</v>
      </c>
      <c r="I122" s="137">
        <f t="shared" si="122"/>
        <v>2399.25</v>
      </c>
      <c r="J122" s="237">
        <f t="shared" si="107"/>
        <v>23.992499999999993</v>
      </c>
      <c r="K122" s="879">
        <v>10000</v>
      </c>
      <c r="L122" s="137">
        <v>11970.91</v>
      </c>
      <c r="M122" s="137">
        <f t="shared" si="123"/>
        <v>1970.9099999999999</v>
      </c>
      <c r="N122" s="237">
        <f t="shared" si="108"/>
        <v>19.709099999999992</v>
      </c>
      <c r="O122" s="879">
        <v>10000</v>
      </c>
      <c r="P122" s="137">
        <v>11880.9</v>
      </c>
      <c r="Q122" s="137">
        <f t="shared" si="124"/>
        <v>1880.8999999999996</v>
      </c>
      <c r="R122" s="237">
        <f t="shared" si="109"/>
        <v>18.808999999999987</v>
      </c>
      <c r="S122" s="879">
        <v>10000</v>
      </c>
      <c r="T122" s="137">
        <v>11758.89</v>
      </c>
      <c r="U122" s="137">
        <f t="shared" si="125"/>
        <v>1758.8899999999994</v>
      </c>
      <c r="V122" s="237">
        <f t="shared" si="110"/>
        <v>17.588899999999995</v>
      </c>
      <c r="W122" s="879">
        <v>10000</v>
      </c>
      <c r="X122" s="137">
        <v>11822.72</v>
      </c>
      <c r="Y122" s="137">
        <f t="shared" si="126"/>
        <v>1822.7199999999993</v>
      </c>
      <c r="Z122" s="237">
        <f t="shared" si="111"/>
        <v>18.2272</v>
      </c>
      <c r="AA122" s="879">
        <v>10000</v>
      </c>
      <c r="AB122" s="212">
        <v>11816.77</v>
      </c>
      <c r="AC122" s="137">
        <f t="shared" si="127"/>
        <v>1816.7700000000004</v>
      </c>
      <c r="AD122" s="237">
        <f t="shared" si="112"/>
        <v>18.167700000000011</v>
      </c>
      <c r="AE122" s="879">
        <v>10000</v>
      </c>
      <c r="AF122" s="212">
        <v>12196.44</v>
      </c>
      <c r="AG122" s="169">
        <f t="shared" si="113"/>
        <v>2196.4400000000005</v>
      </c>
      <c r="AH122" s="237">
        <f t="shared" si="114"/>
        <v>21.964399999999994</v>
      </c>
      <c r="AI122" s="879">
        <v>10000</v>
      </c>
      <c r="AJ122" s="176">
        <v>10063.68</v>
      </c>
      <c r="AK122" s="169">
        <f t="shared" si="115"/>
        <v>63.680000000000291</v>
      </c>
      <c r="AL122" s="237">
        <f t="shared" si="116"/>
        <v>0.63679999999999293</v>
      </c>
      <c r="AM122" s="879">
        <v>10000</v>
      </c>
      <c r="AN122" s="176">
        <v>10262.799999999999</v>
      </c>
      <c r="AO122" s="169">
        <f t="shared" si="117"/>
        <v>262.79999999999927</v>
      </c>
      <c r="AP122" s="237">
        <f t="shared" si="118"/>
        <v>2.6279999999999859</v>
      </c>
      <c r="AQ122" s="879">
        <v>10000</v>
      </c>
      <c r="AR122" s="212"/>
      <c r="AS122" s="169">
        <f t="shared" si="119"/>
        <v>-10000</v>
      </c>
      <c r="AT122" s="237">
        <f t="shared" si="120"/>
        <v>-100</v>
      </c>
      <c r="AU122" s="879">
        <v>10000</v>
      </c>
      <c r="AV122" s="176"/>
      <c r="AW122" s="137">
        <f t="shared" si="129"/>
        <v>-10000</v>
      </c>
      <c r="AX122" s="138">
        <f t="shared" si="121"/>
        <v>-100</v>
      </c>
      <c r="AY122" s="243">
        <f t="shared" si="128"/>
        <v>120000</v>
      </c>
      <c r="AZ122" s="177">
        <f t="shared" si="106"/>
        <v>116575.87000000001</v>
      </c>
      <c r="BA122" s="118"/>
    </row>
    <row r="123" spans="1:53" s="119" customFormat="1" ht="18" customHeight="1" x14ac:dyDescent="0.25">
      <c r="A123" s="170">
        <v>51673</v>
      </c>
      <c r="B123" s="332" t="s">
        <v>198</v>
      </c>
      <c r="C123" s="900">
        <v>2000</v>
      </c>
      <c r="D123" s="87">
        <v>3104.28</v>
      </c>
      <c r="E123" s="138">
        <f t="shared" si="104"/>
        <v>1104.2800000000002</v>
      </c>
      <c r="F123" s="371">
        <f t="shared" si="105"/>
        <v>55.214000000000006</v>
      </c>
      <c r="G123" s="879">
        <v>2000</v>
      </c>
      <c r="H123" s="137">
        <v>3194.18</v>
      </c>
      <c r="I123" s="137">
        <f t="shared" si="122"/>
        <v>1194.1799999999998</v>
      </c>
      <c r="J123" s="237">
        <f t="shared" si="107"/>
        <v>59.708999999999989</v>
      </c>
      <c r="K123" s="879">
        <v>2000</v>
      </c>
      <c r="L123" s="137">
        <v>0</v>
      </c>
      <c r="M123" s="137">
        <f t="shared" si="123"/>
        <v>-2000</v>
      </c>
      <c r="N123" s="237">
        <f t="shared" si="108"/>
        <v>-100</v>
      </c>
      <c r="O123" s="879">
        <v>2000</v>
      </c>
      <c r="P123" s="137">
        <v>0</v>
      </c>
      <c r="Q123" s="137">
        <f t="shared" si="124"/>
        <v>-2000</v>
      </c>
      <c r="R123" s="237">
        <f t="shared" si="109"/>
        <v>-100</v>
      </c>
      <c r="S123" s="879">
        <v>2000</v>
      </c>
      <c r="T123" s="137">
        <v>9724.11</v>
      </c>
      <c r="U123" s="137">
        <f t="shared" si="125"/>
        <v>7724.1100000000006</v>
      </c>
      <c r="V123" s="237">
        <f t="shared" si="110"/>
        <v>386.20550000000009</v>
      </c>
      <c r="W123" s="879">
        <v>2000</v>
      </c>
      <c r="X123" s="137">
        <v>3251.4</v>
      </c>
      <c r="Y123" s="137">
        <f t="shared" si="126"/>
        <v>1251.4000000000001</v>
      </c>
      <c r="Z123" s="237">
        <f t="shared" si="111"/>
        <v>62.570000000000014</v>
      </c>
      <c r="AA123" s="879">
        <v>2000</v>
      </c>
      <c r="AB123" s="212">
        <v>3251.4</v>
      </c>
      <c r="AC123" s="137">
        <f t="shared" si="127"/>
        <v>1251.4000000000001</v>
      </c>
      <c r="AD123" s="237">
        <f t="shared" si="112"/>
        <v>62.570000000000014</v>
      </c>
      <c r="AE123" s="879">
        <v>2000</v>
      </c>
      <c r="AF123" s="212">
        <v>3251.4</v>
      </c>
      <c r="AG123" s="169">
        <f t="shared" si="113"/>
        <v>1251.4000000000001</v>
      </c>
      <c r="AH123" s="237">
        <f t="shared" si="114"/>
        <v>62.570000000000014</v>
      </c>
      <c r="AI123" s="879">
        <v>2000</v>
      </c>
      <c r="AJ123" s="176">
        <v>3251.4</v>
      </c>
      <c r="AK123" s="169">
        <f t="shared" si="115"/>
        <v>1251.4000000000001</v>
      </c>
      <c r="AL123" s="237">
        <f t="shared" si="116"/>
        <v>62.570000000000014</v>
      </c>
      <c r="AM123" s="879">
        <v>2000</v>
      </c>
      <c r="AN123" s="176">
        <v>3251.4</v>
      </c>
      <c r="AO123" s="169">
        <f t="shared" si="117"/>
        <v>1251.4000000000001</v>
      </c>
      <c r="AP123" s="237">
        <f t="shared" si="118"/>
        <v>62.570000000000014</v>
      </c>
      <c r="AQ123" s="879">
        <v>2000</v>
      </c>
      <c r="AR123" s="212"/>
      <c r="AS123" s="169">
        <f t="shared" si="119"/>
        <v>-2000</v>
      </c>
      <c r="AT123" s="237">
        <f t="shared" si="120"/>
        <v>-100</v>
      </c>
      <c r="AU123" s="879">
        <v>2000</v>
      </c>
      <c r="AV123" s="176"/>
      <c r="AW123" s="137">
        <f t="shared" si="129"/>
        <v>-2000</v>
      </c>
      <c r="AX123" s="138">
        <f t="shared" si="121"/>
        <v>-100</v>
      </c>
      <c r="AY123" s="243">
        <f t="shared" si="128"/>
        <v>24000</v>
      </c>
      <c r="AZ123" s="177">
        <f t="shared" si="106"/>
        <v>32279.570000000007</v>
      </c>
      <c r="BA123" s="118"/>
    </row>
    <row r="124" spans="1:53" s="119" customFormat="1" ht="18" customHeight="1" x14ac:dyDescent="0.25">
      <c r="A124" s="170">
        <v>33004</v>
      </c>
      <c r="B124" s="332" t="s">
        <v>66</v>
      </c>
      <c r="C124" s="900">
        <v>4000</v>
      </c>
      <c r="D124" s="87">
        <v>3846.43</v>
      </c>
      <c r="E124" s="138">
        <f t="shared" si="104"/>
        <v>-153.57000000000016</v>
      </c>
      <c r="F124" s="371">
        <f t="shared" si="105"/>
        <v>-3.8392500000000052</v>
      </c>
      <c r="G124" s="879">
        <v>4000</v>
      </c>
      <c r="H124" s="137">
        <v>3646.55</v>
      </c>
      <c r="I124" s="137">
        <f t="shared" si="122"/>
        <v>-353.44999999999982</v>
      </c>
      <c r="J124" s="237">
        <f t="shared" si="107"/>
        <v>-8.8362499999999891</v>
      </c>
      <c r="K124" s="879">
        <v>4000</v>
      </c>
      <c r="L124" s="137">
        <v>2747.43</v>
      </c>
      <c r="M124" s="137">
        <f t="shared" si="123"/>
        <v>-1252.5700000000002</v>
      </c>
      <c r="N124" s="237">
        <f t="shared" si="108"/>
        <v>-31.314249999999998</v>
      </c>
      <c r="O124" s="879">
        <v>4000</v>
      </c>
      <c r="P124" s="137">
        <v>4478.3</v>
      </c>
      <c r="Q124" s="137">
        <f t="shared" si="124"/>
        <v>478.30000000000018</v>
      </c>
      <c r="R124" s="237">
        <f t="shared" si="109"/>
        <v>11.9575</v>
      </c>
      <c r="S124" s="879">
        <v>4000</v>
      </c>
      <c r="T124" s="137">
        <v>3646.43</v>
      </c>
      <c r="U124" s="137">
        <f t="shared" si="125"/>
        <v>-353.57000000000016</v>
      </c>
      <c r="V124" s="237">
        <f t="shared" si="110"/>
        <v>-8.8392500000000105</v>
      </c>
      <c r="W124" s="879">
        <v>4000</v>
      </c>
      <c r="X124" s="137">
        <v>1839.46</v>
      </c>
      <c r="Y124" s="137">
        <f>X124-W124</f>
        <v>-2160.54</v>
      </c>
      <c r="Z124" s="237">
        <f t="shared" si="111"/>
        <v>-54.013500000000001</v>
      </c>
      <c r="AA124" s="879">
        <v>4000</v>
      </c>
      <c r="AB124" s="212">
        <v>1798</v>
      </c>
      <c r="AC124" s="137">
        <f t="shared" si="127"/>
        <v>-2202</v>
      </c>
      <c r="AD124" s="237">
        <f t="shared" si="112"/>
        <v>-55.05</v>
      </c>
      <c r="AE124" s="879">
        <v>4000</v>
      </c>
      <c r="AF124" s="212">
        <v>1867.04</v>
      </c>
      <c r="AG124" s="169">
        <f t="shared" si="113"/>
        <v>-2132.96</v>
      </c>
      <c r="AH124" s="237">
        <f t="shared" si="114"/>
        <v>-53.323999999999991</v>
      </c>
      <c r="AI124" s="879">
        <v>4000</v>
      </c>
      <c r="AJ124" s="176">
        <v>1820.31</v>
      </c>
      <c r="AK124" s="169">
        <f t="shared" si="115"/>
        <v>-2179.69</v>
      </c>
      <c r="AL124" s="237">
        <f t="shared" si="116"/>
        <v>-54.492249999999999</v>
      </c>
      <c r="AM124" s="879">
        <v>4000</v>
      </c>
      <c r="AN124" s="176">
        <v>1798</v>
      </c>
      <c r="AO124" s="169">
        <f t="shared" si="117"/>
        <v>-2202</v>
      </c>
      <c r="AP124" s="237">
        <f t="shared" si="118"/>
        <v>-55.05</v>
      </c>
      <c r="AQ124" s="879">
        <v>4000</v>
      </c>
      <c r="AR124" s="212"/>
      <c r="AS124" s="169">
        <f t="shared" si="119"/>
        <v>-4000</v>
      </c>
      <c r="AT124" s="237">
        <f t="shared" si="120"/>
        <v>-100</v>
      </c>
      <c r="AU124" s="879">
        <v>4000</v>
      </c>
      <c r="AV124" s="176"/>
      <c r="AW124" s="137">
        <f t="shared" si="129"/>
        <v>-4000</v>
      </c>
      <c r="AX124" s="138">
        <f t="shared" si="121"/>
        <v>-100</v>
      </c>
      <c r="AY124" s="243">
        <f t="shared" si="128"/>
        <v>48000</v>
      </c>
      <c r="AZ124" s="177">
        <f t="shared" si="106"/>
        <v>27487.95</v>
      </c>
      <c r="BA124" s="118"/>
    </row>
    <row r="125" spans="1:53" s="119" customFormat="1" ht="18" customHeight="1" x14ac:dyDescent="0.25">
      <c r="A125" s="170">
        <v>12305</v>
      </c>
      <c r="B125" s="332" t="s">
        <v>67</v>
      </c>
      <c r="C125" s="900">
        <v>8000</v>
      </c>
      <c r="D125" s="87">
        <v>5753.92</v>
      </c>
      <c r="E125" s="138">
        <f t="shared" si="104"/>
        <v>-2246.08</v>
      </c>
      <c r="F125" s="371">
        <f t="shared" si="105"/>
        <v>-28.076000000000001</v>
      </c>
      <c r="G125" s="879">
        <v>8000</v>
      </c>
      <c r="H125" s="137">
        <v>6257.11</v>
      </c>
      <c r="I125" s="137">
        <f t="shared" si="122"/>
        <v>-1742.8900000000003</v>
      </c>
      <c r="J125" s="237">
        <f t="shared" si="107"/>
        <v>-21.786125000000002</v>
      </c>
      <c r="K125" s="879">
        <v>8000</v>
      </c>
      <c r="L125" s="137">
        <v>5235.7299999999996</v>
      </c>
      <c r="M125" s="137">
        <f t="shared" si="123"/>
        <v>-2764.2700000000004</v>
      </c>
      <c r="N125" s="237">
        <f t="shared" si="108"/>
        <v>-34.55337500000001</v>
      </c>
      <c r="O125" s="879">
        <v>8000</v>
      </c>
      <c r="P125" s="137">
        <v>6158.36</v>
      </c>
      <c r="Q125" s="137">
        <f t="shared" si="124"/>
        <v>-1841.6400000000003</v>
      </c>
      <c r="R125" s="237">
        <f t="shared" si="109"/>
        <v>-23.020499999999998</v>
      </c>
      <c r="S125" s="879">
        <v>8000</v>
      </c>
      <c r="T125" s="137">
        <v>5921.8</v>
      </c>
      <c r="U125" s="137">
        <f t="shared" si="125"/>
        <v>-2078.1999999999998</v>
      </c>
      <c r="V125" s="237">
        <f t="shared" si="110"/>
        <v>-25.977499999999999</v>
      </c>
      <c r="W125" s="879">
        <v>8000</v>
      </c>
      <c r="X125" s="137">
        <v>5811.17</v>
      </c>
      <c r="Y125" s="137">
        <f t="shared" si="126"/>
        <v>-2188.83</v>
      </c>
      <c r="Z125" s="237">
        <f t="shared" si="111"/>
        <v>-27.360375000000005</v>
      </c>
      <c r="AA125" s="879">
        <v>8000</v>
      </c>
      <c r="AB125" s="212">
        <v>5639.12</v>
      </c>
      <c r="AC125" s="137">
        <f t="shared" si="127"/>
        <v>-2360.88</v>
      </c>
      <c r="AD125" s="237">
        <f t="shared" si="112"/>
        <v>-29.510999999999999</v>
      </c>
      <c r="AE125" s="879">
        <v>8000</v>
      </c>
      <c r="AF125" s="212">
        <v>5768.63</v>
      </c>
      <c r="AG125" s="169">
        <f t="shared" si="113"/>
        <v>-2231.37</v>
      </c>
      <c r="AH125" s="237">
        <f t="shared" si="114"/>
        <v>-27.892125</v>
      </c>
      <c r="AI125" s="879">
        <v>8000</v>
      </c>
      <c r="AJ125" s="176">
        <v>6346.8</v>
      </c>
      <c r="AK125" s="169">
        <f t="shared" si="115"/>
        <v>-1653.1999999999998</v>
      </c>
      <c r="AL125" s="237">
        <f t="shared" si="116"/>
        <v>-20.664999999999999</v>
      </c>
      <c r="AM125" s="879">
        <v>8000</v>
      </c>
      <c r="AN125" s="176">
        <v>6416.64</v>
      </c>
      <c r="AO125" s="169">
        <f t="shared" si="117"/>
        <v>-1583.3599999999997</v>
      </c>
      <c r="AP125" s="237">
        <f t="shared" si="118"/>
        <v>-19.791999999999998</v>
      </c>
      <c r="AQ125" s="879">
        <v>8000</v>
      </c>
      <c r="AR125" s="212"/>
      <c r="AS125" s="169">
        <f t="shared" si="119"/>
        <v>-8000</v>
      </c>
      <c r="AT125" s="237">
        <f t="shared" si="120"/>
        <v>-100</v>
      </c>
      <c r="AU125" s="879">
        <v>8000</v>
      </c>
      <c r="AV125" s="176"/>
      <c r="AW125" s="137">
        <f t="shared" si="129"/>
        <v>-8000</v>
      </c>
      <c r="AX125" s="138">
        <f t="shared" si="121"/>
        <v>-100</v>
      </c>
      <c r="AY125" s="243">
        <f t="shared" si="128"/>
        <v>96000</v>
      </c>
      <c r="AZ125" s="177">
        <f t="shared" si="106"/>
        <v>59309.279999999999</v>
      </c>
      <c r="BA125" s="118"/>
    </row>
    <row r="126" spans="1:53" s="119" customFormat="1" ht="18" customHeight="1" x14ac:dyDescent="0.25">
      <c r="A126" s="170">
        <v>11634</v>
      </c>
      <c r="B126" s="332" t="s">
        <v>40</v>
      </c>
      <c r="C126" s="900">
        <v>18000</v>
      </c>
      <c r="D126" s="87">
        <v>17269.189999999999</v>
      </c>
      <c r="E126" s="138">
        <f t="shared" si="104"/>
        <v>-730.81000000000131</v>
      </c>
      <c r="F126" s="371">
        <f>((D126/C126)-1)*100</f>
        <v>-4.0600555555555644</v>
      </c>
      <c r="G126" s="879">
        <v>18000</v>
      </c>
      <c r="H126" s="137">
        <v>19689.82</v>
      </c>
      <c r="I126" s="137">
        <f>H126-G126</f>
        <v>1689.8199999999997</v>
      </c>
      <c r="J126" s="237">
        <f>((H126/G126)-1)*100</f>
        <v>9.3878888888888845</v>
      </c>
      <c r="K126" s="879">
        <v>18000</v>
      </c>
      <c r="L126" s="137">
        <v>16733.68</v>
      </c>
      <c r="M126" s="137">
        <f>L126-K126</f>
        <v>-1266.3199999999997</v>
      </c>
      <c r="N126" s="237">
        <f>((L126/K126)-1)*100</f>
        <v>-7.0351111111111138</v>
      </c>
      <c r="O126" s="879">
        <v>18000</v>
      </c>
      <c r="P126" s="137">
        <v>15783.55</v>
      </c>
      <c r="Q126" s="137">
        <f>P126-O126</f>
        <v>-2216.4500000000007</v>
      </c>
      <c r="R126" s="237">
        <f>((P126/O126)-1)*100</f>
        <v>-12.313611111111111</v>
      </c>
      <c r="S126" s="879">
        <v>18000</v>
      </c>
      <c r="T126" s="137">
        <v>16730.23</v>
      </c>
      <c r="U126" s="137">
        <f>T126-S126</f>
        <v>-1269.7700000000004</v>
      </c>
      <c r="V126" s="237">
        <f>((T126/S126)-1)*100</f>
        <v>-7.0542777777777843</v>
      </c>
      <c r="W126" s="879">
        <v>18000</v>
      </c>
      <c r="X126" s="137">
        <v>19774.29</v>
      </c>
      <c r="Y126" s="137">
        <f>X126-W126</f>
        <v>1774.2900000000009</v>
      </c>
      <c r="Z126" s="237">
        <f>((X126/W126)-1)*100</f>
        <v>9.8571666666666715</v>
      </c>
      <c r="AA126" s="879">
        <v>18000</v>
      </c>
      <c r="AB126" s="212">
        <v>18383.41</v>
      </c>
      <c r="AC126" s="137">
        <f>AB126-AA126</f>
        <v>383.40999999999985</v>
      </c>
      <c r="AD126" s="237">
        <f>((AB126/AA126)-1)*100</f>
        <v>2.1300555555555656</v>
      </c>
      <c r="AE126" s="879">
        <v>18000</v>
      </c>
      <c r="AF126" s="212">
        <v>18223.62</v>
      </c>
      <c r="AG126" s="169">
        <f>AF126-AE126</f>
        <v>223.61999999999898</v>
      </c>
      <c r="AH126" s="237">
        <f>((AF126/AE126)-1)*100</f>
        <v>1.2423333333333231</v>
      </c>
      <c r="AI126" s="879">
        <v>18000</v>
      </c>
      <c r="AJ126" s="176">
        <v>18207.330000000002</v>
      </c>
      <c r="AK126" s="169">
        <f>AJ126-AI126</f>
        <v>207.33000000000175</v>
      </c>
      <c r="AL126" s="237">
        <f>((AJ126/AI126)-1)*100</f>
        <v>1.1518333333333519</v>
      </c>
      <c r="AM126" s="879">
        <v>18000</v>
      </c>
      <c r="AN126" s="176">
        <v>9067.2900000000009</v>
      </c>
      <c r="AO126" s="169">
        <f>AN126-AM126</f>
        <v>-8932.7099999999991</v>
      </c>
      <c r="AP126" s="237">
        <f>((AN126/AM126)-1)*100</f>
        <v>-49.626166666666663</v>
      </c>
      <c r="AQ126" s="879">
        <v>18000</v>
      </c>
      <c r="AR126" s="212"/>
      <c r="AS126" s="169">
        <f>AR126-AQ126</f>
        <v>-18000</v>
      </c>
      <c r="AT126" s="237">
        <f>((AR126/AQ126)-1)*100</f>
        <v>-100</v>
      </c>
      <c r="AU126" s="879">
        <v>18000</v>
      </c>
      <c r="AV126" s="176"/>
      <c r="AW126" s="137">
        <f>AV126-AU126</f>
        <v>-18000</v>
      </c>
      <c r="AX126" s="138">
        <f>((AV126/AU126)-1)*100</f>
        <v>-100</v>
      </c>
      <c r="AY126" s="243">
        <f t="shared" si="128"/>
        <v>216000</v>
      </c>
      <c r="AZ126" s="177">
        <f>SUM(D126+H126+L126+P126+T126+X126+AB126+AF126+AJ126+AN126+AR126+AV126)</f>
        <v>169862.41</v>
      </c>
      <c r="BA126" s="118"/>
    </row>
    <row r="127" spans="1:53" s="119" customFormat="1" ht="18" customHeight="1" thickBot="1" x14ac:dyDescent="0.3">
      <c r="A127" s="178">
        <v>11675</v>
      </c>
      <c r="B127" s="385" t="s">
        <v>68</v>
      </c>
      <c r="C127" s="901">
        <v>3000</v>
      </c>
      <c r="D127" s="98">
        <v>2945.84</v>
      </c>
      <c r="E127" s="250">
        <f t="shared" si="104"/>
        <v>-54.159999999999854</v>
      </c>
      <c r="F127" s="374">
        <f t="shared" si="105"/>
        <v>-1.8053333333333255</v>
      </c>
      <c r="G127" s="880">
        <v>3000</v>
      </c>
      <c r="H127" s="182">
        <v>2971.6</v>
      </c>
      <c r="I127" s="182">
        <f t="shared" si="122"/>
        <v>-28.400000000000091</v>
      </c>
      <c r="J127" s="248">
        <f t="shared" si="107"/>
        <v>-0.94666666666667343</v>
      </c>
      <c r="K127" s="880">
        <v>3000</v>
      </c>
      <c r="L127" s="182">
        <v>2913.73</v>
      </c>
      <c r="M127" s="182">
        <f t="shared" si="123"/>
        <v>-86.269999999999982</v>
      </c>
      <c r="N127" s="248">
        <f t="shared" si="108"/>
        <v>-2.8756666666666653</v>
      </c>
      <c r="O127" s="880">
        <v>3000</v>
      </c>
      <c r="P127" s="182">
        <v>2941.42</v>
      </c>
      <c r="Q127" s="182">
        <f t="shared" si="124"/>
        <v>-58.579999999999927</v>
      </c>
      <c r="R127" s="248">
        <f t="shared" si="109"/>
        <v>-1.9526666666666692</v>
      </c>
      <c r="S127" s="880">
        <v>3000</v>
      </c>
      <c r="T127" s="182">
        <v>2846.32</v>
      </c>
      <c r="U127" s="182">
        <f t="shared" si="125"/>
        <v>-153.67999999999984</v>
      </c>
      <c r="V127" s="248">
        <f t="shared" si="110"/>
        <v>-5.1226666666666638</v>
      </c>
      <c r="W127" s="880">
        <v>3000</v>
      </c>
      <c r="X127" s="182">
        <v>2683.73</v>
      </c>
      <c r="Y127" s="182">
        <f t="shared" si="126"/>
        <v>-316.27</v>
      </c>
      <c r="Z127" s="248">
        <f t="shared" si="111"/>
        <v>-10.542333333333332</v>
      </c>
      <c r="AA127" s="880">
        <v>3000</v>
      </c>
      <c r="AB127" s="214">
        <v>2884.47</v>
      </c>
      <c r="AC127" s="182">
        <f t="shared" si="127"/>
        <v>-115.5300000000002</v>
      </c>
      <c r="AD127" s="248">
        <f t="shared" si="112"/>
        <v>-3.8510000000000044</v>
      </c>
      <c r="AE127" s="880">
        <v>3000</v>
      </c>
      <c r="AF127" s="247">
        <v>2888.09</v>
      </c>
      <c r="AG127" s="182">
        <f t="shared" si="113"/>
        <v>-111.90999999999985</v>
      </c>
      <c r="AH127" s="248">
        <f t="shared" si="114"/>
        <v>-3.7303333333333244</v>
      </c>
      <c r="AI127" s="880">
        <v>3000</v>
      </c>
      <c r="AJ127" s="183">
        <v>2855.11</v>
      </c>
      <c r="AK127" s="182">
        <f t="shared" si="115"/>
        <v>-144.88999999999987</v>
      </c>
      <c r="AL127" s="248">
        <f t="shared" si="116"/>
        <v>-4.8296666666666654</v>
      </c>
      <c r="AM127" s="880">
        <v>3000</v>
      </c>
      <c r="AN127" s="183">
        <v>2842.81</v>
      </c>
      <c r="AO127" s="182">
        <f t="shared" si="117"/>
        <v>-157.19000000000005</v>
      </c>
      <c r="AP127" s="248">
        <f t="shared" si="118"/>
        <v>-5.2396666666666647</v>
      </c>
      <c r="AQ127" s="880">
        <v>3000</v>
      </c>
      <c r="AR127" s="214"/>
      <c r="AS127" s="182">
        <f t="shared" si="119"/>
        <v>-3000</v>
      </c>
      <c r="AT127" s="248">
        <f t="shared" si="120"/>
        <v>-100</v>
      </c>
      <c r="AU127" s="880">
        <v>3000</v>
      </c>
      <c r="AV127" s="183"/>
      <c r="AW127" s="183">
        <f t="shared" si="129"/>
        <v>-3000</v>
      </c>
      <c r="AX127" s="250">
        <f t="shared" si="121"/>
        <v>-100</v>
      </c>
      <c r="AY127" s="779">
        <f t="shared" si="128"/>
        <v>36000</v>
      </c>
      <c r="AZ127" s="184">
        <f t="shared" si="106"/>
        <v>28773.120000000003</v>
      </c>
      <c r="BA127" s="118"/>
    </row>
    <row r="128" spans="1:53" s="119" customFormat="1" ht="18" customHeight="1" x14ac:dyDescent="0.25">
      <c r="A128" s="436"/>
      <c r="B128" s="154"/>
      <c r="C128" s="67"/>
      <c r="D128" s="437"/>
      <c r="E128" s="67"/>
      <c r="F128" s="387"/>
      <c r="G128" s="67"/>
      <c r="H128" s="67"/>
      <c r="I128" s="67"/>
      <c r="J128" s="387"/>
      <c r="K128" s="67"/>
      <c r="L128" s="67"/>
      <c r="M128" s="67"/>
      <c r="N128" s="387"/>
      <c r="O128" s="67"/>
      <c r="P128" s="67"/>
      <c r="Q128" s="67"/>
      <c r="R128" s="387"/>
      <c r="S128" s="67"/>
      <c r="T128" s="67"/>
      <c r="U128" s="67"/>
      <c r="V128" s="387"/>
      <c r="W128" s="67"/>
      <c r="X128" s="67"/>
      <c r="Y128" s="67"/>
      <c r="Z128" s="387"/>
      <c r="AA128" s="67"/>
      <c r="AB128" s="67"/>
      <c r="AC128" s="67"/>
      <c r="AD128" s="387"/>
      <c r="AE128" s="67"/>
      <c r="AF128" s="67"/>
      <c r="AG128" s="67"/>
      <c r="AH128" s="387"/>
      <c r="AI128" s="66"/>
      <c r="AJ128" s="66"/>
      <c r="AK128" s="67"/>
      <c r="AL128" s="387"/>
      <c r="AM128" s="66"/>
      <c r="AN128" s="66"/>
      <c r="AO128" s="67"/>
      <c r="AP128" s="387"/>
      <c r="AQ128" s="66"/>
      <c r="AR128" s="66"/>
      <c r="AS128" s="67"/>
      <c r="AT128" s="387"/>
      <c r="AU128" s="66"/>
      <c r="AV128" s="66"/>
      <c r="AW128" s="66"/>
      <c r="AX128" s="67"/>
      <c r="AY128" s="1120"/>
      <c r="AZ128" s="66"/>
      <c r="BA128" s="118"/>
    </row>
    <row r="129" spans="1:55" s="11" customFormat="1" ht="18" customHeight="1" thickBot="1" x14ac:dyDescent="0.3">
      <c r="A129" s="161"/>
      <c r="C129" s="334"/>
      <c r="D129" s="414"/>
      <c r="E129" s="118"/>
      <c r="F129" s="12"/>
      <c r="G129" s="119"/>
      <c r="H129" s="119"/>
      <c r="I129" s="118"/>
      <c r="J129" s="119"/>
      <c r="K129" s="119"/>
      <c r="L129" s="119"/>
      <c r="M129" s="118"/>
      <c r="N129" s="119"/>
      <c r="O129" s="119"/>
      <c r="P129" s="119"/>
      <c r="Q129" s="118"/>
      <c r="R129" s="119"/>
      <c r="S129" s="119"/>
      <c r="T129" s="119"/>
      <c r="U129" s="118"/>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63"/>
    </row>
    <row r="130" spans="1:55" s="11" customFormat="1" ht="18" customHeight="1" thickBot="1" x14ac:dyDescent="0.3">
      <c r="A130" s="165"/>
      <c r="B130" s="49" t="s">
        <v>170</v>
      </c>
      <c r="C130" s="478">
        <f>SUM(C131:C151)</f>
        <v>3135202.357950001</v>
      </c>
      <c r="D130" s="532">
        <f>SUM(D131:D151)</f>
        <v>2741063.5100000007</v>
      </c>
      <c r="E130" s="530">
        <f>D130-C130</f>
        <v>-394138.84795000032</v>
      </c>
      <c r="F130" s="533">
        <f t="shared" ref="F130:F151" si="130">((D130/C130)-1)*100</f>
        <v>-12.571400597175931</v>
      </c>
      <c r="G130" s="534">
        <f>SUM(G131:G151)</f>
        <v>3135202.357950001</v>
      </c>
      <c r="H130" s="392">
        <f>SUM(H131:H151)</f>
        <v>3156984.5899999994</v>
      </c>
      <c r="I130" s="392">
        <f>H130-G130</f>
        <v>21782.232049998362</v>
      </c>
      <c r="J130" s="562">
        <f>((H130/G130)-1)*100</f>
        <v>0.69476319430434863</v>
      </c>
      <c r="K130" s="564">
        <f>SUM(K131:K151)</f>
        <v>3135202.357950001</v>
      </c>
      <c r="L130" s="534">
        <f>SUM(L131:L151)</f>
        <v>5698005.7299999995</v>
      </c>
      <c r="M130" s="392">
        <f>L130-K130</f>
        <v>2562803.3720499985</v>
      </c>
      <c r="N130" s="562">
        <f>((L130/K130)-1)*100</f>
        <v>81.74283760508925</v>
      </c>
      <c r="O130" s="478">
        <f>SUM(O131:O151)</f>
        <v>3135202.357950001</v>
      </c>
      <c r="P130" s="392">
        <f>SUM(P131:P151)</f>
        <v>6063150.9499999993</v>
      </c>
      <c r="Q130" s="392">
        <f>P130-O130</f>
        <v>2927948.5920499982</v>
      </c>
      <c r="R130" s="393">
        <f>((P130/O130)-1)*100</f>
        <v>93.389461277532376</v>
      </c>
      <c r="S130" s="534">
        <f>SUM(S131:S151)</f>
        <v>3135202.357950001</v>
      </c>
      <c r="T130" s="392">
        <f>SUM(T131:T151)</f>
        <v>6050241.4400000004</v>
      </c>
      <c r="U130" s="392">
        <f>T130-S130</f>
        <v>2915039.0820499994</v>
      </c>
      <c r="V130" s="563">
        <f>((T130/S130)-1)*100</f>
        <v>92.977701252943731</v>
      </c>
      <c r="W130" s="478">
        <f>SUM(W131:W151)</f>
        <v>3135202.357950001</v>
      </c>
      <c r="X130" s="392">
        <f>SUM(X131:X151)</f>
        <v>7181845.6899999985</v>
      </c>
      <c r="Y130" s="392">
        <f>X130-W130</f>
        <v>4046643.3320499975</v>
      </c>
      <c r="Z130" s="562">
        <f>((X130/W130)-1)*100</f>
        <v>129.07120083617048</v>
      </c>
      <c r="AA130" s="478">
        <f>SUM(AA131:AA151)</f>
        <v>3135202.357950001</v>
      </c>
      <c r="AB130" s="392">
        <f>SUM(AB131:AB151)</f>
        <v>6820113.4399999995</v>
      </c>
      <c r="AC130" s="392">
        <f>AB130-AA130</f>
        <v>3684911.0820499985</v>
      </c>
      <c r="AD130" s="393">
        <f>((AB130/AA130)-1)*100</f>
        <v>117.53343680372303</v>
      </c>
      <c r="AE130" s="534">
        <f>SUM(AE131:AE151)</f>
        <v>3135202.357950001</v>
      </c>
      <c r="AF130" s="392">
        <f>SUM(AF131:AF151)</f>
        <v>7493642.4100000001</v>
      </c>
      <c r="AG130" s="392">
        <f>AF130-AE130</f>
        <v>4358440.0520499991</v>
      </c>
      <c r="AH130" s="562">
        <f>((AF130/AE130)-1)*100</f>
        <v>139.01622780418649</v>
      </c>
      <c r="AI130" s="487">
        <f>SUM(AI131:AI151)</f>
        <v>3135202.357950001</v>
      </c>
      <c r="AJ130" s="396">
        <f>SUM(AJ131:AJ151)</f>
        <v>7648432.29</v>
      </c>
      <c r="AK130" s="392">
        <f>AJ130-AI130</f>
        <v>4513229.932049999</v>
      </c>
      <c r="AL130" s="393">
        <f>((AJ130/AI130)-1)*100</f>
        <v>143.95338535663268</v>
      </c>
      <c r="AM130" s="395">
        <f>SUM(AM131:AM151)</f>
        <v>3135202.357950001</v>
      </c>
      <c r="AN130" s="396">
        <f>SUM(AN131:AN151)</f>
        <v>6898126.2300000014</v>
      </c>
      <c r="AO130" s="392">
        <f>AN130-AM130</f>
        <v>3762923.8720500004</v>
      </c>
      <c r="AP130" s="562">
        <f>((AN130/AM130)-1)*100</f>
        <v>120.02172244187915</v>
      </c>
      <c r="AQ130" s="487">
        <f>SUM(AQ131:AQ151)</f>
        <v>3135202.357950001</v>
      </c>
      <c r="AR130" s="396">
        <f>SUM(AR131:AR151)</f>
        <v>0</v>
      </c>
      <c r="AS130" s="392">
        <f>AR130-AQ130</f>
        <v>-3135202.357950001</v>
      </c>
      <c r="AT130" s="393">
        <f>((AR130/AQ130)-1)*100</f>
        <v>-100</v>
      </c>
      <c r="AU130" s="395">
        <f>SUM(AU131:AU151)</f>
        <v>3135202.357950001</v>
      </c>
      <c r="AV130" s="396">
        <f>SUM(AV131:AV151)</f>
        <v>0</v>
      </c>
      <c r="AW130" s="392">
        <f>AV130-AU130</f>
        <v>-3135202.357950001</v>
      </c>
      <c r="AX130" s="393">
        <f>((AV130/AU130)-1)*100</f>
        <v>-100</v>
      </c>
      <c r="AY130" s="395">
        <f>C130+G130+K130+O130+S130+W130+AA130+AE130+AI130+AM130+AQ130+AU130</f>
        <v>37622428.295400016</v>
      </c>
      <c r="AZ130" s="531">
        <f>SUM(D130+H130+L130+P130+T130+X130+AB130+AF130+AJ130+AN130+AR130+AV130)</f>
        <v>59751606.279999994</v>
      </c>
      <c r="BA130" s="826"/>
      <c r="BB130" s="827"/>
    </row>
    <row r="131" spans="1:55" s="119" customFormat="1" ht="18" customHeight="1" x14ac:dyDescent="0.25">
      <c r="A131" s="167">
        <v>12338</v>
      </c>
      <c r="B131" s="331" t="s">
        <v>199</v>
      </c>
      <c r="C131" s="542">
        <v>275627.80170000001</v>
      </c>
      <c r="D131" s="89">
        <v>281554.26</v>
      </c>
      <c r="E131" s="213">
        <f t="shared" ref="E131:E151" si="131">D131-C131</f>
        <v>5926.4582999999984</v>
      </c>
      <c r="F131" s="375">
        <f t="shared" si="130"/>
        <v>2.1501670961518338</v>
      </c>
      <c r="G131" s="875">
        <v>275627.80170000001</v>
      </c>
      <c r="H131" s="89">
        <v>260724.25</v>
      </c>
      <c r="I131" s="190">
        <f>H131-G131</f>
        <v>-14903.551700000011</v>
      </c>
      <c r="J131" s="249">
        <f>((H131/G131)-1)*100</f>
        <v>-5.4071293273315728</v>
      </c>
      <c r="K131" s="875">
        <v>275627.80170000001</v>
      </c>
      <c r="L131" s="190">
        <v>328896.64000000001</v>
      </c>
      <c r="M131" s="190">
        <f>L131-K131</f>
        <v>53268.838300000003</v>
      </c>
      <c r="N131" s="249">
        <f>((L131/K131)-1)*100</f>
        <v>19.326366197985756</v>
      </c>
      <c r="O131" s="875">
        <v>275627.80170000001</v>
      </c>
      <c r="P131" s="190">
        <v>273098.15000000002</v>
      </c>
      <c r="Q131" s="190">
        <f>P131-O131</f>
        <v>-2529.6516999999876</v>
      </c>
      <c r="R131" s="249">
        <f>((P131/O131)-1)*100</f>
        <v>-0.91777813573150624</v>
      </c>
      <c r="S131" s="875">
        <v>275627.80170000001</v>
      </c>
      <c r="T131" s="190">
        <v>310086.90000000002</v>
      </c>
      <c r="U131" s="190">
        <f>T131-S131</f>
        <v>34459.098300000012</v>
      </c>
      <c r="V131" s="249">
        <f>((T131/S131)-1)*100</f>
        <v>12.502040101711565</v>
      </c>
      <c r="W131" s="875">
        <v>275627.80170000001</v>
      </c>
      <c r="X131" s="190">
        <v>389861.38</v>
      </c>
      <c r="Y131" s="190">
        <f>X131-W131</f>
        <v>114233.57829999999</v>
      </c>
      <c r="Z131" s="249">
        <f>((X131/W131)-1)*100</f>
        <v>41.444867896285231</v>
      </c>
      <c r="AA131" s="875">
        <v>275627.80170000001</v>
      </c>
      <c r="AB131" s="212">
        <v>309912.27</v>
      </c>
      <c r="AC131" s="190">
        <f>AB131-AA131</f>
        <v>34284.468300000008</v>
      </c>
      <c r="AD131" s="249">
        <f>((AB131/AA131)-1)*100</f>
        <v>12.438682922601574</v>
      </c>
      <c r="AE131" s="875">
        <v>275627.80170000001</v>
      </c>
      <c r="AF131" s="543">
        <v>406633.46</v>
      </c>
      <c r="AG131" s="169">
        <f>AF131-AE131</f>
        <v>131005.65830000001</v>
      </c>
      <c r="AH131" s="249">
        <f>((AF131/AE131)-1)*100</f>
        <v>47.529914432430772</v>
      </c>
      <c r="AI131" s="875">
        <v>275627.80170000001</v>
      </c>
      <c r="AJ131" s="192">
        <v>356697.57</v>
      </c>
      <c r="AK131" s="169">
        <f>AJ131-AI131</f>
        <v>81069.768299999996</v>
      </c>
      <c r="AL131" s="249">
        <f>((AJ131/AI131)-1)*100</f>
        <v>29.412768886151142</v>
      </c>
      <c r="AM131" s="875">
        <v>275627.80170000001</v>
      </c>
      <c r="AN131" s="192">
        <v>331421.28000000003</v>
      </c>
      <c r="AO131" s="169">
        <f>AN131-AM131</f>
        <v>55793.478300000017</v>
      </c>
      <c r="AP131" s="249">
        <f>((AN131/AM131)-1)*100</f>
        <v>20.242326048345085</v>
      </c>
      <c r="AQ131" s="875">
        <v>275627.80170000001</v>
      </c>
      <c r="AR131" s="136"/>
      <c r="AS131" s="169">
        <f>AR131-AQ131</f>
        <v>-275627.80170000001</v>
      </c>
      <c r="AT131" s="249">
        <f>((AR131/AQ131)-1)*100</f>
        <v>-100</v>
      </c>
      <c r="AU131" s="875">
        <v>275627.80170000001</v>
      </c>
      <c r="AV131" s="192"/>
      <c r="AW131" s="190">
        <f>AV131-AU131</f>
        <v>-275627.80170000001</v>
      </c>
      <c r="AX131" s="249">
        <f>((AV131/AU131)-1)*100</f>
        <v>-100</v>
      </c>
      <c r="AY131" s="388">
        <f>C131+G131+K131+O131+S131+W131+AA131+AE131+AI131+AM131+AQ131+AU131</f>
        <v>3307533.6204000008</v>
      </c>
      <c r="AZ131" s="193">
        <f t="shared" ref="AZ131:AZ150" si="132">SUM(D131+H131+L131+P131+T131+X131+AB131+AF131+AJ131+AN131+AR131+AV131)</f>
        <v>3248886.16</v>
      </c>
      <c r="BA131" s="118"/>
      <c r="BB131" s="118"/>
      <c r="BC131" s="118"/>
    </row>
    <row r="132" spans="1:55" s="119" customFormat="1" ht="18" customHeight="1" x14ac:dyDescent="0.25">
      <c r="A132" s="170">
        <v>11416</v>
      </c>
      <c r="B132" s="332" t="s">
        <v>69</v>
      </c>
      <c r="C132" s="212">
        <v>11995.520500000001</v>
      </c>
      <c r="D132" s="82">
        <v>6079.17</v>
      </c>
      <c r="E132" s="138">
        <f t="shared" si="131"/>
        <v>-5916.3505000000005</v>
      </c>
      <c r="F132" s="371">
        <f t="shared" si="130"/>
        <v>-49.321332075586056</v>
      </c>
      <c r="G132" s="881">
        <v>11994.520500000001</v>
      </c>
      <c r="H132" s="82">
        <v>14461</v>
      </c>
      <c r="I132" s="137">
        <f>H132-G132</f>
        <v>2466.4794999999995</v>
      </c>
      <c r="J132" s="237">
        <f>((H132/G132)-1)*100</f>
        <v>20.563385589278038</v>
      </c>
      <c r="K132" s="881">
        <v>11994.520500000001</v>
      </c>
      <c r="L132" s="137">
        <v>16339.5</v>
      </c>
      <c r="M132" s="137">
        <f>L132-K132</f>
        <v>4344.9794999999995</v>
      </c>
      <c r="N132" s="237">
        <f>((L132/K132)-1)*100</f>
        <v>36.224703605283757</v>
      </c>
      <c r="O132" s="881">
        <v>11994.520500000001</v>
      </c>
      <c r="P132" s="137">
        <v>11366.91</v>
      </c>
      <c r="Q132" s="137">
        <f>P132-O132</f>
        <v>-627.61050000000068</v>
      </c>
      <c r="R132" s="237">
        <f>((P132/O132)-1)*100</f>
        <v>-5.232476779709538</v>
      </c>
      <c r="S132" s="881">
        <v>11994.520500000001</v>
      </c>
      <c r="T132" s="137">
        <v>18042</v>
      </c>
      <c r="U132" s="137">
        <f>T132-S132</f>
        <v>6047.4794999999995</v>
      </c>
      <c r="V132" s="237">
        <f>((T132/S132)-1)*100</f>
        <v>50.418684932007075</v>
      </c>
      <c r="W132" s="881">
        <v>11994.520500000001</v>
      </c>
      <c r="X132" s="137">
        <v>13653.72</v>
      </c>
      <c r="Y132" s="137">
        <f>X132-W132</f>
        <v>1659.1994999999988</v>
      </c>
      <c r="Z132" s="237">
        <f>((X132/W132)-1)*100</f>
        <v>13.832978984028577</v>
      </c>
      <c r="AA132" s="881">
        <v>11994.520500000001</v>
      </c>
      <c r="AB132" s="212">
        <v>12400</v>
      </c>
      <c r="AC132" s="137">
        <f>AB132-AA132</f>
        <v>405.47949999999946</v>
      </c>
      <c r="AD132" s="237">
        <f>((AB132/AA132)-1)*100</f>
        <v>3.3805394721698079</v>
      </c>
      <c r="AE132" s="881">
        <v>11994.520500000001</v>
      </c>
      <c r="AF132" s="136">
        <v>14301.64</v>
      </c>
      <c r="AG132" s="169">
        <f t="shared" ref="AG132:AG150" si="133">AF132-AE132</f>
        <v>2307.1194999999989</v>
      </c>
      <c r="AH132" s="237">
        <f>((AF132/AE132)-1)*100</f>
        <v>19.234778914255045</v>
      </c>
      <c r="AI132" s="881">
        <v>11994.520500000001</v>
      </c>
      <c r="AJ132" s="176">
        <v>19155.07</v>
      </c>
      <c r="AK132" s="169">
        <f t="shared" ref="AK132:AK150" si="134">AJ132-AI132</f>
        <v>7160.5494999999992</v>
      </c>
      <c r="AL132" s="237">
        <f>((AJ132/AI132)-1)*100</f>
        <v>59.698505663481917</v>
      </c>
      <c r="AM132" s="881">
        <v>11994.520500000001</v>
      </c>
      <c r="AN132" s="176">
        <v>18103.48</v>
      </c>
      <c r="AO132" s="169">
        <f t="shared" ref="AO132:AO150" si="135">AN132-AM132</f>
        <v>6108.959499999999</v>
      </c>
      <c r="AP132" s="237">
        <f>((AN132/AM132)-1)*100</f>
        <v>50.931252316422302</v>
      </c>
      <c r="AQ132" s="881">
        <v>11994.520500000001</v>
      </c>
      <c r="AR132" s="136"/>
      <c r="AS132" s="169">
        <f t="shared" ref="AS132:AS150" si="136">AR132-AQ132</f>
        <v>-11994.520500000001</v>
      </c>
      <c r="AT132" s="237">
        <f>((AR132/AQ132)-1)*100</f>
        <v>-100</v>
      </c>
      <c r="AU132" s="881">
        <v>11994.520500000001</v>
      </c>
      <c r="AV132" s="176"/>
      <c r="AW132" s="137">
        <f>AV132-AU132</f>
        <v>-11994.520500000001</v>
      </c>
      <c r="AX132" s="237">
        <f>((AV132/AU132)-1)*100</f>
        <v>-100</v>
      </c>
      <c r="AY132" s="388">
        <f t="shared" ref="AY132:AY151" si="137">C132+G132+K132+O132+S132+W132+AA132+AE132+AI132+AM132+AQ132+AU132</f>
        <v>143935.24600000001</v>
      </c>
      <c r="AZ132" s="177">
        <f t="shared" si="132"/>
        <v>143902.49000000002</v>
      </c>
      <c r="BA132" s="118"/>
      <c r="BB132" s="118"/>
      <c r="BC132" s="118"/>
    </row>
    <row r="133" spans="1:55" s="119" customFormat="1" ht="18" customHeight="1" x14ac:dyDescent="0.25">
      <c r="A133" s="170" t="s">
        <v>134</v>
      </c>
      <c r="B133" s="332" t="s">
        <v>70</v>
      </c>
      <c r="C133" s="212">
        <v>1488.8907000000002</v>
      </c>
      <c r="D133" s="82">
        <f>708.53+0</f>
        <v>708.53</v>
      </c>
      <c r="E133" s="138">
        <f t="shared" si="131"/>
        <v>-780.36070000000018</v>
      </c>
      <c r="F133" s="371">
        <f t="shared" si="130"/>
        <v>-52.412222065729885</v>
      </c>
      <c r="G133" s="881">
        <v>1488.8907000000002</v>
      </c>
      <c r="H133" s="82">
        <f>-303.49</f>
        <v>-303.49</v>
      </c>
      <c r="I133" s="137">
        <f t="shared" ref="I133:I150" si="138">H133-G133</f>
        <v>-1792.3807000000002</v>
      </c>
      <c r="J133" s="237">
        <f t="shared" ref="J133:J150" si="139">((H133/G133)-1)*100</f>
        <v>-120.38363192140295</v>
      </c>
      <c r="K133" s="881">
        <v>1488.8907000000002</v>
      </c>
      <c r="L133" s="137">
        <v>105.06</v>
      </c>
      <c r="M133" s="137">
        <f t="shared" ref="M133:M150" si="140">L133-K133</f>
        <v>-1383.8307000000002</v>
      </c>
      <c r="N133" s="235">
        <f t="shared" ref="N133:N151" si="141">((L133/K133)-1)*100</f>
        <v>-92.943739926644724</v>
      </c>
      <c r="O133" s="881">
        <v>1488.8907000000002</v>
      </c>
      <c r="P133" s="137">
        <v>317</v>
      </c>
      <c r="Q133" s="137">
        <f t="shared" ref="Q133:Q150" si="142">P133-O133</f>
        <v>-1171.8907000000002</v>
      </c>
      <c r="R133" s="237">
        <f t="shared" ref="R133:R150" si="143">((P133/O133)-1)*100</f>
        <v>-78.708981122657292</v>
      </c>
      <c r="S133" s="881">
        <v>1488.8907000000002</v>
      </c>
      <c r="T133" s="137">
        <v>88.3</v>
      </c>
      <c r="U133" s="137">
        <f t="shared" ref="U133:U150" si="144">T133-S133</f>
        <v>-1400.5907000000002</v>
      </c>
      <c r="V133" s="235">
        <f t="shared" ref="V133:V150" si="145">((T133/S133)-1)*100</f>
        <v>-94.069410199150283</v>
      </c>
      <c r="W133" s="881">
        <v>1488.8907000000002</v>
      </c>
      <c r="X133" s="137">
        <v>816.08</v>
      </c>
      <c r="Y133" s="137">
        <f t="shared" ref="Y133:Y150" si="146">X133-W133</f>
        <v>-672.81070000000011</v>
      </c>
      <c r="Z133" s="235">
        <f t="shared" ref="Z133:Z150" si="147">((X133/W133)-1)*100</f>
        <v>-45.188723389836468</v>
      </c>
      <c r="AA133" s="881">
        <v>1488.8907000000002</v>
      </c>
      <c r="AB133" s="212">
        <v>114.3</v>
      </c>
      <c r="AC133" s="137">
        <f t="shared" ref="AC133:AC150" si="148">AB133-AA133</f>
        <v>-1374.5907000000002</v>
      </c>
      <c r="AD133" s="237">
        <f t="shared" ref="AD133:AD150" si="149">((AB133/AA133)-1)*100</f>
        <v>-92.32314366662375</v>
      </c>
      <c r="AE133" s="881">
        <v>1488.8907000000002</v>
      </c>
      <c r="AF133" s="136">
        <v>1079.69</v>
      </c>
      <c r="AG133" s="169">
        <f t="shared" si="133"/>
        <v>-409.2007000000001</v>
      </c>
      <c r="AH133" s="235">
        <f t="shared" ref="AH133:AH150" si="150">((AF133/AE133)-1)*100</f>
        <v>-27.483595672939597</v>
      </c>
      <c r="AI133" s="881">
        <v>1488.8907000000002</v>
      </c>
      <c r="AJ133" s="176">
        <v>0</v>
      </c>
      <c r="AK133" s="169">
        <f t="shared" si="134"/>
        <v>-1488.8907000000002</v>
      </c>
      <c r="AL133" s="237">
        <f t="shared" ref="AL133:AL150" si="151">((AJ133/AI133)-1)*100</f>
        <v>-100</v>
      </c>
      <c r="AM133" s="881">
        <v>1488.8907000000002</v>
      </c>
      <c r="AN133" s="176">
        <v>584.14</v>
      </c>
      <c r="AO133" s="169">
        <f t="shared" si="135"/>
        <v>-904.75070000000017</v>
      </c>
      <c r="AP133" s="235">
        <f t="shared" ref="AP133:AP150" si="152">((AN133/AM133)-1)*100</f>
        <v>-60.766764141921236</v>
      </c>
      <c r="AQ133" s="881">
        <v>1488.8907000000002</v>
      </c>
      <c r="AR133" s="136"/>
      <c r="AS133" s="169">
        <f t="shared" si="136"/>
        <v>-1488.8907000000002</v>
      </c>
      <c r="AT133" s="237">
        <f t="shared" ref="AT133:AT150" si="153">((AR133/AQ133)-1)*100</f>
        <v>-100</v>
      </c>
      <c r="AU133" s="881">
        <v>1488.8907000000002</v>
      </c>
      <c r="AV133" s="176"/>
      <c r="AW133" s="137">
        <f t="shared" ref="AW133:AW150" si="154">AV133-AU133</f>
        <v>-1488.8907000000002</v>
      </c>
      <c r="AX133" s="237">
        <f t="shared" ref="AX133:AX150" si="155">((AV133/AU133)-1)*100</f>
        <v>-100</v>
      </c>
      <c r="AY133" s="388">
        <f t="shared" si="137"/>
        <v>17866.688400000003</v>
      </c>
      <c r="AZ133" s="177">
        <f t="shared" si="132"/>
        <v>3509.61</v>
      </c>
      <c r="BA133" s="118"/>
      <c r="BB133" s="118"/>
      <c r="BC133" s="118"/>
    </row>
    <row r="134" spans="1:55" s="119" customFormat="1" ht="18" customHeight="1" x14ac:dyDescent="0.25">
      <c r="A134" s="170">
        <v>12299</v>
      </c>
      <c r="B134" s="332" t="s">
        <v>71</v>
      </c>
      <c r="C134" s="212">
        <v>846216.86039999989</v>
      </c>
      <c r="D134" s="82">
        <v>803382.79</v>
      </c>
      <c r="E134" s="138">
        <f t="shared" si="131"/>
        <v>-42834.070399999851</v>
      </c>
      <c r="F134" s="371">
        <f t="shared" si="130"/>
        <v>-5.0618313584241958</v>
      </c>
      <c r="G134" s="881">
        <v>846216.86039999989</v>
      </c>
      <c r="H134" s="82">
        <v>889869.73</v>
      </c>
      <c r="I134" s="137">
        <f t="shared" si="138"/>
        <v>43652.869600000093</v>
      </c>
      <c r="J134" s="237">
        <f t="shared" si="139"/>
        <v>5.1585913307572007</v>
      </c>
      <c r="K134" s="881">
        <v>846216.86039999989</v>
      </c>
      <c r="L134" s="137">
        <v>1105965.49</v>
      </c>
      <c r="M134" s="137">
        <f t="shared" si="140"/>
        <v>259748.6296000001</v>
      </c>
      <c r="N134" s="235">
        <f t="shared" si="141"/>
        <v>30.695279396491703</v>
      </c>
      <c r="O134" s="881">
        <v>846216.86039999989</v>
      </c>
      <c r="P134" s="137">
        <v>1002303.87</v>
      </c>
      <c r="Q134" s="137">
        <f t="shared" si="142"/>
        <v>156087.00960000011</v>
      </c>
      <c r="R134" s="237">
        <f t="shared" si="143"/>
        <v>18.445272944126767</v>
      </c>
      <c r="S134" s="881">
        <v>846216.86039999989</v>
      </c>
      <c r="T134" s="137">
        <v>1097310.8999999999</v>
      </c>
      <c r="U134" s="137">
        <f t="shared" si="144"/>
        <v>251094.03960000002</v>
      </c>
      <c r="V134" s="237">
        <f t="shared" si="145"/>
        <v>29.672540379461342</v>
      </c>
      <c r="W134" s="881">
        <v>846216.86039999989</v>
      </c>
      <c r="X134" s="137">
        <v>1028127</v>
      </c>
      <c r="Y134" s="137">
        <f t="shared" si="146"/>
        <v>181910.13960000011</v>
      </c>
      <c r="Z134" s="237">
        <f t="shared" si="147"/>
        <v>21.496870142012135</v>
      </c>
      <c r="AA134" s="881">
        <v>846216.86039999989</v>
      </c>
      <c r="AB134" s="212">
        <v>876541.55</v>
      </c>
      <c r="AC134" s="137">
        <f t="shared" si="148"/>
        <v>30324.689600000158</v>
      </c>
      <c r="AD134" s="237">
        <f t="shared" si="149"/>
        <v>3.5835600800562917</v>
      </c>
      <c r="AE134" s="881">
        <v>846216.86039999989</v>
      </c>
      <c r="AF134" s="136">
        <v>925828.31</v>
      </c>
      <c r="AG134" s="169">
        <f t="shared" si="133"/>
        <v>79611.449600000167</v>
      </c>
      <c r="AH134" s="237">
        <f t="shared" si="150"/>
        <v>9.407925240625481</v>
      </c>
      <c r="AI134" s="881">
        <v>846216.86039999989</v>
      </c>
      <c r="AJ134" s="176">
        <v>804754.81</v>
      </c>
      <c r="AK134" s="169">
        <f t="shared" si="134"/>
        <v>-41462.050399999833</v>
      </c>
      <c r="AL134" s="237">
        <f t="shared" si="151"/>
        <v>-4.8996956147152488</v>
      </c>
      <c r="AM134" s="881">
        <v>846216.86039999989</v>
      </c>
      <c r="AN134" s="176">
        <v>780758.54</v>
      </c>
      <c r="AO134" s="169">
        <f t="shared" si="135"/>
        <v>-65458.320399999851</v>
      </c>
      <c r="AP134" s="237">
        <f t="shared" si="152"/>
        <v>-7.7354072535328893</v>
      </c>
      <c r="AQ134" s="881">
        <v>846216.86039999989</v>
      </c>
      <c r="AR134" s="136"/>
      <c r="AS134" s="169">
        <f t="shared" si="136"/>
        <v>-846216.86039999989</v>
      </c>
      <c r="AT134" s="237">
        <f t="shared" si="153"/>
        <v>-100</v>
      </c>
      <c r="AU134" s="881">
        <v>846216.86039999989</v>
      </c>
      <c r="AV134" s="176"/>
      <c r="AW134" s="137">
        <f t="shared" si="154"/>
        <v>-846216.86039999989</v>
      </c>
      <c r="AX134" s="237">
        <f t="shared" si="155"/>
        <v>-100</v>
      </c>
      <c r="AY134" s="388">
        <f t="shared" si="137"/>
        <v>10154602.3248</v>
      </c>
      <c r="AZ134" s="177">
        <f t="shared" si="132"/>
        <v>9314842.9899999984</v>
      </c>
      <c r="BA134" s="118"/>
      <c r="BB134" s="118"/>
      <c r="BC134" s="118"/>
    </row>
    <row r="135" spans="1:55" s="119" customFormat="1" ht="18" customHeight="1" x14ac:dyDescent="0.25">
      <c r="A135" s="170">
        <v>12297</v>
      </c>
      <c r="B135" s="332" t="s">
        <v>200</v>
      </c>
      <c r="C135" s="212">
        <v>49211.629650000003</v>
      </c>
      <c r="D135" s="82">
        <v>32378.44</v>
      </c>
      <c r="E135" s="138">
        <f t="shared" si="131"/>
        <v>-16833.189650000004</v>
      </c>
      <c r="F135" s="371">
        <f t="shared" si="130"/>
        <v>-34.205714725807709</v>
      </c>
      <c r="G135" s="881">
        <v>49211.629650000003</v>
      </c>
      <c r="H135" s="82">
        <v>60642.44</v>
      </c>
      <c r="I135" s="137">
        <f t="shared" si="138"/>
        <v>11430.81035</v>
      </c>
      <c r="J135" s="237">
        <f t="shared" si="139"/>
        <v>23.227863883593216</v>
      </c>
      <c r="K135" s="881">
        <v>49211.629650000003</v>
      </c>
      <c r="L135" s="137">
        <v>71950.789999999994</v>
      </c>
      <c r="M135" s="137">
        <f t="shared" si="140"/>
        <v>22739.160349999991</v>
      </c>
      <c r="N135" s="252">
        <f t="shared" si="141"/>
        <v>46.206883437358371</v>
      </c>
      <c r="O135" s="881">
        <v>49211.629650000003</v>
      </c>
      <c r="P135" s="137">
        <v>51685.71</v>
      </c>
      <c r="Q135" s="137">
        <f t="shared" si="142"/>
        <v>2474.0803499999965</v>
      </c>
      <c r="R135" s="237">
        <f t="shared" si="143"/>
        <v>5.0274302387382841</v>
      </c>
      <c r="S135" s="881">
        <v>49211.629650000003</v>
      </c>
      <c r="T135" s="137">
        <v>70175.44</v>
      </c>
      <c r="U135" s="137">
        <f t="shared" si="144"/>
        <v>20963.81035</v>
      </c>
      <c r="V135" s="240">
        <f t="shared" si="145"/>
        <v>42.59930122025537</v>
      </c>
      <c r="W135" s="881">
        <v>49211.629650000003</v>
      </c>
      <c r="X135" s="137">
        <v>79458.720000000001</v>
      </c>
      <c r="Y135" s="137">
        <f t="shared" si="146"/>
        <v>30247.090349999999</v>
      </c>
      <c r="Z135" s="252">
        <f t="shared" si="147"/>
        <v>61.463297527681028</v>
      </c>
      <c r="AA135" s="881">
        <v>49211.629650000003</v>
      </c>
      <c r="AB135" s="212">
        <v>62731.28</v>
      </c>
      <c r="AC135" s="137">
        <f t="shared" si="148"/>
        <v>13519.650349999996</v>
      </c>
      <c r="AD135" s="237">
        <f t="shared" si="149"/>
        <v>27.472470320844167</v>
      </c>
      <c r="AE135" s="881">
        <v>49211.629650000003</v>
      </c>
      <c r="AF135" s="136">
        <v>65943.520000000004</v>
      </c>
      <c r="AG135" s="169">
        <f t="shared" si="133"/>
        <v>16731.890350000001</v>
      </c>
      <c r="AH135" s="252">
        <f t="shared" si="150"/>
        <v>33.999870496058662</v>
      </c>
      <c r="AI135" s="881">
        <v>49211.629650000003</v>
      </c>
      <c r="AJ135" s="176">
        <v>69893.14</v>
      </c>
      <c r="AK135" s="169">
        <f t="shared" si="134"/>
        <v>20681.510349999997</v>
      </c>
      <c r="AL135" s="237">
        <f t="shared" si="151"/>
        <v>42.025656327761936</v>
      </c>
      <c r="AM135" s="881">
        <v>49211.629650000003</v>
      </c>
      <c r="AN135" s="176">
        <v>67749.14</v>
      </c>
      <c r="AO135" s="169">
        <f t="shared" si="135"/>
        <v>18537.510349999997</v>
      </c>
      <c r="AP135" s="252">
        <f t="shared" si="152"/>
        <v>37.668962564014578</v>
      </c>
      <c r="AQ135" s="881">
        <v>49211.629650000003</v>
      </c>
      <c r="AR135" s="136"/>
      <c r="AS135" s="169">
        <f t="shared" si="136"/>
        <v>-49211.629650000003</v>
      </c>
      <c r="AT135" s="237">
        <f t="shared" si="153"/>
        <v>-100</v>
      </c>
      <c r="AU135" s="881">
        <v>49211.629650000003</v>
      </c>
      <c r="AV135" s="176"/>
      <c r="AW135" s="137">
        <f t="shared" si="154"/>
        <v>-49211.629650000003</v>
      </c>
      <c r="AX135" s="237">
        <f t="shared" si="155"/>
        <v>-100</v>
      </c>
      <c r="AY135" s="388">
        <f t="shared" si="137"/>
        <v>590539.55580000009</v>
      </c>
      <c r="AZ135" s="177">
        <f t="shared" si="132"/>
        <v>632608.62</v>
      </c>
      <c r="BA135" s="118"/>
      <c r="BB135" s="118"/>
      <c r="BC135" s="118"/>
    </row>
    <row r="136" spans="1:55" s="119" customFormat="1" ht="18" customHeight="1" x14ac:dyDescent="0.25">
      <c r="A136" s="170">
        <v>12301</v>
      </c>
      <c r="B136" s="332" t="s">
        <v>72</v>
      </c>
      <c r="C136" s="212">
        <v>850420.22039999999</v>
      </c>
      <c r="D136" s="87">
        <v>966424.85</v>
      </c>
      <c r="E136" s="138">
        <f t="shared" si="131"/>
        <v>116004.62959999999</v>
      </c>
      <c r="F136" s="371">
        <f t="shared" si="130"/>
        <v>13.640859755831825</v>
      </c>
      <c r="G136" s="881">
        <v>850420.22039999999</v>
      </c>
      <c r="H136" s="87">
        <v>1245887.22</v>
      </c>
      <c r="I136" s="137">
        <f t="shared" si="138"/>
        <v>395466.99959999998</v>
      </c>
      <c r="J136" s="237">
        <f t="shared" si="139"/>
        <v>46.502539581430668</v>
      </c>
      <c r="K136" s="881">
        <v>850420.22039999999</v>
      </c>
      <c r="L136" s="137">
        <v>2073332.15</v>
      </c>
      <c r="M136" s="137">
        <f t="shared" si="140"/>
        <v>1222911.9295999999</v>
      </c>
      <c r="N136" s="252">
        <f t="shared" si="141"/>
        <v>143.80089986863157</v>
      </c>
      <c r="O136" s="881">
        <v>850420.22039999999</v>
      </c>
      <c r="P136" s="137">
        <v>2181793.75</v>
      </c>
      <c r="Q136" s="137">
        <f t="shared" si="142"/>
        <v>1331373.5296</v>
      </c>
      <c r="R136" s="237">
        <f t="shared" si="143"/>
        <v>156.55478287825528</v>
      </c>
      <c r="S136" s="881">
        <v>850420.22039999999</v>
      </c>
      <c r="T136" s="137">
        <v>2739066.25</v>
      </c>
      <c r="U136" s="137">
        <f t="shared" si="144"/>
        <v>1888646.0296</v>
      </c>
      <c r="V136" s="240">
        <f t="shared" si="145"/>
        <v>222.08385740306889</v>
      </c>
      <c r="W136" s="881">
        <v>850420.22039999999</v>
      </c>
      <c r="X136" s="137">
        <v>2594067.9900000002</v>
      </c>
      <c r="Y136" s="137">
        <f t="shared" si="146"/>
        <v>1743647.7696000002</v>
      </c>
      <c r="Z136" s="252">
        <f t="shared" si="147"/>
        <v>205.03366780012189</v>
      </c>
      <c r="AA136" s="881">
        <v>850420.22039999999</v>
      </c>
      <c r="AB136" s="212">
        <v>2680724.27</v>
      </c>
      <c r="AC136" s="137">
        <f t="shared" si="148"/>
        <v>1830304.0496</v>
      </c>
      <c r="AD136" s="237">
        <f t="shared" si="149"/>
        <v>215.22348665923138</v>
      </c>
      <c r="AE136" s="881">
        <v>850420.22039999999</v>
      </c>
      <c r="AF136" s="136">
        <v>2539588.58</v>
      </c>
      <c r="AG136" s="169">
        <f t="shared" si="133"/>
        <v>1689168.3596000001</v>
      </c>
      <c r="AH136" s="252">
        <f t="shared" si="150"/>
        <v>198.62749251252399</v>
      </c>
      <c r="AI136" s="881">
        <v>850420.22039999999</v>
      </c>
      <c r="AJ136" s="176">
        <v>2562605.75</v>
      </c>
      <c r="AK136" s="169">
        <f t="shared" si="134"/>
        <v>1712185.5296</v>
      </c>
      <c r="AL136" s="237">
        <f t="shared" si="151"/>
        <v>201.33405680249038</v>
      </c>
      <c r="AM136" s="881">
        <v>850420.22039999999</v>
      </c>
      <c r="AN136" s="176">
        <v>2151133.09</v>
      </c>
      <c r="AO136" s="169">
        <f t="shared" si="135"/>
        <v>1300712.8695999999</v>
      </c>
      <c r="AP136" s="252">
        <f t="shared" si="152"/>
        <v>152.94942881158238</v>
      </c>
      <c r="AQ136" s="881">
        <v>850420.22039999999</v>
      </c>
      <c r="AR136" s="136"/>
      <c r="AS136" s="169">
        <f t="shared" si="136"/>
        <v>-850420.22039999999</v>
      </c>
      <c r="AT136" s="237">
        <f t="shared" si="153"/>
        <v>-100</v>
      </c>
      <c r="AU136" s="881">
        <v>850420.22039999999</v>
      </c>
      <c r="AV136" s="176"/>
      <c r="AW136" s="137">
        <f t="shared" si="154"/>
        <v>-850420.22039999999</v>
      </c>
      <c r="AX136" s="237">
        <f t="shared" si="155"/>
        <v>-100</v>
      </c>
      <c r="AY136" s="388">
        <f t="shared" si="137"/>
        <v>10205042.6448</v>
      </c>
      <c r="AZ136" s="177">
        <f t="shared" si="132"/>
        <v>21734623.899999999</v>
      </c>
      <c r="BA136" s="118"/>
      <c r="BB136" s="118"/>
      <c r="BC136" s="118"/>
    </row>
    <row r="137" spans="1:55" s="119" customFormat="1" ht="18" customHeight="1" x14ac:dyDescent="0.25">
      <c r="A137" s="170">
        <v>12329</v>
      </c>
      <c r="B137" s="332" t="s">
        <v>73</v>
      </c>
      <c r="C137" s="212">
        <v>602130.01185000013</v>
      </c>
      <c r="D137" s="87">
        <v>170708.72</v>
      </c>
      <c r="E137" s="138">
        <f t="shared" si="131"/>
        <v>-431421.29185000015</v>
      </c>
      <c r="F137" s="371">
        <f t="shared" si="130"/>
        <v>-71.649192592890358</v>
      </c>
      <c r="G137" s="881">
        <v>602130.01185000013</v>
      </c>
      <c r="H137" s="87">
        <v>274474.82</v>
      </c>
      <c r="I137" s="137">
        <f t="shared" si="138"/>
        <v>-327655.19185000012</v>
      </c>
      <c r="J137" s="237">
        <f t="shared" si="139"/>
        <v>-54.416020693488385</v>
      </c>
      <c r="K137" s="881">
        <v>602130.01185000013</v>
      </c>
      <c r="L137" s="137">
        <v>1256383.5900000001</v>
      </c>
      <c r="M137" s="137">
        <f>L137-K137</f>
        <v>654253.57814999996</v>
      </c>
      <c r="N137" s="252">
        <f>((L137/K137)-1)*100</f>
        <v>108.65653019683475</v>
      </c>
      <c r="O137" s="881">
        <v>602130.01185000013</v>
      </c>
      <c r="P137" s="137">
        <v>1575053.43</v>
      </c>
      <c r="Q137" s="137">
        <f t="shared" si="142"/>
        <v>972923.41814999981</v>
      </c>
      <c r="R137" s="237">
        <f t="shared" si="143"/>
        <v>161.58028980498153</v>
      </c>
      <c r="S137" s="881">
        <v>602130.01185000013</v>
      </c>
      <c r="T137" s="137">
        <v>1032351.58</v>
      </c>
      <c r="U137" s="137">
        <f t="shared" si="144"/>
        <v>430221.56814999983</v>
      </c>
      <c r="V137" s="240">
        <f t="shared" si="145"/>
        <v>71.449945972328436</v>
      </c>
      <c r="W137" s="881">
        <v>602130.01185000013</v>
      </c>
      <c r="X137" s="137">
        <v>1797750.11</v>
      </c>
      <c r="Y137" s="137">
        <f t="shared" si="146"/>
        <v>1195620.09815</v>
      </c>
      <c r="Z137" s="252">
        <f t="shared" si="147"/>
        <v>198.56510630927451</v>
      </c>
      <c r="AA137" s="881">
        <v>602130.01185000013</v>
      </c>
      <c r="AB137" s="212">
        <v>1862318.83</v>
      </c>
      <c r="AC137" s="137">
        <f t="shared" si="148"/>
        <v>1260188.8181499999</v>
      </c>
      <c r="AD137" s="237">
        <f t="shared" si="149"/>
        <v>209.28849141370029</v>
      </c>
      <c r="AE137" s="881">
        <v>602130.01185000013</v>
      </c>
      <c r="AF137" s="136">
        <v>2386639.7000000002</v>
      </c>
      <c r="AG137" s="169">
        <f t="shared" si="133"/>
        <v>1784509.6881500001</v>
      </c>
      <c r="AH137" s="252">
        <f t="shared" si="150"/>
        <v>296.36617558178597</v>
      </c>
      <c r="AI137" s="881">
        <v>602130.01185000013</v>
      </c>
      <c r="AJ137" s="176">
        <v>2752172.38</v>
      </c>
      <c r="AK137" s="169">
        <f t="shared" si="134"/>
        <v>2150042.3681499995</v>
      </c>
      <c r="AL137" s="237">
        <f t="shared" si="151"/>
        <v>357.07277927305984</v>
      </c>
      <c r="AM137" s="881">
        <v>602130.01185000013</v>
      </c>
      <c r="AN137" s="176">
        <v>2624736.4700000002</v>
      </c>
      <c r="AO137" s="169">
        <f t="shared" si="135"/>
        <v>2022606.4581500001</v>
      </c>
      <c r="AP137" s="252">
        <f t="shared" si="152"/>
        <v>335.90859421467644</v>
      </c>
      <c r="AQ137" s="881">
        <v>602130.01185000013</v>
      </c>
      <c r="AR137" s="136"/>
      <c r="AS137" s="169">
        <f t="shared" si="136"/>
        <v>-602130.01185000013</v>
      </c>
      <c r="AT137" s="237">
        <f t="shared" si="153"/>
        <v>-100</v>
      </c>
      <c r="AU137" s="881">
        <v>602130.01185000013</v>
      </c>
      <c r="AV137" s="176"/>
      <c r="AW137" s="137">
        <f t="shared" si="154"/>
        <v>-602130.01185000013</v>
      </c>
      <c r="AX137" s="237">
        <f t="shared" si="155"/>
        <v>-100</v>
      </c>
      <c r="AY137" s="388">
        <f t="shared" si="137"/>
        <v>7225560.1422000034</v>
      </c>
      <c r="AZ137" s="177">
        <f t="shared" si="132"/>
        <v>15732589.630000001</v>
      </c>
      <c r="BA137" s="118"/>
      <c r="BB137" s="118"/>
      <c r="BC137" s="118"/>
    </row>
    <row r="138" spans="1:55" s="119" customFormat="1" ht="18" customHeight="1" x14ac:dyDescent="0.25">
      <c r="A138" s="170">
        <v>11605</v>
      </c>
      <c r="B138" s="332" t="s">
        <v>74</v>
      </c>
      <c r="C138" s="212">
        <v>65481.21944999999</v>
      </c>
      <c r="D138" s="87">
        <v>58952.07</v>
      </c>
      <c r="E138" s="138">
        <f t="shared" si="131"/>
        <v>-6529.1494499999899</v>
      </c>
      <c r="F138" s="371">
        <f t="shared" si="130"/>
        <v>-9.9710260511954978</v>
      </c>
      <c r="G138" s="881">
        <v>65481.21944999999</v>
      </c>
      <c r="H138" s="87">
        <v>73644.03</v>
      </c>
      <c r="I138" s="137">
        <f t="shared" si="138"/>
        <v>8162.8105500000092</v>
      </c>
      <c r="J138" s="237">
        <f t="shared" si="139"/>
        <v>12.465880474680159</v>
      </c>
      <c r="K138" s="881">
        <v>65481.21944999999</v>
      </c>
      <c r="L138" s="137">
        <v>97126.48</v>
      </c>
      <c r="M138" s="137">
        <f t="shared" si="140"/>
        <v>31645.260550000006</v>
      </c>
      <c r="N138" s="252">
        <f t="shared" si="141"/>
        <v>48.327231557078164</v>
      </c>
      <c r="O138" s="881">
        <v>65481.21944999999</v>
      </c>
      <c r="P138" s="137">
        <v>92254.63</v>
      </c>
      <c r="Q138" s="137">
        <f t="shared" si="142"/>
        <v>26773.410550000015</v>
      </c>
      <c r="R138" s="237">
        <f t="shared" si="143"/>
        <v>40.887159363981596</v>
      </c>
      <c r="S138" s="881">
        <v>65481.21944999999</v>
      </c>
      <c r="T138" s="137">
        <v>100659.23</v>
      </c>
      <c r="U138" s="137">
        <f t="shared" si="144"/>
        <v>35178.010550000006</v>
      </c>
      <c r="V138" s="240">
        <f t="shared" si="145"/>
        <v>53.72228991071426</v>
      </c>
      <c r="W138" s="881">
        <v>65481.21944999999</v>
      </c>
      <c r="X138" s="137">
        <v>85133.97</v>
      </c>
      <c r="Y138" s="137">
        <f t="shared" si="146"/>
        <v>19652.750550000012</v>
      </c>
      <c r="Z138" s="252">
        <f t="shared" si="147"/>
        <v>30.012804763060984</v>
      </c>
      <c r="AA138" s="881">
        <v>65481.21944999999</v>
      </c>
      <c r="AB138" s="212">
        <v>112714.49</v>
      </c>
      <c r="AC138" s="137">
        <f t="shared" si="148"/>
        <v>47233.270550000016</v>
      </c>
      <c r="AD138" s="237">
        <f t="shared" si="149"/>
        <v>72.132545708111479</v>
      </c>
      <c r="AE138" s="881">
        <v>65481.21944999999</v>
      </c>
      <c r="AF138" s="136">
        <v>97235.26</v>
      </c>
      <c r="AG138" s="169">
        <f t="shared" si="133"/>
        <v>31754.040550000005</v>
      </c>
      <c r="AH138" s="252">
        <f t="shared" si="150"/>
        <v>48.493355525009264</v>
      </c>
      <c r="AI138" s="881">
        <v>65481.21944999999</v>
      </c>
      <c r="AJ138" s="176">
        <v>93459.98</v>
      </c>
      <c r="AK138" s="169">
        <f t="shared" si="134"/>
        <v>27978.760550000006</v>
      </c>
      <c r="AL138" s="237">
        <f t="shared" si="151"/>
        <v>42.727916164365219</v>
      </c>
      <c r="AM138" s="881">
        <v>65481.21944999999</v>
      </c>
      <c r="AN138" s="176">
        <v>112679.67</v>
      </c>
      <c r="AO138" s="169">
        <f t="shared" si="135"/>
        <v>47198.450550000009</v>
      </c>
      <c r="AP138" s="252">
        <f t="shared" si="152"/>
        <v>72.079370155957008</v>
      </c>
      <c r="AQ138" s="881">
        <v>65481.21944999999</v>
      </c>
      <c r="AR138" s="136"/>
      <c r="AS138" s="169">
        <f t="shared" si="136"/>
        <v>-65481.21944999999</v>
      </c>
      <c r="AT138" s="237">
        <f t="shared" si="153"/>
        <v>-100</v>
      </c>
      <c r="AU138" s="881">
        <v>65481.21944999999</v>
      </c>
      <c r="AV138" s="176"/>
      <c r="AW138" s="137">
        <f t="shared" si="154"/>
        <v>-65481.21944999999</v>
      </c>
      <c r="AX138" s="237">
        <f t="shared" si="155"/>
        <v>-100</v>
      </c>
      <c r="AY138" s="388">
        <f t="shared" si="137"/>
        <v>785774.63339999982</v>
      </c>
      <c r="AZ138" s="177">
        <f t="shared" si="132"/>
        <v>923859.81</v>
      </c>
      <c r="BA138" s="118"/>
      <c r="BB138" s="118"/>
      <c r="BC138" s="118"/>
    </row>
    <row r="139" spans="1:55" s="119" customFormat="1" ht="18" customHeight="1" x14ac:dyDescent="0.25">
      <c r="A139" s="170">
        <v>12333</v>
      </c>
      <c r="B139" s="332" t="s">
        <v>75</v>
      </c>
      <c r="C139" s="212">
        <v>29765.331899999997</v>
      </c>
      <c r="D139" s="87">
        <v>40123.449999999997</v>
      </c>
      <c r="E139" s="138">
        <f t="shared" si="131"/>
        <v>10358.1181</v>
      </c>
      <c r="F139" s="371">
        <f t="shared" si="130"/>
        <v>34.799269616073047</v>
      </c>
      <c r="G139" s="881">
        <v>29765.331899999997</v>
      </c>
      <c r="H139" s="87">
        <v>2379.13</v>
      </c>
      <c r="I139" s="137">
        <f t="shared" si="138"/>
        <v>-27386.201899999996</v>
      </c>
      <c r="J139" s="237">
        <f t="shared" si="139"/>
        <v>-92.007043603636077</v>
      </c>
      <c r="K139" s="881">
        <v>29765.331899999997</v>
      </c>
      <c r="L139" s="137">
        <v>82126</v>
      </c>
      <c r="M139" s="137">
        <f t="shared" si="140"/>
        <v>52360.668100000003</v>
      </c>
      <c r="N139" s="252">
        <f t="shared" si="141"/>
        <v>175.9115882729331</v>
      </c>
      <c r="O139" s="881">
        <v>29765.331899999997</v>
      </c>
      <c r="P139" s="137">
        <v>46224.65</v>
      </c>
      <c r="Q139" s="137">
        <f t="shared" si="142"/>
        <v>16459.318100000004</v>
      </c>
      <c r="R139" s="237">
        <f t="shared" si="143"/>
        <v>55.296941271466224</v>
      </c>
      <c r="S139" s="881">
        <v>29765.331899999997</v>
      </c>
      <c r="T139" s="137">
        <v>31260.17</v>
      </c>
      <c r="U139" s="137">
        <f t="shared" si="144"/>
        <v>1494.8381000000008</v>
      </c>
      <c r="V139" s="240">
        <f t="shared" si="145"/>
        <v>5.0220777145105533</v>
      </c>
      <c r="W139" s="881">
        <v>29765.331899999997</v>
      </c>
      <c r="X139" s="137">
        <v>37725.949999999997</v>
      </c>
      <c r="Y139" s="137">
        <f t="shared" si="146"/>
        <v>7960.6180999999997</v>
      </c>
      <c r="Z139" s="252">
        <f t="shared" si="147"/>
        <v>26.744597126430826</v>
      </c>
      <c r="AA139" s="881">
        <v>29765.331899999997</v>
      </c>
      <c r="AB139" s="212">
        <v>28690.77</v>
      </c>
      <c r="AC139" s="137">
        <f t="shared" si="148"/>
        <v>-1074.561899999997</v>
      </c>
      <c r="AD139" s="237">
        <f t="shared" si="149"/>
        <v>-3.6101122729291557</v>
      </c>
      <c r="AE139" s="881">
        <v>29765.331899999997</v>
      </c>
      <c r="AF139" s="136">
        <v>35110.050000000003</v>
      </c>
      <c r="AG139" s="169">
        <f t="shared" si="133"/>
        <v>5344.7181000000055</v>
      </c>
      <c r="AH139" s="252">
        <f t="shared" si="150"/>
        <v>17.956185128243128</v>
      </c>
      <c r="AI139" s="881">
        <v>29765.331899999997</v>
      </c>
      <c r="AJ139" s="176">
        <v>39205.25</v>
      </c>
      <c r="AK139" s="169">
        <f t="shared" si="134"/>
        <v>9439.9181000000026</v>
      </c>
      <c r="AL139" s="237">
        <f t="shared" si="151"/>
        <v>31.714472836098295</v>
      </c>
      <c r="AM139" s="881">
        <v>29765.331899999997</v>
      </c>
      <c r="AN139" s="176">
        <v>35252.17</v>
      </c>
      <c r="AO139" s="169">
        <f t="shared" si="135"/>
        <v>5486.8381000000008</v>
      </c>
      <c r="AP139" s="252">
        <f t="shared" si="152"/>
        <v>18.433653346899192</v>
      </c>
      <c r="AQ139" s="881">
        <v>29765.331899999997</v>
      </c>
      <c r="AR139" s="136"/>
      <c r="AS139" s="169">
        <f t="shared" si="136"/>
        <v>-29765.331899999997</v>
      </c>
      <c r="AT139" s="237">
        <f t="shared" si="153"/>
        <v>-100</v>
      </c>
      <c r="AU139" s="881">
        <v>29765.331899999997</v>
      </c>
      <c r="AV139" s="176"/>
      <c r="AW139" s="137">
        <f t="shared" si="154"/>
        <v>-29765.331899999997</v>
      </c>
      <c r="AX139" s="237">
        <f t="shared" si="155"/>
        <v>-100</v>
      </c>
      <c r="AY139" s="388">
        <f t="shared" si="137"/>
        <v>357183.98279999994</v>
      </c>
      <c r="AZ139" s="177">
        <f t="shared" si="132"/>
        <v>378097.58999999997</v>
      </c>
      <c r="BA139" s="118"/>
      <c r="BB139" s="118"/>
      <c r="BC139" s="118"/>
    </row>
    <row r="140" spans="1:55" s="119" customFormat="1" ht="18" customHeight="1" x14ac:dyDescent="0.25">
      <c r="A140" s="170">
        <v>12331</v>
      </c>
      <c r="B140" s="332" t="s">
        <v>76</v>
      </c>
      <c r="C140" s="212">
        <v>155205.45944999997</v>
      </c>
      <c r="D140" s="87">
        <v>158328.53</v>
      </c>
      <c r="E140" s="138">
        <f t="shared" si="131"/>
        <v>3123.0705500000331</v>
      </c>
      <c r="F140" s="371">
        <f t="shared" si="130"/>
        <v>2.0122169420246028</v>
      </c>
      <c r="G140" s="881">
        <v>155205.45944999997</v>
      </c>
      <c r="H140" s="87">
        <v>154088.09</v>
      </c>
      <c r="I140" s="137">
        <f t="shared" si="138"/>
        <v>-1117.3694499999692</v>
      </c>
      <c r="J140" s="237">
        <f t="shared" si="139"/>
        <v>-0.71992921767028983</v>
      </c>
      <c r="K140" s="881">
        <v>155205.45944999997</v>
      </c>
      <c r="L140" s="137">
        <v>172062.77</v>
      </c>
      <c r="M140" s="137">
        <f t="shared" si="140"/>
        <v>16857.310550000024</v>
      </c>
      <c r="N140" s="252">
        <f t="shared" si="141"/>
        <v>10.861287102745676</v>
      </c>
      <c r="O140" s="881">
        <v>155205.45944999997</v>
      </c>
      <c r="P140" s="137">
        <v>191718.34</v>
      </c>
      <c r="Q140" s="137">
        <f t="shared" si="142"/>
        <v>36512.880550000031</v>
      </c>
      <c r="R140" s="237">
        <f t="shared" si="143"/>
        <v>23.525513006688282</v>
      </c>
      <c r="S140" s="881">
        <v>155205.45944999997</v>
      </c>
      <c r="T140" s="137">
        <v>160641.81</v>
      </c>
      <c r="U140" s="137">
        <f t="shared" si="144"/>
        <v>5436.3505500000319</v>
      </c>
      <c r="V140" s="240">
        <f t="shared" si="145"/>
        <v>3.5026799761199046</v>
      </c>
      <c r="W140" s="881">
        <v>155205.45944999997</v>
      </c>
      <c r="X140" s="137">
        <v>174032.92</v>
      </c>
      <c r="Y140" s="137">
        <f t="shared" si="146"/>
        <v>18827.460550000047</v>
      </c>
      <c r="Z140" s="252">
        <f t="shared" si="147"/>
        <v>12.130668996257432</v>
      </c>
      <c r="AA140" s="881">
        <v>155205.45944999997</v>
      </c>
      <c r="AB140" s="212">
        <v>177742.56</v>
      </c>
      <c r="AC140" s="137">
        <f t="shared" si="148"/>
        <v>22537.100550000032</v>
      </c>
      <c r="AD140" s="237">
        <f t="shared" si="149"/>
        <v>14.520816877102472</v>
      </c>
      <c r="AE140" s="881">
        <v>155205.45944999997</v>
      </c>
      <c r="AF140" s="136">
        <v>169497.84</v>
      </c>
      <c r="AG140" s="169">
        <f t="shared" si="133"/>
        <v>14292.380550000031</v>
      </c>
      <c r="AH140" s="252">
        <f t="shared" si="150"/>
        <v>9.2086841536681785</v>
      </c>
      <c r="AI140" s="881">
        <v>155205.45944999997</v>
      </c>
      <c r="AJ140" s="176">
        <v>228945.4</v>
      </c>
      <c r="AK140" s="169">
        <f t="shared" si="134"/>
        <v>73739.940550000028</v>
      </c>
      <c r="AL140" s="237">
        <f t="shared" si="151"/>
        <v>47.511176998097568</v>
      </c>
      <c r="AM140" s="881">
        <v>155205.45944999997</v>
      </c>
      <c r="AN140" s="176">
        <v>184366.48</v>
      </c>
      <c r="AO140" s="169">
        <f t="shared" si="135"/>
        <v>29161.020550000045</v>
      </c>
      <c r="AP140" s="252">
        <f t="shared" si="152"/>
        <v>18.788656438592866</v>
      </c>
      <c r="AQ140" s="881">
        <v>155205.45944999997</v>
      </c>
      <c r="AR140" s="136"/>
      <c r="AS140" s="169">
        <f t="shared" si="136"/>
        <v>-155205.45944999997</v>
      </c>
      <c r="AT140" s="237">
        <f t="shared" si="153"/>
        <v>-100</v>
      </c>
      <c r="AU140" s="881">
        <v>155205.45944999997</v>
      </c>
      <c r="AV140" s="176"/>
      <c r="AW140" s="137">
        <f t="shared" si="154"/>
        <v>-155205.45944999997</v>
      </c>
      <c r="AX140" s="237">
        <f t="shared" si="155"/>
        <v>-100</v>
      </c>
      <c r="AY140" s="388">
        <f t="shared" si="137"/>
        <v>1862465.5133999996</v>
      </c>
      <c r="AZ140" s="177">
        <f t="shared" si="132"/>
        <v>1771424.74</v>
      </c>
      <c r="BA140" s="118"/>
      <c r="BB140" s="118"/>
      <c r="BC140" s="118"/>
    </row>
    <row r="141" spans="1:55" s="119" customFormat="1" ht="18" customHeight="1" x14ac:dyDescent="0.25">
      <c r="A141" s="170">
        <v>12316</v>
      </c>
      <c r="B141" s="332" t="s">
        <v>201</v>
      </c>
      <c r="C141" s="212">
        <v>21293.1747</v>
      </c>
      <c r="D141" s="87">
        <v>22898.45</v>
      </c>
      <c r="E141" s="138">
        <f t="shared" si="131"/>
        <v>1605.2753000000012</v>
      </c>
      <c r="F141" s="371">
        <f t="shared" si="130"/>
        <v>7.5389195017500299</v>
      </c>
      <c r="G141" s="881">
        <v>21293.1747</v>
      </c>
      <c r="H141" s="87">
        <v>24332.51</v>
      </c>
      <c r="I141" s="137">
        <f t="shared" si="138"/>
        <v>3039.3352999999988</v>
      </c>
      <c r="J141" s="237">
        <f t="shared" si="139"/>
        <v>14.273753645575438</v>
      </c>
      <c r="K141" s="881">
        <v>21293.1747</v>
      </c>
      <c r="L141" s="137">
        <v>28336.55</v>
      </c>
      <c r="M141" s="137">
        <f t="shared" si="140"/>
        <v>7043.3752999999997</v>
      </c>
      <c r="N141" s="252">
        <f t="shared" si="141"/>
        <v>33.078089102420229</v>
      </c>
      <c r="O141" s="881">
        <v>21293.1747</v>
      </c>
      <c r="P141" s="137">
        <v>19278.419999999998</v>
      </c>
      <c r="Q141" s="137">
        <f t="shared" si="142"/>
        <v>-2014.7547000000013</v>
      </c>
      <c r="R141" s="237">
        <f t="shared" si="143"/>
        <v>-9.4619742165549461</v>
      </c>
      <c r="S141" s="881">
        <v>21293.1747</v>
      </c>
      <c r="T141" s="137">
        <v>12852.47</v>
      </c>
      <c r="U141" s="137">
        <f t="shared" si="144"/>
        <v>-8440.7047000000002</v>
      </c>
      <c r="V141" s="240">
        <f t="shared" si="145"/>
        <v>-39.640423839663519</v>
      </c>
      <c r="W141" s="881">
        <v>21293.1747</v>
      </c>
      <c r="X141" s="137">
        <v>17557.080000000002</v>
      </c>
      <c r="Y141" s="137">
        <f t="shared" si="146"/>
        <v>-3736.0946999999978</v>
      </c>
      <c r="Z141" s="252">
        <f t="shared" si="147"/>
        <v>-17.545973076527655</v>
      </c>
      <c r="AA141" s="881">
        <v>21293.1747</v>
      </c>
      <c r="AB141" s="212">
        <v>25102.61</v>
      </c>
      <c r="AC141" s="137">
        <f t="shared" si="148"/>
        <v>3809.435300000001</v>
      </c>
      <c r="AD141" s="237">
        <f t="shared" si="149"/>
        <v>17.89040551102039</v>
      </c>
      <c r="AE141" s="881">
        <v>21293.1747</v>
      </c>
      <c r="AF141" s="136">
        <v>9889.86</v>
      </c>
      <c r="AG141" s="169">
        <f t="shared" si="133"/>
        <v>-11403.314699999999</v>
      </c>
      <c r="AH141" s="252">
        <f t="shared" si="150"/>
        <v>-53.553849346851969</v>
      </c>
      <c r="AI141" s="881">
        <v>21293.1747</v>
      </c>
      <c r="AJ141" s="176">
        <v>23762.47</v>
      </c>
      <c r="AK141" s="169">
        <f t="shared" si="134"/>
        <v>2469.2953000000016</v>
      </c>
      <c r="AL141" s="237">
        <f t="shared" si="151"/>
        <v>11.596651672613213</v>
      </c>
      <c r="AM141" s="881">
        <v>21293.1747</v>
      </c>
      <c r="AN141" s="176">
        <v>44392.53</v>
      </c>
      <c r="AO141" s="169">
        <f t="shared" si="135"/>
        <v>23099.355299999999</v>
      </c>
      <c r="AP141" s="252">
        <f t="shared" si="152"/>
        <v>108.48243921090828</v>
      </c>
      <c r="AQ141" s="881">
        <v>21293.1747</v>
      </c>
      <c r="AR141" s="136"/>
      <c r="AS141" s="169">
        <f t="shared" si="136"/>
        <v>-21293.1747</v>
      </c>
      <c r="AT141" s="237">
        <f t="shared" si="153"/>
        <v>-100</v>
      </c>
      <c r="AU141" s="881">
        <v>21293.1747</v>
      </c>
      <c r="AV141" s="176"/>
      <c r="AW141" s="137">
        <f t="shared" si="154"/>
        <v>-21293.1747</v>
      </c>
      <c r="AX141" s="237">
        <f t="shared" si="155"/>
        <v>-100</v>
      </c>
      <c r="AY141" s="388">
        <f t="shared" si="137"/>
        <v>255518.09640000001</v>
      </c>
      <c r="AZ141" s="177">
        <f t="shared" si="132"/>
        <v>228402.95</v>
      </c>
      <c r="BA141" s="118"/>
      <c r="BB141" s="118"/>
      <c r="BC141" s="118"/>
    </row>
    <row r="142" spans="1:55" s="119" customFormat="1" ht="18" customHeight="1" x14ac:dyDescent="0.25">
      <c r="A142" s="170">
        <v>12332</v>
      </c>
      <c r="B142" s="332" t="s">
        <v>77</v>
      </c>
      <c r="C142" s="212">
        <v>25161.347249999999</v>
      </c>
      <c r="D142" s="87">
        <v>13694.14</v>
      </c>
      <c r="E142" s="138">
        <f t="shared" si="131"/>
        <v>-11467.207249999999</v>
      </c>
      <c r="F142" s="371">
        <f t="shared" si="130"/>
        <v>-45.574694932124515</v>
      </c>
      <c r="G142" s="881">
        <v>25161.347249999999</v>
      </c>
      <c r="H142" s="87">
        <v>54954.6</v>
      </c>
      <c r="I142" s="137">
        <f t="shared" si="138"/>
        <v>29793.25275</v>
      </c>
      <c r="J142" s="237">
        <f t="shared" si="139"/>
        <v>118.40881354236706</v>
      </c>
      <c r="K142" s="881">
        <v>25161.347249999999</v>
      </c>
      <c r="L142" s="137">
        <v>50487.24</v>
      </c>
      <c r="M142" s="137">
        <f t="shared" si="140"/>
        <v>25325.892749999999</v>
      </c>
      <c r="N142" s="252">
        <f t="shared" si="141"/>
        <v>100.65396140502769</v>
      </c>
      <c r="O142" s="881">
        <v>25161.347249999999</v>
      </c>
      <c r="P142" s="137">
        <v>27744.51</v>
      </c>
      <c r="Q142" s="137">
        <f t="shared" si="142"/>
        <v>2583.1627499999995</v>
      </c>
      <c r="R142" s="237">
        <f t="shared" si="143"/>
        <v>10.266392829978521</v>
      </c>
      <c r="S142" s="881">
        <v>25161.347249999999</v>
      </c>
      <c r="T142" s="137">
        <v>38691.82</v>
      </c>
      <c r="U142" s="137">
        <f t="shared" si="144"/>
        <v>13530.472750000001</v>
      </c>
      <c r="V142" s="240">
        <f t="shared" si="145"/>
        <v>53.774834135719814</v>
      </c>
      <c r="W142" s="881">
        <v>25161.347249999999</v>
      </c>
      <c r="X142" s="137">
        <v>65012.02</v>
      </c>
      <c r="Y142" s="137">
        <f t="shared" si="146"/>
        <v>39850.672749999998</v>
      </c>
      <c r="Z142" s="252">
        <f t="shared" si="147"/>
        <v>158.3805205422774</v>
      </c>
      <c r="AA142" s="881">
        <v>25161.347249999999</v>
      </c>
      <c r="AB142" s="212">
        <v>82757.52</v>
      </c>
      <c r="AC142" s="137">
        <f t="shared" si="148"/>
        <v>57596.172750000005</v>
      </c>
      <c r="AD142" s="237">
        <f t="shared" si="149"/>
        <v>228.90734815481713</v>
      </c>
      <c r="AE142" s="881">
        <v>25161.347249999999</v>
      </c>
      <c r="AF142" s="136">
        <v>19284.849999999999</v>
      </c>
      <c r="AG142" s="169">
        <f t="shared" si="133"/>
        <v>-5876.4972500000003</v>
      </c>
      <c r="AH142" s="252">
        <f t="shared" si="150"/>
        <v>-23.355256742064956</v>
      </c>
      <c r="AI142" s="881">
        <v>25161.347249999999</v>
      </c>
      <c r="AJ142" s="176">
        <v>32739.55</v>
      </c>
      <c r="AK142" s="169">
        <f t="shared" si="134"/>
        <v>7578.2027500000004</v>
      </c>
      <c r="AL142" s="237">
        <f t="shared" si="151"/>
        <v>30.118429966026561</v>
      </c>
      <c r="AM142" s="881">
        <v>25161.347249999999</v>
      </c>
      <c r="AN142" s="176">
        <v>21949.33</v>
      </c>
      <c r="AO142" s="169">
        <f t="shared" si="135"/>
        <v>-3212.0172499999971</v>
      </c>
      <c r="AP142" s="252">
        <f t="shared" si="152"/>
        <v>-12.765680700980742</v>
      </c>
      <c r="AQ142" s="881">
        <v>25161.347249999999</v>
      </c>
      <c r="AR142" s="136"/>
      <c r="AS142" s="169">
        <f t="shared" si="136"/>
        <v>-25161.347249999999</v>
      </c>
      <c r="AT142" s="237">
        <f t="shared" si="153"/>
        <v>-100</v>
      </c>
      <c r="AU142" s="881">
        <v>25161.347249999999</v>
      </c>
      <c r="AV142" s="176"/>
      <c r="AW142" s="137">
        <f t="shared" si="154"/>
        <v>-25161.347249999999</v>
      </c>
      <c r="AX142" s="237">
        <f t="shared" si="155"/>
        <v>-100</v>
      </c>
      <c r="AY142" s="388">
        <f t="shared" si="137"/>
        <v>301936.16699999996</v>
      </c>
      <c r="AZ142" s="177">
        <f t="shared" si="132"/>
        <v>407315.57999999996</v>
      </c>
      <c r="BA142" s="118"/>
      <c r="BB142" s="118"/>
      <c r="BC142" s="118"/>
    </row>
    <row r="143" spans="1:55" s="119" customFormat="1" ht="18" customHeight="1" x14ac:dyDescent="0.25">
      <c r="A143" s="170">
        <v>32497</v>
      </c>
      <c r="B143" s="332" t="s">
        <v>202</v>
      </c>
      <c r="C143" s="212">
        <v>72966.796650000004</v>
      </c>
      <c r="D143" s="87">
        <v>75680.66</v>
      </c>
      <c r="E143" s="138">
        <f t="shared" si="131"/>
        <v>2713.8633499999996</v>
      </c>
      <c r="F143" s="371">
        <f t="shared" si="130"/>
        <v>3.7193127211238242</v>
      </c>
      <c r="G143" s="881">
        <v>72966.796650000004</v>
      </c>
      <c r="H143" s="87">
        <v>103529.34</v>
      </c>
      <c r="I143" s="137">
        <f t="shared" si="138"/>
        <v>30562.543349999993</v>
      </c>
      <c r="J143" s="237">
        <f t="shared" si="139"/>
        <v>41.885548980037335</v>
      </c>
      <c r="K143" s="881">
        <v>72966.796650000004</v>
      </c>
      <c r="L143" s="137">
        <v>153543.07999999999</v>
      </c>
      <c r="M143" s="137">
        <f t="shared" si="140"/>
        <v>80576.283349999983</v>
      </c>
      <c r="N143" s="252">
        <f t="shared" si="141"/>
        <v>110.42869777674413</v>
      </c>
      <c r="O143" s="881">
        <v>72966.796650000004</v>
      </c>
      <c r="P143" s="137">
        <v>121617.18</v>
      </c>
      <c r="Q143" s="137">
        <f t="shared" si="142"/>
        <v>48650.383349999989</v>
      </c>
      <c r="R143" s="237">
        <f t="shared" si="143"/>
        <v>66.6746870955037</v>
      </c>
      <c r="S143" s="881">
        <v>72966.796650000004</v>
      </c>
      <c r="T143" s="137">
        <v>111116.54</v>
      </c>
      <c r="U143" s="137">
        <f t="shared" si="144"/>
        <v>38149.74334999999</v>
      </c>
      <c r="V143" s="240">
        <f t="shared" si="145"/>
        <v>52.283703138282121</v>
      </c>
      <c r="W143" s="881">
        <v>72966.796650000004</v>
      </c>
      <c r="X143" s="137">
        <v>104416.91</v>
      </c>
      <c r="Y143" s="137">
        <f t="shared" si="146"/>
        <v>31450.11335</v>
      </c>
      <c r="Z143" s="252">
        <f t="shared" si="147"/>
        <v>43.101951564157083</v>
      </c>
      <c r="AA143" s="881">
        <v>72966.796650000004</v>
      </c>
      <c r="AB143" s="212">
        <v>115253.77</v>
      </c>
      <c r="AC143" s="137">
        <f t="shared" si="148"/>
        <v>42286.97335</v>
      </c>
      <c r="AD143" s="237">
        <f t="shared" si="149"/>
        <v>57.953720447449577</v>
      </c>
      <c r="AE143" s="881">
        <v>72966.796650000004</v>
      </c>
      <c r="AF143" s="136">
        <v>107168</v>
      </c>
      <c r="AG143" s="169">
        <f t="shared" si="133"/>
        <v>34201.203349999996</v>
      </c>
      <c r="AH143" s="252">
        <f t="shared" si="150"/>
        <v>46.872282901568219</v>
      </c>
      <c r="AI143" s="881">
        <v>72966.796650000004</v>
      </c>
      <c r="AJ143" s="176">
        <v>110654.17</v>
      </c>
      <c r="AK143" s="169">
        <f t="shared" si="134"/>
        <v>37687.373349999994</v>
      </c>
      <c r="AL143" s="237">
        <f t="shared" si="151"/>
        <v>51.650031357104929</v>
      </c>
      <c r="AM143" s="881">
        <v>72966.796650000004</v>
      </c>
      <c r="AN143" s="176">
        <v>95226.9</v>
      </c>
      <c r="AO143" s="169">
        <f t="shared" si="135"/>
        <v>22260.10334999999</v>
      </c>
      <c r="AP143" s="252">
        <f t="shared" si="152"/>
        <v>30.507168153173936</v>
      </c>
      <c r="AQ143" s="881">
        <v>72966.796650000004</v>
      </c>
      <c r="AR143" s="136"/>
      <c r="AS143" s="169">
        <f t="shared" si="136"/>
        <v>-72966.796650000004</v>
      </c>
      <c r="AT143" s="237">
        <f t="shared" si="153"/>
        <v>-100</v>
      </c>
      <c r="AU143" s="881">
        <v>72966.796650000004</v>
      </c>
      <c r="AV143" s="176"/>
      <c r="AW143" s="137">
        <f t="shared" si="154"/>
        <v>-72966.796650000004</v>
      </c>
      <c r="AX143" s="237">
        <f t="shared" si="155"/>
        <v>-100</v>
      </c>
      <c r="AY143" s="388">
        <f t="shared" si="137"/>
        <v>875601.55980000028</v>
      </c>
      <c r="AZ143" s="177">
        <f t="shared" si="132"/>
        <v>1098206.55</v>
      </c>
      <c r="BA143" s="118"/>
      <c r="BB143" s="118"/>
      <c r="BC143" s="118"/>
    </row>
    <row r="144" spans="1:55" s="119" customFormat="1" ht="18" customHeight="1" x14ac:dyDescent="0.25">
      <c r="A144" s="170">
        <v>51649</v>
      </c>
      <c r="B144" s="332" t="s">
        <v>78</v>
      </c>
      <c r="C144" s="212">
        <v>17882.359550000001</v>
      </c>
      <c r="D144" s="87">
        <v>10170.370000000001</v>
      </c>
      <c r="E144" s="138">
        <f t="shared" si="131"/>
        <v>-7711.9895500000002</v>
      </c>
      <c r="F144" s="371">
        <f t="shared" si="130"/>
        <v>-43.126241413706502</v>
      </c>
      <c r="G144" s="881">
        <v>17883.359549999997</v>
      </c>
      <c r="H144" s="87">
        <v>13825.38</v>
      </c>
      <c r="I144" s="137">
        <f t="shared" si="138"/>
        <v>-4057.9795499999982</v>
      </c>
      <c r="J144" s="237">
        <f t="shared" si="139"/>
        <v>-22.691371487858937</v>
      </c>
      <c r="K144" s="881">
        <v>17883.359549999997</v>
      </c>
      <c r="L144" s="137">
        <v>11441.4</v>
      </c>
      <c r="M144" s="137">
        <f t="shared" si="140"/>
        <v>-6441.9595499999978</v>
      </c>
      <c r="N144" s="252">
        <f t="shared" si="141"/>
        <v>-36.022088198746737</v>
      </c>
      <c r="O144" s="881">
        <v>17883.359549999997</v>
      </c>
      <c r="P144" s="137">
        <v>19337.080000000002</v>
      </c>
      <c r="Q144" s="137">
        <f t="shared" si="142"/>
        <v>1453.7204500000043</v>
      </c>
      <c r="R144" s="237">
        <f t="shared" si="143"/>
        <v>8.128900198732536</v>
      </c>
      <c r="S144" s="881">
        <v>17883.359549999997</v>
      </c>
      <c r="T144" s="137">
        <v>5720.7</v>
      </c>
      <c r="U144" s="137">
        <f t="shared" si="144"/>
        <v>-12162.659549999997</v>
      </c>
      <c r="V144" s="240">
        <f>((T144/S144)-1)*100</f>
        <v>-68.011044099373379</v>
      </c>
      <c r="W144" s="881">
        <v>17883.359549999997</v>
      </c>
      <c r="X144" s="137">
        <v>31943.25</v>
      </c>
      <c r="Y144" s="137">
        <f t="shared" si="146"/>
        <v>14059.890450000003</v>
      </c>
      <c r="Z144" s="252">
        <f t="shared" si="147"/>
        <v>78.619961818080242</v>
      </c>
      <c r="AA144" s="881">
        <v>17883.359549999997</v>
      </c>
      <c r="AB144" s="212">
        <v>13385.8</v>
      </c>
      <c r="AC144" s="137">
        <f t="shared" si="148"/>
        <v>-4497.5595499999981</v>
      </c>
      <c r="AD144" s="237">
        <f t="shared" si="149"/>
        <v>-25.149410754871269</v>
      </c>
      <c r="AE144" s="881">
        <v>17883.359549999997</v>
      </c>
      <c r="AF144" s="136">
        <v>14619.72</v>
      </c>
      <c r="AG144" s="169">
        <f t="shared" si="133"/>
        <v>-3263.6395499999981</v>
      </c>
      <c r="AH144" s="252">
        <f t="shared" si="150"/>
        <v>-18.24958862385563</v>
      </c>
      <c r="AI144" s="881">
        <v>17883.359549999997</v>
      </c>
      <c r="AJ144" s="176">
        <v>14061.49</v>
      </c>
      <c r="AK144" s="169">
        <f t="shared" si="134"/>
        <v>-3821.8695499999976</v>
      </c>
      <c r="AL144" s="237">
        <f t="shared" si="151"/>
        <v>-21.371093833429068</v>
      </c>
      <c r="AM144" s="881">
        <v>17883.359549999997</v>
      </c>
      <c r="AN144" s="176">
        <v>8559.69</v>
      </c>
      <c r="AO144" s="169">
        <f t="shared" si="135"/>
        <v>-9323.6695499999969</v>
      </c>
      <c r="AP144" s="252">
        <f t="shared" si="152"/>
        <v>-52.136006794092552</v>
      </c>
      <c r="AQ144" s="881">
        <v>17883.359549999997</v>
      </c>
      <c r="AR144" s="136"/>
      <c r="AS144" s="169">
        <f t="shared" si="136"/>
        <v>-17883.359549999997</v>
      </c>
      <c r="AT144" s="237">
        <f t="shared" si="153"/>
        <v>-100</v>
      </c>
      <c r="AU144" s="881">
        <v>17883.359549999997</v>
      </c>
      <c r="AV144" s="176"/>
      <c r="AW144" s="137">
        <f t="shared" si="154"/>
        <v>-17883.359549999997</v>
      </c>
      <c r="AX144" s="237">
        <f t="shared" si="155"/>
        <v>-100</v>
      </c>
      <c r="AY144" s="388">
        <f t="shared" si="137"/>
        <v>214599.31459999995</v>
      </c>
      <c r="AZ144" s="177">
        <f t="shared" si="132"/>
        <v>143064.88</v>
      </c>
      <c r="BA144" s="118"/>
      <c r="BB144" s="118"/>
      <c r="BC144" s="118"/>
    </row>
    <row r="145" spans="1:55" s="119" customFormat="1" ht="18" customHeight="1" x14ac:dyDescent="0.25">
      <c r="A145" s="170">
        <v>12328</v>
      </c>
      <c r="B145" s="332" t="s">
        <v>336</v>
      </c>
      <c r="C145" s="212">
        <v>16669.617749999998</v>
      </c>
      <c r="D145" s="87">
        <v>17405.22</v>
      </c>
      <c r="E145" s="138">
        <f t="shared" si="131"/>
        <v>735.60225000000355</v>
      </c>
      <c r="F145" s="371">
        <f t="shared" si="130"/>
        <v>4.4128321418768213</v>
      </c>
      <c r="G145" s="881">
        <v>16669.617749999998</v>
      </c>
      <c r="H145" s="87">
        <v>24218.639999999999</v>
      </c>
      <c r="I145" s="137">
        <f t="shared" si="138"/>
        <v>7549.0222500000018</v>
      </c>
      <c r="J145" s="237">
        <f t="shared" si="139"/>
        <v>45.286114914062757</v>
      </c>
      <c r="K145" s="881">
        <v>16669.617749999998</v>
      </c>
      <c r="L145" s="137">
        <v>49148.52</v>
      </c>
      <c r="M145" s="137">
        <f>L145-K145</f>
        <v>32478.902249999999</v>
      </c>
      <c r="N145" s="252">
        <f t="shared" si="141"/>
        <v>194.83891434763106</v>
      </c>
      <c r="O145" s="881">
        <v>16669.617749999998</v>
      </c>
      <c r="P145" s="137">
        <v>37771.050000000003</v>
      </c>
      <c r="Q145" s="137">
        <f t="shared" si="142"/>
        <v>21101.432250000005</v>
      </c>
      <c r="R145" s="237">
        <f t="shared" si="143"/>
        <v>126.58617951812366</v>
      </c>
      <c r="S145" s="881">
        <v>16669.617749999998</v>
      </c>
      <c r="T145" s="137">
        <v>23835.91</v>
      </c>
      <c r="U145" s="137">
        <f>T145-S145</f>
        <v>7166.2922500000022</v>
      </c>
      <c r="V145" s="240">
        <f>((T145/S145)-1)*100</f>
        <v>42.990141450604071</v>
      </c>
      <c r="W145" s="881">
        <v>16669.617749999998</v>
      </c>
      <c r="X145" s="137">
        <v>23317.52</v>
      </c>
      <c r="Y145" s="137">
        <f>X145-W145</f>
        <v>6647.9022500000028</v>
      </c>
      <c r="Z145" s="252">
        <f t="shared" si="147"/>
        <v>39.880352085458014</v>
      </c>
      <c r="AA145" s="881">
        <v>16669.617749999998</v>
      </c>
      <c r="AB145" s="212">
        <v>13269.94</v>
      </c>
      <c r="AC145" s="137">
        <f>AB145-AA145</f>
        <v>-3399.6777499999971</v>
      </c>
      <c r="AD145" s="237">
        <f t="shared" si="149"/>
        <v>-20.394455355762421</v>
      </c>
      <c r="AE145" s="881">
        <v>16669.617749999998</v>
      </c>
      <c r="AF145" s="136">
        <v>98641.03</v>
      </c>
      <c r="AG145" s="169">
        <f t="shared" si="133"/>
        <v>81971.412249999994</v>
      </c>
      <c r="AH145" s="252">
        <f t="shared" si="150"/>
        <v>491.74140330842329</v>
      </c>
      <c r="AI145" s="881">
        <v>16669.617749999998</v>
      </c>
      <c r="AJ145" s="176">
        <v>22461.23</v>
      </c>
      <c r="AK145" s="169">
        <f t="shared" si="134"/>
        <v>5791.6122500000019</v>
      </c>
      <c r="AL145" s="237">
        <f t="shared" si="151"/>
        <v>34.743521638341115</v>
      </c>
      <c r="AM145" s="881">
        <v>16669.617749999998</v>
      </c>
      <c r="AN145" s="176">
        <v>16858.39</v>
      </c>
      <c r="AO145" s="169">
        <f t="shared" si="135"/>
        <v>188.7722500000018</v>
      </c>
      <c r="AP145" s="252">
        <f t="shared" si="152"/>
        <v>1.1324329857533844</v>
      </c>
      <c r="AQ145" s="881">
        <v>16669.617749999998</v>
      </c>
      <c r="AR145" s="136"/>
      <c r="AS145" s="169">
        <f t="shared" si="136"/>
        <v>-16669.617749999998</v>
      </c>
      <c r="AT145" s="237">
        <f t="shared" si="153"/>
        <v>-100</v>
      </c>
      <c r="AU145" s="881">
        <v>16669.617749999998</v>
      </c>
      <c r="AV145" s="176"/>
      <c r="AW145" s="137">
        <f t="shared" si="154"/>
        <v>-16669.617749999998</v>
      </c>
      <c r="AX145" s="237">
        <f t="shared" si="155"/>
        <v>-100</v>
      </c>
      <c r="AY145" s="388">
        <f t="shared" si="137"/>
        <v>200035.41300000003</v>
      </c>
      <c r="AZ145" s="177">
        <f t="shared" si="132"/>
        <v>326927.44999999995</v>
      </c>
      <c r="BA145" s="118"/>
      <c r="BB145" s="118"/>
      <c r="BC145" s="118"/>
    </row>
    <row r="146" spans="1:55" s="119" customFormat="1" ht="18" customHeight="1" x14ac:dyDescent="0.25">
      <c r="A146" s="170" t="s">
        <v>79</v>
      </c>
      <c r="B146" s="332" t="s">
        <v>203</v>
      </c>
      <c r="C146" s="212">
        <v>49256.536049999995</v>
      </c>
      <c r="D146" s="87">
        <f>0+-35703.93+0</f>
        <v>-35703.93</v>
      </c>
      <c r="E146" s="138">
        <f t="shared" si="131"/>
        <v>-84960.466049999988</v>
      </c>
      <c r="F146" s="371">
        <f t="shared" si="130"/>
        <v>-172.48566964546021</v>
      </c>
      <c r="G146" s="881">
        <v>49256.536049999995</v>
      </c>
      <c r="H146" s="87">
        <f>-163364.67</f>
        <v>-163364.67000000001</v>
      </c>
      <c r="I146" s="137">
        <f t="shared" si="138"/>
        <v>-212621.20605000001</v>
      </c>
      <c r="J146" s="237">
        <f t="shared" si="139"/>
        <v>-431.66089843217878</v>
      </c>
      <c r="K146" s="881">
        <v>49256.536049999995</v>
      </c>
      <c r="L146" s="137">
        <v>-53396.32</v>
      </c>
      <c r="M146" s="137">
        <f>L146-K146</f>
        <v>-102652.85605</v>
      </c>
      <c r="N146" s="252">
        <f t="shared" si="141"/>
        <v>-208.40453731013025</v>
      </c>
      <c r="O146" s="881">
        <v>49256.536049999995</v>
      </c>
      <c r="P146" s="131">
        <v>-33.76</v>
      </c>
      <c r="Q146" s="137">
        <f t="shared" si="142"/>
        <v>-49290.296049999997</v>
      </c>
      <c r="R146" s="237">
        <f t="shared" si="143"/>
        <v>-100.06853912740785</v>
      </c>
      <c r="S146" s="881">
        <v>49256.536049999995</v>
      </c>
      <c r="T146" s="137">
        <v>21120.85</v>
      </c>
      <c r="U146" s="137">
        <f t="shared" si="144"/>
        <v>-28135.686049999997</v>
      </c>
      <c r="V146" s="240">
        <f>((T146/S146)-1)*100</f>
        <v>-57.120715962323544</v>
      </c>
      <c r="W146" s="881">
        <v>49256.536049999995</v>
      </c>
      <c r="X146" s="137">
        <v>430839.2</v>
      </c>
      <c r="Y146" s="137">
        <f t="shared" si="146"/>
        <v>381582.66395000002</v>
      </c>
      <c r="Z146" s="252">
        <f t="shared" si="147"/>
        <v>774.68432526935692</v>
      </c>
      <c r="AA146" s="881">
        <v>49256.536049999995</v>
      </c>
      <c r="AB146" s="212">
        <v>70019.710000000006</v>
      </c>
      <c r="AC146" s="137">
        <f t="shared" si="148"/>
        <v>20763.173950000011</v>
      </c>
      <c r="AD146" s="237">
        <f t="shared" si="149"/>
        <v>42.153134619380154</v>
      </c>
      <c r="AE146" s="881">
        <v>49256.536049999995</v>
      </c>
      <c r="AF146" s="136">
        <v>7865.54</v>
      </c>
      <c r="AG146" s="169">
        <f t="shared" si="133"/>
        <v>-41390.996049999994</v>
      </c>
      <c r="AH146" s="252">
        <f t="shared" si="150"/>
        <v>-84.031479615180942</v>
      </c>
      <c r="AI146" s="881">
        <v>49256.536049999995</v>
      </c>
      <c r="AJ146" s="176">
        <v>8855.67</v>
      </c>
      <c r="AK146" s="169">
        <f t="shared" si="134"/>
        <v>-40400.866049999997</v>
      </c>
      <c r="AL146" s="237">
        <f>((AJ146/AI146)-1)*100</f>
        <v>-82.021330141829978</v>
      </c>
      <c r="AM146" s="881">
        <v>49256.536049999995</v>
      </c>
      <c r="AN146" s="176">
        <v>-30522.04</v>
      </c>
      <c r="AO146" s="169">
        <f t="shared" si="135"/>
        <v>-79778.576050000003</v>
      </c>
      <c r="AP146" s="252">
        <f t="shared" si="152"/>
        <v>-161.96546173896044</v>
      </c>
      <c r="AQ146" s="881">
        <v>49256.536049999995</v>
      </c>
      <c r="AR146" s="136"/>
      <c r="AS146" s="169">
        <f t="shared" si="136"/>
        <v>-49256.536049999995</v>
      </c>
      <c r="AT146" s="237">
        <f t="shared" si="153"/>
        <v>-100</v>
      </c>
      <c r="AU146" s="881">
        <v>49256.536049999995</v>
      </c>
      <c r="AV146" s="176"/>
      <c r="AW146" s="137">
        <f t="shared" si="154"/>
        <v>-49256.536049999995</v>
      </c>
      <c r="AX146" s="237">
        <f t="shared" si="155"/>
        <v>-100</v>
      </c>
      <c r="AY146" s="388">
        <f t="shared" si="137"/>
        <v>591078.43259999994</v>
      </c>
      <c r="AZ146" s="177">
        <f t="shared" si="132"/>
        <v>255680.24999999997</v>
      </c>
      <c r="BA146" s="118"/>
      <c r="BB146" s="118"/>
      <c r="BC146" s="118"/>
    </row>
    <row r="147" spans="1:55" s="119" customFormat="1" ht="18" customHeight="1" x14ac:dyDescent="0.25">
      <c r="A147" s="170">
        <v>54554</v>
      </c>
      <c r="B147" s="332" t="s">
        <v>3707</v>
      </c>
      <c r="C147" s="212">
        <v>0</v>
      </c>
      <c r="D147" s="87">
        <v>72033.86</v>
      </c>
      <c r="E147" s="138">
        <f t="shared" si="131"/>
        <v>72033.86</v>
      </c>
      <c r="F147" s="371"/>
      <c r="G147" s="212">
        <v>0</v>
      </c>
      <c r="H147" s="87">
        <v>70855.460000000006</v>
      </c>
      <c r="I147" s="137">
        <f t="shared" si="138"/>
        <v>70855.460000000006</v>
      </c>
      <c r="J147" s="237"/>
      <c r="K147" s="212">
        <v>0</v>
      </c>
      <c r="L147" s="137">
        <v>199072.76</v>
      </c>
      <c r="M147" s="137">
        <f>L147-K147</f>
        <v>199072.76</v>
      </c>
      <c r="N147" s="252"/>
      <c r="O147" s="212">
        <v>0</v>
      </c>
      <c r="P147" s="125">
        <v>354994.08</v>
      </c>
      <c r="Q147" s="137">
        <f t="shared" si="142"/>
        <v>354994.08</v>
      </c>
      <c r="R147" s="237"/>
      <c r="S147" s="212">
        <v>0</v>
      </c>
      <c r="T147" s="125">
        <v>222618.61</v>
      </c>
      <c r="U147" s="137">
        <f t="shared" si="144"/>
        <v>222618.61</v>
      </c>
      <c r="V147" s="240"/>
      <c r="W147" s="212">
        <v>0</v>
      </c>
      <c r="X147" s="137">
        <v>277541.23</v>
      </c>
      <c r="Y147" s="137">
        <f t="shared" si="146"/>
        <v>277541.23</v>
      </c>
      <c r="Z147" s="252"/>
      <c r="AA147" s="212">
        <v>0</v>
      </c>
      <c r="AB147" s="212">
        <v>316881.33</v>
      </c>
      <c r="AC147" s="137">
        <f t="shared" si="148"/>
        <v>316881.33</v>
      </c>
      <c r="AD147" s="237"/>
      <c r="AE147" s="212">
        <v>0</v>
      </c>
      <c r="AF147" s="136">
        <v>502624.52</v>
      </c>
      <c r="AG147" s="169">
        <f t="shared" si="133"/>
        <v>502624.52</v>
      </c>
      <c r="AH147" s="252"/>
      <c r="AI147" s="212">
        <v>0</v>
      </c>
      <c r="AJ147" s="176">
        <v>457491.8</v>
      </c>
      <c r="AK147" s="169">
        <f t="shared" si="134"/>
        <v>457491.8</v>
      </c>
      <c r="AL147" s="237"/>
      <c r="AM147" s="212">
        <v>0</v>
      </c>
      <c r="AN147" s="176">
        <v>389305.08</v>
      </c>
      <c r="AO147" s="169">
        <f t="shared" si="135"/>
        <v>389305.08</v>
      </c>
      <c r="AP147" s="252"/>
      <c r="AQ147" s="212">
        <v>0</v>
      </c>
      <c r="AR147" s="136"/>
      <c r="AS147" s="169">
        <f t="shared" si="136"/>
        <v>0</v>
      </c>
      <c r="AT147" s="237"/>
      <c r="AU147" s="212">
        <v>0</v>
      </c>
      <c r="AV147" s="176"/>
      <c r="AW147" s="137">
        <f t="shared" si="154"/>
        <v>0</v>
      </c>
      <c r="AX147" s="237"/>
      <c r="AY147" s="388">
        <f t="shared" si="137"/>
        <v>0</v>
      </c>
      <c r="AZ147" s="177">
        <f t="shared" si="132"/>
        <v>2863418.73</v>
      </c>
      <c r="BA147" s="118"/>
      <c r="BB147" s="118"/>
      <c r="BC147" s="118"/>
    </row>
    <row r="148" spans="1:55" s="119" customFormat="1" ht="18" customHeight="1" x14ac:dyDescent="0.25">
      <c r="A148" s="170">
        <v>37763</v>
      </c>
      <c r="B148" s="332" t="s">
        <v>80</v>
      </c>
      <c r="C148" s="212">
        <v>27256.593150000001</v>
      </c>
      <c r="D148" s="87">
        <v>26033.66</v>
      </c>
      <c r="E148" s="138">
        <f t="shared" si="131"/>
        <v>-1222.9331500000008</v>
      </c>
      <c r="F148" s="371">
        <f t="shared" si="130"/>
        <v>-4.4867425039875179</v>
      </c>
      <c r="G148" s="881">
        <v>27256.593150000001</v>
      </c>
      <c r="H148" s="87">
        <v>31042.58</v>
      </c>
      <c r="I148" s="137">
        <f t="shared" si="138"/>
        <v>3785.9868500000011</v>
      </c>
      <c r="J148" s="237">
        <f t="shared" si="139"/>
        <v>13.890168992011386</v>
      </c>
      <c r="K148" s="881">
        <v>27256.593150000001</v>
      </c>
      <c r="L148" s="137">
        <v>32350.74</v>
      </c>
      <c r="M148" s="137">
        <f t="shared" si="140"/>
        <v>5094.146850000001</v>
      </c>
      <c r="N148" s="252">
        <f t="shared" si="141"/>
        <v>18.689594924668707</v>
      </c>
      <c r="O148" s="881">
        <v>27256.593150000001</v>
      </c>
      <c r="P148" s="125">
        <v>36672.660000000003</v>
      </c>
      <c r="Q148" s="137">
        <f t="shared" si="142"/>
        <v>9416.0668500000029</v>
      </c>
      <c r="R148" s="237">
        <f t="shared" si="143"/>
        <v>34.546015337210264</v>
      </c>
      <c r="S148" s="881">
        <v>27256.593150000001</v>
      </c>
      <c r="T148" s="131">
        <v>34252.67</v>
      </c>
      <c r="U148" s="137">
        <f t="shared" si="144"/>
        <v>6996.0768499999976</v>
      </c>
      <c r="V148" s="240">
        <f t="shared" si="145"/>
        <v>25.66746625852614</v>
      </c>
      <c r="W148" s="881">
        <v>27256.593150000001</v>
      </c>
      <c r="X148" s="137">
        <v>10530</v>
      </c>
      <c r="Y148" s="137">
        <f t="shared" si="146"/>
        <v>-16726.593150000001</v>
      </c>
      <c r="Z148" s="252">
        <f t="shared" si="147"/>
        <v>-61.367145402029088</v>
      </c>
      <c r="AA148" s="881">
        <v>27256.593150000001</v>
      </c>
      <c r="AB148" s="212">
        <v>30128.94</v>
      </c>
      <c r="AC148" s="137">
        <f t="shared" si="148"/>
        <v>2872.3468499999981</v>
      </c>
      <c r="AD148" s="237">
        <f t="shared" si="149"/>
        <v>10.538172669609658</v>
      </c>
      <c r="AE148" s="881">
        <v>27256.593150000001</v>
      </c>
      <c r="AF148" s="136">
        <v>71415.64</v>
      </c>
      <c r="AG148" s="169">
        <f t="shared" si="133"/>
        <v>44159.046849999999</v>
      </c>
      <c r="AH148" s="252">
        <f t="shared" si="150"/>
        <v>162.01234911120946</v>
      </c>
      <c r="AI148" s="881">
        <v>27256.593150000001</v>
      </c>
      <c r="AJ148" s="176">
        <v>29040.27</v>
      </c>
      <c r="AK148" s="169">
        <f t="shared" si="134"/>
        <v>1783.6768499999998</v>
      </c>
      <c r="AL148" s="237">
        <f t="shared" si="151"/>
        <v>6.5440197906758479</v>
      </c>
      <c r="AM148" s="881">
        <v>27256.593150000001</v>
      </c>
      <c r="AN148" s="176">
        <v>26500.560000000001</v>
      </c>
      <c r="AO148" s="169">
        <f t="shared" si="135"/>
        <v>-756.0331499999993</v>
      </c>
      <c r="AP148" s="252">
        <f t="shared" si="152"/>
        <v>-2.7737624648809023</v>
      </c>
      <c r="AQ148" s="881">
        <v>27256.593150000001</v>
      </c>
      <c r="AR148" s="136"/>
      <c r="AS148" s="169">
        <f t="shared" si="136"/>
        <v>-27256.593150000001</v>
      </c>
      <c r="AT148" s="237">
        <f t="shared" si="153"/>
        <v>-100</v>
      </c>
      <c r="AU148" s="881">
        <v>27256.593150000001</v>
      </c>
      <c r="AV148" s="176"/>
      <c r="AW148" s="137">
        <f t="shared" si="154"/>
        <v>-27256.593150000001</v>
      </c>
      <c r="AX148" s="237">
        <f t="shared" si="155"/>
        <v>-100</v>
      </c>
      <c r="AY148" s="388">
        <f t="shared" si="137"/>
        <v>327079.11780000001</v>
      </c>
      <c r="AZ148" s="177">
        <f t="shared" si="132"/>
        <v>327967.72000000003</v>
      </c>
      <c r="BA148" s="118"/>
      <c r="BB148" s="118"/>
      <c r="BC148" s="118"/>
    </row>
    <row r="149" spans="1:55" s="119" customFormat="1" ht="18" customHeight="1" x14ac:dyDescent="0.25">
      <c r="A149" s="170">
        <v>37259</v>
      </c>
      <c r="B149" s="332" t="s">
        <v>204</v>
      </c>
      <c r="C149" s="212">
        <v>4993.648650000001</v>
      </c>
      <c r="D149" s="87">
        <v>4187.3100000000004</v>
      </c>
      <c r="E149" s="138">
        <f t="shared" si="131"/>
        <v>-806.3386500000006</v>
      </c>
      <c r="F149" s="371">
        <f t="shared" si="130"/>
        <v>-16.14728441096873</v>
      </c>
      <c r="G149" s="881">
        <v>4993.648650000001</v>
      </c>
      <c r="H149" s="87">
        <v>4037.97</v>
      </c>
      <c r="I149" s="137">
        <f t="shared" si="138"/>
        <v>-955.6786500000012</v>
      </c>
      <c r="J149" s="237">
        <f t="shared" si="139"/>
        <v>-19.137883278992827</v>
      </c>
      <c r="K149" s="881">
        <v>4993.648650000001</v>
      </c>
      <c r="L149" s="137">
        <v>7550</v>
      </c>
      <c r="M149" s="137">
        <f t="shared" si="140"/>
        <v>2556.351349999999</v>
      </c>
      <c r="N149" s="252">
        <f t="shared" si="141"/>
        <v>51.192054731363591</v>
      </c>
      <c r="O149" s="881">
        <v>4993.648650000001</v>
      </c>
      <c r="P149" s="125">
        <v>4770</v>
      </c>
      <c r="Q149" s="137">
        <f t="shared" si="142"/>
        <v>-223.648650000001</v>
      </c>
      <c r="R149" s="237">
        <f t="shared" si="143"/>
        <v>-4.4786621101186359</v>
      </c>
      <c r="S149" s="881">
        <v>4993.648650000001</v>
      </c>
      <c r="T149" s="125">
        <v>5166</v>
      </c>
      <c r="U149" s="137">
        <f t="shared" si="144"/>
        <v>172.351349999999</v>
      </c>
      <c r="V149" s="240">
        <f t="shared" si="145"/>
        <v>3.4514112241356587</v>
      </c>
      <c r="W149" s="881">
        <v>4993.648650000001</v>
      </c>
      <c r="X149" s="137">
        <v>5312</v>
      </c>
      <c r="Y149" s="137">
        <f t="shared" si="146"/>
        <v>318.351349999999</v>
      </c>
      <c r="Z149" s="252">
        <f t="shared" si="147"/>
        <v>6.3751251301991108</v>
      </c>
      <c r="AA149" s="881">
        <v>4993.648650000001</v>
      </c>
      <c r="AB149" s="212">
        <v>14460.5</v>
      </c>
      <c r="AC149" s="137">
        <f t="shared" si="148"/>
        <v>9466.851349999999</v>
      </c>
      <c r="AD149" s="237">
        <f t="shared" si="149"/>
        <v>189.57784204541497</v>
      </c>
      <c r="AE149" s="881">
        <v>4993.648650000001</v>
      </c>
      <c r="AF149" s="136">
        <v>5312</v>
      </c>
      <c r="AG149" s="169">
        <f t="shared" si="133"/>
        <v>318.351349999999</v>
      </c>
      <c r="AH149" s="252">
        <f t="shared" si="150"/>
        <v>6.3751251301991108</v>
      </c>
      <c r="AI149" s="881">
        <v>4993.648650000001</v>
      </c>
      <c r="AJ149" s="176">
        <v>7013</v>
      </c>
      <c r="AK149" s="169">
        <f t="shared" si="134"/>
        <v>2019.351349999999</v>
      </c>
      <c r="AL149" s="237">
        <f t="shared" si="151"/>
        <v>40.438394679609637</v>
      </c>
      <c r="AM149" s="881">
        <v>4993.648650000001</v>
      </c>
      <c r="AN149" s="176">
        <v>4671</v>
      </c>
      <c r="AO149" s="169">
        <f t="shared" si="135"/>
        <v>-322.648650000001</v>
      </c>
      <c r="AP149" s="252">
        <f t="shared" si="152"/>
        <v>-6.4611804436822133</v>
      </c>
      <c r="AQ149" s="881">
        <v>4993.648650000001</v>
      </c>
      <c r="AR149" s="136"/>
      <c r="AS149" s="169">
        <f t="shared" si="136"/>
        <v>-4993.648650000001</v>
      </c>
      <c r="AT149" s="237">
        <f t="shared" si="153"/>
        <v>-100</v>
      </c>
      <c r="AU149" s="881">
        <v>4993.648650000001</v>
      </c>
      <c r="AV149" s="176"/>
      <c r="AW149" s="137">
        <f t="shared" si="154"/>
        <v>-4993.648650000001</v>
      </c>
      <c r="AX149" s="237">
        <f t="shared" si="155"/>
        <v>-100</v>
      </c>
      <c r="AY149" s="388">
        <f t="shared" si="137"/>
        <v>59923.783800000027</v>
      </c>
      <c r="AZ149" s="177">
        <f t="shared" si="132"/>
        <v>62479.78</v>
      </c>
      <c r="BA149" s="118"/>
      <c r="BB149" s="118"/>
      <c r="BC149" s="118"/>
    </row>
    <row r="150" spans="1:55" s="119" customFormat="1" ht="18" customHeight="1" x14ac:dyDescent="0.25">
      <c r="A150" s="170">
        <v>12865</v>
      </c>
      <c r="B150" s="332" t="s">
        <v>205</v>
      </c>
      <c r="C150" s="212">
        <v>3966.2743500000001</v>
      </c>
      <c r="D150" s="87">
        <v>3868.29</v>
      </c>
      <c r="E150" s="138">
        <f t="shared" si="131"/>
        <v>-97.984350000000177</v>
      </c>
      <c r="F150" s="371">
        <f t="shared" si="130"/>
        <v>-2.4704380321043606</v>
      </c>
      <c r="G150" s="881">
        <v>3966.2743500000001</v>
      </c>
      <c r="H150" s="87">
        <v>5068.29</v>
      </c>
      <c r="I150" s="137">
        <f t="shared" si="138"/>
        <v>1102.0156499999998</v>
      </c>
      <c r="J150" s="237">
        <f t="shared" si="139"/>
        <v>27.784655138644144</v>
      </c>
      <c r="K150" s="881">
        <v>3966.2743500000001</v>
      </c>
      <c r="L150" s="137">
        <v>3568.29</v>
      </c>
      <c r="M150" s="137">
        <f t="shared" si="140"/>
        <v>-397.98435000000018</v>
      </c>
      <c r="N150" s="252">
        <f t="shared" si="141"/>
        <v>-10.034211324791498</v>
      </c>
      <c r="O150" s="881">
        <v>3966.2743500000001</v>
      </c>
      <c r="P150" s="125">
        <v>3568.29</v>
      </c>
      <c r="Q150" s="137">
        <f t="shared" si="142"/>
        <v>-397.98435000000018</v>
      </c>
      <c r="R150" s="237">
        <f t="shared" si="143"/>
        <v>-10.034211324791498</v>
      </c>
      <c r="S150" s="881">
        <v>3966.2743500000001</v>
      </c>
      <c r="T150" s="125">
        <v>3568.29</v>
      </c>
      <c r="U150" s="137">
        <f t="shared" si="144"/>
        <v>-397.98435000000018</v>
      </c>
      <c r="V150" s="240">
        <f t="shared" si="145"/>
        <v>-10.034211324791498</v>
      </c>
      <c r="W150" s="881">
        <v>3966.2743500000001</v>
      </c>
      <c r="X150" s="137">
        <v>3068.29</v>
      </c>
      <c r="Y150" s="137">
        <f t="shared" si="146"/>
        <v>-897.98435000000018</v>
      </c>
      <c r="Z150" s="252">
        <f t="shared" si="147"/>
        <v>-22.640500145936706</v>
      </c>
      <c r="AA150" s="881">
        <v>3966.2743500000001</v>
      </c>
      <c r="AB150" s="212">
        <v>3068</v>
      </c>
      <c r="AC150" s="137">
        <f t="shared" si="148"/>
        <v>-898.27435000000014</v>
      </c>
      <c r="AD150" s="237">
        <f t="shared" si="149"/>
        <v>-22.647811793452966</v>
      </c>
      <c r="AE150" s="881">
        <v>3966.2743500000001</v>
      </c>
      <c r="AF150" s="136">
        <v>3068.2</v>
      </c>
      <c r="AG150" s="169">
        <f t="shared" si="133"/>
        <v>-898.07435000000032</v>
      </c>
      <c r="AH150" s="252">
        <f t="shared" si="150"/>
        <v>-22.642769277924511</v>
      </c>
      <c r="AI150" s="881">
        <v>3966.2743500000001</v>
      </c>
      <c r="AJ150" s="176">
        <v>3568.29</v>
      </c>
      <c r="AK150" s="169">
        <f t="shared" si="134"/>
        <v>-397.98435000000018</v>
      </c>
      <c r="AL150" s="237">
        <f t="shared" si="151"/>
        <v>-10.034211324791498</v>
      </c>
      <c r="AM150" s="881">
        <v>3966.2743500000001</v>
      </c>
      <c r="AN150" s="176">
        <v>2505.33</v>
      </c>
      <c r="AO150" s="169">
        <f t="shared" si="135"/>
        <v>-1460.9443500000002</v>
      </c>
      <c r="AP150" s="252">
        <f t="shared" si="152"/>
        <v>-36.834172855440528</v>
      </c>
      <c r="AQ150" s="881">
        <v>3966.2743500000001</v>
      </c>
      <c r="AR150" s="136"/>
      <c r="AS150" s="169">
        <f t="shared" si="136"/>
        <v>-3966.2743500000001</v>
      </c>
      <c r="AT150" s="237">
        <f t="shared" si="153"/>
        <v>-100</v>
      </c>
      <c r="AU150" s="881">
        <v>3966.2743500000001</v>
      </c>
      <c r="AV150" s="176"/>
      <c r="AW150" s="137">
        <f t="shared" si="154"/>
        <v>-3966.2743500000001</v>
      </c>
      <c r="AX150" s="237">
        <f t="shared" si="155"/>
        <v>-100</v>
      </c>
      <c r="AY150" s="388">
        <f t="shared" si="137"/>
        <v>47595.292200000004</v>
      </c>
      <c r="AZ150" s="177">
        <f t="shared" si="132"/>
        <v>34919.560000000005</v>
      </c>
      <c r="BA150" s="118"/>
      <c r="BB150" s="118"/>
      <c r="BC150" s="118"/>
    </row>
    <row r="151" spans="1:55" s="119" customFormat="1" ht="18" customHeight="1" thickBot="1" x14ac:dyDescent="0.3">
      <c r="A151" s="379">
        <v>54164</v>
      </c>
      <c r="B151" s="509" t="s">
        <v>3652</v>
      </c>
      <c r="C151" s="214">
        <v>8213.0638500000005</v>
      </c>
      <c r="D151" s="98">
        <v>12154.67</v>
      </c>
      <c r="E151" s="160">
        <f t="shared" si="131"/>
        <v>3941.6061499999996</v>
      </c>
      <c r="F151" s="578">
        <f t="shared" si="130"/>
        <v>47.99190925564276</v>
      </c>
      <c r="G151" s="876">
        <v>8213.0638500000005</v>
      </c>
      <c r="H151" s="98">
        <v>12617.27</v>
      </c>
      <c r="I151" s="182">
        <f>H151-G151</f>
        <v>4404.20615</v>
      </c>
      <c r="J151" s="248">
        <f>((H151/G151)-1)*100</f>
        <v>53.624399255096499</v>
      </c>
      <c r="K151" s="876">
        <v>8213.0638500000005</v>
      </c>
      <c r="L151" s="182">
        <v>11615</v>
      </c>
      <c r="M151" s="131">
        <f>L151-K151</f>
        <v>3401.9361499999995</v>
      </c>
      <c r="N151" s="252">
        <f t="shared" si="141"/>
        <v>41.421036194671721</v>
      </c>
      <c r="O151" s="876">
        <v>8213.0638500000005</v>
      </c>
      <c r="P151" s="182">
        <v>11615</v>
      </c>
      <c r="Q151" s="182">
        <f>P151-O151</f>
        <v>3401.9361499999995</v>
      </c>
      <c r="R151" s="248">
        <f>((P151/O151)-1)*100</f>
        <v>41.421036194671721</v>
      </c>
      <c r="S151" s="876">
        <v>8213.0638500000005</v>
      </c>
      <c r="T151" s="182">
        <v>11615</v>
      </c>
      <c r="U151" s="182">
        <f>T151-S151</f>
        <v>3401.9361499999995</v>
      </c>
      <c r="V151" s="239">
        <f>((T151/S151)-1)*100</f>
        <v>41.421036194671721</v>
      </c>
      <c r="W151" s="876">
        <v>8213.0638500000005</v>
      </c>
      <c r="X151" s="182">
        <v>11680.35</v>
      </c>
      <c r="Y151" s="182">
        <f>X151-W151</f>
        <v>3467.2861499999999</v>
      </c>
      <c r="Z151" s="253">
        <f>((X151/W151)-1)*100</f>
        <v>42.216719768956864</v>
      </c>
      <c r="AA151" s="876">
        <v>8213.0638500000005</v>
      </c>
      <c r="AB151" s="214">
        <v>11895</v>
      </c>
      <c r="AC151" s="182">
        <f>AB151-AA151</f>
        <v>3681.9361499999995</v>
      </c>
      <c r="AD151" s="248">
        <f>((AB151/AA151)-1)*100</f>
        <v>44.8302389613104</v>
      </c>
      <c r="AE151" s="876">
        <v>8213.0638500000005</v>
      </c>
      <c r="AF151" s="181">
        <v>11895</v>
      </c>
      <c r="AG151" s="182">
        <f>AF151-AE151</f>
        <v>3681.9361499999995</v>
      </c>
      <c r="AH151" s="253">
        <f>((AF151/AE151)-1)*100</f>
        <v>44.8302389613104</v>
      </c>
      <c r="AI151" s="876">
        <v>8213.0638500000005</v>
      </c>
      <c r="AJ151" s="183">
        <v>11895</v>
      </c>
      <c r="AK151" s="182">
        <f>AJ151-AI151</f>
        <v>3681.9361499999995</v>
      </c>
      <c r="AL151" s="248">
        <f>((AJ151/AI151)-1)*100</f>
        <v>44.8302389613104</v>
      </c>
      <c r="AM151" s="876">
        <v>8213.0638500000005</v>
      </c>
      <c r="AN151" s="183">
        <v>11895</v>
      </c>
      <c r="AO151" s="182">
        <f>AN151-AM151</f>
        <v>3681.9361499999995</v>
      </c>
      <c r="AP151" s="253">
        <f>((AN151/AM151)-1)*100</f>
        <v>44.8302389613104</v>
      </c>
      <c r="AQ151" s="876">
        <v>8213.0638500000005</v>
      </c>
      <c r="AR151" s="129"/>
      <c r="AS151" s="182">
        <f>AR151-AQ151</f>
        <v>-8213.0638500000005</v>
      </c>
      <c r="AT151" s="248">
        <f>((AR151/AQ151)-1)*100</f>
        <v>-100</v>
      </c>
      <c r="AU151" s="876">
        <v>8213.0638500000005</v>
      </c>
      <c r="AV151" s="183"/>
      <c r="AW151" s="183">
        <f>AV151-AU151</f>
        <v>-8213.0638500000005</v>
      </c>
      <c r="AX151" s="248">
        <f>((AV151/AU151)-1)*100</f>
        <v>-100</v>
      </c>
      <c r="AY151" s="388">
        <f t="shared" si="137"/>
        <v>98556.766200000027</v>
      </c>
      <c r="AZ151" s="184">
        <f>SUM(D151+H151+L151+P151+T151+X151+AB151+AF151+AJ151+AN151+AR151+AV151)</f>
        <v>118877.29000000001</v>
      </c>
      <c r="BA151" s="118"/>
      <c r="BB151" s="118"/>
      <c r="BC151" s="118"/>
    </row>
    <row r="152" spans="1:55" s="119" customFormat="1" ht="18" customHeight="1" x14ac:dyDescent="0.25">
      <c r="A152" s="508"/>
      <c r="B152" s="154"/>
      <c r="C152" s="67"/>
      <c r="D152" s="437"/>
      <c r="E152" s="67"/>
      <c r="F152" s="387"/>
      <c r="G152" s="67"/>
      <c r="H152" s="67"/>
      <c r="I152" s="67"/>
      <c r="J152" s="387"/>
      <c r="K152" s="67"/>
      <c r="L152" s="67"/>
      <c r="M152" s="1121"/>
      <c r="N152" s="1122"/>
      <c r="O152" s="67"/>
      <c r="P152" s="67"/>
      <c r="Q152" s="67"/>
      <c r="R152" s="387"/>
      <c r="S152" s="67"/>
      <c r="T152" s="67"/>
      <c r="U152" s="67"/>
      <c r="V152" s="387"/>
      <c r="W152" s="67"/>
      <c r="X152" s="67"/>
      <c r="Y152" s="67"/>
      <c r="Z152" s="387"/>
      <c r="AA152" s="67"/>
      <c r="AB152" s="67"/>
      <c r="AC152" s="67"/>
      <c r="AD152" s="387"/>
      <c r="AE152" s="67"/>
      <c r="AF152" s="67"/>
      <c r="AG152" s="67"/>
      <c r="AH152" s="387"/>
      <c r="AI152" s="66"/>
      <c r="AJ152" s="66"/>
      <c r="AK152" s="67"/>
      <c r="AL152" s="387"/>
      <c r="AM152" s="66"/>
      <c r="AN152" s="66"/>
      <c r="AO152" s="67"/>
      <c r="AP152" s="387"/>
      <c r="AQ152" s="66"/>
      <c r="AR152" s="1120"/>
      <c r="AS152" s="67"/>
      <c r="AT152" s="387"/>
      <c r="AU152" s="66"/>
      <c r="AV152" s="66"/>
      <c r="AW152" s="66"/>
      <c r="AX152" s="387"/>
      <c r="AY152" s="1121"/>
      <c r="AZ152" s="66"/>
      <c r="BA152" s="118"/>
    </row>
    <row r="153" spans="1:55" s="11" customFormat="1" ht="18" customHeight="1" thickBot="1" x14ac:dyDescent="0.3">
      <c r="A153" s="161"/>
      <c r="C153" s="334"/>
      <c r="D153" s="415"/>
      <c r="E153" s="118"/>
      <c r="F153" s="12"/>
      <c r="G153" s="119"/>
      <c r="H153" s="119"/>
      <c r="I153" s="118"/>
      <c r="J153" s="119"/>
      <c r="K153" s="119"/>
      <c r="L153" s="119"/>
      <c r="M153" s="118"/>
      <c r="N153" s="119"/>
      <c r="O153" s="119"/>
      <c r="P153" s="119"/>
      <c r="Q153" s="118"/>
      <c r="R153" s="119"/>
      <c r="S153" s="119"/>
      <c r="T153" s="119"/>
      <c r="U153" s="118"/>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c r="AW153" s="119"/>
      <c r="AX153" s="119"/>
      <c r="AY153" s="119"/>
      <c r="AZ153" s="119"/>
      <c r="BA153" s="63"/>
    </row>
    <row r="154" spans="1:55" s="11" customFormat="1" ht="18" customHeight="1" thickBot="1" x14ac:dyDescent="0.3">
      <c r="A154" s="165"/>
      <c r="B154" s="49" t="s">
        <v>171</v>
      </c>
      <c r="C154" s="870">
        <f>SUM(C155:C171)</f>
        <v>555000</v>
      </c>
      <c r="D154" s="532">
        <f>SUM(D155:D171)</f>
        <v>688342.8</v>
      </c>
      <c r="E154" s="530">
        <f>D154-C154</f>
        <v>133342.80000000005</v>
      </c>
      <c r="F154" s="533">
        <f t="shared" ref="F154:F171" si="156">((D154/C154)-1)*100</f>
        <v>24.02572972972974</v>
      </c>
      <c r="G154" s="534">
        <f>SUM(G155:G171)</f>
        <v>555000</v>
      </c>
      <c r="H154" s="392">
        <f>SUM(H155:H171)</f>
        <v>531068.28</v>
      </c>
      <c r="I154" s="392">
        <f>H154-G154</f>
        <v>-23931.719999999972</v>
      </c>
      <c r="J154" s="562">
        <f>((H154/G154)-1)*100</f>
        <v>-4.3120216216216196</v>
      </c>
      <c r="K154" s="478">
        <f>SUM(K155:K171)</f>
        <v>555000</v>
      </c>
      <c r="L154" s="392">
        <f>SUM(L155:L171)</f>
        <v>698722.18</v>
      </c>
      <c r="M154" s="392">
        <f>L154-K154</f>
        <v>143722.18000000005</v>
      </c>
      <c r="N154" s="393">
        <f>((L154/K154)-1)*100</f>
        <v>25.895888288288305</v>
      </c>
      <c r="O154" s="478">
        <f>SUM(O155:O171)</f>
        <v>555000</v>
      </c>
      <c r="P154" s="392">
        <f>SUM(P155:P171)</f>
        <v>803724.4800000001</v>
      </c>
      <c r="Q154" s="392">
        <f t="shared" ref="Q154:Q160" si="157">P154-O154</f>
        <v>248724.4800000001</v>
      </c>
      <c r="R154" s="393">
        <f t="shared" ref="R154:R160" si="158">((P154/O154)-1)*100</f>
        <v>44.815221621621639</v>
      </c>
      <c r="S154" s="534">
        <f>SUM(S155:S171)</f>
        <v>555000</v>
      </c>
      <c r="T154" s="392">
        <f>SUM(T155:T171)</f>
        <v>671751.25</v>
      </c>
      <c r="U154" s="392">
        <f>T154-S154</f>
        <v>116751.25</v>
      </c>
      <c r="V154" s="563">
        <f>((T154/S154)-1)*100</f>
        <v>21.036261261261259</v>
      </c>
      <c r="W154" s="478">
        <f>SUM(W155:W171)</f>
        <v>555000</v>
      </c>
      <c r="X154" s="392">
        <f>SUM(X155:X171)</f>
        <v>792240.02000000014</v>
      </c>
      <c r="Y154" s="392">
        <f>X154-W154</f>
        <v>237240.02000000014</v>
      </c>
      <c r="Z154" s="393">
        <f>((X154/W154)-1)*100</f>
        <v>42.745949549549579</v>
      </c>
      <c r="AA154" s="534">
        <f>SUM(AA155:AA171)</f>
        <v>555000</v>
      </c>
      <c r="AB154" s="392">
        <f>SUM(AB155:AB171)</f>
        <v>601532.55000000005</v>
      </c>
      <c r="AC154" s="392">
        <f>AB154-AA154</f>
        <v>46532.550000000047</v>
      </c>
      <c r="AD154" s="562">
        <f>((AB154/AA154)-1)*100</f>
        <v>8.384243243243251</v>
      </c>
      <c r="AE154" s="478">
        <f>SUM(AE155:AE171)</f>
        <v>555000</v>
      </c>
      <c r="AF154" s="392">
        <f>SUM(AF155:AF171)</f>
        <v>680369.64999999991</v>
      </c>
      <c r="AG154" s="392">
        <f>AF154-AE154</f>
        <v>125369.64999999991</v>
      </c>
      <c r="AH154" s="393">
        <f>((AF154/AE154)-1)*100</f>
        <v>22.589126126126114</v>
      </c>
      <c r="AI154" s="395">
        <f>SUM(AI155:AI171)</f>
        <v>555000</v>
      </c>
      <c r="AJ154" s="396">
        <f>SUM(AJ155:AJ171)</f>
        <v>996244.19000000006</v>
      </c>
      <c r="AK154" s="392">
        <f>AJ154-AI154</f>
        <v>441244.19000000006</v>
      </c>
      <c r="AL154" s="562">
        <f>((AJ154/AI154)-1)*100</f>
        <v>79.503457657657677</v>
      </c>
      <c r="AM154" s="487">
        <f>SUM(AM155:AM171)</f>
        <v>555000</v>
      </c>
      <c r="AN154" s="396">
        <f>SUM(AN155:AN171)</f>
        <v>801678.69000000006</v>
      </c>
      <c r="AO154" s="392">
        <f>AN154-AM154</f>
        <v>246678.69000000006</v>
      </c>
      <c r="AP154" s="393">
        <f>((AN154/AM154)-1)*100</f>
        <v>44.446610810810824</v>
      </c>
      <c r="AQ154" s="395">
        <f>SUM(AQ155:AQ171)</f>
        <v>555000</v>
      </c>
      <c r="AR154" s="396">
        <f>SUM(AR155:AR171)</f>
        <v>0</v>
      </c>
      <c r="AS154" s="392">
        <f>AR154-AQ154</f>
        <v>-555000</v>
      </c>
      <c r="AT154" s="562">
        <f>((AR154/AQ154)-1)*100</f>
        <v>-100</v>
      </c>
      <c r="AU154" s="487">
        <f>SUM(AU155:AU171)</f>
        <v>555000</v>
      </c>
      <c r="AV154" s="396">
        <f>SUM(AV155:AV171)</f>
        <v>0</v>
      </c>
      <c r="AW154" s="392">
        <f>AV154-AU154</f>
        <v>-555000</v>
      </c>
      <c r="AX154" s="393">
        <f>((AV154/AU154)-1)*100</f>
        <v>-100</v>
      </c>
      <c r="AY154" s="531">
        <f>C154+G154+K154+O154+S154+W154+AA154+AE154+AI154+AM154+AQ154+AU154</f>
        <v>6660000</v>
      </c>
      <c r="AZ154" s="531">
        <f t="shared" ref="AZ154:AZ160" si="159">SUM(D154+H154+L154+P154+T154+X154+AB154+AF154+AJ154+AN154+AR154+AV154)</f>
        <v>7265674.0900000017</v>
      </c>
      <c r="BA154" s="63"/>
      <c r="BC154" s="132"/>
    </row>
    <row r="155" spans="1:55" s="119" customFormat="1" ht="18" customHeight="1" x14ac:dyDescent="0.25">
      <c r="A155" s="167">
        <v>12330</v>
      </c>
      <c r="B155" s="331" t="s">
        <v>81</v>
      </c>
      <c r="C155" s="902">
        <v>58000</v>
      </c>
      <c r="D155" s="99">
        <v>60087.3</v>
      </c>
      <c r="E155" s="213">
        <f t="shared" ref="E155:E171" si="160">D155-C155</f>
        <v>2087.3000000000029</v>
      </c>
      <c r="F155" s="375">
        <f>((D155/C155)-1)*100</f>
        <v>3.5987931034482834</v>
      </c>
      <c r="G155" s="882">
        <v>58000</v>
      </c>
      <c r="H155" s="546">
        <v>27025.56</v>
      </c>
      <c r="I155" s="190">
        <f>H155-G155</f>
        <v>-30974.44</v>
      </c>
      <c r="J155" s="249">
        <f>((H155/G155)-1)*100</f>
        <v>-53.40420689655172</v>
      </c>
      <c r="K155" s="882">
        <v>58000</v>
      </c>
      <c r="L155" s="190">
        <v>93045.14</v>
      </c>
      <c r="M155" s="190">
        <f>L155-K155</f>
        <v>35045.14</v>
      </c>
      <c r="N155" s="249">
        <f>((L155/K155)-1)*100</f>
        <v>60.422655172413783</v>
      </c>
      <c r="O155" s="882">
        <v>58000</v>
      </c>
      <c r="P155" s="815">
        <v>65671.7</v>
      </c>
      <c r="Q155" s="190">
        <f t="shared" si="157"/>
        <v>7671.6999999999971</v>
      </c>
      <c r="R155" s="249">
        <f t="shared" si="158"/>
        <v>13.22706896551724</v>
      </c>
      <c r="S155" s="882">
        <v>58000</v>
      </c>
      <c r="T155" s="190">
        <v>159344.38</v>
      </c>
      <c r="U155" s="190">
        <f>T155-S155</f>
        <v>101344.38</v>
      </c>
      <c r="V155" s="249">
        <f>((T155/S155)-1)*100</f>
        <v>174.7316896551724</v>
      </c>
      <c r="W155" s="882">
        <v>58000</v>
      </c>
      <c r="X155" s="190">
        <v>178496.55</v>
      </c>
      <c r="Y155" s="190">
        <f>X155-W155</f>
        <v>120496.54999999999</v>
      </c>
      <c r="Z155" s="249">
        <f>((X155/W155)-1)*100</f>
        <v>207.75267241379308</v>
      </c>
      <c r="AA155" s="882">
        <v>58000</v>
      </c>
      <c r="AB155" s="260">
        <v>99454.13</v>
      </c>
      <c r="AC155" s="190">
        <f>AB155-AA155</f>
        <v>41454.130000000005</v>
      </c>
      <c r="AD155" s="249">
        <f>((AB155/AA155)-1)*100</f>
        <v>71.472637931034484</v>
      </c>
      <c r="AE155" s="882">
        <v>58000</v>
      </c>
      <c r="AF155" s="260">
        <v>109620.43</v>
      </c>
      <c r="AG155" s="169">
        <f t="shared" ref="AG155:AG171" si="161">AF155-AE155</f>
        <v>51620.429999999993</v>
      </c>
      <c r="AH155" s="249">
        <f>((AF155/AE155)-1)*100</f>
        <v>89.000741379310327</v>
      </c>
      <c r="AI155" s="882">
        <v>58000</v>
      </c>
      <c r="AJ155" s="192">
        <v>233926.17</v>
      </c>
      <c r="AK155" s="169">
        <f t="shared" ref="AK155:AK171" si="162">AJ155-AI155</f>
        <v>175926.17</v>
      </c>
      <c r="AL155" s="249">
        <f>((AJ155/AI155)-1)*100</f>
        <v>303.32098275862069</v>
      </c>
      <c r="AM155" s="882">
        <v>58000</v>
      </c>
      <c r="AN155" s="192">
        <v>95374.63</v>
      </c>
      <c r="AO155" s="169">
        <f t="shared" ref="AO155:AO171" si="163">AN155-AM155</f>
        <v>37374.630000000005</v>
      </c>
      <c r="AP155" s="249">
        <f>((AN155/AM155)-1)*100</f>
        <v>64.439017241379332</v>
      </c>
      <c r="AQ155" s="882">
        <v>58000</v>
      </c>
      <c r="AR155" s="260"/>
      <c r="AS155" s="169">
        <f t="shared" ref="AS155:AS171" si="164">AR155-AQ155</f>
        <v>-58000</v>
      </c>
      <c r="AT155" s="249">
        <f>((AR155/AQ155)-1)*100</f>
        <v>-100</v>
      </c>
      <c r="AU155" s="882">
        <v>58000</v>
      </c>
      <c r="AV155" s="192"/>
      <c r="AW155" s="190">
        <f>AV155-AU155</f>
        <v>-58000</v>
      </c>
      <c r="AX155" s="744">
        <f>((AV155/AU155)-1)*100</f>
        <v>-100</v>
      </c>
      <c r="AY155" s="459">
        <f>C155+G155+K155+O155+S155+W155+AA155+AE155+AI155+AM155+AQ155+AU155</f>
        <v>696000</v>
      </c>
      <c r="AZ155" s="194">
        <f t="shared" si="159"/>
        <v>1122045.99</v>
      </c>
      <c r="BA155" s="118"/>
      <c r="BB155" s="334"/>
    </row>
    <row r="156" spans="1:55" s="119" customFormat="1" ht="18" customHeight="1" x14ac:dyDescent="0.25">
      <c r="A156" s="170">
        <v>12893</v>
      </c>
      <c r="B156" s="332" t="s">
        <v>206</v>
      </c>
      <c r="C156" s="211">
        <v>4000</v>
      </c>
      <c r="D156" s="416">
        <v>76359.37</v>
      </c>
      <c r="E156" s="138">
        <f t="shared" si="160"/>
        <v>72359.37</v>
      </c>
      <c r="F156" s="371">
        <f t="shared" si="156"/>
        <v>1808.98425</v>
      </c>
      <c r="G156" s="879">
        <v>4000</v>
      </c>
      <c r="H156" s="260">
        <v>2992.72</v>
      </c>
      <c r="I156" s="137">
        <f>H156-G156</f>
        <v>-1007.2800000000002</v>
      </c>
      <c r="J156" s="237">
        <f t="shared" ref="J156:J171" si="165">((H156/G156)-1)*100</f>
        <v>-25.182000000000006</v>
      </c>
      <c r="K156" s="879">
        <v>4000</v>
      </c>
      <c r="L156" s="137">
        <v>9940.4599999999991</v>
      </c>
      <c r="M156" s="137">
        <f>L156-K156</f>
        <v>5940.4599999999991</v>
      </c>
      <c r="N156" s="237">
        <f t="shared" ref="N156:N171" si="166">((L156/K156)-1)*100</f>
        <v>148.51149999999998</v>
      </c>
      <c r="O156" s="879">
        <v>4000</v>
      </c>
      <c r="P156" s="816">
        <v>102993.76</v>
      </c>
      <c r="Q156" s="137">
        <f t="shared" si="157"/>
        <v>98993.76</v>
      </c>
      <c r="R156" s="237">
        <f t="shared" si="158"/>
        <v>2474.8440000000001</v>
      </c>
      <c r="S156" s="879">
        <v>4000</v>
      </c>
      <c r="T156" s="137">
        <v>8955.74</v>
      </c>
      <c r="U156" s="137">
        <f>T156-S156</f>
        <v>4955.74</v>
      </c>
      <c r="V156" s="237">
        <f t="shared" ref="V156:V171" si="167">((T156/S156)-1)*100</f>
        <v>123.89350000000002</v>
      </c>
      <c r="W156" s="879">
        <v>4000</v>
      </c>
      <c r="X156" s="137">
        <v>18137.759999999998</v>
      </c>
      <c r="Y156" s="137">
        <f>X156-W156</f>
        <v>14137.759999999998</v>
      </c>
      <c r="Z156" s="237">
        <f t="shared" ref="Z156:Z171" si="168">((X156/W156)-1)*100</f>
        <v>353.44400000000002</v>
      </c>
      <c r="AA156" s="879">
        <v>4000</v>
      </c>
      <c r="AB156" s="260">
        <v>8279.8799999999992</v>
      </c>
      <c r="AC156" s="137">
        <f>AB156-AA156</f>
        <v>4279.8799999999992</v>
      </c>
      <c r="AD156" s="237">
        <f t="shared" ref="AD156:AD171" si="169">((AB156/AA156)-1)*100</f>
        <v>106.99699999999996</v>
      </c>
      <c r="AE156" s="879">
        <v>4000</v>
      </c>
      <c r="AF156" s="260">
        <v>15566.95</v>
      </c>
      <c r="AG156" s="169">
        <f t="shared" si="161"/>
        <v>11566.95</v>
      </c>
      <c r="AH156" s="237">
        <f t="shared" ref="AH156:AH171" si="170">((AF156/AE156)-1)*100</f>
        <v>289.17374999999998</v>
      </c>
      <c r="AI156" s="879">
        <v>4000</v>
      </c>
      <c r="AJ156" s="176">
        <v>3819.97</v>
      </c>
      <c r="AK156" s="169">
        <f t="shared" si="162"/>
        <v>-180.0300000000002</v>
      </c>
      <c r="AL156" s="237">
        <f t="shared" ref="AL156:AL171" si="171">((AJ156/AI156)-1)*100</f>
        <v>-4.5007500000000089</v>
      </c>
      <c r="AM156" s="879">
        <v>4000</v>
      </c>
      <c r="AN156" s="176">
        <v>15313.94</v>
      </c>
      <c r="AO156" s="169">
        <f t="shared" si="163"/>
        <v>11313.94</v>
      </c>
      <c r="AP156" s="237">
        <f t="shared" ref="AP156:AP171" si="172">((AN156/AM156)-1)*100</f>
        <v>282.8485</v>
      </c>
      <c r="AQ156" s="879">
        <v>4000</v>
      </c>
      <c r="AR156" s="260"/>
      <c r="AS156" s="169">
        <f t="shared" si="164"/>
        <v>-4000</v>
      </c>
      <c r="AT156" s="237">
        <f t="shared" ref="AT156:AT171" si="173">((AR156/AQ156)-1)*100</f>
        <v>-100</v>
      </c>
      <c r="AU156" s="879">
        <v>4000</v>
      </c>
      <c r="AV156" s="176"/>
      <c r="AW156" s="137">
        <f>AV156-AU156</f>
        <v>-4000</v>
      </c>
      <c r="AX156" s="252">
        <f t="shared" ref="AX156:AX171" si="174">((AV156/AU156)-1)*100</f>
        <v>-100</v>
      </c>
      <c r="AY156" s="459">
        <f t="shared" ref="AY156:AY171" si="175">C156+G156+K156+O156+S156+W156+AA156+AE156+AI156+AM156+AQ156+AU156</f>
        <v>48000</v>
      </c>
      <c r="AZ156" s="188">
        <f t="shared" si="159"/>
        <v>262360.55</v>
      </c>
      <c r="BA156" s="118"/>
    </row>
    <row r="157" spans="1:55" s="119" customFormat="1" ht="18" customHeight="1" x14ac:dyDescent="0.25">
      <c r="A157" s="170">
        <v>12334</v>
      </c>
      <c r="B157" s="332" t="s">
        <v>82</v>
      </c>
      <c r="C157" s="900">
        <v>34000</v>
      </c>
      <c r="D157" s="87">
        <v>38450.400000000001</v>
      </c>
      <c r="E157" s="138">
        <f t="shared" si="160"/>
        <v>4450.4000000000015</v>
      </c>
      <c r="F157" s="371">
        <f t="shared" si="156"/>
        <v>13.089411764705883</v>
      </c>
      <c r="G157" s="879">
        <v>34000</v>
      </c>
      <c r="H157" s="260">
        <v>19400.14</v>
      </c>
      <c r="I157" s="137">
        <f t="shared" ref="I157:I171" si="176">H157-G157</f>
        <v>-14599.86</v>
      </c>
      <c r="J157" s="252">
        <f t="shared" si="165"/>
        <v>-42.940764705882351</v>
      </c>
      <c r="K157" s="879">
        <v>34000</v>
      </c>
      <c r="L157" s="137">
        <v>34062.949999999997</v>
      </c>
      <c r="M157" s="137">
        <f t="shared" ref="M157:M171" si="177">L157-K157</f>
        <v>62.94999999999709</v>
      </c>
      <c r="N157" s="237">
        <f t="shared" si="166"/>
        <v>0.18514705882353155</v>
      </c>
      <c r="O157" s="879">
        <v>34000</v>
      </c>
      <c r="P157" s="816">
        <v>38893</v>
      </c>
      <c r="Q157" s="137">
        <f t="shared" si="157"/>
        <v>4893</v>
      </c>
      <c r="R157" s="237">
        <f t="shared" si="158"/>
        <v>14.391176470588229</v>
      </c>
      <c r="S157" s="879">
        <v>34000</v>
      </c>
      <c r="T157" s="137">
        <v>28011.17</v>
      </c>
      <c r="U157" s="137">
        <f t="shared" ref="U157:U171" si="178">T157-S157</f>
        <v>-5988.8300000000017</v>
      </c>
      <c r="V157" s="240">
        <f t="shared" si="167"/>
        <v>-17.614205882352952</v>
      </c>
      <c r="W157" s="879">
        <v>34000</v>
      </c>
      <c r="X157" s="137">
        <v>24330.61</v>
      </c>
      <c r="Y157" s="137">
        <f t="shared" ref="Y157:Y171" si="179">X157-W157</f>
        <v>-9669.39</v>
      </c>
      <c r="Z157" s="237">
        <f t="shared" si="168"/>
        <v>-28.439382352941177</v>
      </c>
      <c r="AA157" s="879">
        <v>34000</v>
      </c>
      <c r="AB157" s="260">
        <v>24120.57</v>
      </c>
      <c r="AC157" s="137">
        <f t="shared" ref="AC157:AC171" si="180">AB157-AA157</f>
        <v>-9879.43</v>
      </c>
      <c r="AD157" s="252">
        <f t="shared" si="169"/>
        <v>-29.057147058823528</v>
      </c>
      <c r="AE157" s="879">
        <v>34000</v>
      </c>
      <c r="AF157" s="260">
        <v>25023.35</v>
      </c>
      <c r="AG157" s="169">
        <f t="shared" si="161"/>
        <v>-8976.6500000000015</v>
      </c>
      <c r="AH157" s="237">
        <f t="shared" si="170"/>
        <v>-26.401911764705886</v>
      </c>
      <c r="AI157" s="879">
        <v>34000</v>
      </c>
      <c r="AJ157" s="176">
        <v>19018.07</v>
      </c>
      <c r="AK157" s="169">
        <f t="shared" si="162"/>
        <v>-14981.93</v>
      </c>
      <c r="AL157" s="252">
        <f t="shared" si="171"/>
        <v>-44.064499999999995</v>
      </c>
      <c r="AM157" s="879">
        <v>34000</v>
      </c>
      <c r="AN157" s="176">
        <v>35284.879999999997</v>
      </c>
      <c r="AO157" s="169">
        <f t="shared" si="163"/>
        <v>1284.8799999999974</v>
      </c>
      <c r="AP157" s="237">
        <f t="shared" si="172"/>
        <v>3.779058823529402</v>
      </c>
      <c r="AQ157" s="879">
        <v>34000</v>
      </c>
      <c r="AR157" s="260"/>
      <c r="AS157" s="169">
        <f t="shared" si="164"/>
        <v>-34000</v>
      </c>
      <c r="AT157" s="252">
        <f t="shared" si="173"/>
        <v>-100</v>
      </c>
      <c r="AU157" s="879">
        <v>34000</v>
      </c>
      <c r="AV157" s="176"/>
      <c r="AW157" s="137">
        <f t="shared" ref="AW157:AW171" si="181">AV157-AU157</f>
        <v>-34000</v>
      </c>
      <c r="AX157" s="252">
        <f t="shared" si="174"/>
        <v>-100</v>
      </c>
      <c r="AY157" s="459">
        <f t="shared" si="175"/>
        <v>408000</v>
      </c>
      <c r="AZ157" s="188">
        <f t="shared" si="159"/>
        <v>286595.13999999996</v>
      </c>
      <c r="BA157" s="118"/>
    </row>
    <row r="158" spans="1:55" s="119" customFormat="1" ht="18" customHeight="1" x14ac:dyDescent="0.25">
      <c r="A158" s="170">
        <v>12284</v>
      </c>
      <c r="B158" s="332" t="s">
        <v>207</v>
      </c>
      <c r="C158" s="900">
        <v>19000</v>
      </c>
      <c r="D158" s="87">
        <v>2040</v>
      </c>
      <c r="E158" s="138">
        <f t="shared" si="160"/>
        <v>-16960</v>
      </c>
      <c r="F158" s="371">
        <f t="shared" si="156"/>
        <v>-89.26315789473685</v>
      </c>
      <c r="G158" s="879">
        <v>19000</v>
      </c>
      <c r="H158" s="260">
        <v>7960</v>
      </c>
      <c r="I158" s="137">
        <f t="shared" si="176"/>
        <v>-11040</v>
      </c>
      <c r="J158" s="252">
        <f t="shared" si="165"/>
        <v>-58.10526315789474</v>
      </c>
      <c r="K158" s="879">
        <v>19000</v>
      </c>
      <c r="L158" s="137">
        <v>16276</v>
      </c>
      <c r="M158" s="137">
        <f t="shared" si="177"/>
        <v>-2724</v>
      </c>
      <c r="N158" s="237">
        <f t="shared" si="166"/>
        <v>-14.336842105263159</v>
      </c>
      <c r="O158" s="879">
        <v>19000</v>
      </c>
      <c r="P158" s="816">
        <v>13735.9</v>
      </c>
      <c r="Q158" s="137">
        <f t="shared" si="157"/>
        <v>-5264.1</v>
      </c>
      <c r="R158" s="237">
        <f t="shared" si="158"/>
        <v>-27.705789473684217</v>
      </c>
      <c r="S158" s="879">
        <v>19000</v>
      </c>
      <c r="T158" s="137">
        <v>0</v>
      </c>
      <c r="U158" s="137">
        <f t="shared" si="178"/>
        <v>-19000</v>
      </c>
      <c r="V158" s="240">
        <f t="shared" si="167"/>
        <v>-100</v>
      </c>
      <c r="W158" s="879">
        <v>19000</v>
      </c>
      <c r="X158" s="137">
        <v>8520</v>
      </c>
      <c r="Y158" s="137">
        <f t="shared" si="179"/>
        <v>-10480</v>
      </c>
      <c r="Z158" s="237">
        <f t="shared" si="168"/>
        <v>-55.157894736842103</v>
      </c>
      <c r="AA158" s="879">
        <v>19000</v>
      </c>
      <c r="AB158" s="260">
        <v>3862</v>
      </c>
      <c r="AC158" s="137">
        <f t="shared" si="180"/>
        <v>-15138</v>
      </c>
      <c r="AD158" s="252">
        <f t="shared" si="169"/>
        <v>-79.673684210526318</v>
      </c>
      <c r="AE158" s="879">
        <v>19000</v>
      </c>
      <c r="AF158" s="260">
        <v>8713</v>
      </c>
      <c r="AG158" s="169">
        <f t="shared" si="161"/>
        <v>-10287</v>
      </c>
      <c r="AH158" s="237">
        <f t="shared" si="170"/>
        <v>-54.142105263157902</v>
      </c>
      <c r="AI158" s="879">
        <v>19000</v>
      </c>
      <c r="AJ158" s="176">
        <v>53542.92</v>
      </c>
      <c r="AK158" s="169">
        <f t="shared" si="162"/>
        <v>34542.92</v>
      </c>
      <c r="AL158" s="252">
        <f t="shared" si="171"/>
        <v>181.80484210526316</v>
      </c>
      <c r="AM158" s="879">
        <v>19000</v>
      </c>
      <c r="AN158" s="176">
        <v>39312</v>
      </c>
      <c r="AO158" s="169">
        <f t="shared" si="163"/>
        <v>20312</v>
      </c>
      <c r="AP158" s="237">
        <f t="shared" si="172"/>
        <v>106.90526315789475</v>
      </c>
      <c r="AQ158" s="879">
        <v>19000</v>
      </c>
      <c r="AR158" s="260"/>
      <c r="AS158" s="169">
        <f t="shared" si="164"/>
        <v>-19000</v>
      </c>
      <c r="AT158" s="252">
        <f t="shared" si="173"/>
        <v>-100</v>
      </c>
      <c r="AU158" s="879">
        <v>19000</v>
      </c>
      <c r="AV158" s="176"/>
      <c r="AW158" s="137">
        <f t="shared" si="181"/>
        <v>-19000</v>
      </c>
      <c r="AX158" s="252">
        <f t="shared" si="174"/>
        <v>-100</v>
      </c>
      <c r="AY158" s="459">
        <f t="shared" si="175"/>
        <v>228000</v>
      </c>
      <c r="AZ158" s="188">
        <f t="shared" si="159"/>
        <v>153961.82</v>
      </c>
      <c r="BA158" s="118"/>
    </row>
    <row r="159" spans="1:55" s="119" customFormat="1" ht="18" customHeight="1" x14ac:dyDescent="0.25">
      <c r="A159" s="170">
        <v>12280</v>
      </c>
      <c r="B159" s="332" t="s">
        <v>209</v>
      </c>
      <c r="C159" s="900">
        <v>14000</v>
      </c>
      <c r="D159" s="87">
        <v>11718.6</v>
      </c>
      <c r="E159" s="138">
        <f t="shared" si="160"/>
        <v>-2281.3999999999996</v>
      </c>
      <c r="F159" s="371">
        <f t="shared" si="156"/>
        <v>-16.295714285714279</v>
      </c>
      <c r="G159" s="879">
        <v>14000</v>
      </c>
      <c r="H159" s="251">
        <v>8012.19</v>
      </c>
      <c r="I159" s="137">
        <f t="shared" si="176"/>
        <v>-5987.81</v>
      </c>
      <c r="J159" s="252">
        <f t="shared" si="165"/>
        <v>-42.770071428571434</v>
      </c>
      <c r="K159" s="879">
        <v>14000</v>
      </c>
      <c r="L159" s="137">
        <v>12668.6</v>
      </c>
      <c r="M159" s="137">
        <f t="shared" si="177"/>
        <v>-1331.3999999999996</v>
      </c>
      <c r="N159" s="237">
        <f t="shared" si="166"/>
        <v>-9.5099999999999962</v>
      </c>
      <c r="O159" s="879">
        <v>14000</v>
      </c>
      <c r="P159" s="816">
        <v>9668.6</v>
      </c>
      <c r="Q159" s="137">
        <f t="shared" si="157"/>
        <v>-4331.3999999999996</v>
      </c>
      <c r="R159" s="237">
        <f t="shared" si="158"/>
        <v>-30.938571428571425</v>
      </c>
      <c r="S159" s="879">
        <v>14000</v>
      </c>
      <c r="T159" s="137">
        <v>8078.6</v>
      </c>
      <c r="U159" s="137">
        <f t="shared" si="178"/>
        <v>-5921.4</v>
      </c>
      <c r="V159" s="240">
        <f t="shared" si="167"/>
        <v>-42.295714285714283</v>
      </c>
      <c r="W159" s="879">
        <v>14000</v>
      </c>
      <c r="X159" s="137">
        <v>10663.6</v>
      </c>
      <c r="Y159" s="137">
        <f t="shared" si="179"/>
        <v>-3336.3999999999996</v>
      </c>
      <c r="Z159" s="237">
        <f t="shared" si="168"/>
        <v>-23.831428571428571</v>
      </c>
      <c r="AA159" s="879">
        <v>14000</v>
      </c>
      <c r="AB159" s="260">
        <v>10489.6</v>
      </c>
      <c r="AC159" s="137">
        <f t="shared" si="180"/>
        <v>-3510.3999999999996</v>
      </c>
      <c r="AD159" s="252">
        <f t="shared" si="169"/>
        <v>-25.074285714285715</v>
      </c>
      <c r="AE159" s="879">
        <v>14000</v>
      </c>
      <c r="AF159" s="260">
        <v>40308.89</v>
      </c>
      <c r="AG159" s="169">
        <f t="shared" si="161"/>
        <v>26308.89</v>
      </c>
      <c r="AH159" s="237">
        <f t="shared" si="170"/>
        <v>187.92064285714284</v>
      </c>
      <c r="AI159" s="879">
        <v>14000</v>
      </c>
      <c r="AJ159" s="176">
        <v>79904.23</v>
      </c>
      <c r="AK159" s="169">
        <f t="shared" si="162"/>
        <v>65904.23</v>
      </c>
      <c r="AL159" s="252">
        <f t="shared" si="171"/>
        <v>470.74450000000002</v>
      </c>
      <c r="AM159" s="879">
        <v>14000</v>
      </c>
      <c r="AN159" s="176">
        <v>19816.7</v>
      </c>
      <c r="AO159" s="169">
        <f t="shared" si="163"/>
        <v>5816.7000000000007</v>
      </c>
      <c r="AP159" s="237">
        <f t="shared" si="172"/>
        <v>41.547857142857161</v>
      </c>
      <c r="AQ159" s="879">
        <v>14000</v>
      </c>
      <c r="AR159" s="260"/>
      <c r="AS159" s="169">
        <f t="shared" si="164"/>
        <v>-14000</v>
      </c>
      <c r="AT159" s="252">
        <f t="shared" si="173"/>
        <v>-100</v>
      </c>
      <c r="AU159" s="879">
        <v>14000</v>
      </c>
      <c r="AV159" s="176"/>
      <c r="AW159" s="137">
        <f t="shared" si="181"/>
        <v>-14000</v>
      </c>
      <c r="AX159" s="252">
        <f t="shared" si="174"/>
        <v>-100</v>
      </c>
      <c r="AY159" s="459">
        <f t="shared" si="175"/>
        <v>168000</v>
      </c>
      <c r="AZ159" s="188">
        <f t="shared" si="159"/>
        <v>211329.61</v>
      </c>
      <c r="BA159" s="118"/>
    </row>
    <row r="160" spans="1:55" s="119" customFormat="1" ht="30" customHeight="1" x14ac:dyDescent="0.25">
      <c r="A160" s="170" t="s">
        <v>3656</v>
      </c>
      <c r="B160" s="332" t="s">
        <v>208</v>
      </c>
      <c r="C160" s="900">
        <v>21000</v>
      </c>
      <c r="D160" s="87">
        <f>7010.14+10854+2744+1837.5</f>
        <v>22445.64</v>
      </c>
      <c r="E160" s="138">
        <f t="shared" si="160"/>
        <v>1445.6399999999994</v>
      </c>
      <c r="F160" s="371">
        <f t="shared" si="156"/>
        <v>6.8840000000000012</v>
      </c>
      <c r="G160" s="879">
        <v>21000</v>
      </c>
      <c r="H160" s="251">
        <f>6225.8+7553.34+2676+2025</f>
        <v>18480.14</v>
      </c>
      <c r="I160" s="137">
        <f t="shared" si="176"/>
        <v>-2519.8600000000006</v>
      </c>
      <c r="J160" s="252">
        <f t="shared" si="165"/>
        <v>-11.99933333333334</v>
      </c>
      <c r="K160" s="879">
        <v>21000</v>
      </c>
      <c r="L160" s="137">
        <v>39927.75</v>
      </c>
      <c r="M160" s="137">
        <f t="shared" si="177"/>
        <v>18927.75</v>
      </c>
      <c r="N160" s="237">
        <f t="shared" si="166"/>
        <v>90.132142857142867</v>
      </c>
      <c r="O160" s="879">
        <v>21000</v>
      </c>
      <c r="P160" s="137">
        <v>31348.66</v>
      </c>
      <c r="Q160" s="137">
        <f t="shared" si="157"/>
        <v>10348.66</v>
      </c>
      <c r="R160" s="237">
        <f t="shared" si="158"/>
        <v>49.279333333333341</v>
      </c>
      <c r="S160" s="879">
        <v>21000</v>
      </c>
      <c r="T160" s="137">
        <v>32687.18</v>
      </c>
      <c r="U160" s="137">
        <f t="shared" si="178"/>
        <v>11687.18</v>
      </c>
      <c r="V160" s="240">
        <f t="shared" si="167"/>
        <v>55.653238095238102</v>
      </c>
      <c r="W160" s="879">
        <v>21000</v>
      </c>
      <c r="X160" s="137">
        <v>24058.65</v>
      </c>
      <c r="Y160" s="137">
        <f t="shared" si="179"/>
        <v>3058.6500000000015</v>
      </c>
      <c r="Z160" s="237">
        <f t="shared" si="168"/>
        <v>14.565000000000005</v>
      </c>
      <c r="AA160" s="879">
        <v>21000</v>
      </c>
      <c r="AB160" s="260">
        <v>32248.66</v>
      </c>
      <c r="AC160" s="137">
        <f t="shared" si="180"/>
        <v>11248.66</v>
      </c>
      <c r="AD160" s="252">
        <f t="shared" si="169"/>
        <v>53.565047619047611</v>
      </c>
      <c r="AE160" s="879">
        <v>21000</v>
      </c>
      <c r="AF160" s="260">
        <v>32416.71</v>
      </c>
      <c r="AG160" s="169">
        <f t="shared" si="161"/>
        <v>11416.71</v>
      </c>
      <c r="AH160" s="237">
        <f t="shared" si="170"/>
        <v>54.365285714285719</v>
      </c>
      <c r="AI160" s="879">
        <v>21000</v>
      </c>
      <c r="AJ160" s="176">
        <v>25755.32</v>
      </c>
      <c r="AK160" s="169">
        <f t="shared" si="162"/>
        <v>4755.32</v>
      </c>
      <c r="AL160" s="252">
        <f t="shared" si="171"/>
        <v>22.644380952380949</v>
      </c>
      <c r="AM160" s="879">
        <v>21000</v>
      </c>
      <c r="AN160" s="176">
        <v>40971.760000000002</v>
      </c>
      <c r="AO160" s="169">
        <f t="shared" si="163"/>
        <v>19971.760000000002</v>
      </c>
      <c r="AP160" s="237">
        <f t="shared" si="172"/>
        <v>95.103619047619063</v>
      </c>
      <c r="AQ160" s="879">
        <v>21000</v>
      </c>
      <c r="AR160" s="260"/>
      <c r="AS160" s="169">
        <f t="shared" si="164"/>
        <v>-21000</v>
      </c>
      <c r="AT160" s="252">
        <f t="shared" si="173"/>
        <v>-100</v>
      </c>
      <c r="AU160" s="879">
        <v>21000</v>
      </c>
      <c r="AV160" s="176"/>
      <c r="AW160" s="137">
        <f t="shared" si="181"/>
        <v>-21000</v>
      </c>
      <c r="AX160" s="252">
        <f t="shared" si="174"/>
        <v>-100</v>
      </c>
      <c r="AY160" s="459">
        <f t="shared" si="175"/>
        <v>252000</v>
      </c>
      <c r="AZ160" s="188">
        <f t="shared" si="159"/>
        <v>300340.46999999997</v>
      </c>
      <c r="BA160" s="118"/>
    </row>
    <row r="161" spans="1:55" s="119" customFormat="1" ht="18" customHeight="1" x14ac:dyDescent="0.25">
      <c r="A161" s="170">
        <v>51090</v>
      </c>
      <c r="B161" s="332" t="s">
        <v>210</v>
      </c>
      <c r="C161" s="900">
        <v>5000</v>
      </c>
      <c r="D161" s="87">
        <v>4966</v>
      </c>
      <c r="E161" s="138">
        <f t="shared" si="160"/>
        <v>-34</v>
      </c>
      <c r="F161" s="371">
        <f t="shared" si="156"/>
        <v>-0.68000000000000282</v>
      </c>
      <c r="G161" s="879">
        <v>5000</v>
      </c>
      <c r="H161" s="212">
        <v>4366</v>
      </c>
      <c r="I161" s="137">
        <f t="shared" si="176"/>
        <v>-634</v>
      </c>
      <c r="J161" s="252">
        <f t="shared" si="165"/>
        <v>-12.680000000000003</v>
      </c>
      <c r="K161" s="879">
        <v>5000</v>
      </c>
      <c r="L161" s="137">
        <v>7826</v>
      </c>
      <c r="M161" s="137">
        <f>L161-K161</f>
        <v>2826</v>
      </c>
      <c r="N161" s="237">
        <f>((L161/K161)-1)*100</f>
        <v>56.519999999999996</v>
      </c>
      <c r="O161" s="879">
        <v>5000</v>
      </c>
      <c r="P161" s="137">
        <v>69052.899999999994</v>
      </c>
      <c r="Q161" s="137">
        <f t="shared" ref="Q161:Q170" si="182">P160-O161</f>
        <v>26348.66</v>
      </c>
      <c r="R161" s="237">
        <f t="shared" ref="R161:R169" si="183">((P160/O161)-1)*100</f>
        <v>526.97320000000002</v>
      </c>
      <c r="S161" s="879">
        <v>5000</v>
      </c>
      <c r="T161" s="137">
        <v>22334.93</v>
      </c>
      <c r="U161" s="137">
        <f t="shared" si="178"/>
        <v>17334.93</v>
      </c>
      <c r="V161" s="240">
        <f t="shared" si="167"/>
        <v>346.69860000000006</v>
      </c>
      <c r="W161" s="879">
        <v>5000</v>
      </c>
      <c r="X161" s="137">
        <v>13746</v>
      </c>
      <c r="Y161" s="137">
        <f t="shared" si="179"/>
        <v>8746</v>
      </c>
      <c r="Z161" s="237">
        <f t="shared" si="168"/>
        <v>174.92000000000002</v>
      </c>
      <c r="AA161" s="879">
        <v>5000</v>
      </c>
      <c r="AB161" s="260">
        <v>15746</v>
      </c>
      <c r="AC161" s="137">
        <f t="shared" si="180"/>
        <v>10746</v>
      </c>
      <c r="AD161" s="252">
        <f t="shared" si="169"/>
        <v>214.92</v>
      </c>
      <c r="AE161" s="879">
        <v>5000</v>
      </c>
      <c r="AF161" s="260">
        <v>4366</v>
      </c>
      <c r="AG161" s="169">
        <f t="shared" si="161"/>
        <v>-634</v>
      </c>
      <c r="AH161" s="237">
        <f t="shared" si="170"/>
        <v>-12.680000000000003</v>
      </c>
      <c r="AI161" s="879">
        <v>5000</v>
      </c>
      <c r="AJ161" s="176">
        <v>4366</v>
      </c>
      <c r="AK161" s="169">
        <f t="shared" si="162"/>
        <v>-634</v>
      </c>
      <c r="AL161" s="252">
        <f t="shared" si="171"/>
        <v>-12.680000000000003</v>
      </c>
      <c r="AM161" s="879">
        <v>5000</v>
      </c>
      <c r="AN161" s="176">
        <v>51877</v>
      </c>
      <c r="AO161" s="169">
        <f t="shared" si="163"/>
        <v>46877</v>
      </c>
      <c r="AP161" s="237">
        <f t="shared" si="172"/>
        <v>937.54000000000008</v>
      </c>
      <c r="AQ161" s="879">
        <v>5000</v>
      </c>
      <c r="AR161" s="260"/>
      <c r="AS161" s="169">
        <f t="shared" si="164"/>
        <v>-5000</v>
      </c>
      <c r="AT161" s="252">
        <f t="shared" si="173"/>
        <v>-100</v>
      </c>
      <c r="AU161" s="879">
        <v>5000</v>
      </c>
      <c r="AV161" s="176"/>
      <c r="AW161" s="137">
        <f t="shared" si="181"/>
        <v>-5000</v>
      </c>
      <c r="AX161" s="252">
        <f t="shared" si="174"/>
        <v>-100</v>
      </c>
      <c r="AY161" s="459">
        <f t="shared" si="175"/>
        <v>60000</v>
      </c>
      <c r="AZ161" s="188">
        <f t="shared" ref="AZ161:AZ170" si="184">SUM(D161+H161+L161+P160+T161+X161+AB161+AF161+AJ161+AN161+AR161+AV161)</f>
        <v>160942.59</v>
      </c>
      <c r="BA161" s="118"/>
    </row>
    <row r="162" spans="1:55" s="119" customFormat="1" ht="18" customHeight="1" x14ac:dyDescent="0.25">
      <c r="A162" s="170">
        <v>12282</v>
      </c>
      <c r="B162" s="332" t="s">
        <v>211</v>
      </c>
      <c r="C162" s="900">
        <v>20000</v>
      </c>
      <c r="D162" s="87">
        <v>23503.24</v>
      </c>
      <c r="E162" s="138">
        <f t="shared" si="160"/>
        <v>3503.2400000000016</v>
      </c>
      <c r="F162" s="371">
        <f t="shared" si="156"/>
        <v>17.516200000000005</v>
      </c>
      <c r="G162" s="879">
        <v>20000</v>
      </c>
      <c r="H162" s="212">
        <v>20185.72</v>
      </c>
      <c r="I162" s="137">
        <f t="shared" si="176"/>
        <v>185.72000000000116</v>
      </c>
      <c r="J162" s="252">
        <f t="shared" si="165"/>
        <v>0.92860000000001275</v>
      </c>
      <c r="K162" s="879">
        <v>20000</v>
      </c>
      <c r="L162" s="137">
        <v>12619.72</v>
      </c>
      <c r="M162" s="137">
        <f>L162-K162</f>
        <v>-7380.2800000000007</v>
      </c>
      <c r="N162" s="237">
        <f>((L162/K162)-1)*100</f>
        <v>-36.90140000000001</v>
      </c>
      <c r="O162" s="879">
        <v>20000</v>
      </c>
      <c r="P162" s="137">
        <v>33506.32</v>
      </c>
      <c r="Q162" s="137">
        <f t="shared" si="182"/>
        <v>49052.899999999994</v>
      </c>
      <c r="R162" s="237">
        <f t="shared" si="183"/>
        <v>245.26449999999994</v>
      </c>
      <c r="S162" s="879">
        <v>20000</v>
      </c>
      <c r="T162" s="137">
        <v>24149.72</v>
      </c>
      <c r="U162" s="137">
        <f t="shared" si="178"/>
        <v>4149.7200000000012</v>
      </c>
      <c r="V162" s="240">
        <f t="shared" si="167"/>
        <v>20.748600000000007</v>
      </c>
      <c r="W162" s="879">
        <v>20000</v>
      </c>
      <c r="X162" s="137">
        <v>27056.57</v>
      </c>
      <c r="Y162" s="137">
        <f t="shared" si="179"/>
        <v>7056.57</v>
      </c>
      <c r="Z162" s="237">
        <f t="shared" si="168"/>
        <v>35.282849999999996</v>
      </c>
      <c r="AA162" s="879">
        <v>20000</v>
      </c>
      <c r="AB162" s="260">
        <v>20899.72</v>
      </c>
      <c r="AC162" s="137">
        <f t="shared" si="180"/>
        <v>899.72000000000116</v>
      </c>
      <c r="AD162" s="252">
        <f t="shared" si="169"/>
        <v>4.498599999999997</v>
      </c>
      <c r="AE162" s="879">
        <v>20000</v>
      </c>
      <c r="AF162" s="260">
        <v>14816.5</v>
      </c>
      <c r="AG162" s="169">
        <f t="shared" si="161"/>
        <v>-5183.5</v>
      </c>
      <c r="AH162" s="237">
        <f t="shared" si="170"/>
        <v>-25.917500000000004</v>
      </c>
      <c r="AI162" s="879">
        <v>20000</v>
      </c>
      <c r="AJ162" s="176">
        <v>32778.78</v>
      </c>
      <c r="AK162" s="169">
        <f t="shared" si="162"/>
        <v>12778.779999999999</v>
      </c>
      <c r="AL162" s="252">
        <f t="shared" si="171"/>
        <v>63.893899999999995</v>
      </c>
      <c r="AM162" s="879">
        <v>20000</v>
      </c>
      <c r="AN162" s="176">
        <v>23056.36</v>
      </c>
      <c r="AO162" s="169">
        <f t="shared" si="163"/>
        <v>3056.3600000000006</v>
      </c>
      <c r="AP162" s="237">
        <f t="shared" si="172"/>
        <v>15.281800000000011</v>
      </c>
      <c r="AQ162" s="879">
        <v>20000</v>
      </c>
      <c r="AR162" s="260"/>
      <c r="AS162" s="169">
        <f t="shared" si="164"/>
        <v>-20000</v>
      </c>
      <c r="AT162" s="252">
        <f t="shared" si="173"/>
        <v>-100</v>
      </c>
      <c r="AU162" s="879">
        <v>20000</v>
      </c>
      <c r="AV162" s="176"/>
      <c r="AW162" s="137">
        <f t="shared" si="181"/>
        <v>-20000</v>
      </c>
      <c r="AX162" s="252">
        <f t="shared" si="174"/>
        <v>-100</v>
      </c>
      <c r="AY162" s="459">
        <f t="shared" si="175"/>
        <v>240000</v>
      </c>
      <c r="AZ162" s="188">
        <f t="shared" si="184"/>
        <v>268119.23</v>
      </c>
      <c r="BA162" s="118"/>
    </row>
    <row r="163" spans="1:55" s="119" customFormat="1" ht="18" customHeight="1" x14ac:dyDescent="0.25">
      <c r="A163" s="170">
        <v>51665</v>
      </c>
      <c r="B163" s="152" t="s">
        <v>212</v>
      </c>
      <c r="C163" s="900">
        <v>43000</v>
      </c>
      <c r="D163" s="87">
        <v>46075.61</v>
      </c>
      <c r="E163" s="138">
        <f t="shared" si="160"/>
        <v>3075.6100000000006</v>
      </c>
      <c r="F163" s="371">
        <f t="shared" si="156"/>
        <v>7.1525813953488449</v>
      </c>
      <c r="G163" s="879">
        <v>43000</v>
      </c>
      <c r="H163" s="212">
        <v>47475.61</v>
      </c>
      <c r="I163" s="137">
        <f t="shared" si="176"/>
        <v>4475.6100000000006</v>
      </c>
      <c r="J163" s="252">
        <f t="shared" si="165"/>
        <v>10.408395348837217</v>
      </c>
      <c r="K163" s="879">
        <v>43000</v>
      </c>
      <c r="L163" s="137">
        <v>47791.76</v>
      </c>
      <c r="M163" s="137">
        <f t="shared" si="177"/>
        <v>4791.760000000002</v>
      </c>
      <c r="N163" s="237">
        <f t="shared" si="166"/>
        <v>11.143627906976739</v>
      </c>
      <c r="O163" s="879">
        <v>43000</v>
      </c>
      <c r="P163" s="137">
        <v>44777.75</v>
      </c>
      <c r="Q163" s="137">
        <f t="shared" si="182"/>
        <v>-9493.68</v>
      </c>
      <c r="R163" s="237">
        <f t="shared" si="183"/>
        <v>-22.078325581395355</v>
      </c>
      <c r="S163" s="879">
        <v>43000</v>
      </c>
      <c r="T163" s="137">
        <v>52288.79</v>
      </c>
      <c r="U163" s="137">
        <f t="shared" si="178"/>
        <v>9288.7900000000009</v>
      </c>
      <c r="V163" s="240">
        <f t="shared" si="167"/>
        <v>21.601837209302332</v>
      </c>
      <c r="W163" s="879">
        <v>43000</v>
      </c>
      <c r="X163" s="137">
        <v>44115.64</v>
      </c>
      <c r="Y163" s="137">
        <f t="shared" si="179"/>
        <v>1115.6399999999994</v>
      </c>
      <c r="Z163" s="237">
        <f t="shared" si="168"/>
        <v>2.5945116279069813</v>
      </c>
      <c r="AA163" s="879">
        <v>43000</v>
      </c>
      <c r="AB163" s="260">
        <v>44115.46</v>
      </c>
      <c r="AC163" s="137">
        <f t="shared" si="180"/>
        <v>1115.4599999999991</v>
      </c>
      <c r="AD163" s="252">
        <f t="shared" si="169"/>
        <v>2.5940930232558168</v>
      </c>
      <c r="AE163" s="879">
        <v>43000</v>
      </c>
      <c r="AF163" s="260">
        <v>71271.66</v>
      </c>
      <c r="AG163" s="169">
        <f t="shared" si="161"/>
        <v>28271.660000000003</v>
      </c>
      <c r="AH163" s="237">
        <f t="shared" si="170"/>
        <v>65.748046511627905</v>
      </c>
      <c r="AI163" s="879">
        <v>43000</v>
      </c>
      <c r="AJ163" s="176">
        <v>149807</v>
      </c>
      <c r="AK163" s="169">
        <f t="shared" si="162"/>
        <v>106807</v>
      </c>
      <c r="AL163" s="252">
        <f t="shared" si="171"/>
        <v>248.38837209302324</v>
      </c>
      <c r="AM163" s="879">
        <v>43000</v>
      </c>
      <c r="AN163" s="176">
        <v>65546.710000000006</v>
      </c>
      <c r="AO163" s="169">
        <f t="shared" si="163"/>
        <v>22546.710000000006</v>
      </c>
      <c r="AP163" s="237">
        <f t="shared" si="172"/>
        <v>52.434209302325606</v>
      </c>
      <c r="AQ163" s="879">
        <v>43000</v>
      </c>
      <c r="AR163" s="260"/>
      <c r="AS163" s="169">
        <f t="shared" si="164"/>
        <v>-43000</v>
      </c>
      <c r="AT163" s="252">
        <f t="shared" si="173"/>
        <v>-100</v>
      </c>
      <c r="AU163" s="879">
        <v>43000</v>
      </c>
      <c r="AV163" s="176"/>
      <c r="AW163" s="137">
        <f t="shared" si="181"/>
        <v>-43000</v>
      </c>
      <c r="AX163" s="252">
        <f t="shared" si="174"/>
        <v>-100</v>
      </c>
      <c r="AY163" s="459">
        <f t="shared" si="175"/>
        <v>516000</v>
      </c>
      <c r="AZ163" s="188">
        <f t="shared" si="184"/>
        <v>601994.56000000006</v>
      </c>
      <c r="BA163" s="118"/>
    </row>
    <row r="164" spans="1:55" s="119" customFormat="1" ht="18" customHeight="1" x14ac:dyDescent="0.25">
      <c r="A164" s="170">
        <v>51666</v>
      </c>
      <c r="B164" s="152" t="s">
        <v>84</v>
      </c>
      <c r="C164" s="900">
        <v>8000</v>
      </c>
      <c r="D164" s="87">
        <v>12409</v>
      </c>
      <c r="E164" s="138">
        <f t="shared" si="160"/>
        <v>4409</v>
      </c>
      <c r="F164" s="371">
        <f t="shared" si="156"/>
        <v>55.112500000000011</v>
      </c>
      <c r="G164" s="879">
        <v>8000</v>
      </c>
      <c r="H164" s="212">
        <v>25479.83</v>
      </c>
      <c r="I164" s="137">
        <f t="shared" si="176"/>
        <v>17479.830000000002</v>
      </c>
      <c r="J164" s="252">
        <f t="shared" si="165"/>
        <v>218.49787500000005</v>
      </c>
      <c r="K164" s="879">
        <v>8000</v>
      </c>
      <c r="L164" s="137">
        <v>24565.47</v>
      </c>
      <c r="M164" s="137">
        <f t="shared" si="177"/>
        <v>16565.47</v>
      </c>
      <c r="N164" s="237">
        <f t="shared" si="166"/>
        <v>207.068375</v>
      </c>
      <c r="O164" s="879">
        <v>8000</v>
      </c>
      <c r="P164" s="137">
        <v>13574.84</v>
      </c>
      <c r="Q164" s="137">
        <f t="shared" si="182"/>
        <v>36777.75</v>
      </c>
      <c r="R164" s="237">
        <f t="shared" si="183"/>
        <v>459.72187499999995</v>
      </c>
      <c r="S164" s="879">
        <v>8000</v>
      </c>
      <c r="T164" s="137">
        <v>19759.93</v>
      </c>
      <c r="U164" s="137">
        <f t="shared" si="178"/>
        <v>11759.93</v>
      </c>
      <c r="V164" s="240">
        <f t="shared" si="167"/>
        <v>146.99912500000002</v>
      </c>
      <c r="W164" s="879">
        <v>8000</v>
      </c>
      <c r="X164" s="137">
        <v>23602.83</v>
      </c>
      <c r="Y164" s="137">
        <f t="shared" si="179"/>
        <v>15602.830000000002</v>
      </c>
      <c r="Z164" s="237">
        <f t="shared" si="168"/>
        <v>195.03537500000002</v>
      </c>
      <c r="AA164" s="879">
        <v>8000</v>
      </c>
      <c r="AB164" s="260">
        <v>20004.59</v>
      </c>
      <c r="AC164" s="137">
        <f t="shared" si="180"/>
        <v>12004.59</v>
      </c>
      <c r="AD164" s="252">
        <f t="shared" si="169"/>
        <v>150.05737500000001</v>
      </c>
      <c r="AE164" s="879">
        <v>8000</v>
      </c>
      <c r="AF164" s="260">
        <v>24948</v>
      </c>
      <c r="AG164" s="169">
        <f t="shared" si="161"/>
        <v>16948</v>
      </c>
      <c r="AH164" s="237">
        <f t="shared" si="170"/>
        <v>211.85</v>
      </c>
      <c r="AI164" s="879">
        <v>8000</v>
      </c>
      <c r="AJ164" s="176">
        <v>11562.25</v>
      </c>
      <c r="AK164" s="169">
        <f t="shared" si="162"/>
        <v>3562.25</v>
      </c>
      <c r="AL164" s="252">
        <f t="shared" si="171"/>
        <v>44.52812500000001</v>
      </c>
      <c r="AM164" s="879">
        <v>8000</v>
      </c>
      <c r="AN164" s="176">
        <v>29630.76</v>
      </c>
      <c r="AO164" s="169">
        <f t="shared" si="163"/>
        <v>21630.76</v>
      </c>
      <c r="AP164" s="237">
        <f t="shared" si="172"/>
        <v>270.3845</v>
      </c>
      <c r="AQ164" s="879">
        <v>8000</v>
      </c>
      <c r="AR164" s="260"/>
      <c r="AS164" s="169">
        <f t="shared" si="164"/>
        <v>-8000</v>
      </c>
      <c r="AT164" s="252">
        <f t="shared" si="173"/>
        <v>-100</v>
      </c>
      <c r="AU164" s="879">
        <v>8000</v>
      </c>
      <c r="AV164" s="176"/>
      <c r="AW164" s="137">
        <f t="shared" si="181"/>
        <v>-8000</v>
      </c>
      <c r="AX164" s="252">
        <f t="shared" si="174"/>
        <v>-100</v>
      </c>
      <c r="AY164" s="459">
        <f t="shared" si="175"/>
        <v>96000</v>
      </c>
      <c r="AZ164" s="188">
        <f t="shared" si="184"/>
        <v>236740.41</v>
      </c>
      <c r="BA164" s="118"/>
    </row>
    <row r="165" spans="1:55" s="119" customFormat="1" ht="18" customHeight="1" x14ac:dyDescent="0.25">
      <c r="A165" s="170">
        <v>51667</v>
      </c>
      <c r="B165" s="152" t="s">
        <v>85</v>
      </c>
      <c r="C165" s="900">
        <v>9000</v>
      </c>
      <c r="D165" s="87">
        <v>9138</v>
      </c>
      <c r="E165" s="138">
        <f t="shared" si="160"/>
        <v>138</v>
      </c>
      <c r="F165" s="371">
        <f t="shared" si="156"/>
        <v>1.5333333333333421</v>
      </c>
      <c r="G165" s="879">
        <v>9000</v>
      </c>
      <c r="H165" s="212">
        <v>4985</v>
      </c>
      <c r="I165" s="137">
        <f t="shared" si="176"/>
        <v>-4015</v>
      </c>
      <c r="J165" s="252">
        <f t="shared" si="165"/>
        <v>-44.611111111111114</v>
      </c>
      <c r="K165" s="879">
        <v>9000</v>
      </c>
      <c r="L165" s="137">
        <v>5420</v>
      </c>
      <c r="M165" s="137">
        <f t="shared" si="177"/>
        <v>-3580</v>
      </c>
      <c r="N165" s="237">
        <f t="shared" si="166"/>
        <v>-39.777777777777779</v>
      </c>
      <c r="O165" s="879">
        <v>9000</v>
      </c>
      <c r="P165" s="137">
        <v>10612</v>
      </c>
      <c r="Q165" s="137">
        <f t="shared" si="182"/>
        <v>4574.84</v>
      </c>
      <c r="R165" s="237">
        <f t="shared" si="183"/>
        <v>50.83155555555556</v>
      </c>
      <c r="S165" s="879">
        <v>9000</v>
      </c>
      <c r="T165" s="137">
        <v>7902</v>
      </c>
      <c r="U165" s="137">
        <f t="shared" si="178"/>
        <v>-1098</v>
      </c>
      <c r="V165" s="240">
        <f t="shared" si="167"/>
        <v>-12.2</v>
      </c>
      <c r="W165" s="879">
        <v>9000</v>
      </c>
      <c r="X165" s="137">
        <v>364</v>
      </c>
      <c r="Y165" s="137">
        <f t="shared" si="179"/>
        <v>-8636</v>
      </c>
      <c r="Z165" s="237">
        <f t="shared" si="168"/>
        <v>-95.955555555555563</v>
      </c>
      <c r="AA165" s="879">
        <v>9000</v>
      </c>
      <c r="AB165" s="260">
        <v>8832.5</v>
      </c>
      <c r="AC165" s="137">
        <f t="shared" si="180"/>
        <v>-167.5</v>
      </c>
      <c r="AD165" s="252">
        <f t="shared" si="169"/>
        <v>-1.8611111111111134</v>
      </c>
      <c r="AE165" s="879">
        <v>9000</v>
      </c>
      <c r="AF165" s="260">
        <v>4870</v>
      </c>
      <c r="AG165" s="169">
        <f t="shared" si="161"/>
        <v>-4130</v>
      </c>
      <c r="AH165" s="237">
        <f t="shared" si="170"/>
        <v>-45.888888888888893</v>
      </c>
      <c r="AI165" s="879">
        <v>9000</v>
      </c>
      <c r="AJ165" s="176">
        <v>9291</v>
      </c>
      <c r="AK165" s="169">
        <f t="shared" si="162"/>
        <v>291</v>
      </c>
      <c r="AL165" s="252">
        <f t="shared" si="171"/>
        <v>3.2333333333333325</v>
      </c>
      <c r="AM165" s="879">
        <v>9000</v>
      </c>
      <c r="AN165" s="176">
        <v>2270</v>
      </c>
      <c r="AO165" s="169">
        <f t="shared" si="163"/>
        <v>-6730</v>
      </c>
      <c r="AP165" s="237">
        <f t="shared" si="172"/>
        <v>-74.777777777777771</v>
      </c>
      <c r="AQ165" s="879">
        <v>9000</v>
      </c>
      <c r="AR165" s="260"/>
      <c r="AS165" s="169">
        <f t="shared" si="164"/>
        <v>-9000</v>
      </c>
      <c r="AT165" s="252">
        <f t="shared" si="173"/>
        <v>-100</v>
      </c>
      <c r="AU165" s="879">
        <v>9000</v>
      </c>
      <c r="AV165" s="176"/>
      <c r="AW165" s="137">
        <f t="shared" si="181"/>
        <v>-9000</v>
      </c>
      <c r="AX165" s="252">
        <f t="shared" si="174"/>
        <v>-100</v>
      </c>
      <c r="AY165" s="459">
        <f t="shared" si="175"/>
        <v>108000</v>
      </c>
      <c r="AZ165" s="188">
        <f t="shared" si="184"/>
        <v>66647.34</v>
      </c>
      <c r="BA165" s="118"/>
    </row>
    <row r="166" spans="1:55" s="119" customFormat="1" ht="18" customHeight="1" x14ac:dyDescent="0.25">
      <c r="A166" s="170">
        <v>12900</v>
      </c>
      <c r="B166" s="152" t="s">
        <v>87</v>
      </c>
      <c r="C166" s="900">
        <v>3000</v>
      </c>
      <c r="D166" s="87">
        <v>9266.85</v>
      </c>
      <c r="E166" s="138">
        <f t="shared" si="160"/>
        <v>6266.85</v>
      </c>
      <c r="F166" s="371">
        <f t="shared" si="156"/>
        <v>208.89500000000001</v>
      </c>
      <c r="G166" s="879">
        <v>3000</v>
      </c>
      <c r="H166" s="212">
        <v>9238.8700000000008</v>
      </c>
      <c r="I166" s="137">
        <f t="shared" si="176"/>
        <v>6238.8700000000008</v>
      </c>
      <c r="J166" s="252">
        <f t="shared" si="165"/>
        <v>207.96233333333336</v>
      </c>
      <c r="K166" s="879">
        <v>3000</v>
      </c>
      <c r="L166" s="137">
        <v>8536.83</v>
      </c>
      <c r="M166" s="137">
        <f t="shared" si="177"/>
        <v>5536.83</v>
      </c>
      <c r="N166" s="237">
        <f t="shared" si="166"/>
        <v>184.56100000000001</v>
      </c>
      <c r="O166" s="879">
        <v>3000</v>
      </c>
      <c r="P166" s="137">
        <v>9567.7800000000007</v>
      </c>
      <c r="Q166" s="137">
        <f t="shared" si="182"/>
        <v>7612</v>
      </c>
      <c r="R166" s="237">
        <f t="shared" si="183"/>
        <v>253.73333333333332</v>
      </c>
      <c r="S166" s="879">
        <v>3000</v>
      </c>
      <c r="T166" s="137">
        <v>9301.7800000000007</v>
      </c>
      <c r="U166" s="137">
        <f t="shared" si="178"/>
        <v>6301.7800000000007</v>
      </c>
      <c r="V166" s="240">
        <f t="shared" si="167"/>
        <v>210.05933333333337</v>
      </c>
      <c r="W166" s="879">
        <v>3000</v>
      </c>
      <c r="X166" s="137">
        <v>9567.7800000000007</v>
      </c>
      <c r="Y166" s="137">
        <f t="shared" si="179"/>
        <v>6567.7800000000007</v>
      </c>
      <c r="Z166" s="237">
        <f t="shared" si="168"/>
        <v>218.92600000000004</v>
      </c>
      <c r="AA166" s="879">
        <v>3000</v>
      </c>
      <c r="AB166" s="260">
        <v>9301.7800000000007</v>
      </c>
      <c r="AC166" s="137">
        <f t="shared" si="180"/>
        <v>6301.7800000000007</v>
      </c>
      <c r="AD166" s="252">
        <f t="shared" si="169"/>
        <v>210.05933333333337</v>
      </c>
      <c r="AE166" s="879">
        <v>3000</v>
      </c>
      <c r="AF166" s="260">
        <v>9567.7800000000007</v>
      </c>
      <c r="AG166" s="169">
        <f t="shared" si="161"/>
        <v>6567.7800000000007</v>
      </c>
      <c r="AH166" s="237">
        <f t="shared" si="170"/>
        <v>218.92600000000004</v>
      </c>
      <c r="AI166" s="879">
        <v>3000</v>
      </c>
      <c r="AJ166" s="176">
        <v>9567.7800000000007</v>
      </c>
      <c r="AK166" s="169">
        <f t="shared" si="162"/>
        <v>6567.7800000000007</v>
      </c>
      <c r="AL166" s="252">
        <f t="shared" si="171"/>
        <v>218.92600000000004</v>
      </c>
      <c r="AM166" s="879">
        <v>3000</v>
      </c>
      <c r="AN166" s="176">
        <v>9298.67</v>
      </c>
      <c r="AO166" s="169">
        <f t="shared" si="163"/>
        <v>6298.67</v>
      </c>
      <c r="AP166" s="237">
        <f t="shared" si="172"/>
        <v>209.95566666666664</v>
      </c>
      <c r="AQ166" s="879">
        <v>3000</v>
      </c>
      <c r="AR166" s="260"/>
      <c r="AS166" s="169">
        <f t="shared" si="164"/>
        <v>-3000</v>
      </c>
      <c r="AT166" s="252">
        <f t="shared" si="173"/>
        <v>-100</v>
      </c>
      <c r="AU166" s="879">
        <v>3000</v>
      </c>
      <c r="AV166" s="176"/>
      <c r="AW166" s="137">
        <f t="shared" si="181"/>
        <v>-3000</v>
      </c>
      <c r="AX166" s="252">
        <f t="shared" si="174"/>
        <v>-100</v>
      </c>
      <c r="AY166" s="459">
        <f t="shared" si="175"/>
        <v>36000</v>
      </c>
      <c r="AZ166" s="188">
        <f t="shared" si="184"/>
        <v>94260.12</v>
      </c>
      <c r="BA166" s="118"/>
    </row>
    <row r="167" spans="1:55" s="119" customFormat="1" ht="18" customHeight="1" x14ac:dyDescent="0.25">
      <c r="A167" s="170" t="s">
        <v>88</v>
      </c>
      <c r="B167" s="152" t="s">
        <v>213</v>
      </c>
      <c r="C167" s="900">
        <v>59000</v>
      </c>
      <c r="D167" s="87">
        <f>25905.81+23827.14</f>
        <v>49732.95</v>
      </c>
      <c r="E167" s="138">
        <f t="shared" si="160"/>
        <v>-9267.0500000000029</v>
      </c>
      <c r="F167" s="371">
        <f t="shared" si="156"/>
        <v>-15.706864406779664</v>
      </c>
      <c r="G167" s="879">
        <v>59000</v>
      </c>
      <c r="H167" s="212">
        <f>32773.58+26818.44</f>
        <v>59592.020000000004</v>
      </c>
      <c r="I167" s="137">
        <f t="shared" si="176"/>
        <v>592.02000000000407</v>
      </c>
      <c r="J167" s="252">
        <f t="shared" si="165"/>
        <v>1.0034237288135683</v>
      </c>
      <c r="K167" s="879">
        <v>59000</v>
      </c>
      <c r="L167" s="137">
        <v>50554.95</v>
      </c>
      <c r="M167" s="137">
        <f t="shared" si="177"/>
        <v>-8445.0500000000029</v>
      </c>
      <c r="N167" s="237">
        <f t="shared" si="166"/>
        <v>-14.313644067796616</v>
      </c>
      <c r="O167" s="879">
        <v>59000</v>
      </c>
      <c r="P167" s="137">
        <v>52281.53</v>
      </c>
      <c r="Q167" s="137">
        <f t="shared" si="182"/>
        <v>-49432.22</v>
      </c>
      <c r="R167" s="237">
        <f t="shared" si="183"/>
        <v>-83.78342372881356</v>
      </c>
      <c r="S167" s="879">
        <v>59000</v>
      </c>
      <c r="T167" s="137">
        <v>51662.57</v>
      </c>
      <c r="U167" s="137">
        <f t="shared" si="178"/>
        <v>-7337.43</v>
      </c>
      <c r="V167" s="240">
        <f t="shared" si="167"/>
        <v>-12.436322033898307</v>
      </c>
      <c r="W167" s="879">
        <v>59000</v>
      </c>
      <c r="X167" s="137">
        <v>52065.94</v>
      </c>
      <c r="Y167" s="137">
        <f t="shared" si="179"/>
        <v>-6934.0599999999977</v>
      </c>
      <c r="Z167" s="237">
        <f t="shared" si="168"/>
        <v>-11.752644067796602</v>
      </c>
      <c r="AA167" s="879">
        <v>59000</v>
      </c>
      <c r="AB167" s="260">
        <v>53536.13</v>
      </c>
      <c r="AC167" s="137">
        <f t="shared" si="180"/>
        <v>-5463.8700000000026</v>
      </c>
      <c r="AD167" s="252">
        <f t="shared" si="169"/>
        <v>-9.2607966101694963</v>
      </c>
      <c r="AE167" s="879">
        <v>59000</v>
      </c>
      <c r="AF167" s="260">
        <v>51437.34</v>
      </c>
      <c r="AG167" s="169">
        <f t="shared" si="161"/>
        <v>-7562.6600000000035</v>
      </c>
      <c r="AH167" s="237">
        <f t="shared" si="170"/>
        <v>-12.818067796610178</v>
      </c>
      <c r="AI167" s="879">
        <v>59000</v>
      </c>
      <c r="AJ167" s="176">
        <v>62481.34</v>
      </c>
      <c r="AK167" s="169">
        <f t="shared" si="162"/>
        <v>3481.3399999999965</v>
      </c>
      <c r="AL167" s="252">
        <f t="shared" si="171"/>
        <v>5.9005762711864307</v>
      </c>
      <c r="AM167" s="879">
        <v>59000</v>
      </c>
      <c r="AN167" s="176">
        <v>64582.93</v>
      </c>
      <c r="AO167" s="169">
        <f t="shared" si="163"/>
        <v>5582.93</v>
      </c>
      <c r="AP167" s="237">
        <f t="shared" si="172"/>
        <v>9.4625932203389773</v>
      </c>
      <c r="AQ167" s="879">
        <v>59000</v>
      </c>
      <c r="AR167" s="260"/>
      <c r="AS167" s="169">
        <f t="shared" si="164"/>
        <v>-59000</v>
      </c>
      <c r="AT167" s="252">
        <f t="shared" si="173"/>
        <v>-100</v>
      </c>
      <c r="AU167" s="879">
        <v>59000</v>
      </c>
      <c r="AV167" s="176"/>
      <c r="AW167" s="137">
        <f t="shared" si="181"/>
        <v>-59000</v>
      </c>
      <c r="AX167" s="252">
        <f t="shared" si="174"/>
        <v>-100</v>
      </c>
      <c r="AY167" s="459">
        <f t="shared" si="175"/>
        <v>708000</v>
      </c>
      <c r="AZ167" s="188">
        <f t="shared" si="184"/>
        <v>505213.9499999999</v>
      </c>
      <c r="BA167" s="118"/>
    </row>
    <row r="168" spans="1:55" s="119" customFormat="1" ht="18" customHeight="1" x14ac:dyDescent="0.25">
      <c r="A168" s="170" t="s">
        <v>90</v>
      </c>
      <c r="B168" s="152" t="s">
        <v>92</v>
      </c>
      <c r="C168" s="900">
        <v>169000</v>
      </c>
      <c r="D168" s="87">
        <f>18966.31+183393.99</f>
        <v>202360.3</v>
      </c>
      <c r="E168" s="138">
        <f t="shared" si="160"/>
        <v>33360.299999999988</v>
      </c>
      <c r="F168" s="371">
        <f t="shared" si="156"/>
        <v>19.739822485207092</v>
      </c>
      <c r="G168" s="879">
        <v>169000</v>
      </c>
      <c r="H168" s="212">
        <f>23189.38+156095.12</f>
        <v>179284.5</v>
      </c>
      <c r="I168" s="137">
        <f t="shared" si="176"/>
        <v>10284.5</v>
      </c>
      <c r="J168" s="252">
        <f t="shared" si="165"/>
        <v>6.0855029585798803</v>
      </c>
      <c r="K168" s="879">
        <v>169000</v>
      </c>
      <c r="L168" s="137">
        <v>211652.48000000001</v>
      </c>
      <c r="M168" s="137">
        <f t="shared" si="177"/>
        <v>42652.48000000001</v>
      </c>
      <c r="N168" s="237">
        <f t="shared" si="166"/>
        <v>25.238153846153843</v>
      </c>
      <c r="O168" s="879">
        <v>169000</v>
      </c>
      <c r="P168" s="137">
        <v>152329.01</v>
      </c>
      <c r="Q168" s="137">
        <f t="shared" si="182"/>
        <v>-116718.47</v>
      </c>
      <c r="R168" s="237">
        <f t="shared" si="183"/>
        <v>-69.064183431952671</v>
      </c>
      <c r="S168" s="879">
        <v>169000</v>
      </c>
      <c r="T168" s="137">
        <v>147629.07</v>
      </c>
      <c r="U168" s="137">
        <f t="shared" si="178"/>
        <v>-21370.929999999993</v>
      </c>
      <c r="V168" s="240">
        <f t="shared" si="167"/>
        <v>-12.645520710059166</v>
      </c>
      <c r="W168" s="879">
        <v>169000</v>
      </c>
      <c r="X168" s="137">
        <v>144623.13</v>
      </c>
      <c r="Y168" s="137">
        <f t="shared" si="179"/>
        <v>-24376.869999999995</v>
      </c>
      <c r="Z168" s="237">
        <f t="shared" si="168"/>
        <v>-14.424183431952663</v>
      </c>
      <c r="AA168" s="879">
        <v>169000</v>
      </c>
      <c r="AB168" s="260">
        <v>146893.41</v>
      </c>
      <c r="AC168" s="137">
        <f t="shared" si="180"/>
        <v>-22106.589999999997</v>
      </c>
      <c r="AD168" s="252">
        <f t="shared" si="169"/>
        <v>-13.080822485207101</v>
      </c>
      <c r="AE168" s="879">
        <v>169000</v>
      </c>
      <c r="AF168" s="260">
        <v>155859.49</v>
      </c>
      <c r="AG168" s="169">
        <f t="shared" si="161"/>
        <v>-13140.510000000009</v>
      </c>
      <c r="AH168" s="237">
        <f t="shared" si="170"/>
        <v>-7.7754497041420123</v>
      </c>
      <c r="AI168" s="879">
        <v>169000</v>
      </c>
      <c r="AJ168" s="176">
        <v>208739.54</v>
      </c>
      <c r="AK168" s="169">
        <f t="shared" si="162"/>
        <v>39739.540000000008</v>
      </c>
      <c r="AL168" s="252">
        <f t="shared" si="171"/>
        <v>23.514520710059173</v>
      </c>
      <c r="AM168" s="879">
        <v>169000</v>
      </c>
      <c r="AN168" s="176">
        <v>230572.08</v>
      </c>
      <c r="AO168" s="169">
        <f t="shared" si="163"/>
        <v>61572.079999999987</v>
      </c>
      <c r="AP168" s="237">
        <f t="shared" si="172"/>
        <v>36.433183431952656</v>
      </c>
      <c r="AQ168" s="879">
        <v>169000</v>
      </c>
      <c r="AR168" s="260"/>
      <c r="AS168" s="169">
        <f t="shared" si="164"/>
        <v>-169000</v>
      </c>
      <c r="AT168" s="252">
        <f t="shared" si="173"/>
        <v>-100</v>
      </c>
      <c r="AU168" s="879">
        <v>169000</v>
      </c>
      <c r="AV168" s="176"/>
      <c r="AW168" s="137">
        <f t="shared" si="181"/>
        <v>-169000</v>
      </c>
      <c r="AX168" s="252">
        <f t="shared" si="174"/>
        <v>-100</v>
      </c>
      <c r="AY168" s="459">
        <f t="shared" si="175"/>
        <v>2028000</v>
      </c>
      <c r="AZ168" s="188">
        <f t="shared" si="184"/>
        <v>1679895.5300000003</v>
      </c>
      <c r="BA168" s="118"/>
    </row>
    <row r="169" spans="1:55" s="119" customFormat="1" ht="18" customHeight="1" x14ac:dyDescent="0.25">
      <c r="A169" s="170">
        <v>12869</v>
      </c>
      <c r="B169" s="152" t="s">
        <v>94</v>
      </c>
      <c r="C169" s="900">
        <v>65000</v>
      </c>
      <c r="D169" s="87">
        <v>91448.5</v>
      </c>
      <c r="E169" s="138">
        <f t="shared" si="160"/>
        <v>26448.5</v>
      </c>
      <c r="F169" s="371">
        <f t="shared" si="156"/>
        <v>40.690000000000005</v>
      </c>
      <c r="G169" s="879">
        <v>65000</v>
      </c>
      <c r="H169" s="212">
        <v>77316.69</v>
      </c>
      <c r="I169" s="137">
        <f t="shared" si="176"/>
        <v>12316.690000000002</v>
      </c>
      <c r="J169" s="252">
        <f t="shared" si="165"/>
        <v>18.948753846153842</v>
      </c>
      <c r="K169" s="879">
        <v>65000</v>
      </c>
      <c r="L169" s="131">
        <v>105412.27</v>
      </c>
      <c r="M169" s="137">
        <f t="shared" si="177"/>
        <v>40412.270000000004</v>
      </c>
      <c r="N169" s="237">
        <f t="shared" si="166"/>
        <v>62.172723076923077</v>
      </c>
      <c r="O169" s="879">
        <v>65000</v>
      </c>
      <c r="P169" s="131">
        <v>134873.32999999999</v>
      </c>
      <c r="Q169" s="137">
        <f t="shared" si="182"/>
        <v>87329.010000000009</v>
      </c>
      <c r="R169" s="237">
        <f t="shared" si="183"/>
        <v>134.35232307692311</v>
      </c>
      <c r="S169" s="879">
        <v>65000</v>
      </c>
      <c r="T169" s="137">
        <v>76062.84</v>
      </c>
      <c r="U169" s="137">
        <f t="shared" si="178"/>
        <v>11062.839999999997</v>
      </c>
      <c r="V169" s="240">
        <f t="shared" si="167"/>
        <v>17.01975384615384</v>
      </c>
      <c r="W169" s="879">
        <v>65000</v>
      </c>
      <c r="X169" s="137">
        <v>186402.67</v>
      </c>
      <c r="Y169" s="137">
        <f t="shared" si="179"/>
        <v>121402.67000000001</v>
      </c>
      <c r="Z169" s="237">
        <f t="shared" si="168"/>
        <v>186.77333846153849</v>
      </c>
      <c r="AA169" s="879">
        <v>65000</v>
      </c>
      <c r="AB169" s="260">
        <v>76237.679999999993</v>
      </c>
      <c r="AC169" s="137">
        <f t="shared" si="180"/>
        <v>11237.679999999993</v>
      </c>
      <c r="AD169" s="252">
        <f t="shared" si="169"/>
        <v>17.288738461538443</v>
      </c>
      <c r="AE169" s="879">
        <v>65000</v>
      </c>
      <c r="AF169" s="212">
        <v>81156.22</v>
      </c>
      <c r="AG169" s="169">
        <f t="shared" si="161"/>
        <v>16156.220000000001</v>
      </c>
      <c r="AH169" s="237">
        <f t="shared" si="170"/>
        <v>24.855723076923077</v>
      </c>
      <c r="AI169" s="879">
        <v>65000</v>
      </c>
      <c r="AJ169" s="176">
        <v>64620.66</v>
      </c>
      <c r="AK169" s="169">
        <f t="shared" si="162"/>
        <v>-379.33999999999651</v>
      </c>
      <c r="AL169" s="252">
        <f t="shared" si="171"/>
        <v>-0.58359999999999523</v>
      </c>
      <c r="AM169" s="879">
        <v>65000</v>
      </c>
      <c r="AN169" s="176">
        <v>50613.74</v>
      </c>
      <c r="AO169" s="169">
        <f t="shared" si="163"/>
        <v>-14386.260000000002</v>
      </c>
      <c r="AP169" s="237">
        <f t="shared" si="172"/>
        <v>-22.132707692307697</v>
      </c>
      <c r="AQ169" s="879">
        <v>65000</v>
      </c>
      <c r="AR169" s="260"/>
      <c r="AS169" s="169">
        <f t="shared" si="164"/>
        <v>-65000</v>
      </c>
      <c r="AT169" s="252">
        <f t="shared" si="173"/>
        <v>-100</v>
      </c>
      <c r="AU169" s="879">
        <v>65000</v>
      </c>
      <c r="AV169" s="176"/>
      <c r="AW169" s="137">
        <f t="shared" si="181"/>
        <v>-65000</v>
      </c>
      <c r="AX169" s="252">
        <f t="shared" si="174"/>
        <v>-100</v>
      </c>
      <c r="AY169" s="459">
        <f t="shared" si="175"/>
        <v>780000</v>
      </c>
      <c r="AZ169" s="188">
        <f t="shared" si="184"/>
        <v>961600.28000000014</v>
      </c>
      <c r="BA169" s="118"/>
    </row>
    <row r="170" spans="1:55" s="119" customFormat="1" ht="18" customHeight="1" x14ac:dyDescent="0.25">
      <c r="A170" s="1123">
        <v>52238</v>
      </c>
      <c r="B170" s="382" t="s">
        <v>3699</v>
      </c>
      <c r="C170" s="903">
        <v>0</v>
      </c>
      <c r="D170" s="85">
        <v>8000</v>
      </c>
      <c r="E170" s="138">
        <f t="shared" si="160"/>
        <v>8000</v>
      </c>
      <c r="F170" s="886"/>
      <c r="G170" s="885">
        <v>0</v>
      </c>
      <c r="H170" s="219">
        <v>0</v>
      </c>
      <c r="I170" s="131">
        <f t="shared" si="176"/>
        <v>0</v>
      </c>
      <c r="J170" s="778"/>
      <c r="K170" s="885">
        <v>0</v>
      </c>
      <c r="L170" s="125">
        <v>0</v>
      </c>
      <c r="M170" s="137">
        <f t="shared" si="177"/>
        <v>0</v>
      </c>
      <c r="N170" s="237"/>
      <c r="O170" s="1124">
        <v>0</v>
      </c>
      <c r="P170" s="1125">
        <v>0</v>
      </c>
      <c r="Q170" s="137">
        <f t="shared" si="182"/>
        <v>134873.32999999999</v>
      </c>
      <c r="R170" s="237"/>
      <c r="S170" s="885">
        <v>0</v>
      </c>
      <c r="T170" s="131">
        <v>0</v>
      </c>
      <c r="U170" s="125">
        <f t="shared" si="178"/>
        <v>0</v>
      </c>
      <c r="V170" s="887"/>
      <c r="W170" s="885">
        <v>0</v>
      </c>
      <c r="X170" s="125">
        <v>0</v>
      </c>
      <c r="Y170" s="131">
        <f t="shared" si="179"/>
        <v>0</v>
      </c>
      <c r="Z170" s="235"/>
      <c r="AA170" s="885">
        <v>0</v>
      </c>
      <c r="AB170" s="260">
        <v>0</v>
      </c>
      <c r="AC170" s="125">
        <f t="shared" si="180"/>
        <v>0</v>
      </c>
      <c r="AD170" s="778"/>
      <c r="AE170" s="885">
        <v>0</v>
      </c>
      <c r="AF170" s="219">
        <v>0</v>
      </c>
      <c r="AG170" s="172">
        <f t="shared" si="161"/>
        <v>0</v>
      </c>
      <c r="AH170" s="235"/>
      <c r="AI170" s="885">
        <v>0</v>
      </c>
      <c r="AJ170" s="683">
        <v>0</v>
      </c>
      <c r="AK170" s="172">
        <f t="shared" si="162"/>
        <v>0</v>
      </c>
      <c r="AL170" s="778"/>
      <c r="AM170" s="885">
        <v>0</v>
      </c>
      <c r="AN170" s="683">
        <v>0</v>
      </c>
      <c r="AO170" s="172">
        <f t="shared" si="163"/>
        <v>0</v>
      </c>
      <c r="AP170" s="327"/>
      <c r="AQ170" s="885">
        <v>0</v>
      </c>
      <c r="AR170" s="260"/>
      <c r="AS170" s="684">
        <f t="shared" si="164"/>
        <v>0</v>
      </c>
      <c r="AT170" s="778"/>
      <c r="AU170" s="885">
        <v>0</v>
      </c>
      <c r="AV170" s="683"/>
      <c r="AW170" s="131">
        <f t="shared" si="181"/>
        <v>0</v>
      </c>
      <c r="AX170" s="778"/>
      <c r="AY170" s="459">
        <f t="shared" si="175"/>
        <v>0</v>
      </c>
      <c r="AZ170" s="368">
        <f t="shared" si="184"/>
        <v>142873.32999999999</v>
      </c>
      <c r="BA170" s="118"/>
    </row>
    <row r="171" spans="1:55" s="119" customFormat="1" ht="18" customHeight="1" thickBot="1" x14ac:dyDescent="0.3">
      <c r="A171" s="178">
        <v>32937</v>
      </c>
      <c r="B171" s="180" t="s">
        <v>95</v>
      </c>
      <c r="C171" s="904">
        <v>24000</v>
      </c>
      <c r="D171" s="91">
        <v>20341.04</v>
      </c>
      <c r="E171" s="250">
        <f t="shared" si="160"/>
        <v>-3658.9599999999991</v>
      </c>
      <c r="F171" s="1126">
        <f t="shared" si="156"/>
        <v>-15.245666666666668</v>
      </c>
      <c r="G171" s="1127">
        <v>24000</v>
      </c>
      <c r="H171" s="214">
        <v>19273.29</v>
      </c>
      <c r="I171" s="159">
        <f t="shared" si="176"/>
        <v>-4726.7099999999991</v>
      </c>
      <c r="J171" s="488">
        <f t="shared" si="165"/>
        <v>-19.694624999999998</v>
      </c>
      <c r="K171" s="883">
        <v>24000</v>
      </c>
      <c r="L171" s="159">
        <v>18421.8</v>
      </c>
      <c r="M171" s="182">
        <f t="shared" si="177"/>
        <v>-5578.2000000000007</v>
      </c>
      <c r="N171" s="248">
        <f t="shared" si="166"/>
        <v>-23.2425</v>
      </c>
      <c r="O171" s="883">
        <v>24000</v>
      </c>
      <c r="P171" s="182">
        <v>20837.400000000001</v>
      </c>
      <c r="Q171" s="182">
        <f>P171-O171</f>
        <v>-3162.5999999999985</v>
      </c>
      <c r="R171" s="248">
        <f>((P171/O171)-1)*100</f>
        <v>-13.177499999999998</v>
      </c>
      <c r="S171" s="883">
        <v>24000</v>
      </c>
      <c r="T171" s="159">
        <v>23582.55</v>
      </c>
      <c r="U171" s="182">
        <f t="shared" si="178"/>
        <v>-417.45000000000073</v>
      </c>
      <c r="V171" s="488">
        <f t="shared" si="167"/>
        <v>-1.7393749999999986</v>
      </c>
      <c r="W171" s="883">
        <v>24000</v>
      </c>
      <c r="X171" s="182">
        <v>26488.29</v>
      </c>
      <c r="Y171" s="159">
        <f t="shared" si="179"/>
        <v>2488.2900000000009</v>
      </c>
      <c r="Z171" s="248">
        <f t="shared" si="168"/>
        <v>10.367875000000005</v>
      </c>
      <c r="AA171" s="883">
        <v>24000</v>
      </c>
      <c r="AB171" s="990">
        <v>27510.44</v>
      </c>
      <c r="AC171" s="182">
        <f t="shared" si="180"/>
        <v>3510.4399999999987</v>
      </c>
      <c r="AD171" s="488">
        <f t="shared" si="169"/>
        <v>14.626833333333323</v>
      </c>
      <c r="AE171" s="883">
        <v>24000</v>
      </c>
      <c r="AF171" s="214">
        <v>30427.33</v>
      </c>
      <c r="AG171" s="182">
        <f t="shared" si="161"/>
        <v>6427.3300000000017</v>
      </c>
      <c r="AH171" s="248">
        <f t="shared" si="170"/>
        <v>26.780541666666679</v>
      </c>
      <c r="AI171" s="883">
        <v>24000</v>
      </c>
      <c r="AJ171" s="1128">
        <v>27063.16</v>
      </c>
      <c r="AK171" s="182">
        <f t="shared" si="162"/>
        <v>3063.16</v>
      </c>
      <c r="AL171" s="488">
        <f t="shared" si="171"/>
        <v>12.76316666666666</v>
      </c>
      <c r="AM171" s="883">
        <v>24000</v>
      </c>
      <c r="AN171" s="1128">
        <v>28156.53</v>
      </c>
      <c r="AO171" s="182">
        <f t="shared" si="163"/>
        <v>4156.5299999999988</v>
      </c>
      <c r="AP171" s="488">
        <f t="shared" si="172"/>
        <v>17.318874999999998</v>
      </c>
      <c r="AQ171" s="883">
        <v>24000</v>
      </c>
      <c r="AR171" s="990"/>
      <c r="AS171" s="159">
        <f t="shared" si="164"/>
        <v>-24000</v>
      </c>
      <c r="AT171" s="488">
        <f t="shared" si="173"/>
        <v>-100</v>
      </c>
      <c r="AU171" s="883">
        <v>24000</v>
      </c>
      <c r="AV171" s="1128"/>
      <c r="AW171" s="1128">
        <f t="shared" si="181"/>
        <v>-24000</v>
      </c>
      <c r="AX171" s="1129">
        <f t="shared" si="174"/>
        <v>-100</v>
      </c>
      <c r="AY171" s="1130">
        <f t="shared" si="175"/>
        <v>288000</v>
      </c>
      <c r="AZ171" s="867">
        <f>SUM(D171+H171+L171+P171+T171+X171+AB171+AF171+AJ171+AN171+AR171+AV171)</f>
        <v>242101.83000000002</v>
      </c>
      <c r="BA171" s="1105"/>
    </row>
    <row r="172" spans="1:55" s="119" customFormat="1" ht="18" customHeight="1" thickBot="1" x14ac:dyDescent="0.3">
      <c r="A172" s="161"/>
      <c r="C172" s="334"/>
      <c r="D172" s="414"/>
      <c r="E172" s="118"/>
      <c r="F172" s="12"/>
      <c r="H172" s="118"/>
      <c r="I172" s="118"/>
      <c r="M172" s="118"/>
      <c r="Q172" s="118"/>
      <c r="U172" s="118"/>
      <c r="BA172" s="118"/>
    </row>
    <row r="173" spans="1:55" s="551" customFormat="1" ht="18" customHeight="1" thickBot="1" x14ac:dyDescent="0.3">
      <c r="A173" s="557"/>
      <c r="B173" s="559" t="s">
        <v>172</v>
      </c>
      <c r="C173" s="478">
        <f>SUM(C174:C204)</f>
        <v>1138073</v>
      </c>
      <c r="D173" s="532">
        <f>SUM(D174:D204)</f>
        <v>986312.8</v>
      </c>
      <c r="E173" s="530">
        <f t="shared" ref="E173:E205" si="185">D173-C173</f>
        <v>-151760.19999999995</v>
      </c>
      <c r="F173" s="533">
        <f t="shared" ref="F173:F192" si="186">((D173/C173)-1)*100</f>
        <v>-13.334838802080352</v>
      </c>
      <c r="G173" s="534">
        <f>SUM(G174:G204)</f>
        <v>1138073</v>
      </c>
      <c r="H173" s="392">
        <f>SUM(H174:H204)</f>
        <v>1050012.1299999999</v>
      </c>
      <c r="I173" s="392">
        <f>H173-G173</f>
        <v>-88060.870000000112</v>
      </c>
      <c r="J173" s="562">
        <f>((H173/G173)-1)*100</f>
        <v>-7.7377171763147068</v>
      </c>
      <c r="K173" s="478">
        <f>SUM(K174:K204)</f>
        <v>1138073</v>
      </c>
      <c r="L173" s="392">
        <f>SUM(L174:L205)</f>
        <v>907662.8</v>
      </c>
      <c r="M173" s="392">
        <f>L173-K173</f>
        <v>-230410.19999999995</v>
      </c>
      <c r="N173" s="393">
        <f>((L173/K173)-1)*100</f>
        <v>-20.245643293532133</v>
      </c>
      <c r="O173" s="534">
        <f>SUM(O174:O203)</f>
        <v>1135473</v>
      </c>
      <c r="P173" s="392">
        <f>SUM(P174:P205)</f>
        <v>2387831.1699999995</v>
      </c>
      <c r="Q173" s="392">
        <f>P173-O173</f>
        <v>1252358.1699999995</v>
      </c>
      <c r="R173" s="562">
        <f>((P173/O173)-1)*100</f>
        <v>110.29396295640667</v>
      </c>
      <c r="S173" s="478">
        <f>SUM(S174:S204)</f>
        <v>1134573</v>
      </c>
      <c r="T173" s="392">
        <f>SUM(T174:T204)</f>
        <v>2439993.2199999997</v>
      </c>
      <c r="U173" s="392">
        <f>T173-S173</f>
        <v>1305420.2199999997</v>
      </c>
      <c r="V173" s="393">
        <f>((T173/S173)-1)*100</f>
        <v>115.05828360096703</v>
      </c>
      <c r="W173" s="478">
        <f>SUM(W174:W204)</f>
        <v>1134573</v>
      </c>
      <c r="X173" s="392">
        <f>SUM(X174:X204)</f>
        <v>3133319.919999999</v>
      </c>
      <c r="Y173" s="392">
        <f>X173-W173</f>
        <v>1998746.919999999</v>
      </c>
      <c r="Z173" s="393">
        <f>((X173/W173)-1)*100</f>
        <v>176.16732638622628</v>
      </c>
      <c r="AA173" s="534">
        <f>SUM(AA174:AA203)</f>
        <v>1085473</v>
      </c>
      <c r="AB173" s="392">
        <f>SUM(AB174:AB204)</f>
        <v>2489904.4000000004</v>
      </c>
      <c r="AC173" s="392">
        <f>AB173-AA173</f>
        <v>1404431.4000000004</v>
      </c>
      <c r="AD173" s="562">
        <f>((AB173/AA173)-1)*100</f>
        <v>129.38427763749081</v>
      </c>
      <c r="AE173" s="478">
        <f>SUM(AE174:AE203)</f>
        <v>1085473</v>
      </c>
      <c r="AF173" s="392">
        <f>SUM(AF174:AF204)</f>
        <v>2689821.9799999991</v>
      </c>
      <c r="AG173" s="392">
        <f>AF173-AE173</f>
        <v>1604348.9799999991</v>
      </c>
      <c r="AH173" s="393">
        <f>((AF173/AE173)-1)*100</f>
        <v>147.80183201240371</v>
      </c>
      <c r="AI173" s="395">
        <f>SUM(AI174:AI203)</f>
        <v>1085473</v>
      </c>
      <c r="AJ173" s="396">
        <f>SUM(AJ174:AJ205)</f>
        <v>2839778.1799999997</v>
      </c>
      <c r="AK173" s="392">
        <f>AJ173-AI173</f>
        <v>1754305.1799999997</v>
      </c>
      <c r="AL173" s="562">
        <f>((AJ173/AI173)-1)*100</f>
        <v>161.61665743873868</v>
      </c>
      <c r="AM173" s="487">
        <f>SUM(AM174:AM203)</f>
        <v>1085473</v>
      </c>
      <c r="AN173" s="396">
        <f>SUM(AN174:AN205)</f>
        <v>1763975.7599999998</v>
      </c>
      <c r="AO173" s="392">
        <f>AN173-AM173</f>
        <v>678502.75999999978</v>
      </c>
      <c r="AP173" s="393">
        <f>((AN173/AM173)-1)*100</f>
        <v>62.507566747399501</v>
      </c>
      <c r="AQ173" s="395">
        <f>SUM(AQ174:AQ203)</f>
        <v>1085473</v>
      </c>
      <c r="AR173" s="396">
        <f>SUM(AR174:AR203)</f>
        <v>0</v>
      </c>
      <c r="AS173" s="392">
        <f>AR173-AQ173</f>
        <v>-1085473</v>
      </c>
      <c r="AT173" s="562">
        <f>((AR173/AQ173)-1)*100</f>
        <v>-100</v>
      </c>
      <c r="AU173" s="487">
        <f>SUM(AU174:AU203)</f>
        <v>1085473</v>
      </c>
      <c r="AV173" s="396">
        <f>SUM(AV174:AV203)</f>
        <v>0</v>
      </c>
      <c r="AW173" s="392">
        <f>AV173-AU173</f>
        <v>-1085473</v>
      </c>
      <c r="AX173" s="393">
        <f>((AV173/AU173)-1)*100</f>
        <v>-100</v>
      </c>
      <c r="AY173" s="487">
        <f>C173+G173+K173+O173+S173+W173+AA173+AE173+AI173+AM173+AQ173+AU173</f>
        <v>13331676</v>
      </c>
      <c r="AZ173" s="397">
        <f>SUM(D173+H173+L173+P173+T173+X173+AB173+AF173+AJ173+AN173+AR173+AV173)</f>
        <v>20688612.359999999</v>
      </c>
      <c r="BA173" s="118"/>
    </row>
    <row r="174" spans="1:55" s="119" customFormat="1" ht="18" customHeight="1" x14ac:dyDescent="0.25">
      <c r="A174" s="170" t="s">
        <v>96</v>
      </c>
      <c r="B174" s="189" t="s">
        <v>97</v>
      </c>
      <c r="C174" s="439">
        <v>185000</v>
      </c>
      <c r="D174" s="99">
        <f>138991.43+41809.3</f>
        <v>180800.72999999998</v>
      </c>
      <c r="E174" s="489">
        <f t="shared" si="185"/>
        <v>-4199.2700000000186</v>
      </c>
      <c r="F174" s="445">
        <f t="shared" si="186"/>
        <v>-2.269875675675681</v>
      </c>
      <c r="G174" s="100">
        <v>185000</v>
      </c>
      <c r="H174" s="99">
        <f>145873.13+41809.29</f>
        <v>187682.42</v>
      </c>
      <c r="I174" s="99">
        <f>H174-G174</f>
        <v>2682.4200000000128</v>
      </c>
      <c r="J174" s="446">
        <f>((H174/G174)-1)*100</f>
        <v>1.4499567567567651</v>
      </c>
      <c r="K174" s="439">
        <v>185000</v>
      </c>
      <c r="L174" s="99">
        <v>186619.74</v>
      </c>
      <c r="M174" s="99">
        <f>L174-K174</f>
        <v>1619.7399999999907</v>
      </c>
      <c r="N174" s="447">
        <f>((L174/K174)-1)*100</f>
        <v>0.87553513513511927</v>
      </c>
      <c r="O174" s="439">
        <v>185000</v>
      </c>
      <c r="P174" s="99">
        <v>184032.55</v>
      </c>
      <c r="Q174" s="99">
        <f>P174-O174</f>
        <v>-967.45000000001164</v>
      </c>
      <c r="R174" s="446">
        <f>((P174/O174)-1)*100</f>
        <v>-0.52294594594595178</v>
      </c>
      <c r="S174" s="439">
        <v>185000</v>
      </c>
      <c r="T174" s="99">
        <v>185558.23</v>
      </c>
      <c r="U174" s="99">
        <f>T174-S174</f>
        <v>558.23000000001048</v>
      </c>
      <c r="V174" s="447">
        <f>((T174/S174)-1)*100</f>
        <v>0.30174594594594151</v>
      </c>
      <c r="W174" s="439">
        <v>185000</v>
      </c>
      <c r="X174" s="137">
        <v>192805.12</v>
      </c>
      <c r="Y174" s="99">
        <f>X174-W174</f>
        <v>7805.1199999999953</v>
      </c>
      <c r="Z174" s="447">
        <f>((X174/W174)-1)*100</f>
        <v>4.2189837837837807</v>
      </c>
      <c r="AA174" s="439">
        <v>185000</v>
      </c>
      <c r="AB174" s="440">
        <v>209979.77</v>
      </c>
      <c r="AC174" s="99">
        <f>AB174-AA174</f>
        <v>24979.76999999999</v>
      </c>
      <c r="AD174" s="446">
        <f>((AB174/AA174)-1)*100</f>
        <v>13.502578378378383</v>
      </c>
      <c r="AE174" s="439">
        <v>185000</v>
      </c>
      <c r="AF174" s="439">
        <v>210347.7</v>
      </c>
      <c r="AG174" s="96">
        <f t="shared" ref="AG174:AG194" si="187">AF174-AE174</f>
        <v>25347.700000000012</v>
      </c>
      <c r="AH174" s="447">
        <f>((AF174/AE174)-1)*100</f>
        <v>13.701459459459464</v>
      </c>
      <c r="AI174" s="439">
        <v>185000</v>
      </c>
      <c r="AJ174" s="45">
        <v>211388.19</v>
      </c>
      <c r="AK174" s="96">
        <f t="shared" ref="AK174:AK205" si="188">AJ174-AI174</f>
        <v>26388.190000000002</v>
      </c>
      <c r="AL174" s="446">
        <f>((AJ174/AI174)-1)*100</f>
        <v>14.263886486486488</v>
      </c>
      <c r="AM174" s="439">
        <v>185000</v>
      </c>
      <c r="AN174" s="45">
        <v>206637.87</v>
      </c>
      <c r="AO174" s="96">
        <f t="shared" ref="AO174:AO204" si="189">AN174-AM174</f>
        <v>21637.869999999995</v>
      </c>
      <c r="AP174" s="448">
        <f>((AN174/AM174)-1)*100</f>
        <v>11.696145945945947</v>
      </c>
      <c r="AQ174" s="439">
        <v>185000</v>
      </c>
      <c r="AR174" s="440"/>
      <c r="AS174" s="96">
        <f t="shared" ref="AS174:AS204" si="190">AR174-AQ174</f>
        <v>-185000</v>
      </c>
      <c r="AT174" s="449">
        <f>((AR174/AQ174)-1)*100</f>
        <v>-100</v>
      </c>
      <c r="AU174" s="439">
        <v>185000</v>
      </c>
      <c r="AV174" s="45"/>
      <c r="AW174" s="99">
        <f>AV174-AU174</f>
        <v>-185000</v>
      </c>
      <c r="AX174" s="448">
        <f>((AV174/AU174)-1)*100</f>
        <v>-100</v>
      </c>
      <c r="AY174" s="1131">
        <f>C174+G174+K174+O174+S174+W174+AA174+AE174+AI174+AM174+AQ174+AU174</f>
        <v>2220000</v>
      </c>
      <c r="AZ174" s="194">
        <f t="shared" ref="AZ174:AZ205" si="191">SUM(D174+H174+L174+P174+T174+X174+AB174+AF174+AJ174+AN174+AR174+AV174)</f>
        <v>1955852.3199999998</v>
      </c>
      <c r="BA174" s="118"/>
      <c r="BB174" s="805"/>
      <c r="BC174" s="804"/>
    </row>
    <row r="175" spans="1:55" s="119" customFormat="1" ht="18" customHeight="1" x14ac:dyDescent="0.25">
      <c r="A175" s="170">
        <v>33736</v>
      </c>
      <c r="B175" s="152" t="s">
        <v>98</v>
      </c>
      <c r="C175" s="212">
        <v>33000</v>
      </c>
      <c r="D175" s="87">
        <v>32771.47</v>
      </c>
      <c r="E175" s="490">
        <f t="shared" si="185"/>
        <v>-228.52999999999884</v>
      </c>
      <c r="F175" s="450">
        <f t="shared" si="186"/>
        <v>-0.69251515151514953</v>
      </c>
      <c r="G175" s="86">
        <v>33000</v>
      </c>
      <c r="H175" s="87">
        <v>32771.47</v>
      </c>
      <c r="I175" s="451">
        <f>H175-G175</f>
        <v>-228.52999999999884</v>
      </c>
      <c r="J175" s="452">
        <f t="shared" ref="J175:J202" si="192">((H175/G175)-1)*100</f>
        <v>-0.69251515151514953</v>
      </c>
      <c r="K175" s="440">
        <v>33000</v>
      </c>
      <c r="L175" s="87">
        <v>32771.47</v>
      </c>
      <c r="M175" s="451">
        <f>L175-K175</f>
        <v>-228.52999999999884</v>
      </c>
      <c r="N175" s="453">
        <f t="shared" ref="N175:N196" si="193">((L175/K175)-1)*100</f>
        <v>-0.69251515151514953</v>
      </c>
      <c r="O175" s="440">
        <v>33000</v>
      </c>
      <c r="P175" s="87">
        <v>32771.47</v>
      </c>
      <c r="Q175" s="451">
        <f>P175-O175</f>
        <v>-228.52999999999884</v>
      </c>
      <c r="R175" s="452">
        <f t="shared" ref="R175:R202" si="194">((P175/O175)-1)*100</f>
        <v>-0.69251515151514953</v>
      </c>
      <c r="S175" s="440">
        <v>33000</v>
      </c>
      <c r="T175" s="87">
        <v>32943.589999999997</v>
      </c>
      <c r="U175" s="451">
        <f>T175-S175</f>
        <v>-56.410000000003492</v>
      </c>
      <c r="V175" s="453">
        <f t="shared" ref="V175:V202" si="195">((T175/S175)-1)*100</f>
        <v>-0.1709393939394066</v>
      </c>
      <c r="W175" s="440">
        <v>33000</v>
      </c>
      <c r="X175" s="137">
        <v>32969.089999999997</v>
      </c>
      <c r="Y175" s="451">
        <f>X175-W175</f>
        <v>-30.910000000003492</v>
      </c>
      <c r="Z175" s="453">
        <f t="shared" ref="Z175:Z199" si="196">((X175/W175)-1)*100</f>
        <v>-9.3666666666680776E-2</v>
      </c>
      <c r="AA175" s="440">
        <v>33000</v>
      </c>
      <c r="AB175" s="440">
        <v>32946.089999999997</v>
      </c>
      <c r="AC175" s="451">
        <f>AB175-AA175</f>
        <v>-53.910000000003492</v>
      </c>
      <c r="AD175" s="452">
        <f t="shared" ref="AD175:AD194" si="197">((AB175/AA175)-1)*100</f>
        <v>-0.16336363636364482</v>
      </c>
      <c r="AE175" s="440">
        <v>33000</v>
      </c>
      <c r="AF175" s="440">
        <v>32946.089999999997</v>
      </c>
      <c r="AG175" s="96">
        <f t="shared" si="187"/>
        <v>-53.910000000003492</v>
      </c>
      <c r="AH175" s="453">
        <f t="shared" ref="AH175:AH194" si="198">((AF175/AE175)-1)*100</f>
        <v>-0.16336363636364482</v>
      </c>
      <c r="AI175" s="440">
        <v>33000</v>
      </c>
      <c r="AJ175" s="46">
        <v>32946.089999999997</v>
      </c>
      <c r="AK175" s="96">
        <f t="shared" si="188"/>
        <v>-53.910000000003492</v>
      </c>
      <c r="AL175" s="452">
        <f t="shared" ref="AL175:AL194" si="199">((AJ175/AI175)-1)*100</f>
        <v>-0.16336363636364482</v>
      </c>
      <c r="AM175" s="440">
        <v>33000</v>
      </c>
      <c r="AN175" s="46">
        <v>32710.93</v>
      </c>
      <c r="AO175" s="96">
        <f t="shared" si="189"/>
        <v>-289.06999999999971</v>
      </c>
      <c r="AP175" s="448">
        <f t="shared" ref="AP175:AP194" si="200">((AN175/AM175)-1)*100</f>
        <v>-0.87596969696969174</v>
      </c>
      <c r="AQ175" s="440">
        <v>33000</v>
      </c>
      <c r="AR175" s="440"/>
      <c r="AS175" s="96">
        <f t="shared" si="190"/>
        <v>-33000</v>
      </c>
      <c r="AT175" s="449">
        <f t="shared" ref="AT175:AT202" si="201">((AR175/AQ175)-1)*100</f>
        <v>-100</v>
      </c>
      <c r="AU175" s="440">
        <v>33000</v>
      </c>
      <c r="AV175" s="46"/>
      <c r="AW175" s="87">
        <f>AV175-AU175</f>
        <v>-33000</v>
      </c>
      <c r="AX175" s="448">
        <f t="shared" ref="AX175:AX202" si="202">((AV175/AU175)-1)*100</f>
        <v>-100</v>
      </c>
      <c r="AY175" s="1131">
        <f t="shared" ref="AY175:AY205" si="203">C175+G175+K175+O175+S175+W175+AA175+AE175+AI175+AM175+AQ175+AU175</f>
        <v>396000</v>
      </c>
      <c r="AZ175" s="188">
        <f t="shared" si="191"/>
        <v>328547.75999999995</v>
      </c>
      <c r="BA175" s="118"/>
      <c r="BB175" s="805"/>
      <c r="BC175" s="804"/>
    </row>
    <row r="176" spans="1:55" s="119" customFormat="1" ht="18" customHeight="1" x14ac:dyDescent="0.25">
      <c r="A176" s="170">
        <v>11761</v>
      </c>
      <c r="B176" s="152" t="s">
        <v>99</v>
      </c>
      <c r="C176" s="212">
        <v>8000</v>
      </c>
      <c r="D176" s="87">
        <v>7341.6</v>
      </c>
      <c r="E176" s="893">
        <f t="shared" si="185"/>
        <v>-658.39999999999964</v>
      </c>
      <c r="F176" s="450">
        <f t="shared" si="186"/>
        <v>-8.2299999999999933</v>
      </c>
      <c r="G176" s="86">
        <v>8000</v>
      </c>
      <c r="H176" s="87">
        <v>7341.6</v>
      </c>
      <c r="I176" s="87">
        <f>H176-G176</f>
        <v>-658.39999999999964</v>
      </c>
      <c r="J176" s="452">
        <f t="shared" si="192"/>
        <v>-8.2299999999999933</v>
      </c>
      <c r="K176" s="440">
        <v>8000</v>
      </c>
      <c r="L176" s="87">
        <v>7341.6</v>
      </c>
      <c r="M176" s="87">
        <f>L176-K176</f>
        <v>-658.39999999999964</v>
      </c>
      <c r="N176" s="453">
        <f t="shared" si="193"/>
        <v>-8.2299999999999933</v>
      </c>
      <c r="O176" s="440">
        <v>8000</v>
      </c>
      <c r="P176" s="87">
        <v>7341.6</v>
      </c>
      <c r="Q176" s="87">
        <f>P176-O176</f>
        <v>-658.39999999999964</v>
      </c>
      <c r="R176" s="452">
        <f t="shared" si="194"/>
        <v>-8.2299999999999933</v>
      </c>
      <c r="S176" s="440">
        <v>8000</v>
      </c>
      <c r="T176" s="87">
        <v>7341.6</v>
      </c>
      <c r="U176" s="87">
        <f>T176-S176</f>
        <v>-658.39999999999964</v>
      </c>
      <c r="V176" s="453">
        <f t="shared" si="195"/>
        <v>-8.2299999999999933</v>
      </c>
      <c r="W176" s="440">
        <v>8000</v>
      </c>
      <c r="X176" s="137">
        <v>7341.61</v>
      </c>
      <c r="Y176" s="87">
        <f>X176-W176</f>
        <v>-658.39000000000033</v>
      </c>
      <c r="Z176" s="453">
        <f t="shared" si="196"/>
        <v>-8.2298750000000087</v>
      </c>
      <c r="AA176" s="440">
        <v>8000</v>
      </c>
      <c r="AB176" s="440">
        <v>7341.61</v>
      </c>
      <c r="AC176" s="87">
        <f>AB176-AA176</f>
        <v>-658.39000000000033</v>
      </c>
      <c r="AD176" s="452">
        <f t="shared" si="197"/>
        <v>-8.2298750000000087</v>
      </c>
      <c r="AE176" s="440">
        <v>8000</v>
      </c>
      <c r="AF176" s="440">
        <v>7341.61</v>
      </c>
      <c r="AG176" s="96">
        <f t="shared" si="187"/>
        <v>-658.39000000000033</v>
      </c>
      <c r="AH176" s="453">
        <f t="shared" si="198"/>
        <v>-8.2298750000000087</v>
      </c>
      <c r="AI176" s="440">
        <v>8000</v>
      </c>
      <c r="AJ176" s="46">
        <v>7341.61</v>
      </c>
      <c r="AK176" s="96">
        <f t="shared" si="188"/>
        <v>-658.39000000000033</v>
      </c>
      <c r="AL176" s="452">
        <f t="shared" si="199"/>
        <v>-8.2298750000000087</v>
      </c>
      <c r="AM176" s="440">
        <v>8000</v>
      </c>
      <c r="AN176" s="46">
        <v>7341.61</v>
      </c>
      <c r="AO176" s="96">
        <f t="shared" si="189"/>
        <v>-658.39000000000033</v>
      </c>
      <c r="AP176" s="448">
        <f t="shared" si="200"/>
        <v>-8.2298750000000087</v>
      </c>
      <c r="AQ176" s="440">
        <v>8000</v>
      </c>
      <c r="AR176" s="440"/>
      <c r="AS176" s="96">
        <f t="shared" si="190"/>
        <v>-8000</v>
      </c>
      <c r="AT176" s="449">
        <f t="shared" si="201"/>
        <v>-100</v>
      </c>
      <c r="AU176" s="440">
        <v>8000</v>
      </c>
      <c r="AV176" s="46"/>
      <c r="AW176" s="87">
        <f t="shared" ref="AW176:AW204" si="204">AV176-AU176</f>
        <v>-8000</v>
      </c>
      <c r="AX176" s="448">
        <f t="shared" si="202"/>
        <v>-100</v>
      </c>
      <c r="AY176" s="1131">
        <f t="shared" si="203"/>
        <v>96000</v>
      </c>
      <c r="AZ176" s="188">
        <f t="shared" si="191"/>
        <v>73416.05</v>
      </c>
      <c r="BA176" s="118"/>
      <c r="BB176" s="805"/>
      <c r="BC176" s="804"/>
    </row>
    <row r="177" spans="1:55" s="119" customFormat="1" ht="18" customHeight="1" x14ac:dyDescent="0.25">
      <c r="A177" s="170" t="s">
        <v>100</v>
      </c>
      <c r="B177" s="152" t="s">
        <v>102</v>
      </c>
      <c r="C177" s="212">
        <v>3500</v>
      </c>
      <c r="D177" s="87">
        <f>14.88+62.8</f>
        <v>77.679999999999993</v>
      </c>
      <c r="E177" s="893">
        <f t="shared" si="185"/>
        <v>-3422.32</v>
      </c>
      <c r="F177" s="450">
        <f t="shared" si="186"/>
        <v>-97.780571428571434</v>
      </c>
      <c r="G177" s="86">
        <v>3500</v>
      </c>
      <c r="H177" s="87">
        <v>0</v>
      </c>
      <c r="I177" s="87">
        <f t="shared" ref="I177:I205" si="205">H177-G177</f>
        <v>-3500</v>
      </c>
      <c r="J177" s="452">
        <f t="shared" si="192"/>
        <v>-100</v>
      </c>
      <c r="K177" s="440">
        <v>3500</v>
      </c>
      <c r="L177" s="87">
        <v>14.88</v>
      </c>
      <c r="M177" s="87">
        <f t="shared" ref="M177:M202" si="206">L177-K177</f>
        <v>-3485.12</v>
      </c>
      <c r="N177" s="453">
        <f t="shared" si="193"/>
        <v>-99.574857142857141</v>
      </c>
      <c r="O177" s="440">
        <v>0</v>
      </c>
      <c r="P177" s="87">
        <v>4601.3500000000004</v>
      </c>
      <c r="Q177" s="87">
        <f t="shared" ref="Q177:Q205" si="207">P177-O177</f>
        <v>4601.3500000000004</v>
      </c>
      <c r="R177" s="452"/>
      <c r="S177" s="440">
        <v>0</v>
      </c>
      <c r="T177" s="87">
        <v>4039.26</v>
      </c>
      <c r="U177" s="87">
        <f t="shared" ref="U177:U205" si="208">T177-S177</f>
        <v>4039.26</v>
      </c>
      <c r="V177" s="453"/>
      <c r="W177" s="440">
        <v>0</v>
      </c>
      <c r="X177" s="137">
        <v>273.24</v>
      </c>
      <c r="Y177" s="87">
        <f t="shared" ref="Y177:Y204" si="209">X177-W177</f>
        <v>273.24</v>
      </c>
      <c r="Z177" s="453"/>
      <c r="AA177" s="440">
        <v>0</v>
      </c>
      <c r="AB177" s="440">
        <v>572.16</v>
      </c>
      <c r="AC177" s="87">
        <f t="shared" ref="AC177:AC194" si="210">AB177-AA177</f>
        <v>572.16</v>
      </c>
      <c r="AD177" s="452"/>
      <c r="AE177" s="440">
        <v>0</v>
      </c>
      <c r="AF177" s="440">
        <v>55.48</v>
      </c>
      <c r="AG177" s="96">
        <f t="shared" si="187"/>
        <v>55.48</v>
      </c>
      <c r="AH177" s="453"/>
      <c r="AI177" s="440">
        <v>0</v>
      </c>
      <c r="AJ177" s="46">
        <v>1099.17</v>
      </c>
      <c r="AK177" s="96">
        <f t="shared" si="188"/>
        <v>1099.17</v>
      </c>
      <c r="AL177" s="452"/>
      <c r="AM177" s="440">
        <v>0</v>
      </c>
      <c r="AN177" s="46">
        <v>669.5</v>
      </c>
      <c r="AO177" s="96">
        <f t="shared" si="189"/>
        <v>669.5</v>
      </c>
      <c r="AP177" s="448"/>
      <c r="AQ177" s="440">
        <v>0</v>
      </c>
      <c r="AR177" s="440"/>
      <c r="AS177" s="96">
        <f t="shared" si="190"/>
        <v>0</v>
      </c>
      <c r="AT177" s="449"/>
      <c r="AU177" s="440">
        <v>0</v>
      </c>
      <c r="AV177" s="46"/>
      <c r="AW177" s="87">
        <f t="shared" si="204"/>
        <v>0</v>
      </c>
      <c r="AX177" s="448"/>
      <c r="AY177" s="1131">
        <f t="shared" si="203"/>
        <v>10500</v>
      </c>
      <c r="AZ177" s="188">
        <f t="shared" si="191"/>
        <v>11402.720000000001</v>
      </c>
      <c r="BA177" s="118"/>
      <c r="BB177" s="805"/>
      <c r="BC177" s="804"/>
    </row>
    <row r="178" spans="1:55" s="119" customFormat="1" ht="31.5" x14ac:dyDescent="0.25">
      <c r="A178" s="170" t="s">
        <v>138</v>
      </c>
      <c r="B178" s="152" t="s">
        <v>214</v>
      </c>
      <c r="C178" s="212">
        <v>7000</v>
      </c>
      <c r="D178" s="87">
        <f>34.25+-338.84+-66.95+-96.88+0</f>
        <v>-468.41999999999996</v>
      </c>
      <c r="E178" s="893">
        <f t="shared" si="185"/>
        <v>-7468.42</v>
      </c>
      <c r="F178" s="450">
        <f t="shared" si="186"/>
        <v>-106.69171428571428</v>
      </c>
      <c r="G178" s="440">
        <v>7000</v>
      </c>
      <c r="H178" s="87">
        <f>-2547.59+-2226.3+17.66+82.77+192.83</f>
        <v>-4480.63</v>
      </c>
      <c r="I178" s="87">
        <f t="shared" si="205"/>
        <v>-11480.630000000001</v>
      </c>
      <c r="J178" s="452">
        <f t="shared" si="192"/>
        <v>-164.00900000000001</v>
      </c>
      <c r="K178" s="440">
        <v>7000</v>
      </c>
      <c r="L178" s="87">
        <v>895.41</v>
      </c>
      <c r="M178" s="87">
        <f t="shared" si="206"/>
        <v>-6104.59</v>
      </c>
      <c r="N178" s="453">
        <f t="shared" si="193"/>
        <v>-87.20842857142857</v>
      </c>
      <c r="O178" s="440">
        <v>7000</v>
      </c>
      <c r="P178" s="87">
        <v>1536.9</v>
      </c>
      <c r="Q178" s="87">
        <f t="shared" si="207"/>
        <v>-5463.1</v>
      </c>
      <c r="R178" s="452">
        <f t="shared" si="194"/>
        <v>-78.044285714285706</v>
      </c>
      <c r="S178" s="440">
        <v>7000</v>
      </c>
      <c r="T178" s="87">
        <v>560.89</v>
      </c>
      <c r="U178" s="87">
        <f t="shared" si="208"/>
        <v>-6439.11</v>
      </c>
      <c r="V178" s="453">
        <f t="shared" si="195"/>
        <v>-91.987285714285719</v>
      </c>
      <c r="W178" s="440">
        <v>7000</v>
      </c>
      <c r="X178" s="137">
        <v>926.94</v>
      </c>
      <c r="Y178" s="87">
        <f t="shared" si="209"/>
        <v>-6073.0599999999995</v>
      </c>
      <c r="Z178" s="453">
        <f t="shared" si="196"/>
        <v>-86.757999999999996</v>
      </c>
      <c r="AA178" s="440">
        <v>7000</v>
      </c>
      <c r="AB178" s="440">
        <v>1200.02</v>
      </c>
      <c r="AC178" s="87">
        <f t="shared" si="210"/>
        <v>-5799.98</v>
      </c>
      <c r="AD178" s="452">
        <f t="shared" si="197"/>
        <v>-82.856857142857137</v>
      </c>
      <c r="AE178" s="440">
        <v>7000</v>
      </c>
      <c r="AF178" s="440">
        <v>4441.6099999999997</v>
      </c>
      <c r="AG178" s="96">
        <f t="shared" si="187"/>
        <v>-2558.3900000000003</v>
      </c>
      <c r="AH178" s="453">
        <f t="shared" si="198"/>
        <v>-36.548428571428573</v>
      </c>
      <c r="AI178" s="440">
        <v>7000</v>
      </c>
      <c r="AJ178" s="46">
        <v>1897.15</v>
      </c>
      <c r="AK178" s="96">
        <f t="shared" si="188"/>
        <v>-5102.8500000000004</v>
      </c>
      <c r="AL178" s="452">
        <f t="shared" si="199"/>
        <v>-72.897857142857148</v>
      </c>
      <c r="AM178" s="440">
        <v>7000</v>
      </c>
      <c r="AN178" s="46">
        <v>1585.76</v>
      </c>
      <c r="AO178" s="96">
        <f t="shared" si="189"/>
        <v>-5414.24</v>
      </c>
      <c r="AP178" s="448">
        <f t="shared" si="200"/>
        <v>-77.346285714285713</v>
      </c>
      <c r="AQ178" s="440">
        <v>7000</v>
      </c>
      <c r="AR178" s="440"/>
      <c r="AS178" s="96">
        <f t="shared" si="190"/>
        <v>-7000</v>
      </c>
      <c r="AT178" s="449">
        <f t="shared" si="201"/>
        <v>-100</v>
      </c>
      <c r="AU178" s="440">
        <v>7000</v>
      </c>
      <c r="AV178" s="46"/>
      <c r="AW178" s="87">
        <f t="shared" si="204"/>
        <v>-7000</v>
      </c>
      <c r="AX178" s="448">
        <f t="shared" si="202"/>
        <v>-100</v>
      </c>
      <c r="AY178" s="1131">
        <f t="shared" si="203"/>
        <v>84000</v>
      </c>
      <c r="AZ178" s="111">
        <f t="shared" si="191"/>
        <v>8095.6299999999992</v>
      </c>
      <c r="BA178" s="118"/>
      <c r="BB178" s="805"/>
      <c r="BC178" s="804"/>
    </row>
    <row r="179" spans="1:55" s="119" customFormat="1" ht="31.5" x14ac:dyDescent="0.25">
      <c r="A179" s="170" t="s">
        <v>3637</v>
      </c>
      <c r="B179" s="152" t="s">
        <v>216</v>
      </c>
      <c r="C179" s="212">
        <v>670000</v>
      </c>
      <c r="D179" s="87">
        <f>457.97+1586.66+472850.06+22303.65</f>
        <v>497198.34</v>
      </c>
      <c r="E179" s="893">
        <f t="shared" si="185"/>
        <v>-172801.65999999997</v>
      </c>
      <c r="F179" s="450">
        <f t="shared" si="186"/>
        <v>-25.791292537313424</v>
      </c>
      <c r="G179" s="440">
        <v>670000</v>
      </c>
      <c r="H179" s="87">
        <f>8031.88+685.33+525266.89+20188.85</f>
        <v>554172.94999999995</v>
      </c>
      <c r="I179" s="87">
        <f t="shared" si="205"/>
        <v>-115827.05000000005</v>
      </c>
      <c r="J179" s="452">
        <f t="shared" si="192"/>
        <v>-17.287619402985076</v>
      </c>
      <c r="K179" s="440">
        <v>670000</v>
      </c>
      <c r="L179" s="87">
        <v>394003.09</v>
      </c>
      <c r="M179" s="87">
        <f t="shared" si="206"/>
        <v>-275996.90999999997</v>
      </c>
      <c r="N179" s="453">
        <f t="shared" si="193"/>
        <v>-41.193568656716415</v>
      </c>
      <c r="O179" s="440">
        <v>670000</v>
      </c>
      <c r="P179" s="87">
        <f>471008.3+1267046</f>
        <v>1738054.3</v>
      </c>
      <c r="Q179" s="87">
        <f t="shared" si="207"/>
        <v>1068054.3</v>
      </c>
      <c r="R179" s="452">
        <f t="shared" si="194"/>
        <v>159.41108955223879</v>
      </c>
      <c r="S179" s="440">
        <v>670000</v>
      </c>
      <c r="T179" s="87">
        <f>566871.7+1374767</f>
        <v>1941638.7</v>
      </c>
      <c r="U179" s="87">
        <f t="shared" si="208"/>
        <v>1271638.7</v>
      </c>
      <c r="V179" s="453">
        <f t="shared" si="195"/>
        <v>189.79682089552239</v>
      </c>
      <c r="W179" s="440">
        <v>670000</v>
      </c>
      <c r="X179" s="137">
        <v>2664156.09</v>
      </c>
      <c r="Y179" s="87">
        <f t="shared" si="209"/>
        <v>1994156.0899999999</v>
      </c>
      <c r="Z179" s="453">
        <f t="shared" si="196"/>
        <v>297.63523731343281</v>
      </c>
      <c r="AA179" s="440">
        <v>670000</v>
      </c>
      <c r="AB179" s="440">
        <v>1915920.85</v>
      </c>
      <c r="AC179" s="984">
        <f t="shared" si="210"/>
        <v>1245920.8500000001</v>
      </c>
      <c r="AD179" s="452">
        <f t="shared" si="197"/>
        <v>185.95833582089551</v>
      </c>
      <c r="AE179" s="440">
        <v>670000</v>
      </c>
      <c r="AF179" s="440">
        <v>2127578.65</v>
      </c>
      <c r="AG179" s="96">
        <f t="shared" si="187"/>
        <v>1457578.65</v>
      </c>
      <c r="AH179" s="453">
        <f t="shared" si="198"/>
        <v>217.54905223880593</v>
      </c>
      <c r="AI179" s="440">
        <v>670000</v>
      </c>
      <c r="AJ179" s="46">
        <v>2189559.71</v>
      </c>
      <c r="AK179" s="96">
        <f t="shared" si="188"/>
        <v>1519559.71</v>
      </c>
      <c r="AL179" s="452">
        <f t="shared" si="199"/>
        <v>226.79995671641788</v>
      </c>
      <c r="AM179" s="440">
        <v>670000</v>
      </c>
      <c r="AN179" s="46">
        <v>1230745.3</v>
      </c>
      <c r="AO179" s="96">
        <f t="shared" si="189"/>
        <v>560745.30000000005</v>
      </c>
      <c r="AP179" s="448">
        <f t="shared" si="200"/>
        <v>83.693328358208959</v>
      </c>
      <c r="AQ179" s="440">
        <v>670000</v>
      </c>
      <c r="AR179" s="440"/>
      <c r="AS179" s="96">
        <f t="shared" si="190"/>
        <v>-670000</v>
      </c>
      <c r="AT179" s="449">
        <f t="shared" si="201"/>
        <v>-100</v>
      </c>
      <c r="AU179" s="440">
        <v>670000</v>
      </c>
      <c r="AV179" s="46"/>
      <c r="AW179" s="87">
        <f t="shared" si="204"/>
        <v>-670000</v>
      </c>
      <c r="AX179" s="448">
        <f t="shared" si="202"/>
        <v>-100</v>
      </c>
      <c r="AY179" s="1131">
        <f t="shared" si="203"/>
        <v>8040000</v>
      </c>
      <c r="AZ179" s="188">
        <f t="shared" si="191"/>
        <v>15253027.98</v>
      </c>
      <c r="BA179" s="118"/>
      <c r="BB179" s="805"/>
      <c r="BC179" s="804"/>
    </row>
    <row r="180" spans="1:55" s="119" customFormat="1" ht="18" customHeight="1" x14ac:dyDescent="0.25">
      <c r="A180" s="170">
        <v>12867</v>
      </c>
      <c r="B180" s="152" t="s">
        <v>3711</v>
      </c>
      <c r="C180" s="212">
        <v>15000</v>
      </c>
      <c r="D180" s="87">
        <v>15597.37</v>
      </c>
      <c r="E180" s="893">
        <f t="shared" si="185"/>
        <v>597.3700000000008</v>
      </c>
      <c r="F180" s="450">
        <f t="shared" si="186"/>
        <v>3.9824666666666619</v>
      </c>
      <c r="G180" s="86">
        <v>15000</v>
      </c>
      <c r="H180" s="87">
        <v>14576.66</v>
      </c>
      <c r="I180" s="87">
        <f t="shared" si="205"/>
        <v>-423.34000000000015</v>
      </c>
      <c r="J180" s="452">
        <f t="shared" si="192"/>
        <v>-2.8222666666666729</v>
      </c>
      <c r="K180" s="440">
        <v>15000</v>
      </c>
      <c r="L180" s="87">
        <v>26935.46</v>
      </c>
      <c r="M180" s="87">
        <f t="shared" si="206"/>
        <v>11935.46</v>
      </c>
      <c r="N180" s="453">
        <f t="shared" si="193"/>
        <v>79.569733333333332</v>
      </c>
      <c r="O180" s="440">
        <v>15000</v>
      </c>
      <c r="P180" s="87">
        <v>21229.88</v>
      </c>
      <c r="Q180" s="87">
        <f t="shared" si="207"/>
        <v>6229.880000000001</v>
      </c>
      <c r="R180" s="452">
        <f t="shared" si="194"/>
        <v>41.532533333333333</v>
      </c>
      <c r="S180" s="440">
        <v>15000</v>
      </c>
      <c r="T180" s="87">
        <v>21047.66</v>
      </c>
      <c r="U180" s="87">
        <f t="shared" si="208"/>
        <v>6047.66</v>
      </c>
      <c r="V180" s="453">
        <f t="shared" si="195"/>
        <v>40.317733333333329</v>
      </c>
      <c r="W180" s="440">
        <v>15000</v>
      </c>
      <c r="X180" s="137">
        <v>22469.98</v>
      </c>
      <c r="Y180" s="87">
        <f t="shared" si="209"/>
        <v>7469.98</v>
      </c>
      <c r="Z180" s="453">
        <f t="shared" si="196"/>
        <v>49.799866666666674</v>
      </c>
      <c r="AA180" s="440">
        <v>15000</v>
      </c>
      <c r="AB180" s="440">
        <v>23178.99</v>
      </c>
      <c r="AC180" s="87">
        <f t="shared" si="210"/>
        <v>8178.9900000000016</v>
      </c>
      <c r="AD180" s="452">
        <f t="shared" si="197"/>
        <v>54.526600000000002</v>
      </c>
      <c r="AE180" s="440">
        <v>15000</v>
      </c>
      <c r="AF180" s="440">
        <v>21192.07</v>
      </c>
      <c r="AG180" s="96">
        <f t="shared" si="187"/>
        <v>6192.07</v>
      </c>
      <c r="AH180" s="453">
        <f t="shared" si="198"/>
        <v>41.280466666666669</v>
      </c>
      <c r="AI180" s="440">
        <v>15000</v>
      </c>
      <c r="AJ180" s="46">
        <v>20508.04</v>
      </c>
      <c r="AK180" s="96">
        <f t="shared" si="188"/>
        <v>5508.0400000000009</v>
      </c>
      <c r="AL180" s="452">
        <f t="shared" si="199"/>
        <v>36.720266666666681</v>
      </c>
      <c r="AM180" s="440">
        <v>15000</v>
      </c>
      <c r="AN180" s="46">
        <v>19147.39</v>
      </c>
      <c r="AO180" s="96">
        <f t="shared" si="189"/>
        <v>4147.3899999999994</v>
      </c>
      <c r="AP180" s="448">
        <f t="shared" si="200"/>
        <v>27.649266666666673</v>
      </c>
      <c r="AQ180" s="440">
        <v>15000</v>
      </c>
      <c r="AR180" s="440"/>
      <c r="AS180" s="96">
        <f t="shared" si="190"/>
        <v>-15000</v>
      </c>
      <c r="AT180" s="449">
        <f t="shared" si="201"/>
        <v>-100</v>
      </c>
      <c r="AU180" s="440">
        <v>15000</v>
      </c>
      <c r="AV180" s="46"/>
      <c r="AW180" s="87">
        <f t="shared" si="204"/>
        <v>-15000</v>
      </c>
      <c r="AX180" s="448">
        <f t="shared" si="202"/>
        <v>-100</v>
      </c>
      <c r="AY180" s="1131">
        <f t="shared" si="203"/>
        <v>180000</v>
      </c>
      <c r="AZ180" s="188">
        <f t="shared" si="191"/>
        <v>205883.5</v>
      </c>
      <c r="BA180" s="118"/>
      <c r="BB180" s="805"/>
      <c r="BC180" s="804"/>
    </row>
    <row r="181" spans="1:55" s="119" customFormat="1" ht="18" customHeight="1" x14ac:dyDescent="0.25">
      <c r="A181" s="170">
        <v>11510</v>
      </c>
      <c r="B181" s="152" t="s">
        <v>105</v>
      </c>
      <c r="C181" s="212">
        <v>6000</v>
      </c>
      <c r="D181" s="87">
        <v>0</v>
      </c>
      <c r="E181" s="893">
        <f t="shared" si="185"/>
        <v>-6000</v>
      </c>
      <c r="F181" s="450">
        <f t="shared" si="186"/>
        <v>-100</v>
      </c>
      <c r="G181" s="86">
        <v>6000</v>
      </c>
      <c r="H181" s="87">
        <v>26500</v>
      </c>
      <c r="I181" s="87">
        <f t="shared" si="205"/>
        <v>20500</v>
      </c>
      <c r="J181" s="452">
        <f t="shared" si="192"/>
        <v>341.66666666666669</v>
      </c>
      <c r="K181" s="440">
        <v>6000</v>
      </c>
      <c r="L181" s="87">
        <v>26500</v>
      </c>
      <c r="M181" s="87">
        <f t="shared" si="206"/>
        <v>20500</v>
      </c>
      <c r="N181" s="453">
        <f t="shared" si="193"/>
        <v>341.66666666666669</v>
      </c>
      <c r="O181" s="440">
        <v>6000</v>
      </c>
      <c r="P181" s="87">
        <v>126500</v>
      </c>
      <c r="Q181" s="87">
        <f t="shared" si="207"/>
        <v>120500</v>
      </c>
      <c r="R181" s="452">
        <f t="shared" si="194"/>
        <v>2008.3333333333333</v>
      </c>
      <c r="S181" s="440">
        <v>6000</v>
      </c>
      <c r="T181" s="87">
        <v>11500</v>
      </c>
      <c r="U181" s="87">
        <f t="shared" si="208"/>
        <v>5500</v>
      </c>
      <c r="V181" s="453">
        <f t="shared" si="195"/>
        <v>91.666666666666671</v>
      </c>
      <c r="W181" s="440">
        <v>6000</v>
      </c>
      <c r="X181" s="137">
        <v>11500</v>
      </c>
      <c r="Y181" s="87">
        <f t="shared" si="209"/>
        <v>5500</v>
      </c>
      <c r="Z181" s="453">
        <f t="shared" si="196"/>
        <v>91.666666666666671</v>
      </c>
      <c r="AA181" s="440">
        <v>6000</v>
      </c>
      <c r="AB181" s="440">
        <v>11500</v>
      </c>
      <c r="AC181" s="87">
        <f t="shared" si="210"/>
        <v>5500</v>
      </c>
      <c r="AD181" s="452">
        <f t="shared" si="197"/>
        <v>91.666666666666671</v>
      </c>
      <c r="AE181" s="440">
        <v>6000</v>
      </c>
      <c r="AF181" s="440">
        <v>11500</v>
      </c>
      <c r="AG181" s="96">
        <f t="shared" si="187"/>
        <v>5500</v>
      </c>
      <c r="AH181" s="453">
        <f t="shared" si="198"/>
        <v>91.666666666666671</v>
      </c>
      <c r="AI181" s="440">
        <v>6000</v>
      </c>
      <c r="AJ181" s="46">
        <v>11500</v>
      </c>
      <c r="AK181" s="96">
        <f t="shared" si="188"/>
        <v>5500</v>
      </c>
      <c r="AL181" s="452">
        <f t="shared" si="199"/>
        <v>91.666666666666671</v>
      </c>
      <c r="AM181" s="440">
        <v>6000</v>
      </c>
      <c r="AN181" s="46">
        <v>11500</v>
      </c>
      <c r="AO181" s="96">
        <f t="shared" si="189"/>
        <v>5500</v>
      </c>
      <c r="AP181" s="448">
        <f t="shared" si="200"/>
        <v>91.666666666666671</v>
      </c>
      <c r="AQ181" s="440">
        <v>6000</v>
      </c>
      <c r="AR181" s="440"/>
      <c r="AS181" s="96">
        <f t="shared" si="190"/>
        <v>-6000</v>
      </c>
      <c r="AT181" s="449">
        <f t="shared" si="201"/>
        <v>-100</v>
      </c>
      <c r="AU181" s="440">
        <v>6000</v>
      </c>
      <c r="AV181" s="46"/>
      <c r="AW181" s="87">
        <f t="shared" si="204"/>
        <v>-6000</v>
      </c>
      <c r="AX181" s="448">
        <f t="shared" si="202"/>
        <v>-100</v>
      </c>
      <c r="AY181" s="1131">
        <f t="shared" si="203"/>
        <v>72000</v>
      </c>
      <c r="AZ181" s="188">
        <f t="shared" si="191"/>
        <v>248500</v>
      </c>
      <c r="BA181" s="118"/>
      <c r="BB181" s="805"/>
      <c r="BC181" s="804"/>
    </row>
    <row r="182" spans="1:55" s="119" customFormat="1" ht="18" customHeight="1" x14ac:dyDescent="0.25">
      <c r="A182" s="170" t="s">
        <v>106</v>
      </c>
      <c r="B182" s="152" t="s">
        <v>217</v>
      </c>
      <c r="C182" s="212">
        <v>5000</v>
      </c>
      <c r="D182" s="87">
        <f>18876.03+739.74</f>
        <v>19615.77</v>
      </c>
      <c r="E182" s="893">
        <f t="shared" si="185"/>
        <v>14615.77</v>
      </c>
      <c r="F182" s="450">
        <f t="shared" si="186"/>
        <v>292.31540000000001</v>
      </c>
      <c r="G182" s="86">
        <v>5000</v>
      </c>
      <c r="H182" s="87">
        <f>4628.51+8.69</f>
        <v>4637.2</v>
      </c>
      <c r="I182" s="87">
        <f t="shared" si="205"/>
        <v>-362.80000000000018</v>
      </c>
      <c r="J182" s="452">
        <f t="shared" si="192"/>
        <v>-7.2560000000000073</v>
      </c>
      <c r="K182" s="440">
        <v>5000</v>
      </c>
      <c r="L182" s="87">
        <v>8068.54</v>
      </c>
      <c r="M182" s="87">
        <f t="shared" si="206"/>
        <v>3068.54</v>
      </c>
      <c r="N182" s="453">
        <f t="shared" si="193"/>
        <v>61.370799999999988</v>
      </c>
      <c r="O182" s="440">
        <v>5000</v>
      </c>
      <c r="P182" s="87">
        <v>9419.75</v>
      </c>
      <c r="Q182" s="87">
        <f t="shared" si="207"/>
        <v>4419.75</v>
      </c>
      <c r="R182" s="452">
        <f t="shared" si="194"/>
        <v>88.394999999999996</v>
      </c>
      <c r="S182" s="440">
        <v>5000</v>
      </c>
      <c r="T182" s="87">
        <v>5020.1400000000003</v>
      </c>
      <c r="U182" s="87">
        <f t="shared" si="208"/>
        <v>20.140000000000327</v>
      </c>
      <c r="V182" s="453">
        <f t="shared" si="195"/>
        <v>0.40280000000001426</v>
      </c>
      <c r="W182" s="440">
        <v>5000</v>
      </c>
      <c r="X182" s="137">
        <v>3350.01</v>
      </c>
      <c r="Y182" s="87">
        <f t="shared" si="209"/>
        <v>-1649.9899999999998</v>
      </c>
      <c r="Z182" s="453">
        <f t="shared" si="196"/>
        <v>-32.999799999999993</v>
      </c>
      <c r="AA182" s="440">
        <v>5000</v>
      </c>
      <c r="AB182" s="440">
        <v>14991.49</v>
      </c>
      <c r="AC182" s="87">
        <f t="shared" si="210"/>
        <v>9991.49</v>
      </c>
      <c r="AD182" s="452">
        <f t="shared" si="197"/>
        <v>199.82980000000001</v>
      </c>
      <c r="AE182" s="440">
        <v>5000</v>
      </c>
      <c r="AF182" s="440">
        <v>4980.3900000000003</v>
      </c>
      <c r="AG182" s="96">
        <f t="shared" si="187"/>
        <v>-19.609999999999673</v>
      </c>
      <c r="AH182" s="453">
        <f t="shared" si="198"/>
        <v>-0.39219999999999811</v>
      </c>
      <c r="AI182" s="440">
        <v>5000</v>
      </c>
      <c r="AJ182" s="46">
        <v>6169.76</v>
      </c>
      <c r="AK182" s="96">
        <f t="shared" si="188"/>
        <v>1169.7600000000002</v>
      </c>
      <c r="AL182" s="452">
        <f t="shared" si="199"/>
        <v>23.395199999999996</v>
      </c>
      <c r="AM182" s="440">
        <v>5000</v>
      </c>
      <c r="AN182" s="46">
        <v>8129.16</v>
      </c>
      <c r="AO182" s="96">
        <f t="shared" si="189"/>
        <v>3129.16</v>
      </c>
      <c r="AP182" s="448">
        <f t="shared" si="200"/>
        <v>62.583199999999991</v>
      </c>
      <c r="AQ182" s="440">
        <v>5000</v>
      </c>
      <c r="AR182" s="440"/>
      <c r="AS182" s="96">
        <f t="shared" si="190"/>
        <v>-5000</v>
      </c>
      <c r="AT182" s="449">
        <f t="shared" si="201"/>
        <v>-100</v>
      </c>
      <c r="AU182" s="440">
        <v>5000</v>
      </c>
      <c r="AV182" s="46"/>
      <c r="AW182" s="87">
        <f t="shared" si="204"/>
        <v>-5000</v>
      </c>
      <c r="AX182" s="448">
        <f t="shared" si="202"/>
        <v>-100</v>
      </c>
      <c r="AY182" s="1131">
        <f t="shared" si="203"/>
        <v>60000</v>
      </c>
      <c r="AZ182" s="188">
        <f t="shared" si="191"/>
        <v>84382.21</v>
      </c>
      <c r="BA182" s="118"/>
      <c r="BB182" s="805"/>
      <c r="BC182" s="804"/>
    </row>
    <row r="183" spans="1:55" s="119" customFormat="1" ht="18" customHeight="1" x14ac:dyDescent="0.25">
      <c r="A183" s="170">
        <v>11669</v>
      </c>
      <c r="B183" s="152" t="s">
        <v>334</v>
      </c>
      <c r="C183" s="212">
        <v>1800</v>
      </c>
      <c r="D183" s="87">
        <v>2000</v>
      </c>
      <c r="E183" s="893">
        <f t="shared" si="185"/>
        <v>200</v>
      </c>
      <c r="F183" s="450">
        <f t="shared" si="186"/>
        <v>11.111111111111116</v>
      </c>
      <c r="G183" s="86">
        <v>1800</v>
      </c>
      <c r="H183" s="87">
        <v>2000</v>
      </c>
      <c r="I183" s="87">
        <f t="shared" si="205"/>
        <v>200</v>
      </c>
      <c r="J183" s="452">
        <f t="shared" si="192"/>
        <v>11.111111111111116</v>
      </c>
      <c r="K183" s="440">
        <v>1800</v>
      </c>
      <c r="L183" s="87">
        <v>2065.7399999999998</v>
      </c>
      <c r="M183" s="87">
        <f t="shared" si="206"/>
        <v>265.73999999999978</v>
      </c>
      <c r="N183" s="453">
        <f t="shared" si="193"/>
        <v>14.763333333333328</v>
      </c>
      <c r="O183" s="440">
        <v>1800</v>
      </c>
      <c r="P183" s="87">
        <v>2217.37</v>
      </c>
      <c r="Q183" s="87">
        <f t="shared" si="207"/>
        <v>417.36999999999989</v>
      </c>
      <c r="R183" s="452">
        <f t="shared" si="194"/>
        <v>23.187222222222225</v>
      </c>
      <c r="S183" s="440">
        <v>1800</v>
      </c>
      <c r="T183" s="87">
        <v>4040.19</v>
      </c>
      <c r="U183" s="87">
        <f t="shared" si="208"/>
        <v>2240.19</v>
      </c>
      <c r="V183" s="453">
        <f t="shared" si="195"/>
        <v>124.45499999999998</v>
      </c>
      <c r="W183" s="440">
        <v>1800</v>
      </c>
      <c r="X183" s="137">
        <v>0</v>
      </c>
      <c r="Y183" s="87">
        <f t="shared" si="209"/>
        <v>-1800</v>
      </c>
      <c r="Z183" s="453">
        <f t="shared" si="196"/>
        <v>-100</v>
      </c>
      <c r="AA183" s="440">
        <v>1800</v>
      </c>
      <c r="AB183" s="440">
        <v>2094.2600000000002</v>
      </c>
      <c r="AC183" s="87">
        <f t="shared" si="210"/>
        <v>294.26000000000022</v>
      </c>
      <c r="AD183" s="452">
        <f t="shared" si="197"/>
        <v>16.347777777777782</v>
      </c>
      <c r="AE183" s="440">
        <v>1800</v>
      </c>
      <c r="AF183" s="440">
        <v>2057</v>
      </c>
      <c r="AG183" s="96">
        <f t="shared" si="187"/>
        <v>257</v>
      </c>
      <c r="AH183" s="453">
        <f t="shared" si="198"/>
        <v>14.277777777777768</v>
      </c>
      <c r="AI183" s="440">
        <v>1800</v>
      </c>
      <c r="AJ183" s="46">
        <v>2080</v>
      </c>
      <c r="AK183" s="96">
        <f t="shared" si="188"/>
        <v>280</v>
      </c>
      <c r="AL183" s="452">
        <f t="shared" si="199"/>
        <v>15.555555555555545</v>
      </c>
      <c r="AM183" s="440">
        <v>1800</v>
      </c>
      <c r="AN183" s="46">
        <v>2000</v>
      </c>
      <c r="AO183" s="96">
        <f t="shared" si="189"/>
        <v>200</v>
      </c>
      <c r="AP183" s="448">
        <f t="shared" si="200"/>
        <v>11.111111111111116</v>
      </c>
      <c r="AQ183" s="440">
        <v>1800</v>
      </c>
      <c r="AR183" s="440"/>
      <c r="AS183" s="96">
        <f t="shared" si="190"/>
        <v>-1800</v>
      </c>
      <c r="AT183" s="449">
        <f t="shared" si="201"/>
        <v>-100</v>
      </c>
      <c r="AU183" s="440">
        <v>1800</v>
      </c>
      <c r="AV183" s="46"/>
      <c r="AW183" s="87">
        <f t="shared" si="204"/>
        <v>-1800</v>
      </c>
      <c r="AX183" s="448">
        <f t="shared" si="202"/>
        <v>-100</v>
      </c>
      <c r="AY183" s="1131">
        <f t="shared" si="203"/>
        <v>21600</v>
      </c>
      <c r="AZ183" s="188">
        <f t="shared" si="191"/>
        <v>20554.560000000001</v>
      </c>
      <c r="BA183" s="118"/>
      <c r="BB183" s="805"/>
      <c r="BC183" s="804"/>
    </row>
    <row r="184" spans="1:55" s="119" customFormat="1" ht="31.5" x14ac:dyDescent="0.25">
      <c r="A184" s="170" t="s">
        <v>3629</v>
      </c>
      <c r="B184" s="152" t="s">
        <v>3628</v>
      </c>
      <c r="C184" s="212">
        <v>10000</v>
      </c>
      <c r="D184" s="87">
        <f>0+5840+0+0</f>
        <v>5840</v>
      </c>
      <c r="E184" s="893">
        <f t="shared" si="185"/>
        <v>-4160</v>
      </c>
      <c r="F184" s="450">
        <f t="shared" si="186"/>
        <v>-41.6</v>
      </c>
      <c r="G184" s="86">
        <v>10000</v>
      </c>
      <c r="H184" s="87">
        <f>10000+27910</f>
        <v>37910</v>
      </c>
      <c r="I184" s="87">
        <f t="shared" si="205"/>
        <v>27910</v>
      </c>
      <c r="J184" s="452">
        <f t="shared" si="192"/>
        <v>279.09999999999997</v>
      </c>
      <c r="K184" s="440">
        <v>10000</v>
      </c>
      <c r="L184" s="87">
        <v>38806.54</v>
      </c>
      <c r="M184" s="87">
        <f t="shared" si="206"/>
        <v>28806.54</v>
      </c>
      <c r="N184" s="453">
        <f t="shared" si="193"/>
        <v>288.06540000000001</v>
      </c>
      <c r="O184" s="440">
        <v>10000</v>
      </c>
      <c r="P184" s="87">
        <v>3447</v>
      </c>
      <c r="Q184" s="87">
        <f t="shared" si="207"/>
        <v>-6553</v>
      </c>
      <c r="R184" s="452">
        <f t="shared" si="194"/>
        <v>-65.53</v>
      </c>
      <c r="S184" s="440">
        <v>10000</v>
      </c>
      <c r="T184" s="87">
        <v>29567</v>
      </c>
      <c r="U184" s="87">
        <f t="shared" si="208"/>
        <v>19567</v>
      </c>
      <c r="V184" s="453">
        <f t="shared" si="195"/>
        <v>195.67000000000002</v>
      </c>
      <c r="W184" s="440">
        <v>10000</v>
      </c>
      <c r="X184" s="137">
        <v>13131.5</v>
      </c>
      <c r="Y184" s="87">
        <f t="shared" si="209"/>
        <v>3131.5</v>
      </c>
      <c r="Z184" s="453">
        <f t="shared" si="196"/>
        <v>31.315000000000005</v>
      </c>
      <c r="AA184" s="440">
        <v>10000</v>
      </c>
      <c r="AB184" s="440">
        <v>5015.5</v>
      </c>
      <c r="AC184" s="87">
        <f t="shared" si="210"/>
        <v>-4984.5</v>
      </c>
      <c r="AD184" s="452">
        <f t="shared" si="197"/>
        <v>-49.844999999999992</v>
      </c>
      <c r="AE184" s="440">
        <v>10000</v>
      </c>
      <c r="AF184" s="440">
        <v>12872</v>
      </c>
      <c r="AG184" s="96">
        <f t="shared" si="187"/>
        <v>2872</v>
      </c>
      <c r="AH184" s="453">
        <f t="shared" si="198"/>
        <v>28.719999999999992</v>
      </c>
      <c r="AI184" s="440">
        <v>10000</v>
      </c>
      <c r="AJ184" s="46">
        <v>11020</v>
      </c>
      <c r="AK184" s="96">
        <f t="shared" si="188"/>
        <v>1020</v>
      </c>
      <c r="AL184" s="452">
        <f t="shared" si="199"/>
        <v>10.20000000000001</v>
      </c>
      <c r="AM184" s="440">
        <v>10000</v>
      </c>
      <c r="AN184" s="46">
        <v>56970</v>
      </c>
      <c r="AO184" s="96">
        <f t="shared" si="189"/>
        <v>46970</v>
      </c>
      <c r="AP184" s="448">
        <f t="shared" si="200"/>
        <v>469.7</v>
      </c>
      <c r="AQ184" s="440">
        <v>10000</v>
      </c>
      <c r="AR184" s="440"/>
      <c r="AS184" s="96">
        <f t="shared" si="190"/>
        <v>-10000</v>
      </c>
      <c r="AT184" s="449">
        <f t="shared" si="201"/>
        <v>-100</v>
      </c>
      <c r="AU184" s="440">
        <v>10000</v>
      </c>
      <c r="AV184" s="46"/>
      <c r="AW184" s="87">
        <f t="shared" si="204"/>
        <v>-10000</v>
      </c>
      <c r="AX184" s="448">
        <f t="shared" si="202"/>
        <v>-100</v>
      </c>
      <c r="AY184" s="1131">
        <f t="shared" si="203"/>
        <v>120000</v>
      </c>
      <c r="AZ184" s="188">
        <f t="shared" si="191"/>
        <v>214579.54</v>
      </c>
      <c r="BA184" s="118"/>
      <c r="BB184" s="805"/>
      <c r="BC184" s="804"/>
    </row>
    <row r="185" spans="1:55" s="119" customFormat="1" ht="18" customHeight="1" x14ac:dyDescent="0.25">
      <c r="A185" s="170">
        <v>11891</v>
      </c>
      <c r="B185" s="152" t="s">
        <v>327</v>
      </c>
      <c r="C185" s="212">
        <v>0</v>
      </c>
      <c r="D185" s="87">
        <v>0</v>
      </c>
      <c r="E185" s="893">
        <f t="shared" si="185"/>
        <v>0</v>
      </c>
      <c r="F185" s="450"/>
      <c r="G185" s="440">
        <v>0</v>
      </c>
      <c r="H185" s="87">
        <v>0</v>
      </c>
      <c r="I185" s="87">
        <f t="shared" si="205"/>
        <v>0</v>
      </c>
      <c r="J185" s="452"/>
      <c r="K185" s="440">
        <v>0</v>
      </c>
      <c r="L185" s="87">
        <v>0</v>
      </c>
      <c r="M185" s="87">
        <f t="shared" si="206"/>
        <v>0</v>
      </c>
      <c r="N185" s="453"/>
      <c r="O185" s="440">
        <v>0</v>
      </c>
      <c r="P185" s="87">
        <v>0</v>
      </c>
      <c r="Q185" s="87">
        <f t="shared" si="207"/>
        <v>0</v>
      </c>
      <c r="R185" s="452"/>
      <c r="S185" s="440">
        <v>0</v>
      </c>
      <c r="T185" s="87">
        <v>0</v>
      </c>
      <c r="U185" s="87">
        <f t="shared" si="208"/>
        <v>0</v>
      </c>
      <c r="V185" s="453"/>
      <c r="W185" s="440">
        <v>0</v>
      </c>
      <c r="X185" s="137">
        <v>0</v>
      </c>
      <c r="Y185" s="87">
        <f t="shared" si="209"/>
        <v>0</v>
      </c>
      <c r="Z185" s="453"/>
      <c r="AA185" s="440">
        <v>0</v>
      </c>
      <c r="AB185" s="440">
        <v>0</v>
      </c>
      <c r="AC185" s="87">
        <f t="shared" si="210"/>
        <v>0</v>
      </c>
      <c r="AD185" s="452"/>
      <c r="AE185" s="440">
        <v>0</v>
      </c>
      <c r="AF185" s="87">
        <v>0</v>
      </c>
      <c r="AG185" s="96">
        <f t="shared" si="187"/>
        <v>0</v>
      </c>
      <c r="AH185" s="453"/>
      <c r="AI185" s="440">
        <v>0</v>
      </c>
      <c r="AJ185" s="46">
        <v>0</v>
      </c>
      <c r="AK185" s="96">
        <f t="shared" si="188"/>
        <v>0</v>
      </c>
      <c r="AL185" s="452"/>
      <c r="AM185" s="440">
        <v>0</v>
      </c>
      <c r="AN185" s="46">
        <v>0</v>
      </c>
      <c r="AO185" s="96">
        <f t="shared" si="189"/>
        <v>0</v>
      </c>
      <c r="AP185" s="448"/>
      <c r="AQ185" s="440">
        <v>0</v>
      </c>
      <c r="AR185" s="440">
        <v>0</v>
      </c>
      <c r="AS185" s="96">
        <f t="shared" si="190"/>
        <v>0</v>
      </c>
      <c r="AT185" s="449"/>
      <c r="AU185" s="440">
        <v>0</v>
      </c>
      <c r="AV185" s="46">
        <v>0</v>
      </c>
      <c r="AW185" s="87">
        <f t="shared" si="204"/>
        <v>0</v>
      </c>
      <c r="AX185" s="448"/>
      <c r="AY185" s="1131">
        <f t="shared" si="203"/>
        <v>0</v>
      </c>
      <c r="AZ185" s="188">
        <f t="shared" si="191"/>
        <v>0</v>
      </c>
      <c r="BA185" s="118"/>
      <c r="BB185" s="805"/>
      <c r="BC185" s="804"/>
    </row>
    <row r="186" spans="1:55" s="119" customFormat="1" ht="18" customHeight="1" x14ac:dyDescent="0.25">
      <c r="A186" s="170">
        <v>11972</v>
      </c>
      <c r="B186" s="152" t="s">
        <v>328</v>
      </c>
      <c r="C186" s="212">
        <v>10000</v>
      </c>
      <c r="D186" s="87">
        <v>6003.08</v>
      </c>
      <c r="E186" s="893">
        <f t="shared" si="185"/>
        <v>-3996.92</v>
      </c>
      <c r="F186" s="450">
        <f t="shared" si="186"/>
        <v>-39.969200000000008</v>
      </c>
      <c r="G186" s="86">
        <v>10000</v>
      </c>
      <c r="H186" s="87">
        <v>47684.11</v>
      </c>
      <c r="I186" s="87">
        <f t="shared" si="205"/>
        <v>37684.11</v>
      </c>
      <c r="J186" s="452">
        <f t="shared" si="192"/>
        <v>376.84110000000004</v>
      </c>
      <c r="K186" s="440">
        <v>10000</v>
      </c>
      <c r="L186" s="87">
        <v>6716.77</v>
      </c>
      <c r="M186" s="87">
        <f t="shared" si="206"/>
        <v>-3283.2299999999996</v>
      </c>
      <c r="N186" s="453">
        <f t="shared" si="193"/>
        <v>-32.832299999999989</v>
      </c>
      <c r="O186" s="440">
        <v>10000</v>
      </c>
      <c r="P186" s="87">
        <v>24422.080000000002</v>
      </c>
      <c r="Q186" s="87">
        <f t="shared" si="207"/>
        <v>14422.080000000002</v>
      </c>
      <c r="R186" s="452">
        <f t="shared" si="194"/>
        <v>144.22080000000003</v>
      </c>
      <c r="S186" s="440">
        <v>10000</v>
      </c>
      <c r="T186" s="87">
        <v>11170</v>
      </c>
      <c r="U186" s="87">
        <f t="shared" si="208"/>
        <v>1170</v>
      </c>
      <c r="V186" s="453">
        <f t="shared" si="195"/>
        <v>11.7</v>
      </c>
      <c r="W186" s="440">
        <v>10000</v>
      </c>
      <c r="X186" s="137">
        <v>7100</v>
      </c>
      <c r="Y186" s="87">
        <f t="shared" si="209"/>
        <v>-2900</v>
      </c>
      <c r="Z186" s="453">
        <f t="shared" si="196"/>
        <v>-29.000000000000004</v>
      </c>
      <c r="AA186" s="440">
        <v>10000</v>
      </c>
      <c r="AB186" s="440">
        <v>36537.25</v>
      </c>
      <c r="AC186" s="87">
        <f t="shared" si="210"/>
        <v>26537.25</v>
      </c>
      <c r="AD186" s="452">
        <f t="shared" si="197"/>
        <v>265.3725</v>
      </c>
      <c r="AE186" s="440">
        <v>10000</v>
      </c>
      <c r="AF186" s="440">
        <v>17589.439999999999</v>
      </c>
      <c r="AG186" s="96">
        <f t="shared" si="187"/>
        <v>7589.4399999999987</v>
      </c>
      <c r="AH186" s="453">
        <f t="shared" si="198"/>
        <v>75.89439999999999</v>
      </c>
      <c r="AI186" s="440">
        <v>10000</v>
      </c>
      <c r="AJ186" s="46">
        <v>122991.7</v>
      </c>
      <c r="AK186" s="96">
        <f t="shared" si="188"/>
        <v>112991.7</v>
      </c>
      <c r="AL186" s="452">
        <f t="shared" si="199"/>
        <v>1129.9169999999999</v>
      </c>
      <c r="AM186" s="440">
        <v>10000</v>
      </c>
      <c r="AN186" s="46">
        <v>8090.89</v>
      </c>
      <c r="AO186" s="96">
        <f t="shared" si="189"/>
        <v>-1909.1099999999997</v>
      </c>
      <c r="AP186" s="448">
        <f t="shared" si="200"/>
        <v>-19.091099999999994</v>
      </c>
      <c r="AQ186" s="440">
        <v>10000</v>
      </c>
      <c r="AR186" s="440"/>
      <c r="AS186" s="96">
        <f t="shared" si="190"/>
        <v>-10000</v>
      </c>
      <c r="AT186" s="449">
        <f t="shared" si="201"/>
        <v>-100</v>
      </c>
      <c r="AU186" s="440">
        <v>10000</v>
      </c>
      <c r="AV186" s="46"/>
      <c r="AW186" s="87">
        <f t="shared" si="204"/>
        <v>-10000</v>
      </c>
      <c r="AX186" s="448">
        <f t="shared" si="202"/>
        <v>-100</v>
      </c>
      <c r="AY186" s="1131">
        <f t="shared" si="203"/>
        <v>120000</v>
      </c>
      <c r="AZ186" s="188">
        <f t="shared" si="191"/>
        <v>288305.32</v>
      </c>
      <c r="BA186" s="118"/>
      <c r="BB186" s="805"/>
      <c r="BC186" s="804"/>
    </row>
    <row r="187" spans="1:55" s="552" customFormat="1" ht="18" customHeight="1" x14ac:dyDescent="0.25">
      <c r="A187" s="170" t="s">
        <v>3635</v>
      </c>
      <c r="B187" s="152" t="s">
        <v>108</v>
      </c>
      <c r="C187" s="212">
        <v>23000</v>
      </c>
      <c r="D187" s="87">
        <f>14679.68+0+5571.92</f>
        <v>20251.599999999999</v>
      </c>
      <c r="E187" s="893">
        <f t="shared" si="185"/>
        <v>-2748.4000000000015</v>
      </c>
      <c r="F187" s="450">
        <f t="shared" si="186"/>
        <v>-11.949565217391312</v>
      </c>
      <c r="G187" s="86">
        <v>23000</v>
      </c>
      <c r="H187" s="87">
        <f>14698.25+10167.73</f>
        <v>24865.98</v>
      </c>
      <c r="I187" s="87">
        <f t="shared" si="205"/>
        <v>1865.9799999999996</v>
      </c>
      <c r="J187" s="452">
        <f t="shared" si="192"/>
        <v>8.1129565217391342</v>
      </c>
      <c r="K187" s="440">
        <v>23000</v>
      </c>
      <c r="L187" s="87">
        <v>19050.900000000001</v>
      </c>
      <c r="M187" s="87">
        <f t="shared" si="206"/>
        <v>-3949.0999999999985</v>
      </c>
      <c r="N187" s="453">
        <f t="shared" si="193"/>
        <v>-17.169999999999995</v>
      </c>
      <c r="O187" s="440">
        <v>23000</v>
      </c>
      <c r="P187" s="87">
        <v>19084.63</v>
      </c>
      <c r="Q187" s="87">
        <f t="shared" si="207"/>
        <v>-3915.369999999999</v>
      </c>
      <c r="R187" s="452">
        <f t="shared" si="194"/>
        <v>-17.023347826086955</v>
      </c>
      <c r="S187" s="440">
        <v>23000</v>
      </c>
      <c r="T187" s="87">
        <v>19120.009999999998</v>
      </c>
      <c r="U187" s="87">
        <f t="shared" si="208"/>
        <v>-3879.9900000000016</v>
      </c>
      <c r="V187" s="453">
        <f t="shared" si="195"/>
        <v>-16.869521739130445</v>
      </c>
      <c r="W187" s="440">
        <v>23000</v>
      </c>
      <c r="X187" s="137">
        <v>19165.52</v>
      </c>
      <c r="Y187" s="87">
        <f t="shared" si="209"/>
        <v>-3834.4799999999996</v>
      </c>
      <c r="Z187" s="453">
        <f t="shared" si="196"/>
        <v>-16.671652173913042</v>
      </c>
      <c r="AA187" s="440">
        <v>23000</v>
      </c>
      <c r="AB187" s="440">
        <v>19217.77</v>
      </c>
      <c r="AC187" s="87">
        <f t="shared" si="210"/>
        <v>-3782.2299999999996</v>
      </c>
      <c r="AD187" s="452">
        <f t="shared" si="197"/>
        <v>-16.444478260869566</v>
      </c>
      <c r="AE187" s="440">
        <v>23000</v>
      </c>
      <c r="AF187" s="440">
        <v>19278.759999999998</v>
      </c>
      <c r="AG187" s="96">
        <f t="shared" si="187"/>
        <v>-3721.2400000000016</v>
      </c>
      <c r="AH187" s="453">
        <f t="shared" si="198"/>
        <v>-16.179304347826097</v>
      </c>
      <c r="AI187" s="440">
        <v>23000</v>
      </c>
      <c r="AJ187" s="46">
        <v>16407.919999999998</v>
      </c>
      <c r="AK187" s="96">
        <f t="shared" si="188"/>
        <v>-6592.0800000000017</v>
      </c>
      <c r="AL187" s="452">
        <f t="shared" si="199"/>
        <v>-28.661217391304351</v>
      </c>
      <c r="AM187" s="440">
        <v>23000</v>
      </c>
      <c r="AN187" s="46">
        <v>16472.02</v>
      </c>
      <c r="AO187" s="96">
        <f t="shared" si="189"/>
        <v>-6527.98</v>
      </c>
      <c r="AP187" s="448">
        <f t="shared" si="200"/>
        <v>-28.382521739130429</v>
      </c>
      <c r="AQ187" s="440">
        <v>23000</v>
      </c>
      <c r="AR187" s="440"/>
      <c r="AS187" s="96">
        <f t="shared" si="190"/>
        <v>-23000</v>
      </c>
      <c r="AT187" s="449">
        <f t="shared" si="201"/>
        <v>-100</v>
      </c>
      <c r="AU187" s="440">
        <v>23000</v>
      </c>
      <c r="AV187" s="46"/>
      <c r="AW187" s="87">
        <f t="shared" si="204"/>
        <v>-23000</v>
      </c>
      <c r="AX187" s="448">
        <f t="shared" si="202"/>
        <v>-100</v>
      </c>
      <c r="AY187" s="1131">
        <f t="shared" si="203"/>
        <v>276000</v>
      </c>
      <c r="AZ187" s="188">
        <f t="shared" si="191"/>
        <v>192915.11000000002</v>
      </c>
      <c r="BA187" s="118"/>
      <c r="BB187" s="828"/>
      <c r="BC187" s="804"/>
    </row>
    <row r="188" spans="1:55" s="119" customFormat="1" ht="18" customHeight="1" x14ac:dyDescent="0.25">
      <c r="A188" s="170">
        <v>11983</v>
      </c>
      <c r="B188" s="152" t="s">
        <v>218</v>
      </c>
      <c r="C188" s="212">
        <v>1800</v>
      </c>
      <c r="D188" s="87">
        <v>1814.23</v>
      </c>
      <c r="E188" s="893">
        <f t="shared" si="185"/>
        <v>14.230000000000018</v>
      </c>
      <c r="F188" s="450">
        <f t="shared" si="186"/>
        <v>0.79055555555556101</v>
      </c>
      <c r="G188" s="86">
        <v>1800</v>
      </c>
      <c r="H188" s="87">
        <v>1814.23</v>
      </c>
      <c r="I188" s="87">
        <f t="shared" si="205"/>
        <v>14.230000000000018</v>
      </c>
      <c r="J188" s="452">
        <f t="shared" si="192"/>
        <v>0.79055555555556101</v>
      </c>
      <c r="K188" s="440">
        <v>1800</v>
      </c>
      <c r="L188" s="87">
        <v>1814.23</v>
      </c>
      <c r="M188" s="87">
        <f t="shared" si="206"/>
        <v>14.230000000000018</v>
      </c>
      <c r="N188" s="453">
        <f t="shared" si="193"/>
        <v>0.79055555555556101</v>
      </c>
      <c r="O188" s="440">
        <v>1800</v>
      </c>
      <c r="P188" s="87">
        <v>1814.23</v>
      </c>
      <c r="Q188" s="87">
        <f t="shared" si="207"/>
        <v>14.230000000000018</v>
      </c>
      <c r="R188" s="452">
        <f t="shared" si="194"/>
        <v>0.79055555555556101</v>
      </c>
      <c r="S188" s="440">
        <v>1800</v>
      </c>
      <c r="T188" s="87">
        <v>1814.23</v>
      </c>
      <c r="U188" s="87">
        <f t="shared" si="208"/>
        <v>14.230000000000018</v>
      </c>
      <c r="V188" s="453">
        <f t="shared" si="195"/>
        <v>0.79055555555556101</v>
      </c>
      <c r="W188" s="440">
        <v>1800</v>
      </c>
      <c r="X188" s="137">
        <v>1814.23</v>
      </c>
      <c r="Y188" s="87">
        <f t="shared" si="209"/>
        <v>14.230000000000018</v>
      </c>
      <c r="Z188" s="453">
        <f t="shared" si="196"/>
        <v>0.79055555555556101</v>
      </c>
      <c r="AA188" s="440">
        <v>1800</v>
      </c>
      <c r="AB188" s="440">
        <v>1814.23</v>
      </c>
      <c r="AC188" s="87">
        <f t="shared" si="210"/>
        <v>14.230000000000018</v>
      </c>
      <c r="AD188" s="452">
        <f t="shared" si="197"/>
        <v>0.79055555555556101</v>
      </c>
      <c r="AE188" s="440">
        <v>1800</v>
      </c>
      <c r="AF188" s="440">
        <v>1814.23</v>
      </c>
      <c r="AG188" s="96">
        <f t="shared" si="187"/>
        <v>14.230000000000018</v>
      </c>
      <c r="AH188" s="453">
        <f t="shared" si="198"/>
        <v>0.79055555555556101</v>
      </c>
      <c r="AI188" s="440">
        <v>1800</v>
      </c>
      <c r="AJ188" s="46">
        <v>2086.36</v>
      </c>
      <c r="AK188" s="96">
        <f t="shared" si="188"/>
        <v>286.36000000000013</v>
      </c>
      <c r="AL188" s="452">
        <f t="shared" si="199"/>
        <v>15.908888888888907</v>
      </c>
      <c r="AM188" s="440">
        <v>1800</v>
      </c>
      <c r="AN188" s="46">
        <v>2086.36</v>
      </c>
      <c r="AO188" s="96">
        <f t="shared" si="189"/>
        <v>286.36000000000013</v>
      </c>
      <c r="AP188" s="448">
        <f t="shared" si="200"/>
        <v>15.908888888888907</v>
      </c>
      <c r="AQ188" s="440">
        <v>1800</v>
      </c>
      <c r="AR188" s="440"/>
      <c r="AS188" s="96">
        <f t="shared" si="190"/>
        <v>-1800</v>
      </c>
      <c r="AT188" s="449">
        <f t="shared" si="201"/>
        <v>-100</v>
      </c>
      <c r="AU188" s="440">
        <v>1800</v>
      </c>
      <c r="AV188" s="46"/>
      <c r="AW188" s="87">
        <f t="shared" si="204"/>
        <v>-1800</v>
      </c>
      <c r="AX188" s="448">
        <f t="shared" si="202"/>
        <v>-100</v>
      </c>
      <c r="AY188" s="1131">
        <f t="shared" si="203"/>
        <v>21600</v>
      </c>
      <c r="AZ188" s="188">
        <f t="shared" si="191"/>
        <v>18686.559999999998</v>
      </c>
      <c r="BA188" s="118"/>
      <c r="BB188" s="805"/>
      <c r="BC188" s="804"/>
    </row>
    <row r="189" spans="1:55" s="119" customFormat="1" ht="18" customHeight="1" x14ac:dyDescent="0.25">
      <c r="A189" s="170">
        <v>11704</v>
      </c>
      <c r="B189" s="152" t="s">
        <v>109</v>
      </c>
      <c r="C189" s="212">
        <v>7000</v>
      </c>
      <c r="D189" s="87">
        <v>4969</v>
      </c>
      <c r="E189" s="893">
        <f t="shared" si="185"/>
        <v>-2031</v>
      </c>
      <c r="F189" s="450">
        <f t="shared" si="186"/>
        <v>-29.014285714285716</v>
      </c>
      <c r="G189" s="86">
        <v>7000</v>
      </c>
      <c r="H189" s="87">
        <v>8609</v>
      </c>
      <c r="I189" s="87">
        <f t="shared" si="205"/>
        <v>1609</v>
      </c>
      <c r="J189" s="452">
        <f t="shared" si="192"/>
        <v>22.985714285714277</v>
      </c>
      <c r="K189" s="440">
        <v>7000</v>
      </c>
      <c r="L189" s="87">
        <v>7133</v>
      </c>
      <c r="M189" s="87">
        <f t="shared" si="206"/>
        <v>133</v>
      </c>
      <c r="N189" s="453">
        <f t="shared" si="193"/>
        <v>1.8999999999999906</v>
      </c>
      <c r="O189" s="440">
        <v>7000</v>
      </c>
      <c r="P189" s="87">
        <v>4045</v>
      </c>
      <c r="Q189" s="87">
        <f t="shared" si="207"/>
        <v>-2955</v>
      </c>
      <c r="R189" s="452">
        <f t="shared" si="194"/>
        <v>-42.214285714285715</v>
      </c>
      <c r="S189" s="440">
        <v>7000</v>
      </c>
      <c r="T189" s="87">
        <v>11180</v>
      </c>
      <c r="U189" s="87">
        <f t="shared" si="208"/>
        <v>4180</v>
      </c>
      <c r="V189" s="453">
        <f t="shared" si="195"/>
        <v>59.714285714285722</v>
      </c>
      <c r="W189" s="440">
        <v>7000</v>
      </c>
      <c r="X189" s="137">
        <v>7520</v>
      </c>
      <c r="Y189" s="87">
        <f t="shared" si="209"/>
        <v>520</v>
      </c>
      <c r="Z189" s="453">
        <f t="shared" si="196"/>
        <v>7.4285714285714288</v>
      </c>
      <c r="AA189" s="440">
        <v>7000</v>
      </c>
      <c r="AB189" s="440">
        <v>7460</v>
      </c>
      <c r="AC189" s="87">
        <f t="shared" si="210"/>
        <v>460</v>
      </c>
      <c r="AD189" s="452">
        <f t="shared" si="197"/>
        <v>6.5714285714285614</v>
      </c>
      <c r="AE189" s="440">
        <v>7000</v>
      </c>
      <c r="AF189" s="440">
        <v>7556</v>
      </c>
      <c r="AG189" s="96">
        <f t="shared" si="187"/>
        <v>556</v>
      </c>
      <c r="AH189" s="453">
        <f t="shared" si="198"/>
        <v>7.9428571428571404</v>
      </c>
      <c r="AI189" s="440">
        <v>7000</v>
      </c>
      <c r="AJ189" s="46">
        <v>7460</v>
      </c>
      <c r="AK189" s="96">
        <f t="shared" si="188"/>
        <v>460</v>
      </c>
      <c r="AL189" s="452">
        <f t="shared" si="199"/>
        <v>6.5714285714285614</v>
      </c>
      <c r="AM189" s="440">
        <v>7000</v>
      </c>
      <c r="AN189" s="46">
        <v>7490</v>
      </c>
      <c r="AO189" s="96">
        <f t="shared" si="189"/>
        <v>490</v>
      </c>
      <c r="AP189" s="448">
        <f t="shared" si="200"/>
        <v>7.0000000000000062</v>
      </c>
      <c r="AQ189" s="440">
        <v>7000</v>
      </c>
      <c r="AR189" s="440"/>
      <c r="AS189" s="96">
        <f t="shared" si="190"/>
        <v>-7000</v>
      </c>
      <c r="AT189" s="449">
        <f t="shared" si="201"/>
        <v>-100</v>
      </c>
      <c r="AU189" s="440">
        <v>7000</v>
      </c>
      <c r="AV189" s="46"/>
      <c r="AW189" s="87">
        <f t="shared" si="204"/>
        <v>-7000</v>
      </c>
      <c r="AX189" s="448">
        <f t="shared" si="202"/>
        <v>-100</v>
      </c>
      <c r="AY189" s="1131">
        <f t="shared" si="203"/>
        <v>84000</v>
      </c>
      <c r="AZ189" s="188">
        <f t="shared" si="191"/>
        <v>73422</v>
      </c>
      <c r="BA189" s="118"/>
      <c r="BB189" s="805"/>
      <c r="BC189" s="804"/>
    </row>
    <row r="190" spans="1:55" s="119" customFormat="1" ht="18" customHeight="1" x14ac:dyDescent="0.25">
      <c r="A190" s="170">
        <v>12314</v>
      </c>
      <c r="B190" s="152" t="s">
        <v>325</v>
      </c>
      <c r="C190" s="212">
        <v>2500</v>
      </c>
      <c r="D190" s="87">
        <v>35162.65</v>
      </c>
      <c r="E190" s="893">
        <f t="shared" si="185"/>
        <v>32662.65</v>
      </c>
      <c r="F190" s="450">
        <f t="shared" si="186"/>
        <v>1306.5060000000001</v>
      </c>
      <c r="G190" s="86">
        <v>2500</v>
      </c>
      <c r="H190" s="87">
        <v>-10350.33</v>
      </c>
      <c r="I190" s="87">
        <f t="shared" si="205"/>
        <v>-12850.33</v>
      </c>
      <c r="J190" s="452">
        <f t="shared" si="192"/>
        <v>-514.01319999999998</v>
      </c>
      <c r="K190" s="440">
        <v>2500</v>
      </c>
      <c r="L190" s="87">
        <v>4352.6000000000004</v>
      </c>
      <c r="M190" s="87">
        <f t="shared" si="206"/>
        <v>1852.6000000000004</v>
      </c>
      <c r="N190" s="453">
        <f t="shared" si="193"/>
        <v>74.104000000000013</v>
      </c>
      <c r="O190" s="440">
        <v>2500</v>
      </c>
      <c r="P190" s="87">
        <v>36898.9</v>
      </c>
      <c r="Q190" s="87">
        <f t="shared" si="207"/>
        <v>34398.9</v>
      </c>
      <c r="R190" s="452">
        <f t="shared" si="194"/>
        <v>1375.9560000000001</v>
      </c>
      <c r="S190" s="440">
        <v>2500</v>
      </c>
      <c r="T190" s="87">
        <v>332</v>
      </c>
      <c r="U190" s="87">
        <f t="shared" si="208"/>
        <v>-2168</v>
      </c>
      <c r="V190" s="453">
        <f t="shared" si="195"/>
        <v>-86.72</v>
      </c>
      <c r="W190" s="440">
        <v>2500</v>
      </c>
      <c r="X190" s="137">
        <v>9316.36</v>
      </c>
      <c r="Y190" s="87">
        <f t="shared" si="209"/>
        <v>6816.3600000000006</v>
      </c>
      <c r="Z190" s="453">
        <f t="shared" si="196"/>
        <v>272.65440000000001</v>
      </c>
      <c r="AA190" s="440">
        <v>2500</v>
      </c>
      <c r="AB190" s="440">
        <v>912.52</v>
      </c>
      <c r="AC190" s="87">
        <f t="shared" si="210"/>
        <v>-1587.48</v>
      </c>
      <c r="AD190" s="452">
        <f t="shared" si="197"/>
        <v>-63.499200000000002</v>
      </c>
      <c r="AE190" s="440">
        <v>2500</v>
      </c>
      <c r="AF190" s="440">
        <v>-9081.09</v>
      </c>
      <c r="AG190" s="96">
        <f t="shared" si="187"/>
        <v>-11581.09</v>
      </c>
      <c r="AH190" s="453">
        <f t="shared" si="198"/>
        <v>-463.24360000000001</v>
      </c>
      <c r="AI190" s="440">
        <v>2500</v>
      </c>
      <c r="AJ190" s="46">
        <v>6043.17</v>
      </c>
      <c r="AK190" s="96">
        <f t="shared" si="188"/>
        <v>3543.17</v>
      </c>
      <c r="AL190" s="452">
        <f t="shared" si="199"/>
        <v>141.7268</v>
      </c>
      <c r="AM190" s="440">
        <v>2500</v>
      </c>
      <c r="AN190" s="46">
        <v>31501.95</v>
      </c>
      <c r="AO190" s="96">
        <f t="shared" si="189"/>
        <v>29001.95</v>
      </c>
      <c r="AP190" s="448">
        <f t="shared" si="200"/>
        <v>1160.078</v>
      </c>
      <c r="AQ190" s="440">
        <v>2500</v>
      </c>
      <c r="AR190" s="440"/>
      <c r="AS190" s="96">
        <f t="shared" si="190"/>
        <v>-2500</v>
      </c>
      <c r="AT190" s="449">
        <f t="shared" si="201"/>
        <v>-100</v>
      </c>
      <c r="AU190" s="440">
        <v>2500</v>
      </c>
      <c r="AV190" s="46"/>
      <c r="AW190" s="87">
        <f t="shared" si="204"/>
        <v>-2500</v>
      </c>
      <c r="AX190" s="448">
        <f t="shared" si="202"/>
        <v>-100</v>
      </c>
      <c r="AY190" s="1131">
        <f t="shared" si="203"/>
        <v>30000</v>
      </c>
      <c r="AZ190" s="188">
        <f t="shared" si="191"/>
        <v>105088.73000000001</v>
      </c>
      <c r="BA190" s="118"/>
      <c r="BB190" s="805"/>
      <c r="BC190" s="804"/>
    </row>
    <row r="191" spans="1:55" s="119" customFormat="1" ht="18" customHeight="1" x14ac:dyDescent="0.25">
      <c r="A191" s="170">
        <v>11259</v>
      </c>
      <c r="B191" s="152" t="s">
        <v>110</v>
      </c>
      <c r="C191" s="440">
        <v>0</v>
      </c>
      <c r="D191" s="87">
        <v>122.78</v>
      </c>
      <c r="E191" s="893">
        <f t="shared" si="185"/>
        <v>122.78</v>
      </c>
      <c r="F191" s="450"/>
      <c r="G191" s="86">
        <v>0</v>
      </c>
      <c r="H191" s="87">
        <v>5.31</v>
      </c>
      <c r="I191" s="87">
        <f t="shared" si="205"/>
        <v>5.31</v>
      </c>
      <c r="J191" s="452"/>
      <c r="K191" s="440">
        <v>0</v>
      </c>
      <c r="L191" s="87">
        <v>223.28</v>
      </c>
      <c r="M191" s="87">
        <f t="shared" si="206"/>
        <v>223.28</v>
      </c>
      <c r="N191" s="453"/>
      <c r="O191" s="440">
        <v>0</v>
      </c>
      <c r="P191" s="87">
        <v>5.7</v>
      </c>
      <c r="Q191" s="87">
        <f t="shared" si="207"/>
        <v>5.7</v>
      </c>
      <c r="R191" s="452"/>
      <c r="S191" s="440">
        <v>0</v>
      </c>
      <c r="T191" s="87">
        <v>42.67</v>
      </c>
      <c r="U191" s="87">
        <f t="shared" si="208"/>
        <v>42.67</v>
      </c>
      <c r="V191" s="453"/>
      <c r="W191" s="440">
        <v>0</v>
      </c>
      <c r="X191" s="137">
        <v>5.61</v>
      </c>
      <c r="Y191" s="87">
        <f t="shared" si="209"/>
        <v>5.61</v>
      </c>
      <c r="Z191" s="453"/>
      <c r="AA191" s="440">
        <v>0</v>
      </c>
      <c r="AB191" s="440">
        <v>0</v>
      </c>
      <c r="AC191" s="87">
        <f t="shared" si="210"/>
        <v>0</v>
      </c>
      <c r="AD191" s="452"/>
      <c r="AE191" s="440">
        <v>0</v>
      </c>
      <c r="AF191" s="440">
        <v>5.13</v>
      </c>
      <c r="AG191" s="96">
        <f t="shared" si="187"/>
        <v>5.13</v>
      </c>
      <c r="AH191" s="453"/>
      <c r="AI191" s="440">
        <v>0</v>
      </c>
      <c r="AJ191" s="46">
        <v>0</v>
      </c>
      <c r="AK191" s="96">
        <f t="shared" si="188"/>
        <v>0</v>
      </c>
      <c r="AL191" s="452"/>
      <c r="AM191" s="440">
        <v>0</v>
      </c>
      <c r="AN191" s="46">
        <v>88.57</v>
      </c>
      <c r="AO191" s="96">
        <f t="shared" si="189"/>
        <v>88.57</v>
      </c>
      <c r="AP191" s="448"/>
      <c r="AQ191" s="440">
        <v>0</v>
      </c>
      <c r="AR191" s="440"/>
      <c r="AS191" s="96">
        <f t="shared" si="190"/>
        <v>0</v>
      </c>
      <c r="AT191" s="449"/>
      <c r="AU191" s="440">
        <v>0</v>
      </c>
      <c r="AV191" s="46"/>
      <c r="AW191" s="87">
        <f t="shared" si="204"/>
        <v>0</v>
      </c>
      <c r="AX191" s="448"/>
      <c r="AY191" s="1131">
        <f t="shared" si="203"/>
        <v>0</v>
      </c>
      <c r="AZ191" s="188">
        <f t="shared" si="191"/>
        <v>499.05</v>
      </c>
      <c r="BA191" s="118"/>
      <c r="BB191" s="805"/>
      <c r="BC191" s="804"/>
    </row>
    <row r="192" spans="1:55" s="119" customFormat="1" ht="18" customHeight="1" x14ac:dyDescent="0.25">
      <c r="A192" s="170">
        <v>51872</v>
      </c>
      <c r="B192" s="152" t="s">
        <v>219</v>
      </c>
      <c r="C192" s="212">
        <v>50000</v>
      </c>
      <c r="D192" s="87">
        <v>50000</v>
      </c>
      <c r="E192" s="893">
        <f t="shared" si="185"/>
        <v>0</v>
      </c>
      <c r="F192" s="450">
        <f t="shared" si="186"/>
        <v>0</v>
      </c>
      <c r="G192" s="86">
        <v>50000</v>
      </c>
      <c r="H192" s="87">
        <v>50000</v>
      </c>
      <c r="I192" s="87">
        <f t="shared" si="205"/>
        <v>0</v>
      </c>
      <c r="J192" s="452">
        <f t="shared" si="192"/>
        <v>0</v>
      </c>
      <c r="K192" s="440">
        <v>50000</v>
      </c>
      <c r="L192" s="87">
        <v>50000</v>
      </c>
      <c r="M192" s="87">
        <f t="shared" si="206"/>
        <v>0</v>
      </c>
      <c r="N192" s="453">
        <f t="shared" si="193"/>
        <v>0</v>
      </c>
      <c r="O192" s="440">
        <v>50000</v>
      </c>
      <c r="P192" s="87">
        <v>50000</v>
      </c>
      <c r="Q192" s="87">
        <f t="shared" si="207"/>
        <v>0</v>
      </c>
      <c r="R192" s="452">
        <f>((P192/O192)-1)*100</f>
        <v>0</v>
      </c>
      <c r="S192" s="440">
        <v>50000</v>
      </c>
      <c r="T192" s="87">
        <v>50000</v>
      </c>
      <c r="U192" s="87">
        <f t="shared" si="208"/>
        <v>0</v>
      </c>
      <c r="V192" s="453">
        <f t="shared" si="195"/>
        <v>0</v>
      </c>
      <c r="W192" s="440">
        <v>50000</v>
      </c>
      <c r="X192" s="137">
        <v>50000</v>
      </c>
      <c r="Y192" s="87">
        <f t="shared" si="209"/>
        <v>0</v>
      </c>
      <c r="Z192" s="453">
        <f t="shared" si="196"/>
        <v>0</v>
      </c>
      <c r="AA192" s="440">
        <v>0</v>
      </c>
      <c r="AB192" s="440">
        <v>50000</v>
      </c>
      <c r="AC192" s="87">
        <f t="shared" si="210"/>
        <v>50000</v>
      </c>
      <c r="AD192" s="452"/>
      <c r="AE192" s="440">
        <v>0</v>
      </c>
      <c r="AF192" s="440">
        <v>50000</v>
      </c>
      <c r="AG192" s="96">
        <f t="shared" si="187"/>
        <v>50000</v>
      </c>
      <c r="AH192" s="453"/>
      <c r="AI192" s="440">
        <v>0</v>
      </c>
      <c r="AJ192" s="46">
        <v>50000</v>
      </c>
      <c r="AK192" s="96">
        <f t="shared" si="188"/>
        <v>50000</v>
      </c>
      <c r="AL192" s="452"/>
      <c r="AM192" s="440">
        <v>0</v>
      </c>
      <c r="AN192" s="46">
        <v>0</v>
      </c>
      <c r="AO192" s="96">
        <f t="shared" si="189"/>
        <v>0</v>
      </c>
      <c r="AP192" s="448">
        <v>0</v>
      </c>
      <c r="AQ192" s="440">
        <v>0</v>
      </c>
      <c r="AR192" s="440"/>
      <c r="AS192" s="96">
        <f t="shared" si="190"/>
        <v>0</v>
      </c>
      <c r="AT192" s="449"/>
      <c r="AU192" s="440">
        <v>0</v>
      </c>
      <c r="AV192" s="46"/>
      <c r="AW192" s="87">
        <f t="shared" si="204"/>
        <v>0</v>
      </c>
      <c r="AX192" s="448"/>
      <c r="AY192" s="1131">
        <f t="shared" si="203"/>
        <v>300000</v>
      </c>
      <c r="AZ192" s="188">
        <f t="shared" si="191"/>
        <v>450000</v>
      </c>
      <c r="BA192" s="118"/>
      <c r="BB192" s="805"/>
      <c r="BC192" s="804"/>
    </row>
    <row r="193" spans="1:55" s="119" customFormat="1" ht="18" customHeight="1" x14ac:dyDescent="0.25">
      <c r="A193" s="170">
        <v>11563</v>
      </c>
      <c r="B193" s="152" t="s">
        <v>3679</v>
      </c>
      <c r="C193" s="212">
        <v>60000</v>
      </c>
      <c r="D193" s="87">
        <v>59779.03</v>
      </c>
      <c r="E193" s="893">
        <f t="shared" si="185"/>
        <v>-220.97000000000116</v>
      </c>
      <c r="F193" s="450"/>
      <c r="G193" s="86">
        <v>60000</v>
      </c>
      <c r="H193" s="87">
        <v>45905.47</v>
      </c>
      <c r="I193" s="87">
        <f t="shared" si="205"/>
        <v>-14094.529999999999</v>
      </c>
      <c r="J193" s="452">
        <v>0</v>
      </c>
      <c r="K193" s="440">
        <v>60000</v>
      </c>
      <c r="L193" s="87">
        <v>73652.59</v>
      </c>
      <c r="M193" s="87">
        <f t="shared" si="206"/>
        <v>13652.589999999997</v>
      </c>
      <c r="N193" s="453">
        <f t="shared" si="193"/>
        <v>22.754316666666654</v>
      </c>
      <c r="O193" s="440">
        <v>60000</v>
      </c>
      <c r="P193" s="87">
        <v>65918.73</v>
      </c>
      <c r="Q193" s="87">
        <f t="shared" si="207"/>
        <v>5918.7299999999959</v>
      </c>
      <c r="R193" s="452">
        <f>((P193/O193)-1)*100</f>
        <v>9.8645499999999942</v>
      </c>
      <c r="S193" s="440">
        <v>60000</v>
      </c>
      <c r="T193" s="87">
        <v>63058.879999999997</v>
      </c>
      <c r="U193" s="87">
        <f t="shared" si="208"/>
        <v>3058.8799999999974</v>
      </c>
      <c r="V193" s="453">
        <f t="shared" si="195"/>
        <v>5.0981333333333323</v>
      </c>
      <c r="W193" s="440">
        <v>60000</v>
      </c>
      <c r="X193" s="137">
        <v>73050.210000000006</v>
      </c>
      <c r="Y193" s="87">
        <f t="shared" si="209"/>
        <v>13050.210000000006</v>
      </c>
      <c r="Z193" s="453">
        <f t="shared" si="196"/>
        <v>21.750350000000008</v>
      </c>
      <c r="AA193" s="440">
        <v>60000</v>
      </c>
      <c r="AB193" s="440">
        <v>95190.36</v>
      </c>
      <c r="AC193" s="87">
        <f t="shared" si="210"/>
        <v>35190.36</v>
      </c>
      <c r="AD193" s="452">
        <f t="shared" si="197"/>
        <v>58.650599999999997</v>
      </c>
      <c r="AE193" s="440">
        <v>60000</v>
      </c>
      <c r="AF193" s="440">
        <v>111302.01</v>
      </c>
      <c r="AG193" s="96">
        <f t="shared" si="187"/>
        <v>51302.009999999995</v>
      </c>
      <c r="AH193" s="453">
        <f t="shared" si="198"/>
        <v>85.503349999999998</v>
      </c>
      <c r="AI193" s="440">
        <v>60000</v>
      </c>
      <c r="AJ193" s="46">
        <v>128915.81</v>
      </c>
      <c r="AK193" s="96">
        <f t="shared" si="188"/>
        <v>68915.81</v>
      </c>
      <c r="AL193" s="452">
        <f>((AJ193/AI193)-1)*100</f>
        <v>114.85968333333334</v>
      </c>
      <c r="AM193" s="440">
        <v>60000</v>
      </c>
      <c r="AN193" s="46">
        <v>94222.21</v>
      </c>
      <c r="AO193" s="96">
        <f t="shared" si="189"/>
        <v>34222.210000000006</v>
      </c>
      <c r="AP193" s="448">
        <f t="shared" si="200"/>
        <v>57.037016666666673</v>
      </c>
      <c r="AQ193" s="440">
        <v>60000</v>
      </c>
      <c r="AR193" s="440"/>
      <c r="AS193" s="96">
        <f t="shared" si="190"/>
        <v>-60000</v>
      </c>
      <c r="AT193" s="449">
        <f t="shared" si="201"/>
        <v>-100</v>
      </c>
      <c r="AU193" s="440">
        <v>60000</v>
      </c>
      <c r="AV193" s="46"/>
      <c r="AW193" s="87">
        <f t="shared" si="204"/>
        <v>-60000</v>
      </c>
      <c r="AX193" s="448">
        <f t="shared" si="202"/>
        <v>-100</v>
      </c>
      <c r="AY193" s="1131">
        <f t="shared" si="203"/>
        <v>720000</v>
      </c>
      <c r="AZ193" s="188">
        <f t="shared" si="191"/>
        <v>810995.3</v>
      </c>
      <c r="BA193" s="118"/>
      <c r="BB193" s="805"/>
      <c r="BC193" s="804"/>
    </row>
    <row r="194" spans="1:55" s="119" customFormat="1" ht="18" customHeight="1" x14ac:dyDescent="0.25">
      <c r="A194" s="170">
        <v>11516</v>
      </c>
      <c r="B194" s="152" t="s">
        <v>326</v>
      </c>
      <c r="C194" s="212">
        <v>1500</v>
      </c>
      <c r="D194" s="87">
        <v>1313</v>
      </c>
      <c r="E194" s="893">
        <f t="shared" si="185"/>
        <v>-187</v>
      </c>
      <c r="F194" s="450">
        <f t="shared" ref="F194:F202" si="211">((D194/C194)-1)*100</f>
        <v>-12.46666666666667</v>
      </c>
      <c r="G194" s="86">
        <v>1500</v>
      </c>
      <c r="H194" s="87">
        <v>1313</v>
      </c>
      <c r="I194" s="87">
        <f t="shared" si="205"/>
        <v>-187</v>
      </c>
      <c r="J194" s="452">
        <f t="shared" si="192"/>
        <v>-12.46666666666667</v>
      </c>
      <c r="K194" s="440">
        <v>1500</v>
      </c>
      <c r="L194" s="87">
        <v>1313</v>
      </c>
      <c r="M194" s="87">
        <f t="shared" si="206"/>
        <v>-187</v>
      </c>
      <c r="N194" s="453">
        <f t="shared" si="193"/>
        <v>-12.46666666666667</v>
      </c>
      <c r="O194" s="440">
        <v>1500</v>
      </c>
      <c r="P194" s="87">
        <v>1313</v>
      </c>
      <c r="Q194" s="87">
        <f t="shared" si="207"/>
        <v>-187</v>
      </c>
      <c r="R194" s="452">
        <f t="shared" si="194"/>
        <v>-12.46666666666667</v>
      </c>
      <c r="S194" s="440">
        <v>1500</v>
      </c>
      <c r="T194" s="87">
        <v>1313</v>
      </c>
      <c r="U194" s="87">
        <f t="shared" si="208"/>
        <v>-187</v>
      </c>
      <c r="V194" s="453">
        <f t="shared" si="195"/>
        <v>-12.46666666666667</v>
      </c>
      <c r="W194" s="440">
        <v>1500</v>
      </c>
      <c r="X194" s="137">
        <v>1313</v>
      </c>
      <c r="Y194" s="87">
        <f t="shared" si="209"/>
        <v>-187</v>
      </c>
      <c r="Z194" s="453">
        <f t="shared" si="196"/>
        <v>-12.46666666666667</v>
      </c>
      <c r="AA194" s="440">
        <v>1500</v>
      </c>
      <c r="AB194" s="440">
        <v>1313</v>
      </c>
      <c r="AC194" s="87">
        <f t="shared" si="210"/>
        <v>-187</v>
      </c>
      <c r="AD194" s="452">
        <f t="shared" si="197"/>
        <v>-12.46666666666667</v>
      </c>
      <c r="AE194" s="440">
        <v>1500</v>
      </c>
      <c r="AF194" s="440">
        <v>1313</v>
      </c>
      <c r="AG194" s="96">
        <f t="shared" si="187"/>
        <v>-187</v>
      </c>
      <c r="AH194" s="453">
        <f t="shared" si="198"/>
        <v>-12.46666666666667</v>
      </c>
      <c r="AI194" s="440">
        <v>1500</v>
      </c>
      <c r="AJ194" s="46">
        <v>1313</v>
      </c>
      <c r="AK194" s="96">
        <f t="shared" si="188"/>
        <v>-187</v>
      </c>
      <c r="AL194" s="452">
        <f t="shared" si="199"/>
        <v>-12.46666666666667</v>
      </c>
      <c r="AM194" s="440">
        <v>1500</v>
      </c>
      <c r="AN194" s="46">
        <v>1313</v>
      </c>
      <c r="AO194" s="96">
        <f t="shared" si="189"/>
        <v>-187</v>
      </c>
      <c r="AP194" s="448">
        <f t="shared" si="200"/>
        <v>-12.46666666666667</v>
      </c>
      <c r="AQ194" s="440">
        <v>1500</v>
      </c>
      <c r="AR194" s="440"/>
      <c r="AS194" s="96">
        <f t="shared" si="190"/>
        <v>-1500</v>
      </c>
      <c r="AT194" s="449">
        <f t="shared" si="201"/>
        <v>-100</v>
      </c>
      <c r="AU194" s="440">
        <v>1500</v>
      </c>
      <c r="AV194" s="46"/>
      <c r="AW194" s="87">
        <f t="shared" si="204"/>
        <v>-1500</v>
      </c>
      <c r="AX194" s="448">
        <f t="shared" si="202"/>
        <v>-100</v>
      </c>
      <c r="AY194" s="1131">
        <f t="shared" si="203"/>
        <v>18000</v>
      </c>
      <c r="AZ194" s="188">
        <f t="shared" si="191"/>
        <v>13130</v>
      </c>
      <c r="BA194" s="118"/>
      <c r="BB194" s="805"/>
      <c r="BC194" s="804"/>
    </row>
    <row r="195" spans="1:55" s="119" customFormat="1" ht="18" customHeight="1" x14ac:dyDescent="0.25">
      <c r="A195" s="170">
        <v>11522</v>
      </c>
      <c r="B195" s="152" t="s">
        <v>111</v>
      </c>
      <c r="C195" s="212">
        <v>90000</v>
      </c>
      <c r="D195" s="87">
        <v>87839.73</v>
      </c>
      <c r="E195" s="893">
        <f t="shared" si="185"/>
        <v>-2160.2700000000041</v>
      </c>
      <c r="F195" s="450">
        <f t="shared" si="211"/>
        <v>-2.4002999999999997</v>
      </c>
      <c r="G195" s="86">
        <v>90000</v>
      </c>
      <c r="H195" s="87">
        <v>70356.45</v>
      </c>
      <c r="I195" s="87">
        <f t="shared" si="205"/>
        <v>-19643.550000000003</v>
      </c>
      <c r="J195" s="452">
        <f t="shared" si="192"/>
        <v>-21.826166666666669</v>
      </c>
      <c r="K195" s="440">
        <v>90000</v>
      </c>
      <c r="L195" s="87">
        <v>76474.429999999993</v>
      </c>
      <c r="M195" s="87">
        <f t="shared" si="206"/>
        <v>-13525.570000000007</v>
      </c>
      <c r="N195" s="453">
        <f t="shared" si="193"/>
        <v>-15.028411111111117</v>
      </c>
      <c r="O195" s="440">
        <v>90000</v>
      </c>
      <c r="P195" s="87">
        <v>108001.54</v>
      </c>
      <c r="Q195" s="87">
        <f>P195-O195</f>
        <v>18001.539999999994</v>
      </c>
      <c r="R195" s="452">
        <f>((P195/O196)-1)*100</f>
        <v>4400.064166666667</v>
      </c>
      <c r="S195" s="440">
        <v>90000</v>
      </c>
      <c r="T195" s="87">
        <v>86994.03</v>
      </c>
      <c r="U195" s="87">
        <f t="shared" si="208"/>
        <v>-3005.9700000000012</v>
      </c>
      <c r="V195" s="453">
        <f t="shared" si="195"/>
        <v>-3.3399666666666716</v>
      </c>
      <c r="W195" s="440">
        <v>90000</v>
      </c>
      <c r="X195" s="137">
        <v>87091.54</v>
      </c>
      <c r="Y195" s="87">
        <f t="shared" si="209"/>
        <v>-2908.4600000000064</v>
      </c>
      <c r="Z195" s="453">
        <f t="shared" si="196"/>
        <v>-3.2316222222222302</v>
      </c>
      <c r="AA195" s="440">
        <v>90000</v>
      </c>
      <c r="AB195" s="440">
        <v>112417.18</v>
      </c>
      <c r="AC195" s="87">
        <f>AB195-AA195</f>
        <v>22417.179999999993</v>
      </c>
      <c r="AD195" s="452">
        <f>((AB195/AA195)-1)*100</f>
        <v>24.907977777777781</v>
      </c>
      <c r="AE195" s="1077">
        <v>90000</v>
      </c>
      <c r="AF195" s="440">
        <v>102263.5</v>
      </c>
      <c r="AG195" s="96">
        <f>AF195-AE195</f>
        <v>12263.5</v>
      </c>
      <c r="AH195" s="453">
        <f>((AF195/AE195)-1)*100</f>
        <v>13.626111111111117</v>
      </c>
      <c r="AI195" s="1132">
        <v>90000</v>
      </c>
      <c r="AJ195" s="46">
        <v>89353.37</v>
      </c>
      <c r="AK195" s="96">
        <f t="shared" si="188"/>
        <v>-646.63000000000466</v>
      </c>
      <c r="AL195" s="452">
        <f>((AJ195/AI195)-1)*100</f>
        <v>-0.71847777777778177</v>
      </c>
      <c r="AM195" s="440">
        <v>90000</v>
      </c>
      <c r="AN195" s="46">
        <v>90804.94</v>
      </c>
      <c r="AO195" s="96">
        <f t="shared" si="189"/>
        <v>804.94000000000233</v>
      </c>
      <c r="AP195" s="448">
        <f>((AN195/AM195)-1)*100</f>
        <v>0.89437777777778837</v>
      </c>
      <c r="AQ195" s="1077">
        <v>90000</v>
      </c>
      <c r="AR195" s="440"/>
      <c r="AS195" s="96">
        <f t="shared" si="190"/>
        <v>-90000</v>
      </c>
      <c r="AT195" s="449">
        <f t="shared" si="201"/>
        <v>-100</v>
      </c>
      <c r="AU195" s="1132">
        <v>90000</v>
      </c>
      <c r="AV195" s="46"/>
      <c r="AW195" s="87">
        <f t="shared" si="204"/>
        <v>-90000</v>
      </c>
      <c r="AX195" s="448">
        <f t="shared" si="202"/>
        <v>-100</v>
      </c>
      <c r="AY195" s="1131">
        <f t="shared" si="203"/>
        <v>1080000</v>
      </c>
      <c r="AZ195" s="188">
        <f t="shared" si="191"/>
        <v>911596.71</v>
      </c>
      <c r="BA195" s="118"/>
      <c r="BB195" s="805"/>
      <c r="BC195" s="804"/>
    </row>
    <row r="196" spans="1:55" s="119" customFormat="1" ht="18" customHeight="1" x14ac:dyDescent="0.25">
      <c r="A196" s="170" t="s">
        <v>113</v>
      </c>
      <c r="B196" s="152" t="s">
        <v>220</v>
      </c>
      <c r="C196" s="212">
        <v>1500</v>
      </c>
      <c r="D196" s="87">
        <f>0+515</f>
        <v>515</v>
      </c>
      <c r="E196" s="893">
        <f t="shared" si="185"/>
        <v>-985</v>
      </c>
      <c r="F196" s="450">
        <f t="shared" si="211"/>
        <v>-65.666666666666671</v>
      </c>
      <c r="G196" s="212">
        <v>1500</v>
      </c>
      <c r="H196" s="87">
        <v>1580</v>
      </c>
      <c r="I196" s="87">
        <f t="shared" si="205"/>
        <v>80</v>
      </c>
      <c r="J196" s="452">
        <f t="shared" si="192"/>
        <v>5.3333333333333233</v>
      </c>
      <c r="K196" s="440">
        <v>1500</v>
      </c>
      <c r="L196" s="87">
        <v>840</v>
      </c>
      <c r="M196" s="87">
        <f t="shared" si="206"/>
        <v>-660</v>
      </c>
      <c r="N196" s="453">
        <f t="shared" si="193"/>
        <v>-43.999999999999993</v>
      </c>
      <c r="O196" s="440">
        <v>2400</v>
      </c>
      <c r="P196" s="87">
        <v>1240</v>
      </c>
      <c r="Q196" s="87">
        <f>P196-O197</f>
        <v>-760</v>
      </c>
      <c r="R196" s="452">
        <f>((P196/O197)-1)*100</f>
        <v>-38</v>
      </c>
      <c r="S196" s="440">
        <v>1500</v>
      </c>
      <c r="T196" s="87">
        <v>1330</v>
      </c>
      <c r="U196" s="87">
        <f t="shared" si="208"/>
        <v>-170</v>
      </c>
      <c r="V196" s="453">
        <f t="shared" si="195"/>
        <v>-11.333333333333329</v>
      </c>
      <c r="W196" s="440">
        <v>1500</v>
      </c>
      <c r="X196" s="137">
        <v>820</v>
      </c>
      <c r="Y196" s="87">
        <f t="shared" si="209"/>
        <v>-680</v>
      </c>
      <c r="Z196" s="453">
        <f t="shared" si="196"/>
        <v>-45.333333333333336</v>
      </c>
      <c r="AA196" s="440">
        <v>2400</v>
      </c>
      <c r="AB196" s="440">
        <v>800</v>
      </c>
      <c r="AC196" s="87">
        <f t="shared" ref="AC196:AC205" si="212">AB196-AA196</f>
        <v>-1600</v>
      </c>
      <c r="AD196" s="452">
        <f t="shared" ref="AD196:AD202" si="213">((AB196/AA196)-1)*100</f>
        <v>-66.666666666666671</v>
      </c>
      <c r="AE196" s="440">
        <v>2400</v>
      </c>
      <c r="AF196" s="440">
        <v>900</v>
      </c>
      <c r="AG196" s="96">
        <f t="shared" ref="AG196:AG205" si="214">AF196-AE196</f>
        <v>-1500</v>
      </c>
      <c r="AH196" s="453">
        <f t="shared" ref="AH196:AH202" si="215">((AF196/AE196)-1)*100</f>
        <v>-62.5</v>
      </c>
      <c r="AI196" s="440">
        <v>2400</v>
      </c>
      <c r="AJ196" s="46">
        <v>960</v>
      </c>
      <c r="AK196" s="96">
        <f t="shared" si="188"/>
        <v>-1440</v>
      </c>
      <c r="AL196" s="452">
        <f t="shared" ref="AL196:AL202" si="216">((AJ196/AI196)-1)*100</f>
        <v>-60</v>
      </c>
      <c r="AM196" s="440">
        <v>2400</v>
      </c>
      <c r="AN196" s="46">
        <v>940</v>
      </c>
      <c r="AO196" s="96">
        <f t="shared" si="189"/>
        <v>-1460</v>
      </c>
      <c r="AP196" s="448">
        <f t="shared" ref="AP196:AP202" si="217">((AN196/AM196)-1)*100</f>
        <v>-60.833333333333343</v>
      </c>
      <c r="AQ196" s="440">
        <v>2400</v>
      </c>
      <c r="AR196" s="440"/>
      <c r="AS196" s="96">
        <f t="shared" si="190"/>
        <v>-2400</v>
      </c>
      <c r="AT196" s="449">
        <f t="shared" si="201"/>
        <v>-100</v>
      </c>
      <c r="AU196" s="440">
        <v>2400</v>
      </c>
      <c r="AV196" s="46"/>
      <c r="AW196" s="87">
        <f t="shared" si="204"/>
        <v>-2400</v>
      </c>
      <c r="AX196" s="448">
        <f t="shared" si="202"/>
        <v>-100</v>
      </c>
      <c r="AY196" s="1131">
        <f t="shared" si="203"/>
        <v>24300</v>
      </c>
      <c r="AZ196" s="188">
        <f t="shared" si="191"/>
        <v>9925</v>
      </c>
      <c r="BA196" s="118"/>
      <c r="BB196" s="805"/>
      <c r="BC196" s="804"/>
    </row>
    <row r="197" spans="1:55" s="119" customFormat="1" ht="18" customHeight="1" x14ac:dyDescent="0.25">
      <c r="A197" s="170">
        <v>11534</v>
      </c>
      <c r="B197" s="152" t="s">
        <v>115</v>
      </c>
      <c r="C197" s="212">
        <v>2000</v>
      </c>
      <c r="D197" s="87">
        <v>2384.1</v>
      </c>
      <c r="E197" s="893">
        <f t="shared" si="185"/>
        <v>384.09999999999991</v>
      </c>
      <c r="F197" s="450">
        <f t="shared" si="211"/>
        <v>19.205000000000005</v>
      </c>
      <c r="G197" s="212">
        <v>2000</v>
      </c>
      <c r="H197" s="87">
        <v>3374.35</v>
      </c>
      <c r="I197" s="87">
        <f t="shared" si="205"/>
        <v>1374.35</v>
      </c>
      <c r="J197" s="452">
        <f t="shared" si="192"/>
        <v>68.717499999999987</v>
      </c>
      <c r="K197" s="440">
        <v>2000</v>
      </c>
      <c r="L197" s="87">
        <v>1707.28</v>
      </c>
      <c r="M197" s="87">
        <f t="shared" si="206"/>
        <v>-292.72000000000003</v>
      </c>
      <c r="N197" s="453">
        <f>((L197/K198)-1)*100</f>
        <v>-102.84418678261449</v>
      </c>
      <c r="O197" s="440">
        <v>2000</v>
      </c>
      <c r="P197" s="87">
        <v>2772.12</v>
      </c>
      <c r="Q197" s="87">
        <f>P197-O198</f>
        <v>62799.12</v>
      </c>
      <c r="R197" s="452">
        <f>((P197/O198)-1)*100</f>
        <v>-104.61812184516968</v>
      </c>
      <c r="S197" s="440">
        <v>2000</v>
      </c>
      <c r="T197" s="87">
        <v>2539.23</v>
      </c>
      <c r="U197" s="87">
        <f t="shared" si="208"/>
        <v>539.23</v>
      </c>
      <c r="V197" s="453">
        <f t="shared" si="195"/>
        <v>26.961499999999994</v>
      </c>
      <c r="W197" s="440">
        <v>2000</v>
      </c>
      <c r="X197" s="137">
        <v>3238.08</v>
      </c>
      <c r="Y197" s="87">
        <f t="shared" si="209"/>
        <v>1238.08</v>
      </c>
      <c r="Z197" s="453">
        <f t="shared" si="196"/>
        <v>61.904000000000003</v>
      </c>
      <c r="AA197" s="440">
        <v>2000</v>
      </c>
      <c r="AB197" s="440">
        <v>2134.1</v>
      </c>
      <c r="AC197" s="87">
        <f t="shared" si="212"/>
        <v>134.09999999999991</v>
      </c>
      <c r="AD197" s="452">
        <f t="shared" si="213"/>
        <v>6.7050000000000054</v>
      </c>
      <c r="AE197" s="440">
        <v>2000</v>
      </c>
      <c r="AF197" s="440">
        <v>3139.1</v>
      </c>
      <c r="AG197" s="96">
        <f t="shared" si="214"/>
        <v>1139.0999999999999</v>
      </c>
      <c r="AH197" s="453">
        <f t="shared" si="215"/>
        <v>56.954999999999998</v>
      </c>
      <c r="AI197" s="440">
        <v>2000</v>
      </c>
      <c r="AJ197" s="46">
        <v>4278.28</v>
      </c>
      <c r="AK197" s="96">
        <f t="shared" si="188"/>
        <v>2278.2799999999997</v>
      </c>
      <c r="AL197" s="452">
        <f t="shared" si="216"/>
        <v>113.91399999999999</v>
      </c>
      <c r="AM197" s="440">
        <v>2000</v>
      </c>
      <c r="AN197" s="46">
        <v>1718.34</v>
      </c>
      <c r="AO197" s="96">
        <f t="shared" si="189"/>
        <v>-281.66000000000008</v>
      </c>
      <c r="AP197" s="448">
        <f t="shared" si="217"/>
        <v>-14.083000000000002</v>
      </c>
      <c r="AQ197" s="440">
        <v>2000</v>
      </c>
      <c r="AR197" s="440"/>
      <c r="AS197" s="96">
        <f t="shared" si="190"/>
        <v>-2000</v>
      </c>
      <c r="AT197" s="449">
        <f t="shared" si="201"/>
        <v>-100</v>
      </c>
      <c r="AU197" s="440">
        <v>2000</v>
      </c>
      <c r="AV197" s="46"/>
      <c r="AW197" s="87">
        <f t="shared" si="204"/>
        <v>-2000</v>
      </c>
      <c r="AX197" s="448">
        <f t="shared" si="202"/>
        <v>-100</v>
      </c>
      <c r="AY197" s="1131">
        <f t="shared" si="203"/>
        <v>24000</v>
      </c>
      <c r="AZ197" s="188">
        <f t="shared" si="191"/>
        <v>27284.979999999996</v>
      </c>
      <c r="BA197" s="118"/>
      <c r="BB197" s="805"/>
      <c r="BC197" s="804"/>
    </row>
    <row r="198" spans="1:55" s="119" customFormat="1" ht="18" customHeight="1" x14ac:dyDescent="0.25">
      <c r="A198" s="170">
        <v>33248</v>
      </c>
      <c r="B198" s="152" t="s">
        <v>221</v>
      </c>
      <c r="C198" s="212">
        <v>-60027</v>
      </c>
      <c r="D198" s="103">
        <v>-57431.41</v>
      </c>
      <c r="E198" s="893">
        <f t="shared" si="185"/>
        <v>2595.5899999999965</v>
      </c>
      <c r="F198" s="450">
        <f t="shared" si="211"/>
        <v>-4.3240375164509288</v>
      </c>
      <c r="G198" s="212">
        <v>-60027</v>
      </c>
      <c r="H198" s="87">
        <v>-61602.45</v>
      </c>
      <c r="I198" s="87">
        <f t="shared" si="205"/>
        <v>-1575.4499999999971</v>
      </c>
      <c r="J198" s="452">
        <f t="shared" si="192"/>
        <v>2.6245689439752029</v>
      </c>
      <c r="K198" s="440">
        <v>-60027</v>
      </c>
      <c r="L198" s="103">
        <v>-63016.57</v>
      </c>
      <c r="M198" s="87">
        <f t="shared" si="206"/>
        <v>-2989.5699999999997</v>
      </c>
      <c r="N198" s="453">
        <f>((L198/K199)-1)*100</f>
        <v>-63116.57</v>
      </c>
      <c r="O198" s="440">
        <v>-60027</v>
      </c>
      <c r="P198" s="103">
        <v>-63404.68</v>
      </c>
      <c r="Q198" s="87">
        <f>P198-O199</f>
        <v>-63504.68</v>
      </c>
      <c r="R198" s="452">
        <f>((P198/O199)-1)*100</f>
        <v>-63504.679999999993</v>
      </c>
      <c r="S198" s="440">
        <v>-60027</v>
      </c>
      <c r="T198" s="103">
        <v>-57191.61</v>
      </c>
      <c r="U198" s="87">
        <f t="shared" si="208"/>
        <v>2835.3899999999994</v>
      </c>
      <c r="V198" s="453">
        <f t="shared" si="195"/>
        <v>-4.7235244140136912</v>
      </c>
      <c r="W198" s="440">
        <v>-60027</v>
      </c>
      <c r="X198" s="137">
        <v>-80068.58</v>
      </c>
      <c r="Y198" s="87">
        <f t="shared" si="209"/>
        <v>-20041.580000000002</v>
      </c>
      <c r="Z198" s="453">
        <f t="shared" si="196"/>
        <v>33.38760890932415</v>
      </c>
      <c r="AA198" s="440">
        <v>-60027</v>
      </c>
      <c r="AB198" s="440">
        <v>-67850.67</v>
      </c>
      <c r="AC198" s="87">
        <f t="shared" si="212"/>
        <v>-7823.6699999999983</v>
      </c>
      <c r="AD198" s="452">
        <f t="shared" si="213"/>
        <v>13.033584886800931</v>
      </c>
      <c r="AE198" s="440">
        <v>-60027</v>
      </c>
      <c r="AF198" s="440">
        <v>-70133.72</v>
      </c>
      <c r="AG198" s="96">
        <f t="shared" si="214"/>
        <v>-10106.720000000001</v>
      </c>
      <c r="AH198" s="453">
        <f t="shared" si="215"/>
        <v>16.836956702817062</v>
      </c>
      <c r="AI198" s="440">
        <v>-60027</v>
      </c>
      <c r="AJ198" s="454">
        <v>-69460.490000000005</v>
      </c>
      <c r="AK198" s="96">
        <f t="shared" si="188"/>
        <v>-9433.4900000000052</v>
      </c>
      <c r="AL198" s="452">
        <f t="shared" si="216"/>
        <v>15.715411398204161</v>
      </c>
      <c r="AM198" s="440">
        <v>-60027</v>
      </c>
      <c r="AN198" s="454">
        <v>-70478.210000000006</v>
      </c>
      <c r="AO198" s="96">
        <f t="shared" si="189"/>
        <v>-10451.210000000006</v>
      </c>
      <c r="AP198" s="448">
        <f t="shared" si="217"/>
        <v>17.410848451530157</v>
      </c>
      <c r="AQ198" s="440">
        <v>-60027</v>
      </c>
      <c r="AR198" s="440"/>
      <c r="AS198" s="96">
        <f t="shared" si="190"/>
        <v>60027</v>
      </c>
      <c r="AT198" s="449">
        <f t="shared" si="201"/>
        <v>-100</v>
      </c>
      <c r="AU198" s="440">
        <v>-60027</v>
      </c>
      <c r="AV198" s="454"/>
      <c r="AW198" s="87">
        <f t="shared" si="204"/>
        <v>60027</v>
      </c>
      <c r="AX198" s="448">
        <f t="shared" si="202"/>
        <v>-100</v>
      </c>
      <c r="AY198" s="1131">
        <f t="shared" si="203"/>
        <v>-720324</v>
      </c>
      <c r="AZ198" s="233">
        <f t="shared" si="191"/>
        <v>-660638.3899999999</v>
      </c>
      <c r="BA198" s="118"/>
      <c r="BB198" s="805"/>
      <c r="BC198" s="804"/>
    </row>
    <row r="199" spans="1:55" s="119" customFormat="1" ht="18" customHeight="1" x14ac:dyDescent="0.25">
      <c r="A199" s="170">
        <v>11611</v>
      </c>
      <c r="B199" s="152" t="s">
        <v>329</v>
      </c>
      <c r="C199" s="212">
        <v>100</v>
      </c>
      <c r="D199" s="87">
        <v>0</v>
      </c>
      <c r="E199" s="893">
        <f t="shared" si="185"/>
        <v>-100</v>
      </c>
      <c r="F199" s="450">
        <f t="shared" si="211"/>
        <v>-100</v>
      </c>
      <c r="G199" s="212">
        <v>100</v>
      </c>
      <c r="H199" s="87">
        <v>103.26</v>
      </c>
      <c r="I199" s="87">
        <f t="shared" si="205"/>
        <v>3.2600000000000051</v>
      </c>
      <c r="J199" s="452">
        <f t="shared" si="192"/>
        <v>3.2599999999999962</v>
      </c>
      <c r="K199" s="1133">
        <v>100</v>
      </c>
      <c r="L199" s="87">
        <v>-103.26</v>
      </c>
      <c r="M199" s="87">
        <f t="shared" si="206"/>
        <v>-203.26</v>
      </c>
      <c r="N199" s="453">
        <f>((L199/K200)-1)*100</f>
        <v>-106.884</v>
      </c>
      <c r="O199" s="1133">
        <v>100</v>
      </c>
      <c r="P199" s="87">
        <v>103.26</v>
      </c>
      <c r="Q199" s="87">
        <f>P199-O200</f>
        <v>-1396.74</v>
      </c>
      <c r="R199" s="452">
        <f>((P199/O200)-1)*100</f>
        <v>-93.116</v>
      </c>
      <c r="S199" s="1133">
        <v>100</v>
      </c>
      <c r="T199" s="87">
        <v>58.98</v>
      </c>
      <c r="U199" s="87">
        <f t="shared" si="208"/>
        <v>-41.02</v>
      </c>
      <c r="V199" s="453">
        <f t="shared" si="195"/>
        <v>-41.02</v>
      </c>
      <c r="W199" s="1133">
        <v>100</v>
      </c>
      <c r="X199" s="137">
        <v>289.14999999999998</v>
      </c>
      <c r="Y199" s="87">
        <f t="shared" si="209"/>
        <v>189.14999999999998</v>
      </c>
      <c r="Z199" s="453">
        <f t="shared" si="196"/>
        <v>189.14999999999998</v>
      </c>
      <c r="AA199" s="1133">
        <v>100</v>
      </c>
      <c r="AB199" s="440">
        <v>221.56</v>
      </c>
      <c r="AC199" s="87">
        <f t="shared" si="212"/>
        <v>121.56</v>
      </c>
      <c r="AD199" s="452">
        <f t="shared" si="213"/>
        <v>121.56000000000003</v>
      </c>
      <c r="AE199" s="1133">
        <v>100</v>
      </c>
      <c r="AF199" s="440">
        <v>0</v>
      </c>
      <c r="AG199" s="96">
        <f t="shared" si="214"/>
        <v>-100</v>
      </c>
      <c r="AH199" s="453">
        <f t="shared" si="215"/>
        <v>-100</v>
      </c>
      <c r="AI199" s="1133">
        <v>100</v>
      </c>
      <c r="AJ199" s="46">
        <v>403.43</v>
      </c>
      <c r="AK199" s="96">
        <f t="shared" si="188"/>
        <v>303.43</v>
      </c>
      <c r="AL199" s="452">
        <f t="shared" si="216"/>
        <v>303.43</v>
      </c>
      <c r="AM199" s="1133">
        <v>100</v>
      </c>
      <c r="AN199" s="46">
        <v>0</v>
      </c>
      <c r="AO199" s="96">
        <f t="shared" si="189"/>
        <v>-100</v>
      </c>
      <c r="AP199" s="448">
        <f t="shared" si="217"/>
        <v>-100</v>
      </c>
      <c r="AQ199" s="1133">
        <v>100</v>
      </c>
      <c r="AR199" s="440"/>
      <c r="AS199" s="96">
        <f t="shared" si="190"/>
        <v>-100</v>
      </c>
      <c r="AT199" s="449">
        <f t="shared" si="201"/>
        <v>-100</v>
      </c>
      <c r="AU199" s="1133">
        <v>100</v>
      </c>
      <c r="AV199" s="46"/>
      <c r="AW199" s="87">
        <f t="shared" si="204"/>
        <v>-100</v>
      </c>
      <c r="AX199" s="448">
        <f t="shared" si="202"/>
        <v>-100</v>
      </c>
      <c r="AY199" s="1131">
        <f t="shared" si="203"/>
        <v>1200</v>
      </c>
      <c r="AZ199" s="188">
        <f t="shared" si="191"/>
        <v>1076.3800000000001</v>
      </c>
      <c r="BA199" s="118"/>
      <c r="BB199" s="805"/>
      <c r="BC199" s="804"/>
    </row>
    <row r="200" spans="1:55" s="119" customFormat="1" ht="18" customHeight="1" x14ac:dyDescent="0.25">
      <c r="A200" s="170">
        <v>11820</v>
      </c>
      <c r="B200" s="152" t="s">
        <v>330</v>
      </c>
      <c r="C200" s="212">
        <v>1500</v>
      </c>
      <c r="D200" s="87">
        <v>9987.7999999999993</v>
      </c>
      <c r="E200" s="893">
        <f t="shared" si="185"/>
        <v>8487.7999999999993</v>
      </c>
      <c r="F200" s="450">
        <f t="shared" si="211"/>
        <v>565.85333333333324</v>
      </c>
      <c r="G200" s="212">
        <v>1500</v>
      </c>
      <c r="H200" s="87">
        <v>122.08</v>
      </c>
      <c r="I200" s="87">
        <f t="shared" si="205"/>
        <v>-1377.92</v>
      </c>
      <c r="J200" s="452">
        <f t="shared" si="192"/>
        <v>-91.861333333333334</v>
      </c>
      <c r="K200" s="440">
        <v>1500</v>
      </c>
      <c r="L200" s="87">
        <v>122.08</v>
      </c>
      <c r="M200" s="87">
        <f t="shared" si="206"/>
        <v>-1377.92</v>
      </c>
      <c r="N200" s="453">
        <f>((L200/K200)-1)*100</f>
        <v>-91.861333333333334</v>
      </c>
      <c r="O200" s="440">
        <v>1500</v>
      </c>
      <c r="P200" s="87">
        <v>1636.82</v>
      </c>
      <c r="Q200" s="87">
        <f>P200-O201</f>
        <v>1636.82</v>
      </c>
      <c r="R200" s="452">
        <f>((P200/O200)-1)*100</f>
        <v>9.121333333333336</v>
      </c>
      <c r="S200" s="440">
        <v>1500</v>
      </c>
      <c r="T200" s="87">
        <v>1729.47</v>
      </c>
      <c r="U200" s="87">
        <f t="shared" si="208"/>
        <v>229.47000000000003</v>
      </c>
      <c r="V200" s="453">
        <f t="shared" si="195"/>
        <v>15.298000000000012</v>
      </c>
      <c r="W200" s="440">
        <v>1500</v>
      </c>
      <c r="X200" s="137">
        <v>244.15</v>
      </c>
      <c r="Y200" s="87">
        <f t="shared" si="209"/>
        <v>-1255.8499999999999</v>
      </c>
      <c r="Z200" s="453"/>
      <c r="AA200" s="440">
        <v>1500</v>
      </c>
      <c r="AB200" s="440">
        <v>1461.29</v>
      </c>
      <c r="AC200" s="87">
        <f t="shared" si="212"/>
        <v>-38.710000000000036</v>
      </c>
      <c r="AD200" s="452">
        <f t="shared" si="213"/>
        <v>-2.5806666666666644</v>
      </c>
      <c r="AE200" s="440">
        <v>1500</v>
      </c>
      <c r="AF200" s="440">
        <v>366.22</v>
      </c>
      <c r="AG200" s="96">
        <f t="shared" si="214"/>
        <v>-1133.78</v>
      </c>
      <c r="AH200" s="453">
        <f t="shared" si="215"/>
        <v>-75.585333333333324</v>
      </c>
      <c r="AI200" s="440">
        <v>1500</v>
      </c>
      <c r="AJ200" s="46">
        <v>244.15</v>
      </c>
      <c r="AK200" s="96">
        <f t="shared" si="188"/>
        <v>-1255.8499999999999</v>
      </c>
      <c r="AL200" s="452">
        <f t="shared" si="216"/>
        <v>-83.723333333333329</v>
      </c>
      <c r="AM200" s="440">
        <v>1500</v>
      </c>
      <c r="AN200" s="46">
        <v>292.76</v>
      </c>
      <c r="AO200" s="96">
        <f t="shared" si="189"/>
        <v>-1207.24</v>
      </c>
      <c r="AP200" s="448">
        <f t="shared" si="217"/>
        <v>-80.482666666666674</v>
      </c>
      <c r="AQ200" s="440">
        <v>1500</v>
      </c>
      <c r="AR200" s="440"/>
      <c r="AS200" s="96">
        <f t="shared" si="190"/>
        <v>-1500</v>
      </c>
      <c r="AT200" s="449">
        <f t="shared" si="201"/>
        <v>-100</v>
      </c>
      <c r="AU200" s="440">
        <v>1500</v>
      </c>
      <c r="AV200" s="46"/>
      <c r="AW200" s="87">
        <f t="shared" si="204"/>
        <v>-1500</v>
      </c>
      <c r="AX200" s="448">
        <f t="shared" si="202"/>
        <v>-100</v>
      </c>
      <c r="AY200" s="1131">
        <f t="shared" si="203"/>
        <v>18000</v>
      </c>
      <c r="AZ200" s="188">
        <f t="shared" si="191"/>
        <v>16206.819999999998</v>
      </c>
      <c r="BA200" s="118"/>
      <c r="BB200" s="805"/>
      <c r="BC200" s="804"/>
    </row>
    <row r="201" spans="1:55" s="119" customFormat="1" ht="18" customHeight="1" x14ac:dyDescent="0.25">
      <c r="A201" s="170">
        <v>11908</v>
      </c>
      <c r="B201" s="152" t="s">
        <v>225</v>
      </c>
      <c r="C201" s="440">
        <v>0</v>
      </c>
      <c r="D201" s="87">
        <v>0</v>
      </c>
      <c r="E201" s="893">
        <f t="shared" si="185"/>
        <v>0</v>
      </c>
      <c r="F201" s="450"/>
      <c r="G201" s="440"/>
      <c r="H201" s="87">
        <v>0</v>
      </c>
      <c r="I201" s="87">
        <f t="shared" si="205"/>
        <v>0</v>
      </c>
      <c r="J201" s="452"/>
      <c r="K201" s="440"/>
      <c r="L201" s="87">
        <v>0</v>
      </c>
      <c r="M201" s="87">
        <f t="shared" si="206"/>
        <v>0</v>
      </c>
      <c r="N201" s="453"/>
      <c r="O201" s="440"/>
      <c r="P201" s="87">
        <v>0</v>
      </c>
      <c r="Q201" s="87">
        <f t="shared" si="207"/>
        <v>0</v>
      </c>
      <c r="R201" s="452"/>
      <c r="S201" s="440"/>
      <c r="T201" s="87">
        <v>0</v>
      </c>
      <c r="U201" s="87">
        <f t="shared" si="208"/>
        <v>0</v>
      </c>
      <c r="V201" s="453"/>
      <c r="W201" s="440">
        <v>0</v>
      </c>
      <c r="X201" s="137">
        <v>0</v>
      </c>
      <c r="Y201" s="87">
        <f t="shared" si="209"/>
        <v>0</v>
      </c>
      <c r="Z201" s="453"/>
      <c r="AA201" s="440"/>
      <c r="AB201" s="440">
        <v>0</v>
      </c>
      <c r="AC201" s="87">
        <f t="shared" si="212"/>
        <v>0</v>
      </c>
      <c r="AD201" s="452"/>
      <c r="AE201" s="440"/>
      <c r="AF201" s="440">
        <v>0</v>
      </c>
      <c r="AG201" s="96">
        <f t="shared" si="214"/>
        <v>0</v>
      </c>
      <c r="AH201" s="453"/>
      <c r="AI201" s="440"/>
      <c r="AJ201" s="46">
        <v>0</v>
      </c>
      <c r="AK201" s="96">
        <f t="shared" si="188"/>
        <v>0</v>
      </c>
      <c r="AL201" s="452"/>
      <c r="AM201" s="440"/>
      <c r="AN201" s="46">
        <v>0</v>
      </c>
      <c r="AO201" s="96">
        <f t="shared" si="189"/>
        <v>0</v>
      </c>
      <c r="AP201" s="448"/>
      <c r="AQ201" s="440"/>
      <c r="AR201" s="440"/>
      <c r="AS201" s="96">
        <f t="shared" si="190"/>
        <v>0</v>
      </c>
      <c r="AT201" s="449"/>
      <c r="AU201" s="440"/>
      <c r="AV201" s="46"/>
      <c r="AW201" s="87">
        <f t="shared" si="204"/>
        <v>0</v>
      </c>
      <c r="AX201" s="448"/>
      <c r="AY201" s="1131">
        <f t="shared" si="203"/>
        <v>0</v>
      </c>
      <c r="AZ201" s="188">
        <f t="shared" si="191"/>
        <v>0</v>
      </c>
      <c r="BA201" s="118"/>
      <c r="BB201" s="805"/>
      <c r="BC201" s="804"/>
    </row>
    <row r="202" spans="1:55" s="119" customFormat="1" ht="18" customHeight="1" x14ac:dyDescent="0.25">
      <c r="A202" s="170">
        <v>53474</v>
      </c>
      <c r="B202" s="152" t="s">
        <v>140</v>
      </c>
      <c r="C202" s="212">
        <v>2900</v>
      </c>
      <c r="D202" s="87">
        <v>2827.67</v>
      </c>
      <c r="E202" s="893">
        <f t="shared" si="185"/>
        <v>-72.329999999999927</v>
      </c>
      <c r="F202" s="450">
        <f t="shared" si="211"/>
        <v>-2.4941379310344791</v>
      </c>
      <c r="G202" s="212">
        <v>2900</v>
      </c>
      <c r="H202" s="87">
        <v>3120</v>
      </c>
      <c r="I202" s="87">
        <f t="shared" si="205"/>
        <v>220</v>
      </c>
      <c r="J202" s="452">
        <f t="shared" si="192"/>
        <v>7.5862068965517171</v>
      </c>
      <c r="K202" s="440">
        <v>2900</v>
      </c>
      <c r="L202" s="87">
        <v>3120</v>
      </c>
      <c r="M202" s="87">
        <f t="shared" si="206"/>
        <v>220</v>
      </c>
      <c r="N202" s="453">
        <f>((L202/K202)-1)*100</f>
        <v>7.5862068965517171</v>
      </c>
      <c r="O202" s="440">
        <v>2900</v>
      </c>
      <c r="P202" s="87">
        <v>2827.67</v>
      </c>
      <c r="Q202" s="87">
        <f t="shared" si="207"/>
        <v>-72.329999999999927</v>
      </c>
      <c r="R202" s="452">
        <f t="shared" si="194"/>
        <v>-2.4941379310344791</v>
      </c>
      <c r="S202" s="1134">
        <f>O202</f>
        <v>2900</v>
      </c>
      <c r="T202" s="87">
        <v>3245.07</v>
      </c>
      <c r="U202" s="87">
        <f t="shared" si="208"/>
        <v>345.07000000000016</v>
      </c>
      <c r="V202" s="453">
        <f t="shared" si="195"/>
        <v>11.89896551724139</v>
      </c>
      <c r="W202" s="440">
        <v>2900</v>
      </c>
      <c r="X202" s="137">
        <v>3245.07</v>
      </c>
      <c r="Y202" s="87">
        <f t="shared" si="209"/>
        <v>345.07000000000016</v>
      </c>
      <c r="Z202" s="453">
        <f>((X202/W202)-1)*100</f>
        <v>11.89896551724139</v>
      </c>
      <c r="AA202" s="440">
        <v>2900</v>
      </c>
      <c r="AB202" s="440">
        <v>3535.07</v>
      </c>
      <c r="AC202" s="87">
        <f t="shared" si="212"/>
        <v>635.07000000000016</v>
      </c>
      <c r="AD202" s="452">
        <f t="shared" si="213"/>
        <v>21.898965517241376</v>
      </c>
      <c r="AE202" s="440">
        <v>2900</v>
      </c>
      <c r="AF202" s="440">
        <v>18196.8</v>
      </c>
      <c r="AG202" s="96">
        <f t="shared" si="214"/>
        <v>15296.8</v>
      </c>
      <c r="AH202" s="453">
        <f t="shared" si="215"/>
        <v>527.47586206896551</v>
      </c>
      <c r="AI202" s="440">
        <v>2900</v>
      </c>
      <c r="AJ202" s="46">
        <v>-18196.8</v>
      </c>
      <c r="AK202" s="96">
        <f t="shared" si="188"/>
        <v>-21096.799999999999</v>
      </c>
      <c r="AL202" s="452">
        <f t="shared" si="216"/>
        <v>-727.47586206896551</v>
      </c>
      <c r="AM202" s="440">
        <v>2900</v>
      </c>
      <c r="AN202" s="46">
        <v>0</v>
      </c>
      <c r="AO202" s="96">
        <f t="shared" si="189"/>
        <v>-2900</v>
      </c>
      <c r="AP202" s="448">
        <f t="shared" si="217"/>
        <v>-100</v>
      </c>
      <c r="AQ202" s="440">
        <v>2900</v>
      </c>
      <c r="AR202" s="440"/>
      <c r="AS202" s="96">
        <f t="shared" si="190"/>
        <v>-2900</v>
      </c>
      <c r="AT202" s="449">
        <f t="shared" si="201"/>
        <v>-100</v>
      </c>
      <c r="AU202" s="440">
        <v>2900</v>
      </c>
      <c r="AV202" s="46"/>
      <c r="AW202" s="87">
        <f t="shared" si="204"/>
        <v>-2900</v>
      </c>
      <c r="AX202" s="448">
        <f t="shared" si="202"/>
        <v>-100</v>
      </c>
      <c r="AY202" s="1131">
        <f t="shared" si="203"/>
        <v>34800</v>
      </c>
      <c r="AZ202" s="188">
        <f t="shared" si="191"/>
        <v>21920.55</v>
      </c>
      <c r="BA202" s="118"/>
      <c r="BB202" s="805"/>
      <c r="BC202" s="804"/>
    </row>
    <row r="203" spans="1:55" s="119" customFormat="1" ht="18" customHeight="1" x14ac:dyDescent="0.25">
      <c r="A203" s="579">
        <v>37992</v>
      </c>
      <c r="B203" s="147" t="s">
        <v>222</v>
      </c>
      <c r="C203" s="440">
        <v>0</v>
      </c>
      <c r="D203" s="583">
        <v>0</v>
      </c>
      <c r="E203" s="584">
        <f t="shared" si="185"/>
        <v>0</v>
      </c>
      <c r="F203" s="102"/>
      <c r="G203" s="1132">
        <v>0</v>
      </c>
      <c r="H203" s="583">
        <v>0</v>
      </c>
      <c r="I203" s="583">
        <f t="shared" si="205"/>
        <v>0</v>
      </c>
      <c r="J203" s="1135"/>
      <c r="K203" s="1136">
        <v>0</v>
      </c>
      <c r="L203" s="82">
        <v>240</v>
      </c>
      <c r="M203" s="583">
        <f>L203-K203</f>
        <v>240</v>
      </c>
      <c r="N203" s="453"/>
      <c r="O203" s="582">
        <v>0</v>
      </c>
      <c r="P203" s="583">
        <v>0</v>
      </c>
      <c r="Q203" s="87">
        <f t="shared" si="207"/>
        <v>0</v>
      </c>
      <c r="R203" s="452"/>
      <c r="S203" s="1132">
        <v>0</v>
      </c>
      <c r="T203" s="583">
        <v>0</v>
      </c>
      <c r="U203" s="583">
        <f t="shared" si="208"/>
        <v>0</v>
      </c>
      <c r="V203" s="1137"/>
      <c r="W203" s="582">
        <v>0</v>
      </c>
      <c r="X203" s="137">
        <v>252</v>
      </c>
      <c r="Y203" s="82">
        <f t="shared" si="209"/>
        <v>252</v>
      </c>
      <c r="Z203" s="1137"/>
      <c r="AA203" s="1077">
        <v>0</v>
      </c>
      <c r="AB203" s="442">
        <v>0</v>
      </c>
      <c r="AC203" s="87">
        <f t="shared" si="212"/>
        <v>0</v>
      </c>
      <c r="AD203" s="452"/>
      <c r="AE203" s="1077">
        <v>0</v>
      </c>
      <c r="AF203" s="442">
        <v>0</v>
      </c>
      <c r="AG203" s="96">
        <f t="shared" si="214"/>
        <v>0</v>
      </c>
      <c r="AH203" s="453"/>
      <c r="AI203" s="1132">
        <v>0</v>
      </c>
      <c r="AJ203" s="47">
        <v>0</v>
      </c>
      <c r="AK203" s="96">
        <f t="shared" si="188"/>
        <v>0</v>
      </c>
      <c r="AL203" s="452"/>
      <c r="AM203" s="582">
        <v>0</v>
      </c>
      <c r="AN203" s="587">
        <v>0</v>
      </c>
      <c r="AO203" s="96">
        <f t="shared" si="189"/>
        <v>0</v>
      </c>
      <c r="AP203" s="448"/>
      <c r="AQ203" s="582">
        <v>0</v>
      </c>
      <c r="AR203" s="440"/>
      <c r="AS203" s="96">
        <f t="shared" si="190"/>
        <v>0</v>
      </c>
      <c r="AT203" s="449"/>
      <c r="AU203" s="582">
        <v>0</v>
      </c>
      <c r="AV203" s="47"/>
      <c r="AW203" s="87">
        <f t="shared" si="204"/>
        <v>0</v>
      </c>
      <c r="AX203" s="448"/>
      <c r="AY203" s="1131">
        <f t="shared" si="203"/>
        <v>0</v>
      </c>
      <c r="AZ203" s="368">
        <f t="shared" si="191"/>
        <v>492</v>
      </c>
      <c r="BA203" s="118"/>
      <c r="BB203" s="805"/>
      <c r="BC203" s="804"/>
    </row>
    <row r="204" spans="1:55" s="119" customFormat="1" ht="18" customHeight="1" x14ac:dyDescent="0.25">
      <c r="A204" s="1138">
        <v>11870</v>
      </c>
      <c r="B204" s="382" t="s">
        <v>3654</v>
      </c>
      <c r="C204" s="1132">
        <v>0</v>
      </c>
      <c r="D204" s="1002">
        <v>0</v>
      </c>
      <c r="E204" s="490">
        <f t="shared" si="185"/>
        <v>0</v>
      </c>
      <c r="F204" s="1077"/>
      <c r="G204" s="1132">
        <v>0</v>
      </c>
      <c r="H204" s="82">
        <v>0</v>
      </c>
      <c r="I204" s="82">
        <f t="shared" si="205"/>
        <v>0</v>
      </c>
      <c r="J204" s="1137"/>
      <c r="K204" s="582">
        <v>0</v>
      </c>
      <c r="L204" s="85">
        <v>0</v>
      </c>
      <c r="M204" s="583">
        <f>L204-K204</f>
        <v>0</v>
      </c>
      <c r="N204" s="1137"/>
      <c r="O204" s="582">
        <v>0</v>
      </c>
      <c r="P204" s="583">
        <v>0</v>
      </c>
      <c r="Q204" s="82">
        <f t="shared" si="207"/>
        <v>0</v>
      </c>
      <c r="R204" s="1137"/>
      <c r="S204" s="442">
        <v>0</v>
      </c>
      <c r="T204" s="82">
        <v>0</v>
      </c>
      <c r="U204" s="583">
        <f t="shared" si="208"/>
        <v>0</v>
      </c>
      <c r="V204" s="1137"/>
      <c r="W204" s="84">
        <v>0</v>
      </c>
      <c r="X204" s="131">
        <v>0</v>
      </c>
      <c r="Y204" s="82">
        <f t="shared" si="209"/>
        <v>0</v>
      </c>
      <c r="Z204" s="1137"/>
      <c r="AA204" s="1139">
        <v>0</v>
      </c>
      <c r="AB204" s="1132">
        <v>0</v>
      </c>
      <c r="AC204" s="85">
        <f t="shared" si="212"/>
        <v>0</v>
      </c>
      <c r="AD204" s="456"/>
      <c r="AE204" s="1077">
        <v>0</v>
      </c>
      <c r="AF204" s="1140">
        <v>0</v>
      </c>
      <c r="AG204" s="1033">
        <f t="shared" si="214"/>
        <v>0</v>
      </c>
      <c r="AH204" s="455"/>
      <c r="AI204" s="442">
        <v>0</v>
      </c>
      <c r="AJ204" s="87">
        <v>0</v>
      </c>
      <c r="AK204" s="96">
        <f t="shared" si="188"/>
        <v>0</v>
      </c>
      <c r="AL204" s="452"/>
      <c r="AM204" s="1132">
        <v>0</v>
      </c>
      <c r="AN204" s="587">
        <v>0</v>
      </c>
      <c r="AO204" s="97">
        <f t="shared" si="189"/>
        <v>0</v>
      </c>
      <c r="AP204" s="1141"/>
      <c r="AQ204" s="1077">
        <v>0</v>
      </c>
      <c r="AR204" s="442"/>
      <c r="AS204" s="1033">
        <f t="shared" si="190"/>
        <v>0</v>
      </c>
      <c r="AT204" s="1141"/>
      <c r="AU204" s="84">
        <v>0</v>
      </c>
      <c r="AV204" s="47"/>
      <c r="AW204" s="85">
        <f t="shared" si="204"/>
        <v>0</v>
      </c>
      <c r="AX204" s="1007"/>
      <c r="AY204" s="1131">
        <f t="shared" si="203"/>
        <v>0</v>
      </c>
      <c r="AZ204" s="1142">
        <f t="shared" si="191"/>
        <v>0</v>
      </c>
      <c r="BA204" s="118"/>
      <c r="BB204" s="805"/>
      <c r="BC204" s="804"/>
    </row>
    <row r="205" spans="1:55" s="119" customFormat="1" ht="18" customHeight="1" outlineLevel="1" thickBot="1" x14ac:dyDescent="0.3">
      <c r="A205" s="1143">
        <v>11161</v>
      </c>
      <c r="B205" s="384" t="s">
        <v>3764</v>
      </c>
      <c r="C205" s="1144">
        <v>0</v>
      </c>
      <c r="D205" s="91">
        <v>0</v>
      </c>
      <c r="E205" s="1145">
        <f t="shared" si="185"/>
        <v>0</v>
      </c>
      <c r="F205" s="1146"/>
      <c r="G205" s="1147">
        <v>0</v>
      </c>
      <c r="H205" s="91">
        <v>0</v>
      </c>
      <c r="I205" s="91">
        <f t="shared" si="205"/>
        <v>0</v>
      </c>
      <c r="J205" s="1148"/>
      <c r="K205" s="1147">
        <v>0</v>
      </c>
      <c r="L205" s="91">
        <v>0</v>
      </c>
      <c r="M205" s="1149">
        <f>L205-K205</f>
        <v>0</v>
      </c>
      <c r="N205" s="1150"/>
      <c r="O205" s="1144">
        <v>0</v>
      </c>
      <c r="P205" s="1151">
        <v>0</v>
      </c>
      <c r="Q205" s="1151">
        <f t="shared" si="207"/>
        <v>0</v>
      </c>
      <c r="R205" s="1150"/>
      <c r="S205" s="1147">
        <v>0</v>
      </c>
      <c r="T205" s="91">
        <v>0</v>
      </c>
      <c r="U205" s="1149">
        <f t="shared" si="208"/>
        <v>0</v>
      </c>
      <c r="V205" s="1150"/>
      <c r="W205" s="1147">
        <v>0</v>
      </c>
      <c r="X205" s="1152">
        <v>0</v>
      </c>
      <c r="Y205" s="1008">
        <f>X205-W205</f>
        <v>0</v>
      </c>
      <c r="Z205" s="1150"/>
      <c r="AA205" s="1149">
        <v>0</v>
      </c>
      <c r="AB205" s="1147">
        <v>0</v>
      </c>
      <c r="AC205" s="91">
        <f t="shared" si="212"/>
        <v>0</v>
      </c>
      <c r="AD205" s="1153"/>
      <c r="AE205" s="1078">
        <v>0</v>
      </c>
      <c r="AF205" s="1154">
        <v>0</v>
      </c>
      <c r="AG205" s="91">
        <f t="shared" si="214"/>
        <v>0</v>
      </c>
      <c r="AH205" s="1153"/>
      <c r="AI205" s="1147">
        <v>0</v>
      </c>
      <c r="AJ205" s="1015">
        <v>1468.56</v>
      </c>
      <c r="AK205" s="1155">
        <f t="shared" si="188"/>
        <v>1468.56</v>
      </c>
      <c r="AL205" s="1150"/>
      <c r="AM205" s="1008">
        <v>0</v>
      </c>
      <c r="AN205" s="1156">
        <v>1995.41</v>
      </c>
      <c r="AO205" s="1157">
        <f>AN205-AM205</f>
        <v>1995.41</v>
      </c>
      <c r="AP205" s="1013"/>
      <c r="AQ205" s="1078">
        <v>0</v>
      </c>
      <c r="AR205" s="1147"/>
      <c r="AS205" s="1157">
        <f>AR205-AQ205</f>
        <v>0</v>
      </c>
      <c r="AT205" s="1158"/>
      <c r="AU205" s="1147">
        <v>0</v>
      </c>
      <c r="AV205" s="1011"/>
      <c r="AW205" s="1151">
        <f>AV205-AU205</f>
        <v>0</v>
      </c>
      <c r="AX205" s="1158"/>
      <c r="AY205" s="1159">
        <f t="shared" si="203"/>
        <v>0</v>
      </c>
      <c r="AZ205" s="1160">
        <f t="shared" si="191"/>
        <v>3463.9700000000003</v>
      </c>
      <c r="BA205" s="1105"/>
      <c r="BB205" s="805"/>
      <c r="BC205" s="804"/>
    </row>
    <row r="206" spans="1:55" s="119" customFormat="1" ht="18" customHeight="1" outlineLevel="1" thickBot="1" x14ac:dyDescent="0.3">
      <c r="A206" s="923"/>
      <c r="B206" s="343"/>
      <c r="C206" s="1008"/>
      <c r="D206" s="1008"/>
      <c r="E206" s="437"/>
      <c r="F206" s="1161"/>
      <c r="G206" s="437"/>
      <c r="H206" s="1008"/>
      <c r="I206" s="1008"/>
      <c r="J206" s="1009"/>
      <c r="K206" s="1008"/>
      <c r="L206" s="1008"/>
      <c r="M206" s="1008"/>
      <c r="N206" s="1009"/>
      <c r="O206" s="1008"/>
      <c r="P206" s="1008"/>
      <c r="Q206" s="1008"/>
      <c r="R206" s="1009"/>
      <c r="S206" s="437"/>
      <c r="T206" s="1008"/>
      <c r="U206" s="1008"/>
      <c r="V206" s="947"/>
      <c r="W206" s="437"/>
      <c r="X206" s="1010"/>
      <c r="Y206" s="437"/>
      <c r="Z206" s="1009"/>
      <c r="AA206" s="437"/>
      <c r="AB206" s="1008"/>
      <c r="AC206" s="1008"/>
      <c r="AD206" s="1009"/>
      <c r="AE206" s="947"/>
      <c r="AF206" s="1009"/>
      <c r="AG206" s="1008"/>
      <c r="AH206" s="1009"/>
      <c r="AI206" s="437"/>
      <c r="AJ206" s="1011"/>
      <c r="AK206" s="1012"/>
      <c r="AL206" s="1009"/>
      <c r="AM206" s="437"/>
      <c r="AN206" s="1011"/>
      <c r="AO206" s="1012"/>
      <c r="AP206" s="1013"/>
      <c r="AQ206" s="1008"/>
      <c r="AR206" s="1008"/>
      <c r="AS206" s="1014"/>
      <c r="AT206" s="924"/>
      <c r="AU206" s="437"/>
      <c r="AV206" s="1011"/>
      <c r="AW206" s="1008"/>
      <c r="AX206" s="1013"/>
      <c r="AY206" s="925"/>
      <c r="AZ206" s="66"/>
      <c r="BA206" s="118"/>
      <c r="BB206" s="805"/>
      <c r="BC206" s="804"/>
    </row>
    <row r="207" spans="1:55" ht="18" customHeight="1" outlineLevel="1" thickBot="1" x14ac:dyDescent="0.3">
      <c r="A207" s="557"/>
      <c r="B207" s="559" t="s">
        <v>3625</v>
      </c>
      <c r="C207" s="478">
        <f>SUM(C208)</f>
        <v>25000</v>
      </c>
      <c r="D207" s="532">
        <f>SUM(D208)</f>
        <v>54998.770000000004</v>
      </c>
      <c r="E207" s="530">
        <f>D207-C207</f>
        <v>29998.770000000004</v>
      </c>
      <c r="F207" s="533">
        <f>((D207/C207)-1)*100</f>
        <v>119.99508000000003</v>
      </c>
      <c r="G207" s="478">
        <f>SUM(G208)</f>
        <v>25000</v>
      </c>
      <c r="H207" s="532">
        <f>SUM(H208)</f>
        <v>40622.899999999994</v>
      </c>
      <c r="I207" s="530">
        <f>H207-G207</f>
        <v>15622.899999999994</v>
      </c>
      <c r="J207" s="533">
        <f>((H207/G207)-1)*100</f>
        <v>62.491599999999977</v>
      </c>
      <c r="K207" s="478">
        <f>SUM(K208)</f>
        <v>25000</v>
      </c>
      <c r="L207" s="532">
        <f>SUM(L208)</f>
        <v>39956.25</v>
      </c>
      <c r="M207" s="530">
        <f>L207-K207</f>
        <v>14956.25</v>
      </c>
      <c r="N207" s="533">
        <f>((L207/K207)-1)*100</f>
        <v>59.824999999999996</v>
      </c>
      <c r="O207" s="478">
        <f>SUM(O208)</f>
        <v>25000</v>
      </c>
      <c r="P207" s="532">
        <f>SUM(P208)</f>
        <v>37438.07</v>
      </c>
      <c r="Q207" s="530">
        <f>P207-O207</f>
        <v>12438.07</v>
      </c>
      <c r="R207" s="533">
        <f>((P207/O207)-1)*100</f>
        <v>49.752280000000006</v>
      </c>
      <c r="S207" s="478">
        <f>SUM(S208)</f>
        <v>25000</v>
      </c>
      <c r="T207" s="478">
        <f>SUM(T208)</f>
        <v>38924.730000000003</v>
      </c>
      <c r="U207" s="392">
        <f>T207-S207</f>
        <v>13924.730000000003</v>
      </c>
      <c r="V207" s="393">
        <f>((T207/S207)-1)*100</f>
        <v>55.698920000000008</v>
      </c>
      <c r="W207" s="478">
        <f>SUM(W208)</f>
        <v>25000</v>
      </c>
      <c r="X207" s="478">
        <f t="shared" ref="X207:AW207" si="218">SUM(X208)</f>
        <v>32521.200000000001</v>
      </c>
      <c r="Y207" s="478">
        <f t="shared" si="218"/>
        <v>7521.2000000000007</v>
      </c>
      <c r="Z207" s="478">
        <f>((X207/W207)-1)*100</f>
        <v>30.084800000000001</v>
      </c>
      <c r="AA207" s="478">
        <f t="shared" si="218"/>
        <v>25000</v>
      </c>
      <c r="AB207" s="478">
        <f t="shared" si="218"/>
        <v>43030.36</v>
      </c>
      <c r="AC207" s="478">
        <f t="shared" si="218"/>
        <v>18030.36</v>
      </c>
      <c r="AD207" s="478">
        <f>((AB207/AA207)-1)*100</f>
        <v>72.121440000000007</v>
      </c>
      <c r="AE207" s="478">
        <f t="shared" si="218"/>
        <v>25000</v>
      </c>
      <c r="AF207" s="392">
        <f t="shared" si="218"/>
        <v>39952.58</v>
      </c>
      <c r="AG207" s="392">
        <f t="shared" si="218"/>
        <v>14952.580000000002</v>
      </c>
      <c r="AH207" s="392">
        <f>((AF207/AE207)-1)*100</f>
        <v>59.810320000000019</v>
      </c>
      <c r="AI207" s="395">
        <f t="shared" si="218"/>
        <v>25000</v>
      </c>
      <c r="AJ207" s="396">
        <f>SUM(AJ208)</f>
        <v>92566.94</v>
      </c>
      <c r="AK207" s="392">
        <f t="shared" si="218"/>
        <v>67566.94</v>
      </c>
      <c r="AL207" s="392">
        <f>((AJ207/AI207)-1)*100</f>
        <v>270.26776000000001</v>
      </c>
      <c r="AM207" s="487">
        <f t="shared" si="218"/>
        <v>25000</v>
      </c>
      <c r="AN207" s="396">
        <f t="shared" si="218"/>
        <v>37317.879999999997</v>
      </c>
      <c r="AO207" s="392">
        <f t="shared" si="218"/>
        <v>12317.879999999997</v>
      </c>
      <c r="AP207" s="394">
        <f>((AN207/AM207)-1)*100</f>
        <v>49.271519999999988</v>
      </c>
      <c r="AQ207" s="395">
        <f t="shared" si="218"/>
        <v>25000</v>
      </c>
      <c r="AR207" s="396">
        <f t="shared" si="218"/>
        <v>0</v>
      </c>
      <c r="AS207" s="392">
        <f t="shared" si="218"/>
        <v>-25000</v>
      </c>
      <c r="AT207" s="562">
        <f>((AR207/AQ207)-1)*100</f>
        <v>-100</v>
      </c>
      <c r="AU207" s="487">
        <f t="shared" si="218"/>
        <v>25000</v>
      </c>
      <c r="AV207" s="396">
        <f t="shared" si="218"/>
        <v>0</v>
      </c>
      <c r="AW207" s="392">
        <f t="shared" si="218"/>
        <v>-25000</v>
      </c>
      <c r="AX207" s="393">
        <f>((AV207/AU207)-1)*100</f>
        <v>-100</v>
      </c>
      <c r="AY207" s="487">
        <f>C207+G207+K207+O207+S207+W207+AA207+AE207+AI207+AM207+AQ207+AU207</f>
        <v>300000</v>
      </c>
      <c r="AZ207" s="397">
        <f>SUM(D207+H207+L207+P207+T207+X207+AB207+AF207+AJ207+AN207+AR207+AV207)</f>
        <v>457329.68000000005</v>
      </c>
      <c r="BA207" s="63"/>
    </row>
    <row r="208" spans="1:55" s="119" customFormat="1" ht="18" customHeight="1" outlineLevel="1" thickBot="1" x14ac:dyDescent="0.3">
      <c r="A208" s="910" t="s">
        <v>3626</v>
      </c>
      <c r="B208" s="911" t="s">
        <v>3625</v>
      </c>
      <c r="C208" s="718">
        <v>25000</v>
      </c>
      <c r="D208" s="912">
        <f>37820.93+17177.84</f>
        <v>54998.770000000004</v>
      </c>
      <c r="E208" s="913">
        <f>D208-C208</f>
        <v>29998.770000000004</v>
      </c>
      <c r="F208" s="914">
        <f>((D208/C208)-1)*100</f>
        <v>119.99508000000003</v>
      </c>
      <c r="G208" s="718">
        <v>25000</v>
      </c>
      <c r="H208" s="912">
        <f>23445.1+17177.8</f>
        <v>40622.899999999994</v>
      </c>
      <c r="I208" s="912">
        <f>H208-G208</f>
        <v>15622.899999999994</v>
      </c>
      <c r="J208" s="915">
        <v>0</v>
      </c>
      <c r="K208" s="916">
        <v>25000</v>
      </c>
      <c r="L208" s="912">
        <v>39956.25</v>
      </c>
      <c r="M208" s="912">
        <f>L208-K208</f>
        <v>14956.25</v>
      </c>
      <c r="N208" s="917">
        <f>((L208/K208)-1)*100</f>
        <v>59.824999999999996</v>
      </c>
      <c r="O208" s="916">
        <v>25000</v>
      </c>
      <c r="P208" s="912">
        <v>37438.07</v>
      </c>
      <c r="Q208" s="912">
        <f>P208-O208</f>
        <v>12438.07</v>
      </c>
      <c r="R208" s="915">
        <f>((P208/O208)-1)*100</f>
        <v>49.752280000000006</v>
      </c>
      <c r="S208" s="918">
        <f>O208</f>
        <v>25000</v>
      </c>
      <c r="T208" s="912">
        <v>38924.730000000003</v>
      </c>
      <c r="U208" s="912">
        <f>T208-S208</f>
        <v>13924.730000000003</v>
      </c>
      <c r="V208" s="917">
        <f>((T208/S208)-1)*100</f>
        <v>55.698920000000008</v>
      </c>
      <c r="W208" s="916">
        <v>25000</v>
      </c>
      <c r="X208" s="131">
        <v>32521.200000000001</v>
      </c>
      <c r="Y208" s="912">
        <f>X208-W208</f>
        <v>7521.2000000000007</v>
      </c>
      <c r="Z208" s="912">
        <f>((X208/W208)-1)*100</f>
        <v>30.084800000000001</v>
      </c>
      <c r="AA208" s="916">
        <v>25000</v>
      </c>
      <c r="AB208" s="916">
        <v>43030.36</v>
      </c>
      <c r="AC208" s="916">
        <f>AB208-AA208</f>
        <v>18030.36</v>
      </c>
      <c r="AD208" s="916">
        <f>((AB208/AA208)-1)*100</f>
        <v>72.121440000000007</v>
      </c>
      <c r="AE208" s="916">
        <v>25000</v>
      </c>
      <c r="AF208" s="916">
        <v>39952.58</v>
      </c>
      <c r="AG208" s="912">
        <f>AF208-AE208</f>
        <v>14952.580000000002</v>
      </c>
      <c r="AH208" s="912">
        <f>((AF208/AE208)-1)*100</f>
        <v>59.810320000000019</v>
      </c>
      <c r="AI208" s="916">
        <v>25000</v>
      </c>
      <c r="AJ208" s="919">
        <v>92566.94</v>
      </c>
      <c r="AK208" s="920">
        <f>AJ208-AI208</f>
        <v>67566.94</v>
      </c>
      <c r="AL208" s="920">
        <f>((AJ208/AI208)-1)*100</f>
        <v>270.26776000000001</v>
      </c>
      <c r="AM208" s="916">
        <v>25000</v>
      </c>
      <c r="AN208" s="919">
        <v>37317.879999999997</v>
      </c>
      <c r="AO208" s="920">
        <f>AN208-AM208</f>
        <v>12317.879999999997</v>
      </c>
      <c r="AP208" s="1162">
        <f>((AN208/AM208)-1)*100</f>
        <v>49.271519999999988</v>
      </c>
      <c r="AQ208" s="916">
        <v>25000</v>
      </c>
      <c r="AR208" s="916"/>
      <c r="AS208" s="920">
        <f>AR208-AQ208</f>
        <v>-25000</v>
      </c>
      <c r="AT208" s="922">
        <f>((AR208/AQ208)-1)*100</f>
        <v>-100</v>
      </c>
      <c r="AU208" s="916">
        <v>25000</v>
      </c>
      <c r="AV208" s="919"/>
      <c r="AW208" s="912">
        <f>AV208-AU208</f>
        <v>-25000</v>
      </c>
      <c r="AX208" s="921">
        <f>((AV208/AU208)-1)*100</f>
        <v>-100</v>
      </c>
      <c r="AY208" s="116">
        <f>+C208+G208+K208+O208+S208+W208+AA208+AE208+AI208+AM208+AQ208+AU208</f>
        <v>300000</v>
      </c>
      <c r="AZ208" s="116">
        <f>SUM(D208+H208+L208+P208+T208+X208+AB208+AF208+AJ208+AN208+AR208+AV208)</f>
        <v>457329.68000000005</v>
      </c>
      <c r="BA208" s="118"/>
      <c r="BB208" s="805"/>
      <c r="BC208" s="804"/>
    </row>
    <row r="209" spans="1:58" ht="18" customHeight="1" thickBot="1" x14ac:dyDescent="0.3">
      <c r="C209" s="83"/>
      <c r="D209" s="25"/>
      <c r="E209" s="93"/>
      <c r="G209" s="25"/>
      <c r="H209" s="25"/>
      <c r="I209" s="93"/>
      <c r="J209" s="25"/>
      <c r="K209" s="85"/>
      <c r="L209" s="92"/>
      <c r="M209" s="93"/>
      <c r="N209" s="25"/>
      <c r="O209" s="25"/>
      <c r="P209" s="25"/>
      <c r="Q209" s="93"/>
      <c r="R209" s="25"/>
      <c r="S209" s="25"/>
      <c r="T209" s="25"/>
      <c r="U209" s="93"/>
      <c r="V209" s="25"/>
      <c r="W209" s="25"/>
      <c r="X209" s="1163"/>
      <c r="Y209" s="25"/>
      <c r="Z209" s="25"/>
      <c r="AA209" s="25"/>
      <c r="AB209" s="25"/>
      <c r="AC209" s="25"/>
      <c r="AD209" s="25"/>
      <c r="AE209" s="25"/>
      <c r="AF209" s="25"/>
      <c r="BA209" s="63"/>
    </row>
    <row r="210" spans="1:58" s="8" customFormat="1" ht="18" customHeight="1" thickBot="1" x14ac:dyDescent="0.3">
      <c r="A210" s="315"/>
      <c r="B210" s="1083" t="s">
        <v>3697</v>
      </c>
      <c r="C210" s="80">
        <f>C7-C45</f>
        <v>1202999.6287166607</v>
      </c>
      <c r="D210" s="80">
        <f>D7-D45</f>
        <v>2212190.799999997</v>
      </c>
      <c r="E210" s="80">
        <f>E7-E45</f>
        <v>1009191.1712833364</v>
      </c>
      <c r="F210" s="69">
        <f>((D210/C210)-1)*100</f>
        <v>83.889566313492892</v>
      </c>
      <c r="G210" s="80">
        <f>G7-G45</f>
        <v>1203250.0677166618</v>
      </c>
      <c r="H210" s="80">
        <f>H7-H45</f>
        <v>1250054.1500000041</v>
      </c>
      <c r="I210" s="80">
        <f>I7-I45</f>
        <v>46804.082283342257</v>
      </c>
      <c r="J210" s="69">
        <f>((H210/G210)-1)*100</f>
        <v>3.8898050820108887</v>
      </c>
      <c r="K210" s="80">
        <f t="shared" ref="K210:Q210" si="219">K7-K45</f>
        <v>1203250.0677166618</v>
      </c>
      <c r="L210" s="80">
        <f t="shared" si="219"/>
        <v>115341.58999999613</v>
      </c>
      <c r="M210" s="80">
        <f t="shared" si="219"/>
        <v>-1087908.4777166657</v>
      </c>
      <c r="N210" s="80">
        <f>((L210/K210)-1)*100</f>
        <v>-90.414163016099124</v>
      </c>
      <c r="O210" s="80">
        <f t="shared" si="219"/>
        <v>1208913.7277166601</v>
      </c>
      <c r="P210" s="80">
        <f t="shared" si="219"/>
        <v>3671897.41</v>
      </c>
      <c r="Q210" s="80">
        <f t="shared" si="219"/>
        <v>2462983.68228334</v>
      </c>
      <c r="R210" s="80">
        <f>((P210/O210)-1)*100</f>
        <v>203.73527289952352</v>
      </c>
      <c r="S210" s="80">
        <f>S7-S45</f>
        <v>1028094.049549995</v>
      </c>
      <c r="T210" s="80">
        <f>T7-T45</f>
        <v>4530253.6300000027</v>
      </c>
      <c r="U210" s="80">
        <f>U7-U45</f>
        <v>3502159.5804500077</v>
      </c>
      <c r="V210" s="80">
        <f>((T210/S210)-1)*100</f>
        <v>340.6458370207406</v>
      </c>
      <c r="W210" s="104">
        <f>W7-W45</f>
        <v>828094.04954999499</v>
      </c>
      <c r="X210" s="104">
        <f>X7-X45</f>
        <v>1100003.7600000091</v>
      </c>
      <c r="Y210" s="104">
        <f>Y7-Y45</f>
        <v>271909.7104500141</v>
      </c>
      <c r="Z210" s="80">
        <f>((X210/W210)-1)*100</f>
        <v>32.835607332014519</v>
      </c>
      <c r="AA210" s="104">
        <f>AA7-AA45</f>
        <v>901035.46821666323</v>
      </c>
      <c r="AB210" s="104">
        <f>AB7-AB45</f>
        <v>2331257.8299999982</v>
      </c>
      <c r="AC210" s="104">
        <f>AC7-AC45</f>
        <v>1430222.361783335</v>
      </c>
      <c r="AD210" s="80">
        <f>((AB210/AA210)-1)*100</f>
        <v>158.73097255694529</v>
      </c>
      <c r="AE210" s="104">
        <f>AE7-AE45</f>
        <v>964211.34321666136</v>
      </c>
      <c r="AF210" s="104">
        <f>AF7-AF45</f>
        <v>2389569.1800000072</v>
      </c>
      <c r="AG210" s="104">
        <f>AG7-AG45</f>
        <v>1425357.8367833458</v>
      </c>
      <c r="AH210" s="80">
        <f>((AF210/AE210)-1)*100</f>
        <v>147.82628796175271</v>
      </c>
      <c r="AI210" s="51">
        <f>AI7-AI45</f>
        <v>1010125.404883327</v>
      </c>
      <c r="AJ210" s="51">
        <f>AJ7-AJ45</f>
        <v>-1913422</v>
      </c>
      <c r="AK210" s="104">
        <f>AK7-AK45</f>
        <v>-2923547.404883327</v>
      </c>
      <c r="AL210" s="80">
        <f>((AJ210/AI210)-1)*100</f>
        <v>-289.42420324741829</v>
      </c>
      <c r="AM210" s="51">
        <f>AM7-AM45</f>
        <v>1020579.9540499933</v>
      </c>
      <c r="AN210" s="51">
        <f>AN7-AN45</f>
        <v>2530373.3900000043</v>
      </c>
      <c r="AO210" s="104">
        <f>AO7-AO45</f>
        <v>1509793.435950011</v>
      </c>
      <c r="AP210" s="80">
        <f>((AN210/AM210)-1)*100</f>
        <v>147.93485115582169</v>
      </c>
      <c r="AQ210" s="51">
        <f>AQ7-AQ45</f>
        <v>1030364.9490499925</v>
      </c>
      <c r="AR210" s="51">
        <f>AR7-AR45</f>
        <v>0</v>
      </c>
      <c r="AS210" s="104">
        <f>AS7-AS45</f>
        <v>-1030364.9490499925</v>
      </c>
      <c r="AT210" s="80">
        <f>((AR210/AQ210)-1)*100</f>
        <v>-100</v>
      </c>
      <c r="AU210" s="51">
        <f>AU7-AU45</f>
        <v>1234811.6747166589</v>
      </c>
      <c r="AV210" s="51">
        <f>AV7-AV45</f>
        <v>0</v>
      </c>
      <c r="AW210" s="104">
        <f>AW7-AW45</f>
        <v>-1234811.6747166589</v>
      </c>
      <c r="AX210" s="80">
        <f>((AV210/AU210)-1)*100</f>
        <v>-100</v>
      </c>
      <c r="AY210" s="59">
        <f>C210+G210+K210+O210+S210+W210+AA210+AE210+AI210+AM210+AQ210+AU210</f>
        <v>12835730.385099931</v>
      </c>
      <c r="AZ210" s="59">
        <f>D210+H210++L210+P210+T210+X210+AB210+AF210+AJ210+AN210+AR210+AV210</f>
        <v>18217519.740000021</v>
      </c>
      <c r="BA210" s="63"/>
      <c r="BB210" s="132"/>
      <c r="BC210" s="64"/>
      <c r="BD210" s="9"/>
      <c r="BF210" s="9"/>
    </row>
    <row r="211" spans="1:58" ht="18" customHeight="1" thickBot="1" x14ac:dyDescent="0.3">
      <c r="A211" s="52"/>
      <c r="C211" s="16"/>
      <c r="E211" s="43"/>
      <c r="I211" s="43"/>
      <c r="M211" s="43"/>
      <c r="Q211" s="43"/>
      <c r="U211" s="43"/>
      <c r="AV211" s="43"/>
      <c r="AZ211" s="43"/>
    </row>
    <row r="212" spans="1:58" ht="18" customHeight="1" thickBot="1" x14ac:dyDescent="0.3">
      <c r="A212" s="52"/>
      <c r="B212" s="1084" t="s">
        <v>116</v>
      </c>
      <c r="C212" s="17">
        <f>C216</f>
        <v>1124365.2429999998</v>
      </c>
      <c r="D212" s="17">
        <v>1124365.2429999998</v>
      </c>
      <c r="E212" s="17">
        <f>E216</f>
        <v>0</v>
      </c>
      <c r="F212" s="72"/>
      <c r="G212" s="17">
        <f>C212</f>
        <v>1124365.2429999998</v>
      </c>
      <c r="H212" s="17">
        <f>D212</f>
        <v>1124365.2429999998</v>
      </c>
      <c r="I212" s="17">
        <f>I216</f>
        <v>0</v>
      </c>
      <c r="J212" s="72"/>
      <c r="K212" s="17">
        <f>G212</f>
        <v>1124365.2429999998</v>
      </c>
      <c r="L212" s="17">
        <f>H212</f>
        <v>1124365.2429999998</v>
      </c>
      <c r="M212" s="17">
        <f>M216</f>
        <v>0</v>
      </c>
      <c r="N212" s="72"/>
      <c r="O212" s="17">
        <f>K212</f>
        <v>1124365.2429999998</v>
      </c>
      <c r="P212" s="17">
        <f>L212</f>
        <v>1124365.2429999998</v>
      </c>
      <c r="Q212" s="17">
        <f>Q216</f>
        <v>0</v>
      </c>
      <c r="R212" s="72"/>
      <c r="S212" s="17">
        <f>O212</f>
        <v>1124365.2429999998</v>
      </c>
      <c r="T212" s="17">
        <f>P212</f>
        <v>1124365.2429999998</v>
      </c>
      <c r="U212" s="17">
        <f>U216</f>
        <v>0</v>
      </c>
      <c r="V212" s="72"/>
      <c r="W212" s="17"/>
      <c r="X212" s="17"/>
      <c r="Y212" s="17"/>
      <c r="Z212" s="72"/>
      <c r="AA212" s="17"/>
      <c r="AB212" s="17"/>
      <c r="AC212" s="17"/>
      <c r="AD212" s="72"/>
      <c r="AE212" s="17"/>
      <c r="AF212" s="17"/>
      <c r="AG212" s="17"/>
      <c r="AH212" s="72"/>
      <c r="AI212" s="17"/>
      <c r="AJ212" s="17"/>
      <c r="AK212" s="17"/>
      <c r="AL212" s="72"/>
      <c r="AM212" s="17"/>
      <c r="AN212" s="17"/>
      <c r="AO212" s="17"/>
      <c r="AP212" s="72"/>
      <c r="AQ212" s="17"/>
      <c r="AR212" s="17"/>
      <c r="AS212" s="17"/>
      <c r="AT212" s="72"/>
      <c r="AU212" s="17"/>
      <c r="AV212" s="17"/>
      <c r="AW212" s="17"/>
      <c r="AX212" s="72"/>
      <c r="AY212" s="17"/>
      <c r="AZ212" s="65"/>
    </row>
    <row r="213" spans="1:58" s="23" customFormat="1" ht="18" customHeight="1" thickBot="1" x14ac:dyDescent="0.3">
      <c r="A213" s="53"/>
      <c r="B213" s="19" t="s">
        <v>117</v>
      </c>
      <c r="C213" s="21">
        <f>C212-C210</f>
        <v>-78634.38571666088</v>
      </c>
      <c r="D213" s="21">
        <f>D212-D210</f>
        <v>-1087825.5569999972</v>
      </c>
      <c r="E213" s="21">
        <f>D213-C213</f>
        <v>-1009191.1712833364</v>
      </c>
      <c r="F213" s="73"/>
      <c r="G213" s="21">
        <f t="shared" ref="G213:T213" si="220">G212-G210</f>
        <v>-78884.824716662057</v>
      </c>
      <c r="H213" s="21">
        <f t="shared" si="220"/>
        <v>-125688.90700000431</v>
      </c>
      <c r="I213" s="21">
        <f>H213-G213</f>
        <v>-46804.082283342257</v>
      </c>
      <c r="J213" s="73"/>
      <c r="K213" s="21">
        <f t="shared" si="220"/>
        <v>-78884.824716662057</v>
      </c>
      <c r="L213" s="21">
        <f t="shared" si="220"/>
        <v>1009023.6530000037</v>
      </c>
      <c r="M213" s="21">
        <f>L213-K213</f>
        <v>1087908.4777166657</v>
      </c>
      <c r="N213" s="73"/>
      <c r="O213" s="21">
        <f t="shared" si="220"/>
        <v>-84548.484716660343</v>
      </c>
      <c r="P213" s="21">
        <f t="shared" si="220"/>
        <v>-2547532.1670000004</v>
      </c>
      <c r="Q213" s="21">
        <f>P213-O213</f>
        <v>-2462983.68228334</v>
      </c>
      <c r="R213" s="73"/>
      <c r="S213" s="21">
        <f t="shared" si="220"/>
        <v>96271.193450004794</v>
      </c>
      <c r="T213" s="21">
        <f t="shared" si="220"/>
        <v>-3405888.3870000029</v>
      </c>
      <c r="U213" s="21">
        <f>T213-S213</f>
        <v>-3502159.5804500077</v>
      </c>
      <c r="V213" s="73"/>
      <c r="W213" s="21"/>
      <c r="X213" s="21"/>
      <c r="Y213" s="21"/>
      <c r="Z213" s="73"/>
      <c r="AA213" s="21"/>
      <c r="AB213" s="21"/>
      <c r="AC213" s="21"/>
      <c r="AD213" s="73"/>
      <c r="AE213" s="21"/>
      <c r="AF213" s="21"/>
      <c r="AG213" s="21"/>
      <c r="AH213" s="73"/>
      <c r="AI213" s="21"/>
      <c r="AJ213" s="21"/>
      <c r="AK213" s="21"/>
      <c r="AL213" s="73"/>
      <c r="AM213" s="21"/>
      <c r="AN213" s="21"/>
      <c r="AO213" s="21"/>
      <c r="AP213" s="73"/>
      <c r="AQ213" s="21"/>
      <c r="AR213" s="21"/>
      <c r="AS213" s="21"/>
      <c r="AT213" s="73"/>
      <c r="AU213" s="21"/>
      <c r="AV213" s="21"/>
      <c r="AW213" s="21"/>
      <c r="AX213" s="73"/>
      <c r="AY213" s="21"/>
      <c r="AZ213" s="22"/>
      <c r="BB213" s="105"/>
    </row>
    <row r="214" spans="1:58" s="23" customFormat="1" ht="18" hidden="1" customHeight="1" thickBot="1" x14ac:dyDescent="0.3">
      <c r="A214" s="53"/>
      <c r="B214" s="54"/>
      <c r="C214" s="22"/>
      <c r="D214" s="22"/>
      <c r="E214" s="22"/>
      <c r="F214" s="74"/>
      <c r="G214" s="22"/>
      <c r="H214" s="22"/>
      <c r="I214" s="22"/>
      <c r="J214" s="74"/>
      <c r="K214" s="22"/>
      <c r="L214" s="22"/>
      <c r="M214" s="22"/>
      <c r="N214" s="74"/>
      <c r="O214" s="22"/>
      <c r="P214" s="22"/>
      <c r="Q214" s="22"/>
      <c r="R214" s="74"/>
      <c r="S214" s="22"/>
      <c r="T214" s="22"/>
      <c r="U214" s="22"/>
      <c r="V214" s="74"/>
      <c r="W214" s="22"/>
      <c r="X214" s="22"/>
      <c r="Y214" s="22"/>
      <c r="Z214" s="74"/>
      <c r="AA214" s="22"/>
      <c r="AB214" s="22"/>
      <c r="AC214" s="22"/>
      <c r="AD214" s="74"/>
      <c r="AE214" s="22"/>
      <c r="AF214" s="22"/>
      <c r="AG214" s="22"/>
      <c r="AH214" s="74"/>
      <c r="AI214" s="22"/>
      <c r="AJ214" s="22"/>
      <c r="AK214" s="22"/>
      <c r="AL214" s="74"/>
      <c r="AM214" s="22"/>
      <c r="AN214" s="22"/>
      <c r="AO214" s="22"/>
      <c r="AP214" s="74"/>
      <c r="AQ214" s="22"/>
      <c r="AR214" s="22"/>
      <c r="AS214" s="22"/>
      <c r="AT214" s="74"/>
      <c r="AU214" s="22"/>
      <c r="AV214" s="22"/>
      <c r="AW214" s="22"/>
      <c r="AX214" s="74"/>
      <c r="AY214" s="22"/>
      <c r="AZ214" s="22"/>
    </row>
    <row r="215" spans="1:58" ht="18" hidden="1" customHeight="1" thickBot="1" x14ac:dyDescent="0.3">
      <c r="A215" s="52"/>
      <c r="C215" s="16"/>
    </row>
    <row r="216" spans="1:58" s="25" customFormat="1" ht="18" hidden="1" customHeight="1" x14ac:dyDescent="0.25">
      <c r="A216" s="24"/>
      <c r="B216" s="1079" t="s">
        <v>118</v>
      </c>
      <c r="C216" s="60">
        <f t="shared" ref="C216:K216" si="221">C217+C218</f>
        <v>1124365.2429999998</v>
      </c>
      <c r="D216" s="27">
        <f t="shared" si="221"/>
        <v>0</v>
      </c>
      <c r="E216" s="27">
        <f t="shared" si="221"/>
        <v>0</v>
      </c>
      <c r="F216" s="75"/>
      <c r="G216" s="27">
        <f t="shared" si="221"/>
        <v>1126844.3229999999</v>
      </c>
      <c r="H216" s="27">
        <f t="shared" si="221"/>
        <v>0</v>
      </c>
      <c r="I216" s="27">
        <f t="shared" si="221"/>
        <v>0</v>
      </c>
      <c r="J216" s="75"/>
      <c r="K216" s="27">
        <f t="shared" si="221"/>
        <v>1111435.3129999998</v>
      </c>
      <c r="L216" s="27"/>
      <c r="M216" s="27">
        <f t="shared" ref="M216:U216" si="222">M217+M218</f>
        <v>0</v>
      </c>
      <c r="N216" s="75"/>
      <c r="O216" s="27">
        <f t="shared" si="222"/>
        <v>1108830.2329999998</v>
      </c>
      <c r="P216" s="27">
        <f t="shared" si="222"/>
        <v>0</v>
      </c>
      <c r="Q216" s="27">
        <f t="shared" si="222"/>
        <v>0</v>
      </c>
      <c r="R216" s="75"/>
      <c r="S216" s="27">
        <f t="shared" si="222"/>
        <v>1100602.8329999999</v>
      </c>
      <c r="T216" s="27">
        <f t="shared" si="222"/>
        <v>0</v>
      </c>
      <c r="U216" s="27">
        <f t="shared" si="222"/>
        <v>0</v>
      </c>
      <c r="V216" s="75"/>
      <c r="W216" s="27"/>
      <c r="X216" s="27"/>
      <c r="Y216" s="27"/>
      <c r="Z216" s="75"/>
      <c r="AA216" s="27"/>
      <c r="AB216" s="27"/>
      <c r="AC216" s="27"/>
      <c r="AD216" s="75"/>
      <c r="AE216" s="27"/>
      <c r="AF216" s="27"/>
      <c r="AG216" s="27"/>
      <c r="AH216" s="75"/>
      <c r="AI216" s="27"/>
      <c r="AJ216" s="27"/>
      <c r="AK216" s="27"/>
      <c r="AL216" s="75"/>
      <c r="AM216" s="27"/>
      <c r="AN216" s="27"/>
      <c r="AO216" s="27"/>
      <c r="AP216" s="75"/>
      <c r="AQ216" s="27"/>
      <c r="AR216" s="27"/>
      <c r="AS216" s="27"/>
      <c r="AT216" s="75"/>
      <c r="AU216" s="27"/>
      <c r="AV216" s="27"/>
      <c r="AW216" s="27"/>
      <c r="AX216" s="75"/>
      <c r="AY216" s="27"/>
      <c r="AZ216" s="106"/>
    </row>
    <row r="217" spans="1:58" s="25" customFormat="1" ht="18" hidden="1" customHeight="1" thickBot="1" x14ac:dyDescent="0.3">
      <c r="A217" s="24"/>
      <c r="B217" s="1080" t="s">
        <v>119</v>
      </c>
      <c r="C217" s="61">
        <v>501587.39000000007</v>
      </c>
      <c r="D217" s="30"/>
      <c r="E217" s="31"/>
      <c r="F217" s="76"/>
      <c r="G217" s="29">
        <v>504066.47000000009</v>
      </c>
      <c r="H217" s="29"/>
      <c r="I217" s="31"/>
      <c r="J217" s="76"/>
      <c r="K217" s="29">
        <v>506324.12000000011</v>
      </c>
      <c r="L217" s="29"/>
      <c r="M217" s="31"/>
      <c r="N217" s="76"/>
      <c r="O217" s="29">
        <v>508878.14000000007</v>
      </c>
      <c r="P217" s="29"/>
      <c r="Q217" s="31"/>
      <c r="R217" s="76"/>
      <c r="S217" s="29">
        <v>511470.46000000008</v>
      </c>
      <c r="T217" s="29"/>
      <c r="U217" s="31"/>
      <c r="V217" s="76"/>
      <c r="W217" s="29"/>
      <c r="X217" s="29"/>
      <c r="Y217" s="29"/>
      <c r="Z217" s="76"/>
      <c r="AA217" s="29"/>
      <c r="AB217" s="29"/>
      <c r="AC217" s="29"/>
      <c r="AD217" s="76"/>
      <c r="AE217" s="29"/>
      <c r="AF217" s="29"/>
      <c r="AG217" s="29"/>
      <c r="AH217" s="76"/>
      <c r="AI217" s="29"/>
      <c r="AJ217" s="29"/>
      <c r="AK217" s="29"/>
      <c r="AL217" s="76"/>
      <c r="AM217" s="29"/>
      <c r="AN217" s="29"/>
      <c r="AO217" s="29"/>
      <c r="AP217" s="76"/>
      <c r="AQ217" s="29"/>
      <c r="AR217" s="29"/>
      <c r="AS217" s="29"/>
      <c r="AT217" s="76"/>
      <c r="AU217" s="29"/>
      <c r="AV217" s="29"/>
      <c r="AW217" s="29"/>
      <c r="AX217" s="76"/>
      <c r="AY217" s="29"/>
      <c r="AZ217" s="32"/>
    </row>
    <row r="218" spans="1:58" s="34" customFormat="1" ht="18" hidden="1" customHeight="1" thickBot="1" x14ac:dyDescent="0.3">
      <c r="A218" s="33"/>
      <c r="B218" s="1081" t="s">
        <v>120</v>
      </c>
      <c r="C218" s="62">
        <v>622777.85299999977</v>
      </c>
      <c r="D218" s="35"/>
      <c r="E218" s="35"/>
      <c r="F218" s="77"/>
      <c r="G218" s="35">
        <v>622777.85299999977</v>
      </c>
      <c r="H218" s="35"/>
      <c r="I218" s="35"/>
      <c r="J218" s="77"/>
      <c r="K218" s="35">
        <v>605111.19299999974</v>
      </c>
      <c r="L218" s="36" t="s">
        <v>121</v>
      </c>
      <c r="M218" s="35"/>
      <c r="N218" s="77"/>
      <c r="O218" s="35">
        <v>599952.09299999976</v>
      </c>
      <c r="P218" s="35"/>
      <c r="Q218" s="35"/>
      <c r="R218" s="77"/>
      <c r="S218" s="35">
        <v>589132.37299999979</v>
      </c>
      <c r="T218" s="35"/>
      <c r="U218" s="35"/>
      <c r="V218" s="77"/>
      <c r="W218" s="35"/>
      <c r="X218" s="36"/>
      <c r="Y218" s="35"/>
      <c r="Z218" s="77"/>
      <c r="AA218" s="36"/>
      <c r="AB218" s="35"/>
      <c r="AC218" s="36"/>
      <c r="AD218" s="77"/>
      <c r="AE218" s="35"/>
      <c r="AF218" s="36"/>
      <c r="AG218" s="35"/>
      <c r="AH218" s="77"/>
      <c r="AI218" s="36"/>
      <c r="AJ218" s="35"/>
      <c r="AK218" s="36"/>
      <c r="AL218" s="77"/>
      <c r="AM218" s="35"/>
      <c r="AN218" s="36"/>
      <c r="AO218" s="35"/>
      <c r="AP218" s="77"/>
      <c r="AQ218" s="35"/>
      <c r="AR218" s="35"/>
      <c r="AS218" s="35"/>
      <c r="AT218" s="77"/>
      <c r="AU218" s="35"/>
      <c r="AV218" s="35"/>
      <c r="AW218" s="35"/>
      <c r="AX218" s="77"/>
      <c r="AY218" s="35"/>
      <c r="AZ218" s="107"/>
    </row>
    <row r="219" spans="1:58" ht="18" hidden="1" customHeight="1" x14ac:dyDescent="0.25">
      <c r="C219" s="55"/>
      <c r="D219" s="55"/>
      <c r="E219" s="55"/>
      <c r="F219" s="78"/>
      <c r="G219" s="55"/>
      <c r="H219" s="55"/>
      <c r="I219" s="55"/>
      <c r="J219" s="78"/>
      <c r="K219" s="55"/>
      <c r="L219" s="55"/>
      <c r="M219" s="55"/>
      <c r="N219" s="78"/>
      <c r="O219" s="55"/>
      <c r="P219" s="55"/>
      <c r="Q219" s="55"/>
      <c r="R219" s="78"/>
      <c r="U219" s="55"/>
      <c r="V219" s="78"/>
      <c r="W219" s="55"/>
      <c r="X219" s="55"/>
      <c r="Y219" s="55"/>
      <c r="Z219" s="78"/>
      <c r="AA219" s="55"/>
      <c r="AB219" s="55"/>
      <c r="AC219" s="55"/>
      <c r="AD219" s="78"/>
      <c r="AE219" s="55"/>
      <c r="AF219" s="55"/>
      <c r="AG219" s="55"/>
      <c r="AH219" s="78"/>
      <c r="AI219" s="55"/>
      <c r="AJ219" s="55"/>
      <c r="AK219" s="55"/>
      <c r="AL219" s="78"/>
      <c r="AM219" s="55"/>
      <c r="AN219" s="55"/>
      <c r="AO219" s="55"/>
      <c r="AP219" s="78"/>
      <c r="AQ219" s="55"/>
      <c r="AR219" s="55"/>
      <c r="AS219" s="55"/>
      <c r="AT219" s="78"/>
      <c r="AU219" s="55"/>
      <c r="AV219" s="55"/>
      <c r="AW219" s="55"/>
      <c r="AX219" s="78"/>
      <c r="AY219" s="55"/>
      <c r="AZ219" s="55"/>
    </row>
    <row r="220" spans="1:58" ht="18" hidden="1" customHeight="1" thickBot="1" x14ac:dyDescent="0.3">
      <c r="C220" s="56"/>
      <c r="D220" s="57"/>
      <c r="E220" s="57"/>
      <c r="F220" s="70"/>
      <c r="G220" s="57"/>
      <c r="H220" s="57"/>
      <c r="I220" s="57"/>
      <c r="J220" s="70"/>
      <c r="K220" s="57"/>
      <c r="L220" s="57"/>
      <c r="M220" s="57"/>
      <c r="N220" s="70"/>
      <c r="O220" s="57"/>
      <c r="P220" s="57"/>
      <c r="Q220" s="57"/>
      <c r="R220" s="70"/>
      <c r="U220" s="57"/>
      <c r="V220" s="70"/>
      <c r="W220" s="57"/>
      <c r="X220" s="57"/>
      <c r="Y220" s="57"/>
      <c r="Z220" s="70"/>
      <c r="AA220" s="57"/>
      <c r="AB220" s="57"/>
      <c r="AC220" s="57"/>
      <c r="AD220" s="70"/>
      <c r="AE220" s="57"/>
      <c r="AF220" s="57"/>
      <c r="AG220" s="57"/>
      <c r="AH220" s="70"/>
      <c r="AI220" s="57"/>
      <c r="AJ220" s="57"/>
      <c r="AK220" s="57"/>
      <c r="AL220" s="70"/>
      <c r="AM220" s="57"/>
      <c r="AN220" s="57"/>
      <c r="AO220" s="57"/>
      <c r="AP220" s="70"/>
      <c r="AQ220" s="57"/>
      <c r="AR220" s="57"/>
      <c r="AS220" s="57"/>
      <c r="AT220" s="70"/>
      <c r="AU220" s="57"/>
      <c r="AV220" s="57"/>
      <c r="AW220" s="57"/>
      <c r="AX220" s="70"/>
      <c r="AY220" s="57"/>
      <c r="AZ220" s="57"/>
    </row>
    <row r="221" spans="1:58" ht="18" customHeight="1" x14ac:dyDescent="0.25">
      <c r="C221" s="55"/>
      <c r="D221" s="55"/>
      <c r="E221" s="55"/>
      <c r="F221" s="78"/>
      <c r="G221" s="55"/>
      <c r="H221" s="55"/>
      <c r="I221" s="55"/>
      <c r="J221" s="78"/>
      <c r="K221" s="55"/>
      <c r="L221" s="55"/>
      <c r="M221" s="55"/>
      <c r="N221" s="78"/>
      <c r="O221" s="55"/>
      <c r="P221" s="55"/>
      <c r="Q221" s="55"/>
      <c r="R221" s="78"/>
      <c r="U221" s="55"/>
      <c r="V221" s="78"/>
      <c r="W221" s="55"/>
      <c r="X221" s="55"/>
      <c r="Y221" s="55"/>
      <c r="Z221" s="78"/>
      <c r="AA221" s="55"/>
      <c r="AB221" s="55"/>
      <c r="AC221" s="55"/>
      <c r="AD221" s="78"/>
      <c r="AE221" s="55"/>
      <c r="AF221" s="55"/>
      <c r="AG221" s="55"/>
      <c r="AH221" s="78"/>
      <c r="AI221" s="55"/>
      <c r="AJ221" s="55"/>
      <c r="AK221" s="55"/>
      <c r="AL221" s="78"/>
      <c r="AM221" s="55"/>
      <c r="AN221" s="55"/>
      <c r="AO221" s="55"/>
      <c r="AP221" s="78"/>
      <c r="AQ221" s="55"/>
      <c r="AR221" s="55"/>
      <c r="AS221" s="55"/>
      <c r="AT221" s="78"/>
      <c r="AU221" s="55"/>
      <c r="AV221" s="55"/>
      <c r="AW221" s="55"/>
      <c r="AX221" s="78"/>
      <c r="AY221" s="55"/>
      <c r="AZ221" s="55"/>
    </row>
    <row r="222" spans="1:58" ht="18" customHeight="1" x14ac:dyDescent="0.25">
      <c r="C222" s="13"/>
      <c r="D222" s="317"/>
      <c r="E222" s="25"/>
      <c r="AA222" s="109"/>
      <c r="AX222" s="317"/>
      <c r="AY222" s="43"/>
    </row>
    <row r="223" spans="1:58" ht="18" customHeight="1" x14ac:dyDescent="0.25">
      <c r="C223" s="317"/>
      <c r="D223" s="25"/>
      <c r="E223" s="25"/>
      <c r="AY223" s="109"/>
      <c r="AZ223" s="43"/>
    </row>
    <row r="224" spans="1:58" ht="18" customHeight="1" x14ac:dyDescent="0.25">
      <c r="C224" s="317"/>
      <c r="D224" s="25"/>
      <c r="E224" s="25"/>
      <c r="H224" s="43"/>
      <c r="AX224" s="68"/>
      <c r="AY224" s="109"/>
      <c r="AZ224" s="43"/>
    </row>
    <row r="225" spans="1:52" ht="18" customHeight="1" x14ac:dyDescent="0.25">
      <c r="A225" s="13"/>
      <c r="C225" s="317"/>
      <c r="D225" s="316"/>
      <c r="E225" s="316"/>
      <c r="G225" s="109"/>
      <c r="AY225" s="43"/>
      <c r="AZ225" s="109"/>
    </row>
    <row r="226" spans="1:52" ht="18" customHeight="1" x14ac:dyDescent="0.25">
      <c r="A226" s="13"/>
      <c r="C226" s="402"/>
      <c r="D226" s="109"/>
      <c r="E226" s="110"/>
      <c r="G226" s="109"/>
      <c r="I226" s="109"/>
      <c r="AY226" s="43"/>
      <c r="AZ226" s="109"/>
    </row>
    <row r="227" spans="1:52" ht="18" customHeight="1" x14ac:dyDescent="0.25">
      <c r="A227" s="13"/>
      <c r="D227" s="109"/>
      <c r="G227" s="109"/>
      <c r="I227" s="109"/>
      <c r="AA227" s="43"/>
      <c r="AB227" s="109"/>
      <c r="AY227" s="43"/>
      <c r="AZ227" s="43"/>
    </row>
    <row r="228" spans="1:52" ht="18" customHeight="1" x14ac:dyDescent="0.25">
      <c r="A228" s="13"/>
      <c r="D228" s="109"/>
      <c r="E228" s="110"/>
      <c r="G228" s="109"/>
      <c r="I228" s="109"/>
      <c r="AA228" s="109"/>
      <c r="AW228" s="43"/>
      <c r="AY228" s="109"/>
      <c r="AZ228" s="43"/>
    </row>
    <row r="229" spans="1:52" ht="18" customHeight="1" x14ac:dyDescent="0.25">
      <c r="A229" s="13"/>
      <c r="C229" s="402"/>
      <c r="D229" s="109"/>
      <c r="E229" s="109"/>
      <c r="G229" s="109"/>
      <c r="I229" s="109"/>
      <c r="AB229" s="110"/>
      <c r="AY229" s="109"/>
    </row>
    <row r="230" spans="1:52" ht="18" customHeight="1" x14ac:dyDescent="0.25">
      <c r="A230" s="13"/>
      <c r="B230" s="109"/>
      <c r="C230" s="109"/>
      <c r="D230" s="109"/>
      <c r="E230" s="403"/>
      <c r="G230" s="109"/>
      <c r="I230" s="109"/>
      <c r="AB230" s="109"/>
      <c r="AY230" s="43"/>
    </row>
    <row r="231" spans="1:52" ht="18" customHeight="1" x14ac:dyDescent="0.25">
      <c r="A231" s="13"/>
      <c r="B231" s="109"/>
      <c r="C231" s="402"/>
      <c r="D231" s="110"/>
      <c r="E231" s="404"/>
      <c r="G231" s="109"/>
      <c r="I231" s="109"/>
      <c r="AB231" s="110"/>
      <c r="AY231" s="109"/>
      <c r="AZ231" s="109"/>
    </row>
    <row r="232" spans="1:52" ht="18" customHeight="1" x14ac:dyDescent="0.25">
      <c r="A232" s="13"/>
      <c r="B232" s="109"/>
      <c r="E232" s="109"/>
      <c r="G232" s="109"/>
      <c r="I232" s="109"/>
      <c r="AY232" s="110"/>
    </row>
    <row r="233" spans="1:52" ht="18" customHeight="1" x14ac:dyDescent="0.25">
      <c r="A233" s="13"/>
      <c r="B233" s="109"/>
      <c r="D233" s="43"/>
      <c r="E233" s="110"/>
      <c r="G233" s="109"/>
      <c r="I233" s="109"/>
    </row>
    <row r="234" spans="1:52" ht="18" customHeight="1" x14ac:dyDescent="0.25">
      <c r="A234" s="13"/>
      <c r="B234" s="110"/>
      <c r="G234" s="109"/>
      <c r="I234" s="109"/>
      <c r="K234" s="110"/>
    </row>
    <row r="235" spans="1:52" ht="18" customHeight="1" x14ac:dyDescent="0.25">
      <c r="A235" s="13"/>
      <c r="E235" s="110"/>
      <c r="G235" s="109"/>
      <c r="I235" s="109"/>
    </row>
    <row r="236" spans="1:52" ht="18" customHeight="1" x14ac:dyDescent="0.25">
      <c r="A236" s="13"/>
      <c r="B236" s="110"/>
      <c r="G236" s="110"/>
    </row>
    <row r="237" spans="1:52" ht="18" customHeight="1" x14ac:dyDescent="0.25">
      <c r="A237" s="13"/>
    </row>
    <row r="238" spans="1:52" ht="18" customHeight="1" x14ac:dyDescent="0.25">
      <c r="A238" s="13"/>
      <c r="G238" s="110"/>
    </row>
    <row r="240" spans="1:52" ht="18" customHeight="1" x14ac:dyDescent="0.25">
      <c r="A240" s="13"/>
    </row>
  </sheetData>
  <mergeCells count="16">
    <mergeCell ref="AZ5:AZ6"/>
    <mergeCell ref="AE5:AH5"/>
    <mergeCell ref="AI5:AL5"/>
    <mergeCell ref="AM5:AP5"/>
    <mergeCell ref="AQ5:AT5"/>
    <mergeCell ref="AU5:AX5"/>
    <mergeCell ref="AY5:AY6"/>
    <mergeCell ref="O5:R5"/>
    <mergeCell ref="S5:V5"/>
    <mergeCell ref="W5:Z5"/>
    <mergeCell ref="AA5:AD5"/>
    <mergeCell ref="A5:A6"/>
    <mergeCell ref="B5:B6"/>
    <mergeCell ref="C5:F5"/>
    <mergeCell ref="G5:J5"/>
    <mergeCell ref="K5:N5"/>
  </mergeCells>
  <phoneticPr fontId="19" type="noConversion"/>
  <pageMargins left="0.511811024" right="0.511811024" top="0.78740157499999996" bottom="0.78740157499999996" header="0.31496062000000002" footer="0.31496062000000002"/>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CQ240"/>
  <sheetViews>
    <sheetView showGridLines="0" zoomScale="80" zoomScaleNormal="80" workbookViewId="0">
      <pane xSplit="2" ySplit="8" topLeftCell="C9" activePane="bottomRight" state="frozen"/>
      <selection activeCell="A9" sqref="A9"/>
      <selection pane="topRight" activeCell="A9" sqref="A9"/>
      <selection pane="bottomLeft" activeCell="A9" sqref="A9"/>
      <selection pane="bottomRight" activeCell="A9" sqref="A9"/>
    </sheetView>
  </sheetViews>
  <sheetFormatPr defaultColWidth="9.140625" defaultRowHeight="18" customHeight="1" outlineLevelRow="1" x14ac:dyDescent="0.25"/>
  <cols>
    <col min="1" max="1" width="25" style="38" customWidth="1"/>
    <col min="2" max="2" width="43.7109375" style="13" customWidth="1"/>
    <col min="3" max="3" width="18" style="40" customWidth="1"/>
    <col min="4" max="4" width="17.5703125" style="13" customWidth="1"/>
    <col min="5" max="5" width="17.28515625" style="13" customWidth="1"/>
    <col min="6" max="6" width="13.7109375" style="71" customWidth="1"/>
    <col min="7" max="7" width="16.28515625" style="13" customWidth="1"/>
    <col min="8" max="8" width="14.7109375" style="13" customWidth="1"/>
    <col min="9" max="9" width="15.140625" style="13" customWidth="1"/>
    <col min="10" max="10" width="9.7109375" style="71" customWidth="1"/>
    <col min="11" max="13" width="14.7109375" style="13" customWidth="1"/>
    <col min="14" max="14" width="10.85546875" style="71" customWidth="1"/>
    <col min="15" max="15" width="14.7109375" style="13" customWidth="1"/>
    <col min="16" max="16" width="16" style="13" customWidth="1"/>
    <col min="17" max="17" width="14.7109375" style="13" customWidth="1"/>
    <col min="18" max="18" width="13.7109375" style="71" customWidth="1"/>
    <col min="19" max="21" width="14.7109375" style="13" customWidth="1"/>
    <col min="22" max="22" width="9.7109375" style="71" customWidth="1"/>
    <col min="23" max="25" width="14.7109375" style="13" customWidth="1"/>
    <col min="26" max="26" width="10.7109375" style="71" customWidth="1"/>
    <col min="27" max="27" width="14.7109375" style="13" customWidth="1"/>
    <col min="28" max="28" width="17.42578125" style="13" customWidth="1"/>
    <col min="29" max="29" width="14.7109375" style="13" customWidth="1"/>
    <col min="30" max="30" width="10.42578125" style="71" customWidth="1"/>
    <col min="31" max="31" width="16.5703125" style="13" customWidth="1"/>
    <col min="32" max="32" width="20.28515625" style="13" customWidth="1"/>
    <col min="33" max="33" width="15.42578125" style="13" customWidth="1"/>
    <col min="34" max="34" width="10.42578125" style="71" customWidth="1"/>
    <col min="35" max="35" width="14.7109375" style="13" customWidth="1"/>
    <col min="36" max="36" width="16.28515625" style="13" bestFit="1" customWidth="1"/>
    <col min="37" max="37" width="14.7109375" style="13" customWidth="1"/>
    <col min="38" max="38" width="11" style="71" customWidth="1"/>
    <col min="39" max="41" width="14.7109375" style="13" customWidth="1"/>
    <col min="42" max="42" width="11.140625" style="71" customWidth="1"/>
    <col min="43" max="45" width="14.7109375" style="13" customWidth="1"/>
    <col min="46" max="46" width="9.7109375" style="71" customWidth="1"/>
    <col min="47" max="49" width="14.7109375" style="13" customWidth="1"/>
    <col min="50" max="50" width="12.7109375" style="71" bestFit="1" customWidth="1"/>
    <col min="51" max="51" width="15.7109375" style="13" bestFit="1" customWidth="1"/>
    <col min="52" max="52" width="14.7109375" style="13" customWidth="1"/>
    <col min="53" max="53" width="17" style="13" customWidth="1"/>
    <col min="54" max="54" width="17.42578125" style="13" customWidth="1"/>
    <col min="55" max="55" width="24.42578125" style="13" bestFit="1" customWidth="1"/>
    <col min="56" max="56" width="18.140625" style="13" customWidth="1"/>
    <col min="57" max="57" width="13" style="13" customWidth="1"/>
    <col min="58" max="58" width="14.28515625" style="13" bestFit="1" customWidth="1"/>
    <col min="59" max="16384" width="9.140625" style="13"/>
  </cols>
  <sheetData>
    <row r="1" spans="1:57" ht="18" customHeight="1" x14ac:dyDescent="0.25">
      <c r="P1" s="109"/>
    </row>
    <row r="2" spans="1:57" ht="18" customHeight="1" x14ac:dyDescent="0.25">
      <c r="C2" s="109"/>
      <c r="D2" s="109"/>
      <c r="E2" s="362"/>
      <c r="F2" s="365"/>
      <c r="P2" s="109"/>
      <c r="AA2" s="109"/>
      <c r="AB2" s="109"/>
      <c r="AC2" s="43"/>
    </row>
    <row r="3" spans="1:57" ht="18" customHeight="1" x14ac:dyDescent="0.25">
      <c r="C3" s="109"/>
      <c r="D3" s="109"/>
      <c r="E3" s="109"/>
      <c r="G3" s="110"/>
      <c r="P3" s="109"/>
      <c r="AB3" s="43"/>
      <c r="AC3" s="43"/>
      <c r="AE3" s="43"/>
      <c r="AJ3" s="109"/>
      <c r="AN3" s="43"/>
    </row>
    <row r="4" spans="1:57" ht="18" customHeight="1" thickBot="1" x14ac:dyDescent="0.3">
      <c r="C4" s="109"/>
      <c r="D4" s="109"/>
      <c r="E4" s="109"/>
      <c r="I4" s="109"/>
      <c r="P4" s="109"/>
      <c r="AA4" s="43"/>
      <c r="AJ4" s="321"/>
    </row>
    <row r="5" spans="1:57" s="11" customFormat="1" ht="18" customHeight="1" thickBot="1" x14ac:dyDescent="0.3">
      <c r="A5" s="2697" t="s">
        <v>0</v>
      </c>
      <c r="B5" s="2699" t="s">
        <v>145</v>
      </c>
      <c r="C5" s="2660" t="s">
        <v>3685</v>
      </c>
      <c r="D5" s="2661"/>
      <c r="E5" s="2661"/>
      <c r="F5" s="2662"/>
      <c r="G5" s="2660" t="s">
        <v>3686</v>
      </c>
      <c r="H5" s="2661"/>
      <c r="I5" s="2661"/>
      <c r="J5" s="2662"/>
      <c r="K5" s="2660" t="s">
        <v>3687</v>
      </c>
      <c r="L5" s="2661"/>
      <c r="M5" s="2661"/>
      <c r="N5" s="2662"/>
      <c r="O5" s="2660" t="s">
        <v>3688</v>
      </c>
      <c r="P5" s="2661"/>
      <c r="Q5" s="2661"/>
      <c r="R5" s="2662"/>
      <c r="S5" s="2660" t="s">
        <v>3689</v>
      </c>
      <c r="T5" s="2661"/>
      <c r="U5" s="2661"/>
      <c r="V5" s="2662"/>
      <c r="W5" s="2660" t="s">
        <v>3690</v>
      </c>
      <c r="X5" s="2661"/>
      <c r="Y5" s="2661"/>
      <c r="Z5" s="2662"/>
      <c r="AA5" s="2660" t="s">
        <v>3691</v>
      </c>
      <c r="AB5" s="2661"/>
      <c r="AC5" s="2661"/>
      <c r="AD5" s="2662"/>
      <c r="AE5" s="2660" t="s">
        <v>3692</v>
      </c>
      <c r="AF5" s="2661"/>
      <c r="AG5" s="2661"/>
      <c r="AH5" s="2662"/>
      <c r="AI5" s="2660" t="s">
        <v>3693</v>
      </c>
      <c r="AJ5" s="2661"/>
      <c r="AK5" s="2661"/>
      <c r="AL5" s="2662"/>
      <c r="AM5" s="2660" t="s">
        <v>3694</v>
      </c>
      <c r="AN5" s="2661"/>
      <c r="AO5" s="2661"/>
      <c r="AP5" s="2662"/>
      <c r="AQ5" s="2660" t="s">
        <v>3695</v>
      </c>
      <c r="AR5" s="2661"/>
      <c r="AS5" s="2661"/>
      <c r="AT5" s="2662"/>
      <c r="AU5" s="2660" t="s">
        <v>3696</v>
      </c>
      <c r="AV5" s="2661"/>
      <c r="AW5" s="2661"/>
      <c r="AX5" s="2662"/>
      <c r="AY5" s="2683" t="s">
        <v>162</v>
      </c>
      <c r="AZ5" s="2683" t="s">
        <v>163</v>
      </c>
      <c r="BA5" s="11" t="s">
        <v>3765</v>
      </c>
    </row>
    <row r="6" spans="1:57" s="11" customFormat="1" ht="18" customHeight="1" thickBot="1" x14ac:dyDescent="0.3">
      <c r="A6" s="2698"/>
      <c r="B6" s="2700"/>
      <c r="C6" s="228" t="s">
        <v>4</v>
      </c>
      <c r="D6" s="199" t="s">
        <v>5</v>
      </c>
      <c r="E6" s="199" t="s">
        <v>6</v>
      </c>
      <c r="F6" s="225" t="s">
        <v>158</v>
      </c>
      <c r="G6" s="226" t="s">
        <v>4</v>
      </c>
      <c r="H6" s="197" t="s">
        <v>5</v>
      </c>
      <c r="I6" s="197" t="s">
        <v>6</v>
      </c>
      <c r="J6" s="227" t="s">
        <v>158</v>
      </c>
      <c r="K6" s="226" t="s">
        <v>4</v>
      </c>
      <c r="L6" s="197" t="s">
        <v>5</v>
      </c>
      <c r="M6" s="197" t="s">
        <v>6</v>
      </c>
      <c r="N6" s="227" t="s">
        <v>158</v>
      </c>
      <c r="O6" s="226" t="s">
        <v>4</v>
      </c>
      <c r="P6" s="197" t="s">
        <v>5</v>
      </c>
      <c r="Q6" s="197" t="s">
        <v>6</v>
      </c>
      <c r="R6" s="227" t="s">
        <v>158</v>
      </c>
      <c r="S6" s="226" t="s">
        <v>4</v>
      </c>
      <c r="T6" s="197" t="s">
        <v>5</v>
      </c>
      <c r="U6" s="197" t="s">
        <v>6</v>
      </c>
      <c r="V6" s="227" t="s">
        <v>158</v>
      </c>
      <c r="W6" s="226" t="s">
        <v>4</v>
      </c>
      <c r="X6" s="197" t="s">
        <v>5</v>
      </c>
      <c r="Y6" s="197" t="s">
        <v>6</v>
      </c>
      <c r="Z6" s="227" t="s">
        <v>158</v>
      </c>
      <c r="AA6" s="226" t="s">
        <v>4</v>
      </c>
      <c r="AB6" s="197" t="s">
        <v>5</v>
      </c>
      <c r="AC6" s="197" t="s">
        <v>6</v>
      </c>
      <c r="AD6" s="227" t="s">
        <v>158</v>
      </c>
      <c r="AE6" s="226" t="s">
        <v>4</v>
      </c>
      <c r="AF6" s="197" t="s">
        <v>5</v>
      </c>
      <c r="AG6" s="197" t="s">
        <v>6</v>
      </c>
      <c r="AH6" s="227" t="s">
        <v>158</v>
      </c>
      <c r="AI6" s="226" t="s">
        <v>4</v>
      </c>
      <c r="AJ6" s="197" t="s">
        <v>5</v>
      </c>
      <c r="AK6" s="197" t="s">
        <v>6</v>
      </c>
      <c r="AL6" s="227" t="s">
        <v>158</v>
      </c>
      <c r="AM6" s="226" t="s">
        <v>4</v>
      </c>
      <c r="AN6" s="197" t="s">
        <v>5</v>
      </c>
      <c r="AO6" s="197" t="s">
        <v>6</v>
      </c>
      <c r="AP6" s="227" t="s">
        <v>158</v>
      </c>
      <c r="AQ6" s="200" t="s">
        <v>4</v>
      </c>
      <c r="AR6" s="197" t="s">
        <v>5</v>
      </c>
      <c r="AS6" s="197" t="s">
        <v>6</v>
      </c>
      <c r="AT6" s="198" t="s">
        <v>158</v>
      </c>
      <c r="AU6" s="226" t="s">
        <v>4</v>
      </c>
      <c r="AV6" s="197" t="s">
        <v>5</v>
      </c>
      <c r="AW6" s="198" t="s">
        <v>6</v>
      </c>
      <c r="AX6" s="227" t="s">
        <v>158</v>
      </c>
      <c r="AY6" s="2684"/>
      <c r="AZ6" s="2684"/>
    </row>
    <row r="7" spans="1:57" s="1" customFormat="1" ht="18" customHeight="1" thickBot="1" x14ac:dyDescent="0.3">
      <c r="A7" s="58"/>
      <c r="B7" s="1085" t="s">
        <v>139</v>
      </c>
      <c r="C7" s="218">
        <f>SUM(C8+C15+C19+C42)</f>
        <v>16524674.986666663</v>
      </c>
      <c r="D7" s="80">
        <f>SUM(D8+D15+D19+D42)</f>
        <v>18029409.669999998</v>
      </c>
      <c r="E7" s="80">
        <f>D7-C7</f>
        <v>1504734.6833333354</v>
      </c>
      <c r="F7" s="244">
        <f>((D7/C7)-1)*100</f>
        <v>9.1059865597808543</v>
      </c>
      <c r="G7" s="218">
        <f>SUM(G8+G15+G19+G42)</f>
        <v>16524925.425666664</v>
      </c>
      <c r="H7" s="80">
        <f>SUM(H8+H15+H19+H42)</f>
        <v>17266812.57</v>
      </c>
      <c r="I7" s="80">
        <f>H7-G7</f>
        <v>741887.1443333365</v>
      </c>
      <c r="J7" s="244">
        <f>((H7/G7)-1)*100</f>
        <v>4.4895037358597234</v>
      </c>
      <c r="K7" s="218">
        <f>SUM(K8+K15+K19+K42)</f>
        <v>16524925.425666664</v>
      </c>
      <c r="L7" s="80">
        <f>SUM(L8+L15+L19+L42)</f>
        <v>18872314.329999998</v>
      </c>
      <c r="M7" s="80">
        <f t="shared" ref="M7:M13" si="0">L7-K7</f>
        <v>2347388.9043333344</v>
      </c>
      <c r="N7" s="244">
        <f>((L7/K7)-1)*100</f>
        <v>14.205140682131901</v>
      </c>
      <c r="O7" s="218">
        <f>SUM(O8+O15+O19+O42)</f>
        <v>16527089.085666662</v>
      </c>
      <c r="P7" s="80">
        <f>SUM(P8+P15+P19+P42)</f>
        <v>24691796.59</v>
      </c>
      <c r="Q7" s="80">
        <f>P7-O7</f>
        <v>8164707.5043333378</v>
      </c>
      <c r="R7" s="244">
        <f>((P7/O7)-1)*100</f>
        <v>49.401969469713137</v>
      </c>
      <c r="S7" s="218">
        <f>SUM(S8+S15+S19+S42)</f>
        <v>16730869.407499997</v>
      </c>
      <c r="T7" s="80">
        <f>SUM(T8+T15+T19+T42)</f>
        <v>25932599.300000001</v>
      </c>
      <c r="U7" s="80">
        <f t="shared" ref="U7:U35" si="1">T7-S7</f>
        <v>9201729.8925000038</v>
      </c>
      <c r="V7" s="244">
        <f>((T7/S7)-1)*100</f>
        <v>54.998516026759006</v>
      </c>
      <c r="W7" s="218">
        <f>SUM(W8+W15+W19+W42)</f>
        <v>16530869.407499997</v>
      </c>
      <c r="X7" s="80">
        <f>SUM(X8+X15+X19+X42)</f>
        <v>24412454.690000001</v>
      </c>
      <c r="Y7" s="80">
        <f>X7-W7</f>
        <v>7881585.2825000044</v>
      </c>
      <c r="Z7" s="244">
        <f>((X7/W7)-1)*100</f>
        <v>47.677984068546067</v>
      </c>
      <c r="AA7" s="104">
        <f>SUM(AA8+AA15+AA19+AA42)</f>
        <v>16553810.826166665</v>
      </c>
      <c r="AB7" s="80">
        <f>SUM(AB8+AB15+AB19+AB42)</f>
        <v>24536845.68</v>
      </c>
      <c r="AC7" s="80">
        <f>AB7-AA7</f>
        <v>7983034.8538333345</v>
      </c>
      <c r="AD7" s="244">
        <f>((AB7/AA7)-1)*100</f>
        <v>48.224755844222436</v>
      </c>
      <c r="AE7" s="218">
        <f>SUM(AE8+AE15+AE19+AE42)</f>
        <v>16616986.701166663</v>
      </c>
      <c r="AF7" s="80">
        <f>SUM(AF8+AF15+AF19+AF42)</f>
        <v>26040985.310000002</v>
      </c>
      <c r="AG7" s="42">
        <f t="shared" ref="AG7:AG20" si="2">AF7-AE7</f>
        <v>9423998.6088333391</v>
      </c>
      <c r="AH7" s="244">
        <f>((AF7/AE7)-1)*100</f>
        <v>56.713041770513598</v>
      </c>
      <c r="AI7" s="574">
        <f>SUM(AI8+AI15+AI19+AI42)</f>
        <v>16662900.762833329</v>
      </c>
      <c r="AJ7" s="80">
        <f>SUM(AJ8+AJ15+AJ19+AJ42)</f>
        <v>21659389.109999999</v>
      </c>
      <c r="AK7" s="42">
        <f t="shared" ref="AK7:AK20" si="3">AJ7-AI7</f>
        <v>4996488.3471666705</v>
      </c>
      <c r="AL7" s="244">
        <f>((AJ7/AI7)-1)*100</f>
        <v>29.985705479992774</v>
      </c>
      <c r="AM7" s="574">
        <f>SUM(AM8+AM15+AM19+AM42)</f>
        <v>16673355.311999995</v>
      </c>
      <c r="AN7" s="80">
        <f>SUM(AN8+AN15+AN19+AN42)</f>
        <v>24857278.760000005</v>
      </c>
      <c r="AO7" s="42">
        <f t="shared" ref="AO7:AO20" si="4">AN7-AM7</f>
        <v>8183923.4480000101</v>
      </c>
      <c r="AP7" s="244">
        <f>((AN7/AM7)-1)*100</f>
        <v>49.083842423186127</v>
      </c>
      <c r="AQ7" s="51">
        <f>SUM(AQ8+AQ15+AQ19+AQ42)</f>
        <v>16683140.306999994</v>
      </c>
      <c r="AR7" s="80">
        <f>SUM(AR8+AR15+AR19)</f>
        <v>0</v>
      </c>
      <c r="AS7" s="42">
        <f>AR7-AQ7</f>
        <v>-16683140.306999994</v>
      </c>
      <c r="AT7" s="244">
        <f>((AR7/AQ7)-1)*100</f>
        <v>-100</v>
      </c>
      <c r="AU7" s="574">
        <f>SUM(AU8+AU15+AU19+AU42)</f>
        <v>16887587.032666661</v>
      </c>
      <c r="AV7" s="42">
        <f>SUM(AV8+AV15+AV19)</f>
        <v>0</v>
      </c>
      <c r="AW7" s="42">
        <f t="shared" ref="AW7:AW40" si="5">AV7-AU7</f>
        <v>-16887587.032666661</v>
      </c>
      <c r="AX7" s="244">
        <f>((AV7/AU7)-1)*100</f>
        <v>-100</v>
      </c>
      <c r="AY7" s="574">
        <f>C7+G7+K7+O7+S7+W7+AA7+AE7+AI7+AM7+AQ7+AU7</f>
        <v>199441134.68049994</v>
      </c>
      <c r="AZ7" s="59">
        <f t="shared" ref="AZ7:AZ20" si="6">SUM(D7+H7+L7+P7+T7+X7+AB7+AF7+AJ7+AN7+AR7+AV7)</f>
        <v>226299886.00999999</v>
      </c>
      <c r="BA7" s="398">
        <f>AZ7/10</f>
        <v>22629988.601</v>
      </c>
      <c r="BB7" s="399"/>
      <c r="BC7" s="398"/>
      <c r="BD7" s="2"/>
      <c r="BE7" s="2"/>
    </row>
    <row r="8" spans="1:57" s="119" customFormat="1" ht="18" customHeight="1" thickBot="1" x14ac:dyDescent="0.3">
      <c r="A8" s="376"/>
      <c r="B8" s="378" t="s">
        <v>161</v>
      </c>
      <c r="C8" s="4">
        <f>SUM(C9:C14)</f>
        <v>15523760.306666663</v>
      </c>
      <c r="D8" s="115">
        <f>SUM(D9:D14)</f>
        <v>16913262.029999997</v>
      </c>
      <c r="E8" s="115">
        <f>D8-C8</f>
        <v>1389501.7233333346</v>
      </c>
      <c r="F8" s="234">
        <f>((D8/C8)-1)*100</f>
        <v>8.9508063502926838</v>
      </c>
      <c r="G8" s="4">
        <f>SUM(G9:G14)</f>
        <v>15524010.745666664</v>
      </c>
      <c r="H8" s="115">
        <f>SUM(H9:H14)</f>
        <v>15723970.57</v>
      </c>
      <c r="I8" s="115">
        <f t="shared" ref="I8:I18" si="7">H8-G8</f>
        <v>199959.8243333362</v>
      </c>
      <c r="J8" s="241">
        <f t="shared" ref="J8:J21" si="8">((H8/G8)-1)*100</f>
        <v>1.288068061851555</v>
      </c>
      <c r="K8" s="4">
        <f>SUM(K9:K14)</f>
        <v>15524010.745666664</v>
      </c>
      <c r="L8" s="115">
        <f>SUM(L9:L14)</f>
        <v>17647669.629999999</v>
      </c>
      <c r="M8" s="115">
        <f t="shared" si="0"/>
        <v>2123658.8843333349</v>
      </c>
      <c r="N8" s="241">
        <f>((L8/K8)-1)*100</f>
        <v>13.679833898118932</v>
      </c>
      <c r="O8" s="4">
        <f>SUM(O9:O14)</f>
        <v>15526174.405666662</v>
      </c>
      <c r="P8" s="115">
        <f>SUM(P9:P14)</f>
        <v>22838086.279999997</v>
      </c>
      <c r="Q8" s="115">
        <f>P8-O8</f>
        <v>7311911.8743333351</v>
      </c>
      <c r="R8" s="241">
        <f t="shared" ref="R8:R21" si="9">((P8/O8)-1)*100</f>
        <v>47.094098541522712</v>
      </c>
      <c r="S8" s="115">
        <f>SUM(S9:S14)</f>
        <v>15529954.727499997</v>
      </c>
      <c r="T8" s="718">
        <f>SUM(T9:T14)</f>
        <v>24337728.77</v>
      </c>
      <c r="U8" s="115">
        <f t="shared" si="1"/>
        <v>8807774.0425000023</v>
      </c>
      <c r="V8" s="241">
        <f t="shared" ref="V8:V21" si="10">((T8/S8)-1)*100</f>
        <v>56.714743842127561</v>
      </c>
      <c r="W8" s="4">
        <f>SUM(W9:W14)</f>
        <v>15529954.727499997</v>
      </c>
      <c r="X8" s="115">
        <f>SUM(X9:X14)</f>
        <v>22927463.27</v>
      </c>
      <c r="Y8" s="115">
        <f>X8-W8</f>
        <v>7397508.5425000023</v>
      </c>
      <c r="Z8" s="241">
        <f t="shared" ref="Z8:Z21" si="11">((X8/W8)-1)*100</f>
        <v>47.6338062299738</v>
      </c>
      <c r="AA8" s="4">
        <f>SUM(AA9:AA14)</f>
        <v>15552895.846166665</v>
      </c>
      <c r="AB8" s="115">
        <f>SUM(AB9:AB14)</f>
        <v>22813741.73</v>
      </c>
      <c r="AC8" s="115">
        <f>AB8-AA8</f>
        <v>7260845.8838333357</v>
      </c>
      <c r="AD8" s="1086">
        <f t="shared" ref="AD8:AD30" si="12">((AB8/AA8)-1)*100</f>
        <v>46.684848633014674</v>
      </c>
      <c r="AE8" s="4">
        <f>SUM(AE9:AE14)</f>
        <v>15616072.021166664</v>
      </c>
      <c r="AF8" s="115">
        <f>SUM(AF9:AF14)</f>
        <v>24641190.390000001</v>
      </c>
      <c r="AG8" s="117">
        <f t="shared" si="2"/>
        <v>9025118.368833337</v>
      </c>
      <c r="AH8" s="241">
        <f t="shared" ref="AH8:AH34" si="13">((AF8/AE8)-1)*100</f>
        <v>57.793780386004379</v>
      </c>
      <c r="AI8" s="4">
        <f>SUM(AI9:AI14)</f>
        <v>15661986.082833329</v>
      </c>
      <c r="AJ8" s="115">
        <f>SUM(AJ9:AJ14)</f>
        <v>20304068.989999998</v>
      </c>
      <c r="AK8" s="117">
        <f t="shared" si="3"/>
        <v>4642082.9071666691</v>
      </c>
      <c r="AL8" s="234">
        <f t="shared" ref="AL8:AL34" si="14">((AJ8/AI8)-1)*100</f>
        <v>29.639171447449609</v>
      </c>
      <c r="AM8" s="209">
        <f>SUM(AM9:AM14)</f>
        <v>15672440.631999996</v>
      </c>
      <c r="AN8" s="116">
        <f>SUM(AN9:AN14)</f>
        <v>23325480.630000003</v>
      </c>
      <c r="AO8" s="117">
        <f t="shared" si="4"/>
        <v>7653039.9980000071</v>
      </c>
      <c r="AP8" s="241">
        <f t="shared" ref="AP8:AP34" si="15">((AN8/AM8)-1)*100</f>
        <v>48.831194691999833</v>
      </c>
      <c r="AQ8" s="209">
        <f>SUM(AQ9:AQ14)</f>
        <v>15682224.626999995</v>
      </c>
      <c r="AR8" s="116">
        <f>SUM(AR9:AR14)</f>
        <v>0</v>
      </c>
      <c r="AS8" s="117">
        <f>AR8-AQ8</f>
        <v>-15682224.626999995</v>
      </c>
      <c r="AT8" s="234">
        <f t="shared" ref="AT8:AT37" si="16">((AR8/AQ8)-1)*100</f>
        <v>-100</v>
      </c>
      <c r="AU8" s="209">
        <f>SUM(AU9:AU14)</f>
        <v>15686672.352666661</v>
      </c>
      <c r="AV8" s="116">
        <f>SUM(AV9:AV14)</f>
        <v>0</v>
      </c>
      <c r="AW8" s="117">
        <f t="shared" si="5"/>
        <v>-15686672.352666661</v>
      </c>
      <c r="AX8" s="241">
        <f t="shared" ref="AX8:AX39" si="17">((AV8/AU8)-1)*100</f>
        <v>-100</v>
      </c>
      <c r="AY8" s="115">
        <f>C8+G8+K8+O8+S8+W8+AA8+AE8+AI8++AM8+AQ8+AU8</f>
        <v>187030157.22049999</v>
      </c>
      <c r="AZ8" s="115">
        <f t="shared" si="6"/>
        <v>211472662.28999996</v>
      </c>
      <c r="BA8" s="398">
        <f t="shared" ref="BA8:BA71" si="18">AZ8/10</f>
        <v>21147266.228999995</v>
      </c>
      <c r="BC8" s="334"/>
    </row>
    <row r="9" spans="1:57" s="119" customFormat="1" ht="18" customHeight="1" x14ac:dyDescent="0.25">
      <c r="A9" s="431" t="s">
        <v>3708</v>
      </c>
      <c r="B9" s="381" t="s">
        <v>337</v>
      </c>
      <c r="C9" s="81">
        <v>2166281.8000000003</v>
      </c>
      <c r="D9" s="81">
        <f>1608260.35+798058.49+-240067.04</f>
        <v>2166251.7999999998</v>
      </c>
      <c r="E9" s="81">
        <f>D9-C9</f>
        <v>-30.000000000465661</v>
      </c>
      <c r="F9" s="985">
        <f>((D9/C9)-1)*100</f>
        <v>-1.3848613786282549E-3</v>
      </c>
      <c r="G9" s="81">
        <v>2166281.8000000003</v>
      </c>
      <c r="H9" s="81">
        <f>1561747.77+947583.88+-343079.85</f>
        <v>2166251.7999999998</v>
      </c>
      <c r="I9" s="81">
        <f t="shared" si="7"/>
        <v>-30.000000000465661</v>
      </c>
      <c r="J9" s="985">
        <f t="shared" si="8"/>
        <v>-1.3848613786282549E-3</v>
      </c>
      <c r="K9" s="81">
        <v>2166281.8000000003</v>
      </c>
      <c r="L9" s="81">
        <v>2177630.56</v>
      </c>
      <c r="M9" s="81">
        <f t="shared" si="0"/>
        <v>11348.759999999776</v>
      </c>
      <c r="N9" s="985">
        <f>((L9/K9)-1)*100</f>
        <v>0.52388198063610947</v>
      </c>
      <c r="O9" s="81">
        <v>2166281.8000000003</v>
      </c>
      <c r="P9" s="81">
        <v>2170044.7200000002</v>
      </c>
      <c r="Q9" s="81">
        <f>P9-O9</f>
        <v>3762.9199999999255</v>
      </c>
      <c r="R9" s="985">
        <f t="shared" si="9"/>
        <v>0.17370408595962505</v>
      </c>
      <c r="S9" s="81">
        <v>2166281.8000000003</v>
      </c>
      <c r="T9" s="81">
        <v>2026536.91</v>
      </c>
      <c r="U9" s="81">
        <f t="shared" si="1"/>
        <v>-139744.89000000036</v>
      </c>
      <c r="V9" s="985">
        <f t="shared" si="10"/>
        <v>-6.4509100339577348</v>
      </c>
      <c r="W9" s="81">
        <v>2166281.8000000003</v>
      </c>
      <c r="X9" s="81">
        <f>4443765.84-2421021.85</f>
        <v>2022743.9899999998</v>
      </c>
      <c r="Y9" s="81">
        <f>X9-W9</f>
        <v>-143537.81000000052</v>
      </c>
      <c r="Z9" s="985">
        <f t="shared" si="11"/>
        <v>-6.6259989812959885</v>
      </c>
      <c r="AA9" s="81">
        <v>2166281.8000000003</v>
      </c>
      <c r="AB9" s="81">
        <f>2515012.86-492269.87</f>
        <v>2022742.9899999998</v>
      </c>
      <c r="AC9" s="81">
        <f>AB9-AA9</f>
        <v>-143538.81000000052</v>
      </c>
      <c r="AD9" s="1087">
        <f t="shared" si="12"/>
        <v>-6.626045143341952</v>
      </c>
      <c r="AE9" s="81">
        <v>2166281.8000000003</v>
      </c>
      <c r="AF9" s="81">
        <v>2022743.99</v>
      </c>
      <c r="AG9" s="81">
        <f t="shared" si="2"/>
        <v>-143537.81000000029</v>
      </c>
      <c r="AH9" s="985">
        <f t="shared" si="13"/>
        <v>-6.625998981295977</v>
      </c>
      <c r="AI9" s="81">
        <v>2166281.8000000003</v>
      </c>
      <c r="AJ9" s="81">
        <v>1994017.57</v>
      </c>
      <c r="AK9" s="81">
        <f t="shared" si="3"/>
        <v>-172264.23000000021</v>
      </c>
      <c r="AL9" s="985">
        <f t="shared" si="14"/>
        <v>-7.9520693014177635</v>
      </c>
      <c r="AM9" s="81">
        <v>2166281.8000000003</v>
      </c>
      <c r="AN9" s="1016">
        <v>2022745</v>
      </c>
      <c r="AO9" s="81">
        <f t="shared" si="4"/>
        <v>-143536.80000000028</v>
      </c>
      <c r="AP9" s="985">
        <f t="shared" si="15"/>
        <v>-6.625952357629572</v>
      </c>
      <c r="AQ9" s="81">
        <v>2166281.8000000003</v>
      </c>
      <c r="AR9" s="81"/>
      <c r="AS9" s="81">
        <f>AR9-AQ9</f>
        <v>-2166281.8000000003</v>
      </c>
      <c r="AT9" s="985">
        <f t="shared" si="16"/>
        <v>-100</v>
      </c>
      <c r="AU9" s="81">
        <v>2166281.8000000003</v>
      </c>
      <c r="AV9" s="81"/>
      <c r="AW9" s="81">
        <f t="shared" si="5"/>
        <v>-2166281.8000000003</v>
      </c>
      <c r="AX9" s="985">
        <f t="shared" si="17"/>
        <v>-100</v>
      </c>
      <c r="AY9" s="81">
        <f>C9+G9+K9+O9+S9+W9+AA9+AE9+AI9+AM9+AQ9+AU9</f>
        <v>25995381.600000005</v>
      </c>
      <c r="AZ9" s="81">
        <f t="shared" si="6"/>
        <v>20791709.330000002</v>
      </c>
      <c r="BA9" s="398">
        <f t="shared" si="18"/>
        <v>2079170.9330000002</v>
      </c>
      <c r="BC9" s="334"/>
    </row>
    <row r="10" spans="1:57" s="119" customFormat="1" ht="18" customHeight="1" x14ac:dyDescent="0.25">
      <c r="A10" s="134">
        <v>54814</v>
      </c>
      <c r="B10" s="589" t="s">
        <v>3698</v>
      </c>
      <c r="C10" s="1088">
        <v>0</v>
      </c>
      <c r="D10" s="81">
        <v>288000</v>
      </c>
      <c r="E10" s="81">
        <f>D10-C10</f>
        <v>288000</v>
      </c>
      <c r="F10" s="986"/>
      <c r="G10" s="1088">
        <v>0</v>
      </c>
      <c r="H10" s="81">
        <v>288000</v>
      </c>
      <c r="I10" s="81">
        <f t="shared" si="7"/>
        <v>288000</v>
      </c>
      <c r="J10" s="986"/>
      <c r="K10" s="1088">
        <v>0</v>
      </c>
      <c r="L10" s="81">
        <v>288000</v>
      </c>
      <c r="M10" s="81">
        <f t="shared" si="0"/>
        <v>288000</v>
      </c>
      <c r="N10" s="986"/>
      <c r="O10" s="1088">
        <v>0</v>
      </c>
      <c r="P10" s="81">
        <v>288000</v>
      </c>
      <c r="Q10" s="81">
        <f>P10-O10</f>
        <v>288000</v>
      </c>
      <c r="R10" s="986"/>
      <c r="S10" s="1088">
        <v>0</v>
      </c>
      <c r="T10" s="81">
        <v>288000</v>
      </c>
      <c r="U10" s="81">
        <f t="shared" si="1"/>
        <v>288000</v>
      </c>
      <c r="V10" s="986"/>
      <c r="W10" s="1088">
        <v>0</v>
      </c>
      <c r="X10" s="81">
        <v>288000</v>
      </c>
      <c r="Y10" s="81">
        <f>X10-W10</f>
        <v>288000</v>
      </c>
      <c r="Z10" s="986"/>
      <c r="AA10" s="1088">
        <v>0</v>
      </c>
      <c r="AB10" s="81">
        <v>288000</v>
      </c>
      <c r="AC10" s="81">
        <f>AB10-AA10</f>
        <v>288000</v>
      </c>
      <c r="AD10" s="986"/>
      <c r="AE10" s="1088">
        <v>0</v>
      </c>
      <c r="AF10" s="81">
        <v>288000</v>
      </c>
      <c r="AG10" s="81">
        <f t="shared" si="2"/>
        <v>288000</v>
      </c>
      <c r="AH10" s="986"/>
      <c r="AI10" s="1088">
        <v>0</v>
      </c>
      <c r="AJ10" s="81">
        <v>288000</v>
      </c>
      <c r="AK10" s="81">
        <f t="shared" si="3"/>
        <v>288000</v>
      </c>
      <c r="AL10" s="986"/>
      <c r="AM10" s="1088">
        <v>0</v>
      </c>
      <c r="AN10" s="1016">
        <v>288000</v>
      </c>
      <c r="AO10" s="81">
        <f t="shared" si="4"/>
        <v>288000</v>
      </c>
      <c r="AP10" s="81"/>
      <c r="AQ10" s="1088">
        <v>0</v>
      </c>
      <c r="AR10" s="81"/>
      <c r="AS10" s="81"/>
      <c r="AT10" s="986"/>
      <c r="AU10" s="1088">
        <v>0</v>
      </c>
      <c r="AV10" s="81"/>
      <c r="AW10" s="1089">
        <f t="shared" si="5"/>
        <v>0</v>
      </c>
      <c r="AX10" s="986"/>
      <c r="AY10" s="81">
        <f>C10+G10+K10+O10+S10+W10+AA10+AE10+AI10+AM10+AQ10+AU10</f>
        <v>0</v>
      </c>
      <c r="AZ10" s="81">
        <f t="shared" si="6"/>
        <v>2880000</v>
      </c>
      <c r="BA10" s="398">
        <f t="shared" si="18"/>
        <v>288000</v>
      </c>
      <c r="BC10" s="334"/>
    </row>
    <row r="11" spans="1:57" s="119" customFormat="1" ht="18" customHeight="1" x14ac:dyDescent="0.25">
      <c r="A11" s="134">
        <v>53935</v>
      </c>
      <c r="B11" s="383" t="s">
        <v>3632</v>
      </c>
      <c r="C11" s="1088">
        <v>0</v>
      </c>
      <c r="D11" s="1090">
        <v>0</v>
      </c>
      <c r="E11" s="81">
        <f>D11-C11</f>
        <v>0</v>
      </c>
      <c r="F11" s="987"/>
      <c r="G11" s="1088">
        <v>0</v>
      </c>
      <c r="H11" s="81">
        <v>0</v>
      </c>
      <c r="I11" s="81">
        <f t="shared" si="7"/>
        <v>0</v>
      </c>
      <c r="J11" s="987"/>
      <c r="K11" s="1088">
        <v>0</v>
      </c>
      <c r="L11" s="81">
        <v>0</v>
      </c>
      <c r="M11" s="81">
        <f t="shared" si="0"/>
        <v>0</v>
      </c>
      <c r="N11" s="987"/>
      <c r="O11" s="1088">
        <v>0</v>
      </c>
      <c r="P11" s="81">
        <v>0</v>
      </c>
      <c r="Q11" s="81">
        <v>0</v>
      </c>
      <c r="R11" s="987"/>
      <c r="S11" s="1088">
        <v>0</v>
      </c>
      <c r="T11" s="81">
        <v>0</v>
      </c>
      <c r="U11" s="81">
        <f t="shared" si="1"/>
        <v>0</v>
      </c>
      <c r="V11" s="987"/>
      <c r="W11" s="1088">
        <v>0</v>
      </c>
      <c r="X11" s="81">
        <v>0</v>
      </c>
      <c r="Y11" s="81">
        <f>X11-W11</f>
        <v>0</v>
      </c>
      <c r="Z11" s="987"/>
      <c r="AA11" s="1088">
        <v>0</v>
      </c>
      <c r="AB11" s="81">
        <v>0</v>
      </c>
      <c r="AC11" s="81">
        <f>AB11-AA11</f>
        <v>0</v>
      </c>
      <c r="AD11" s="987"/>
      <c r="AE11" s="1088">
        <v>0</v>
      </c>
      <c r="AF11" s="81">
        <v>0</v>
      </c>
      <c r="AG11" s="81">
        <f t="shared" si="2"/>
        <v>0</v>
      </c>
      <c r="AH11" s="987"/>
      <c r="AI11" s="1088">
        <v>0</v>
      </c>
      <c r="AJ11" s="81">
        <v>0</v>
      </c>
      <c r="AK11" s="81">
        <f t="shared" si="3"/>
        <v>0</v>
      </c>
      <c r="AL11" s="987"/>
      <c r="AM11" s="1088">
        <v>0</v>
      </c>
      <c r="AN11" s="1016">
        <v>0</v>
      </c>
      <c r="AO11" s="81">
        <f t="shared" si="4"/>
        <v>0</v>
      </c>
      <c r="AP11" s="81"/>
      <c r="AQ11" s="1088">
        <v>0</v>
      </c>
      <c r="AR11" s="81">
        <v>0</v>
      </c>
      <c r="AS11" s="81">
        <f>AR11-AQ11</f>
        <v>0</v>
      </c>
      <c r="AT11" s="987"/>
      <c r="AU11" s="1088">
        <v>0</v>
      </c>
      <c r="AV11" s="81">
        <v>0</v>
      </c>
      <c r="AW11" s="1089">
        <f t="shared" si="5"/>
        <v>0</v>
      </c>
      <c r="AX11" s="987"/>
      <c r="AY11" s="598">
        <f>AA11+AE11+AI11+AM11+AQ11+AU11+W11+S11+O11+K11+G11+C11</f>
        <v>0</v>
      </c>
      <c r="AZ11" s="81">
        <f t="shared" si="6"/>
        <v>0</v>
      </c>
      <c r="BA11" s="398">
        <f t="shared" si="18"/>
        <v>0</v>
      </c>
      <c r="BC11" s="334"/>
    </row>
    <row r="12" spans="1:57" s="119" customFormat="1" ht="18" customHeight="1" x14ac:dyDescent="0.25">
      <c r="A12" s="151" t="s">
        <v>3634</v>
      </c>
      <c r="B12" s="382" t="s">
        <v>7</v>
      </c>
      <c r="C12" s="81">
        <v>400000</v>
      </c>
      <c r="D12" s="81">
        <f>38992.53+352099.69</f>
        <v>391092.22</v>
      </c>
      <c r="E12" s="81">
        <f t="shared" ref="E12:E40" si="19">D12-C12</f>
        <v>-8907.7800000000279</v>
      </c>
      <c r="F12" s="987">
        <f t="shared" ref="F12:F19" si="20">((D12/C12)-1)*100</f>
        <v>-2.2269450000000024</v>
      </c>
      <c r="G12" s="81">
        <v>400000</v>
      </c>
      <c r="H12" s="81">
        <f>23787.98+238299.71</f>
        <v>262087.69</v>
      </c>
      <c r="I12" s="81">
        <f>H12-G12</f>
        <v>-137912.31</v>
      </c>
      <c r="J12" s="987">
        <f t="shared" si="8"/>
        <v>-34.478077500000005</v>
      </c>
      <c r="K12" s="81">
        <v>400000</v>
      </c>
      <c r="L12" s="81">
        <v>515415.92</v>
      </c>
      <c r="M12" s="81">
        <f t="shared" si="0"/>
        <v>115415.91999999998</v>
      </c>
      <c r="N12" s="987">
        <f>((L12/K12)-1)*100</f>
        <v>28.853979999999989</v>
      </c>
      <c r="O12" s="81">
        <v>400000</v>
      </c>
      <c r="P12" s="81">
        <v>359605.86</v>
      </c>
      <c r="Q12" s="81">
        <f>P12-O12</f>
        <v>-40394.140000000014</v>
      </c>
      <c r="R12" s="987">
        <f t="shared" si="9"/>
        <v>-10.098535000000009</v>
      </c>
      <c r="S12" s="81">
        <v>400000</v>
      </c>
      <c r="T12" s="81">
        <v>460248.78</v>
      </c>
      <c r="U12" s="81">
        <f t="shared" si="1"/>
        <v>60248.780000000028</v>
      </c>
      <c r="V12" s="987">
        <f t="shared" si="10"/>
        <v>15.062195000000012</v>
      </c>
      <c r="W12" s="81">
        <v>400000</v>
      </c>
      <c r="X12" s="81">
        <v>515828</v>
      </c>
      <c r="Y12" s="81">
        <f t="shared" ref="Y12:Y40" si="21">X12-W12</f>
        <v>115828</v>
      </c>
      <c r="Z12" s="987">
        <f t="shared" si="11"/>
        <v>28.957000000000011</v>
      </c>
      <c r="AA12" s="81">
        <v>400000</v>
      </c>
      <c r="AB12" s="81">
        <v>480524.85</v>
      </c>
      <c r="AC12" s="81">
        <f t="shared" ref="AC12:AC40" si="22">AB12-AA12</f>
        <v>80524.849999999977</v>
      </c>
      <c r="AD12" s="987">
        <f t="shared" si="12"/>
        <v>20.131212499999982</v>
      </c>
      <c r="AE12" s="81">
        <v>400000</v>
      </c>
      <c r="AF12" s="81">
        <v>217531</v>
      </c>
      <c r="AG12" s="81">
        <f t="shared" si="2"/>
        <v>-182469</v>
      </c>
      <c r="AH12" s="987">
        <f t="shared" si="13"/>
        <v>-45.617249999999999</v>
      </c>
      <c r="AI12" s="81">
        <v>400000</v>
      </c>
      <c r="AJ12" s="81">
        <v>424941.96</v>
      </c>
      <c r="AK12" s="81">
        <f t="shared" si="3"/>
        <v>24941.960000000021</v>
      </c>
      <c r="AL12" s="987">
        <f t="shared" si="14"/>
        <v>6.2354900000000102</v>
      </c>
      <c r="AM12" s="81">
        <v>400000</v>
      </c>
      <c r="AN12" s="1016">
        <v>1091725.79</v>
      </c>
      <c r="AO12" s="81">
        <f t="shared" si="4"/>
        <v>691725.79</v>
      </c>
      <c r="AP12" s="987">
        <f t="shared" si="15"/>
        <v>172.93144750000002</v>
      </c>
      <c r="AQ12" s="81">
        <v>400000</v>
      </c>
      <c r="AR12" s="81"/>
      <c r="AS12" s="81">
        <f>AR12-AQ12</f>
        <v>-400000</v>
      </c>
      <c r="AT12" s="987">
        <f t="shared" si="16"/>
        <v>-100</v>
      </c>
      <c r="AU12" s="81">
        <v>400000</v>
      </c>
      <c r="AV12" s="81"/>
      <c r="AW12" s="81">
        <f t="shared" si="5"/>
        <v>-400000</v>
      </c>
      <c r="AX12" s="987">
        <f t="shared" si="17"/>
        <v>-100</v>
      </c>
      <c r="AY12" s="81">
        <f>C12+G12+K12+O12+S12+W12+AA12+AE12+AI12+AM12+AQ12+AU12</f>
        <v>4800000</v>
      </c>
      <c r="AZ12" s="81">
        <f t="shared" si="6"/>
        <v>4719002.07</v>
      </c>
      <c r="BA12" s="398">
        <f t="shared" si="18"/>
        <v>471900.20700000005</v>
      </c>
    </row>
    <row r="13" spans="1:57" s="119" customFormat="1" ht="18" customHeight="1" x14ac:dyDescent="0.25">
      <c r="A13" s="122">
        <v>4882</v>
      </c>
      <c r="B13" s="382" t="s">
        <v>8</v>
      </c>
      <c r="C13" s="81">
        <v>900000</v>
      </c>
      <c r="D13" s="81">
        <v>796604.23</v>
      </c>
      <c r="E13" s="125">
        <f t="shared" si="19"/>
        <v>-103395.77000000002</v>
      </c>
      <c r="F13" s="987">
        <f t="shared" si="20"/>
        <v>-11.488418888888896</v>
      </c>
      <c r="G13" s="81">
        <v>900000</v>
      </c>
      <c r="H13" s="81">
        <v>698572.99</v>
      </c>
      <c r="I13" s="125">
        <f>H13-G13</f>
        <v>-201427.01</v>
      </c>
      <c r="J13" s="987">
        <f t="shared" si="8"/>
        <v>-22.380778888888887</v>
      </c>
      <c r="K13" s="81">
        <v>900000</v>
      </c>
      <c r="L13" s="81">
        <v>854851.16</v>
      </c>
      <c r="M13" s="125">
        <f t="shared" si="0"/>
        <v>-45148.839999999967</v>
      </c>
      <c r="N13" s="987">
        <f>((L13/K13)-1)*100</f>
        <v>-5.0165377777777742</v>
      </c>
      <c r="O13" s="81">
        <v>900000</v>
      </c>
      <c r="P13" s="81">
        <v>749293.3</v>
      </c>
      <c r="Q13" s="125">
        <f>P13-O13</f>
        <v>-150706.69999999995</v>
      </c>
      <c r="R13" s="987">
        <f t="shared" si="9"/>
        <v>-16.745188888888883</v>
      </c>
      <c r="S13" s="81">
        <v>900000</v>
      </c>
      <c r="T13" s="81">
        <v>778059.86</v>
      </c>
      <c r="U13" s="125">
        <f t="shared" si="1"/>
        <v>-121940.14000000001</v>
      </c>
      <c r="V13" s="987">
        <f t="shared" si="10"/>
        <v>-13.548904444444442</v>
      </c>
      <c r="W13" s="81">
        <v>900000</v>
      </c>
      <c r="X13" s="81">
        <v>785936.33</v>
      </c>
      <c r="Y13" s="125">
        <f t="shared" si="21"/>
        <v>-114063.67000000004</v>
      </c>
      <c r="Z13" s="987">
        <f t="shared" si="11"/>
        <v>-12.673741111111115</v>
      </c>
      <c r="AA13" s="81">
        <v>900000</v>
      </c>
      <c r="AB13" s="81">
        <v>794832.72</v>
      </c>
      <c r="AC13" s="125">
        <f t="shared" si="22"/>
        <v>-105167.28000000003</v>
      </c>
      <c r="AD13" s="987">
        <f t="shared" si="12"/>
        <v>-11.685253333333334</v>
      </c>
      <c r="AE13" s="81">
        <v>900000</v>
      </c>
      <c r="AF13" s="81">
        <v>690927.12</v>
      </c>
      <c r="AG13" s="125">
        <f t="shared" si="2"/>
        <v>-209072.88</v>
      </c>
      <c r="AH13" s="987">
        <f t="shared" si="13"/>
        <v>-23.230320000000006</v>
      </c>
      <c r="AI13" s="81">
        <v>900000</v>
      </c>
      <c r="AJ13" s="81">
        <v>837798.42</v>
      </c>
      <c r="AK13" s="125">
        <f t="shared" si="3"/>
        <v>-62201.579999999958</v>
      </c>
      <c r="AL13" s="987">
        <f t="shared" si="14"/>
        <v>-6.9112866666666601</v>
      </c>
      <c r="AM13" s="81">
        <v>900000</v>
      </c>
      <c r="AN13" s="1016">
        <v>848276.7</v>
      </c>
      <c r="AO13" s="125">
        <f t="shared" si="4"/>
        <v>-51723.300000000047</v>
      </c>
      <c r="AP13" s="987">
        <f t="shared" si="15"/>
        <v>-5.7470333333333397</v>
      </c>
      <c r="AQ13" s="81">
        <v>900000</v>
      </c>
      <c r="AR13" s="81"/>
      <c r="AS13" s="125">
        <f t="shared" ref="AS13:AS20" si="23">AR13-AQ13</f>
        <v>-900000</v>
      </c>
      <c r="AT13" s="987">
        <f t="shared" si="16"/>
        <v>-100</v>
      </c>
      <c r="AU13" s="81">
        <v>900000</v>
      </c>
      <c r="AV13" s="81"/>
      <c r="AW13" s="125">
        <f t="shared" si="5"/>
        <v>-900000</v>
      </c>
      <c r="AX13" s="987">
        <f t="shared" si="17"/>
        <v>-100</v>
      </c>
      <c r="AY13" s="81">
        <f>C13+G13+K13+O13+S13+W13+AA13+AE13+AI13+AM13+AQ13+AU13</f>
        <v>10800000</v>
      </c>
      <c r="AZ13" s="81">
        <f t="shared" si="6"/>
        <v>7835152.8299999991</v>
      </c>
      <c r="BA13" s="398">
        <f t="shared" si="18"/>
        <v>783515.28299999994</v>
      </c>
    </row>
    <row r="14" spans="1:57" s="119" customFormat="1" ht="18" customHeight="1" thickBot="1" x14ac:dyDescent="0.3">
      <c r="A14" s="127" t="s">
        <v>135</v>
      </c>
      <c r="B14" s="383" t="s">
        <v>338</v>
      </c>
      <c r="C14" s="81">
        <v>12057478.506666662</v>
      </c>
      <c r="D14" s="83">
        <f>13194079.04+77234.74</f>
        <v>13271313.779999999</v>
      </c>
      <c r="E14" s="125">
        <f t="shared" si="19"/>
        <v>1213835.2733333372</v>
      </c>
      <c r="F14" s="988">
        <f t="shared" si="20"/>
        <v>10.067073913191704</v>
      </c>
      <c r="G14" s="81">
        <v>12057728.945666663</v>
      </c>
      <c r="H14" s="83">
        <f>12146615.7+162442.39</f>
        <v>12309058.09</v>
      </c>
      <c r="I14" s="125">
        <f>H14-G14</f>
        <v>251329.1443333365</v>
      </c>
      <c r="J14" s="988">
        <f t="shared" si="8"/>
        <v>2.0843821043402988</v>
      </c>
      <c r="K14" s="81">
        <v>12057728.945666663</v>
      </c>
      <c r="L14" s="83">
        <f>5811132.99+8000639</f>
        <v>13811771.99</v>
      </c>
      <c r="M14" s="125">
        <f t="shared" ref="M14:M40" si="24">L14-K14</f>
        <v>1754043.0443333369</v>
      </c>
      <c r="N14" s="988">
        <f t="shared" ref="N14:N19" si="25">((L14/K14)-1)*100</f>
        <v>14.547043247009706</v>
      </c>
      <c r="O14" s="84">
        <v>12059892.605666662</v>
      </c>
      <c r="P14" s="83">
        <f>6600677.4+12670465</f>
        <v>19271142.399999999</v>
      </c>
      <c r="Q14" s="159">
        <f t="shared" ref="Q14:Q40" si="26">P14-O14</f>
        <v>7211249.7943333369</v>
      </c>
      <c r="R14" s="988">
        <f t="shared" si="9"/>
        <v>59.7953068914141</v>
      </c>
      <c r="S14" s="81">
        <v>12063672.927499996</v>
      </c>
      <c r="T14" s="83">
        <f>13747663.08+7037220.14</f>
        <v>20784883.219999999</v>
      </c>
      <c r="U14" s="125">
        <f t="shared" si="1"/>
        <v>8721210.2925000023</v>
      </c>
      <c r="V14" s="988">
        <f t="shared" si="10"/>
        <v>72.29315934634954</v>
      </c>
      <c r="W14" s="81">
        <v>12063672.927499996</v>
      </c>
      <c r="X14" s="83">
        <v>19314954.949999999</v>
      </c>
      <c r="Y14" s="125">
        <f t="shared" si="21"/>
        <v>7251282.0225000028</v>
      </c>
      <c r="Z14" s="988">
        <f t="shared" si="11"/>
        <v>60.108410316481574</v>
      </c>
      <c r="AA14" s="81">
        <v>12086614.046166664</v>
      </c>
      <c r="AB14" s="83">
        <v>19227641.170000002</v>
      </c>
      <c r="AC14" s="125">
        <f t="shared" si="22"/>
        <v>7141027.1238333378</v>
      </c>
      <c r="AD14" s="988">
        <f t="shared" si="12"/>
        <v>59.08211428409227</v>
      </c>
      <c r="AE14" s="81">
        <v>12149790.221166663</v>
      </c>
      <c r="AF14" s="83">
        <v>21421988.280000001</v>
      </c>
      <c r="AG14" s="125">
        <f t="shared" si="2"/>
        <v>9272198.0588333383</v>
      </c>
      <c r="AH14" s="988">
        <f t="shared" si="13"/>
        <v>76.315704963200531</v>
      </c>
      <c r="AI14" s="81">
        <v>12195704.282833328</v>
      </c>
      <c r="AJ14" s="83">
        <v>16759311.039999999</v>
      </c>
      <c r="AK14" s="125">
        <f t="shared" si="3"/>
        <v>4563606.7571666706</v>
      </c>
      <c r="AL14" s="988">
        <f t="shared" si="14"/>
        <v>37.419788569245682</v>
      </c>
      <c r="AM14" s="81">
        <v>12206158.831999995</v>
      </c>
      <c r="AN14" s="1017">
        <v>19074733.140000001</v>
      </c>
      <c r="AO14" s="125">
        <f>AN14-AM14</f>
        <v>6868574.3080000058</v>
      </c>
      <c r="AP14" s="988">
        <f t="shared" si="15"/>
        <v>56.271382361444999</v>
      </c>
      <c r="AQ14" s="81">
        <v>12215942.826999994</v>
      </c>
      <c r="AR14" s="83"/>
      <c r="AS14" s="125">
        <f t="shared" si="23"/>
        <v>-12215942.826999994</v>
      </c>
      <c r="AT14" s="988">
        <f t="shared" si="16"/>
        <v>-100</v>
      </c>
      <c r="AU14" s="81">
        <v>12220390.55266666</v>
      </c>
      <c r="AV14" s="83"/>
      <c r="AW14" s="125">
        <f t="shared" si="5"/>
        <v>-12220390.55266666</v>
      </c>
      <c r="AX14" s="988">
        <f t="shared" si="17"/>
        <v>-100</v>
      </c>
      <c r="AY14" s="81">
        <f>C14+G14+K14+O14+S14+W14+AA14+AE14+AI14+AM14+AQ14+AU14</f>
        <v>145434775.62049994</v>
      </c>
      <c r="AZ14" s="83">
        <f t="shared" si="6"/>
        <v>175246798.06</v>
      </c>
      <c r="BA14" s="398">
        <f t="shared" si="18"/>
        <v>17524679.806000002</v>
      </c>
      <c r="BC14" s="118"/>
      <c r="BD14" s="118"/>
    </row>
    <row r="15" spans="1:57" s="119" customFormat="1" ht="18" customHeight="1" thickBot="1" x14ac:dyDescent="0.3">
      <c r="A15" s="429"/>
      <c r="B15" s="113" t="s">
        <v>159</v>
      </c>
      <c r="C15" s="4">
        <f>SUM(C16:C18)</f>
        <v>830730.42333333334</v>
      </c>
      <c r="D15" s="417">
        <f>SUM(D16:D18)</f>
        <v>830730.53</v>
      </c>
      <c r="E15" s="4">
        <f t="shared" si="19"/>
        <v>0.10666666668839753</v>
      </c>
      <c r="F15" s="242">
        <f t="shared" si="20"/>
        <v>1.2840105978462191E-5</v>
      </c>
      <c r="G15" s="4">
        <f>SUM(G16:G18)</f>
        <v>830730.42333333334</v>
      </c>
      <c r="H15" s="115">
        <f>SUM(H16:H18)</f>
        <v>830730.53</v>
      </c>
      <c r="I15" s="4">
        <f t="shared" si="7"/>
        <v>0.10666666668839753</v>
      </c>
      <c r="J15" s="242">
        <f t="shared" si="8"/>
        <v>1.2840105978462191E-5</v>
      </c>
      <c r="K15" s="4">
        <f>SUM(K16:K18)</f>
        <v>830730.42333333334</v>
      </c>
      <c r="L15" s="4">
        <f>SUM(L16:L18)</f>
        <v>830730.53</v>
      </c>
      <c r="M15" s="115">
        <f t="shared" si="24"/>
        <v>0.10666666668839753</v>
      </c>
      <c r="N15" s="242">
        <f t="shared" si="25"/>
        <v>1.2840105978462191E-5</v>
      </c>
      <c r="O15" s="916">
        <f>SUM(O16:O18)</f>
        <v>830730.42333333334</v>
      </c>
      <c r="P15" s="912">
        <f>SUM(P16:P18)</f>
        <v>830730.53</v>
      </c>
      <c r="Q15" s="912">
        <f t="shared" si="26"/>
        <v>0.10666666668839753</v>
      </c>
      <c r="R15" s="985">
        <f t="shared" si="9"/>
        <v>1.2840105978462191E-5</v>
      </c>
      <c r="S15" s="4">
        <f>SUM(S16:S18)</f>
        <v>830730.42333333334</v>
      </c>
      <c r="T15" s="115">
        <f>SUM(T16:T18)</f>
        <v>830730.53</v>
      </c>
      <c r="U15" s="4">
        <f t="shared" si="1"/>
        <v>0.10666666668839753</v>
      </c>
      <c r="V15" s="242">
        <f t="shared" si="10"/>
        <v>1.2840105978462191E-5</v>
      </c>
      <c r="W15" s="4">
        <f>SUM(W16:W18)</f>
        <v>830730.42333333334</v>
      </c>
      <c r="X15" s="115">
        <f>SUM(X16:X18)</f>
        <v>830730.53</v>
      </c>
      <c r="Y15" s="4">
        <f t="shared" si="21"/>
        <v>0.10666666668839753</v>
      </c>
      <c r="Z15" s="242">
        <f t="shared" si="11"/>
        <v>1.2840105978462191E-5</v>
      </c>
      <c r="AA15" s="4">
        <f>SUM(AA16:AA18)</f>
        <v>830730.42333333334</v>
      </c>
      <c r="AB15" s="115">
        <f>SUM(AB16:AB18)</f>
        <v>830730.53</v>
      </c>
      <c r="AC15" s="4">
        <f t="shared" si="22"/>
        <v>0.10666666668839753</v>
      </c>
      <c r="AD15" s="242">
        <f t="shared" si="12"/>
        <v>1.2840105978462191E-5</v>
      </c>
      <c r="AE15" s="4">
        <f>SUM(AE16:AE18)</f>
        <v>830730.42333333334</v>
      </c>
      <c r="AF15" s="115">
        <f>SUM(AF16:AF18)</f>
        <v>830730.53</v>
      </c>
      <c r="AG15" s="4">
        <f t="shared" si="2"/>
        <v>0.10666666668839753</v>
      </c>
      <c r="AH15" s="242">
        <f t="shared" si="13"/>
        <v>1.2840105978462191E-5</v>
      </c>
      <c r="AI15" s="115">
        <f>SUM(AI16:AI18)</f>
        <v>830730.42333333334</v>
      </c>
      <c r="AJ15" s="115">
        <f>SUM(AJ16:AJ18)</f>
        <v>830730.53</v>
      </c>
      <c r="AK15" s="4">
        <f t="shared" si="3"/>
        <v>0.10666666668839753</v>
      </c>
      <c r="AL15" s="242">
        <f t="shared" si="14"/>
        <v>1.2840105978462191E-5</v>
      </c>
      <c r="AM15" s="4">
        <f>SUM(AM16:AM18)</f>
        <v>830730.42333333334</v>
      </c>
      <c r="AN15" s="115">
        <f>SUM(AN16:AN18)</f>
        <v>830730.53</v>
      </c>
      <c r="AO15" s="4">
        <f t="shared" si="4"/>
        <v>0.10666666668839753</v>
      </c>
      <c r="AP15" s="242">
        <f t="shared" si="15"/>
        <v>1.2840105978462191E-5</v>
      </c>
      <c r="AQ15" s="4">
        <f>SUM(AQ16:AQ18)</f>
        <v>830730.42333333334</v>
      </c>
      <c r="AR15" s="115">
        <f>SUM(AR16:AR18)</f>
        <v>0</v>
      </c>
      <c r="AS15" s="4">
        <f t="shared" si="23"/>
        <v>-830730.42333333334</v>
      </c>
      <c r="AT15" s="318">
        <f t="shared" si="16"/>
        <v>-100</v>
      </c>
      <c r="AU15" s="4">
        <f>SUM(AU16:AU18)</f>
        <v>830730.42333333334</v>
      </c>
      <c r="AV15" s="115">
        <f>SUM(AV16:AV18)</f>
        <v>0</v>
      </c>
      <c r="AW15" s="4">
        <f t="shared" si="5"/>
        <v>-830730.42333333334</v>
      </c>
      <c r="AX15" s="242">
        <f t="shared" si="17"/>
        <v>-100</v>
      </c>
      <c r="AY15" s="115">
        <f>C15+G15+K15+O15+S15+W15+AA15+AE15+AI15+AM15+AQ15+AU15</f>
        <v>9968765.0800000019</v>
      </c>
      <c r="AZ15" s="115">
        <f t="shared" si="6"/>
        <v>8307305.3000000017</v>
      </c>
      <c r="BA15" s="398">
        <f t="shared" si="18"/>
        <v>830730.53000000014</v>
      </c>
      <c r="BC15" s="334"/>
    </row>
    <row r="16" spans="1:57" s="119" customFormat="1" ht="18" customHeight="1" x14ac:dyDescent="0.25">
      <c r="A16" s="134">
        <v>55248</v>
      </c>
      <c r="B16" s="332" t="s">
        <v>9</v>
      </c>
      <c r="C16" s="542">
        <v>199045.21</v>
      </c>
      <c r="D16" s="87">
        <v>199045.21</v>
      </c>
      <c r="E16" s="137">
        <f t="shared" si="19"/>
        <v>0</v>
      </c>
      <c r="F16" s="237">
        <f t="shared" si="20"/>
        <v>0</v>
      </c>
      <c r="G16" s="888">
        <v>199045.21</v>
      </c>
      <c r="H16" s="204">
        <v>199045.21</v>
      </c>
      <c r="I16" s="190">
        <f t="shared" si="7"/>
        <v>0</v>
      </c>
      <c r="J16" s="371">
        <f t="shared" si="8"/>
        <v>0</v>
      </c>
      <c r="K16" s="888">
        <v>199045.21</v>
      </c>
      <c r="L16" s="130">
        <v>199045.21</v>
      </c>
      <c r="M16" s="137">
        <f t="shared" si="24"/>
        <v>0</v>
      </c>
      <c r="N16" s="237">
        <f t="shared" si="25"/>
        <v>0</v>
      </c>
      <c r="O16" s="888">
        <v>199045.21</v>
      </c>
      <c r="P16" s="1091">
        <v>199045.21</v>
      </c>
      <c r="Q16" s="137">
        <f t="shared" si="26"/>
        <v>0</v>
      </c>
      <c r="R16" s="237">
        <f t="shared" si="9"/>
        <v>0</v>
      </c>
      <c r="S16" s="888">
        <v>199045.21</v>
      </c>
      <c r="T16" s="137">
        <v>199045.21</v>
      </c>
      <c r="U16" s="137">
        <f t="shared" si="1"/>
        <v>0</v>
      </c>
      <c r="V16" s="237">
        <f t="shared" si="10"/>
        <v>0</v>
      </c>
      <c r="W16" s="888">
        <v>199045.21</v>
      </c>
      <c r="X16" s="137">
        <v>199045.21</v>
      </c>
      <c r="Y16" s="137">
        <f t="shared" si="21"/>
        <v>0</v>
      </c>
      <c r="Z16" s="237">
        <f t="shared" si="11"/>
        <v>0</v>
      </c>
      <c r="AA16" s="888">
        <v>199045.21</v>
      </c>
      <c r="AB16" s="980">
        <v>199045.21</v>
      </c>
      <c r="AC16" s="137">
        <f t="shared" si="22"/>
        <v>0</v>
      </c>
      <c r="AD16" s="237">
        <f t="shared" si="12"/>
        <v>0</v>
      </c>
      <c r="AE16" s="888">
        <v>199045.21</v>
      </c>
      <c r="AF16" s="889">
        <v>199045.21</v>
      </c>
      <c r="AG16" s="137">
        <f t="shared" si="2"/>
        <v>0</v>
      </c>
      <c r="AH16" s="237">
        <f t="shared" si="13"/>
        <v>0</v>
      </c>
      <c r="AI16" s="888">
        <v>199045.21</v>
      </c>
      <c r="AJ16" s="137">
        <v>199045.21</v>
      </c>
      <c r="AK16" s="137">
        <f t="shared" si="3"/>
        <v>0</v>
      </c>
      <c r="AL16" s="237">
        <f t="shared" si="14"/>
        <v>0</v>
      </c>
      <c r="AM16" s="888">
        <v>199045.21</v>
      </c>
      <c r="AN16" s="1018">
        <v>199045.21</v>
      </c>
      <c r="AO16" s="137">
        <f t="shared" si="4"/>
        <v>0</v>
      </c>
      <c r="AP16" s="237">
        <f t="shared" si="15"/>
        <v>0</v>
      </c>
      <c r="AQ16" s="888">
        <v>199045.21</v>
      </c>
      <c r="AR16" s="212"/>
      <c r="AS16" s="137">
        <f t="shared" si="23"/>
        <v>-199045.21</v>
      </c>
      <c r="AT16" s="252">
        <f t="shared" si="16"/>
        <v>-100</v>
      </c>
      <c r="AU16" s="888">
        <v>199045.21</v>
      </c>
      <c r="AV16" s="599"/>
      <c r="AW16" s="137">
        <f t="shared" si="5"/>
        <v>-199045.21</v>
      </c>
      <c r="AX16" s="237">
        <f t="shared" si="17"/>
        <v>-100</v>
      </c>
      <c r="AY16" s="177">
        <f>AA16+AE16+AI16+AM16+AQ16+AU16+W16+S16+O16+K16+G16+C16</f>
        <v>2388542.52</v>
      </c>
      <c r="AZ16" s="177">
        <f t="shared" si="6"/>
        <v>1990452.0999999999</v>
      </c>
      <c r="BA16" s="398">
        <f t="shared" si="18"/>
        <v>199045.21</v>
      </c>
      <c r="BC16" s="401"/>
    </row>
    <row r="17" spans="1:58" s="119" customFormat="1" ht="18" customHeight="1" x14ac:dyDescent="0.25">
      <c r="A17" s="139">
        <v>55249</v>
      </c>
      <c r="B17" s="382" t="s">
        <v>10</v>
      </c>
      <c r="C17" s="211">
        <v>70360.213333333362</v>
      </c>
      <c r="D17" s="82">
        <v>70360.320000000007</v>
      </c>
      <c r="E17" s="125">
        <f t="shared" si="19"/>
        <v>0.10666666664474178</v>
      </c>
      <c r="F17" s="237">
        <f t="shared" si="20"/>
        <v>1.5160082891263471E-4</v>
      </c>
      <c r="G17" s="889">
        <v>70360.213333333362</v>
      </c>
      <c r="H17" s="125">
        <v>70360.320000000007</v>
      </c>
      <c r="I17" s="137">
        <f t="shared" si="7"/>
        <v>0.10666666664474178</v>
      </c>
      <c r="J17" s="235">
        <f t="shared" si="8"/>
        <v>1.5160082891263471E-4</v>
      </c>
      <c r="K17" s="889">
        <v>70360.213333333362</v>
      </c>
      <c r="L17" s="130">
        <v>70360.320000000007</v>
      </c>
      <c r="M17" s="125">
        <f t="shared" si="24"/>
        <v>0.10666666664474178</v>
      </c>
      <c r="N17" s="235">
        <f t="shared" si="25"/>
        <v>1.5160082891263471E-4</v>
      </c>
      <c r="O17" s="889">
        <v>70360.213333333362</v>
      </c>
      <c r="P17" s="810">
        <v>70360.320000000007</v>
      </c>
      <c r="Q17" s="125">
        <f t="shared" si="26"/>
        <v>0.10666666664474178</v>
      </c>
      <c r="R17" s="235">
        <f t="shared" si="9"/>
        <v>1.5160082891263471E-4</v>
      </c>
      <c r="S17" s="889">
        <v>70360.213333333362</v>
      </c>
      <c r="T17" s="125">
        <v>70360.320000000007</v>
      </c>
      <c r="U17" s="125">
        <f t="shared" si="1"/>
        <v>0.10666666664474178</v>
      </c>
      <c r="V17" s="235">
        <f t="shared" si="10"/>
        <v>1.5160082891263471E-4</v>
      </c>
      <c r="W17" s="889">
        <v>70360.213333333362</v>
      </c>
      <c r="X17" s="125">
        <v>70360.320000000007</v>
      </c>
      <c r="Y17" s="125">
        <f t="shared" si="21"/>
        <v>0.10666666664474178</v>
      </c>
      <c r="Z17" s="235">
        <f t="shared" si="11"/>
        <v>1.5160082891263471E-4</v>
      </c>
      <c r="AA17" s="889">
        <v>70360.213333333362</v>
      </c>
      <c r="AB17" s="981">
        <v>70360.320000000007</v>
      </c>
      <c r="AC17" s="125">
        <f t="shared" si="22"/>
        <v>0.10666666664474178</v>
      </c>
      <c r="AD17" s="235">
        <f t="shared" si="12"/>
        <v>1.5160082891263471E-4</v>
      </c>
      <c r="AE17" s="889">
        <v>70360.213333333362</v>
      </c>
      <c r="AF17" s="889">
        <v>70360.320000000007</v>
      </c>
      <c r="AG17" s="137">
        <f t="shared" si="2"/>
        <v>0.10666666664474178</v>
      </c>
      <c r="AH17" s="235">
        <f t="shared" si="13"/>
        <v>1.5160082891263471E-4</v>
      </c>
      <c r="AI17" s="889">
        <v>70360.213333333362</v>
      </c>
      <c r="AJ17" s="125">
        <v>70360.320000000007</v>
      </c>
      <c r="AK17" s="137">
        <f t="shared" si="3"/>
        <v>0.10666666664474178</v>
      </c>
      <c r="AL17" s="235">
        <f t="shared" si="14"/>
        <v>1.5160082891263471E-4</v>
      </c>
      <c r="AM17" s="889">
        <v>70360.213333333362</v>
      </c>
      <c r="AN17" s="889">
        <v>70360.320000000007</v>
      </c>
      <c r="AO17" s="137">
        <f t="shared" si="4"/>
        <v>0.10666666664474178</v>
      </c>
      <c r="AP17" s="235">
        <f t="shared" si="15"/>
        <v>1.5160082891263471E-4</v>
      </c>
      <c r="AQ17" s="889">
        <v>70360.213333333362</v>
      </c>
      <c r="AR17" s="212"/>
      <c r="AS17" s="137">
        <f t="shared" si="23"/>
        <v>-70360.213333333362</v>
      </c>
      <c r="AT17" s="319">
        <f t="shared" si="16"/>
        <v>-100</v>
      </c>
      <c r="AU17" s="889">
        <v>70360.213333333362</v>
      </c>
      <c r="AV17" s="599"/>
      <c r="AW17" s="125">
        <f t="shared" si="5"/>
        <v>-70360.213333333362</v>
      </c>
      <c r="AX17" s="235">
        <f t="shared" si="17"/>
        <v>-100</v>
      </c>
      <c r="AY17" s="177">
        <f>AA17+AE17+AI17+AM17+AQ17+AU17+W17+S17+O17+K17+G17+C17</f>
        <v>844322.56000000041</v>
      </c>
      <c r="AZ17" s="177">
        <f t="shared" si="6"/>
        <v>703603.20000000019</v>
      </c>
      <c r="BA17" s="398">
        <f t="shared" si="18"/>
        <v>70360.320000000022</v>
      </c>
      <c r="BC17" s="401"/>
    </row>
    <row r="18" spans="1:58" s="119" customFormat="1" ht="18" customHeight="1" thickBot="1" x14ac:dyDescent="0.3">
      <c r="A18" s="127">
        <v>55247</v>
      </c>
      <c r="B18" s="384" t="s">
        <v>11</v>
      </c>
      <c r="C18" s="214">
        <v>561325</v>
      </c>
      <c r="D18" s="84">
        <v>561325</v>
      </c>
      <c r="E18" s="125">
        <f t="shared" si="19"/>
        <v>0</v>
      </c>
      <c r="F18" s="327">
        <f t="shared" si="20"/>
        <v>0</v>
      </c>
      <c r="G18" s="890">
        <v>561325</v>
      </c>
      <c r="H18" s="121">
        <v>561325</v>
      </c>
      <c r="I18" s="121">
        <f t="shared" si="7"/>
        <v>0</v>
      </c>
      <c r="J18" s="235">
        <f t="shared" si="8"/>
        <v>0</v>
      </c>
      <c r="K18" s="890">
        <v>561325</v>
      </c>
      <c r="L18" s="130">
        <v>561325</v>
      </c>
      <c r="M18" s="125">
        <f t="shared" si="24"/>
        <v>0</v>
      </c>
      <c r="N18" s="235">
        <f t="shared" si="25"/>
        <v>0</v>
      </c>
      <c r="O18" s="890">
        <v>561325</v>
      </c>
      <c r="P18" s="810">
        <v>561325</v>
      </c>
      <c r="Q18" s="125">
        <f t="shared" si="26"/>
        <v>0</v>
      </c>
      <c r="R18" s="235">
        <f t="shared" si="9"/>
        <v>0</v>
      </c>
      <c r="S18" s="890">
        <v>561325</v>
      </c>
      <c r="T18" s="125">
        <v>561325</v>
      </c>
      <c r="U18" s="125">
        <f t="shared" si="1"/>
        <v>0</v>
      </c>
      <c r="V18" s="235">
        <f t="shared" si="10"/>
        <v>0</v>
      </c>
      <c r="W18" s="890">
        <v>561325</v>
      </c>
      <c r="X18" s="125">
        <v>561325</v>
      </c>
      <c r="Y18" s="125">
        <f t="shared" si="21"/>
        <v>0</v>
      </c>
      <c r="Z18" s="235">
        <f t="shared" si="11"/>
        <v>0</v>
      </c>
      <c r="AA18" s="890">
        <v>561325</v>
      </c>
      <c r="AB18" s="981">
        <v>561325</v>
      </c>
      <c r="AC18" s="125">
        <f t="shared" si="22"/>
        <v>0</v>
      </c>
      <c r="AD18" s="235">
        <f t="shared" si="12"/>
        <v>0</v>
      </c>
      <c r="AE18" s="890">
        <v>561325</v>
      </c>
      <c r="AF18" s="889">
        <v>561325</v>
      </c>
      <c r="AG18" s="137">
        <f t="shared" si="2"/>
        <v>0</v>
      </c>
      <c r="AH18" s="235">
        <f t="shared" si="13"/>
        <v>0</v>
      </c>
      <c r="AI18" s="890">
        <v>561325</v>
      </c>
      <c r="AJ18" s="125">
        <v>561325</v>
      </c>
      <c r="AK18" s="137">
        <f t="shared" si="3"/>
        <v>0</v>
      </c>
      <c r="AL18" s="235">
        <f t="shared" si="14"/>
        <v>0</v>
      </c>
      <c r="AM18" s="890">
        <v>561325</v>
      </c>
      <c r="AN18" s="889">
        <v>561325</v>
      </c>
      <c r="AO18" s="137">
        <f t="shared" si="4"/>
        <v>0</v>
      </c>
      <c r="AP18" s="235">
        <f t="shared" si="15"/>
        <v>0</v>
      </c>
      <c r="AQ18" s="890">
        <v>561325</v>
      </c>
      <c r="AR18" s="219"/>
      <c r="AS18" s="137">
        <f t="shared" si="23"/>
        <v>-561325</v>
      </c>
      <c r="AT18" s="319">
        <f t="shared" si="16"/>
        <v>-100</v>
      </c>
      <c r="AU18" s="890">
        <v>561325</v>
      </c>
      <c r="AV18" s="599"/>
      <c r="AW18" s="125">
        <f t="shared" si="5"/>
        <v>-561325</v>
      </c>
      <c r="AX18" s="235">
        <f t="shared" si="17"/>
        <v>-100</v>
      </c>
      <c r="AY18" s="177">
        <f>AA18+AE18+AI18+AM18+AQ18+AU18+W18+S18+O18+K18+G18+C18</f>
        <v>6735900</v>
      </c>
      <c r="AZ18" s="177">
        <f t="shared" si="6"/>
        <v>5613250</v>
      </c>
      <c r="BA18" s="398">
        <f t="shared" si="18"/>
        <v>561325</v>
      </c>
      <c r="BC18" s="401"/>
    </row>
    <row r="19" spans="1:58" s="119" customFormat="1" ht="18" customHeight="1" thickBot="1" x14ac:dyDescent="0.3">
      <c r="A19" s="140"/>
      <c r="B19" s="381" t="s">
        <v>160</v>
      </c>
      <c r="C19" s="7">
        <f>SUM(C20:C40)</f>
        <v>143817.25666666668</v>
      </c>
      <c r="D19" s="101">
        <f>SUM(D20:D40)</f>
        <v>234659.91</v>
      </c>
      <c r="E19" s="4">
        <f t="shared" si="19"/>
        <v>90842.653333333321</v>
      </c>
      <c r="F19" s="242">
        <f t="shared" si="20"/>
        <v>63.165335954004753</v>
      </c>
      <c r="G19" s="7">
        <f>SUM(G20:G40)</f>
        <v>143817.25666666668</v>
      </c>
      <c r="H19" s="191">
        <f>SUM(H20:H40)</f>
        <v>659261.87</v>
      </c>
      <c r="I19" s="4">
        <f>H19-G19</f>
        <v>515444.61333333328</v>
      </c>
      <c r="J19" s="242">
        <f t="shared" si="8"/>
        <v>358.4024791461627</v>
      </c>
      <c r="K19" s="7">
        <f>SUM(K20:K40)</f>
        <v>143817.25666666668</v>
      </c>
      <c r="L19" s="191">
        <f>SUM(L20:L40)</f>
        <v>332614.90000000002</v>
      </c>
      <c r="M19" s="191">
        <f t="shared" si="24"/>
        <v>188797.64333333334</v>
      </c>
      <c r="N19" s="242">
        <f t="shared" si="25"/>
        <v>131.27607055592793</v>
      </c>
      <c r="O19" s="7">
        <f>SUM(O20:O40)</f>
        <v>143817.25666666668</v>
      </c>
      <c r="P19" s="191">
        <f>SUM(P20:P40)</f>
        <v>965570.87000000011</v>
      </c>
      <c r="Q19" s="191">
        <f t="shared" si="26"/>
        <v>821753.6133333334</v>
      </c>
      <c r="R19" s="242">
        <f t="shared" si="9"/>
        <v>571.38735112849349</v>
      </c>
      <c r="S19" s="7">
        <f>SUM(S20:S40)</f>
        <v>343817.25666666671</v>
      </c>
      <c r="T19" s="191">
        <f>SUM(T20:T40)</f>
        <v>709121.53</v>
      </c>
      <c r="U19" s="191">
        <f t="shared" si="1"/>
        <v>365304.27333333332</v>
      </c>
      <c r="V19" s="242">
        <f t="shared" si="10"/>
        <v>106.24954572524507</v>
      </c>
      <c r="W19" s="7">
        <f>SUM(W20:W40)</f>
        <v>143817.25666666668</v>
      </c>
      <c r="X19" s="191">
        <f>SUM(X20:X40)</f>
        <v>595570.43999999994</v>
      </c>
      <c r="Y19" s="191">
        <f t="shared" si="21"/>
        <v>451753.18333333323</v>
      </c>
      <c r="Z19" s="242">
        <f t="shared" si="11"/>
        <v>314.11611777603775</v>
      </c>
      <c r="AA19" s="7">
        <f>SUM(AA20:AA40)</f>
        <v>117450.55666666666</v>
      </c>
      <c r="AB19" s="982">
        <f>SUM(AB20:AB40)</f>
        <v>838248.80999999994</v>
      </c>
      <c r="AC19" s="191">
        <f t="shared" si="22"/>
        <v>720798.2533333333</v>
      </c>
      <c r="AD19" s="242">
        <f t="shared" si="12"/>
        <v>613.70356496394641</v>
      </c>
      <c r="AE19" s="7">
        <f>SUM(AE20:AE40)</f>
        <v>143817.25666666668</v>
      </c>
      <c r="AF19" s="191">
        <f>SUM(AF20:AF40)</f>
        <v>512214.66999999993</v>
      </c>
      <c r="AG19" s="191">
        <f t="shared" si="2"/>
        <v>368397.41333333321</v>
      </c>
      <c r="AH19" s="242">
        <f t="shared" si="13"/>
        <v>256.15661282372292</v>
      </c>
      <c r="AI19" s="4">
        <f>SUM(AI20:AI40)</f>
        <v>143817.25666666668</v>
      </c>
      <c r="AJ19" s="191">
        <f>SUM(AJ20:AJ40)</f>
        <v>408451.58999999997</v>
      </c>
      <c r="AK19" s="191">
        <f t="shared" si="3"/>
        <v>264634.33333333326</v>
      </c>
      <c r="AL19" s="242">
        <f t="shared" si="14"/>
        <v>184.00735729975096</v>
      </c>
      <c r="AM19" s="7">
        <f>SUM(AM20:AM40)</f>
        <v>143817.25666666668</v>
      </c>
      <c r="AN19" s="191">
        <f>SUM(AN20:AN40)</f>
        <v>567984.60000000009</v>
      </c>
      <c r="AO19" s="191">
        <f t="shared" si="4"/>
        <v>424167.34333333338</v>
      </c>
      <c r="AP19" s="242">
        <f t="shared" si="15"/>
        <v>294.93494255452936</v>
      </c>
      <c r="AQ19" s="221">
        <f>SUM(AQ20:AQ40)</f>
        <v>143818.25666666665</v>
      </c>
      <c r="AR19" s="4">
        <f>SUM(AR20:AR40)</f>
        <v>0</v>
      </c>
      <c r="AS19" s="191">
        <f t="shared" si="23"/>
        <v>-143818.25666666665</v>
      </c>
      <c r="AT19" s="242">
        <f t="shared" si="16"/>
        <v>-100</v>
      </c>
      <c r="AU19" s="7">
        <f>SUM(AU20:AU40)</f>
        <v>343817.25666666671</v>
      </c>
      <c r="AV19" s="4">
        <f>SUM(AV20:AV40)</f>
        <v>0</v>
      </c>
      <c r="AW19" s="191">
        <f t="shared" si="5"/>
        <v>-343817.25666666671</v>
      </c>
      <c r="AX19" s="242">
        <f t="shared" si="17"/>
        <v>-100</v>
      </c>
      <c r="AY19" s="4">
        <f>AA19+AE19+AI19+AM19+AQ19+AU19+W19+S19+O19+K19+G19+C19</f>
        <v>2099441.38</v>
      </c>
      <c r="AZ19" s="7">
        <f t="shared" si="6"/>
        <v>5823699.1899999995</v>
      </c>
      <c r="BA19" s="398">
        <f t="shared" si="18"/>
        <v>582369.91899999999</v>
      </c>
      <c r="BC19" s="334"/>
      <c r="BD19" s="334"/>
    </row>
    <row r="20" spans="1:58" s="119" customFormat="1" ht="18" customHeight="1" x14ac:dyDescent="0.25">
      <c r="A20" s="141">
        <v>4962</v>
      </c>
      <c r="B20" s="381" t="s">
        <v>164</v>
      </c>
      <c r="C20" s="894">
        <v>-79792</v>
      </c>
      <c r="D20" s="88">
        <v>-69555.759999999995</v>
      </c>
      <c r="E20" s="137">
        <f t="shared" si="19"/>
        <v>10236.240000000005</v>
      </c>
      <c r="F20" s="126">
        <f>((D20/C20)-1)*100</f>
        <v>-12.82865450170444</v>
      </c>
      <c r="G20" s="877">
        <v>-79792</v>
      </c>
      <c r="H20" s="144">
        <v>-40558.14</v>
      </c>
      <c r="I20" s="136">
        <f t="shared" ref="I20:I40" si="27">H20-G20</f>
        <v>39233.86</v>
      </c>
      <c r="J20" s="126">
        <f t="shared" si="8"/>
        <v>-49.170167435331869</v>
      </c>
      <c r="K20" s="877">
        <v>-79792</v>
      </c>
      <c r="L20" s="145">
        <v>-82499.53</v>
      </c>
      <c r="M20" s="190">
        <f t="shared" si="24"/>
        <v>-2707.5299999999988</v>
      </c>
      <c r="N20" s="126">
        <f>((L20/K20)-1)*100</f>
        <v>3.3932349107679949</v>
      </c>
      <c r="O20" s="877">
        <v>-79792</v>
      </c>
      <c r="P20" s="144">
        <v>-22153.119999999999</v>
      </c>
      <c r="Q20" s="190">
        <f t="shared" si="26"/>
        <v>57638.880000000005</v>
      </c>
      <c r="R20" s="126">
        <f t="shared" si="9"/>
        <v>-72.236414678163214</v>
      </c>
      <c r="S20" s="877">
        <v>-79792</v>
      </c>
      <c r="T20" s="144">
        <v>-15325.83</v>
      </c>
      <c r="U20" s="190">
        <f t="shared" si="1"/>
        <v>64466.17</v>
      </c>
      <c r="V20" s="126">
        <f t="shared" si="10"/>
        <v>-80.792773711650284</v>
      </c>
      <c r="W20" s="877">
        <v>-79792</v>
      </c>
      <c r="X20" s="144">
        <v>-18642.27</v>
      </c>
      <c r="Y20" s="190">
        <f t="shared" si="21"/>
        <v>61149.729999999996</v>
      </c>
      <c r="Z20" s="126">
        <f t="shared" si="11"/>
        <v>-76.63641718468017</v>
      </c>
      <c r="AA20" s="877">
        <v>-79792</v>
      </c>
      <c r="AB20" s="210">
        <v>-21641.98</v>
      </c>
      <c r="AC20" s="205">
        <f t="shared" si="22"/>
        <v>58150.020000000004</v>
      </c>
      <c r="AD20" s="249">
        <f t="shared" si="12"/>
        <v>-72.87700521355525</v>
      </c>
      <c r="AE20" s="998">
        <v>-79792</v>
      </c>
      <c r="AF20" s="120">
        <v>-38933.910000000003</v>
      </c>
      <c r="AG20" s="190">
        <f t="shared" si="2"/>
        <v>40858.089999999997</v>
      </c>
      <c r="AH20" s="859">
        <f t="shared" si="13"/>
        <v>-51.205747443352713</v>
      </c>
      <c r="AI20" s="877">
        <v>-79792</v>
      </c>
      <c r="AJ20" s="144">
        <v>-23718.14</v>
      </c>
      <c r="AK20" s="190">
        <f t="shared" si="3"/>
        <v>56073.86</v>
      </c>
      <c r="AL20" s="126">
        <f t="shared" si="14"/>
        <v>-70.275040104271099</v>
      </c>
      <c r="AM20" s="877">
        <v>-79792</v>
      </c>
      <c r="AN20" s="1019">
        <v>-152567.56</v>
      </c>
      <c r="AO20" s="190">
        <f t="shared" si="4"/>
        <v>-72775.56</v>
      </c>
      <c r="AP20" s="126">
        <f t="shared" si="15"/>
        <v>91.206587126528987</v>
      </c>
      <c r="AQ20" s="877">
        <v>-79792</v>
      </c>
      <c r="AR20" s="224"/>
      <c r="AS20" s="190">
        <f t="shared" si="23"/>
        <v>79792</v>
      </c>
      <c r="AT20" s="126">
        <f t="shared" si="16"/>
        <v>-100</v>
      </c>
      <c r="AU20" s="877">
        <v>-79792</v>
      </c>
      <c r="AV20" s="212"/>
      <c r="AW20" s="190">
        <f t="shared" si="5"/>
        <v>79792</v>
      </c>
      <c r="AX20" s="126">
        <f t="shared" si="17"/>
        <v>-100</v>
      </c>
      <c r="AY20" s="138">
        <f>C20+G20+K20+O20+S20+W20+AA20+AE20+AI20+AM20+AQ20+AU20</f>
        <v>-957504</v>
      </c>
      <c r="AZ20" s="460">
        <f t="shared" si="6"/>
        <v>-485596.23999999993</v>
      </c>
      <c r="BA20" s="398">
        <f t="shared" si="18"/>
        <v>-48559.623999999996</v>
      </c>
      <c r="BC20" s="334"/>
      <c r="BD20" s="334"/>
    </row>
    <row r="21" spans="1:58" s="119" customFormat="1" ht="18" customHeight="1" x14ac:dyDescent="0.25">
      <c r="A21" s="127">
        <v>5001</v>
      </c>
      <c r="B21" s="382" t="s">
        <v>12</v>
      </c>
      <c r="C21" s="895">
        <v>140556.63666666666</v>
      </c>
      <c r="D21" s="90">
        <v>125246.49</v>
      </c>
      <c r="E21" s="125">
        <f t="shared" si="19"/>
        <v>-15310.146666666653</v>
      </c>
      <c r="F21" s="126">
        <f>((D21/C21)-1)*100</f>
        <v>-10.892510684483025</v>
      </c>
      <c r="G21" s="878">
        <v>140556.63666666666</v>
      </c>
      <c r="H21" s="125">
        <v>114909.82</v>
      </c>
      <c r="I21" s="121">
        <f t="shared" si="27"/>
        <v>-25646.816666666651</v>
      </c>
      <c r="J21" s="126">
        <f t="shared" si="8"/>
        <v>-18.246606688155666</v>
      </c>
      <c r="K21" s="878">
        <v>140556.63666666666</v>
      </c>
      <c r="L21" s="125">
        <v>130883.74</v>
      </c>
      <c r="M21" s="125">
        <f t="shared" si="24"/>
        <v>-9672.8966666666529</v>
      </c>
      <c r="N21" s="126">
        <f>((L21/K21)-1)*100</f>
        <v>-6.8818498336767675</v>
      </c>
      <c r="O21" s="878">
        <v>140556.63666666666</v>
      </c>
      <c r="P21" s="149">
        <v>137938.21</v>
      </c>
      <c r="Q21" s="125">
        <f t="shared" si="26"/>
        <v>-2618.4266666666663</v>
      </c>
      <c r="R21" s="126">
        <f t="shared" si="9"/>
        <v>-1.8628979241132049</v>
      </c>
      <c r="S21" s="878">
        <v>140556.63666666666</v>
      </c>
      <c r="T21" s="149">
        <v>126753.8</v>
      </c>
      <c r="U21" s="125">
        <f t="shared" si="1"/>
        <v>-13802.836666666655</v>
      </c>
      <c r="V21" s="126">
        <f t="shared" si="10"/>
        <v>-9.8201244665525156</v>
      </c>
      <c r="W21" s="878">
        <v>140556.63666666666</v>
      </c>
      <c r="X21" s="149">
        <v>121341.33</v>
      </c>
      <c r="Y21" s="125">
        <f t="shared" si="21"/>
        <v>-19215.306666666656</v>
      </c>
      <c r="Z21" s="126">
        <f t="shared" si="11"/>
        <v>-13.670864017781103</v>
      </c>
      <c r="AA21" s="878">
        <v>140556.63666666666</v>
      </c>
      <c r="AB21" s="983">
        <v>129126.13</v>
      </c>
      <c r="AC21" s="125">
        <f t="shared" si="22"/>
        <v>-11430.506666666653</v>
      </c>
      <c r="AD21" s="126">
        <f t="shared" si="12"/>
        <v>-8.1323137332706459</v>
      </c>
      <c r="AE21" s="999">
        <v>140556.63666666666</v>
      </c>
      <c r="AF21" s="997">
        <v>140527.39000000001</v>
      </c>
      <c r="AG21" s="125">
        <f>AF21-AE21</f>
        <v>-29.24666666664416</v>
      </c>
      <c r="AH21" s="216">
        <f t="shared" si="13"/>
        <v>-2.0807745091400154E-2</v>
      </c>
      <c r="AI21" s="878">
        <v>140556.63666666666</v>
      </c>
      <c r="AJ21" s="125">
        <v>119011.27</v>
      </c>
      <c r="AK21" s="125">
        <f>AJ21-AI21</f>
        <v>-21545.366666666654</v>
      </c>
      <c r="AL21" s="126">
        <f t="shared" si="14"/>
        <v>-15.328601464591095</v>
      </c>
      <c r="AM21" s="878">
        <v>140556.63666666666</v>
      </c>
      <c r="AN21" s="1020">
        <v>142848.28</v>
      </c>
      <c r="AO21" s="125">
        <f>AN21-AM21</f>
        <v>2291.6433333333407</v>
      </c>
      <c r="AP21" s="126">
        <f t="shared" si="15"/>
        <v>1.6304056412277612</v>
      </c>
      <c r="AQ21" s="878">
        <v>140556.63666666666</v>
      </c>
      <c r="AR21" s="224"/>
      <c r="AS21" s="125">
        <f>AR21-AQ21</f>
        <v>-140556.63666666666</v>
      </c>
      <c r="AT21" s="126">
        <f t="shared" si="16"/>
        <v>-100</v>
      </c>
      <c r="AU21" s="878">
        <v>140556.63666666666</v>
      </c>
      <c r="AV21" s="211"/>
      <c r="AW21" s="125">
        <f t="shared" si="5"/>
        <v>-140556.63666666666</v>
      </c>
      <c r="AX21" s="126">
        <f t="shared" si="17"/>
        <v>-100</v>
      </c>
      <c r="AY21" s="126">
        <f t="shared" ref="AY21:AY40" si="28">C21+G21+K21+O21+S21+W21+AA21+AE21+AI21+AM21+AQ21+AU21</f>
        <v>1686679.6400000004</v>
      </c>
      <c r="AZ21" s="126">
        <f>SUM(D21+H21+L21+P21+T21+X21+AB21+AF21+AJ21+AN21+AR21+AV21)</f>
        <v>1288586.46</v>
      </c>
      <c r="BA21" s="398">
        <f t="shared" si="18"/>
        <v>128858.64599999999</v>
      </c>
      <c r="BC21" s="334"/>
      <c r="BD21" s="334"/>
    </row>
    <row r="22" spans="1:58" s="119" customFormat="1" ht="18" customHeight="1" x14ac:dyDescent="0.25">
      <c r="A22" s="127">
        <v>4993</v>
      </c>
      <c r="B22" s="382" t="s">
        <v>13</v>
      </c>
      <c r="C22" s="895">
        <v>0</v>
      </c>
      <c r="D22" s="90">
        <v>0</v>
      </c>
      <c r="E22" s="125">
        <f t="shared" si="19"/>
        <v>0</v>
      </c>
      <c r="F22" s="126"/>
      <c r="G22" s="211">
        <v>0</v>
      </c>
      <c r="H22" s="149">
        <v>0</v>
      </c>
      <c r="I22" s="121">
        <f t="shared" si="27"/>
        <v>0</v>
      </c>
      <c r="J22" s="126"/>
      <c r="K22" s="211">
        <v>0</v>
      </c>
      <c r="L22" s="149">
        <v>0</v>
      </c>
      <c r="M22" s="125">
        <f t="shared" si="24"/>
        <v>0</v>
      </c>
      <c r="N22" s="126"/>
      <c r="O22" s="211">
        <v>0</v>
      </c>
      <c r="P22" s="149">
        <v>0</v>
      </c>
      <c r="Q22" s="125">
        <f t="shared" si="26"/>
        <v>0</v>
      </c>
      <c r="R22" s="126"/>
      <c r="S22" s="211">
        <v>0</v>
      </c>
      <c r="T22" s="149">
        <v>0</v>
      </c>
      <c r="U22" s="125">
        <f t="shared" si="1"/>
        <v>0</v>
      </c>
      <c r="V22" s="126"/>
      <c r="W22" s="211">
        <v>0</v>
      </c>
      <c r="X22" s="149">
        <v>0</v>
      </c>
      <c r="Y22" s="125">
        <f t="shared" si="21"/>
        <v>0</v>
      </c>
      <c r="Z22" s="126"/>
      <c r="AA22" s="211">
        <v>0</v>
      </c>
      <c r="AB22" s="211">
        <v>0</v>
      </c>
      <c r="AC22" s="125">
        <f t="shared" si="22"/>
        <v>0</v>
      </c>
      <c r="AD22" s="126"/>
      <c r="AE22" s="211">
        <v>0</v>
      </c>
      <c r="AF22" s="121">
        <v>0</v>
      </c>
      <c r="AG22" s="125">
        <f t="shared" ref="AG22:AG40" si="29">AF22-AE22</f>
        <v>0</v>
      </c>
      <c r="AH22" s="216"/>
      <c r="AI22" s="224">
        <v>0</v>
      </c>
      <c r="AJ22" s="125">
        <v>0</v>
      </c>
      <c r="AK22" s="125">
        <f t="shared" ref="AK22:AK35" si="30">AJ22-AI22</f>
        <v>0</v>
      </c>
      <c r="AL22" s="126"/>
      <c r="AM22" s="211">
        <v>0</v>
      </c>
      <c r="AN22" s="1020">
        <v>0</v>
      </c>
      <c r="AO22" s="125">
        <f t="shared" ref="AO22:AO35" si="31">AN22-AM22</f>
        <v>0</v>
      </c>
      <c r="AP22" s="126"/>
      <c r="AQ22" s="121">
        <v>0</v>
      </c>
      <c r="AR22" s="224">
        <v>0</v>
      </c>
      <c r="AS22" s="125">
        <f t="shared" ref="AS22:AS40" si="32">AR22-AQ22</f>
        <v>0</v>
      </c>
      <c r="AT22" s="126"/>
      <c r="AU22" s="211">
        <v>0</v>
      </c>
      <c r="AV22" s="211">
        <v>0</v>
      </c>
      <c r="AW22" s="125">
        <f t="shared" si="5"/>
        <v>0</v>
      </c>
      <c r="AX22" s="126"/>
      <c r="AY22" s="126">
        <f t="shared" si="28"/>
        <v>0</v>
      </c>
      <c r="AZ22" s="126">
        <f>SUM(D22+H22+L22+P22+T22+X22+AB22+AF22+AJ22+AN22+AR22+AV22)</f>
        <v>0</v>
      </c>
      <c r="BA22" s="398">
        <f t="shared" si="18"/>
        <v>0</v>
      </c>
      <c r="BC22" s="334"/>
      <c r="BD22" s="334"/>
      <c r="BF22" s="334"/>
    </row>
    <row r="23" spans="1:58" s="119" customFormat="1" ht="18" customHeight="1" x14ac:dyDescent="0.25">
      <c r="A23" s="150" t="s">
        <v>143</v>
      </c>
      <c r="B23" s="989" t="s">
        <v>166</v>
      </c>
      <c r="C23" s="895">
        <v>8103.41</v>
      </c>
      <c r="D23" s="90">
        <f>8233.81</f>
        <v>8233.81</v>
      </c>
      <c r="E23" s="125">
        <f t="shared" si="19"/>
        <v>130.39999999999964</v>
      </c>
      <c r="F23" s="126">
        <f t="shared" ref="F23:F37" si="33">((D23/C23)-1)*100</f>
        <v>1.6091990902595388</v>
      </c>
      <c r="G23" s="878">
        <v>8103.41</v>
      </c>
      <c r="H23" s="149">
        <v>8266.75</v>
      </c>
      <c r="I23" s="121">
        <f t="shared" si="27"/>
        <v>163.34000000000015</v>
      </c>
      <c r="J23" s="126">
        <f t="shared" ref="J23:J37" si="34">((H23/G23)-1)*100</f>
        <v>2.015694627323561</v>
      </c>
      <c r="K23" s="878">
        <v>8103.41</v>
      </c>
      <c r="L23" s="149">
        <v>8299.7999999999993</v>
      </c>
      <c r="M23" s="125">
        <f t="shared" si="24"/>
        <v>196.38999999999942</v>
      </c>
      <c r="N23" s="126">
        <f t="shared" ref="N23:N37" si="35">((L23/K23)-1)*100</f>
        <v>2.4235476176078796</v>
      </c>
      <c r="O23" s="878">
        <v>8103.41</v>
      </c>
      <c r="P23" s="149">
        <v>8333.01</v>
      </c>
      <c r="Q23" s="125">
        <f t="shared" si="26"/>
        <v>229.60000000000036</v>
      </c>
      <c r="R23" s="126">
        <f t="shared" ref="R23:R37" si="36">((P23/O23)-1)*100</f>
        <v>2.8333750853035911</v>
      </c>
      <c r="S23" s="878">
        <v>8103.41</v>
      </c>
      <c r="T23" s="149">
        <v>8366.34</v>
      </c>
      <c r="U23" s="125">
        <f t="shared" si="1"/>
        <v>262.93000000000029</v>
      </c>
      <c r="V23" s="126">
        <f>((T23/S23)-1)*100</f>
        <v>3.2446834110578138</v>
      </c>
      <c r="W23" s="878">
        <v>8103.41</v>
      </c>
      <c r="X23" s="149">
        <v>8399.81</v>
      </c>
      <c r="Y23" s="125">
        <f t="shared" si="21"/>
        <v>296.39999999999964</v>
      </c>
      <c r="Z23" s="126">
        <f>((X23/W23)-1)*100</f>
        <v>3.6577194045469774</v>
      </c>
      <c r="AA23" s="878">
        <v>8103.41</v>
      </c>
      <c r="AB23" s="149">
        <v>8433.41</v>
      </c>
      <c r="AC23" s="125">
        <f t="shared" si="22"/>
        <v>330</v>
      </c>
      <c r="AD23" s="126">
        <f t="shared" si="12"/>
        <v>4.0723596609328672</v>
      </c>
      <c r="AE23" s="999">
        <v>8103.41</v>
      </c>
      <c r="AF23" s="121">
        <v>8467.14</v>
      </c>
      <c r="AG23" s="125">
        <f t="shared" si="29"/>
        <v>363.72999999999956</v>
      </c>
      <c r="AH23" s="216">
        <f t="shared" si="13"/>
        <v>4.488604180215483</v>
      </c>
      <c r="AI23" s="878">
        <v>8103.41</v>
      </c>
      <c r="AJ23" s="125">
        <v>8500.99</v>
      </c>
      <c r="AK23" s="125">
        <f t="shared" si="30"/>
        <v>397.57999999999993</v>
      </c>
      <c r="AL23" s="126">
        <f t="shared" si="14"/>
        <v>4.9063295575566324</v>
      </c>
      <c r="AM23" s="878">
        <v>8103.41</v>
      </c>
      <c r="AN23" s="1020">
        <v>8535.01</v>
      </c>
      <c r="AO23" s="125">
        <f t="shared" si="31"/>
        <v>431.60000000000036</v>
      </c>
      <c r="AP23" s="126">
        <f t="shared" si="15"/>
        <v>5.3261528171473449</v>
      </c>
      <c r="AQ23" s="878">
        <v>8103.41</v>
      </c>
      <c r="AR23" s="224"/>
      <c r="AS23" s="125">
        <f t="shared" si="32"/>
        <v>-8103.41</v>
      </c>
      <c r="AT23" s="126">
        <f t="shared" si="16"/>
        <v>-100</v>
      </c>
      <c r="AU23" s="878">
        <v>8103.41</v>
      </c>
      <c r="AV23" s="211"/>
      <c r="AW23" s="125">
        <f t="shared" si="5"/>
        <v>-8103.41</v>
      </c>
      <c r="AX23" s="126">
        <f t="shared" si="17"/>
        <v>-100</v>
      </c>
      <c r="AY23" s="126">
        <f t="shared" si="28"/>
        <v>97240.920000000027</v>
      </c>
      <c r="AZ23" s="126">
        <f>SUM(D23+H23+L23+P23+T23+X23+AB23+AF23+AJ23+AN23+AR23+AV23)</f>
        <v>83836.069999999992</v>
      </c>
      <c r="BA23" s="398">
        <f t="shared" si="18"/>
        <v>8383.607</v>
      </c>
    </row>
    <row r="24" spans="1:58" s="119" customFormat="1" ht="18" customHeight="1" x14ac:dyDescent="0.25">
      <c r="A24" s="127">
        <v>38583</v>
      </c>
      <c r="B24" s="989" t="s">
        <v>14</v>
      </c>
      <c r="C24" s="895">
        <v>0</v>
      </c>
      <c r="D24" s="90">
        <v>0</v>
      </c>
      <c r="E24" s="125">
        <f t="shared" si="19"/>
        <v>0</v>
      </c>
      <c r="F24" s="126"/>
      <c r="G24" s="211">
        <v>0</v>
      </c>
      <c r="H24" s="149">
        <v>0</v>
      </c>
      <c r="I24" s="121">
        <f t="shared" si="27"/>
        <v>0</v>
      </c>
      <c r="J24" s="126"/>
      <c r="K24" s="211">
        <v>0</v>
      </c>
      <c r="L24" s="149">
        <v>0</v>
      </c>
      <c r="M24" s="125">
        <f t="shared" si="24"/>
        <v>0</v>
      </c>
      <c r="N24" s="126"/>
      <c r="O24" s="211">
        <v>0</v>
      </c>
      <c r="P24" s="149">
        <v>0</v>
      </c>
      <c r="Q24" s="125">
        <f t="shared" si="26"/>
        <v>0</v>
      </c>
      <c r="R24" s="126"/>
      <c r="S24" s="211">
        <v>0</v>
      </c>
      <c r="T24" s="149">
        <v>0</v>
      </c>
      <c r="U24" s="125">
        <f t="shared" si="1"/>
        <v>0</v>
      </c>
      <c r="V24" s="126"/>
      <c r="W24" s="211">
        <v>0</v>
      </c>
      <c r="X24" s="149">
        <v>1450</v>
      </c>
      <c r="Y24" s="125">
        <f t="shared" si="21"/>
        <v>1450</v>
      </c>
      <c r="Z24" s="126"/>
      <c r="AA24" s="211">
        <v>0</v>
      </c>
      <c r="AB24" s="125">
        <v>179561.57</v>
      </c>
      <c r="AC24" s="125">
        <f t="shared" si="22"/>
        <v>179561.57</v>
      </c>
      <c r="AD24" s="126"/>
      <c r="AE24" s="211">
        <v>0</v>
      </c>
      <c r="AF24" s="997">
        <v>0</v>
      </c>
      <c r="AG24" s="125">
        <f t="shared" si="29"/>
        <v>0</v>
      </c>
      <c r="AH24" s="216"/>
      <c r="AI24" s="224">
        <v>0</v>
      </c>
      <c r="AJ24" s="125">
        <v>0</v>
      </c>
      <c r="AK24" s="125">
        <f t="shared" si="30"/>
        <v>0</v>
      </c>
      <c r="AL24" s="126"/>
      <c r="AM24" s="211">
        <v>0</v>
      </c>
      <c r="AN24" s="1020">
        <v>0</v>
      </c>
      <c r="AO24" s="125">
        <f t="shared" si="31"/>
        <v>0</v>
      </c>
      <c r="AP24" s="126"/>
      <c r="AQ24" s="121">
        <v>0</v>
      </c>
      <c r="AR24" s="224">
        <v>0</v>
      </c>
      <c r="AS24" s="125">
        <f t="shared" si="32"/>
        <v>0</v>
      </c>
      <c r="AT24" s="126"/>
      <c r="AU24" s="211">
        <v>0</v>
      </c>
      <c r="AV24" s="211">
        <v>0</v>
      </c>
      <c r="AW24" s="125">
        <f t="shared" si="5"/>
        <v>0</v>
      </c>
      <c r="AX24" s="126"/>
      <c r="AY24" s="126">
        <f t="shared" si="28"/>
        <v>0</v>
      </c>
      <c r="AZ24" s="126">
        <f>SUM(D24+H24+L24+P24+T24+X24+AB24+AF24+AJ24+AN24+AR24+AV24)</f>
        <v>181011.57</v>
      </c>
      <c r="BA24" s="398">
        <f t="shared" si="18"/>
        <v>18101.156999999999</v>
      </c>
    </row>
    <row r="25" spans="1:58" s="119" customFormat="1" ht="18" customHeight="1" x14ac:dyDescent="0.25">
      <c r="A25" s="150" t="s">
        <v>142</v>
      </c>
      <c r="B25" s="989" t="s">
        <v>15</v>
      </c>
      <c r="C25" s="895">
        <v>30038.32333333333</v>
      </c>
      <c r="D25" s="82">
        <f>3687.19+13985.6</f>
        <v>17672.79</v>
      </c>
      <c r="E25" s="125">
        <f t="shared" si="19"/>
        <v>-12365.533333333329</v>
      </c>
      <c r="F25" s="126">
        <f t="shared" si="33"/>
        <v>-41.165857348673583</v>
      </c>
      <c r="G25" s="878">
        <v>30038.32333333333</v>
      </c>
      <c r="H25" s="149">
        <f>4937.5+15543.65</f>
        <v>20481.150000000001</v>
      </c>
      <c r="I25" s="121">
        <f t="shared" si="27"/>
        <v>-9557.1733333333286</v>
      </c>
      <c r="J25" s="126">
        <f t="shared" si="34"/>
        <v>-31.81660050488836</v>
      </c>
      <c r="K25" s="878">
        <v>30038.32333333333</v>
      </c>
      <c r="L25" s="149">
        <v>35725.839999999997</v>
      </c>
      <c r="M25" s="125">
        <f t="shared" si="24"/>
        <v>5687.5166666666664</v>
      </c>
      <c r="N25" s="126">
        <f t="shared" si="35"/>
        <v>18.93420149837479</v>
      </c>
      <c r="O25" s="878">
        <v>30038.32333333333</v>
      </c>
      <c r="P25" s="149">
        <v>55691.95</v>
      </c>
      <c r="Q25" s="125">
        <f t="shared" si="26"/>
        <v>25653.626666666667</v>
      </c>
      <c r="R25" s="126">
        <f t="shared" si="36"/>
        <v>85.402991312098322</v>
      </c>
      <c r="S25" s="878">
        <v>30038.32333333333</v>
      </c>
      <c r="T25" s="149">
        <v>103322.97</v>
      </c>
      <c r="U25" s="125">
        <f t="shared" si="1"/>
        <v>73284.646666666667</v>
      </c>
      <c r="V25" s="126">
        <f t="shared" ref="V25:V34" si="37">((T25/S25)-1)*100</f>
        <v>243.97049679981032</v>
      </c>
      <c r="W25" s="878">
        <v>30038.32333333333</v>
      </c>
      <c r="X25" s="149">
        <v>134830.43</v>
      </c>
      <c r="Y25" s="125">
        <f t="shared" si="21"/>
        <v>104792.10666666666</v>
      </c>
      <c r="Z25" s="126">
        <f t="shared" ref="Z25:Z37" si="38">((X25/W25)-1)*100</f>
        <v>348.8613712016994</v>
      </c>
      <c r="AA25" s="878">
        <v>30038.32333333333</v>
      </c>
      <c r="AB25" s="125">
        <v>150058.22</v>
      </c>
      <c r="AC25" s="125">
        <f t="shared" si="22"/>
        <v>120019.89666666667</v>
      </c>
      <c r="AD25" s="126">
        <f t="shared" si="12"/>
        <v>399.55591174252191</v>
      </c>
      <c r="AE25" s="999">
        <v>30038.32333333333</v>
      </c>
      <c r="AF25" s="997">
        <v>195348.01</v>
      </c>
      <c r="AG25" s="125">
        <f t="shared" si="29"/>
        <v>165309.68666666668</v>
      </c>
      <c r="AH25" s="216">
        <f t="shared" si="13"/>
        <v>550.32927381543834</v>
      </c>
      <c r="AI25" s="878">
        <v>30038.32333333333</v>
      </c>
      <c r="AJ25" s="125">
        <v>200368.59</v>
      </c>
      <c r="AK25" s="125">
        <f t="shared" si="30"/>
        <v>170330.26666666666</v>
      </c>
      <c r="AL25" s="126">
        <f t="shared" si="14"/>
        <v>567.04318938351753</v>
      </c>
      <c r="AM25" s="878">
        <v>30038.32333333333</v>
      </c>
      <c r="AN25" s="1020">
        <v>211239.19</v>
      </c>
      <c r="AO25" s="125">
        <f t="shared" si="31"/>
        <v>181200.86666666667</v>
      </c>
      <c r="AP25" s="126">
        <f t="shared" si="15"/>
        <v>603.23229314729849</v>
      </c>
      <c r="AQ25" s="878">
        <v>30039.323333333301</v>
      </c>
      <c r="AR25" s="224"/>
      <c r="AS25" s="125">
        <f t="shared" si="32"/>
        <v>-30039.323333333301</v>
      </c>
      <c r="AT25" s="126">
        <f t="shared" si="16"/>
        <v>-100</v>
      </c>
      <c r="AU25" s="878">
        <v>30038.32333333333</v>
      </c>
      <c r="AV25" s="211"/>
      <c r="AW25" s="125">
        <f t="shared" si="5"/>
        <v>-30038.32333333333</v>
      </c>
      <c r="AX25" s="126">
        <f t="shared" si="17"/>
        <v>-100</v>
      </c>
      <c r="AY25" s="126">
        <f t="shared" si="28"/>
        <v>360460.87999999989</v>
      </c>
      <c r="AZ25" s="126">
        <f t="shared" ref="AZ25:AZ40" si="39">SUM(D25+H25+L25+P25+T25+X25+AB25+AF25+AJ25+AN25+AR25+AV25)</f>
        <v>1124739.1399999999</v>
      </c>
      <c r="BA25" s="398">
        <f t="shared" si="18"/>
        <v>112473.91399999999</v>
      </c>
      <c r="BC25" s="334"/>
    </row>
    <row r="26" spans="1:58" s="119" customFormat="1" ht="18" customHeight="1" x14ac:dyDescent="0.25">
      <c r="A26" s="127">
        <v>27432</v>
      </c>
      <c r="B26" s="989" t="s">
        <v>16</v>
      </c>
      <c r="C26" s="895">
        <v>14174.276666666667</v>
      </c>
      <c r="D26" s="90">
        <v>16916.22</v>
      </c>
      <c r="E26" s="125">
        <f t="shared" si="19"/>
        <v>2741.9433333333345</v>
      </c>
      <c r="F26" s="126">
        <f t="shared" si="33"/>
        <v>19.344502705958199</v>
      </c>
      <c r="G26" s="878">
        <v>14174.276666666667</v>
      </c>
      <c r="H26" s="149">
        <v>16916.22</v>
      </c>
      <c r="I26" s="121">
        <f t="shared" si="27"/>
        <v>2741.9433333333345</v>
      </c>
      <c r="J26" s="126">
        <f t="shared" si="34"/>
        <v>19.344502705958199</v>
      </c>
      <c r="K26" s="878">
        <v>14174.276666666667</v>
      </c>
      <c r="L26" s="149">
        <v>16916.22</v>
      </c>
      <c r="M26" s="125">
        <f t="shared" si="24"/>
        <v>2741.9433333333345</v>
      </c>
      <c r="N26" s="126">
        <f t="shared" si="35"/>
        <v>19.344502705958199</v>
      </c>
      <c r="O26" s="878">
        <v>14174.276666666667</v>
      </c>
      <c r="P26" s="149">
        <v>16916.22</v>
      </c>
      <c r="Q26" s="125">
        <f t="shared" si="26"/>
        <v>2741.9433333333345</v>
      </c>
      <c r="R26" s="126">
        <f t="shared" si="36"/>
        <v>19.344502705958199</v>
      </c>
      <c r="S26" s="878">
        <v>14174.276666666667</v>
      </c>
      <c r="T26" s="149">
        <v>16916.22</v>
      </c>
      <c r="U26" s="125">
        <f t="shared" si="1"/>
        <v>2741.9433333333345</v>
      </c>
      <c r="V26" s="126">
        <f t="shared" si="37"/>
        <v>19.344502705958199</v>
      </c>
      <c r="W26" s="878">
        <v>14174.276666666667</v>
      </c>
      <c r="X26" s="149">
        <v>16916.22</v>
      </c>
      <c r="Y26" s="125">
        <f t="shared" si="21"/>
        <v>2741.9433333333345</v>
      </c>
      <c r="Z26" s="126">
        <f t="shared" si="38"/>
        <v>19.344502705958199</v>
      </c>
      <c r="AA26" s="878">
        <v>14174.276666666667</v>
      </c>
      <c r="AB26" s="125">
        <v>8916.2199999999993</v>
      </c>
      <c r="AC26" s="125">
        <f t="shared" si="22"/>
        <v>-5258.0566666666673</v>
      </c>
      <c r="AD26" s="126">
        <f t="shared" si="12"/>
        <v>-37.095767144378691</v>
      </c>
      <c r="AE26" s="999">
        <v>14174.276666666667</v>
      </c>
      <c r="AF26" s="121">
        <v>8916.2199999999993</v>
      </c>
      <c r="AG26" s="125">
        <f t="shared" si="29"/>
        <v>-5258.0566666666673</v>
      </c>
      <c r="AH26" s="216">
        <f t="shared" si="13"/>
        <v>-37.095767144378691</v>
      </c>
      <c r="AI26" s="878">
        <v>14174.276666666667</v>
      </c>
      <c r="AJ26" s="125">
        <v>8916.2199999999993</v>
      </c>
      <c r="AK26" s="125">
        <f t="shared" si="30"/>
        <v>-5258.0566666666673</v>
      </c>
      <c r="AL26" s="126">
        <f t="shared" si="14"/>
        <v>-37.095767144378691</v>
      </c>
      <c r="AM26" s="878">
        <v>14174.276666666667</v>
      </c>
      <c r="AN26" s="1020">
        <v>8916.2199999999993</v>
      </c>
      <c r="AO26" s="125">
        <f t="shared" si="31"/>
        <v>-5258.0566666666673</v>
      </c>
      <c r="AP26" s="126">
        <f t="shared" si="15"/>
        <v>-37.095767144378691</v>
      </c>
      <c r="AQ26" s="878">
        <v>14174.276666666667</v>
      </c>
      <c r="AR26" s="224"/>
      <c r="AS26" s="125">
        <f t="shared" si="32"/>
        <v>-14174.276666666667</v>
      </c>
      <c r="AT26" s="126">
        <f t="shared" si="16"/>
        <v>-100</v>
      </c>
      <c r="AU26" s="878">
        <v>14174.276666666667</v>
      </c>
      <c r="AV26" s="211"/>
      <c r="AW26" s="125">
        <f t="shared" si="5"/>
        <v>-14174.276666666667</v>
      </c>
      <c r="AX26" s="126">
        <f t="shared" si="17"/>
        <v>-100</v>
      </c>
      <c r="AY26" s="126">
        <f t="shared" si="28"/>
        <v>170091.32000000004</v>
      </c>
      <c r="AZ26" s="126">
        <f t="shared" si="39"/>
        <v>137162.20000000001</v>
      </c>
      <c r="BA26" s="398">
        <f t="shared" si="18"/>
        <v>13716.220000000001</v>
      </c>
      <c r="BC26" s="334"/>
    </row>
    <row r="27" spans="1:58" s="119" customFormat="1" ht="18" customHeight="1" x14ac:dyDescent="0.25">
      <c r="A27" s="127">
        <v>54902</v>
      </c>
      <c r="B27" s="989" t="s">
        <v>3702</v>
      </c>
      <c r="C27" s="895">
        <v>0</v>
      </c>
      <c r="D27" s="90">
        <v>0</v>
      </c>
      <c r="E27" s="125">
        <f t="shared" si="19"/>
        <v>0</v>
      </c>
      <c r="F27" s="126"/>
      <c r="G27" s="878">
        <v>0</v>
      </c>
      <c r="H27" s="149">
        <v>0</v>
      </c>
      <c r="I27" s="121">
        <f t="shared" si="27"/>
        <v>0</v>
      </c>
      <c r="J27" s="126"/>
      <c r="K27" s="878">
        <v>0</v>
      </c>
      <c r="L27" s="149">
        <v>0</v>
      </c>
      <c r="M27" s="125">
        <f t="shared" si="24"/>
        <v>0</v>
      </c>
      <c r="N27" s="126"/>
      <c r="O27" s="878">
        <v>0</v>
      </c>
      <c r="P27" s="149">
        <v>565315.62</v>
      </c>
      <c r="Q27" s="125">
        <f t="shared" si="26"/>
        <v>565315.62</v>
      </c>
      <c r="R27" s="126"/>
      <c r="S27" s="878">
        <v>0</v>
      </c>
      <c r="T27" s="149">
        <v>0</v>
      </c>
      <c r="U27" s="125">
        <f t="shared" si="1"/>
        <v>0</v>
      </c>
      <c r="V27" s="126"/>
      <c r="W27" s="878">
        <v>0</v>
      </c>
      <c r="X27" s="149">
        <v>0</v>
      </c>
      <c r="Y27" s="125">
        <f t="shared" si="21"/>
        <v>0</v>
      </c>
      <c r="Z27" s="126"/>
      <c r="AA27" s="878">
        <v>0</v>
      </c>
      <c r="AB27" s="125">
        <v>0</v>
      </c>
      <c r="AC27" s="125">
        <f t="shared" si="22"/>
        <v>0</v>
      </c>
      <c r="AD27" s="126"/>
      <c r="AE27" s="999">
        <v>0</v>
      </c>
      <c r="AF27" s="121">
        <v>0</v>
      </c>
      <c r="AG27" s="125">
        <f t="shared" si="29"/>
        <v>0</v>
      </c>
      <c r="AH27" s="216"/>
      <c r="AI27" s="878">
        <v>0</v>
      </c>
      <c r="AJ27" s="125">
        <v>0</v>
      </c>
      <c r="AK27" s="125">
        <f t="shared" si="30"/>
        <v>0</v>
      </c>
      <c r="AL27" s="126"/>
      <c r="AM27" s="878">
        <v>0</v>
      </c>
      <c r="AN27" s="1020">
        <v>0</v>
      </c>
      <c r="AO27" s="125">
        <f t="shared" si="31"/>
        <v>0</v>
      </c>
      <c r="AP27" s="126"/>
      <c r="AQ27" s="878">
        <v>0</v>
      </c>
      <c r="AR27" s="224">
        <v>0</v>
      </c>
      <c r="AS27" s="125">
        <f t="shared" si="32"/>
        <v>0</v>
      </c>
      <c r="AT27" s="126"/>
      <c r="AU27" s="878">
        <v>0</v>
      </c>
      <c r="AV27" s="211">
        <v>0</v>
      </c>
      <c r="AW27" s="125">
        <f t="shared" si="5"/>
        <v>0</v>
      </c>
      <c r="AX27" s="126"/>
      <c r="AY27" s="126">
        <f t="shared" si="28"/>
        <v>0</v>
      </c>
      <c r="AZ27" s="126">
        <f t="shared" si="39"/>
        <v>565315.62</v>
      </c>
      <c r="BA27" s="398">
        <f t="shared" si="18"/>
        <v>56531.561999999998</v>
      </c>
      <c r="BC27" s="334"/>
    </row>
    <row r="28" spans="1:58" s="119" customFormat="1" ht="18" customHeight="1" x14ac:dyDescent="0.25">
      <c r="A28" s="127">
        <v>5180</v>
      </c>
      <c r="B28" s="382" t="s">
        <v>18</v>
      </c>
      <c r="C28" s="895">
        <v>26367</v>
      </c>
      <c r="D28" s="82">
        <v>25100</v>
      </c>
      <c r="E28" s="125">
        <f t="shared" si="19"/>
        <v>-1267</v>
      </c>
      <c r="F28" s="126">
        <f t="shared" si="33"/>
        <v>-4.8052489854742646</v>
      </c>
      <c r="G28" s="895">
        <v>26367</v>
      </c>
      <c r="H28" s="125">
        <v>52640</v>
      </c>
      <c r="I28" s="121">
        <f t="shared" si="27"/>
        <v>26273</v>
      </c>
      <c r="J28" s="126">
        <f t="shared" si="34"/>
        <v>99.643493761140817</v>
      </c>
      <c r="K28" s="895">
        <v>26367</v>
      </c>
      <c r="L28" s="125">
        <v>14000</v>
      </c>
      <c r="M28" s="125">
        <f t="shared" si="24"/>
        <v>-12367</v>
      </c>
      <c r="N28" s="126">
        <f t="shared" si="35"/>
        <v>-46.903326127356159</v>
      </c>
      <c r="O28" s="895">
        <v>26367</v>
      </c>
      <c r="P28" s="125">
        <v>14000</v>
      </c>
      <c r="Q28" s="125">
        <f t="shared" si="26"/>
        <v>-12367</v>
      </c>
      <c r="R28" s="126">
        <f t="shared" si="36"/>
        <v>-46.903326127356159</v>
      </c>
      <c r="S28" s="895">
        <v>26367</v>
      </c>
      <c r="T28" s="125">
        <v>14000</v>
      </c>
      <c r="U28" s="125">
        <f t="shared" si="1"/>
        <v>-12367</v>
      </c>
      <c r="V28" s="126">
        <f t="shared" si="37"/>
        <v>-46.903326127356159</v>
      </c>
      <c r="W28" s="895">
        <v>26367</v>
      </c>
      <c r="X28" s="125">
        <v>14000</v>
      </c>
      <c r="Y28" s="125">
        <f t="shared" si="21"/>
        <v>-12367</v>
      </c>
      <c r="Z28" s="126">
        <f t="shared" si="38"/>
        <v>-46.903326127356159</v>
      </c>
      <c r="AA28" s="895">
        <v>1453.5766666666668</v>
      </c>
      <c r="AB28" s="125">
        <v>14000</v>
      </c>
      <c r="AC28" s="125">
        <f t="shared" si="22"/>
        <v>12546.423333333332</v>
      </c>
      <c r="AD28" s="126">
        <f t="shared" si="12"/>
        <v>863.14149236481035</v>
      </c>
      <c r="AE28" s="997">
        <v>26367</v>
      </c>
      <c r="AF28" s="997">
        <v>14000</v>
      </c>
      <c r="AG28" s="125">
        <f t="shared" si="29"/>
        <v>-12367</v>
      </c>
      <c r="AH28" s="216">
        <f t="shared" si="13"/>
        <v>-46.903326127356159</v>
      </c>
      <c r="AI28" s="895">
        <v>26367</v>
      </c>
      <c r="AJ28" s="125">
        <v>14000</v>
      </c>
      <c r="AK28" s="125">
        <f t="shared" si="30"/>
        <v>-12367</v>
      </c>
      <c r="AL28" s="126">
        <f t="shared" si="14"/>
        <v>-46.903326127356159</v>
      </c>
      <c r="AM28" s="895">
        <v>26367</v>
      </c>
      <c r="AN28" s="889">
        <v>14500</v>
      </c>
      <c r="AO28" s="125">
        <f t="shared" si="31"/>
        <v>-11867</v>
      </c>
      <c r="AP28" s="126">
        <f t="shared" si="15"/>
        <v>-45.007016346190312</v>
      </c>
      <c r="AQ28" s="895">
        <v>26367</v>
      </c>
      <c r="AR28" s="224"/>
      <c r="AS28" s="125">
        <f t="shared" si="32"/>
        <v>-26367</v>
      </c>
      <c r="AT28" s="126">
        <f t="shared" si="16"/>
        <v>-100</v>
      </c>
      <c r="AU28" s="895">
        <v>26367</v>
      </c>
      <c r="AV28" s="211"/>
      <c r="AW28" s="125">
        <f t="shared" si="5"/>
        <v>-26367</v>
      </c>
      <c r="AX28" s="126">
        <f t="shared" si="17"/>
        <v>-100</v>
      </c>
      <c r="AY28" s="126">
        <f t="shared" si="28"/>
        <v>291490.57666666666</v>
      </c>
      <c r="AZ28" s="126">
        <f t="shared" si="39"/>
        <v>190240</v>
      </c>
      <c r="BA28" s="398">
        <f t="shared" si="18"/>
        <v>19024</v>
      </c>
      <c r="BC28" s="334"/>
    </row>
    <row r="29" spans="1:58" s="119" customFormat="1" ht="18" customHeight="1" x14ac:dyDescent="0.25">
      <c r="A29" s="127">
        <v>5181</v>
      </c>
      <c r="B29" s="332" t="s">
        <v>19</v>
      </c>
      <c r="C29" s="895">
        <v>1453.5766666666668</v>
      </c>
      <c r="D29" s="82">
        <f>859.28+1478.4</f>
        <v>2337.6800000000003</v>
      </c>
      <c r="E29" s="125">
        <f t="shared" si="19"/>
        <v>884.10333333333347</v>
      </c>
      <c r="F29" s="126">
        <f t="shared" si="33"/>
        <v>60.822614562240716</v>
      </c>
      <c r="G29" s="878">
        <v>1453.5766666666668</v>
      </c>
      <c r="H29" s="125">
        <v>4477.6499999999996</v>
      </c>
      <c r="I29" s="121">
        <f t="shared" si="27"/>
        <v>3024.0733333333328</v>
      </c>
      <c r="J29" s="126">
        <f t="shared" si="34"/>
        <v>208.04360737766379</v>
      </c>
      <c r="K29" s="878">
        <v>1453.5766666666668</v>
      </c>
      <c r="L29" s="125">
        <v>5694.77</v>
      </c>
      <c r="M29" s="125">
        <f t="shared" si="24"/>
        <v>4241.1933333333336</v>
      </c>
      <c r="N29" s="126">
        <f t="shared" si="35"/>
        <v>291.77637689102511</v>
      </c>
      <c r="O29" s="878">
        <v>1453.5766666666668</v>
      </c>
      <c r="P29" s="125">
        <v>5795.34</v>
      </c>
      <c r="Q29" s="125">
        <f t="shared" si="26"/>
        <v>4341.7633333333333</v>
      </c>
      <c r="R29" s="126">
        <f t="shared" si="36"/>
        <v>298.69517259724859</v>
      </c>
      <c r="S29" s="878">
        <v>1453.5766666666668</v>
      </c>
      <c r="T29" s="125">
        <v>3259.23</v>
      </c>
      <c r="U29" s="125">
        <f t="shared" si="1"/>
        <v>1805.6533333333332</v>
      </c>
      <c r="V29" s="126">
        <f t="shared" si="37"/>
        <v>124.22140329715434</v>
      </c>
      <c r="W29" s="878">
        <v>1453.5766666666668</v>
      </c>
      <c r="X29" s="125">
        <v>7389.72</v>
      </c>
      <c r="Y29" s="125">
        <f t="shared" si="21"/>
        <v>5936.1433333333334</v>
      </c>
      <c r="Z29" s="126">
        <f t="shared" si="38"/>
        <v>408.3818534970062</v>
      </c>
      <c r="AA29" s="878">
        <v>1000</v>
      </c>
      <c r="AB29" s="125">
        <v>9089</v>
      </c>
      <c r="AC29" s="125">
        <f t="shared" si="22"/>
        <v>8089</v>
      </c>
      <c r="AD29" s="126">
        <f t="shared" si="12"/>
        <v>808.90000000000009</v>
      </c>
      <c r="AE29" s="999">
        <v>1453.5766666666668</v>
      </c>
      <c r="AF29" s="121">
        <v>8356.17</v>
      </c>
      <c r="AG29" s="125">
        <f t="shared" si="29"/>
        <v>6902.5933333333332</v>
      </c>
      <c r="AH29" s="216">
        <f t="shared" si="13"/>
        <v>474.86957458957556</v>
      </c>
      <c r="AI29" s="878">
        <v>1453.5766666666668</v>
      </c>
      <c r="AJ29" s="125">
        <v>1116.5999999999999</v>
      </c>
      <c r="AK29" s="125">
        <f t="shared" si="30"/>
        <v>-336.97666666666692</v>
      </c>
      <c r="AL29" s="126">
        <f t="shared" si="14"/>
        <v>-23.18258640181806</v>
      </c>
      <c r="AM29" s="878">
        <v>1453.5766666666668</v>
      </c>
      <c r="AN29" s="1021">
        <v>3961.23</v>
      </c>
      <c r="AO29" s="125">
        <f t="shared" si="31"/>
        <v>2507.6533333333332</v>
      </c>
      <c r="AP29" s="126">
        <f t="shared" si="15"/>
        <v>172.51606955716125</v>
      </c>
      <c r="AQ29" s="878">
        <v>1453.5766666666668</v>
      </c>
      <c r="AR29" s="224"/>
      <c r="AS29" s="125">
        <f t="shared" si="32"/>
        <v>-1453.5766666666668</v>
      </c>
      <c r="AT29" s="126">
        <f t="shared" si="16"/>
        <v>-100</v>
      </c>
      <c r="AU29" s="878">
        <v>1453.5766666666668</v>
      </c>
      <c r="AV29" s="211"/>
      <c r="AW29" s="125">
        <f t="shared" si="5"/>
        <v>-1453.5766666666668</v>
      </c>
      <c r="AX29" s="126">
        <f t="shared" si="17"/>
        <v>-100</v>
      </c>
      <c r="AY29" s="126">
        <f t="shared" si="28"/>
        <v>16989.343333333338</v>
      </c>
      <c r="AZ29" s="126">
        <f t="shared" si="39"/>
        <v>51477.39</v>
      </c>
      <c r="BA29" s="398">
        <f t="shared" si="18"/>
        <v>5147.7389999999996</v>
      </c>
      <c r="BC29" s="334"/>
    </row>
    <row r="30" spans="1:58" s="119" customFormat="1" ht="18" customHeight="1" x14ac:dyDescent="0.25">
      <c r="A30" s="127">
        <v>5193</v>
      </c>
      <c r="B30" s="332" t="s">
        <v>128</v>
      </c>
      <c r="C30" s="895">
        <v>1000</v>
      </c>
      <c r="D30" s="82">
        <v>32013.22</v>
      </c>
      <c r="E30" s="125">
        <f t="shared" si="19"/>
        <v>31013.22</v>
      </c>
      <c r="F30" s="126">
        <f t="shared" si="33"/>
        <v>3101.3220000000006</v>
      </c>
      <c r="G30" s="878">
        <v>1000</v>
      </c>
      <c r="H30" s="125">
        <v>16403.05</v>
      </c>
      <c r="I30" s="121">
        <f t="shared" si="27"/>
        <v>15403.05</v>
      </c>
      <c r="J30" s="126">
        <f t="shared" si="34"/>
        <v>1540.3050000000001</v>
      </c>
      <c r="K30" s="878">
        <v>1000</v>
      </c>
      <c r="L30" s="125">
        <v>0</v>
      </c>
      <c r="M30" s="125">
        <f t="shared" si="24"/>
        <v>-1000</v>
      </c>
      <c r="N30" s="126">
        <f t="shared" si="35"/>
        <v>-100</v>
      </c>
      <c r="O30" s="878">
        <v>1000</v>
      </c>
      <c r="P30" s="125">
        <v>17355.63</v>
      </c>
      <c r="Q30" s="125">
        <f t="shared" si="26"/>
        <v>16355.630000000001</v>
      </c>
      <c r="R30" s="126">
        <f t="shared" si="36"/>
        <v>1635.5630000000001</v>
      </c>
      <c r="S30" s="878">
        <v>1000</v>
      </c>
      <c r="T30" s="125">
        <v>25937.01</v>
      </c>
      <c r="U30" s="125">
        <f t="shared" si="1"/>
        <v>24937.01</v>
      </c>
      <c r="V30" s="126">
        <f t="shared" si="37"/>
        <v>2493.7009999999996</v>
      </c>
      <c r="W30" s="878">
        <v>1000</v>
      </c>
      <c r="X30" s="125">
        <v>133151.45000000001</v>
      </c>
      <c r="Y30" s="125">
        <f t="shared" si="21"/>
        <v>132151.45000000001</v>
      </c>
      <c r="Z30" s="126">
        <f t="shared" si="38"/>
        <v>13215.145</v>
      </c>
      <c r="AA30" s="878">
        <v>1000</v>
      </c>
      <c r="AB30" s="125">
        <v>0</v>
      </c>
      <c r="AC30" s="125">
        <f t="shared" si="22"/>
        <v>-1000</v>
      </c>
      <c r="AD30" s="126">
        <f t="shared" si="12"/>
        <v>-100</v>
      </c>
      <c r="AE30" s="999">
        <v>1000</v>
      </c>
      <c r="AF30" s="841">
        <v>131529.14000000001</v>
      </c>
      <c r="AG30" s="125">
        <f t="shared" si="29"/>
        <v>130529.14000000001</v>
      </c>
      <c r="AH30" s="216">
        <f t="shared" si="13"/>
        <v>13052.914000000001</v>
      </c>
      <c r="AI30" s="878">
        <v>1000</v>
      </c>
      <c r="AJ30" s="125">
        <v>18854.5</v>
      </c>
      <c r="AK30" s="125">
        <f t="shared" si="30"/>
        <v>17854.5</v>
      </c>
      <c r="AL30" s="126">
        <f t="shared" si="14"/>
        <v>1785.4500000000003</v>
      </c>
      <c r="AM30" s="878">
        <v>1000</v>
      </c>
      <c r="AN30" s="889">
        <v>0</v>
      </c>
      <c r="AO30" s="125">
        <f t="shared" si="31"/>
        <v>-1000</v>
      </c>
      <c r="AP30" s="126">
        <f t="shared" si="15"/>
        <v>-100</v>
      </c>
      <c r="AQ30" s="878">
        <v>1000</v>
      </c>
      <c r="AR30" s="224"/>
      <c r="AS30" s="125">
        <f t="shared" si="32"/>
        <v>-1000</v>
      </c>
      <c r="AT30" s="126">
        <f t="shared" si="16"/>
        <v>-100</v>
      </c>
      <c r="AU30" s="878">
        <v>1000</v>
      </c>
      <c r="AV30" s="211"/>
      <c r="AW30" s="125">
        <f t="shared" si="5"/>
        <v>-1000</v>
      </c>
      <c r="AX30" s="126">
        <f t="shared" si="17"/>
        <v>-100</v>
      </c>
      <c r="AY30" s="126">
        <f t="shared" si="28"/>
        <v>12000</v>
      </c>
      <c r="AZ30" s="126">
        <f t="shared" si="39"/>
        <v>375244</v>
      </c>
      <c r="BA30" s="398">
        <f t="shared" si="18"/>
        <v>37524.400000000001</v>
      </c>
      <c r="BC30" s="334"/>
    </row>
    <row r="31" spans="1:58" s="119" customFormat="1" ht="18" customHeight="1" x14ac:dyDescent="0.25">
      <c r="A31" s="127">
        <v>5194</v>
      </c>
      <c r="B31" s="382" t="s">
        <v>20</v>
      </c>
      <c r="C31" s="895">
        <v>1000</v>
      </c>
      <c r="D31" s="82">
        <v>0.15</v>
      </c>
      <c r="E31" s="125">
        <f t="shared" si="19"/>
        <v>-999.85</v>
      </c>
      <c r="F31" s="126">
        <f t="shared" si="33"/>
        <v>-99.984999999999999</v>
      </c>
      <c r="G31" s="878">
        <v>1000</v>
      </c>
      <c r="H31" s="125">
        <v>2.4700000000000002</v>
      </c>
      <c r="I31" s="121">
        <f t="shared" si="27"/>
        <v>-997.53</v>
      </c>
      <c r="J31" s="126">
        <f t="shared" si="34"/>
        <v>-99.753</v>
      </c>
      <c r="K31" s="878">
        <v>1000</v>
      </c>
      <c r="L31" s="125">
        <v>2.82</v>
      </c>
      <c r="M31" s="125">
        <f t="shared" si="24"/>
        <v>-997.18</v>
      </c>
      <c r="N31" s="126">
        <f t="shared" si="35"/>
        <v>-99.717999999999989</v>
      </c>
      <c r="O31" s="878">
        <v>1000</v>
      </c>
      <c r="P31" s="125">
        <v>0.22</v>
      </c>
      <c r="Q31" s="125">
        <f t="shared" si="26"/>
        <v>-999.78</v>
      </c>
      <c r="R31" s="126">
        <f t="shared" si="36"/>
        <v>-99.977999999999994</v>
      </c>
      <c r="S31" s="878">
        <v>1000</v>
      </c>
      <c r="T31" s="125">
        <v>3.28</v>
      </c>
      <c r="U31" s="125">
        <f t="shared" si="1"/>
        <v>-996.72</v>
      </c>
      <c r="V31" s="126">
        <f t="shared" si="37"/>
        <v>-99.672000000000011</v>
      </c>
      <c r="W31" s="878">
        <v>1000</v>
      </c>
      <c r="X31" s="125">
        <v>13899.57</v>
      </c>
      <c r="Y31" s="125">
        <f t="shared" si="21"/>
        <v>12899.57</v>
      </c>
      <c r="Z31" s="126">
        <f t="shared" si="38"/>
        <v>1289.9569999999999</v>
      </c>
      <c r="AA31" s="878">
        <v>0</v>
      </c>
      <c r="AB31" s="125">
        <v>267921.84999999998</v>
      </c>
      <c r="AC31" s="125">
        <f t="shared" si="22"/>
        <v>267921.84999999998</v>
      </c>
      <c r="AD31" s="126">
        <v>0</v>
      </c>
      <c r="AE31" s="999">
        <v>1000</v>
      </c>
      <c r="AF31" s="121">
        <v>445.87</v>
      </c>
      <c r="AG31" s="125">
        <f t="shared" si="29"/>
        <v>-554.13</v>
      </c>
      <c r="AH31" s="216">
        <f t="shared" si="13"/>
        <v>-55.413000000000004</v>
      </c>
      <c r="AI31" s="878">
        <v>1000</v>
      </c>
      <c r="AJ31" s="125">
        <v>18438.78</v>
      </c>
      <c r="AK31" s="125">
        <f t="shared" si="30"/>
        <v>17438.78</v>
      </c>
      <c r="AL31" s="126">
        <f t="shared" si="14"/>
        <v>1743.8779999999997</v>
      </c>
      <c r="AM31" s="878">
        <v>1000</v>
      </c>
      <c r="AN31" s="889">
        <v>0.17</v>
      </c>
      <c r="AO31" s="125">
        <f t="shared" si="31"/>
        <v>-999.83</v>
      </c>
      <c r="AP31" s="126">
        <f t="shared" si="15"/>
        <v>-99.983000000000004</v>
      </c>
      <c r="AQ31" s="878">
        <v>1000</v>
      </c>
      <c r="AR31" s="224"/>
      <c r="AS31" s="125">
        <f t="shared" si="32"/>
        <v>-1000</v>
      </c>
      <c r="AT31" s="126">
        <f t="shared" si="16"/>
        <v>-100</v>
      </c>
      <c r="AU31" s="878">
        <v>1000</v>
      </c>
      <c r="AV31" s="211"/>
      <c r="AW31" s="125">
        <f t="shared" si="5"/>
        <v>-1000</v>
      </c>
      <c r="AX31" s="126">
        <f t="shared" si="17"/>
        <v>-100</v>
      </c>
      <c r="AY31" s="126">
        <f t="shared" si="28"/>
        <v>11000</v>
      </c>
      <c r="AZ31" s="126">
        <f t="shared" si="39"/>
        <v>300715.18</v>
      </c>
      <c r="BA31" s="398">
        <f t="shared" si="18"/>
        <v>30071.518</v>
      </c>
      <c r="BC31" s="334"/>
    </row>
    <row r="32" spans="1:58" s="119" customFormat="1" ht="18" customHeight="1" x14ac:dyDescent="0.25">
      <c r="A32" s="127">
        <v>5195</v>
      </c>
      <c r="B32" s="382" t="s">
        <v>21</v>
      </c>
      <c r="C32" s="895">
        <v>0</v>
      </c>
      <c r="D32" s="82">
        <v>1886.02</v>
      </c>
      <c r="E32" s="125">
        <f t="shared" si="19"/>
        <v>1886.02</v>
      </c>
      <c r="F32" s="126"/>
      <c r="G32" s="211">
        <v>0</v>
      </c>
      <c r="H32" s="125">
        <v>4662.03</v>
      </c>
      <c r="I32" s="121">
        <f t="shared" si="27"/>
        <v>4662.03</v>
      </c>
      <c r="J32" s="126"/>
      <c r="K32" s="211">
        <v>0</v>
      </c>
      <c r="L32" s="125">
        <v>66788.05</v>
      </c>
      <c r="M32" s="125">
        <f t="shared" si="24"/>
        <v>66788.05</v>
      </c>
      <c r="N32" s="126"/>
      <c r="O32" s="211">
        <v>0</v>
      </c>
      <c r="P32" s="125">
        <v>87627.64</v>
      </c>
      <c r="Q32" s="125">
        <f t="shared" si="26"/>
        <v>87627.64</v>
      </c>
      <c r="R32" s="126"/>
      <c r="S32" s="211">
        <v>0</v>
      </c>
      <c r="T32" s="125">
        <v>6840.12</v>
      </c>
      <c r="U32" s="125">
        <f t="shared" si="1"/>
        <v>6840.12</v>
      </c>
      <c r="V32" s="126"/>
      <c r="W32" s="211">
        <v>0</v>
      </c>
      <c r="X32" s="125">
        <v>17210.66</v>
      </c>
      <c r="Y32" s="125">
        <f t="shared" si="21"/>
        <v>17210.66</v>
      </c>
      <c r="Z32" s="126"/>
      <c r="AA32" s="211">
        <v>0</v>
      </c>
      <c r="AB32" s="125">
        <v>1490.21</v>
      </c>
      <c r="AC32" s="125">
        <f t="shared" si="22"/>
        <v>1490.21</v>
      </c>
      <c r="AD32" s="126"/>
      <c r="AE32" s="211">
        <v>0</v>
      </c>
      <c r="AF32" s="121">
        <v>1207.3800000000001</v>
      </c>
      <c r="AG32" s="125">
        <f t="shared" si="29"/>
        <v>1207.3800000000001</v>
      </c>
      <c r="AH32" s="216"/>
      <c r="AI32" s="211">
        <v>0</v>
      </c>
      <c r="AJ32" s="125">
        <v>119.76</v>
      </c>
      <c r="AK32" s="125">
        <f t="shared" si="30"/>
        <v>119.76</v>
      </c>
      <c r="AL32" s="126"/>
      <c r="AM32" s="211">
        <v>0</v>
      </c>
      <c r="AN32" s="889">
        <v>0.33</v>
      </c>
      <c r="AO32" s="125">
        <f t="shared" si="31"/>
        <v>0.33</v>
      </c>
      <c r="AP32" s="126"/>
      <c r="AQ32" s="121">
        <v>0</v>
      </c>
      <c r="AR32" s="224"/>
      <c r="AS32" s="125">
        <f t="shared" si="32"/>
        <v>0</v>
      </c>
      <c r="AT32" s="126"/>
      <c r="AU32" s="211">
        <v>0</v>
      </c>
      <c r="AV32" s="211"/>
      <c r="AW32" s="125">
        <f t="shared" si="5"/>
        <v>0</v>
      </c>
      <c r="AX32" s="126"/>
      <c r="AY32" s="126">
        <f t="shared" si="28"/>
        <v>0</v>
      </c>
      <c r="AZ32" s="126">
        <f t="shared" si="39"/>
        <v>187832.19999999998</v>
      </c>
      <c r="BA32" s="398">
        <f t="shared" si="18"/>
        <v>18783.219999999998</v>
      </c>
    </row>
    <row r="33" spans="1:58" s="119" customFormat="1" ht="18" customHeight="1" x14ac:dyDescent="0.25">
      <c r="A33" s="127" t="s">
        <v>3709</v>
      </c>
      <c r="B33" s="382" t="s">
        <v>22</v>
      </c>
      <c r="C33" s="895">
        <v>0</v>
      </c>
      <c r="D33" s="82">
        <v>41809.29</v>
      </c>
      <c r="E33" s="125">
        <f t="shared" si="19"/>
        <v>41809.29</v>
      </c>
      <c r="F33" s="126"/>
      <c r="G33" s="224">
        <v>0</v>
      </c>
      <c r="H33" s="125">
        <v>0</v>
      </c>
      <c r="I33" s="121">
        <f t="shared" si="27"/>
        <v>0</v>
      </c>
      <c r="J33" s="126"/>
      <c r="K33" s="224">
        <v>0</v>
      </c>
      <c r="L33" s="125">
        <v>83618.58</v>
      </c>
      <c r="M33" s="125">
        <f t="shared" si="24"/>
        <v>83618.58</v>
      </c>
      <c r="N33" s="126"/>
      <c r="O33" s="224">
        <v>0</v>
      </c>
      <c r="P33" s="125">
        <v>41809.29</v>
      </c>
      <c r="Q33" s="125">
        <f t="shared" si="26"/>
        <v>41809.29</v>
      </c>
      <c r="R33" s="126"/>
      <c r="S33" s="224">
        <v>0</v>
      </c>
      <c r="T33" s="125">
        <v>41809.29</v>
      </c>
      <c r="U33" s="125">
        <f t="shared" si="1"/>
        <v>41809.29</v>
      </c>
      <c r="V33" s="126"/>
      <c r="W33" s="224">
        <v>0</v>
      </c>
      <c r="X33" s="125">
        <v>41809.29</v>
      </c>
      <c r="Y33" s="125">
        <f t="shared" si="21"/>
        <v>41809.29</v>
      </c>
      <c r="Z33" s="126"/>
      <c r="AA33" s="224">
        <v>0</v>
      </c>
      <c r="AB33" s="125">
        <v>41809.29</v>
      </c>
      <c r="AC33" s="125">
        <f t="shared" si="22"/>
        <v>41809.29</v>
      </c>
      <c r="AD33" s="126"/>
      <c r="AE33" s="224">
        <v>0</v>
      </c>
      <c r="AF33" s="997">
        <v>41809.29</v>
      </c>
      <c r="AG33" s="125">
        <f t="shared" si="29"/>
        <v>41809.29</v>
      </c>
      <c r="AH33" s="216"/>
      <c r="AI33" s="224">
        <v>0</v>
      </c>
      <c r="AJ33" s="125">
        <v>42642.62</v>
      </c>
      <c r="AK33" s="125">
        <f t="shared" si="30"/>
        <v>42642.62</v>
      </c>
      <c r="AL33" s="126"/>
      <c r="AM33" s="224">
        <v>0</v>
      </c>
      <c r="AN33" s="889">
        <v>330137.93</v>
      </c>
      <c r="AO33" s="125">
        <f t="shared" si="31"/>
        <v>330137.93</v>
      </c>
      <c r="AP33" s="126"/>
      <c r="AQ33" s="224">
        <v>0</v>
      </c>
      <c r="AR33" s="224"/>
      <c r="AS33" s="125">
        <f t="shared" si="32"/>
        <v>0</v>
      </c>
      <c r="AT33" s="126"/>
      <c r="AU33" s="224">
        <v>0</v>
      </c>
      <c r="AV33" s="211"/>
      <c r="AW33" s="125">
        <f t="shared" si="5"/>
        <v>0</v>
      </c>
      <c r="AX33" s="126"/>
      <c r="AY33" s="126">
        <f t="shared" si="28"/>
        <v>0</v>
      </c>
      <c r="AZ33" s="126">
        <f t="shared" si="39"/>
        <v>707254.87</v>
      </c>
      <c r="BA33" s="398">
        <f t="shared" si="18"/>
        <v>70725.486999999994</v>
      </c>
    </row>
    <row r="34" spans="1:58" s="119" customFormat="1" ht="18" customHeight="1" x14ac:dyDescent="0.25">
      <c r="A34" s="127">
        <v>32733</v>
      </c>
      <c r="B34" s="382" t="s">
        <v>144</v>
      </c>
      <c r="C34" s="895">
        <v>32.699999999999996</v>
      </c>
      <c r="D34" s="82">
        <v>0</v>
      </c>
      <c r="E34" s="125">
        <f t="shared" si="19"/>
        <v>-32.699999999999996</v>
      </c>
      <c r="F34" s="126">
        <f t="shared" si="33"/>
        <v>-100</v>
      </c>
      <c r="G34" s="878">
        <v>32.699999999999996</v>
      </c>
      <c r="H34" s="125">
        <v>1</v>
      </c>
      <c r="I34" s="121">
        <f t="shared" si="27"/>
        <v>-31.699999999999996</v>
      </c>
      <c r="J34" s="126">
        <f t="shared" si="34"/>
        <v>-96.941896024464839</v>
      </c>
      <c r="K34" s="878">
        <v>32.699999999999996</v>
      </c>
      <c r="L34" s="125">
        <v>-222.31</v>
      </c>
      <c r="M34" s="125">
        <f t="shared" si="24"/>
        <v>-255.01</v>
      </c>
      <c r="N34" s="126">
        <f t="shared" si="35"/>
        <v>-779.84709480122331</v>
      </c>
      <c r="O34" s="878">
        <v>32.699999999999996</v>
      </c>
      <c r="P34" s="811">
        <v>290.8</v>
      </c>
      <c r="Q34" s="125">
        <f t="shared" si="26"/>
        <v>258.10000000000002</v>
      </c>
      <c r="R34" s="126">
        <f t="shared" si="36"/>
        <v>789.29663608562703</v>
      </c>
      <c r="S34" s="878">
        <v>32.699999999999996</v>
      </c>
      <c r="T34" s="125">
        <v>59.9</v>
      </c>
      <c r="U34" s="125">
        <f t="shared" si="1"/>
        <v>27.200000000000003</v>
      </c>
      <c r="V34" s="126">
        <f t="shared" si="37"/>
        <v>83.180428134556593</v>
      </c>
      <c r="W34" s="878">
        <v>32.699999999999996</v>
      </c>
      <c r="X34" s="125">
        <v>297.3</v>
      </c>
      <c r="Y34" s="125">
        <f t="shared" si="21"/>
        <v>264.60000000000002</v>
      </c>
      <c r="Z34" s="126">
        <f t="shared" si="38"/>
        <v>809.17431192660558</v>
      </c>
      <c r="AA34" s="878">
        <v>33</v>
      </c>
      <c r="AB34" s="125">
        <v>15308.5</v>
      </c>
      <c r="AC34" s="125">
        <f t="shared" si="22"/>
        <v>15275.5</v>
      </c>
      <c r="AD34" s="126">
        <v>0</v>
      </c>
      <c r="AE34" s="999">
        <v>32.699999999999996</v>
      </c>
      <c r="AF34" s="841">
        <v>43.5</v>
      </c>
      <c r="AG34" s="125">
        <f t="shared" si="29"/>
        <v>10.800000000000004</v>
      </c>
      <c r="AH34" s="216">
        <f t="shared" si="13"/>
        <v>33.027522935779842</v>
      </c>
      <c r="AI34" s="878">
        <v>32.699999999999996</v>
      </c>
      <c r="AJ34" s="125">
        <v>200.4</v>
      </c>
      <c r="AK34" s="125">
        <f t="shared" si="30"/>
        <v>167.70000000000002</v>
      </c>
      <c r="AL34" s="126">
        <f t="shared" si="14"/>
        <v>512.84403669724782</v>
      </c>
      <c r="AM34" s="878">
        <v>32.699999999999996</v>
      </c>
      <c r="AN34" s="889">
        <v>413.8</v>
      </c>
      <c r="AO34" s="125">
        <f t="shared" si="31"/>
        <v>381.1</v>
      </c>
      <c r="AP34" s="126">
        <f t="shared" si="15"/>
        <v>1165.4434250764527</v>
      </c>
      <c r="AQ34" s="878">
        <v>32.699999999999996</v>
      </c>
      <c r="AR34" s="224"/>
      <c r="AS34" s="125">
        <f t="shared" si="32"/>
        <v>-32.699999999999996</v>
      </c>
      <c r="AT34" s="126">
        <f t="shared" si="16"/>
        <v>-100</v>
      </c>
      <c r="AU34" s="878">
        <v>32.699999999999996</v>
      </c>
      <c r="AV34" s="211"/>
      <c r="AW34" s="125">
        <f t="shared" si="5"/>
        <v>-32.699999999999996</v>
      </c>
      <c r="AX34" s="126">
        <f t="shared" si="17"/>
        <v>-100</v>
      </c>
      <c r="AY34" s="126">
        <f t="shared" si="28"/>
        <v>392.69999999999993</v>
      </c>
      <c r="AZ34" s="126">
        <f t="shared" si="39"/>
        <v>16392.89</v>
      </c>
      <c r="BA34" s="398">
        <f t="shared" si="18"/>
        <v>1639.289</v>
      </c>
    </row>
    <row r="35" spans="1:58" s="119" customFormat="1" ht="18" customHeight="1" x14ac:dyDescent="0.25">
      <c r="A35" s="127" t="s">
        <v>3763</v>
      </c>
      <c r="B35" s="382" t="s">
        <v>133</v>
      </c>
      <c r="C35" s="895">
        <v>0</v>
      </c>
      <c r="D35" s="82">
        <v>0</v>
      </c>
      <c r="E35" s="125">
        <f t="shared" si="19"/>
        <v>0</v>
      </c>
      <c r="F35" s="126"/>
      <c r="G35" s="211">
        <v>0</v>
      </c>
      <c r="H35" s="125">
        <v>428059.87</v>
      </c>
      <c r="I35" s="121">
        <f t="shared" si="27"/>
        <v>428059.87</v>
      </c>
      <c r="J35" s="126"/>
      <c r="K35" s="211">
        <v>0</v>
      </c>
      <c r="L35" s="125">
        <v>20406.919999999998</v>
      </c>
      <c r="M35" s="125">
        <f t="shared" si="24"/>
        <v>20406.919999999998</v>
      </c>
      <c r="N35" s="126"/>
      <c r="O35" s="211">
        <v>0</v>
      </c>
      <c r="P35" s="125">
        <v>2557.56</v>
      </c>
      <c r="Q35" s="125">
        <f t="shared" si="26"/>
        <v>2557.56</v>
      </c>
      <c r="R35" s="126"/>
      <c r="S35" s="211">
        <v>0</v>
      </c>
      <c r="T35" s="125">
        <v>101139.36</v>
      </c>
      <c r="U35" s="125">
        <f t="shared" si="1"/>
        <v>101139.36</v>
      </c>
      <c r="V35" s="126"/>
      <c r="W35" s="211">
        <v>0</v>
      </c>
      <c r="X35" s="125">
        <v>516.92999999999995</v>
      </c>
      <c r="Y35" s="125">
        <f t="shared" si="21"/>
        <v>516.92999999999995</v>
      </c>
      <c r="Z35" s="126"/>
      <c r="AA35" s="211">
        <v>0</v>
      </c>
      <c r="AB35" s="125">
        <v>640.89</v>
      </c>
      <c r="AC35" s="125">
        <f t="shared" si="22"/>
        <v>640.89</v>
      </c>
      <c r="AD35" s="126"/>
      <c r="AE35" s="211">
        <v>0</v>
      </c>
      <c r="AF35" s="841">
        <v>498.47</v>
      </c>
      <c r="AG35" s="125">
        <f t="shared" si="29"/>
        <v>498.47</v>
      </c>
      <c r="AH35" s="216">
        <v>0</v>
      </c>
      <c r="AI35" s="211">
        <v>0</v>
      </c>
      <c r="AJ35" s="125">
        <v>0</v>
      </c>
      <c r="AK35" s="125">
        <f t="shared" si="30"/>
        <v>0</v>
      </c>
      <c r="AL35" s="126"/>
      <c r="AM35" s="211">
        <v>0</v>
      </c>
      <c r="AN35" s="889">
        <v>0</v>
      </c>
      <c r="AO35" s="125">
        <f t="shared" si="31"/>
        <v>0</v>
      </c>
      <c r="AP35" s="126"/>
      <c r="AQ35" s="121">
        <v>0</v>
      </c>
      <c r="AR35" s="224">
        <v>0</v>
      </c>
      <c r="AS35" s="125">
        <f t="shared" si="32"/>
        <v>0</v>
      </c>
      <c r="AT35" s="126"/>
      <c r="AU35" s="211">
        <v>0</v>
      </c>
      <c r="AV35" s="211">
        <v>0</v>
      </c>
      <c r="AW35" s="125">
        <f t="shared" si="5"/>
        <v>0</v>
      </c>
      <c r="AX35" s="126"/>
      <c r="AY35" s="126">
        <f t="shared" si="28"/>
        <v>0</v>
      </c>
      <c r="AZ35" s="126">
        <f t="shared" si="39"/>
        <v>553820</v>
      </c>
      <c r="BA35" s="398">
        <f t="shared" si="18"/>
        <v>55382</v>
      </c>
    </row>
    <row r="36" spans="1:58" s="119" customFormat="1" ht="18" customHeight="1" x14ac:dyDescent="0.25">
      <c r="A36" s="127">
        <v>53475</v>
      </c>
      <c r="B36" s="382" t="s">
        <v>140</v>
      </c>
      <c r="C36" s="895">
        <v>0</v>
      </c>
      <c r="D36" s="82">
        <v>33000</v>
      </c>
      <c r="E36" s="125">
        <f t="shared" si="19"/>
        <v>33000</v>
      </c>
      <c r="F36" s="126"/>
      <c r="G36" s="224">
        <v>0</v>
      </c>
      <c r="H36" s="125">
        <v>33000</v>
      </c>
      <c r="I36" s="121">
        <f t="shared" si="27"/>
        <v>33000</v>
      </c>
      <c r="J36" s="126"/>
      <c r="K36" s="224">
        <v>0</v>
      </c>
      <c r="L36" s="125">
        <v>33000</v>
      </c>
      <c r="M36" s="125">
        <f t="shared" si="24"/>
        <v>33000</v>
      </c>
      <c r="N36" s="126"/>
      <c r="O36" s="224">
        <v>0</v>
      </c>
      <c r="P36" s="125">
        <v>33000</v>
      </c>
      <c r="Q36" s="125">
        <f>P36-O36</f>
        <v>33000</v>
      </c>
      <c r="R36" s="126"/>
      <c r="S36" s="224">
        <v>0</v>
      </c>
      <c r="T36" s="125">
        <v>33000</v>
      </c>
      <c r="U36" s="125">
        <f>T36-S36</f>
        <v>33000</v>
      </c>
      <c r="V36" s="216"/>
      <c r="W36" s="224">
        <v>0</v>
      </c>
      <c r="X36" s="125">
        <v>33000</v>
      </c>
      <c r="Y36" s="125">
        <f t="shared" si="21"/>
        <v>33000</v>
      </c>
      <c r="Z36" s="126"/>
      <c r="AA36" s="224">
        <v>0</v>
      </c>
      <c r="AB36" s="125">
        <v>33000</v>
      </c>
      <c r="AC36" s="125">
        <f t="shared" si="22"/>
        <v>33000</v>
      </c>
      <c r="AD36" s="216"/>
      <c r="AE36" s="224">
        <v>0</v>
      </c>
      <c r="AF36" s="997">
        <v>0</v>
      </c>
      <c r="AG36" s="125">
        <f t="shared" si="29"/>
        <v>0</v>
      </c>
      <c r="AH36" s="216"/>
      <c r="AI36" s="224">
        <v>0</v>
      </c>
      <c r="AJ36" s="125">
        <v>0</v>
      </c>
      <c r="AK36" s="125">
        <f>AJ36-AI36</f>
        <v>0</v>
      </c>
      <c r="AL36" s="216"/>
      <c r="AM36" s="224">
        <v>0</v>
      </c>
      <c r="AN36" s="889">
        <v>0</v>
      </c>
      <c r="AO36" s="125">
        <f>AN36-AM36</f>
        <v>0</v>
      </c>
      <c r="AP36" s="126"/>
      <c r="AQ36" s="224">
        <v>0</v>
      </c>
      <c r="AR36" s="224"/>
      <c r="AS36" s="125">
        <f t="shared" si="32"/>
        <v>0</v>
      </c>
      <c r="AT36" s="126"/>
      <c r="AU36" s="224">
        <v>0</v>
      </c>
      <c r="AV36" s="211"/>
      <c r="AW36" s="125">
        <f t="shared" si="5"/>
        <v>0</v>
      </c>
      <c r="AX36" s="126"/>
      <c r="AY36" s="126">
        <f t="shared" si="28"/>
        <v>0</v>
      </c>
      <c r="AZ36" s="126">
        <f>SUM(D36+H36+L36+P36+T36+X36+AB36+AF36+AJ36+AN36+AR36+AV36)</f>
        <v>231000</v>
      </c>
      <c r="BA36" s="398">
        <f t="shared" si="18"/>
        <v>23100</v>
      </c>
    </row>
    <row r="37" spans="1:58" s="119" customFormat="1" ht="18" customHeight="1" x14ac:dyDescent="0.25">
      <c r="A37" s="127">
        <v>5177</v>
      </c>
      <c r="B37" s="382" t="s">
        <v>23</v>
      </c>
      <c r="C37" s="895">
        <v>883.33333333333337</v>
      </c>
      <c r="D37" s="82">
        <v>0</v>
      </c>
      <c r="E37" s="125">
        <f t="shared" si="19"/>
        <v>-883.33333333333337</v>
      </c>
      <c r="F37" s="126">
        <f t="shared" si="33"/>
        <v>-100</v>
      </c>
      <c r="G37" s="878">
        <v>883.33333333333337</v>
      </c>
      <c r="H37" s="125">
        <v>0</v>
      </c>
      <c r="I37" s="121">
        <f t="shared" si="27"/>
        <v>-883.33333333333337</v>
      </c>
      <c r="J37" s="126">
        <f t="shared" si="34"/>
        <v>-100</v>
      </c>
      <c r="K37" s="878">
        <v>883.33333333333337</v>
      </c>
      <c r="L37" s="125">
        <v>0</v>
      </c>
      <c r="M37" s="125">
        <f t="shared" si="24"/>
        <v>-883.33333333333337</v>
      </c>
      <c r="N37" s="126">
        <f t="shared" si="35"/>
        <v>-100</v>
      </c>
      <c r="O37" s="878">
        <v>883.33333333333337</v>
      </c>
      <c r="P37" s="125">
        <v>1092.5</v>
      </c>
      <c r="Q37" s="125">
        <f t="shared" si="26"/>
        <v>209.16666666666663</v>
      </c>
      <c r="R37" s="126">
        <f t="shared" si="36"/>
        <v>23.679245283018858</v>
      </c>
      <c r="S37" s="878">
        <v>883.33333333333337</v>
      </c>
      <c r="T37" s="125">
        <v>0</v>
      </c>
      <c r="U37" s="125">
        <f t="shared" ref="U37:U43" si="40">T37-S37</f>
        <v>-883.33333333333337</v>
      </c>
      <c r="V37" s="216">
        <f>((T37/S37)-1)*100</f>
        <v>-100</v>
      </c>
      <c r="W37" s="878">
        <v>883.33333333333337</v>
      </c>
      <c r="X37" s="125">
        <v>0</v>
      </c>
      <c r="Y37" s="125">
        <f t="shared" si="21"/>
        <v>-883.33333333333337</v>
      </c>
      <c r="Z37" s="126">
        <f t="shared" si="38"/>
        <v>-100</v>
      </c>
      <c r="AA37" s="224">
        <v>883.33333333333337</v>
      </c>
      <c r="AB37" s="125">
        <v>535.5</v>
      </c>
      <c r="AC37" s="125">
        <f t="shared" si="22"/>
        <v>-347.83333333333337</v>
      </c>
      <c r="AD37" s="216">
        <v>0</v>
      </c>
      <c r="AE37" s="999">
        <v>883.33333333333337</v>
      </c>
      <c r="AF37" s="121">
        <v>0</v>
      </c>
      <c r="AG37" s="125">
        <f t="shared" si="29"/>
        <v>-883.33333333333337</v>
      </c>
      <c r="AH37" s="216">
        <v>0</v>
      </c>
      <c r="AI37" s="878">
        <v>883.33333333333337</v>
      </c>
      <c r="AJ37" s="125">
        <v>0</v>
      </c>
      <c r="AK37" s="125">
        <f>AJ37-AI37</f>
        <v>-883.33333333333337</v>
      </c>
      <c r="AL37" s="216">
        <f>((AJ37/AI37)-1)*100</f>
        <v>-100</v>
      </c>
      <c r="AM37" s="878">
        <v>883.33333333333337</v>
      </c>
      <c r="AN37" s="889">
        <v>0</v>
      </c>
      <c r="AO37" s="125">
        <f>AN37-AM37</f>
        <v>-883.33333333333337</v>
      </c>
      <c r="AP37" s="126">
        <v>0</v>
      </c>
      <c r="AQ37" s="878">
        <v>883.33333333333337</v>
      </c>
      <c r="AR37" s="224"/>
      <c r="AS37" s="125">
        <f t="shared" si="32"/>
        <v>-883.33333333333337</v>
      </c>
      <c r="AT37" s="126">
        <f t="shared" si="16"/>
        <v>-100</v>
      </c>
      <c r="AU37" s="878">
        <v>883.33333333333337</v>
      </c>
      <c r="AV37" s="211"/>
      <c r="AW37" s="125">
        <f t="shared" si="5"/>
        <v>-883.33333333333337</v>
      </c>
      <c r="AX37" s="126">
        <f t="shared" si="17"/>
        <v>-100</v>
      </c>
      <c r="AY37" s="126">
        <f t="shared" si="28"/>
        <v>10600</v>
      </c>
      <c r="AZ37" s="126">
        <f t="shared" si="39"/>
        <v>1628</v>
      </c>
      <c r="BA37" s="398">
        <f t="shared" si="18"/>
        <v>162.80000000000001</v>
      </c>
      <c r="BE37" s="401"/>
    </row>
    <row r="38" spans="1:58" s="119" customFormat="1" ht="18" customHeight="1" x14ac:dyDescent="0.25">
      <c r="A38" s="127">
        <v>5199</v>
      </c>
      <c r="B38" s="332" t="s">
        <v>129</v>
      </c>
      <c r="C38" s="895">
        <v>0</v>
      </c>
      <c r="D38" s="82">
        <v>0</v>
      </c>
      <c r="E38" s="125">
        <f t="shared" si="19"/>
        <v>0</v>
      </c>
      <c r="F38" s="126"/>
      <c r="G38" s="211">
        <v>0</v>
      </c>
      <c r="H38" s="125">
        <v>0</v>
      </c>
      <c r="I38" s="121">
        <f t="shared" si="27"/>
        <v>0</v>
      </c>
      <c r="J38" s="126"/>
      <c r="K38" s="211">
        <v>0</v>
      </c>
      <c r="L38" s="125">
        <v>0</v>
      </c>
      <c r="M38" s="125">
        <f t="shared" si="24"/>
        <v>0</v>
      </c>
      <c r="N38" s="126"/>
      <c r="O38" s="211">
        <v>0</v>
      </c>
      <c r="P38" s="125">
        <v>0</v>
      </c>
      <c r="Q38" s="125">
        <f t="shared" si="26"/>
        <v>0</v>
      </c>
      <c r="R38" s="126"/>
      <c r="S38" s="211">
        <v>0</v>
      </c>
      <c r="T38" s="125">
        <v>0</v>
      </c>
      <c r="U38" s="125">
        <f t="shared" si="40"/>
        <v>0</v>
      </c>
      <c r="V38" s="216"/>
      <c r="W38" s="211">
        <v>0</v>
      </c>
      <c r="X38" s="125">
        <v>70000</v>
      </c>
      <c r="Y38" s="125">
        <f t="shared" si="21"/>
        <v>70000</v>
      </c>
      <c r="Z38" s="126"/>
      <c r="AA38" s="211">
        <v>0</v>
      </c>
      <c r="AB38" s="125">
        <v>0</v>
      </c>
      <c r="AC38" s="125">
        <f t="shared" si="22"/>
        <v>0</v>
      </c>
      <c r="AD38" s="216"/>
      <c r="AE38" s="211">
        <v>0</v>
      </c>
      <c r="AF38" s="121">
        <v>0</v>
      </c>
      <c r="AG38" s="125">
        <f t="shared" si="29"/>
        <v>0</v>
      </c>
      <c r="AH38" s="216"/>
      <c r="AI38" s="211">
        <v>0</v>
      </c>
      <c r="AJ38" s="125">
        <v>0</v>
      </c>
      <c r="AK38" s="125">
        <f>AJ38-AI38</f>
        <v>0</v>
      </c>
      <c r="AL38" s="216"/>
      <c r="AM38" s="224">
        <v>0</v>
      </c>
      <c r="AN38" s="889">
        <v>0</v>
      </c>
      <c r="AO38" s="125">
        <f>AN38-AM38</f>
        <v>0</v>
      </c>
      <c r="AP38" s="126"/>
      <c r="AQ38" s="121">
        <v>0</v>
      </c>
      <c r="AR38" s="224"/>
      <c r="AS38" s="125">
        <f t="shared" si="32"/>
        <v>0</v>
      </c>
      <c r="AT38" s="126"/>
      <c r="AU38" s="211">
        <v>0</v>
      </c>
      <c r="AV38" s="211"/>
      <c r="AW38" s="125">
        <f t="shared" si="5"/>
        <v>0</v>
      </c>
      <c r="AX38" s="126"/>
      <c r="AY38" s="126">
        <f t="shared" si="28"/>
        <v>0</v>
      </c>
      <c r="AZ38" s="126">
        <f t="shared" si="39"/>
        <v>70000</v>
      </c>
      <c r="BA38" s="398">
        <f t="shared" si="18"/>
        <v>7000</v>
      </c>
      <c r="BE38" s="401"/>
    </row>
    <row r="39" spans="1:58" s="119" customFormat="1" ht="18" customHeight="1" x14ac:dyDescent="0.25">
      <c r="A39" s="127">
        <v>53327</v>
      </c>
      <c r="B39" s="989" t="s">
        <v>131</v>
      </c>
      <c r="C39" s="895">
        <v>0</v>
      </c>
      <c r="D39" s="90">
        <v>0</v>
      </c>
      <c r="E39" s="125">
        <f t="shared" si="19"/>
        <v>0</v>
      </c>
      <c r="F39" s="126"/>
      <c r="G39" s="211">
        <v>0</v>
      </c>
      <c r="H39" s="149">
        <v>0</v>
      </c>
      <c r="I39" s="121">
        <f t="shared" si="27"/>
        <v>0</v>
      </c>
      <c r="J39" s="126"/>
      <c r="K39" s="211">
        <v>0</v>
      </c>
      <c r="L39" s="149">
        <v>0</v>
      </c>
      <c r="M39" s="125">
        <f t="shared" si="24"/>
        <v>0</v>
      </c>
      <c r="N39" s="126"/>
      <c r="O39" s="211">
        <v>0</v>
      </c>
      <c r="P39" s="149">
        <v>0</v>
      </c>
      <c r="Q39" s="125">
        <f t="shared" si="26"/>
        <v>0</v>
      </c>
      <c r="R39" s="389"/>
      <c r="S39" s="1092">
        <v>200000</v>
      </c>
      <c r="T39" s="943">
        <v>243039.84</v>
      </c>
      <c r="U39" s="125">
        <f t="shared" si="40"/>
        <v>43039.839999999997</v>
      </c>
      <c r="V39" s="909">
        <f>((T39/S39)-1)*100</f>
        <v>21.519920000000003</v>
      </c>
      <c r="W39" s="211">
        <v>0</v>
      </c>
      <c r="X39" s="125">
        <v>0</v>
      </c>
      <c r="Y39" s="125">
        <f t="shared" si="21"/>
        <v>0</v>
      </c>
      <c r="Z39" s="126"/>
      <c r="AA39" s="211">
        <v>0</v>
      </c>
      <c r="AB39" s="125">
        <v>0</v>
      </c>
      <c r="AC39" s="125">
        <f t="shared" si="22"/>
        <v>0</v>
      </c>
      <c r="AD39" s="216"/>
      <c r="AE39" s="211">
        <v>0</v>
      </c>
      <c r="AF39" s="997">
        <v>0</v>
      </c>
      <c r="AG39" s="125">
        <f t="shared" si="29"/>
        <v>0</v>
      </c>
      <c r="AH39" s="216"/>
      <c r="AI39" s="224">
        <v>0</v>
      </c>
      <c r="AJ39" s="125">
        <v>0</v>
      </c>
      <c r="AK39" s="125">
        <f>AJ39-AI39</f>
        <v>0</v>
      </c>
      <c r="AL39" s="216"/>
      <c r="AM39" s="224">
        <v>0</v>
      </c>
      <c r="AN39" s="1020">
        <v>0</v>
      </c>
      <c r="AO39" s="125">
        <f>AN39-AM39</f>
        <v>0</v>
      </c>
      <c r="AP39" s="126"/>
      <c r="AQ39" s="121">
        <v>0</v>
      </c>
      <c r="AR39" s="224">
        <v>0</v>
      </c>
      <c r="AS39" s="125">
        <f t="shared" si="32"/>
        <v>0</v>
      </c>
      <c r="AT39" s="126"/>
      <c r="AU39" s="211">
        <v>200000</v>
      </c>
      <c r="AV39" s="211"/>
      <c r="AW39" s="125">
        <f t="shared" si="5"/>
        <v>-200000</v>
      </c>
      <c r="AX39" s="126">
        <f t="shared" si="17"/>
        <v>-100</v>
      </c>
      <c r="AY39" s="126">
        <f t="shared" si="28"/>
        <v>400000</v>
      </c>
      <c r="AZ39" s="126">
        <f t="shared" si="39"/>
        <v>243039.84</v>
      </c>
      <c r="BA39" s="398">
        <f t="shared" si="18"/>
        <v>24303.984</v>
      </c>
    </row>
    <row r="40" spans="1:58" s="119" customFormat="1" ht="18" customHeight="1" thickBot="1" x14ac:dyDescent="0.3">
      <c r="A40" s="155">
        <v>27455</v>
      </c>
      <c r="B40" s="384" t="s">
        <v>130</v>
      </c>
      <c r="C40" s="157">
        <v>0</v>
      </c>
      <c r="D40" s="91">
        <v>0</v>
      </c>
      <c r="E40" s="159">
        <f t="shared" si="19"/>
        <v>0</v>
      </c>
      <c r="F40" s="160"/>
      <c r="G40" s="214">
        <v>0</v>
      </c>
      <c r="H40" s="159">
        <v>0</v>
      </c>
      <c r="I40" s="159">
        <f t="shared" si="27"/>
        <v>0</v>
      </c>
      <c r="J40" s="126"/>
      <c r="K40" s="214">
        <v>0</v>
      </c>
      <c r="L40" s="159">
        <v>0</v>
      </c>
      <c r="M40" s="159">
        <f t="shared" si="24"/>
        <v>0</v>
      </c>
      <c r="N40" s="160"/>
      <c r="O40" s="214">
        <v>0</v>
      </c>
      <c r="P40" s="182">
        <v>0</v>
      </c>
      <c r="Q40" s="182">
        <f t="shared" si="26"/>
        <v>0</v>
      </c>
      <c r="R40" s="160"/>
      <c r="S40" s="247">
        <v>0</v>
      </c>
      <c r="T40" s="159">
        <v>0</v>
      </c>
      <c r="U40" s="182">
        <f t="shared" si="40"/>
        <v>0</v>
      </c>
      <c r="V40" s="217"/>
      <c r="W40" s="214">
        <v>0</v>
      </c>
      <c r="X40" s="159">
        <v>0</v>
      </c>
      <c r="Y40" s="159">
        <f t="shared" si="21"/>
        <v>0</v>
      </c>
      <c r="Z40" s="160"/>
      <c r="AA40" s="214">
        <v>0</v>
      </c>
      <c r="AB40" s="159">
        <v>0</v>
      </c>
      <c r="AC40" s="159">
        <f t="shared" si="22"/>
        <v>0</v>
      </c>
      <c r="AD40" s="159"/>
      <c r="AE40" s="214">
        <v>0</v>
      </c>
      <c r="AF40" s="208">
        <v>0</v>
      </c>
      <c r="AG40" s="159">
        <f t="shared" si="29"/>
        <v>0</v>
      </c>
      <c r="AH40" s="860"/>
      <c r="AI40" s="214">
        <v>0</v>
      </c>
      <c r="AJ40" s="159">
        <v>0</v>
      </c>
      <c r="AK40" s="159">
        <f>AJ40-AI40</f>
        <v>0</v>
      </c>
      <c r="AL40" s="217"/>
      <c r="AM40" s="229">
        <v>0</v>
      </c>
      <c r="AN40" s="890">
        <v>0</v>
      </c>
      <c r="AO40" s="159">
        <f>AN40-AM40</f>
        <v>0</v>
      </c>
      <c r="AP40" s="160"/>
      <c r="AQ40" s="208">
        <v>0</v>
      </c>
      <c r="AR40" s="229">
        <v>0</v>
      </c>
      <c r="AS40" s="159">
        <f t="shared" si="32"/>
        <v>0</v>
      </c>
      <c r="AT40" s="160"/>
      <c r="AU40" s="214">
        <v>0</v>
      </c>
      <c r="AV40" s="214">
        <v>0</v>
      </c>
      <c r="AW40" s="159">
        <f t="shared" si="5"/>
        <v>0</v>
      </c>
      <c r="AX40" s="160"/>
      <c r="AY40" s="160">
        <f t="shared" si="28"/>
        <v>0</v>
      </c>
      <c r="AZ40" s="160">
        <f t="shared" si="39"/>
        <v>0</v>
      </c>
      <c r="BA40" s="398">
        <f t="shared" si="18"/>
        <v>0</v>
      </c>
    </row>
    <row r="41" spans="1:58" s="119" customFormat="1" ht="18" customHeight="1" thickBot="1" x14ac:dyDescent="0.3">
      <c r="A41" s="926"/>
      <c r="B41" s="927"/>
      <c r="C41" s="927"/>
      <c r="D41" s="968"/>
      <c r="E41" s="67"/>
      <c r="F41" s="67"/>
      <c r="G41" s="129"/>
      <c r="H41" s="928"/>
      <c r="I41" s="67"/>
      <c r="J41" s="129"/>
      <c r="K41" s="129"/>
      <c r="L41" s="928"/>
      <c r="M41" s="67"/>
      <c r="N41" s="67"/>
      <c r="O41" s="129"/>
      <c r="P41" s="928"/>
      <c r="Q41" s="67"/>
      <c r="R41" s="67"/>
      <c r="S41" s="129"/>
      <c r="T41" s="131"/>
      <c r="U41" s="131"/>
      <c r="V41" s="929"/>
      <c r="W41" s="129"/>
      <c r="X41" s="131"/>
      <c r="Y41" s="131"/>
      <c r="Z41" s="928"/>
      <c r="AA41" s="129"/>
      <c r="AB41" s="131"/>
      <c r="AC41" s="131"/>
      <c r="AD41" s="131"/>
      <c r="AE41" s="181"/>
      <c r="AF41" s="129"/>
      <c r="AG41" s="131"/>
      <c r="AH41" s="930"/>
      <c r="AI41" s="129"/>
      <c r="AJ41" s="131"/>
      <c r="AK41" s="131"/>
      <c r="AL41" s="929"/>
      <c r="AM41" s="207"/>
      <c r="AN41" s="131"/>
      <c r="AO41" s="131"/>
      <c r="AP41" s="928"/>
      <c r="AQ41" s="129"/>
      <c r="AR41" s="207"/>
      <c r="AS41" s="131"/>
      <c r="AT41" s="928"/>
      <c r="AU41" s="129"/>
      <c r="AV41" s="129"/>
      <c r="AW41" s="131"/>
      <c r="AX41" s="928"/>
      <c r="AY41" s="928"/>
      <c r="AZ41" s="928"/>
      <c r="BA41" s="398">
        <f t="shared" si="18"/>
        <v>0</v>
      </c>
    </row>
    <row r="42" spans="1:58" s="119" customFormat="1" ht="18" customHeight="1" thickBot="1" x14ac:dyDescent="0.3">
      <c r="A42" s="166"/>
      <c r="B42" s="166" t="s">
        <v>3678</v>
      </c>
      <c r="C42" s="931">
        <f>SUM(C43)</f>
        <v>26367</v>
      </c>
      <c r="D42" s="944">
        <f>SUM(D43)</f>
        <v>50757.2</v>
      </c>
      <c r="E42" s="940">
        <f>D42-C42</f>
        <v>24390.199999999997</v>
      </c>
      <c r="F42" s="942">
        <f>((D42/C42)-1)*100</f>
        <v>92.502749649182675</v>
      </c>
      <c r="G42" s="931">
        <f>SUM(G43)</f>
        <v>26367</v>
      </c>
      <c r="H42" s="944">
        <f>SUM(H43)</f>
        <v>52849.599999999999</v>
      </c>
      <c r="I42" s="940">
        <f>H42-G42</f>
        <v>26482.6</v>
      </c>
      <c r="J42" s="942">
        <f>((H42/G42)-1)*100</f>
        <v>100.43842682140553</v>
      </c>
      <c r="K42" s="931">
        <f>SUM(K43)</f>
        <v>26367</v>
      </c>
      <c r="L42" s="944">
        <f>SUM(L43)</f>
        <v>61299.27</v>
      </c>
      <c r="M42" s="940">
        <f>L42-K42</f>
        <v>34932.269999999997</v>
      </c>
      <c r="N42" s="942">
        <f>((L42/K42)-1)*100</f>
        <v>132.48481055865287</v>
      </c>
      <c r="O42" s="931">
        <f>SUM(O43)</f>
        <v>26367</v>
      </c>
      <c r="P42" s="944">
        <f>SUM(P43)</f>
        <v>57408.91</v>
      </c>
      <c r="Q42" s="940">
        <f>P42-O42</f>
        <v>31041.910000000003</v>
      </c>
      <c r="R42" s="942">
        <f>((P42/O42)-1)*100</f>
        <v>117.73015511814013</v>
      </c>
      <c r="S42" s="931">
        <f>SUM(S43)</f>
        <v>26367</v>
      </c>
      <c r="T42" s="931">
        <f>SUM(T43)</f>
        <v>55018.47</v>
      </c>
      <c r="U42" s="931">
        <f>T42-S42</f>
        <v>28651.47</v>
      </c>
      <c r="V42" s="931">
        <f>((T42/S42)-1)*100</f>
        <v>108.66412561155991</v>
      </c>
      <c r="W42" s="931">
        <f>SUM(W43)</f>
        <v>26367</v>
      </c>
      <c r="X42" s="931">
        <f>SUM(X43)</f>
        <v>58690.45</v>
      </c>
      <c r="Y42" s="931">
        <f>X42-W42</f>
        <v>32323.449999999997</v>
      </c>
      <c r="Z42" s="944">
        <f>((X42/W42)-1)*100</f>
        <v>122.59054879205067</v>
      </c>
      <c r="AA42" s="977">
        <f>SUM(AA43)</f>
        <v>52734</v>
      </c>
      <c r="AB42" s="978">
        <f>SUM(AB43)</f>
        <v>54124.61</v>
      </c>
      <c r="AC42" s="979">
        <f>AB42-AA42</f>
        <v>1390.6100000000006</v>
      </c>
      <c r="AD42" s="979">
        <f>((AB42/AA42)-1)*100</f>
        <v>2.6370273447870352</v>
      </c>
      <c r="AE42" s="931">
        <f>SUM(AE43)</f>
        <v>26367</v>
      </c>
      <c r="AF42" s="978">
        <f>SUM(AF43)</f>
        <v>56849.72</v>
      </c>
      <c r="AG42" s="166">
        <f>AF42-AE42</f>
        <v>30482.720000000001</v>
      </c>
      <c r="AH42" s="166">
        <f>((AF42/AE42)-1)*100</f>
        <v>115.60936018507984</v>
      </c>
      <c r="AI42" s="931">
        <f>SUM(AI43)</f>
        <v>26367</v>
      </c>
      <c r="AJ42" s="978">
        <f>SUM(AJ43)</f>
        <v>116138</v>
      </c>
      <c r="AK42" s="931">
        <f>AJ42-AI42</f>
        <v>89771</v>
      </c>
      <c r="AL42" s="931">
        <f>((AJ42/AI42)-1)*100</f>
        <v>340.46725073007929</v>
      </c>
      <c r="AM42" s="931">
        <f>SUM(AM43)</f>
        <v>26367</v>
      </c>
      <c r="AN42" s="931">
        <f>SUM(AN43)</f>
        <v>133083</v>
      </c>
      <c r="AO42" s="931">
        <f>AN42-AM42</f>
        <v>106716</v>
      </c>
      <c r="AP42" s="931">
        <f>((AN42/AM42)-1)*100</f>
        <v>404.73318921378996</v>
      </c>
      <c r="AQ42" s="931">
        <f>SUM(AQ43)</f>
        <v>26367</v>
      </c>
      <c r="AR42" s="931">
        <f>SUM(AR43)</f>
        <v>0</v>
      </c>
      <c r="AS42" s="931">
        <f>AR42-AQ42</f>
        <v>-26367</v>
      </c>
      <c r="AT42" s="931" t="e">
        <f>((AQ42/AR42)-1)*100</f>
        <v>#DIV/0!</v>
      </c>
      <c r="AU42" s="931">
        <f>SUM(AU43)</f>
        <v>26367</v>
      </c>
      <c r="AV42" s="931">
        <f>SUM(AV43)</f>
        <v>0</v>
      </c>
      <c r="AW42" s="931">
        <f>AV42-AU42</f>
        <v>-26367</v>
      </c>
      <c r="AX42" s="931" t="e">
        <f>((AU42/AV42)-1)*100</f>
        <v>#DIV/0!</v>
      </c>
      <c r="AY42" s="1093">
        <f>C42+G42+K42+O42+S42+W42+AA42+AE42+AI42+AM42+AQ42+AU42</f>
        <v>342771</v>
      </c>
      <c r="AZ42" s="1093">
        <f>D42+H42+L42+P42+T42+X42+AB42+AF42+AJ42+AN42+AR42+AV42</f>
        <v>696219.23</v>
      </c>
      <c r="BA42" s="398">
        <f t="shared" si="18"/>
        <v>69621.922999999995</v>
      </c>
      <c r="BC42" s="334"/>
      <c r="BD42" s="334"/>
    </row>
    <row r="43" spans="1:58" s="11" customFormat="1" ht="18" customHeight="1" thickBot="1" x14ac:dyDescent="0.3">
      <c r="A43" s="932" t="s">
        <v>3704</v>
      </c>
      <c r="B43" s="936" t="s">
        <v>3678</v>
      </c>
      <c r="C43" s="933">
        <v>26367</v>
      </c>
      <c r="D43" s="933">
        <v>50757.2</v>
      </c>
      <c r="E43" s="945">
        <f>D43-C43</f>
        <v>24390.199999999997</v>
      </c>
      <c r="F43" s="946">
        <f>((D43/C43)-1)*100</f>
        <v>92.502749649182675</v>
      </c>
      <c r="G43" s="934">
        <v>26367</v>
      </c>
      <c r="H43" s="934">
        <v>52849.599999999999</v>
      </c>
      <c r="I43" s="934">
        <f>H43-G43</f>
        <v>26482.6</v>
      </c>
      <c r="J43" s="934">
        <f>((H43/G43)-1)*100</f>
        <v>100.43842682140553</v>
      </c>
      <c r="K43" s="941">
        <v>26367</v>
      </c>
      <c r="L43" s="941">
        <f>110.57+61188.7</f>
        <v>61299.27</v>
      </c>
      <c r="M43" s="935">
        <f>L43-K43</f>
        <v>34932.269999999997</v>
      </c>
      <c r="N43" s="935">
        <f>((L43/K43)-1)*100</f>
        <v>132.48481055865287</v>
      </c>
      <c r="O43" s="935">
        <v>26367</v>
      </c>
      <c r="P43" s="935">
        <v>57408.91</v>
      </c>
      <c r="Q43" s="935">
        <f>P43-O43</f>
        <v>31041.910000000003</v>
      </c>
      <c r="R43" s="935">
        <f>((P43/O43)-1)*100</f>
        <v>117.73015511814013</v>
      </c>
      <c r="S43" s="937">
        <v>26367</v>
      </c>
      <c r="T43" s="938">
        <v>55018.47</v>
      </c>
      <c r="U43" s="719">
        <f t="shared" si="40"/>
        <v>28651.47</v>
      </c>
      <c r="V43" s="719">
        <f>((T43/S43)-1)*100</f>
        <v>108.66412561155991</v>
      </c>
      <c r="W43" s="948">
        <v>26367</v>
      </c>
      <c r="X43" s="949">
        <v>58690.45</v>
      </c>
      <c r="Y43" s="4">
        <f>X42-W42</f>
        <v>32323.449999999997</v>
      </c>
      <c r="Z43" s="209">
        <f>((X43/W43)-1)*100</f>
        <v>122.59054879205067</v>
      </c>
      <c r="AA43" s="247">
        <v>52734</v>
      </c>
      <c r="AB43" s="182">
        <v>54124.61</v>
      </c>
      <c r="AC43" s="976">
        <f>AB42-AA42</f>
        <v>1390.6100000000006</v>
      </c>
      <c r="AD43" s="1076">
        <f>((AB43/AA43)-1)*100</f>
        <v>2.6370273447870352</v>
      </c>
      <c r="AE43" s="1000">
        <v>26367</v>
      </c>
      <c r="AF43" s="1000">
        <v>56849.72</v>
      </c>
      <c r="AG43" s="1001">
        <f>AF43-AE43</f>
        <v>30482.720000000001</v>
      </c>
      <c r="AH43" s="1001">
        <f>((AF43/AE43)-1)*100</f>
        <v>115.60936018507984</v>
      </c>
      <c r="AI43" s="719">
        <v>26367</v>
      </c>
      <c r="AJ43" s="719">
        <v>116138</v>
      </c>
      <c r="AK43" s="1005">
        <f>AJ43-AI43</f>
        <v>89771</v>
      </c>
      <c r="AL43" s="1005">
        <f>((AJ43/AI43)-1)*100</f>
        <v>340.46725073007929</v>
      </c>
      <c r="AM43" s="1025">
        <v>26367</v>
      </c>
      <c r="AN43" s="1025">
        <v>133083</v>
      </c>
      <c r="AO43" s="936">
        <v>92</v>
      </c>
      <c r="AP43" s="1094">
        <f>((AN43/AM43)-1)*100</f>
        <v>404.73318921378996</v>
      </c>
      <c r="AQ43" s="1025">
        <v>26367</v>
      </c>
      <c r="AR43" s="939"/>
      <c r="AS43" s="936"/>
      <c r="AT43" s="935"/>
      <c r="AU43" s="1025">
        <v>26367</v>
      </c>
      <c r="AV43" s="936"/>
      <c r="AW43" s="936"/>
      <c r="AX43" s="935"/>
      <c r="AY43" s="1095">
        <f>C43+G43+K43+O43+S43+W43+AA43+AE43+AI43+AM43+AQ43+AU43</f>
        <v>342771</v>
      </c>
      <c r="AZ43" s="1095">
        <f>D43+H43+L43+P43+T43+X43+AB43+AF43+AJ43+AN43+AR43+AV43</f>
        <v>696219.23</v>
      </c>
      <c r="BA43" s="398">
        <f t="shared" si="18"/>
        <v>69621.922999999995</v>
      </c>
    </row>
    <row r="44" spans="1:58" s="11" customFormat="1" ht="18" customHeight="1" thickBot="1" x14ac:dyDescent="0.3">
      <c r="A44" s="161"/>
      <c r="C44" s="163"/>
      <c r="D44" s="93"/>
      <c r="E44" s="163"/>
      <c r="F44" s="195"/>
      <c r="G44" s="163"/>
      <c r="H44" s="118"/>
      <c r="I44" s="163"/>
      <c r="J44" s="132"/>
      <c r="N44" s="132"/>
      <c r="P44" s="132"/>
      <c r="Q44" s="908"/>
      <c r="R44" s="132"/>
      <c r="V44" s="132"/>
      <c r="Z44" s="132"/>
      <c r="AD44" s="132"/>
      <c r="AF44" s="132"/>
      <c r="AH44" s="132"/>
      <c r="AJ44" s="163"/>
      <c r="AL44" s="132"/>
      <c r="AP44" s="132"/>
      <c r="AR44" s="164"/>
      <c r="AT44" s="132"/>
      <c r="AX44" s="132"/>
      <c r="BA44" s="398">
        <f t="shared" si="18"/>
        <v>0</v>
      </c>
    </row>
    <row r="45" spans="1:58" s="8" customFormat="1" ht="18" customHeight="1" thickBot="1" x14ac:dyDescent="0.3">
      <c r="A45" s="165"/>
      <c r="B45" s="1082" t="s">
        <v>24</v>
      </c>
      <c r="C45" s="601">
        <f>C47+C72+C117+C130+C154+C173+C207</f>
        <v>15321675.357950002</v>
      </c>
      <c r="D45" s="411">
        <f>D47+D72+D117+D130+D154+D173+D207</f>
        <v>15817218.870000001</v>
      </c>
      <c r="E45" s="95">
        <f>D45-C45</f>
        <v>495543.51204999909</v>
      </c>
      <c r="F45" s="238">
        <f>((D45/C45)-1)*100</f>
        <v>3.2342645335640574</v>
      </c>
      <c r="G45" s="95">
        <f>G47+G72+G117+G130+G154+G173+G207</f>
        <v>15321675.357950002</v>
      </c>
      <c r="H45" s="370">
        <f>H47+H72+H117+H130+H154+H173+H207</f>
        <v>16016758.419999996</v>
      </c>
      <c r="I45" s="95">
        <f>H45-G45</f>
        <v>695083.06204999425</v>
      </c>
      <c r="J45" s="238">
        <f>((H45/G45)-1)*100</f>
        <v>4.5365995937861614</v>
      </c>
      <c r="K45" s="95">
        <f>K47+K72+K117+K130+K154+K173+K207</f>
        <v>15321675.357950002</v>
      </c>
      <c r="L45" s="95">
        <f>L47+L72+L117+L130+L154+L173+L207</f>
        <v>18756972.740000002</v>
      </c>
      <c r="M45" s="95">
        <f>L45-K45</f>
        <v>3435297.3820500001</v>
      </c>
      <c r="N45" s="238">
        <f>((L45/K45)-1)*100</f>
        <v>22.421160230806734</v>
      </c>
      <c r="O45" s="95">
        <f>O47+O72+O117+O130+O154+O173+O207</f>
        <v>15318175.357950002</v>
      </c>
      <c r="P45" s="95">
        <f>P47+P72+P117+P130+P154+P173+P207</f>
        <v>21019899.18</v>
      </c>
      <c r="Q45" s="95">
        <f>P45-O45</f>
        <v>5701723.8220499977</v>
      </c>
      <c r="R45" s="238">
        <f>((P45/O45)-1)*100</f>
        <v>37.221951628141213</v>
      </c>
      <c r="S45" s="95">
        <f>S47+S72+S117+S130+S154+S173+S207</f>
        <v>15702775.357950002</v>
      </c>
      <c r="T45" s="95">
        <f>T47+T72+T117+T130+T154+T173+T207</f>
        <v>21402345.669999998</v>
      </c>
      <c r="U45" s="95">
        <f>T45-S45</f>
        <v>5699570.3120499961</v>
      </c>
      <c r="V45" s="238">
        <f>((T45/S45)-1)*100</f>
        <v>36.296579312423383</v>
      </c>
      <c r="W45" s="95">
        <f>W47+W72+W117+W130+W154+W173+W207</f>
        <v>15702775.357950002</v>
      </c>
      <c r="X45" s="95">
        <f>X47+X72+X117+X130+X154+X173+X207</f>
        <v>23312450.929999992</v>
      </c>
      <c r="Y45" s="95">
        <f>X45-W45</f>
        <v>7609675.5720499903</v>
      </c>
      <c r="Z45" s="238">
        <f>((X45/W45)-1)*100</f>
        <v>48.460704547985301</v>
      </c>
      <c r="AA45" s="95">
        <f>AA47+AA72+AA117+AA130+AA154+AA173+AA207</f>
        <v>15652775.357950002</v>
      </c>
      <c r="AB45" s="95">
        <f>AB47+AB72+AB117+AB130+AB154+AB173+AB207</f>
        <v>22205587.850000001</v>
      </c>
      <c r="AC45" s="95">
        <f>AB45-AA45</f>
        <v>6552812.4920499995</v>
      </c>
      <c r="AD45" s="238">
        <f>((AB45/AA45)-1)*100</f>
        <v>41.863582286203595</v>
      </c>
      <c r="AE45" s="95">
        <f>AE47+AE72+AE117+AE130+AE154+AE173+AE207</f>
        <v>15652775.357950002</v>
      </c>
      <c r="AF45" s="95">
        <f>AF47+AF72+AF117+AF130+AF154+AF173+AF207</f>
        <v>23651416.129999995</v>
      </c>
      <c r="AG45" s="95">
        <f>AF45-AE45</f>
        <v>7998640.7720499933</v>
      </c>
      <c r="AH45" s="238">
        <f>((AF45/AE45)-1)*100</f>
        <v>51.100463586398462</v>
      </c>
      <c r="AI45" s="18">
        <f>AI47+AI72+AI117+AI130+AI154+AI173+AI207</f>
        <v>15652775.357950002</v>
      </c>
      <c r="AJ45" s="18">
        <f>AJ47+AJ72+AJ117+AJ130+AJ154+AJ173+AJ207</f>
        <v>23572811.109999999</v>
      </c>
      <c r="AK45" s="95">
        <f>AJ45-AI45</f>
        <v>7920035.7520499974</v>
      </c>
      <c r="AL45" s="238">
        <f>((AJ45/AI45)-1)*100</f>
        <v>50.5982841440795</v>
      </c>
      <c r="AM45" s="18">
        <f>AM47+AM72+AM117+AM130+AM154+AM173+AM207</f>
        <v>15652775.357950002</v>
      </c>
      <c r="AN45" s="18">
        <f>AN47+AN72+AN117+AN130+AN154+AN173+AN207</f>
        <v>22326905.370000001</v>
      </c>
      <c r="AO45" s="95">
        <f>AN45-AM45</f>
        <v>6674130.0120499991</v>
      </c>
      <c r="AP45" s="238">
        <f>((AN45/AM45)-1)*100</f>
        <v>42.638636659793548</v>
      </c>
      <c r="AQ45" s="18">
        <f>AQ47+AQ72+AQ117+AQ130+AQ154+AQ173+AQ207</f>
        <v>15652775.357950002</v>
      </c>
      <c r="AR45" s="18">
        <f>AR47+AR72+AR117+AR130+AR154+AR173</f>
        <v>0</v>
      </c>
      <c r="AS45" s="95">
        <f>AR45-AQ45</f>
        <v>-15652775.357950002</v>
      </c>
      <c r="AT45" s="238">
        <f>((AR45/AQ45)-1)*100</f>
        <v>-100</v>
      </c>
      <c r="AU45" s="18">
        <f>AU47+AU72+AU117+AU130+AU154+AU173+AU207</f>
        <v>15652775.357950002</v>
      </c>
      <c r="AV45" s="18">
        <f>AV47+AV72+AV117+AV130+AV154+AV173</f>
        <v>0</v>
      </c>
      <c r="AW45" s="95">
        <f>AV45-AU45</f>
        <v>-15652775.357950002</v>
      </c>
      <c r="AX45" s="196">
        <f>((AV45/AU45)-1)*100</f>
        <v>-100</v>
      </c>
      <c r="AY45" s="18">
        <f>C45+G45+K45+O45+S45+W45+AA45+AE45+AI45+AM45+AQ45+AU45</f>
        <v>186605404.29540002</v>
      </c>
      <c r="AZ45" s="112">
        <f>SUM(D45+H45+L45+P45+T45+X45+AB45+AF45+AJ45+AN45+AR45+AV45)</f>
        <v>208082366.26999998</v>
      </c>
      <c r="BA45" s="398">
        <f t="shared" si="18"/>
        <v>20808236.626999997</v>
      </c>
      <c r="BB45" s="64"/>
      <c r="BD45" s="9"/>
      <c r="BE45" s="10"/>
    </row>
    <row r="46" spans="1:58" s="11" customFormat="1" ht="18" customHeight="1" thickBot="1" x14ac:dyDescent="0.3">
      <c r="A46" s="161"/>
      <c r="C46" s="333"/>
      <c r="D46" s="93"/>
      <c r="E46" s="132"/>
      <c r="F46" s="369"/>
      <c r="H46" s="119"/>
      <c r="I46" s="132"/>
      <c r="J46" s="132"/>
      <c r="K46" s="163"/>
      <c r="L46" s="163"/>
      <c r="M46" s="132"/>
      <c r="N46" s="132"/>
      <c r="P46" s="132"/>
      <c r="Q46" s="132"/>
      <c r="R46" s="132"/>
      <c r="T46" s="132"/>
      <c r="U46" s="132"/>
      <c r="V46" s="132"/>
      <c r="W46" s="163"/>
      <c r="X46" s="163"/>
      <c r="Y46" s="163"/>
      <c r="Z46" s="132"/>
      <c r="AA46" s="163"/>
      <c r="AB46" s="163"/>
      <c r="AC46" s="163"/>
      <c r="AD46" s="132"/>
      <c r="AE46" s="163"/>
      <c r="AF46" s="163"/>
      <c r="AG46" s="163"/>
      <c r="AH46" s="132"/>
      <c r="AI46" s="163"/>
      <c r="AJ46" s="163"/>
      <c r="AK46" s="163"/>
      <c r="AL46" s="132"/>
      <c r="AM46" s="163"/>
      <c r="AN46" s="163"/>
      <c r="AO46" s="163"/>
      <c r="AP46" s="132"/>
      <c r="AQ46" s="163"/>
      <c r="AR46" s="163"/>
      <c r="AS46" s="163"/>
      <c r="AT46" s="132"/>
      <c r="AU46" s="163"/>
      <c r="AV46" s="163"/>
      <c r="AW46" s="163"/>
      <c r="AX46" s="132"/>
      <c r="AY46" s="163"/>
      <c r="AZ46" s="163"/>
      <c r="BA46" s="398">
        <f t="shared" si="18"/>
        <v>0</v>
      </c>
    </row>
    <row r="47" spans="1:58" s="11" customFormat="1" ht="18" customHeight="1" thickBot="1" x14ac:dyDescent="0.3">
      <c r="A47" s="166"/>
      <c r="B47" s="1083" t="s">
        <v>167</v>
      </c>
      <c r="C47" s="412">
        <f>SUM(C48:C70)</f>
        <v>5143400</v>
      </c>
      <c r="D47" s="412">
        <f>SUM(D48:D70)</f>
        <v>5233246.99</v>
      </c>
      <c r="E47" s="80">
        <f>D47-C47</f>
        <v>89846.990000000224</v>
      </c>
      <c r="F47" s="244">
        <f t="shared" ref="F47:F68" si="41">((D47/C47)-1)*100</f>
        <v>1.746840416844897</v>
      </c>
      <c r="G47" s="104">
        <f>SUM(G48:G70)</f>
        <v>5143400</v>
      </c>
      <c r="H47" s="392">
        <f>SUM(H48:H70)</f>
        <v>5369684.8599999985</v>
      </c>
      <c r="I47" s="80">
        <f>H47-G47</f>
        <v>226284.85999999847</v>
      </c>
      <c r="J47" s="244">
        <f>((H47/G47)-1)*100</f>
        <v>4.3995189952171332</v>
      </c>
      <c r="K47" s="104">
        <f>SUM(K48:K70)</f>
        <v>5143400</v>
      </c>
      <c r="L47" s="80">
        <f>SUM(L48:L70)</f>
        <v>5521514.0900000026</v>
      </c>
      <c r="M47" s="80">
        <f>L47-K47</f>
        <v>378114.09000000264</v>
      </c>
      <c r="N47" s="244">
        <f>((L47/K47)-1)*100</f>
        <v>7.3514424310767712</v>
      </c>
      <c r="O47" s="104">
        <f>SUM(O48:O70)</f>
        <v>5142500</v>
      </c>
      <c r="P47" s="80">
        <f>SUM(P48:P70)</f>
        <v>5558608.8300000001</v>
      </c>
      <c r="Q47" s="80">
        <f t="shared" ref="Q47:Q55" si="42">P47-O47</f>
        <v>416108.83000000007</v>
      </c>
      <c r="R47" s="244">
        <f>((P47/O47)-1)*100</f>
        <v>8.0915669421487646</v>
      </c>
      <c r="S47" s="104">
        <f>SUM(S48:S70)</f>
        <v>5528000</v>
      </c>
      <c r="T47" s="80">
        <f>SUM(T48:T70)</f>
        <v>5948911.4499999993</v>
      </c>
      <c r="U47" s="80">
        <f>T47-S47</f>
        <v>420911.44999999925</v>
      </c>
      <c r="V47" s="244">
        <f>((T47/S47)-1)*100</f>
        <v>7.614172395079577</v>
      </c>
      <c r="W47" s="104">
        <f>SUM(W48:W70)</f>
        <v>5528000</v>
      </c>
      <c r="X47" s="80">
        <f>SUM(X48:X70)</f>
        <v>5835487.339999998</v>
      </c>
      <c r="Y47" s="80">
        <f>X47-W47</f>
        <v>307487.33999999799</v>
      </c>
      <c r="Z47" s="244">
        <f>((X47/W47)-1)*100</f>
        <v>5.5623614327061865</v>
      </c>
      <c r="AA47" s="104">
        <f>SUM(AA48:AA70)</f>
        <v>5527100</v>
      </c>
      <c r="AB47" s="80">
        <f>SUM(AB48:AB70)</f>
        <v>5903015.6699999999</v>
      </c>
      <c r="AC47" s="80">
        <f>AB47-AA47</f>
        <v>375915.66999999993</v>
      </c>
      <c r="AD47" s="244">
        <f>((AB47/AA47)-1)*100</f>
        <v>6.8013184129109394</v>
      </c>
      <c r="AE47" s="104">
        <f>SUM(AE48:AE70)</f>
        <v>5527100</v>
      </c>
      <c r="AF47" s="80">
        <f>SUM(AF48:AF70)</f>
        <v>5859442.3099999987</v>
      </c>
      <c r="AG47" s="80">
        <f>AF47-AE47</f>
        <v>332342.30999999866</v>
      </c>
      <c r="AH47" s="244">
        <f>((AF47/AE47)-1)*100</f>
        <v>6.012959960919817</v>
      </c>
      <c r="AI47" s="51">
        <f>SUM(AI48:AI70)</f>
        <v>5527100</v>
      </c>
      <c r="AJ47" s="42">
        <f>SUM(AJ48:AJ70)</f>
        <v>5815763.4499999983</v>
      </c>
      <c r="AK47" s="80">
        <f>AJ47-AI47</f>
        <v>288663.44999999832</v>
      </c>
      <c r="AL47" s="244">
        <f>((AJ47/AI47)-1)*100</f>
        <v>5.2226927321741723</v>
      </c>
      <c r="AM47" s="51">
        <f>SUM(AM48:AM70)</f>
        <v>5527100</v>
      </c>
      <c r="AN47" s="42">
        <f>SUM(AN48:AN70)</f>
        <v>5829063.3099999987</v>
      </c>
      <c r="AO47" s="80">
        <f>AN47-AM47</f>
        <v>301963.30999999866</v>
      </c>
      <c r="AP47" s="244">
        <f>((AN47/AM47)-1)*100</f>
        <v>5.4633227189665234</v>
      </c>
      <c r="AQ47" s="51">
        <f>SUM(AQ48:AQ70)</f>
        <v>5527100</v>
      </c>
      <c r="AR47" s="42">
        <f>SUM(AR48:AR70)</f>
        <v>0</v>
      </c>
      <c r="AS47" s="80">
        <f>AR47-AQ47</f>
        <v>-5527100</v>
      </c>
      <c r="AT47" s="244">
        <f>((AR47/AQ47)-1)*100</f>
        <v>-100</v>
      </c>
      <c r="AU47" s="51">
        <f>SUM(AU48:AU70)</f>
        <v>5527100</v>
      </c>
      <c r="AV47" s="42">
        <f>SUM(AV48:AV70)</f>
        <v>0</v>
      </c>
      <c r="AW47" s="80">
        <f>AV47-AU47</f>
        <v>-5527100</v>
      </c>
      <c r="AX47" s="215">
        <f>((AV47/AU47)-1)*100</f>
        <v>-100</v>
      </c>
      <c r="AY47" s="51">
        <f>C47+G47+K47+O47+S47+W47+AA47+AE47+AI47+AM47+AQ47+AU47</f>
        <v>64791300</v>
      </c>
      <c r="AZ47" s="79">
        <f t="shared" ref="AZ47:AZ55" si="43">SUM(D47+H47+L47+P47+T47+X47+AB47+AF47+AJ47+AN47+AR47+AV47)</f>
        <v>56874738.299999997</v>
      </c>
      <c r="BA47" s="398">
        <f t="shared" si="18"/>
        <v>5687473.8300000001</v>
      </c>
      <c r="BF47" s="400"/>
    </row>
    <row r="48" spans="1:58" s="119" customFormat="1" ht="18" customHeight="1" x14ac:dyDescent="0.25">
      <c r="A48" s="167" t="s">
        <v>25</v>
      </c>
      <c r="B48" s="331" t="s">
        <v>26</v>
      </c>
      <c r="C48" s="896">
        <v>3300000</v>
      </c>
      <c r="D48" s="96">
        <f>2977975.22+330359.95</f>
        <v>3308335.1700000004</v>
      </c>
      <c r="E48" s="565">
        <f t="shared" ref="E48:E68" si="44">D48-C48</f>
        <v>8335.1700000003912</v>
      </c>
      <c r="F48" s="566">
        <f t="shared" si="41"/>
        <v>0.25258090909092701</v>
      </c>
      <c r="G48" s="891">
        <v>3300000</v>
      </c>
      <c r="H48" s="169">
        <f>3131899.13+342441.26</f>
        <v>3474340.3899999997</v>
      </c>
      <c r="I48" s="169">
        <f>H48-G48</f>
        <v>174340.38999999966</v>
      </c>
      <c r="J48" s="567">
        <f>((H48/G48)-1)*100</f>
        <v>5.2830421212121115</v>
      </c>
      <c r="K48" s="575">
        <v>3300000</v>
      </c>
      <c r="L48" s="169">
        <v>3487163.33</v>
      </c>
      <c r="M48" s="169">
        <f>L48-K48</f>
        <v>187163.33000000007</v>
      </c>
      <c r="N48" s="567">
        <f>((L48/K48)-1)*100</f>
        <v>5.6716160606060662</v>
      </c>
      <c r="O48" s="575">
        <v>3300000</v>
      </c>
      <c r="P48" s="169">
        <v>3512945.15</v>
      </c>
      <c r="Q48" s="169">
        <f t="shared" si="42"/>
        <v>212945.14999999991</v>
      </c>
      <c r="R48" s="567">
        <f>((P48/O48)-1)*100</f>
        <v>6.4528833333333369</v>
      </c>
      <c r="S48" s="644">
        <v>3564000</v>
      </c>
      <c r="T48" s="169">
        <v>3731930.06</v>
      </c>
      <c r="U48" s="169">
        <f>T48-S48</f>
        <v>167930.06000000006</v>
      </c>
      <c r="V48" s="567">
        <f>((T48/S48)-1)*100</f>
        <v>4.7118423120089847</v>
      </c>
      <c r="W48" s="644">
        <v>3564000</v>
      </c>
      <c r="X48" s="169">
        <v>3738184.83</v>
      </c>
      <c r="Y48" s="761">
        <f>X48-W48</f>
        <v>174184.83000000007</v>
      </c>
      <c r="Z48" s="567">
        <f>((X48/W48)-1)*100</f>
        <v>4.8873409090909092</v>
      </c>
      <c r="AA48" s="644">
        <v>3564000</v>
      </c>
      <c r="AB48" s="644">
        <v>3758317.13</v>
      </c>
      <c r="AC48" s="169">
        <f>AB48-AA48</f>
        <v>194317.12999999989</v>
      </c>
      <c r="AD48" s="567">
        <f>((AB48/AA48)-1)*100</f>
        <v>5.4522202581369195</v>
      </c>
      <c r="AE48" s="644">
        <v>3564000</v>
      </c>
      <c r="AF48" s="644">
        <v>3817737.28</v>
      </c>
      <c r="AG48" s="169">
        <f>AF48-AE48</f>
        <v>253737.2799999998</v>
      </c>
      <c r="AH48" s="567">
        <f>((AF48/AE48)-1)*100</f>
        <v>7.1194523007856336</v>
      </c>
      <c r="AI48" s="644">
        <v>3564000</v>
      </c>
      <c r="AJ48" s="568">
        <v>3795493.62</v>
      </c>
      <c r="AK48" s="169">
        <f>AJ48-AI48</f>
        <v>231493.62000000011</v>
      </c>
      <c r="AL48" s="567">
        <f>((AJ48/AI48)-1)*100</f>
        <v>6.4953316498316482</v>
      </c>
      <c r="AM48" s="644">
        <v>3564000</v>
      </c>
      <c r="AN48" s="568">
        <v>3803057.36</v>
      </c>
      <c r="AO48" s="169">
        <f>AN48-AM48</f>
        <v>239057.35999999987</v>
      </c>
      <c r="AP48" s="567">
        <f>((AN48/AM48)-1)*100</f>
        <v>6.7075578002244729</v>
      </c>
      <c r="AQ48" s="644">
        <v>3564000</v>
      </c>
      <c r="AR48" s="171"/>
      <c r="AS48" s="169">
        <f>AR48-AQ48</f>
        <v>-3564000</v>
      </c>
      <c r="AT48" s="567">
        <f>((AR48/AQ48)-1)*100</f>
        <v>-100</v>
      </c>
      <c r="AU48" s="644">
        <v>3564000</v>
      </c>
      <c r="AV48" s="171"/>
      <c r="AW48" s="169">
        <f>AV48-AU48</f>
        <v>-3564000</v>
      </c>
      <c r="AX48" s="569">
        <f>((AV48/AU48)-1)*100</f>
        <v>-100</v>
      </c>
      <c r="AY48" s="571">
        <f>C48+G48+K48+O48+S48+W48+AA48+AE48+AI48+AM48+AQ48+AU48</f>
        <v>41712000</v>
      </c>
      <c r="AZ48" s="571">
        <f t="shared" si="43"/>
        <v>36427504.32</v>
      </c>
      <c r="BA48" s="398">
        <f>AZ48/10</f>
        <v>3642750.432</v>
      </c>
      <c r="BB48" s="401">
        <f>BA48*0.1</f>
        <v>364275.04320000001</v>
      </c>
      <c r="BC48" s="401">
        <f>BB48+BA48</f>
        <v>4007025.4752000002</v>
      </c>
      <c r="BF48" s="401"/>
    </row>
    <row r="49" spans="1:53" s="119" customFormat="1" ht="18" customHeight="1" x14ac:dyDescent="0.25">
      <c r="A49" s="170">
        <v>11316</v>
      </c>
      <c r="B49" s="332" t="s">
        <v>27</v>
      </c>
      <c r="C49" s="897">
        <v>330000</v>
      </c>
      <c r="D49" s="97">
        <v>463577.97</v>
      </c>
      <c r="E49" s="373">
        <f t="shared" si="44"/>
        <v>133577.96999999997</v>
      </c>
      <c r="F49" s="372">
        <f t="shared" si="41"/>
        <v>40.478172727272721</v>
      </c>
      <c r="G49" s="892">
        <v>330000</v>
      </c>
      <c r="H49" s="172">
        <v>422026.11</v>
      </c>
      <c r="I49" s="172">
        <f>H49-G49</f>
        <v>92026.109999999986</v>
      </c>
      <c r="J49" s="245">
        <f>((H49/G49)-1)*100</f>
        <v>27.886699999999998</v>
      </c>
      <c r="K49" s="576">
        <v>330000</v>
      </c>
      <c r="L49" s="172">
        <v>410818.42</v>
      </c>
      <c r="M49" s="172">
        <f>L49-K49</f>
        <v>80818.419999999984</v>
      </c>
      <c r="N49" s="245">
        <f>((L49/K49)-1)*100</f>
        <v>24.490430303030308</v>
      </c>
      <c r="O49" s="576">
        <v>330000</v>
      </c>
      <c r="P49" s="172">
        <v>399869.15</v>
      </c>
      <c r="Q49" s="172">
        <f t="shared" si="42"/>
        <v>69869.150000000023</v>
      </c>
      <c r="R49" s="245">
        <f>((P49/O49)-1)*100</f>
        <v>21.17246969696971</v>
      </c>
      <c r="S49" s="171">
        <v>356400</v>
      </c>
      <c r="T49" s="172">
        <v>399161.26</v>
      </c>
      <c r="U49" s="172">
        <f>T49-S49</f>
        <v>42761.260000000009</v>
      </c>
      <c r="V49" s="245">
        <f>((T49/S49)-1)*100</f>
        <v>11.998108866442191</v>
      </c>
      <c r="W49" s="171">
        <v>356400</v>
      </c>
      <c r="X49" s="172">
        <v>404075.6</v>
      </c>
      <c r="Y49" s="969">
        <f>X49-W49</f>
        <v>47675.599999999977</v>
      </c>
      <c r="Z49" s="245">
        <f>((X49/W49)-1)*100</f>
        <v>13.376992143658795</v>
      </c>
      <c r="AA49" s="171">
        <v>356400</v>
      </c>
      <c r="AB49" s="644">
        <v>393060.16</v>
      </c>
      <c r="AC49" s="172">
        <f>AB49-AA49</f>
        <v>36660.159999999974</v>
      </c>
      <c r="AD49" s="245">
        <f>((AB49/AA49)-1)*100</f>
        <v>10.286240179573515</v>
      </c>
      <c r="AE49" s="171">
        <v>356400</v>
      </c>
      <c r="AF49" s="171">
        <v>403003.75</v>
      </c>
      <c r="AG49" s="169">
        <f>AF49-AE49</f>
        <v>46603.75</v>
      </c>
      <c r="AH49" s="245">
        <f>((AF49/AE49)-1)*100</f>
        <v>13.076248597081941</v>
      </c>
      <c r="AI49" s="171">
        <v>356400</v>
      </c>
      <c r="AJ49" s="173">
        <v>402839.47</v>
      </c>
      <c r="AK49" s="169">
        <f>AJ49-AI49</f>
        <v>46439.469999999972</v>
      </c>
      <c r="AL49" s="245">
        <f>((AJ49/AI49)-1)*100</f>
        <v>13.030154320987641</v>
      </c>
      <c r="AM49" s="171">
        <v>356400</v>
      </c>
      <c r="AN49" s="173">
        <v>396810.51</v>
      </c>
      <c r="AO49" s="169">
        <f>AN49-AM49</f>
        <v>40410.510000000009</v>
      </c>
      <c r="AP49" s="245">
        <f>((AN49/AM49)-1)*100</f>
        <v>11.338526936026948</v>
      </c>
      <c r="AQ49" s="171">
        <v>356400</v>
      </c>
      <c r="AR49" s="171"/>
      <c r="AS49" s="169">
        <f>AR49-AQ49</f>
        <v>-356400</v>
      </c>
      <c r="AT49" s="245">
        <f>((AR49/AQ49)-1)*100</f>
        <v>-100</v>
      </c>
      <c r="AU49" s="171">
        <v>356400</v>
      </c>
      <c r="AV49" s="171"/>
      <c r="AW49" s="172">
        <f>AV49-AU49</f>
        <v>-356400</v>
      </c>
      <c r="AX49" s="246">
        <f>((AV49/AU49)-1)*100</f>
        <v>-100</v>
      </c>
      <c r="AY49" s="571">
        <f t="shared" ref="AY49:AY70" si="45">C49+G49+K49+O49+S49+W49+AA49+AE49+AI49+AM49+AQ49+AU49</f>
        <v>4171200</v>
      </c>
      <c r="AZ49" s="174">
        <f t="shared" si="43"/>
        <v>4095242.3999999994</v>
      </c>
      <c r="BA49" s="398">
        <f t="shared" si="18"/>
        <v>409524.23999999993</v>
      </c>
    </row>
    <row r="50" spans="1:53" s="119" customFormat="1" ht="18" customHeight="1" x14ac:dyDescent="0.25">
      <c r="A50" s="122">
        <v>11322</v>
      </c>
      <c r="B50" s="332" t="s">
        <v>28</v>
      </c>
      <c r="C50" s="897">
        <v>420000</v>
      </c>
      <c r="D50" s="97">
        <v>448923.15</v>
      </c>
      <c r="E50" s="373">
        <f t="shared" si="44"/>
        <v>28923.150000000023</v>
      </c>
      <c r="F50" s="372">
        <f t="shared" si="41"/>
        <v>6.8864642857142888</v>
      </c>
      <c r="G50" s="892">
        <v>420000</v>
      </c>
      <c r="H50" s="172">
        <v>445925.53</v>
      </c>
      <c r="I50" s="172">
        <f>H50-G50</f>
        <v>25925.530000000028</v>
      </c>
      <c r="J50" s="245">
        <f t="shared" ref="J50:J68" si="46">((H50/G50)-1)*100</f>
        <v>6.1727452380952341</v>
      </c>
      <c r="K50" s="576">
        <v>420000</v>
      </c>
      <c r="L50" s="172">
        <v>451108.86</v>
      </c>
      <c r="M50" s="172">
        <f>L50-K50</f>
        <v>31108.859999999986</v>
      </c>
      <c r="N50" s="245">
        <f t="shared" ref="N50:N68" si="47">((L50/K50)-1)*100</f>
        <v>7.4068714285714154</v>
      </c>
      <c r="O50" s="576">
        <v>420000</v>
      </c>
      <c r="P50" s="172">
        <v>451744.19</v>
      </c>
      <c r="Q50" s="172">
        <f t="shared" si="42"/>
        <v>31744.190000000002</v>
      </c>
      <c r="R50" s="245">
        <f t="shared" ref="R50:R55" si="48">((P50/O50)-1)*100</f>
        <v>7.558140476190478</v>
      </c>
      <c r="S50" s="171">
        <v>453600</v>
      </c>
      <c r="T50" s="172">
        <v>472660.95</v>
      </c>
      <c r="U50" s="172">
        <f>T50-S50</f>
        <v>19060.950000000012</v>
      </c>
      <c r="V50" s="245">
        <f t="shared" ref="V50:V68" si="49">((T50/S50)-1)*100</f>
        <v>4.2021494708994744</v>
      </c>
      <c r="W50" s="171">
        <v>453600</v>
      </c>
      <c r="X50" s="172">
        <v>477664.83</v>
      </c>
      <c r="Y50" s="969">
        <f>X50-W50</f>
        <v>24064.830000000016</v>
      </c>
      <c r="Z50" s="245">
        <f t="shared" ref="Z50:Z68" si="50">((X50/W50)-1)*100</f>
        <v>5.3052976190476331</v>
      </c>
      <c r="AA50" s="171">
        <v>453600</v>
      </c>
      <c r="AB50" s="644">
        <v>480340.19</v>
      </c>
      <c r="AC50" s="172">
        <f>AB50-AA50</f>
        <v>26740.190000000002</v>
      </c>
      <c r="AD50" s="245">
        <f t="shared" ref="AD50:AD68" si="51">((AB50/AA50)-1)*100</f>
        <v>5.8951036155202807</v>
      </c>
      <c r="AE50" s="171">
        <v>453600</v>
      </c>
      <c r="AF50" s="171">
        <v>488492.39</v>
      </c>
      <c r="AG50" s="169">
        <f>AF50-AE50</f>
        <v>34892.390000000014</v>
      </c>
      <c r="AH50" s="245">
        <f t="shared" ref="AH50:AH68" si="52">((AF50/AE50)-1)*100</f>
        <v>7.6923258377425086</v>
      </c>
      <c r="AI50" s="171">
        <v>453600</v>
      </c>
      <c r="AJ50" s="173">
        <v>485162.97</v>
      </c>
      <c r="AK50" s="169">
        <f>AJ50-AI50</f>
        <v>31562.969999999972</v>
      </c>
      <c r="AL50" s="245">
        <f t="shared" ref="AL50:AL68" si="53">((AJ50/AI50)-1)*100</f>
        <v>6.958326719576724</v>
      </c>
      <c r="AM50" s="171">
        <v>453600</v>
      </c>
      <c r="AN50" s="173">
        <v>487115.5</v>
      </c>
      <c r="AO50" s="169">
        <f>AN50-AM50</f>
        <v>33515.5</v>
      </c>
      <c r="AP50" s="245">
        <f t="shared" ref="AP50:AP68" si="54">((AN50/AM50)-1)*100</f>
        <v>7.3887786596119831</v>
      </c>
      <c r="AQ50" s="171">
        <v>453600</v>
      </c>
      <c r="AR50" s="171"/>
      <c r="AS50" s="169">
        <f>AR50-AQ50</f>
        <v>-453600</v>
      </c>
      <c r="AT50" s="245">
        <f t="shared" ref="AT50:AT68" si="55">((AR50/AQ50)-1)*100</f>
        <v>-100</v>
      </c>
      <c r="AU50" s="171">
        <v>453600</v>
      </c>
      <c r="AV50" s="171"/>
      <c r="AW50" s="172">
        <f>AV50-AU50</f>
        <v>-453600</v>
      </c>
      <c r="AX50" s="246">
        <f t="shared" ref="AX50:AX68" si="56">((AV50/AU50)-1)*100</f>
        <v>-100</v>
      </c>
      <c r="AY50" s="571">
        <f t="shared" si="45"/>
        <v>5308800</v>
      </c>
      <c r="AZ50" s="174">
        <f t="shared" si="43"/>
        <v>4689138.5600000005</v>
      </c>
      <c r="BA50" s="398">
        <f t="shared" si="18"/>
        <v>468913.85600000003</v>
      </c>
    </row>
    <row r="51" spans="1:53" s="119" customFormat="1" ht="18" customHeight="1" x14ac:dyDescent="0.25">
      <c r="A51" s="122">
        <v>11304</v>
      </c>
      <c r="B51" s="332" t="s">
        <v>141</v>
      </c>
      <c r="C51" s="897">
        <v>42000</v>
      </c>
      <c r="D51" s="97">
        <v>48452.74</v>
      </c>
      <c r="E51" s="373">
        <f t="shared" si="44"/>
        <v>6452.739999999998</v>
      </c>
      <c r="F51" s="372">
        <f t="shared" si="41"/>
        <v>15.363666666666663</v>
      </c>
      <c r="G51" s="892">
        <v>42000</v>
      </c>
      <c r="H51" s="172">
        <v>54980.160000000003</v>
      </c>
      <c r="I51" s="172">
        <f>H51-G51</f>
        <v>12980.160000000003</v>
      </c>
      <c r="J51" s="245">
        <f t="shared" si="46"/>
        <v>30.905142857142877</v>
      </c>
      <c r="K51" s="576">
        <v>42000</v>
      </c>
      <c r="L51" s="172">
        <v>67638.149999999994</v>
      </c>
      <c r="M51" s="172">
        <f>L51-K51</f>
        <v>25638.149999999994</v>
      </c>
      <c r="N51" s="245">
        <f t="shared" si="47"/>
        <v>61.043214285714264</v>
      </c>
      <c r="O51" s="576">
        <v>42000</v>
      </c>
      <c r="P51" s="172">
        <v>50697.96</v>
      </c>
      <c r="Q51" s="172">
        <f t="shared" si="42"/>
        <v>8697.9599999999991</v>
      </c>
      <c r="R51" s="245">
        <f t="shared" si="48"/>
        <v>20.709428571428568</v>
      </c>
      <c r="S51" s="171">
        <v>45360</v>
      </c>
      <c r="T51" s="172">
        <v>58333.99</v>
      </c>
      <c r="U51" s="172">
        <f>T51-S51</f>
        <v>12973.989999999998</v>
      </c>
      <c r="V51" s="245">
        <f t="shared" si="49"/>
        <v>28.602270723104063</v>
      </c>
      <c r="W51" s="171">
        <v>45360</v>
      </c>
      <c r="X51" s="172">
        <v>79804.47</v>
      </c>
      <c r="Y51" s="969">
        <f>X51-W51</f>
        <v>34444.47</v>
      </c>
      <c r="Z51" s="245">
        <f t="shared" si="50"/>
        <v>75.93578042328042</v>
      </c>
      <c r="AA51" s="171">
        <v>45360</v>
      </c>
      <c r="AB51" s="644">
        <v>58922.02</v>
      </c>
      <c r="AC51" s="172">
        <f>AB51-AA51</f>
        <v>13562.019999999997</v>
      </c>
      <c r="AD51" s="245">
        <f t="shared" si="51"/>
        <v>29.898633156966483</v>
      </c>
      <c r="AE51" s="171">
        <v>45360</v>
      </c>
      <c r="AF51" s="171">
        <v>45348.66</v>
      </c>
      <c r="AG51" s="169">
        <f>AF51-AE51</f>
        <v>-11.339999999996508</v>
      </c>
      <c r="AH51" s="245">
        <f t="shared" si="52"/>
        <v>-2.4999999999997247E-2</v>
      </c>
      <c r="AI51" s="171">
        <v>45360</v>
      </c>
      <c r="AJ51" s="173">
        <v>68424.77</v>
      </c>
      <c r="AK51" s="169">
        <f>AJ51-AI51</f>
        <v>23064.770000000004</v>
      </c>
      <c r="AL51" s="245">
        <f t="shared" si="53"/>
        <v>50.848258377425061</v>
      </c>
      <c r="AM51" s="171">
        <v>45360</v>
      </c>
      <c r="AN51" s="173">
        <v>77844.929999999993</v>
      </c>
      <c r="AO51" s="169">
        <f>AN51-AM51</f>
        <v>32484.929999999993</v>
      </c>
      <c r="AP51" s="245">
        <f t="shared" si="54"/>
        <v>71.61580687830687</v>
      </c>
      <c r="AQ51" s="171">
        <v>45360</v>
      </c>
      <c r="AR51" s="171"/>
      <c r="AS51" s="169">
        <f>AR51-AQ51</f>
        <v>-45360</v>
      </c>
      <c r="AT51" s="245">
        <f t="shared" si="55"/>
        <v>-100</v>
      </c>
      <c r="AU51" s="171">
        <v>45360</v>
      </c>
      <c r="AV51" s="171"/>
      <c r="AW51" s="172">
        <f>AV51-AU51</f>
        <v>-45360</v>
      </c>
      <c r="AX51" s="246">
        <f t="shared" si="56"/>
        <v>-100</v>
      </c>
      <c r="AY51" s="571">
        <f t="shared" si="45"/>
        <v>530880</v>
      </c>
      <c r="AZ51" s="174">
        <f t="shared" si="43"/>
        <v>610447.85000000009</v>
      </c>
      <c r="BA51" s="398">
        <f t="shared" si="18"/>
        <v>61044.785000000011</v>
      </c>
    </row>
    <row r="52" spans="1:53" s="119" customFormat="1" ht="18" customHeight="1" x14ac:dyDescent="0.25">
      <c r="A52" s="122">
        <v>53468</v>
      </c>
      <c r="B52" s="332" t="s">
        <v>125</v>
      </c>
      <c r="C52" s="897">
        <v>60000</v>
      </c>
      <c r="D52" s="97">
        <v>350</v>
      </c>
      <c r="E52" s="373">
        <f t="shared" si="44"/>
        <v>-59650</v>
      </c>
      <c r="F52" s="372">
        <f t="shared" si="41"/>
        <v>-99.416666666666657</v>
      </c>
      <c r="G52" s="892">
        <v>60000</v>
      </c>
      <c r="H52" s="172">
        <v>0</v>
      </c>
      <c r="I52" s="172">
        <f t="shared" ref="I52:I68" si="57">H52-G52</f>
        <v>-60000</v>
      </c>
      <c r="J52" s="245">
        <f t="shared" si="46"/>
        <v>-100</v>
      </c>
      <c r="K52" s="211">
        <v>60000</v>
      </c>
      <c r="L52" s="172">
        <v>45883.34</v>
      </c>
      <c r="M52" s="172">
        <f t="shared" ref="M52:M68" si="58">L52-K52</f>
        <v>-14116.660000000003</v>
      </c>
      <c r="N52" s="245">
        <f t="shared" si="47"/>
        <v>-23.527766666666672</v>
      </c>
      <c r="O52" s="211">
        <v>60000</v>
      </c>
      <c r="P52" s="172">
        <v>64116.66</v>
      </c>
      <c r="Q52" s="172">
        <f t="shared" si="42"/>
        <v>4116.6600000000035</v>
      </c>
      <c r="R52" s="245">
        <f t="shared" si="48"/>
        <v>6.8610999999999978</v>
      </c>
      <c r="S52" s="211">
        <v>60000</v>
      </c>
      <c r="T52" s="172">
        <v>0</v>
      </c>
      <c r="U52" s="172">
        <f t="shared" ref="U52:U68" si="59">T52-S52</f>
        <v>-60000</v>
      </c>
      <c r="V52" s="245">
        <f t="shared" si="49"/>
        <v>-100</v>
      </c>
      <c r="W52" s="211">
        <v>60000</v>
      </c>
      <c r="X52" s="172">
        <v>56550.06</v>
      </c>
      <c r="Y52" s="969">
        <f t="shared" ref="Y52:Y68" si="60">X52-W52</f>
        <v>-3449.9400000000023</v>
      </c>
      <c r="Z52" s="245">
        <f t="shared" si="50"/>
        <v>-5.7499000000000073</v>
      </c>
      <c r="AA52" s="211">
        <v>60000</v>
      </c>
      <c r="AB52" s="858">
        <v>41216.68</v>
      </c>
      <c r="AC52" s="172">
        <f t="shared" ref="AC52:AC68" si="61">AB52-AA52</f>
        <v>-18783.32</v>
      </c>
      <c r="AD52" s="245">
        <f t="shared" si="51"/>
        <v>-31.305533333333337</v>
      </c>
      <c r="AE52" s="211">
        <v>60000</v>
      </c>
      <c r="AF52" s="171">
        <v>58150.02</v>
      </c>
      <c r="AG52" s="169">
        <f t="shared" ref="AG52:AG68" si="62">AF52-AE52</f>
        <v>-1849.9800000000032</v>
      </c>
      <c r="AH52" s="245">
        <f t="shared" si="52"/>
        <v>-3.0832999999999999</v>
      </c>
      <c r="AI52" s="211">
        <v>60000</v>
      </c>
      <c r="AJ52" s="173">
        <v>62383.34</v>
      </c>
      <c r="AK52" s="169">
        <f t="shared" ref="AK52:AK68" si="63">AJ52-AI52</f>
        <v>2383.3399999999965</v>
      </c>
      <c r="AL52" s="245">
        <f t="shared" si="53"/>
        <v>3.9722333333333193</v>
      </c>
      <c r="AM52" s="211">
        <v>60000</v>
      </c>
      <c r="AN52" s="173">
        <v>52700</v>
      </c>
      <c r="AO52" s="169">
        <f t="shared" ref="AO52:AO68" si="64">AN52-AM52</f>
        <v>-7300</v>
      </c>
      <c r="AP52" s="245">
        <f t="shared" si="54"/>
        <v>-12.16666666666667</v>
      </c>
      <c r="AQ52" s="211">
        <v>60000</v>
      </c>
      <c r="AR52" s="171"/>
      <c r="AS52" s="169">
        <f t="shared" ref="AS52:AS68" si="65">AR52-AQ52</f>
        <v>-60000</v>
      </c>
      <c r="AT52" s="245">
        <f t="shared" si="55"/>
        <v>-100</v>
      </c>
      <c r="AU52" s="211">
        <v>60000</v>
      </c>
      <c r="AV52" s="171"/>
      <c r="AW52" s="172">
        <f t="shared" ref="AW52:AW68" si="66">AV52-AU52</f>
        <v>-60000</v>
      </c>
      <c r="AX52" s="246">
        <f t="shared" si="56"/>
        <v>-100</v>
      </c>
      <c r="AY52" s="571">
        <f t="shared" si="45"/>
        <v>720000</v>
      </c>
      <c r="AZ52" s="174">
        <f t="shared" si="43"/>
        <v>381350.1</v>
      </c>
      <c r="BA52" s="398">
        <f t="shared" si="18"/>
        <v>38135.009999999995</v>
      </c>
    </row>
    <row r="53" spans="1:53" s="119" customFormat="1" ht="18" customHeight="1" x14ac:dyDescent="0.25">
      <c r="A53" s="122">
        <v>53469</v>
      </c>
      <c r="B53" s="332" t="s">
        <v>333</v>
      </c>
      <c r="C53" s="897">
        <v>25000</v>
      </c>
      <c r="D53" s="97">
        <v>12965.22</v>
      </c>
      <c r="E53" s="373">
        <f t="shared" si="44"/>
        <v>-12034.78</v>
      </c>
      <c r="F53" s="372">
        <f t="shared" si="41"/>
        <v>-48.139120000000005</v>
      </c>
      <c r="G53" s="892">
        <v>25000</v>
      </c>
      <c r="H53" s="172">
        <v>11025.29</v>
      </c>
      <c r="I53" s="172">
        <f t="shared" si="57"/>
        <v>-13974.71</v>
      </c>
      <c r="J53" s="245">
        <f t="shared" si="46"/>
        <v>-55.898839999999993</v>
      </c>
      <c r="K53" s="211">
        <v>25000</v>
      </c>
      <c r="L53" s="172">
        <v>8566.07</v>
      </c>
      <c r="M53" s="172">
        <f t="shared" si="58"/>
        <v>-16433.93</v>
      </c>
      <c r="N53" s="245">
        <f t="shared" si="47"/>
        <v>-65.735720000000015</v>
      </c>
      <c r="O53" s="211">
        <v>25000</v>
      </c>
      <c r="P53" s="172">
        <v>7611.93</v>
      </c>
      <c r="Q53" s="172">
        <f t="shared" si="42"/>
        <v>-17388.07</v>
      </c>
      <c r="R53" s="245">
        <f t="shared" si="48"/>
        <v>-69.552279999999996</v>
      </c>
      <c r="S53" s="171">
        <v>27000</v>
      </c>
      <c r="T53" s="172">
        <v>7951.76</v>
      </c>
      <c r="U53" s="172">
        <f t="shared" si="59"/>
        <v>-19048.239999999998</v>
      </c>
      <c r="V53" s="245">
        <f t="shared" si="49"/>
        <v>-70.549037037037039</v>
      </c>
      <c r="W53" s="171">
        <v>27000</v>
      </c>
      <c r="X53" s="172">
        <v>8571.42</v>
      </c>
      <c r="Y53" s="969">
        <f t="shared" si="60"/>
        <v>-18428.580000000002</v>
      </c>
      <c r="Z53" s="245">
        <f t="shared" si="50"/>
        <v>-68.253999999999991</v>
      </c>
      <c r="AA53" s="171">
        <v>27000</v>
      </c>
      <c r="AB53" s="858">
        <v>7443.49</v>
      </c>
      <c r="AC53" s="172">
        <f t="shared" si="61"/>
        <v>-19556.510000000002</v>
      </c>
      <c r="AD53" s="245">
        <f t="shared" si="51"/>
        <v>-72.431518518518516</v>
      </c>
      <c r="AE53" s="171">
        <v>27000</v>
      </c>
      <c r="AF53" s="171">
        <v>33011.279999999999</v>
      </c>
      <c r="AG53" s="169">
        <f t="shared" si="62"/>
        <v>6011.2799999999988</v>
      </c>
      <c r="AH53" s="245">
        <f t="shared" si="52"/>
        <v>22.263999999999996</v>
      </c>
      <c r="AI53" s="171">
        <v>27000</v>
      </c>
      <c r="AJ53" s="173">
        <v>6239.58</v>
      </c>
      <c r="AK53" s="169">
        <f t="shared" si="63"/>
        <v>-20760.419999999998</v>
      </c>
      <c r="AL53" s="245">
        <f t="shared" si="53"/>
        <v>-76.890444444444441</v>
      </c>
      <c r="AM53" s="171">
        <v>27000</v>
      </c>
      <c r="AN53" s="173">
        <v>10157.219999999999</v>
      </c>
      <c r="AO53" s="169">
        <f t="shared" si="64"/>
        <v>-16842.78</v>
      </c>
      <c r="AP53" s="245">
        <f t="shared" si="54"/>
        <v>-62.380666666666663</v>
      </c>
      <c r="AQ53" s="171">
        <v>27000</v>
      </c>
      <c r="AR53" s="171"/>
      <c r="AS53" s="169">
        <f t="shared" si="65"/>
        <v>-27000</v>
      </c>
      <c r="AT53" s="245">
        <f t="shared" si="55"/>
        <v>-100</v>
      </c>
      <c r="AU53" s="171">
        <v>27000</v>
      </c>
      <c r="AV53" s="171"/>
      <c r="AW53" s="172">
        <f t="shared" si="66"/>
        <v>-27000</v>
      </c>
      <c r="AX53" s="246">
        <f t="shared" si="56"/>
        <v>-100</v>
      </c>
      <c r="AY53" s="571">
        <f t="shared" si="45"/>
        <v>316000</v>
      </c>
      <c r="AZ53" s="174">
        <f t="shared" si="43"/>
        <v>113543.26</v>
      </c>
      <c r="BA53" s="398">
        <f t="shared" si="18"/>
        <v>11354.325999999999</v>
      </c>
    </row>
    <row r="54" spans="1:53" s="119" customFormat="1" ht="18" customHeight="1" x14ac:dyDescent="0.25">
      <c r="A54" s="122">
        <v>11369</v>
      </c>
      <c r="B54" s="332" t="s">
        <v>224</v>
      </c>
      <c r="C54" s="897">
        <v>47000</v>
      </c>
      <c r="D54" s="97">
        <v>28286.82</v>
      </c>
      <c r="E54" s="373">
        <f t="shared" si="44"/>
        <v>-18713.18</v>
      </c>
      <c r="F54" s="372">
        <f t="shared" si="41"/>
        <v>-39.815276595744685</v>
      </c>
      <c r="G54" s="892">
        <v>47000</v>
      </c>
      <c r="H54" s="172">
        <v>26087.54</v>
      </c>
      <c r="I54" s="172">
        <f t="shared" si="57"/>
        <v>-20912.46</v>
      </c>
      <c r="J54" s="245">
        <f t="shared" si="46"/>
        <v>-44.494595744680851</v>
      </c>
      <c r="K54" s="576">
        <v>47000</v>
      </c>
      <c r="L54" s="172">
        <v>44882.16</v>
      </c>
      <c r="M54" s="172">
        <f t="shared" si="58"/>
        <v>-2117.8399999999965</v>
      </c>
      <c r="N54" s="245">
        <f t="shared" si="47"/>
        <v>-4.5060425531914809</v>
      </c>
      <c r="O54" s="576">
        <v>47000</v>
      </c>
      <c r="P54" s="172">
        <v>61588.79</v>
      </c>
      <c r="Q54" s="172">
        <f t="shared" si="42"/>
        <v>14588.79</v>
      </c>
      <c r="R54" s="245">
        <f t="shared" si="48"/>
        <v>31.03997872340425</v>
      </c>
      <c r="S54" s="171">
        <v>50000</v>
      </c>
      <c r="T54" s="172">
        <v>118419.09</v>
      </c>
      <c r="U54" s="172">
        <f t="shared" si="59"/>
        <v>68419.09</v>
      </c>
      <c r="V54" s="245">
        <f t="shared" si="49"/>
        <v>136.83817999999999</v>
      </c>
      <c r="W54" s="171">
        <v>50000</v>
      </c>
      <c r="X54" s="172">
        <v>36770.730000000003</v>
      </c>
      <c r="Y54" s="969">
        <f t="shared" si="60"/>
        <v>-13229.269999999997</v>
      </c>
      <c r="Z54" s="245">
        <f t="shared" si="50"/>
        <v>-26.458539999999996</v>
      </c>
      <c r="AA54" s="171">
        <v>50000</v>
      </c>
      <c r="AB54" s="858">
        <v>78954.45</v>
      </c>
      <c r="AC54" s="172">
        <f t="shared" si="61"/>
        <v>28954.449999999997</v>
      </c>
      <c r="AD54" s="245">
        <f t="shared" si="51"/>
        <v>57.908899999999996</v>
      </c>
      <c r="AE54" s="171">
        <v>50000</v>
      </c>
      <c r="AF54" s="171">
        <v>30094.42</v>
      </c>
      <c r="AG54" s="169">
        <f t="shared" si="62"/>
        <v>-19905.580000000002</v>
      </c>
      <c r="AH54" s="245">
        <f t="shared" si="52"/>
        <v>-39.811160000000001</v>
      </c>
      <c r="AI54" s="171">
        <v>50000</v>
      </c>
      <c r="AJ54" s="173">
        <v>20896.37</v>
      </c>
      <c r="AK54" s="169">
        <f t="shared" si="63"/>
        <v>-29103.63</v>
      </c>
      <c r="AL54" s="245">
        <f t="shared" si="53"/>
        <v>-58.207260000000005</v>
      </c>
      <c r="AM54" s="171">
        <v>50000</v>
      </c>
      <c r="AN54" s="173">
        <v>18657.68</v>
      </c>
      <c r="AO54" s="169">
        <f t="shared" si="64"/>
        <v>-31342.32</v>
      </c>
      <c r="AP54" s="245">
        <f t="shared" si="54"/>
        <v>-62.684640000000002</v>
      </c>
      <c r="AQ54" s="171">
        <v>50000</v>
      </c>
      <c r="AR54" s="171"/>
      <c r="AS54" s="169">
        <f t="shared" si="65"/>
        <v>-50000</v>
      </c>
      <c r="AT54" s="245">
        <f t="shared" si="55"/>
        <v>-100</v>
      </c>
      <c r="AU54" s="171">
        <v>50000</v>
      </c>
      <c r="AV54" s="171"/>
      <c r="AW54" s="172">
        <f t="shared" si="66"/>
        <v>-50000</v>
      </c>
      <c r="AX54" s="246">
        <f t="shared" si="56"/>
        <v>-100</v>
      </c>
      <c r="AY54" s="571">
        <f t="shared" si="45"/>
        <v>588000</v>
      </c>
      <c r="AZ54" s="174">
        <f t="shared" si="43"/>
        <v>464638.05</v>
      </c>
      <c r="BA54" s="398">
        <f t="shared" si="18"/>
        <v>46463.805</v>
      </c>
    </row>
    <row r="55" spans="1:53" s="119" customFormat="1" ht="18" customHeight="1" x14ac:dyDescent="0.25">
      <c r="A55" s="122" t="s">
        <v>3680</v>
      </c>
      <c r="B55" s="332" t="s">
        <v>29</v>
      </c>
      <c r="C55" s="897">
        <v>373000</v>
      </c>
      <c r="D55" s="97">
        <f>333000.32+35764.22</f>
        <v>368764.54000000004</v>
      </c>
      <c r="E55" s="373">
        <f t="shared" si="44"/>
        <v>-4235.4599999999627</v>
      </c>
      <c r="F55" s="372">
        <f t="shared" si="41"/>
        <v>-1.1355120643431582</v>
      </c>
      <c r="G55" s="892">
        <v>373000</v>
      </c>
      <c r="H55" s="172">
        <f>324619.29+43162.24</f>
        <v>367781.52999999997</v>
      </c>
      <c r="I55" s="172">
        <f t="shared" si="57"/>
        <v>-5218.4700000000303</v>
      </c>
      <c r="J55" s="245">
        <f t="shared" si="46"/>
        <v>-1.399053619302959</v>
      </c>
      <c r="K55" s="576">
        <v>373000</v>
      </c>
      <c r="L55" s="172">
        <v>369105.59</v>
      </c>
      <c r="M55" s="172">
        <f t="shared" si="58"/>
        <v>-3894.4099999999744</v>
      </c>
      <c r="N55" s="245">
        <f t="shared" si="47"/>
        <v>-1.0440777479892693</v>
      </c>
      <c r="O55" s="576">
        <v>373000</v>
      </c>
      <c r="P55" s="125">
        <v>404583.67</v>
      </c>
      <c r="Q55" s="172">
        <f t="shared" si="42"/>
        <v>31583.669999999984</v>
      </c>
      <c r="R55" s="245">
        <f t="shared" si="48"/>
        <v>8.4674718498659374</v>
      </c>
      <c r="S55" s="171">
        <v>402840</v>
      </c>
      <c r="T55" s="172">
        <v>545088.91</v>
      </c>
      <c r="U55" s="172">
        <f t="shared" si="59"/>
        <v>142248.91000000003</v>
      </c>
      <c r="V55" s="245">
        <f t="shared" si="49"/>
        <v>35.311515738258372</v>
      </c>
      <c r="W55" s="171">
        <v>402840</v>
      </c>
      <c r="X55" s="172">
        <v>412728.57</v>
      </c>
      <c r="Y55" s="969">
        <f t="shared" si="60"/>
        <v>9888.570000000007</v>
      </c>
      <c r="Z55" s="245">
        <f t="shared" si="50"/>
        <v>2.4547140303842641</v>
      </c>
      <c r="AA55" s="171">
        <v>402840</v>
      </c>
      <c r="AB55" s="858">
        <v>447839.68</v>
      </c>
      <c r="AC55" s="172">
        <f t="shared" si="61"/>
        <v>44999.679999999993</v>
      </c>
      <c r="AD55" s="245">
        <f t="shared" si="51"/>
        <v>11.170608678383465</v>
      </c>
      <c r="AE55" s="171">
        <v>402840</v>
      </c>
      <c r="AF55" s="171">
        <v>369752.98</v>
      </c>
      <c r="AG55" s="169">
        <f t="shared" si="62"/>
        <v>-33087.020000000019</v>
      </c>
      <c r="AH55" s="245">
        <f t="shared" si="52"/>
        <v>-8.2134395789891794</v>
      </c>
      <c r="AI55" s="171">
        <v>402840</v>
      </c>
      <c r="AJ55" s="173">
        <v>364735.17</v>
      </c>
      <c r="AK55" s="169">
        <f t="shared" si="63"/>
        <v>-38104.830000000016</v>
      </c>
      <c r="AL55" s="245">
        <f t="shared" si="53"/>
        <v>-9.4590482573726593</v>
      </c>
      <c r="AM55" s="171">
        <v>402840</v>
      </c>
      <c r="AN55" s="173">
        <v>371396.22</v>
      </c>
      <c r="AO55" s="169">
        <f t="shared" si="64"/>
        <v>-31443.780000000028</v>
      </c>
      <c r="AP55" s="245">
        <f t="shared" si="54"/>
        <v>-7.805525767053922</v>
      </c>
      <c r="AQ55" s="171">
        <v>402840</v>
      </c>
      <c r="AR55" s="171"/>
      <c r="AS55" s="169">
        <f t="shared" si="65"/>
        <v>-402840</v>
      </c>
      <c r="AT55" s="245">
        <f t="shared" si="55"/>
        <v>-100</v>
      </c>
      <c r="AU55" s="171">
        <v>402840</v>
      </c>
      <c r="AV55" s="171"/>
      <c r="AW55" s="172">
        <f t="shared" si="66"/>
        <v>-402840</v>
      </c>
      <c r="AX55" s="246">
        <f t="shared" si="56"/>
        <v>-100</v>
      </c>
      <c r="AY55" s="571">
        <f t="shared" si="45"/>
        <v>4714720</v>
      </c>
      <c r="AZ55" s="174">
        <f t="shared" si="43"/>
        <v>4021776.8600000003</v>
      </c>
      <c r="BA55" s="398">
        <f t="shared" si="18"/>
        <v>402177.68600000005</v>
      </c>
    </row>
    <row r="56" spans="1:53" s="119" customFormat="1" ht="18" customHeight="1" x14ac:dyDescent="0.25">
      <c r="A56" s="170">
        <v>11481</v>
      </c>
      <c r="B56" s="332" t="s">
        <v>30</v>
      </c>
      <c r="C56" s="897">
        <v>170000</v>
      </c>
      <c r="D56" s="82">
        <v>152160.51999999999</v>
      </c>
      <c r="E56" s="373">
        <f t="shared" si="44"/>
        <v>-17839.48000000001</v>
      </c>
      <c r="F56" s="372">
        <f t="shared" si="41"/>
        <v>-10.493811764705885</v>
      </c>
      <c r="G56" s="892">
        <v>170000</v>
      </c>
      <c r="H56" s="125">
        <v>151778</v>
      </c>
      <c r="I56" s="172">
        <f t="shared" si="57"/>
        <v>-18222</v>
      </c>
      <c r="J56" s="245">
        <f t="shared" si="46"/>
        <v>-10.71882352941177</v>
      </c>
      <c r="K56" s="211">
        <v>170000</v>
      </c>
      <c r="L56" s="125">
        <v>153410.82</v>
      </c>
      <c r="M56" s="172">
        <f t="shared" si="58"/>
        <v>-16589.179999999993</v>
      </c>
      <c r="N56" s="245">
        <f t="shared" si="47"/>
        <v>-9.7583411764705872</v>
      </c>
      <c r="O56" s="211">
        <v>170000</v>
      </c>
      <c r="P56" s="137">
        <v>165588.18</v>
      </c>
      <c r="Q56" s="172">
        <f t="shared" ref="Q56:Q68" si="67">P55-O56</f>
        <v>234583.66999999998</v>
      </c>
      <c r="R56" s="245">
        <f t="shared" ref="R56:R68" si="68">((P55/O56)-1)*100</f>
        <v>137.99039411764707</v>
      </c>
      <c r="S56" s="121">
        <v>170000</v>
      </c>
      <c r="T56" s="125">
        <v>165161.57999999999</v>
      </c>
      <c r="U56" s="172">
        <f t="shared" si="59"/>
        <v>-4838.4200000000128</v>
      </c>
      <c r="V56" s="245">
        <f t="shared" si="49"/>
        <v>-2.8461294117647085</v>
      </c>
      <c r="W56" s="121">
        <v>170000</v>
      </c>
      <c r="X56" s="125">
        <v>159545.85999999999</v>
      </c>
      <c r="Y56" s="969">
        <f t="shared" si="60"/>
        <v>-10454.140000000014</v>
      </c>
      <c r="Z56" s="245">
        <f t="shared" si="50"/>
        <v>-6.1494941176470697</v>
      </c>
      <c r="AA56" s="121">
        <v>170000</v>
      </c>
      <c r="AB56" s="858">
        <v>163296.26</v>
      </c>
      <c r="AC56" s="172">
        <f t="shared" si="61"/>
        <v>-6703.7399999999907</v>
      </c>
      <c r="AD56" s="245">
        <f t="shared" si="51"/>
        <v>-3.9433764705882335</v>
      </c>
      <c r="AE56" s="121">
        <v>170000</v>
      </c>
      <c r="AF56" s="171">
        <v>155472.32999999999</v>
      </c>
      <c r="AG56" s="169">
        <f t="shared" si="62"/>
        <v>-14527.670000000013</v>
      </c>
      <c r="AH56" s="245">
        <f t="shared" si="52"/>
        <v>-8.5456882352941239</v>
      </c>
      <c r="AI56" s="121">
        <v>170000</v>
      </c>
      <c r="AJ56" s="153">
        <v>163844.35999999999</v>
      </c>
      <c r="AK56" s="169">
        <f t="shared" si="63"/>
        <v>-6155.640000000014</v>
      </c>
      <c r="AL56" s="245">
        <f t="shared" si="53"/>
        <v>-3.6209647058823569</v>
      </c>
      <c r="AM56" s="121">
        <v>170000</v>
      </c>
      <c r="AN56" s="153">
        <v>168111.51</v>
      </c>
      <c r="AO56" s="169">
        <f t="shared" si="64"/>
        <v>-1888.4899999999907</v>
      </c>
      <c r="AP56" s="245">
        <f t="shared" si="54"/>
        <v>-1.110876470588229</v>
      </c>
      <c r="AQ56" s="121">
        <v>170000</v>
      </c>
      <c r="AR56" s="171"/>
      <c r="AS56" s="169">
        <f t="shared" si="65"/>
        <v>-170000</v>
      </c>
      <c r="AT56" s="245">
        <f t="shared" si="55"/>
        <v>-100</v>
      </c>
      <c r="AU56" s="121">
        <v>170000</v>
      </c>
      <c r="AV56" s="171"/>
      <c r="AW56" s="172">
        <f t="shared" si="66"/>
        <v>-170000</v>
      </c>
      <c r="AX56" s="246">
        <f t="shared" si="56"/>
        <v>-100</v>
      </c>
      <c r="AY56" s="571">
        <f t="shared" si="45"/>
        <v>2040000</v>
      </c>
      <c r="AZ56" s="175">
        <f t="shared" ref="AZ56:AZ69" si="69">SUM(D56+H56+L56+P56+T56+X56+AB56+AF56+AJ56+AN56+AR56+AV56)</f>
        <v>1598369.4200000002</v>
      </c>
      <c r="BA56" s="398">
        <f t="shared" si="18"/>
        <v>159836.94200000001</v>
      </c>
    </row>
    <row r="57" spans="1:53" s="119" customFormat="1" ht="18" customHeight="1" x14ac:dyDescent="0.25">
      <c r="A57" s="170">
        <v>11434</v>
      </c>
      <c r="B57" s="332" t="s">
        <v>173</v>
      </c>
      <c r="C57" s="897">
        <v>30000</v>
      </c>
      <c r="D57" s="87">
        <v>33979.14</v>
      </c>
      <c r="E57" s="373">
        <f t="shared" si="44"/>
        <v>3979.1399999999994</v>
      </c>
      <c r="F57" s="372">
        <f t="shared" si="41"/>
        <v>13.263800000000003</v>
      </c>
      <c r="G57" s="892">
        <v>30000</v>
      </c>
      <c r="H57" s="137">
        <v>37878.67</v>
      </c>
      <c r="I57" s="172">
        <f t="shared" si="57"/>
        <v>7878.6699999999983</v>
      </c>
      <c r="J57" s="245">
        <f t="shared" si="46"/>
        <v>26.262233333333327</v>
      </c>
      <c r="K57" s="212">
        <v>30000</v>
      </c>
      <c r="L57" s="137">
        <v>57015.98</v>
      </c>
      <c r="M57" s="172">
        <f t="shared" si="58"/>
        <v>27015.980000000003</v>
      </c>
      <c r="N57" s="245">
        <f t="shared" si="47"/>
        <v>90.053266666666687</v>
      </c>
      <c r="O57" s="212">
        <v>30000</v>
      </c>
      <c r="P57" s="137">
        <v>53084.23</v>
      </c>
      <c r="Q57" s="172">
        <f t="shared" si="67"/>
        <v>135588.18</v>
      </c>
      <c r="R57" s="245">
        <f t="shared" si="68"/>
        <v>451.96059999999994</v>
      </c>
      <c r="S57" s="136">
        <v>30000</v>
      </c>
      <c r="T57" s="137">
        <v>64263.040000000001</v>
      </c>
      <c r="U57" s="172">
        <f t="shared" si="59"/>
        <v>34263.040000000001</v>
      </c>
      <c r="V57" s="245">
        <f t="shared" si="49"/>
        <v>114.21013333333332</v>
      </c>
      <c r="W57" s="136">
        <v>30000</v>
      </c>
      <c r="X57" s="137">
        <v>54010.2</v>
      </c>
      <c r="Y57" s="969">
        <f t="shared" si="60"/>
        <v>24010.199999999997</v>
      </c>
      <c r="Z57" s="245">
        <f t="shared" si="50"/>
        <v>80.033999999999978</v>
      </c>
      <c r="AA57" s="136">
        <v>30000</v>
      </c>
      <c r="AB57" s="858">
        <v>45935.32</v>
      </c>
      <c r="AC57" s="172">
        <f t="shared" si="61"/>
        <v>15935.32</v>
      </c>
      <c r="AD57" s="245">
        <f t="shared" si="51"/>
        <v>53.117733333333341</v>
      </c>
      <c r="AE57" s="136">
        <v>30000</v>
      </c>
      <c r="AF57" s="171">
        <v>54586.86</v>
      </c>
      <c r="AG57" s="169">
        <f t="shared" si="62"/>
        <v>24586.86</v>
      </c>
      <c r="AH57" s="245">
        <f t="shared" si="52"/>
        <v>81.95620000000001</v>
      </c>
      <c r="AI57" s="136">
        <v>30000</v>
      </c>
      <c r="AJ57" s="176">
        <v>48880.57</v>
      </c>
      <c r="AK57" s="169">
        <f t="shared" si="63"/>
        <v>18880.57</v>
      </c>
      <c r="AL57" s="245">
        <f t="shared" si="53"/>
        <v>62.935233333333329</v>
      </c>
      <c r="AM57" s="136">
        <v>30000</v>
      </c>
      <c r="AN57" s="176">
        <v>46065.25</v>
      </c>
      <c r="AO57" s="169">
        <f t="shared" si="64"/>
        <v>16065.25</v>
      </c>
      <c r="AP57" s="245">
        <f t="shared" si="54"/>
        <v>53.550833333333323</v>
      </c>
      <c r="AQ57" s="136">
        <v>30000</v>
      </c>
      <c r="AR57" s="171"/>
      <c r="AS57" s="169">
        <f t="shared" si="65"/>
        <v>-30000</v>
      </c>
      <c r="AT57" s="245">
        <f t="shared" si="55"/>
        <v>-100</v>
      </c>
      <c r="AU57" s="136">
        <v>30000</v>
      </c>
      <c r="AV57" s="171"/>
      <c r="AW57" s="172">
        <f t="shared" si="66"/>
        <v>-30000</v>
      </c>
      <c r="AX57" s="246">
        <f t="shared" si="56"/>
        <v>-100</v>
      </c>
      <c r="AY57" s="571">
        <f t="shared" si="45"/>
        <v>360000</v>
      </c>
      <c r="AZ57" s="177">
        <f t="shared" si="69"/>
        <v>495699.26</v>
      </c>
      <c r="BA57" s="398">
        <f t="shared" si="18"/>
        <v>49569.925999999999</v>
      </c>
    </row>
    <row r="58" spans="1:53" s="119" customFormat="1" ht="18" customHeight="1" x14ac:dyDescent="0.25">
      <c r="A58" s="170">
        <v>11498</v>
      </c>
      <c r="B58" s="332" t="s">
        <v>174</v>
      </c>
      <c r="C58" s="897">
        <v>8000</v>
      </c>
      <c r="D58" s="87">
        <v>9440.02</v>
      </c>
      <c r="E58" s="373">
        <f t="shared" si="44"/>
        <v>1440.0200000000004</v>
      </c>
      <c r="F58" s="372">
        <f t="shared" si="41"/>
        <v>18.000250000000008</v>
      </c>
      <c r="G58" s="892">
        <v>8000</v>
      </c>
      <c r="H58" s="137">
        <v>9494.9699999999993</v>
      </c>
      <c r="I58" s="172">
        <f t="shared" si="57"/>
        <v>1494.9699999999993</v>
      </c>
      <c r="J58" s="245">
        <f t="shared" si="46"/>
        <v>18.68712499999998</v>
      </c>
      <c r="K58" s="212">
        <v>8000</v>
      </c>
      <c r="L58" s="137">
        <v>8250.4599999999991</v>
      </c>
      <c r="M58" s="172">
        <f t="shared" si="58"/>
        <v>250.45999999999913</v>
      </c>
      <c r="N58" s="245">
        <f t="shared" si="47"/>
        <v>3.1307499999999822</v>
      </c>
      <c r="O58" s="212">
        <v>8000</v>
      </c>
      <c r="P58" s="137">
        <v>9073.7099999999991</v>
      </c>
      <c r="Q58" s="172">
        <f t="shared" si="67"/>
        <v>45084.23</v>
      </c>
      <c r="R58" s="245">
        <f t="shared" si="68"/>
        <v>563.55287500000009</v>
      </c>
      <c r="S58" s="136">
        <v>8000</v>
      </c>
      <c r="T58" s="137">
        <v>9626.1</v>
      </c>
      <c r="U58" s="172">
        <f t="shared" si="59"/>
        <v>1626.1000000000004</v>
      </c>
      <c r="V58" s="245">
        <f t="shared" si="49"/>
        <v>20.326250000000012</v>
      </c>
      <c r="W58" s="136">
        <v>8000</v>
      </c>
      <c r="X58" s="137">
        <v>9132.17</v>
      </c>
      <c r="Y58" s="969">
        <f t="shared" si="60"/>
        <v>1132.17</v>
      </c>
      <c r="Z58" s="245">
        <f t="shared" si="50"/>
        <v>14.152125000000005</v>
      </c>
      <c r="AA58" s="136">
        <v>8000</v>
      </c>
      <c r="AB58" s="858">
        <v>12129.16</v>
      </c>
      <c r="AC58" s="172">
        <f t="shared" si="61"/>
        <v>4129.16</v>
      </c>
      <c r="AD58" s="245">
        <f t="shared" si="51"/>
        <v>51.614500000000007</v>
      </c>
      <c r="AE58" s="136">
        <v>8000</v>
      </c>
      <c r="AF58" s="171">
        <v>11334.58</v>
      </c>
      <c r="AG58" s="169">
        <f t="shared" si="62"/>
        <v>3334.58</v>
      </c>
      <c r="AH58" s="245">
        <f t="shared" si="52"/>
        <v>41.68225000000001</v>
      </c>
      <c r="AI58" s="136">
        <v>8000</v>
      </c>
      <c r="AJ58" s="176">
        <v>12605.88</v>
      </c>
      <c r="AK58" s="169">
        <f t="shared" si="63"/>
        <v>4605.8799999999992</v>
      </c>
      <c r="AL58" s="245">
        <f t="shared" si="53"/>
        <v>57.573499999999989</v>
      </c>
      <c r="AM58" s="136">
        <v>8000</v>
      </c>
      <c r="AN58" s="176">
        <v>12849.7</v>
      </c>
      <c r="AO58" s="169">
        <f t="shared" si="64"/>
        <v>4849.7000000000007</v>
      </c>
      <c r="AP58" s="245">
        <f t="shared" si="54"/>
        <v>60.621250000000003</v>
      </c>
      <c r="AQ58" s="136">
        <v>8000</v>
      </c>
      <c r="AR58" s="171"/>
      <c r="AS58" s="169">
        <f t="shared" si="65"/>
        <v>-8000</v>
      </c>
      <c r="AT58" s="245">
        <f t="shared" si="55"/>
        <v>-100</v>
      </c>
      <c r="AU58" s="136">
        <v>8000</v>
      </c>
      <c r="AV58" s="171"/>
      <c r="AW58" s="172">
        <f t="shared" si="66"/>
        <v>-8000</v>
      </c>
      <c r="AX58" s="246">
        <f t="shared" si="56"/>
        <v>-100</v>
      </c>
      <c r="AY58" s="571">
        <f t="shared" si="45"/>
        <v>96000</v>
      </c>
      <c r="AZ58" s="177">
        <f t="shared" si="69"/>
        <v>103936.75</v>
      </c>
      <c r="BA58" s="398">
        <f t="shared" si="18"/>
        <v>10393.674999999999</v>
      </c>
    </row>
    <row r="59" spans="1:53" s="119" customFormat="1" ht="18" customHeight="1" x14ac:dyDescent="0.25">
      <c r="A59" s="170">
        <v>12320</v>
      </c>
      <c r="B59" s="332" t="s">
        <v>175</v>
      </c>
      <c r="C59" s="897">
        <v>13000</v>
      </c>
      <c r="D59" s="87">
        <v>5867</v>
      </c>
      <c r="E59" s="373">
        <f t="shared" si="44"/>
        <v>-7133</v>
      </c>
      <c r="F59" s="372">
        <f t="shared" si="41"/>
        <v>-54.869230769230768</v>
      </c>
      <c r="G59" s="892">
        <v>13000</v>
      </c>
      <c r="H59" s="137">
        <v>6667</v>
      </c>
      <c r="I59" s="172">
        <f t="shared" si="57"/>
        <v>-6333</v>
      </c>
      <c r="J59" s="245">
        <f t="shared" si="46"/>
        <v>-48.715384615384615</v>
      </c>
      <c r="K59" s="212">
        <v>13000</v>
      </c>
      <c r="L59" s="137">
        <v>7617</v>
      </c>
      <c r="M59" s="172">
        <f t="shared" si="58"/>
        <v>-5383</v>
      </c>
      <c r="N59" s="245">
        <f t="shared" si="47"/>
        <v>-41.407692307692315</v>
      </c>
      <c r="O59" s="212">
        <v>13000</v>
      </c>
      <c r="P59" s="137">
        <v>8148.25</v>
      </c>
      <c r="Q59" s="172">
        <f t="shared" si="67"/>
        <v>-3926.2900000000009</v>
      </c>
      <c r="R59" s="245">
        <f t="shared" si="68"/>
        <v>-30.202230769230777</v>
      </c>
      <c r="S59" s="136">
        <v>13000</v>
      </c>
      <c r="T59" s="137">
        <v>15217</v>
      </c>
      <c r="U59" s="172">
        <f t="shared" si="59"/>
        <v>2217</v>
      </c>
      <c r="V59" s="245">
        <f t="shared" si="49"/>
        <v>17.053846153846152</v>
      </c>
      <c r="W59" s="136">
        <v>13000</v>
      </c>
      <c r="X59" s="137">
        <v>18367</v>
      </c>
      <c r="Y59" s="969">
        <f t="shared" si="60"/>
        <v>5367</v>
      </c>
      <c r="Z59" s="245">
        <f t="shared" si="50"/>
        <v>41.284615384615385</v>
      </c>
      <c r="AA59" s="136">
        <v>13000</v>
      </c>
      <c r="AB59" s="858">
        <v>13067</v>
      </c>
      <c r="AC59" s="172">
        <f t="shared" si="61"/>
        <v>67</v>
      </c>
      <c r="AD59" s="245">
        <f t="shared" si="51"/>
        <v>0.51538461538460645</v>
      </c>
      <c r="AE59" s="136">
        <v>13000</v>
      </c>
      <c r="AF59" s="171">
        <v>10577</v>
      </c>
      <c r="AG59" s="169">
        <f t="shared" si="62"/>
        <v>-2423</v>
      </c>
      <c r="AH59" s="245">
        <f t="shared" si="52"/>
        <v>-18.638461538461538</v>
      </c>
      <c r="AI59" s="136">
        <v>13000</v>
      </c>
      <c r="AJ59" s="176">
        <v>13185.66</v>
      </c>
      <c r="AK59" s="169">
        <f t="shared" si="63"/>
        <v>185.65999999999985</v>
      </c>
      <c r="AL59" s="245">
        <f t="shared" si="53"/>
        <v>1.4281538461538457</v>
      </c>
      <c r="AM59" s="136">
        <v>13000</v>
      </c>
      <c r="AN59" s="176">
        <v>11412</v>
      </c>
      <c r="AO59" s="169">
        <f t="shared" si="64"/>
        <v>-1588</v>
      </c>
      <c r="AP59" s="245">
        <f t="shared" si="54"/>
        <v>-12.215384615384616</v>
      </c>
      <c r="AQ59" s="136">
        <v>13000</v>
      </c>
      <c r="AR59" s="171"/>
      <c r="AS59" s="169">
        <f t="shared" si="65"/>
        <v>-13000</v>
      </c>
      <c r="AT59" s="245">
        <f t="shared" si="55"/>
        <v>-100</v>
      </c>
      <c r="AU59" s="136">
        <v>13000</v>
      </c>
      <c r="AV59" s="171"/>
      <c r="AW59" s="172">
        <f t="shared" si="66"/>
        <v>-13000</v>
      </c>
      <c r="AX59" s="246">
        <f t="shared" si="56"/>
        <v>-100</v>
      </c>
      <c r="AY59" s="571">
        <f t="shared" si="45"/>
        <v>156000</v>
      </c>
      <c r="AZ59" s="177">
        <f t="shared" si="69"/>
        <v>110124.91</v>
      </c>
      <c r="BA59" s="398">
        <f t="shared" si="18"/>
        <v>11012.491</v>
      </c>
    </row>
    <row r="60" spans="1:53" s="119" customFormat="1" ht="18" customHeight="1" x14ac:dyDescent="0.25">
      <c r="A60" s="170" t="s">
        <v>33</v>
      </c>
      <c r="B60" s="332" t="s">
        <v>176</v>
      </c>
      <c r="C60" s="897">
        <v>280000</v>
      </c>
      <c r="D60" s="87">
        <f>283837.8+9980</f>
        <v>293817.8</v>
      </c>
      <c r="E60" s="373">
        <f t="shared" si="44"/>
        <v>13817.799999999988</v>
      </c>
      <c r="F60" s="372">
        <f t="shared" si="41"/>
        <v>4.9349285714285651</v>
      </c>
      <c r="G60" s="892">
        <v>280000</v>
      </c>
      <c r="H60" s="137">
        <f>288515+4032</f>
        <v>292547</v>
      </c>
      <c r="I60" s="172">
        <f t="shared" si="57"/>
        <v>12547</v>
      </c>
      <c r="J60" s="245">
        <f t="shared" si="46"/>
        <v>4.481071428571437</v>
      </c>
      <c r="K60" s="212">
        <v>280000</v>
      </c>
      <c r="L60" s="137">
        <v>308353.96999999997</v>
      </c>
      <c r="M60" s="172">
        <f t="shared" si="58"/>
        <v>28353.969999999972</v>
      </c>
      <c r="N60" s="245">
        <f t="shared" si="47"/>
        <v>10.126417857142854</v>
      </c>
      <c r="O60" s="212">
        <v>280000</v>
      </c>
      <c r="P60" s="137">
        <v>291419.59999999998</v>
      </c>
      <c r="Q60" s="172">
        <f t="shared" si="67"/>
        <v>-271851.75</v>
      </c>
      <c r="R60" s="245">
        <f t="shared" si="68"/>
        <v>-97.089910714285708</v>
      </c>
      <c r="S60" s="136">
        <v>302400</v>
      </c>
      <c r="T60" s="137">
        <v>298452.96000000002</v>
      </c>
      <c r="U60" s="172">
        <f t="shared" si="59"/>
        <v>-3947.039999999979</v>
      </c>
      <c r="V60" s="245">
        <f t="shared" si="49"/>
        <v>-1.3052380952380926</v>
      </c>
      <c r="W60" s="136">
        <v>302400</v>
      </c>
      <c r="X60" s="137">
        <v>315973.51</v>
      </c>
      <c r="Y60" s="969">
        <f t="shared" si="60"/>
        <v>13573.510000000009</v>
      </c>
      <c r="Z60" s="245">
        <f t="shared" si="50"/>
        <v>4.4885945767195734</v>
      </c>
      <c r="AA60" s="136">
        <v>302400</v>
      </c>
      <c r="AB60" s="858">
        <v>318445.26</v>
      </c>
      <c r="AC60" s="172">
        <f t="shared" si="61"/>
        <v>16045.260000000009</v>
      </c>
      <c r="AD60" s="245">
        <f t="shared" si="51"/>
        <v>5.3059722222222216</v>
      </c>
      <c r="AE60" s="136">
        <v>302400</v>
      </c>
      <c r="AF60" s="171">
        <v>324287.06</v>
      </c>
      <c r="AG60" s="169">
        <f t="shared" si="62"/>
        <v>21887.059999999998</v>
      </c>
      <c r="AH60" s="245">
        <f t="shared" si="52"/>
        <v>7.2377843915343965</v>
      </c>
      <c r="AI60" s="136">
        <v>302400</v>
      </c>
      <c r="AJ60" s="176">
        <v>302248.26</v>
      </c>
      <c r="AK60" s="169">
        <f t="shared" si="63"/>
        <v>-151.73999999999069</v>
      </c>
      <c r="AL60" s="245">
        <f t="shared" si="53"/>
        <v>-5.017857142857185E-2</v>
      </c>
      <c r="AM60" s="136">
        <v>302400</v>
      </c>
      <c r="AN60" s="176">
        <v>311173.15000000002</v>
      </c>
      <c r="AO60" s="169">
        <f t="shared" si="64"/>
        <v>8773.1500000000233</v>
      </c>
      <c r="AP60" s="245">
        <f t="shared" si="54"/>
        <v>2.9011739417989402</v>
      </c>
      <c r="AQ60" s="136">
        <v>302400</v>
      </c>
      <c r="AR60" s="171"/>
      <c r="AS60" s="169">
        <f t="shared" si="65"/>
        <v>-302400</v>
      </c>
      <c r="AT60" s="245">
        <f t="shared" si="55"/>
        <v>-100</v>
      </c>
      <c r="AU60" s="136">
        <v>302400</v>
      </c>
      <c r="AV60" s="171"/>
      <c r="AW60" s="172">
        <f t="shared" si="66"/>
        <v>-302400</v>
      </c>
      <c r="AX60" s="246">
        <f t="shared" si="56"/>
        <v>-100</v>
      </c>
      <c r="AY60" s="571">
        <f t="shared" si="45"/>
        <v>3539200</v>
      </c>
      <c r="AZ60" s="177">
        <f t="shared" si="69"/>
        <v>3056718.57</v>
      </c>
      <c r="BA60" s="398">
        <f t="shared" si="18"/>
        <v>305671.85699999996</v>
      </c>
    </row>
    <row r="61" spans="1:53" s="119" customFormat="1" ht="18" customHeight="1" x14ac:dyDescent="0.25">
      <c r="A61" s="170">
        <v>12276</v>
      </c>
      <c r="B61" s="332" t="s">
        <v>34</v>
      </c>
      <c r="C61" s="897">
        <v>9000</v>
      </c>
      <c r="D61" s="46">
        <v>11747.92</v>
      </c>
      <c r="E61" s="373">
        <f t="shared" si="44"/>
        <v>2747.92</v>
      </c>
      <c r="F61" s="372">
        <f t="shared" si="41"/>
        <v>30.532444444444451</v>
      </c>
      <c r="G61" s="892">
        <v>9000</v>
      </c>
      <c r="H61" s="137">
        <v>13984.59</v>
      </c>
      <c r="I61" s="172">
        <f t="shared" si="57"/>
        <v>4984.59</v>
      </c>
      <c r="J61" s="245">
        <f t="shared" si="46"/>
        <v>55.384333333333323</v>
      </c>
      <c r="K61" s="212">
        <v>9000</v>
      </c>
      <c r="L61" s="137">
        <v>13134.23</v>
      </c>
      <c r="M61" s="172">
        <f t="shared" si="58"/>
        <v>4134.2299999999996</v>
      </c>
      <c r="N61" s="245">
        <f t="shared" si="47"/>
        <v>45.93588888888889</v>
      </c>
      <c r="O61" s="212">
        <v>9000</v>
      </c>
      <c r="P61" s="137">
        <v>9827.56</v>
      </c>
      <c r="Q61" s="172">
        <f t="shared" si="67"/>
        <v>282419.59999999998</v>
      </c>
      <c r="R61" s="245">
        <f t="shared" si="68"/>
        <v>3137.9955555555553</v>
      </c>
      <c r="S61" s="136">
        <v>9000</v>
      </c>
      <c r="T61" s="137">
        <v>9047.56</v>
      </c>
      <c r="U61" s="172">
        <f t="shared" si="59"/>
        <v>47.559999999999491</v>
      </c>
      <c r="V61" s="245">
        <f t="shared" si="49"/>
        <v>0.5284444444444425</v>
      </c>
      <c r="W61" s="136">
        <v>9000</v>
      </c>
      <c r="X61" s="137">
        <v>11362.22</v>
      </c>
      <c r="Y61" s="969">
        <f t="shared" si="60"/>
        <v>2362.2199999999993</v>
      </c>
      <c r="Z61" s="245">
        <f t="shared" si="50"/>
        <v>26.246888888888886</v>
      </c>
      <c r="AA61" s="136">
        <v>9000</v>
      </c>
      <c r="AB61" s="858">
        <v>8303.56</v>
      </c>
      <c r="AC61" s="172">
        <f t="shared" si="61"/>
        <v>-696.44000000000051</v>
      </c>
      <c r="AD61" s="245">
        <f t="shared" si="51"/>
        <v>-7.7382222222222241</v>
      </c>
      <c r="AE61" s="136">
        <v>9000</v>
      </c>
      <c r="AF61" s="171">
        <v>8055.56</v>
      </c>
      <c r="AG61" s="169">
        <f t="shared" si="62"/>
        <v>-944.4399999999996</v>
      </c>
      <c r="AH61" s="245">
        <f t="shared" si="52"/>
        <v>-10.493777777777769</v>
      </c>
      <c r="AI61" s="136">
        <v>9000</v>
      </c>
      <c r="AJ61" s="176">
        <v>2437.67</v>
      </c>
      <c r="AK61" s="169">
        <f t="shared" si="63"/>
        <v>-6562.33</v>
      </c>
      <c r="AL61" s="245">
        <f t="shared" si="53"/>
        <v>-72.914777777777772</v>
      </c>
      <c r="AM61" s="136">
        <v>9000</v>
      </c>
      <c r="AN61" s="176">
        <v>12605.67</v>
      </c>
      <c r="AO61" s="169">
        <f t="shared" si="64"/>
        <v>3605.67</v>
      </c>
      <c r="AP61" s="245">
        <v>0</v>
      </c>
      <c r="AQ61" s="136">
        <v>9000</v>
      </c>
      <c r="AR61" s="171"/>
      <c r="AS61" s="169">
        <f t="shared" si="65"/>
        <v>-9000</v>
      </c>
      <c r="AT61" s="245">
        <f t="shared" si="55"/>
        <v>-100</v>
      </c>
      <c r="AU61" s="136">
        <v>9000</v>
      </c>
      <c r="AV61" s="171"/>
      <c r="AW61" s="172">
        <f t="shared" si="66"/>
        <v>-9000</v>
      </c>
      <c r="AX61" s="246">
        <f t="shared" si="56"/>
        <v>-100</v>
      </c>
      <c r="AY61" s="571">
        <f t="shared" si="45"/>
        <v>108000</v>
      </c>
      <c r="AZ61" s="177">
        <f t="shared" si="69"/>
        <v>100506.54</v>
      </c>
      <c r="BA61" s="398">
        <f t="shared" si="18"/>
        <v>10050.653999999999</v>
      </c>
    </row>
    <row r="62" spans="1:53" s="119" customFormat="1" ht="18" customHeight="1" x14ac:dyDescent="0.25">
      <c r="A62" s="170">
        <v>12204</v>
      </c>
      <c r="B62" s="332" t="s">
        <v>177</v>
      </c>
      <c r="C62" s="897">
        <v>4000</v>
      </c>
      <c r="D62" s="46">
        <v>0</v>
      </c>
      <c r="E62" s="373">
        <f t="shared" si="44"/>
        <v>-4000</v>
      </c>
      <c r="F62" s="372">
        <f t="shared" si="41"/>
        <v>-100</v>
      </c>
      <c r="G62" s="892">
        <v>4000</v>
      </c>
      <c r="H62" s="137">
        <v>9981.51</v>
      </c>
      <c r="I62" s="172">
        <f t="shared" si="57"/>
        <v>5981.51</v>
      </c>
      <c r="J62" s="245">
        <f t="shared" si="46"/>
        <v>149.53775000000002</v>
      </c>
      <c r="K62" s="212">
        <v>4000</v>
      </c>
      <c r="L62" s="137">
        <v>0</v>
      </c>
      <c r="M62" s="172">
        <f t="shared" si="58"/>
        <v>-4000</v>
      </c>
      <c r="N62" s="245">
        <f t="shared" si="47"/>
        <v>-100</v>
      </c>
      <c r="O62" s="212">
        <v>4000</v>
      </c>
      <c r="P62" s="137">
        <v>2673.99</v>
      </c>
      <c r="Q62" s="172">
        <f t="shared" si="67"/>
        <v>5827.5599999999995</v>
      </c>
      <c r="R62" s="245">
        <f t="shared" si="68"/>
        <v>145.68899999999999</v>
      </c>
      <c r="S62" s="136">
        <v>4000</v>
      </c>
      <c r="T62" s="137">
        <v>2420.17</v>
      </c>
      <c r="U62" s="172">
        <f t="shared" si="59"/>
        <v>-1579.83</v>
      </c>
      <c r="V62" s="245">
        <f t="shared" si="49"/>
        <v>-39.495749999999994</v>
      </c>
      <c r="W62" s="136">
        <v>4000</v>
      </c>
      <c r="X62" s="137">
        <v>2894.94</v>
      </c>
      <c r="Y62" s="969">
        <f t="shared" si="60"/>
        <v>-1105.06</v>
      </c>
      <c r="Z62" s="245">
        <f t="shared" si="50"/>
        <v>-27.6265</v>
      </c>
      <c r="AA62" s="136">
        <v>4000</v>
      </c>
      <c r="AB62" s="858">
        <v>5940.57</v>
      </c>
      <c r="AC62" s="172">
        <f t="shared" si="61"/>
        <v>1940.5699999999997</v>
      </c>
      <c r="AD62" s="245">
        <f t="shared" si="51"/>
        <v>48.514250000000004</v>
      </c>
      <c r="AE62" s="136">
        <v>4000</v>
      </c>
      <c r="AF62" s="171">
        <v>3731.56</v>
      </c>
      <c r="AG62" s="169">
        <f t="shared" si="62"/>
        <v>-268.44000000000005</v>
      </c>
      <c r="AH62" s="245">
        <f t="shared" si="52"/>
        <v>-6.7110000000000003</v>
      </c>
      <c r="AI62" s="136">
        <v>4000</v>
      </c>
      <c r="AJ62" s="176">
        <v>2280.2199999999998</v>
      </c>
      <c r="AK62" s="169">
        <f t="shared" si="63"/>
        <v>-1719.7800000000002</v>
      </c>
      <c r="AL62" s="245">
        <f t="shared" si="53"/>
        <v>-42.994500000000002</v>
      </c>
      <c r="AM62" s="136">
        <v>4000</v>
      </c>
      <c r="AN62" s="176">
        <v>2040.67</v>
      </c>
      <c r="AO62" s="169">
        <f t="shared" si="64"/>
        <v>-1959.33</v>
      </c>
      <c r="AP62" s="245">
        <f t="shared" si="54"/>
        <v>-48.983249999999998</v>
      </c>
      <c r="AQ62" s="136">
        <v>4000</v>
      </c>
      <c r="AR62" s="171"/>
      <c r="AS62" s="169">
        <f t="shared" si="65"/>
        <v>-4000</v>
      </c>
      <c r="AT62" s="245">
        <f t="shared" si="55"/>
        <v>-100</v>
      </c>
      <c r="AU62" s="136">
        <v>4000</v>
      </c>
      <c r="AV62" s="171"/>
      <c r="AW62" s="172">
        <f t="shared" si="66"/>
        <v>-4000</v>
      </c>
      <c r="AX62" s="246">
        <f t="shared" si="56"/>
        <v>-100</v>
      </c>
      <c r="AY62" s="571">
        <f t="shared" si="45"/>
        <v>48000</v>
      </c>
      <c r="AZ62" s="177">
        <f t="shared" si="69"/>
        <v>31963.630000000005</v>
      </c>
      <c r="BA62" s="398">
        <f t="shared" si="18"/>
        <v>3196.3630000000003</v>
      </c>
    </row>
    <row r="63" spans="1:53" s="119" customFormat="1" ht="18" customHeight="1" x14ac:dyDescent="0.25">
      <c r="A63" s="170">
        <v>11652</v>
      </c>
      <c r="B63" s="332" t="s">
        <v>178</v>
      </c>
      <c r="C63" s="897">
        <v>4000</v>
      </c>
      <c r="D63" s="46">
        <v>2750</v>
      </c>
      <c r="E63" s="373">
        <f t="shared" si="44"/>
        <v>-1250</v>
      </c>
      <c r="F63" s="372">
        <f t="shared" si="41"/>
        <v>-31.25</v>
      </c>
      <c r="G63" s="892">
        <v>4000</v>
      </c>
      <c r="H63" s="137">
        <v>3050</v>
      </c>
      <c r="I63" s="172">
        <f t="shared" si="57"/>
        <v>-950</v>
      </c>
      <c r="J63" s="245">
        <f t="shared" si="46"/>
        <v>-23.750000000000004</v>
      </c>
      <c r="K63" s="212">
        <v>4000</v>
      </c>
      <c r="L63" s="137">
        <v>4000</v>
      </c>
      <c r="M63" s="172">
        <f t="shared" si="58"/>
        <v>0</v>
      </c>
      <c r="N63" s="245">
        <f t="shared" si="47"/>
        <v>0</v>
      </c>
      <c r="O63" s="212">
        <v>4000</v>
      </c>
      <c r="P63" s="137">
        <v>6159.49</v>
      </c>
      <c r="Q63" s="172">
        <f t="shared" si="67"/>
        <v>-1326.0100000000002</v>
      </c>
      <c r="R63" s="245">
        <f t="shared" si="68"/>
        <v>-33.15025</v>
      </c>
      <c r="S63" s="136">
        <v>4000</v>
      </c>
      <c r="T63" s="137">
        <v>2500</v>
      </c>
      <c r="U63" s="172">
        <f t="shared" si="59"/>
        <v>-1500</v>
      </c>
      <c r="V63" s="245">
        <f t="shared" si="49"/>
        <v>-37.5</v>
      </c>
      <c r="W63" s="136">
        <v>4000</v>
      </c>
      <c r="X63" s="137">
        <v>5936.35</v>
      </c>
      <c r="Y63" s="969">
        <f t="shared" si="60"/>
        <v>1936.3500000000004</v>
      </c>
      <c r="Z63" s="245">
        <f t="shared" si="50"/>
        <v>48.408749999999998</v>
      </c>
      <c r="AA63" s="136">
        <v>4000</v>
      </c>
      <c r="AB63" s="858">
        <v>5211.96</v>
      </c>
      <c r="AC63" s="172">
        <f t="shared" si="61"/>
        <v>1211.96</v>
      </c>
      <c r="AD63" s="245">
        <f t="shared" si="51"/>
        <v>30.29900000000001</v>
      </c>
      <c r="AE63" s="136">
        <v>4000</v>
      </c>
      <c r="AF63" s="171">
        <v>4590</v>
      </c>
      <c r="AG63" s="169">
        <f t="shared" si="62"/>
        <v>590</v>
      </c>
      <c r="AH63" s="245">
        <f t="shared" si="52"/>
        <v>14.749999999999996</v>
      </c>
      <c r="AI63" s="136">
        <v>4000</v>
      </c>
      <c r="AJ63" s="176">
        <v>15346.8</v>
      </c>
      <c r="AK63" s="169">
        <f t="shared" si="63"/>
        <v>11346.8</v>
      </c>
      <c r="AL63" s="245">
        <f t="shared" si="53"/>
        <v>283.67</v>
      </c>
      <c r="AM63" s="136">
        <v>4000</v>
      </c>
      <c r="AN63" s="176">
        <v>750</v>
      </c>
      <c r="AO63" s="169">
        <f t="shared" si="64"/>
        <v>-3250</v>
      </c>
      <c r="AP63" s="245">
        <f t="shared" si="54"/>
        <v>-81.25</v>
      </c>
      <c r="AQ63" s="136">
        <v>4000</v>
      </c>
      <c r="AR63" s="171"/>
      <c r="AS63" s="169">
        <f t="shared" si="65"/>
        <v>-4000</v>
      </c>
      <c r="AT63" s="245">
        <f t="shared" si="55"/>
        <v>-100</v>
      </c>
      <c r="AU63" s="136">
        <v>4000</v>
      </c>
      <c r="AV63" s="171"/>
      <c r="AW63" s="172">
        <f t="shared" si="66"/>
        <v>-4000</v>
      </c>
      <c r="AX63" s="246">
        <f t="shared" si="56"/>
        <v>-100</v>
      </c>
      <c r="AY63" s="571">
        <f t="shared" si="45"/>
        <v>48000</v>
      </c>
      <c r="AZ63" s="177">
        <f t="shared" si="69"/>
        <v>50294.599999999991</v>
      </c>
      <c r="BA63" s="398">
        <f t="shared" si="18"/>
        <v>5029.4599999999991</v>
      </c>
    </row>
    <row r="64" spans="1:53" s="119" customFormat="1" ht="18" customHeight="1" x14ac:dyDescent="0.25">
      <c r="A64" s="170" t="s">
        <v>136</v>
      </c>
      <c r="B64" s="332" t="s">
        <v>36</v>
      </c>
      <c r="C64" s="897">
        <v>2000</v>
      </c>
      <c r="D64" s="46">
        <f>0+1652.15+329.97+0+0</f>
        <v>1982.1200000000001</v>
      </c>
      <c r="E64" s="373">
        <f t="shared" si="44"/>
        <v>-17.879999999999882</v>
      </c>
      <c r="F64" s="372">
        <f t="shared" si="41"/>
        <v>-0.8939999999999948</v>
      </c>
      <c r="G64" s="892">
        <v>2000</v>
      </c>
      <c r="H64" s="137">
        <f>1652.15+-329.97</f>
        <v>1322.18</v>
      </c>
      <c r="I64" s="172">
        <f t="shared" si="57"/>
        <v>-677.81999999999994</v>
      </c>
      <c r="J64" s="245">
        <f t="shared" si="46"/>
        <v>-33.890999999999991</v>
      </c>
      <c r="K64" s="212">
        <v>2000</v>
      </c>
      <c r="L64" s="137">
        <v>1652.15</v>
      </c>
      <c r="M64" s="172">
        <f t="shared" si="58"/>
        <v>-347.84999999999991</v>
      </c>
      <c r="N64" s="245">
        <f t="shared" si="47"/>
        <v>-17.392499999999998</v>
      </c>
      <c r="O64" s="212">
        <v>2000</v>
      </c>
      <c r="P64" s="137">
        <v>1652.15</v>
      </c>
      <c r="Q64" s="172">
        <f t="shared" si="67"/>
        <v>4159.49</v>
      </c>
      <c r="R64" s="245">
        <f t="shared" si="68"/>
        <v>207.97450000000001</v>
      </c>
      <c r="S64" s="136">
        <v>2000</v>
      </c>
      <c r="T64" s="137">
        <v>1715.42</v>
      </c>
      <c r="U64" s="172">
        <f t="shared" si="59"/>
        <v>-284.57999999999993</v>
      </c>
      <c r="V64" s="245">
        <f t="shared" si="49"/>
        <v>-14.228999999999992</v>
      </c>
      <c r="W64" s="136">
        <v>2000</v>
      </c>
      <c r="X64" s="137">
        <v>4869.0200000000004</v>
      </c>
      <c r="Y64" s="969">
        <f t="shared" si="60"/>
        <v>2869.0200000000004</v>
      </c>
      <c r="Z64" s="245">
        <f t="shared" si="50"/>
        <v>143.45100000000005</v>
      </c>
      <c r="AA64" s="136">
        <v>2000</v>
      </c>
      <c r="AB64" s="137">
        <v>19695.96</v>
      </c>
      <c r="AC64" s="172">
        <f t="shared" si="61"/>
        <v>17695.96</v>
      </c>
      <c r="AD64" s="245">
        <f t="shared" si="51"/>
        <v>884.798</v>
      </c>
      <c r="AE64" s="136">
        <v>2000</v>
      </c>
      <c r="AF64" s="136">
        <v>4121.9399999999996</v>
      </c>
      <c r="AG64" s="169">
        <f t="shared" si="62"/>
        <v>2121.9399999999996</v>
      </c>
      <c r="AH64" s="245">
        <f t="shared" si="52"/>
        <v>106.09699999999998</v>
      </c>
      <c r="AI64" s="136">
        <v>2000</v>
      </c>
      <c r="AJ64" s="176">
        <v>2838.85</v>
      </c>
      <c r="AK64" s="169">
        <f t="shared" si="63"/>
        <v>838.84999999999991</v>
      </c>
      <c r="AL64" s="245">
        <f t="shared" si="53"/>
        <v>41.942499999999995</v>
      </c>
      <c r="AM64" s="136">
        <v>2000</v>
      </c>
      <c r="AN64" s="176">
        <v>2451.25</v>
      </c>
      <c r="AO64" s="169">
        <f t="shared" si="64"/>
        <v>451.25</v>
      </c>
      <c r="AP64" s="245">
        <f t="shared" si="54"/>
        <v>22.562499999999996</v>
      </c>
      <c r="AQ64" s="136">
        <v>2000</v>
      </c>
      <c r="AR64" s="171"/>
      <c r="AS64" s="169">
        <f t="shared" si="65"/>
        <v>-2000</v>
      </c>
      <c r="AT64" s="245">
        <f t="shared" si="55"/>
        <v>-100</v>
      </c>
      <c r="AU64" s="136">
        <v>2000</v>
      </c>
      <c r="AV64" s="171"/>
      <c r="AW64" s="172">
        <f t="shared" si="66"/>
        <v>-2000</v>
      </c>
      <c r="AX64" s="246">
        <f t="shared" si="56"/>
        <v>-100</v>
      </c>
      <c r="AY64" s="571">
        <f t="shared" si="45"/>
        <v>24000</v>
      </c>
      <c r="AZ64" s="177">
        <f t="shared" si="69"/>
        <v>42301.04</v>
      </c>
      <c r="BA64" s="398">
        <f t="shared" si="18"/>
        <v>4230.1040000000003</v>
      </c>
    </row>
    <row r="65" spans="1:55" s="119" customFormat="1" ht="30" customHeight="1" x14ac:dyDescent="0.25">
      <c r="A65" s="170" t="s">
        <v>37</v>
      </c>
      <c r="B65" s="332" t="s">
        <v>39</v>
      </c>
      <c r="C65" s="897">
        <v>2000</v>
      </c>
      <c r="D65" s="46">
        <f>3765.21+74.79</f>
        <v>3840</v>
      </c>
      <c r="E65" s="373">
        <f t="shared" si="44"/>
        <v>1840</v>
      </c>
      <c r="F65" s="372">
        <f t="shared" si="41"/>
        <v>92</v>
      </c>
      <c r="G65" s="892">
        <v>2000</v>
      </c>
      <c r="H65" s="137">
        <f>2420.94+104.93</f>
        <v>2525.87</v>
      </c>
      <c r="I65" s="172">
        <f t="shared" si="57"/>
        <v>525.86999999999989</v>
      </c>
      <c r="J65" s="245">
        <f t="shared" si="46"/>
        <v>26.293499999999991</v>
      </c>
      <c r="K65" s="212">
        <v>2000</v>
      </c>
      <c r="L65" s="137">
        <v>4215.91</v>
      </c>
      <c r="M65" s="172">
        <f t="shared" si="58"/>
        <v>2215.91</v>
      </c>
      <c r="N65" s="245">
        <f t="shared" si="47"/>
        <v>110.7955</v>
      </c>
      <c r="O65" s="212">
        <v>2000</v>
      </c>
      <c r="P65" s="137">
        <v>2364.41</v>
      </c>
      <c r="Q65" s="172">
        <f t="shared" si="67"/>
        <v>-347.84999999999991</v>
      </c>
      <c r="R65" s="245">
        <f t="shared" si="68"/>
        <v>-17.392499999999998</v>
      </c>
      <c r="S65" s="136">
        <v>2000</v>
      </c>
      <c r="T65" s="137">
        <v>4104.22</v>
      </c>
      <c r="U65" s="172">
        <f t="shared" si="59"/>
        <v>2104.2200000000003</v>
      </c>
      <c r="V65" s="245">
        <f t="shared" si="49"/>
        <v>105.21100000000003</v>
      </c>
      <c r="W65" s="136">
        <v>2000</v>
      </c>
      <c r="X65" s="137">
        <v>1708.26</v>
      </c>
      <c r="Y65" s="969">
        <f t="shared" si="60"/>
        <v>-291.74</v>
      </c>
      <c r="Z65" s="245">
        <f t="shared" si="50"/>
        <v>-14.587000000000005</v>
      </c>
      <c r="AA65" s="136">
        <v>2000</v>
      </c>
      <c r="AB65" s="137">
        <v>4277.47</v>
      </c>
      <c r="AC65" s="172">
        <f t="shared" si="61"/>
        <v>2277.4700000000003</v>
      </c>
      <c r="AD65" s="245">
        <f t="shared" si="51"/>
        <v>113.87350000000001</v>
      </c>
      <c r="AE65" s="136">
        <v>2000</v>
      </c>
      <c r="AF65" s="136">
        <v>1359.15</v>
      </c>
      <c r="AG65" s="169">
        <f t="shared" si="62"/>
        <v>-640.84999999999991</v>
      </c>
      <c r="AH65" s="245">
        <f t="shared" si="52"/>
        <v>-32.042499999999997</v>
      </c>
      <c r="AI65" s="136">
        <v>2000</v>
      </c>
      <c r="AJ65" s="176">
        <v>3395.89</v>
      </c>
      <c r="AK65" s="169">
        <f t="shared" si="63"/>
        <v>1395.8899999999999</v>
      </c>
      <c r="AL65" s="245">
        <f t="shared" si="53"/>
        <v>69.794499999999999</v>
      </c>
      <c r="AM65" s="136">
        <v>2000</v>
      </c>
      <c r="AN65" s="176">
        <v>2775.43</v>
      </c>
      <c r="AO65" s="169">
        <f t="shared" si="64"/>
        <v>775.42999999999984</v>
      </c>
      <c r="AP65" s="245">
        <f t="shared" si="54"/>
        <v>38.771499999999982</v>
      </c>
      <c r="AQ65" s="136">
        <v>2000</v>
      </c>
      <c r="AR65" s="171"/>
      <c r="AS65" s="169">
        <f t="shared" si="65"/>
        <v>-2000</v>
      </c>
      <c r="AT65" s="245">
        <f t="shared" si="55"/>
        <v>-100</v>
      </c>
      <c r="AU65" s="136">
        <v>2000</v>
      </c>
      <c r="AV65" s="171"/>
      <c r="AW65" s="172">
        <f t="shared" si="66"/>
        <v>-2000</v>
      </c>
      <c r="AX65" s="246">
        <f t="shared" si="56"/>
        <v>-100</v>
      </c>
      <c r="AY65" s="571">
        <f t="shared" si="45"/>
        <v>24000</v>
      </c>
      <c r="AZ65" s="177">
        <f t="shared" si="69"/>
        <v>30566.61</v>
      </c>
      <c r="BA65" s="398">
        <f t="shared" si="18"/>
        <v>3056.6610000000001</v>
      </c>
    </row>
    <row r="66" spans="1:55" s="119" customFormat="1" ht="18" customHeight="1" x14ac:dyDescent="0.25">
      <c r="A66" s="170" t="s">
        <v>41</v>
      </c>
      <c r="B66" s="332" t="s">
        <v>43</v>
      </c>
      <c r="C66" s="897">
        <v>1000</v>
      </c>
      <c r="D66" s="46">
        <f>90+852.04+0+0</f>
        <v>942.04</v>
      </c>
      <c r="E66" s="373">
        <f t="shared" si="44"/>
        <v>-57.960000000000036</v>
      </c>
      <c r="F66" s="372">
        <f t="shared" si="41"/>
        <v>-5.7960000000000012</v>
      </c>
      <c r="G66" s="892">
        <v>1000</v>
      </c>
      <c r="H66" s="137">
        <f>640+852.04+234.29</f>
        <v>1726.33</v>
      </c>
      <c r="I66" s="172">
        <f t="shared" si="57"/>
        <v>726.32999999999993</v>
      </c>
      <c r="J66" s="245">
        <f t="shared" si="46"/>
        <v>72.632999999999996</v>
      </c>
      <c r="K66" s="212">
        <v>1000</v>
      </c>
      <c r="L66" s="137">
        <v>2522.5</v>
      </c>
      <c r="M66" s="172">
        <f t="shared" si="58"/>
        <v>1522.5</v>
      </c>
      <c r="N66" s="245">
        <f t="shared" si="47"/>
        <v>152.25</v>
      </c>
      <c r="O66" s="212">
        <v>1000</v>
      </c>
      <c r="P66" s="137">
        <v>3020.02</v>
      </c>
      <c r="Q66" s="172">
        <f t="shared" si="67"/>
        <v>1364.4099999999999</v>
      </c>
      <c r="R66" s="245">
        <f t="shared" si="68"/>
        <v>136.441</v>
      </c>
      <c r="S66" s="136">
        <v>1000</v>
      </c>
      <c r="T66" s="137">
        <v>6150.12</v>
      </c>
      <c r="U66" s="172">
        <f t="shared" si="59"/>
        <v>5150.12</v>
      </c>
      <c r="V66" s="245">
        <f t="shared" si="49"/>
        <v>515.01200000000006</v>
      </c>
      <c r="W66" s="136">
        <v>1000</v>
      </c>
      <c r="X66" s="137">
        <v>1338.39</v>
      </c>
      <c r="Y66" s="969">
        <f t="shared" si="60"/>
        <v>338.3900000000001</v>
      </c>
      <c r="Z66" s="245">
        <f t="shared" si="50"/>
        <v>33.83900000000002</v>
      </c>
      <c r="AA66" s="136">
        <v>1000</v>
      </c>
      <c r="AB66" s="137">
        <v>2038.38</v>
      </c>
      <c r="AC66" s="172">
        <f t="shared" si="61"/>
        <v>1038.3800000000001</v>
      </c>
      <c r="AD66" s="245">
        <f t="shared" si="51"/>
        <v>103.83800000000001</v>
      </c>
      <c r="AE66" s="136">
        <v>1000</v>
      </c>
      <c r="AF66" s="136">
        <v>1219.6199999999999</v>
      </c>
      <c r="AG66" s="169">
        <f t="shared" si="62"/>
        <v>219.61999999999989</v>
      </c>
      <c r="AH66" s="245">
        <f t="shared" si="52"/>
        <v>21.961999999999993</v>
      </c>
      <c r="AI66" s="136">
        <v>1000</v>
      </c>
      <c r="AJ66" s="176">
        <v>4512.47</v>
      </c>
      <c r="AK66" s="169">
        <f t="shared" si="63"/>
        <v>3512.4700000000003</v>
      </c>
      <c r="AL66" s="245">
        <f t="shared" si="53"/>
        <v>351.24700000000007</v>
      </c>
      <c r="AM66" s="136">
        <v>1000</v>
      </c>
      <c r="AN66" s="176">
        <v>1760.19</v>
      </c>
      <c r="AO66" s="169">
        <f t="shared" si="64"/>
        <v>760.19</v>
      </c>
      <c r="AP66" s="245">
        <f t="shared" si="54"/>
        <v>76.01900000000002</v>
      </c>
      <c r="AQ66" s="136">
        <v>1000</v>
      </c>
      <c r="AR66" s="171"/>
      <c r="AS66" s="169">
        <f t="shared" si="65"/>
        <v>-1000</v>
      </c>
      <c r="AT66" s="245">
        <f t="shared" si="55"/>
        <v>-100</v>
      </c>
      <c r="AU66" s="136">
        <v>1000</v>
      </c>
      <c r="AV66" s="171"/>
      <c r="AW66" s="172">
        <f t="shared" si="66"/>
        <v>-1000</v>
      </c>
      <c r="AX66" s="246">
        <f t="shared" si="56"/>
        <v>-100</v>
      </c>
      <c r="AY66" s="571">
        <f t="shared" si="45"/>
        <v>12000</v>
      </c>
      <c r="AZ66" s="177">
        <f t="shared" si="69"/>
        <v>25230.059999999998</v>
      </c>
      <c r="BA66" s="398">
        <f t="shared" si="18"/>
        <v>2523.0059999999999</v>
      </c>
    </row>
    <row r="67" spans="1:55" s="119" customFormat="1" ht="36.75" customHeight="1" x14ac:dyDescent="0.25">
      <c r="A67" s="170">
        <v>12267</v>
      </c>
      <c r="B67" s="332" t="s">
        <v>44</v>
      </c>
      <c r="C67" s="897">
        <v>20000</v>
      </c>
      <c r="D67" s="46">
        <v>30805.71</v>
      </c>
      <c r="E67" s="373">
        <f t="shared" si="44"/>
        <v>10805.71</v>
      </c>
      <c r="F67" s="372">
        <f t="shared" si="41"/>
        <v>54.028549999999996</v>
      </c>
      <c r="G67" s="892">
        <v>20000</v>
      </c>
      <c r="H67" s="137">
        <v>32858.379999999997</v>
      </c>
      <c r="I67" s="172">
        <f t="shared" si="57"/>
        <v>12858.379999999997</v>
      </c>
      <c r="J67" s="245">
        <f t="shared" si="46"/>
        <v>64.291899999999984</v>
      </c>
      <c r="K67" s="212">
        <v>20000</v>
      </c>
      <c r="L67" s="137">
        <v>67397.83</v>
      </c>
      <c r="M67" s="172">
        <f t="shared" si="58"/>
        <v>47397.83</v>
      </c>
      <c r="N67" s="245">
        <f t="shared" si="47"/>
        <v>236.98915</v>
      </c>
      <c r="O67" s="212">
        <v>20000</v>
      </c>
      <c r="P67" s="125">
        <v>44932.61</v>
      </c>
      <c r="Q67" s="172">
        <f t="shared" si="67"/>
        <v>-16979.98</v>
      </c>
      <c r="R67" s="245">
        <f t="shared" si="68"/>
        <v>-84.899900000000002</v>
      </c>
      <c r="S67" s="136">
        <v>20000</v>
      </c>
      <c r="T67" s="137">
        <v>31592.38</v>
      </c>
      <c r="U67" s="172">
        <f t="shared" si="59"/>
        <v>11592.380000000001</v>
      </c>
      <c r="V67" s="245">
        <f t="shared" si="49"/>
        <v>57.961900000000014</v>
      </c>
      <c r="W67" s="136">
        <v>20000</v>
      </c>
      <c r="X67" s="137">
        <v>31017.81</v>
      </c>
      <c r="Y67" s="969">
        <f t="shared" si="60"/>
        <v>11017.810000000001</v>
      </c>
      <c r="Z67" s="245">
        <f t="shared" si="50"/>
        <v>55.089050000000015</v>
      </c>
      <c r="AA67" s="136">
        <v>20000</v>
      </c>
      <c r="AB67" s="137">
        <v>31604.48</v>
      </c>
      <c r="AC67" s="172">
        <f t="shared" si="61"/>
        <v>11604.48</v>
      </c>
      <c r="AD67" s="245">
        <f t="shared" si="51"/>
        <v>58.022400000000005</v>
      </c>
      <c r="AE67" s="136">
        <v>20000</v>
      </c>
      <c r="AF67" s="136">
        <v>31585.72</v>
      </c>
      <c r="AG67" s="169">
        <f t="shared" si="62"/>
        <v>11585.720000000001</v>
      </c>
      <c r="AH67" s="245">
        <f t="shared" si="52"/>
        <v>57.928599999999996</v>
      </c>
      <c r="AI67" s="136">
        <v>20000</v>
      </c>
      <c r="AJ67" s="176">
        <v>31585.72</v>
      </c>
      <c r="AK67" s="169">
        <f t="shared" si="63"/>
        <v>11585.720000000001</v>
      </c>
      <c r="AL67" s="245">
        <f t="shared" si="53"/>
        <v>57.928599999999996</v>
      </c>
      <c r="AM67" s="136">
        <v>20000</v>
      </c>
      <c r="AN67" s="176">
        <v>31337.81</v>
      </c>
      <c r="AO67" s="169">
        <f t="shared" si="64"/>
        <v>11337.810000000001</v>
      </c>
      <c r="AP67" s="245">
        <f t="shared" si="54"/>
        <v>56.689049999999995</v>
      </c>
      <c r="AQ67" s="136">
        <v>20000</v>
      </c>
      <c r="AR67" s="171"/>
      <c r="AS67" s="169">
        <f t="shared" si="65"/>
        <v>-20000</v>
      </c>
      <c r="AT67" s="245">
        <f t="shared" si="55"/>
        <v>-100</v>
      </c>
      <c r="AU67" s="136">
        <v>20000</v>
      </c>
      <c r="AV67" s="171"/>
      <c r="AW67" s="172">
        <f t="shared" si="66"/>
        <v>-20000</v>
      </c>
      <c r="AX67" s="246">
        <f t="shared" si="56"/>
        <v>-100</v>
      </c>
      <c r="AY67" s="571">
        <f t="shared" si="45"/>
        <v>240000</v>
      </c>
      <c r="AZ67" s="177">
        <f t="shared" si="69"/>
        <v>364718.45</v>
      </c>
      <c r="BA67" s="398">
        <f t="shared" si="18"/>
        <v>36471.845000000001</v>
      </c>
    </row>
    <row r="68" spans="1:55" s="119" customFormat="1" ht="18" customHeight="1" x14ac:dyDescent="0.25">
      <c r="A68" s="122" t="s">
        <v>45</v>
      </c>
      <c r="B68" s="382" t="s">
        <v>47</v>
      </c>
      <c r="C68" s="897">
        <v>1000</v>
      </c>
      <c r="D68" s="47">
        <f>4074.12+0</f>
        <v>4074.12</v>
      </c>
      <c r="E68" s="373">
        <f t="shared" si="44"/>
        <v>3074.12</v>
      </c>
      <c r="F68" s="372">
        <f t="shared" si="41"/>
        <v>307.41199999999998</v>
      </c>
      <c r="G68" s="892">
        <v>1000</v>
      </c>
      <c r="H68" s="125">
        <v>1634</v>
      </c>
      <c r="I68" s="172">
        <f t="shared" si="57"/>
        <v>634</v>
      </c>
      <c r="J68" s="245">
        <f t="shared" si="46"/>
        <v>63.399999999999991</v>
      </c>
      <c r="K68" s="211">
        <v>1000</v>
      </c>
      <c r="L68" s="125">
        <v>6634</v>
      </c>
      <c r="M68" s="172">
        <f t="shared" si="58"/>
        <v>5634</v>
      </c>
      <c r="N68" s="245">
        <f t="shared" si="47"/>
        <v>563.40000000000009</v>
      </c>
      <c r="O68" s="211">
        <v>1000</v>
      </c>
      <c r="P68" s="125">
        <v>5294.18</v>
      </c>
      <c r="Q68" s="172">
        <f t="shared" si="67"/>
        <v>43932.61</v>
      </c>
      <c r="R68" s="245">
        <f t="shared" si="68"/>
        <v>4393.2610000000004</v>
      </c>
      <c r="S68" s="121">
        <v>1000</v>
      </c>
      <c r="T68" s="125">
        <v>2942.84</v>
      </c>
      <c r="U68" s="171">
        <f t="shared" si="59"/>
        <v>1942.8400000000001</v>
      </c>
      <c r="V68" s="245">
        <f t="shared" si="49"/>
        <v>194.28400000000005</v>
      </c>
      <c r="W68" s="121">
        <v>1000</v>
      </c>
      <c r="X68" s="125">
        <v>2854.06</v>
      </c>
      <c r="Y68" s="970">
        <f t="shared" si="60"/>
        <v>1854.06</v>
      </c>
      <c r="Z68" s="245">
        <f t="shared" si="50"/>
        <v>185.40600000000001</v>
      </c>
      <c r="AA68" s="121">
        <v>1000</v>
      </c>
      <c r="AB68" s="137">
        <v>4665.62</v>
      </c>
      <c r="AC68" s="171">
        <f t="shared" si="61"/>
        <v>3665.62</v>
      </c>
      <c r="AD68" s="245">
        <f t="shared" si="51"/>
        <v>366.56199999999995</v>
      </c>
      <c r="AE68" s="121">
        <v>1000</v>
      </c>
      <c r="AF68" s="129">
        <v>1220.06</v>
      </c>
      <c r="AG68" s="171">
        <f t="shared" si="62"/>
        <v>220.05999999999995</v>
      </c>
      <c r="AH68" s="245">
        <f t="shared" si="52"/>
        <v>22.005999999999993</v>
      </c>
      <c r="AI68" s="121">
        <v>1000</v>
      </c>
      <c r="AJ68" s="153">
        <v>3772.15</v>
      </c>
      <c r="AK68" s="172">
        <f t="shared" si="63"/>
        <v>2772.15</v>
      </c>
      <c r="AL68" s="245">
        <f t="shared" si="53"/>
        <v>277.21499999999997</v>
      </c>
      <c r="AM68" s="121">
        <v>1000</v>
      </c>
      <c r="AN68" s="153">
        <v>4488.0600000000004</v>
      </c>
      <c r="AO68" s="171">
        <f t="shared" si="64"/>
        <v>3488.0600000000004</v>
      </c>
      <c r="AP68" s="245">
        <f t="shared" si="54"/>
        <v>348.8060000000001</v>
      </c>
      <c r="AQ68" s="121">
        <v>1000</v>
      </c>
      <c r="AR68" s="171"/>
      <c r="AS68" s="171">
        <f t="shared" si="65"/>
        <v>-1000</v>
      </c>
      <c r="AT68" s="245">
        <f t="shared" si="55"/>
        <v>-100</v>
      </c>
      <c r="AU68" s="121">
        <v>1000</v>
      </c>
      <c r="AV68" s="171"/>
      <c r="AW68" s="171">
        <f t="shared" si="66"/>
        <v>-1000</v>
      </c>
      <c r="AX68" s="246">
        <f t="shared" si="56"/>
        <v>-100</v>
      </c>
      <c r="AY68" s="571">
        <f t="shared" si="45"/>
        <v>12000</v>
      </c>
      <c r="AZ68" s="175">
        <f t="shared" si="69"/>
        <v>37579.089999999997</v>
      </c>
      <c r="BA68" s="398">
        <f t="shared" si="18"/>
        <v>3757.9089999999997</v>
      </c>
    </row>
    <row r="69" spans="1:55" s="119" customFormat="1" ht="18" customHeight="1" x14ac:dyDescent="0.25">
      <c r="A69" s="170">
        <v>11527</v>
      </c>
      <c r="B69" s="152" t="s">
        <v>112</v>
      </c>
      <c r="C69" s="212">
        <v>2400</v>
      </c>
      <c r="D69" s="87">
        <v>2184.9899999999998</v>
      </c>
      <c r="E69" s="893">
        <f>D69-C69</f>
        <v>-215.01000000000022</v>
      </c>
      <c r="F69" s="450">
        <f>((D69/C69)-1)*100</f>
        <v>-8.9587500000000038</v>
      </c>
      <c r="G69" s="212">
        <v>2400</v>
      </c>
      <c r="H69" s="87">
        <v>2069.81</v>
      </c>
      <c r="I69" s="87">
        <f>H69-G69</f>
        <v>-330.19000000000005</v>
      </c>
      <c r="J69" s="452">
        <f>((H69/G69)-1)*100</f>
        <v>-13.75791666666667</v>
      </c>
      <c r="K69" s="440">
        <v>2400</v>
      </c>
      <c r="L69" s="87">
        <v>2143.3200000000002</v>
      </c>
      <c r="M69" s="87">
        <f>L69-K69</f>
        <v>-256.67999999999984</v>
      </c>
      <c r="N69" s="453">
        <f>((L69/K69)-1)*100</f>
        <v>-10.694999999999988</v>
      </c>
      <c r="O69" s="440">
        <v>1500</v>
      </c>
      <c r="P69" s="87">
        <v>2212.9499999999998</v>
      </c>
      <c r="Q69" s="87">
        <f>P69-O69</f>
        <v>712.94999999999982</v>
      </c>
      <c r="R69" s="452">
        <f>((P69/O69)-1)*100</f>
        <v>47.529999999999987</v>
      </c>
      <c r="S69" s="440">
        <v>2400</v>
      </c>
      <c r="T69" s="87">
        <v>2172.04</v>
      </c>
      <c r="U69" s="87">
        <f>T69-S69</f>
        <v>-227.96000000000004</v>
      </c>
      <c r="V69" s="453">
        <f>((T69/S69)-1)*100</f>
        <v>-9.4983333333333313</v>
      </c>
      <c r="W69" s="440">
        <v>2400</v>
      </c>
      <c r="X69" s="137">
        <v>2127.04</v>
      </c>
      <c r="Y69" s="87">
        <f>X69-W69</f>
        <v>-272.96000000000004</v>
      </c>
      <c r="Z69" s="453">
        <f>((X69/W69)-1)*100</f>
        <v>-11.373333333333335</v>
      </c>
      <c r="AA69" s="440">
        <v>1500</v>
      </c>
      <c r="AB69" s="440">
        <v>2310.87</v>
      </c>
      <c r="AC69" s="87">
        <f>AB69-AA69</f>
        <v>810.86999999999989</v>
      </c>
      <c r="AD69" s="452">
        <f>((AB69/AA69)-1)*100</f>
        <v>54.057999999999986</v>
      </c>
      <c r="AE69" s="440">
        <v>1500</v>
      </c>
      <c r="AF69" s="440">
        <v>1710.09</v>
      </c>
      <c r="AG69" s="96">
        <f>AF69-AE69</f>
        <v>210.08999999999992</v>
      </c>
      <c r="AH69" s="453">
        <f>((AF69/AE69)-1)*100</f>
        <v>14.005999999999986</v>
      </c>
      <c r="AI69" s="440">
        <v>1500</v>
      </c>
      <c r="AJ69" s="46">
        <v>2653.66</v>
      </c>
      <c r="AK69" s="96">
        <f>AJ69-AI69</f>
        <v>1153.6599999999999</v>
      </c>
      <c r="AL69" s="452">
        <f>((AJ69/AI69)-1)*100</f>
        <v>76.910666666666657</v>
      </c>
      <c r="AM69" s="440">
        <v>1500</v>
      </c>
      <c r="AN69" s="46">
        <v>3503.2</v>
      </c>
      <c r="AO69" s="96">
        <f>AN69-AM69</f>
        <v>2003.1999999999998</v>
      </c>
      <c r="AP69" s="448">
        <f>((AN69/AM69)-1)*100</f>
        <v>133.54666666666665</v>
      </c>
      <c r="AQ69" s="440">
        <v>1500</v>
      </c>
      <c r="AR69" s="440"/>
      <c r="AS69" s="96">
        <f>AR69-AQ69</f>
        <v>-1500</v>
      </c>
      <c r="AT69" s="449">
        <f>((AR69/AQ69)-1)*100</f>
        <v>-100</v>
      </c>
      <c r="AU69" s="440">
        <v>1500</v>
      </c>
      <c r="AV69" s="46"/>
      <c r="AW69" s="87">
        <f>AV69-AU69</f>
        <v>-1500</v>
      </c>
      <c r="AX69" s="448">
        <f>((AV69/AU69)-1)*100</f>
        <v>-100</v>
      </c>
      <c r="AY69" s="571">
        <f t="shared" si="45"/>
        <v>22500</v>
      </c>
      <c r="AZ69" s="188">
        <f t="shared" si="69"/>
        <v>23087.97</v>
      </c>
      <c r="BA69" s="398">
        <f t="shared" si="18"/>
        <v>2308.797</v>
      </c>
      <c r="BB69" s="805"/>
      <c r="BC69" s="804"/>
    </row>
    <row r="70" spans="1:55" s="119" customFormat="1" ht="18" customHeight="1" thickBot="1" x14ac:dyDescent="0.3">
      <c r="A70" s="506">
        <v>11428</v>
      </c>
      <c r="B70" s="384" t="s">
        <v>3651</v>
      </c>
      <c r="C70" s="898">
        <v>0</v>
      </c>
      <c r="D70" s="48">
        <v>0</v>
      </c>
      <c r="E70" s="501">
        <f>D70-C70</f>
        <v>0</v>
      </c>
      <c r="F70" s="502"/>
      <c r="G70" s="247">
        <v>0</v>
      </c>
      <c r="H70" s="182">
        <v>0</v>
      </c>
      <c r="I70" s="230">
        <f>H70-G70</f>
        <v>0</v>
      </c>
      <c r="J70" s="503"/>
      <c r="K70" s="247">
        <v>0</v>
      </c>
      <c r="L70" s="182">
        <v>0</v>
      </c>
      <c r="M70" s="230">
        <f>L70-K70</f>
        <v>0</v>
      </c>
      <c r="N70" s="503"/>
      <c r="O70" s="247">
        <v>0</v>
      </c>
      <c r="P70" s="1096">
        <v>0</v>
      </c>
      <c r="Q70" s="230">
        <f>P70-O70</f>
        <v>0</v>
      </c>
      <c r="R70" s="503"/>
      <c r="S70" s="181">
        <v>0</v>
      </c>
      <c r="T70" s="182">
        <v>0</v>
      </c>
      <c r="U70" s="504">
        <f>T70-S70</f>
        <v>0</v>
      </c>
      <c r="V70" s="503"/>
      <c r="W70" s="181">
        <v>0</v>
      </c>
      <c r="X70" s="182">
        <v>0</v>
      </c>
      <c r="Y70" s="971">
        <f>X70-W70</f>
        <v>0</v>
      </c>
      <c r="Z70" s="503"/>
      <c r="AA70" s="181">
        <v>0</v>
      </c>
      <c r="AB70" s="182">
        <v>0</v>
      </c>
      <c r="AC70" s="504">
        <f>AB70-AA70</f>
        <v>0</v>
      </c>
      <c r="AD70" s="503"/>
      <c r="AE70" s="862">
        <v>0</v>
      </c>
      <c r="AF70" s="966">
        <v>0</v>
      </c>
      <c r="AG70" s="504">
        <f>AF70-AE70</f>
        <v>0</v>
      </c>
      <c r="AH70" s="503"/>
      <c r="AI70" s="181">
        <v>0</v>
      </c>
      <c r="AJ70" s="183">
        <v>0</v>
      </c>
      <c r="AK70" s="230">
        <f>AJ70-AI70</f>
        <v>0</v>
      </c>
      <c r="AL70" s="503"/>
      <c r="AM70" s="181">
        <v>0</v>
      </c>
      <c r="AN70" s="183">
        <v>0</v>
      </c>
      <c r="AO70" s="504">
        <f>AN70-AM70</f>
        <v>0</v>
      </c>
      <c r="AP70" s="503"/>
      <c r="AQ70" s="181">
        <v>0</v>
      </c>
      <c r="AR70" s="650">
        <v>0</v>
      </c>
      <c r="AS70" s="504">
        <f>AR70-AQ70</f>
        <v>0</v>
      </c>
      <c r="AT70" s="503"/>
      <c r="AU70" s="181">
        <v>0</v>
      </c>
      <c r="AV70" s="650">
        <v>0</v>
      </c>
      <c r="AW70" s="504">
        <f>AV70-AU70</f>
        <v>0</v>
      </c>
      <c r="AX70" s="505"/>
      <c r="AY70" s="505">
        <f t="shared" si="45"/>
        <v>0</v>
      </c>
      <c r="AZ70" s="184">
        <f>SUM(D70+H70+L70+P68+T70+X70+AB70+AF70+AJ70+AN70+AR70+AV70)</f>
        <v>5294.18</v>
      </c>
      <c r="BA70" s="398">
        <f t="shared" si="18"/>
        <v>529.41800000000001</v>
      </c>
    </row>
    <row r="71" spans="1:55" s="11" customFormat="1" ht="18" customHeight="1" thickBot="1" x14ac:dyDescent="0.3">
      <c r="A71" s="161"/>
      <c r="B71" s="185"/>
      <c r="C71" s="333"/>
      <c r="D71" s="413"/>
      <c r="E71" s="231"/>
      <c r="F71" s="232"/>
      <c r="G71" s="146"/>
      <c r="H71" s="146"/>
      <c r="I71" s="231"/>
      <c r="J71" s="146"/>
      <c r="K71" s="146"/>
      <c r="L71" s="146"/>
      <c r="M71" s="231"/>
      <c r="N71" s="146"/>
      <c r="O71" s="146"/>
      <c r="Q71" s="231"/>
      <c r="R71" s="146"/>
      <c r="S71" s="146"/>
      <c r="T71" s="146"/>
      <c r="U71" s="231"/>
      <c r="V71" s="146"/>
      <c r="W71" s="146"/>
      <c r="X71" s="146"/>
      <c r="Y71" s="972"/>
      <c r="Z71" s="146"/>
      <c r="AA71" s="146"/>
      <c r="AB71" s="146"/>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c r="AY71" s="146"/>
      <c r="AZ71" s="146"/>
      <c r="BA71" s="398">
        <f t="shared" si="18"/>
        <v>0</v>
      </c>
    </row>
    <row r="72" spans="1:55" s="11" customFormat="1" ht="18" customHeight="1" thickBot="1" x14ac:dyDescent="0.3">
      <c r="A72" s="1023"/>
      <c r="B72" s="330" t="s">
        <v>168</v>
      </c>
      <c r="C72" s="474">
        <f>SUM(C73:C112)</f>
        <v>5168000</v>
      </c>
      <c r="D72" s="475">
        <f>SUM(D73:D114)</f>
        <v>5968005.2699999996</v>
      </c>
      <c r="E72" s="476">
        <f>D72-C72</f>
        <v>800005.26999999955</v>
      </c>
      <c r="F72" s="477">
        <f>((D72/C72)-1)*100</f>
        <v>15.479978134674921</v>
      </c>
      <c r="G72" s="478">
        <f>SUM(G74:G112)</f>
        <v>5168000</v>
      </c>
      <c r="H72" s="392">
        <f>SUM(H73:H112)</f>
        <v>5710283.96</v>
      </c>
      <c r="I72" s="392">
        <f>H72-G72</f>
        <v>542283.96</v>
      </c>
      <c r="J72" s="393">
        <f>((H72/G72)-1)*100</f>
        <v>10.493110681114558</v>
      </c>
      <c r="K72" s="478">
        <f>SUM(K74:K112)</f>
        <v>5168000</v>
      </c>
      <c r="L72" s="392">
        <f>SUM(L73:L112)</f>
        <v>5760335.4200000009</v>
      </c>
      <c r="M72" s="392">
        <f>L72-K72</f>
        <v>592335.42000000086</v>
      </c>
      <c r="N72" s="393">
        <f>((L72/K72)-1)*100</f>
        <v>11.46159868421055</v>
      </c>
      <c r="O72" s="478">
        <f>SUM(O74:O112)</f>
        <v>5168000</v>
      </c>
      <c r="P72" s="392">
        <f>SUM(P73:P112)</f>
        <v>6014675.7200000007</v>
      </c>
      <c r="Q72" s="392">
        <f>P72-O72</f>
        <v>846675.72000000067</v>
      </c>
      <c r="R72" s="393">
        <f>((P72/O72)-1)*100</f>
        <v>16.38304411764706</v>
      </c>
      <c r="S72" s="478">
        <f>SUM(S74:S112)</f>
        <v>5168000</v>
      </c>
      <c r="T72" s="392">
        <f>SUM(T73:T112)</f>
        <v>6059097.2100000009</v>
      </c>
      <c r="U72" s="392">
        <f>T72-S72</f>
        <v>891097.21000000089</v>
      </c>
      <c r="V72" s="393">
        <f>((T72/S72)-1)*100</f>
        <v>17.24259307275544</v>
      </c>
      <c r="W72" s="478">
        <f>SUM(W74:W112)</f>
        <v>5168000</v>
      </c>
      <c r="X72" s="392">
        <f>SUM(X73:X114)</f>
        <v>6183621.4800000004</v>
      </c>
      <c r="Y72" s="973">
        <f>X72-W72</f>
        <v>1015621.4800000004</v>
      </c>
      <c r="Z72" s="394">
        <f>((X72/W72)-1)*100</f>
        <v>19.652118421052634</v>
      </c>
      <c r="AA72" s="478">
        <f>SUM(AA74:AA112)</f>
        <v>5168000</v>
      </c>
      <c r="AB72" s="392">
        <f>SUM(AB73:AB114)</f>
        <v>6198319.5000000019</v>
      </c>
      <c r="AC72" s="392">
        <f>AB72-AA72</f>
        <v>1030319.5000000019</v>
      </c>
      <c r="AD72" s="393">
        <f>((AB72/AA72)-1)*100</f>
        <v>19.936522832817371</v>
      </c>
      <c r="AE72" s="478">
        <f>SUM(AE74:AE112)</f>
        <v>5168000</v>
      </c>
      <c r="AF72" s="392">
        <f>SUM(AF73:AF115)</f>
        <v>6724085.629999999</v>
      </c>
      <c r="AG72" s="392">
        <f>AF72-AE72</f>
        <v>1556085.629999999</v>
      </c>
      <c r="AH72" s="393">
        <f>((AF72/AE72)-1)*100</f>
        <v>30.110016060371493</v>
      </c>
      <c r="AI72" s="487">
        <f>SUM(AI74:AI112)</f>
        <v>5168000</v>
      </c>
      <c r="AJ72" s="396">
        <f>SUM(AJ73:AJ115)</f>
        <v>6015617.2700000014</v>
      </c>
      <c r="AK72" s="392">
        <f>AJ72-AI72</f>
        <v>847617.27000000142</v>
      </c>
      <c r="AL72" s="393">
        <f>((AJ72/AI72)-1)*100</f>
        <v>16.401262964396302</v>
      </c>
      <c r="AM72" s="487">
        <f>SUM(AM74:AM112)</f>
        <v>5168000</v>
      </c>
      <c r="AN72" s="396">
        <f>SUM(AN73:AN115)</f>
        <v>6760422.0600000015</v>
      </c>
      <c r="AO72" s="392">
        <f>AN72-AM72</f>
        <v>1592422.0600000015</v>
      </c>
      <c r="AP72" s="393">
        <f>((AN72/AM72)-1)*100</f>
        <v>30.813120356037182</v>
      </c>
      <c r="AQ72" s="487">
        <f>SUM(AQ74:AQ112)</f>
        <v>5168000</v>
      </c>
      <c r="AR72" s="396">
        <f>SUM(AR73:AR112)</f>
        <v>0</v>
      </c>
      <c r="AS72" s="392">
        <f>AR72-AQ72</f>
        <v>-5168000</v>
      </c>
      <c r="AT72" s="393">
        <f>((AR72/AQ72)-1)*100</f>
        <v>-100</v>
      </c>
      <c r="AU72" s="487">
        <f>SUM(AU73:AU112)</f>
        <v>5168000</v>
      </c>
      <c r="AV72" s="396">
        <f>SUM(AV73:AV112)</f>
        <v>0</v>
      </c>
      <c r="AW72" s="392">
        <f>AV72-AU72</f>
        <v>-5168000</v>
      </c>
      <c r="AX72" s="393">
        <f>((AV72/AU72)-1)*100</f>
        <v>-100</v>
      </c>
      <c r="AY72" s="397">
        <f>C72+G72+K72+O72+S72+W72+AA72+AE72+AI72+AM72+AQ72+AU72</f>
        <v>62016000</v>
      </c>
      <c r="AZ72" s="397">
        <f>SUM(D72+H72+L72+P72+T72+X72+AB72+AF72+AJ72+AN72+AR72+AV72)</f>
        <v>61394463.520000003</v>
      </c>
      <c r="BA72" s="398">
        <f t="shared" ref="BA72:BA135" si="70">AZ72/10</f>
        <v>6139446.352</v>
      </c>
    </row>
    <row r="73" spans="1:55" s="11" customFormat="1" ht="18" customHeight="1" x14ac:dyDescent="0.25">
      <c r="A73" s="1024">
        <v>54493</v>
      </c>
      <c r="B73" s="1022" t="s">
        <v>3676</v>
      </c>
      <c r="C73" s="899">
        <v>0</v>
      </c>
      <c r="D73" s="495">
        <v>21101.24</v>
      </c>
      <c r="E73" s="459">
        <f>D73-C73</f>
        <v>21101.24</v>
      </c>
      <c r="F73" s="469"/>
      <c r="G73" s="899">
        <v>0</v>
      </c>
      <c r="H73" s="495">
        <v>50867.72</v>
      </c>
      <c r="I73" s="459">
        <f>H73-G73</f>
        <v>50867.72</v>
      </c>
      <c r="J73" s="469"/>
      <c r="K73" s="899">
        <v>0</v>
      </c>
      <c r="L73" s="829">
        <v>27732.07</v>
      </c>
      <c r="M73" s="467">
        <f>L73-K73</f>
        <v>27732.07</v>
      </c>
      <c r="N73" s="469"/>
      <c r="O73" s="899">
        <v>0</v>
      </c>
      <c r="P73" s="812">
        <v>36297.82</v>
      </c>
      <c r="Q73" s="459">
        <f>P73-O73</f>
        <v>36297.82</v>
      </c>
      <c r="R73" s="497"/>
      <c r="S73" s="899">
        <v>0</v>
      </c>
      <c r="T73" s="496">
        <v>36655.57</v>
      </c>
      <c r="U73" s="459">
        <f>T73-S73</f>
        <v>36655.57</v>
      </c>
      <c r="V73" s="470"/>
      <c r="W73" s="899">
        <v>0</v>
      </c>
      <c r="X73" s="496">
        <v>29477.71</v>
      </c>
      <c r="Y73" s="974">
        <f>X73-W73</f>
        <v>29477.71</v>
      </c>
      <c r="Z73" s="485"/>
      <c r="AA73" s="899">
        <v>0</v>
      </c>
      <c r="AB73" s="468">
        <v>6720.24</v>
      </c>
      <c r="AC73" s="459">
        <f>AB73-AA73</f>
        <v>6720.24</v>
      </c>
      <c r="AD73" s="499"/>
      <c r="AE73" s="899">
        <v>0</v>
      </c>
      <c r="AF73" s="468">
        <v>13557.85</v>
      </c>
      <c r="AG73" s="467">
        <f>AF73-AE73</f>
        <v>13557.85</v>
      </c>
      <c r="AH73" s="470"/>
      <c r="AI73" s="899">
        <v>0</v>
      </c>
      <c r="AJ73" s="463">
        <v>17749.560000000001</v>
      </c>
      <c r="AK73" s="467">
        <f>AJ73-AI73</f>
        <v>17749.560000000001</v>
      </c>
      <c r="AL73" s="470"/>
      <c r="AM73" s="899">
        <v>0</v>
      </c>
      <c r="AN73" s="496">
        <v>3849.78</v>
      </c>
      <c r="AO73" s="467">
        <f>AN73-AM73</f>
        <v>3849.78</v>
      </c>
      <c r="AP73" s="470"/>
      <c r="AQ73" s="899">
        <v>0</v>
      </c>
      <c r="AR73" s="468"/>
      <c r="AS73" s="467">
        <f>AR73-AQ73</f>
        <v>0</v>
      </c>
      <c r="AT73" s="470"/>
      <c r="AU73" s="899">
        <v>0</v>
      </c>
      <c r="AV73" s="468"/>
      <c r="AW73" s="459">
        <f>AV73-AU73</f>
        <v>0</v>
      </c>
      <c r="AX73" s="470"/>
      <c r="AY73" s="1097">
        <f>C73+G73+K73+O73+S73+W73+AA73+AE73+AI73+AM73+AQ73+AU73</f>
        <v>0</v>
      </c>
      <c r="AZ73" s="571">
        <f>SUM(D73+H73+L73+P73+T73+X73+AB73+AF73+AJ73+AN73+AR73+AV73)</f>
        <v>244009.56</v>
      </c>
      <c r="BA73" s="398">
        <f t="shared" si="70"/>
        <v>24400.955999999998</v>
      </c>
    </row>
    <row r="74" spans="1:55" s="12" customFormat="1" ht="18" customHeight="1" x14ac:dyDescent="0.25">
      <c r="A74" s="390" t="s">
        <v>3655</v>
      </c>
      <c r="B74" s="907" t="s">
        <v>3673</v>
      </c>
      <c r="C74" s="899">
        <v>1500000</v>
      </c>
      <c r="D74" s="465">
        <f>1462131.48+607318.35</f>
        <v>2069449.83</v>
      </c>
      <c r="E74" s="459">
        <f t="shared" ref="E74:E115" si="71">D74-C74</f>
        <v>569449.83000000007</v>
      </c>
      <c r="F74" s="469">
        <f>((D74/C74)-1)*100</f>
        <v>37.963322000000012</v>
      </c>
      <c r="G74" s="479">
        <v>1500000</v>
      </c>
      <c r="H74" s="459">
        <f>1393186.84+456045.12</f>
        <v>1849231.96</v>
      </c>
      <c r="I74" s="459">
        <f>H74-G74</f>
        <v>349231.95999999996</v>
      </c>
      <c r="J74" s="469">
        <f>((H74/G74)-1)*100</f>
        <v>23.282130666666667</v>
      </c>
      <c r="K74" s="479">
        <v>1500000</v>
      </c>
      <c r="L74" s="830">
        <v>1825877.31</v>
      </c>
      <c r="M74" s="467">
        <f>L74-K74</f>
        <v>325877.31000000006</v>
      </c>
      <c r="N74" s="469">
        <f>((L74/K74)-1)*100</f>
        <v>21.725154000000014</v>
      </c>
      <c r="O74" s="479">
        <v>1500000</v>
      </c>
      <c r="P74" s="813">
        <v>2157011.5</v>
      </c>
      <c r="Q74" s="459">
        <f>P74-O74</f>
        <v>657011.5</v>
      </c>
      <c r="R74" s="469">
        <f>((P74/O74)-1)*100</f>
        <v>43.800766666666661</v>
      </c>
      <c r="S74" s="479">
        <v>1500000</v>
      </c>
      <c r="T74" s="459">
        <v>2078596.32</v>
      </c>
      <c r="U74" s="459">
        <f>T74-S74</f>
        <v>578596.32000000007</v>
      </c>
      <c r="V74" s="470">
        <f>((T74/S74)-1)*100</f>
        <v>38.573088000000013</v>
      </c>
      <c r="W74" s="479">
        <v>1500000</v>
      </c>
      <c r="X74" s="459">
        <v>2318394.2999999998</v>
      </c>
      <c r="Y74" s="974">
        <f>X74-W74</f>
        <v>818394.29999999981</v>
      </c>
      <c r="Z74" s="485">
        <f>((X74/W74)-1)*100</f>
        <v>54.559619999999988</v>
      </c>
      <c r="AA74" s="479">
        <v>1500000</v>
      </c>
      <c r="AB74" s="468">
        <v>2251516.6800000002</v>
      </c>
      <c r="AC74" s="459">
        <f>AB74-AA74</f>
        <v>751516.68000000017</v>
      </c>
      <c r="AD74" s="470">
        <f>((AB74/AA74)-1)*100</f>
        <v>50.101112000000001</v>
      </c>
      <c r="AE74" s="479">
        <v>1500000</v>
      </c>
      <c r="AF74" s="468">
        <v>2380302.31</v>
      </c>
      <c r="AG74" s="467">
        <f>AF74-AE74</f>
        <v>880302.31</v>
      </c>
      <c r="AH74" s="470">
        <f>((AF74/AE74)-1)*100</f>
        <v>58.686820666666662</v>
      </c>
      <c r="AI74" s="479">
        <v>1500000</v>
      </c>
      <c r="AJ74" s="869">
        <v>1947541.84</v>
      </c>
      <c r="AK74" s="467">
        <f>AJ74-AI74</f>
        <v>447541.84000000008</v>
      </c>
      <c r="AL74" s="470">
        <f>((AJ74/AI74)-1)*100</f>
        <v>29.836122666666665</v>
      </c>
      <c r="AM74" s="479">
        <v>1500000</v>
      </c>
      <c r="AN74" s="463">
        <v>2379444.4900000002</v>
      </c>
      <c r="AO74" s="467">
        <f>AN74-AM74</f>
        <v>879444.49000000022</v>
      </c>
      <c r="AP74" s="470">
        <f>((AN74/AM74)-1)*100</f>
        <v>58.629632666666673</v>
      </c>
      <c r="AQ74" s="479">
        <v>1500000</v>
      </c>
      <c r="AR74" s="468"/>
      <c r="AS74" s="459">
        <f>AR74-AQ74</f>
        <v>-1500000</v>
      </c>
      <c r="AT74" s="470">
        <f>((AR74/AQ74)-1)*100</f>
        <v>-100</v>
      </c>
      <c r="AU74" s="479">
        <v>1500000</v>
      </c>
      <c r="AV74" s="468"/>
      <c r="AW74" s="459">
        <f>AV74-AU74</f>
        <v>-1500000</v>
      </c>
      <c r="AX74" s="470">
        <f>((AV74/AU74)-1)*100</f>
        <v>-100</v>
      </c>
      <c r="AY74" s="1097">
        <f t="shared" ref="AY74:AY115" si="72">C74+G74+K74+O74+S74+W74+AA74+AE74+AI74+AM74+AQ74+AU74</f>
        <v>18000000</v>
      </c>
      <c r="AZ74" s="174">
        <f t="shared" ref="AZ74:AZ115" si="73">SUM(D74+H74+L74+P74+T74+X74+AB74+AF74+AJ74+AN74+AR74+AV74)</f>
        <v>21257366.539999999</v>
      </c>
      <c r="BA74" s="398">
        <f t="shared" si="70"/>
        <v>2125736.6540000001</v>
      </c>
    </row>
    <row r="75" spans="1:55" s="119" customFormat="1" ht="18" customHeight="1" x14ac:dyDescent="0.25">
      <c r="A75" s="390">
        <v>12202</v>
      </c>
      <c r="B75" s="907" t="s">
        <v>49</v>
      </c>
      <c r="C75" s="899">
        <v>90000</v>
      </c>
      <c r="D75" s="465">
        <v>98035.16</v>
      </c>
      <c r="E75" s="459">
        <f t="shared" si="71"/>
        <v>8035.1600000000035</v>
      </c>
      <c r="F75" s="469">
        <f t="shared" ref="F75:F104" si="74">((D75/C75)-1)*100</f>
        <v>8.9279555555555667</v>
      </c>
      <c r="G75" s="479">
        <v>90000</v>
      </c>
      <c r="H75" s="459">
        <v>86599.5</v>
      </c>
      <c r="I75" s="459">
        <f>H75-G75</f>
        <v>-3400.5</v>
      </c>
      <c r="J75" s="469">
        <f t="shared" ref="J75:J104" si="75">((H75/G75)-1)*100</f>
        <v>-3.778333333333328</v>
      </c>
      <c r="K75" s="479">
        <v>90000</v>
      </c>
      <c r="L75" s="830">
        <v>99119.2</v>
      </c>
      <c r="M75" s="467">
        <f>L75-K75</f>
        <v>9119.1999999999971</v>
      </c>
      <c r="N75" s="469">
        <f t="shared" ref="N75:N104" si="76">((L75/K75)-1)*100</f>
        <v>10.132444444444433</v>
      </c>
      <c r="O75" s="479">
        <v>90000</v>
      </c>
      <c r="P75" s="813">
        <v>96119.2</v>
      </c>
      <c r="Q75" s="459">
        <f>P75-O75</f>
        <v>6119.1999999999971</v>
      </c>
      <c r="R75" s="469">
        <f t="shared" ref="R75:R104" si="77">((P75/O75)-1)*100</f>
        <v>6.7991111111111113</v>
      </c>
      <c r="S75" s="479">
        <v>90000</v>
      </c>
      <c r="T75" s="459">
        <v>100635.16</v>
      </c>
      <c r="U75" s="459">
        <f>T75-S75</f>
        <v>10635.160000000003</v>
      </c>
      <c r="V75" s="470">
        <f t="shared" ref="V75:V111" si="78">((T75/S75)-1)*100</f>
        <v>11.816844444444442</v>
      </c>
      <c r="W75" s="479">
        <v>90000</v>
      </c>
      <c r="X75" s="459">
        <v>96600</v>
      </c>
      <c r="Y75" s="974">
        <f>X75-W75</f>
        <v>6600</v>
      </c>
      <c r="Z75" s="485">
        <f t="shared" ref="Z75:Z111" si="79">((X75/W75)-1)*100</f>
        <v>7.333333333333325</v>
      </c>
      <c r="AA75" s="479">
        <v>90000</v>
      </c>
      <c r="AB75" s="468">
        <v>99035.16</v>
      </c>
      <c r="AC75" s="459">
        <f t="shared" ref="AC75:AC107" si="80">AB75-AA75</f>
        <v>9035.1600000000035</v>
      </c>
      <c r="AD75" s="470">
        <f t="shared" ref="AD75:AD107" si="81">((AB75/AA75)-1)*100</f>
        <v>10.039066666666674</v>
      </c>
      <c r="AE75" s="479">
        <v>90000</v>
      </c>
      <c r="AF75" s="468">
        <v>99035.16</v>
      </c>
      <c r="AG75" s="467">
        <f t="shared" ref="AG75:AG107" si="82">AF75-AE75</f>
        <v>9035.1600000000035</v>
      </c>
      <c r="AH75" s="470">
        <f t="shared" ref="AH75:AH107" si="83">((AF75/AE75)-1)*100</f>
        <v>10.039066666666674</v>
      </c>
      <c r="AI75" s="479">
        <v>90000</v>
      </c>
      <c r="AJ75" s="463">
        <v>113215.16</v>
      </c>
      <c r="AK75" s="467">
        <f t="shared" ref="AK75:AK107" si="84">AJ75-AI75</f>
        <v>23215.160000000003</v>
      </c>
      <c r="AL75" s="470">
        <f t="shared" ref="AL75:AL107" si="85">((AJ75/AI75)-1)*100</f>
        <v>25.79462222222222</v>
      </c>
      <c r="AM75" s="479">
        <v>90000</v>
      </c>
      <c r="AN75" s="463">
        <v>113695.16</v>
      </c>
      <c r="AO75" s="467">
        <f t="shared" ref="AO75:AO107" si="86">AN75-AM75</f>
        <v>23695.160000000003</v>
      </c>
      <c r="AP75" s="470">
        <f t="shared" ref="AP75:AP107" si="87">((AN75/AM75)-1)*100</f>
        <v>26.327955555555562</v>
      </c>
      <c r="AQ75" s="479">
        <v>90000</v>
      </c>
      <c r="AR75" s="468"/>
      <c r="AS75" s="467">
        <f t="shared" ref="AS75:AS105" si="88">AR75-AQ75</f>
        <v>-90000</v>
      </c>
      <c r="AT75" s="470">
        <f t="shared" ref="AT75:AT104" si="89">((AR75/AQ75)-1)*100</f>
        <v>-100</v>
      </c>
      <c r="AU75" s="479">
        <v>90000</v>
      </c>
      <c r="AV75" s="463"/>
      <c r="AW75" s="459">
        <f t="shared" ref="AW75:AW107" si="90">AV75-AU75</f>
        <v>-90000</v>
      </c>
      <c r="AX75" s="470">
        <f t="shared" ref="AX75:AX107" si="91">((AV75/AU75)-1)*100</f>
        <v>-100</v>
      </c>
      <c r="AY75" s="1097">
        <f t="shared" si="72"/>
        <v>1080000</v>
      </c>
      <c r="AZ75" s="174">
        <f t="shared" si="73"/>
        <v>1002088.8600000001</v>
      </c>
      <c r="BA75" s="398">
        <f t="shared" si="70"/>
        <v>100208.88600000001</v>
      </c>
      <c r="BB75" s="805"/>
      <c r="BC75" s="825"/>
    </row>
    <row r="76" spans="1:55" s="119" customFormat="1" ht="18" customHeight="1" x14ac:dyDescent="0.25">
      <c r="A76" s="170">
        <v>12461</v>
      </c>
      <c r="B76" s="332" t="s">
        <v>165</v>
      </c>
      <c r="C76" s="899">
        <v>3000</v>
      </c>
      <c r="D76" s="465">
        <v>3134.42</v>
      </c>
      <c r="E76" s="459">
        <f t="shared" si="71"/>
        <v>134.42000000000007</v>
      </c>
      <c r="F76" s="469">
        <f t="shared" si="74"/>
        <v>4.4806666666666661</v>
      </c>
      <c r="G76" s="479">
        <v>3000</v>
      </c>
      <c r="H76" s="459">
        <v>3134.42</v>
      </c>
      <c r="I76" s="459">
        <f t="shared" ref="I76:I115" si="92">H76-G76</f>
        <v>134.42000000000007</v>
      </c>
      <c r="J76" s="469">
        <f t="shared" si="75"/>
        <v>4.4806666666666661</v>
      </c>
      <c r="K76" s="479">
        <v>3000</v>
      </c>
      <c r="L76" s="830">
        <v>3134.42</v>
      </c>
      <c r="M76" s="467">
        <f t="shared" ref="M76:M105" si="93">L76-K76</f>
        <v>134.42000000000007</v>
      </c>
      <c r="N76" s="469">
        <f t="shared" si="76"/>
        <v>4.4806666666666661</v>
      </c>
      <c r="O76" s="479">
        <v>3000</v>
      </c>
      <c r="P76" s="813">
        <v>3134.42</v>
      </c>
      <c r="Q76" s="459">
        <f t="shared" ref="Q76:Q105" si="94">P76-O76</f>
        <v>134.42000000000007</v>
      </c>
      <c r="R76" s="469">
        <f t="shared" si="77"/>
        <v>4.4806666666666661</v>
      </c>
      <c r="S76" s="479">
        <v>3000</v>
      </c>
      <c r="T76" s="459">
        <v>7232.75</v>
      </c>
      <c r="U76" s="459">
        <f t="shared" ref="U76:U115" si="95">T76-S76</f>
        <v>4232.75</v>
      </c>
      <c r="V76" s="470">
        <f t="shared" si="78"/>
        <v>141.09166666666667</v>
      </c>
      <c r="W76" s="479">
        <v>3000</v>
      </c>
      <c r="X76" s="459">
        <v>7232.75</v>
      </c>
      <c r="Y76" s="974">
        <f t="shared" ref="Y76:Y115" si="96">X76-W76</f>
        <v>4232.75</v>
      </c>
      <c r="Z76" s="485">
        <f t="shared" si="79"/>
        <v>141.09166666666667</v>
      </c>
      <c r="AA76" s="479">
        <v>3000</v>
      </c>
      <c r="AB76" s="468">
        <v>7232.75</v>
      </c>
      <c r="AC76" s="459">
        <f t="shared" si="80"/>
        <v>4232.75</v>
      </c>
      <c r="AD76" s="470">
        <f t="shared" si="81"/>
        <v>141.09166666666667</v>
      </c>
      <c r="AE76" s="479">
        <v>3000</v>
      </c>
      <c r="AF76" s="468">
        <v>3134.42</v>
      </c>
      <c r="AG76" s="467">
        <f t="shared" si="82"/>
        <v>134.42000000000007</v>
      </c>
      <c r="AH76" s="470">
        <f t="shared" si="83"/>
        <v>4.4806666666666661</v>
      </c>
      <c r="AI76" s="479">
        <v>3000</v>
      </c>
      <c r="AJ76" s="463">
        <v>3134.42</v>
      </c>
      <c r="AK76" s="467">
        <f t="shared" si="84"/>
        <v>134.42000000000007</v>
      </c>
      <c r="AL76" s="470">
        <f t="shared" si="85"/>
        <v>4.4806666666666661</v>
      </c>
      <c r="AM76" s="479">
        <v>3000</v>
      </c>
      <c r="AN76" s="463">
        <v>3134.42</v>
      </c>
      <c r="AO76" s="467">
        <f t="shared" si="86"/>
        <v>134.42000000000007</v>
      </c>
      <c r="AP76" s="470">
        <f t="shared" si="87"/>
        <v>4.4806666666666661</v>
      </c>
      <c r="AQ76" s="479">
        <v>3000</v>
      </c>
      <c r="AR76" s="468"/>
      <c r="AS76" s="467">
        <f t="shared" si="88"/>
        <v>-3000</v>
      </c>
      <c r="AT76" s="470">
        <f t="shared" si="89"/>
        <v>-100</v>
      </c>
      <c r="AU76" s="479">
        <v>3000</v>
      </c>
      <c r="AV76" s="463"/>
      <c r="AW76" s="459">
        <f t="shared" si="90"/>
        <v>-3000</v>
      </c>
      <c r="AX76" s="470">
        <f t="shared" si="91"/>
        <v>-100</v>
      </c>
      <c r="AY76" s="1097">
        <f t="shared" si="72"/>
        <v>36000</v>
      </c>
      <c r="AZ76" s="174">
        <f t="shared" si="73"/>
        <v>43639.189999999995</v>
      </c>
      <c r="BA76" s="398">
        <f t="shared" si="70"/>
        <v>4363.9189999999999</v>
      </c>
      <c r="BB76" s="805"/>
      <c r="BC76" s="804"/>
    </row>
    <row r="77" spans="1:55" s="119" customFormat="1" ht="18" customHeight="1" x14ac:dyDescent="0.25">
      <c r="A77" s="170">
        <v>12207</v>
      </c>
      <c r="B77" s="332" t="s">
        <v>179</v>
      </c>
      <c r="C77" s="899">
        <v>25000</v>
      </c>
      <c r="D77" s="465">
        <v>21127.57</v>
      </c>
      <c r="E77" s="459">
        <f t="shared" si="71"/>
        <v>-3872.4300000000003</v>
      </c>
      <c r="F77" s="469">
        <f t="shared" si="74"/>
        <v>-15.489719999999995</v>
      </c>
      <c r="G77" s="479">
        <v>25000</v>
      </c>
      <c r="H77" s="459">
        <v>12861.2</v>
      </c>
      <c r="I77" s="459">
        <f t="shared" si="92"/>
        <v>-12138.8</v>
      </c>
      <c r="J77" s="469">
        <f t="shared" si="75"/>
        <v>-48.555199999999999</v>
      </c>
      <c r="K77" s="479">
        <v>25000</v>
      </c>
      <c r="L77" s="830">
        <v>16363.66</v>
      </c>
      <c r="M77" s="467">
        <f t="shared" si="93"/>
        <v>-8636.34</v>
      </c>
      <c r="N77" s="469">
        <f t="shared" si="76"/>
        <v>-34.545360000000002</v>
      </c>
      <c r="O77" s="479">
        <v>25000</v>
      </c>
      <c r="P77" s="813">
        <v>19820.61</v>
      </c>
      <c r="Q77" s="459">
        <f t="shared" si="94"/>
        <v>-5179.3899999999994</v>
      </c>
      <c r="R77" s="469">
        <f t="shared" si="77"/>
        <v>-20.717560000000002</v>
      </c>
      <c r="S77" s="479">
        <v>25000</v>
      </c>
      <c r="T77" s="459">
        <v>18943.669999999998</v>
      </c>
      <c r="U77" s="459">
        <f t="shared" si="95"/>
        <v>-6056.3300000000017</v>
      </c>
      <c r="V77" s="470">
        <f t="shared" si="78"/>
        <v>-24.225320000000007</v>
      </c>
      <c r="W77" s="479">
        <v>25000</v>
      </c>
      <c r="X77" s="459">
        <v>15831.62</v>
      </c>
      <c r="Y77" s="974">
        <f t="shared" si="96"/>
        <v>-9168.3799999999992</v>
      </c>
      <c r="Z77" s="485">
        <f t="shared" si="79"/>
        <v>-36.673519999999996</v>
      </c>
      <c r="AA77" s="479">
        <v>25000</v>
      </c>
      <c r="AB77" s="468">
        <v>20080.41</v>
      </c>
      <c r="AC77" s="459">
        <f t="shared" si="80"/>
        <v>-4919.59</v>
      </c>
      <c r="AD77" s="470">
        <f t="shared" si="81"/>
        <v>-19.678360000000005</v>
      </c>
      <c r="AE77" s="479">
        <v>25000</v>
      </c>
      <c r="AF77" s="468">
        <v>12675.31</v>
      </c>
      <c r="AG77" s="467">
        <f t="shared" si="82"/>
        <v>-12324.69</v>
      </c>
      <c r="AH77" s="470">
        <f t="shared" si="83"/>
        <v>-49.298759999999994</v>
      </c>
      <c r="AI77" s="479">
        <v>25000</v>
      </c>
      <c r="AJ77" s="463">
        <v>10881.82</v>
      </c>
      <c r="AK77" s="467">
        <f t="shared" si="84"/>
        <v>-14118.18</v>
      </c>
      <c r="AL77" s="470">
        <f t="shared" si="85"/>
        <v>-56.472719999999995</v>
      </c>
      <c r="AM77" s="479">
        <v>25000</v>
      </c>
      <c r="AN77" s="463">
        <v>12097.77</v>
      </c>
      <c r="AO77" s="467">
        <f t="shared" si="86"/>
        <v>-12902.23</v>
      </c>
      <c r="AP77" s="470">
        <f t="shared" si="87"/>
        <v>-51.608919999999991</v>
      </c>
      <c r="AQ77" s="479">
        <v>25000</v>
      </c>
      <c r="AR77" s="468"/>
      <c r="AS77" s="467">
        <f t="shared" si="88"/>
        <v>-25000</v>
      </c>
      <c r="AT77" s="470">
        <f t="shared" si="89"/>
        <v>-100</v>
      </c>
      <c r="AU77" s="479">
        <v>25000</v>
      </c>
      <c r="AV77" s="463"/>
      <c r="AW77" s="459">
        <f t="shared" si="90"/>
        <v>-25000</v>
      </c>
      <c r="AX77" s="470">
        <f t="shared" si="91"/>
        <v>-100</v>
      </c>
      <c r="AY77" s="1097">
        <f t="shared" si="72"/>
        <v>300000</v>
      </c>
      <c r="AZ77" s="571">
        <f t="shared" si="73"/>
        <v>160683.64000000001</v>
      </c>
      <c r="BA77" s="398">
        <f t="shared" si="70"/>
        <v>16068.364000000001</v>
      </c>
      <c r="BB77" s="805"/>
      <c r="BC77" s="804"/>
    </row>
    <row r="78" spans="1:55" s="119" customFormat="1" ht="18" customHeight="1" x14ac:dyDescent="0.25">
      <c r="A78" s="170">
        <v>12899</v>
      </c>
      <c r="B78" s="332" t="s">
        <v>180</v>
      </c>
      <c r="C78" s="899">
        <v>900000</v>
      </c>
      <c r="D78" s="465">
        <v>796604.23</v>
      </c>
      <c r="E78" s="459">
        <f t="shared" si="71"/>
        <v>-103395.77000000002</v>
      </c>
      <c r="F78" s="469">
        <f t="shared" si="74"/>
        <v>-11.488418888888896</v>
      </c>
      <c r="G78" s="479">
        <v>900000</v>
      </c>
      <c r="H78" s="459">
        <v>667050.85</v>
      </c>
      <c r="I78" s="459">
        <f t="shared" si="92"/>
        <v>-232949.15000000002</v>
      </c>
      <c r="J78" s="469">
        <f t="shared" si="75"/>
        <v>-25.883238888888894</v>
      </c>
      <c r="K78" s="479">
        <v>900000</v>
      </c>
      <c r="L78" s="830">
        <v>942929.66</v>
      </c>
      <c r="M78" s="467">
        <f>L78-K78</f>
        <v>42929.660000000033</v>
      </c>
      <c r="N78" s="469">
        <f t="shared" si="76"/>
        <v>4.7699622222222349</v>
      </c>
      <c r="O78" s="479">
        <v>900000</v>
      </c>
      <c r="P78" s="813">
        <v>682303.7</v>
      </c>
      <c r="Q78" s="459">
        <f t="shared" si="94"/>
        <v>-217696.30000000005</v>
      </c>
      <c r="R78" s="469">
        <f t="shared" si="77"/>
        <v>-24.188477777777784</v>
      </c>
      <c r="S78" s="479">
        <v>900000</v>
      </c>
      <c r="T78" s="459">
        <v>684093.69</v>
      </c>
      <c r="U78" s="459">
        <f t="shared" si="95"/>
        <v>-215906.31000000006</v>
      </c>
      <c r="V78" s="470">
        <f t="shared" si="78"/>
        <v>-23.989590000000007</v>
      </c>
      <c r="W78" s="479">
        <v>900000</v>
      </c>
      <c r="X78" s="459">
        <v>810274.66</v>
      </c>
      <c r="Y78" s="974">
        <f t="shared" si="96"/>
        <v>-89725.339999999967</v>
      </c>
      <c r="Z78" s="485">
        <f t="shared" si="79"/>
        <v>-9.969482222222215</v>
      </c>
      <c r="AA78" s="479">
        <v>900000</v>
      </c>
      <c r="AB78" s="468">
        <v>667898.34</v>
      </c>
      <c r="AC78" s="459">
        <f t="shared" si="80"/>
        <v>-232101.66000000003</v>
      </c>
      <c r="AD78" s="470">
        <f t="shared" si="81"/>
        <v>-25.789073333333334</v>
      </c>
      <c r="AE78" s="479">
        <v>900000</v>
      </c>
      <c r="AF78" s="468">
        <v>688436.75</v>
      </c>
      <c r="AG78" s="467">
        <f t="shared" si="82"/>
        <v>-211563.25</v>
      </c>
      <c r="AH78" s="470">
        <f t="shared" si="83"/>
        <v>-23.507027777777779</v>
      </c>
      <c r="AI78" s="479">
        <v>900000</v>
      </c>
      <c r="AJ78" s="463">
        <v>856848.92</v>
      </c>
      <c r="AK78" s="467">
        <f t="shared" si="84"/>
        <v>-43151.079999999958</v>
      </c>
      <c r="AL78" s="470">
        <f t="shared" si="85"/>
        <v>-4.794564444444438</v>
      </c>
      <c r="AM78" s="479">
        <v>900000</v>
      </c>
      <c r="AN78" s="463">
        <v>721416.32</v>
      </c>
      <c r="AO78" s="467">
        <f t="shared" si="86"/>
        <v>-178583.68000000005</v>
      </c>
      <c r="AP78" s="470">
        <f t="shared" si="87"/>
        <v>-19.842631111111121</v>
      </c>
      <c r="AQ78" s="479">
        <v>900000</v>
      </c>
      <c r="AR78" s="468"/>
      <c r="AS78" s="467">
        <f t="shared" si="88"/>
        <v>-900000</v>
      </c>
      <c r="AT78" s="470">
        <f t="shared" si="89"/>
        <v>-100</v>
      </c>
      <c r="AU78" s="479">
        <v>900000</v>
      </c>
      <c r="AV78" s="463"/>
      <c r="AW78" s="459">
        <f t="shared" si="90"/>
        <v>-900000</v>
      </c>
      <c r="AX78" s="470">
        <f t="shared" si="91"/>
        <v>-100</v>
      </c>
      <c r="AY78" s="1097">
        <f t="shared" si="72"/>
        <v>10800000</v>
      </c>
      <c r="AZ78" s="174">
        <f t="shared" si="73"/>
        <v>7517857.1200000001</v>
      </c>
      <c r="BA78" s="398">
        <f t="shared" si="70"/>
        <v>751785.71200000006</v>
      </c>
      <c r="BB78" s="805"/>
      <c r="BC78" s="825"/>
    </row>
    <row r="79" spans="1:55" s="119" customFormat="1" ht="18" customHeight="1" x14ac:dyDescent="0.25">
      <c r="A79" s="170">
        <v>25044</v>
      </c>
      <c r="B79" s="332" t="s">
        <v>181</v>
      </c>
      <c r="C79" s="899">
        <v>70000</v>
      </c>
      <c r="D79" s="465">
        <v>87287.64</v>
      </c>
      <c r="E79" s="459">
        <f t="shared" si="71"/>
        <v>17287.64</v>
      </c>
      <c r="F79" s="469">
        <f t="shared" si="74"/>
        <v>24.69662857142858</v>
      </c>
      <c r="G79" s="479">
        <v>70000</v>
      </c>
      <c r="H79" s="459">
        <v>79322.039999999994</v>
      </c>
      <c r="I79" s="459">
        <f t="shared" si="92"/>
        <v>9322.0399999999936</v>
      </c>
      <c r="J79" s="469">
        <f t="shared" si="75"/>
        <v>13.317199999999985</v>
      </c>
      <c r="K79" s="479">
        <v>70000</v>
      </c>
      <c r="L79" s="830">
        <v>86071.8</v>
      </c>
      <c r="M79" s="467">
        <f t="shared" si="93"/>
        <v>16071.800000000003</v>
      </c>
      <c r="N79" s="469">
        <f t="shared" si="76"/>
        <v>22.959714285714284</v>
      </c>
      <c r="O79" s="479">
        <v>70000</v>
      </c>
      <c r="P79" s="813">
        <v>83980.68</v>
      </c>
      <c r="Q79" s="459">
        <f t="shared" si="94"/>
        <v>13980.679999999993</v>
      </c>
      <c r="R79" s="469">
        <f t="shared" si="77"/>
        <v>19.972399999999979</v>
      </c>
      <c r="S79" s="479">
        <v>70000</v>
      </c>
      <c r="T79" s="459">
        <v>86779.02</v>
      </c>
      <c r="U79" s="459">
        <f t="shared" si="95"/>
        <v>16779.020000000004</v>
      </c>
      <c r="V79" s="470">
        <f t="shared" si="78"/>
        <v>23.970028571428582</v>
      </c>
      <c r="W79" s="479">
        <v>70000</v>
      </c>
      <c r="X79" s="459">
        <v>83085.36</v>
      </c>
      <c r="Y79" s="974">
        <f t="shared" si="96"/>
        <v>13085.36</v>
      </c>
      <c r="Z79" s="485">
        <f t="shared" si="79"/>
        <v>18.693371428571439</v>
      </c>
      <c r="AA79" s="479">
        <v>70000</v>
      </c>
      <c r="AB79" s="468">
        <v>99882.54</v>
      </c>
      <c r="AC79" s="459">
        <f t="shared" si="80"/>
        <v>29882.539999999994</v>
      </c>
      <c r="AD79" s="470">
        <f t="shared" si="81"/>
        <v>42.689342857142854</v>
      </c>
      <c r="AE79" s="479">
        <v>70000</v>
      </c>
      <c r="AF79" s="468">
        <v>94444.03</v>
      </c>
      <c r="AG79" s="467">
        <f t="shared" si="82"/>
        <v>24444.03</v>
      </c>
      <c r="AH79" s="470">
        <f t="shared" si="83"/>
        <v>34.920042857142853</v>
      </c>
      <c r="AI79" s="479">
        <v>70000</v>
      </c>
      <c r="AJ79" s="463">
        <v>78980.679999999993</v>
      </c>
      <c r="AK79" s="467">
        <f t="shared" si="84"/>
        <v>8980.679999999993</v>
      </c>
      <c r="AL79" s="470">
        <f t="shared" si="85"/>
        <v>12.82954285714284</v>
      </c>
      <c r="AM79" s="479">
        <v>70000</v>
      </c>
      <c r="AN79" s="463">
        <v>80950</v>
      </c>
      <c r="AO79" s="467">
        <f t="shared" si="86"/>
        <v>10950</v>
      </c>
      <c r="AP79" s="470">
        <f t="shared" si="87"/>
        <v>15.642857142857135</v>
      </c>
      <c r="AQ79" s="479">
        <v>70000</v>
      </c>
      <c r="AR79" s="468"/>
      <c r="AS79" s="467">
        <f t="shared" si="88"/>
        <v>-70000</v>
      </c>
      <c r="AT79" s="470">
        <f t="shared" si="89"/>
        <v>-100</v>
      </c>
      <c r="AU79" s="479">
        <v>70000</v>
      </c>
      <c r="AV79" s="463"/>
      <c r="AW79" s="459">
        <f t="shared" si="90"/>
        <v>-70000</v>
      </c>
      <c r="AX79" s="470">
        <f t="shared" si="91"/>
        <v>-100</v>
      </c>
      <c r="AY79" s="1097">
        <f t="shared" si="72"/>
        <v>840000</v>
      </c>
      <c r="AZ79" s="174">
        <f t="shared" si="73"/>
        <v>860783.79</v>
      </c>
      <c r="BA79" s="398">
        <f t="shared" si="70"/>
        <v>86078.379000000001</v>
      </c>
      <c r="BB79" s="805"/>
      <c r="BC79" s="804"/>
    </row>
    <row r="80" spans="1:55" s="119" customFormat="1" ht="18" customHeight="1" x14ac:dyDescent="0.25">
      <c r="A80" s="170" t="s">
        <v>126</v>
      </c>
      <c r="B80" s="332" t="s">
        <v>50</v>
      </c>
      <c r="C80" s="899">
        <v>5000</v>
      </c>
      <c r="D80" s="465">
        <f>4357.7+0</f>
        <v>4357.7</v>
      </c>
      <c r="E80" s="459">
        <f t="shared" si="71"/>
        <v>-642.30000000000018</v>
      </c>
      <c r="F80" s="469">
        <f t="shared" si="74"/>
        <v>-12.846000000000002</v>
      </c>
      <c r="G80" s="479">
        <v>5000</v>
      </c>
      <c r="H80" s="459">
        <v>916.52</v>
      </c>
      <c r="I80" s="459">
        <f t="shared" si="92"/>
        <v>-4083.48</v>
      </c>
      <c r="J80" s="469">
        <f t="shared" si="75"/>
        <v>-81.669600000000003</v>
      </c>
      <c r="K80" s="479">
        <v>5000</v>
      </c>
      <c r="L80" s="830">
        <v>1875</v>
      </c>
      <c r="M80" s="467">
        <f t="shared" si="93"/>
        <v>-3125</v>
      </c>
      <c r="N80" s="469">
        <f t="shared" si="76"/>
        <v>-62.5</v>
      </c>
      <c r="O80" s="479">
        <v>5000</v>
      </c>
      <c r="P80" s="813">
        <v>5895.45</v>
      </c>
      <c r="Q80" s="459">
        <f t="shared" si="94"/>
        <v>895.44999999999982</v>
      </c>
      <c r="R80" s="469">
        <f t="shared" si="77"/>
        <v>17.908999999999999</v>
      </c>
      <c r="S80" s="479">
        <v>5000</v>
      </c>
      <c r="T80" s="459">
        <v>2774.6</v>
      </c>
      <c r="U80" s="459">
        <f t="shared" si="95"/>
        <v>-2225.4</v>
      </c>
      <c r="V80" s="470">
        <f t="shared" si="78"/>
        <v>-44.508000000000003</v>
      </c>
      <c r="W80" s="479">
        <v>5000</v>
      </c>
      <c r="X80" s="459">
        <v>4429.3</v>
      </c>
      <c r="Y80" s="974">
        <f t="shared" si="96"/>
        <v>-570.69999999999982</v>
      </c>
      <c r="Z80" s="485">
        <f t="shared" si="79"/>
        <v>-11.413999999999991</v>
      </c>
      <c r="AA80" s="479">
        <v>5000</v>
      </c>
      <c r="AB80" s="468">
        <v>1212.8499999999999</v>
      </c>
      <c r="AC80" s="459">
        <f t="shared" si="80"/>
        <v>-3787.15</v>
      </c>
      <c r="AD80" s="470">
        <f t="shared" si="81"/>
        <v>-75.743000000000009</v>
      </c>
      <c r="AE80" s="479">
        <v>5000</v>
      </c>
      <c r="AF80" s="468">
        <v>0</v>
      </c>
      <c r="AG80" s="467">
        <f t="shared" si="82"/>
        <v>-5000</v>
      </c>
      <c r="AH80" s="470">
        <f t="shared" si="83"/>
        <v>-100</v>
      </c>
      <c r="AI80" s="479">
        <v>5000</v>
      </c>
      <c r="AJ80" s="463">
        <v>4507.67</v>
      </c>
      <c r="AK80" s="467">
        <f t="shared" si="84"/>
        <v>-492.32999999999993</v>
      </c>
      <c r="AL80" s="470">
        <f t="shared" si="85"/>
        <v>-9.8465999999999951</v>
      </c>
      <c r="AM80" s="479">
        <v>5000</v>
      </c>
      <c r="AN80" s="463">
        <v>3116.94</v>
      </c>
      <c r="AO80" s="467">
        <f t="shared" si="86"/>
        <v>-1883.06</v>
      </c>
      <c r="AP80" s="470">
        <f t="shared" si="87"/>
        <v>-37.661199999999994</v>
      </c>
      <c r="AQ80" s="479">
        <v>5000</v>
      </c>
      <c r="AR80" s="468"/>
      <c r="AS80" s="467">
        <f t="shared" si="88"/>
        <v>-5000</v>
      </c>
      <c r="AT80" s="470">
        <f t="shared" si="89"/>
        <v>-100</v>
      </c>
      <c r="AU80" s="479">
        <v>5000</v>
      </c>
      <c r="AV80" s="463"/>
      <c r="AW80" s="459">
        <f t="shared" si="90"/>
        <v>-5000</v>
      </c>
      <c r="AX80" s="470">
        <f t="shared" si="91"/>
        <v>-100</v>
      </c>
      <c r="AY80" s="1097">
        <f t="shared" si="72"/>
        <v>60000</v>
      </c>
      <c r="AZ80" s="174">
        <f t="shared" si="73"/>
        <v>29086.029999999995</v>
      </c>
      <c r="BA80" s="398">
        <f t="shared" si="70"/>
        <v>2908.6029999999996</v>
      </c>
      <c r="BB80" s="805"/>
      <c r="BC80" s="825"/>
    </row>
    <row r="81" spans="1:55" s="119" customFormat="1" ht="18" customHeight="1" x14ac:dyDescent="0.25">
      <c r="A81" s="170">
        <v>12226</v>
      </c>
      <c r="B81" s="332" t="s">
        <v>51</v>
      </c>
      <c r="C81" s="899">
        <v>0</v>
      </c>
      <c r="D81" s="465">
        <v>65557.279999999999</v>
      </c>
      <c r="E81" s="459">
        <f t="shared" si="71"/>
        <v>65557.279999999999</v>
      </c>
      <c r="F81" s="469"/>
      <c r="G81" s="899">
        <v>0</v>
      </c>
      <c r="H81" s="459">
        <v>37803.49</v>
      </c>
      <c r="I81" s="459">
        <f t="shared" si="92"/>
        <v>37803.49</v>
      </c>
      <c r="J81" s="469"/>
      <c r="K81" s="899">
        <v>0</v>
      </c>
      <c r="L81" s="830">
        <v>18211.59</v>
      </c>
      <c r="M81" s="467">
        <f>L81+K81</f>
        <v>18211.59</v>
      </c>
      <c r="N81" s="469"/>
      <c r="O81" s="899">
        <v>0</v>
      </c>
      <c r="P81" s="813">
        <v>27741.9</v>
      </c>
      <c r="Q81" s="459">
        <f t="shared" si="94"/>
        <v>27741.9</v>
      </c>
      <c r="R81" s="469"/>
      <c r="S81" s="899">
        <v>0</v>
      </c>
      <c r="T81" s="459">
        <v>14881.81</v>
      </c>
      <c r="U81" s="459">
        <f t="shared" si="95"/>
        <v>14881.81</v>
      </c>
      <c r="V81" s="470"/>
      <c r="W81" s="899">
        <v>0</v>
      </c>
      <c r="X81" s="459">
        <v>22244.25</v>
      </c>
      <c r="Y81" s="974">
        <f t="shared" si="96"/>
        <v>22244.25</v>
      </c>
      <c r="Z81" s="485"/>
      <c r="AA81" s="899">
        <v>0</v>
      </c>
      <c r="AB81" s="468">
        <v>42628.15</v>
      </c>
      <c r="AC81" s="459">
        <f t="shared" si="80"/>
        <v>42628.15</v>
      </c>
      <c r="AD81" s="470"/>
      <c r="AE81" s="899">
        <v>0</v>
      </c>
      <c r="AF81" s="468">
        <v>17604.91</v>
      </c>
      <c r="AG81" s="467">
        <f t="shared" si="82"/>
        <v>17604.91</v>
      </c>
      <c r="AH81" s="470"/>
      <c r="AI81" s="899">
        <v>0</v>
      </c>
      <c r="AJ81" s="463">
        <v>23365.47</v>
      </c>
      <c r="AK81" s="467">
        <f t="shared" si="84"/>
        <v>23365.47</v>
      </c>
      <c r="AL81" s="470"/>
      <c r="AM81" s="899">
        <v>0</v>
      </c>
      <c r="AN81" s="463">
        <v>64222.35</v>
      </c>
      <c r="AO81" s="467">
        <f t="shared" si="86"/>
        <v>64222.35</v>
      </c>
      <c r="AP81" s="470"/>
      <c r="AQ81" s="899">
        <v>0</v>
      </c>
      <c r="AR81" s="468"/>
      <c r="AS81" s="467">
        <f t="shared" si="88"/>
        <v>0</v>
      </c>
      <c r="AT81" s="470"/>
      <c r="AU81" s="899">
        <v>0</v>
      </c>
      <c r="AV81" s="463"/>
      <c r="AW81" s="459">
        <f t="shared" si="90"/>
        <v>0</v>
      </c>
      <c r="AX81" s="470"/>
      <c r="AY81" s="1097">
        <f t="shared" si="72"/>
        <v>0</v>
      </c>
      <c r="AZ81" s="571">
        <f t="shared" si="73"/>
        <v>334261.19999999995</v>
      </c>
      <c r="BA81" s="398">
        <f t="shared" si="70"/>
        <v>33426.119999999995</v>
      </c>
      <c r="BB81" s="805"/>
      <c r="BC81" s="825"/>
    </row>
    <row r="82" spans="1:55" s="119" customFormat="1" ht="18" customHeight="1" x14ac:dyDescent="0.25">
      <c r="A82" s="170" t="s">
        <v>52</v>
      </c>
      <c r="B82" s="332" t="s">
        <v>182</v>
      </c>
      <c r="C82" s="899">
        <v>5000</v>
      </c>
      <c r="D82" s="465">
        <f>0+0</f>
        <v>0</v>
      </c>
      <c r="E82" s="459">
        <f t="shared" si="71"/>
        <v>-5000</v>
      </c>
      <c r="F82" s="469">
        <f t="shared" si="74"/>
        <v>-100</v>
      </c>
      <c r="G82" s="479">
        <v>5000</v>
      </c>
      <c r="H82" s="459">
        <v>15100</v>
      </c>
      <c r="I82" s="459">
        <f t="shared" si="92"/>
        <v>10100</v>
      </c>
      <c r="J82" s="469">
        <f t="shared" si="75"/>
        <v>202</v>
      </c>
      <c r="K82" s="479">
        <v>5000</v>
      </c>
      <c r="L82" s="830">
        <v>650</v>
      </c>
      <c r="M82" s="467">
        <f t="shared" si="93"/>
        <v>-4350</v>
      </c>
      <c r="N82" s="469">
        <f t="shared" si="76"/>
        <v>-87</v>
      </c>
      <c r="O82" s="479">
        <v>5000</v>
      </c>
      <c r="P82" s="813">
        <v>10000</v>
      </c>
      <c r="Q82" s="459">
        <f t="shared" si="94"/>
        <v>5000</v>
      </c>
      <c r="R82" s="469">
        <f t="shared" si="77"/>
        <v>100</v>
      </c>
      <c r="S82" s="479">
        <v>5000</v>
      </c>
      <c r="T82" s="459">
        <v>910</v>
      </c>
      <c r="U82" s="459">
        <f t="shared" si="95"/>
        <v>-4090</v>
      </c>
      <c r="V82" s="470">
        <f t="shared" si="78"/>
        <v>-81.800000000000011</v>
      </c>
      <c r="W82" s="479">
        <v>5000</v>
      </c>
      <c r="X82" s="459">
        <v>4680</v>
      </c>
      <c r="Y82" s="974">
        <f t="shared" si="96"/>
        <v>-320</v>
      </c>
      <c r="Z82" s="485">
        <f t="shared" si="79"/>
        <v>-6.399999999999995</v>
      </c>
      <c r="AA82" s="479">
        <v>5000</v>
      </c>
      <c r="AB82" s="459">
        <v>6800</v>
      </c>
      <c r="AC82" s="459">
        <f t="shared" si="80"/>
        <v>1800</v>
      </c>
      <c r="AD82" s="470">
        <f t="shared" si="81"/>
        <v>36.000000000000007</v>
      </c>
      <c r="AE82" s="479">
        <v>5000</v>
      </c>
      <c r="AF82" s="468">
        <v>19500</v>
      </c>
      <c r="AG82" s="467">
        <f t="shared" si="82"/>
        <v>14500</v>
      </c>
      <c r="AH82" s="470">
        <f t="shared" si="83"/>
        <v>290</v>
      </c>
      <c r="AI82" s="479">
        <v>5000</v>
      </c>
      <c r="AJ82" s="463">
        <v>29691.14</v>
      </c>
      <c r="AK82" s="467">
        <f t="shared" si="84"/>
        <v>24691.14</v>
      </c>
      <c r="AL82" s="470">
        <f t="shared" si="85"/>
        <v>493.82279999999997</v>
      </c>
      <c r="AM82" s="479">
        <v>5000</v>
      </c>
      <c r="AN82" s="463">
        <v>300</v>
      </c>
      <c r="AO82" s="467">
        <f t="shared" si="86"/>
        <v>-4700</v>
      </c>
      <c r="AP82" s="470">
        <f t="shared" si="87"/>
        <v>-94</v>
      </c>
      <c r="AQ82" s="479">
        <v>5000</v>
      </c>
      <c r="AR82" s="468"/>
      <c r="AS82" s="467">
        <f t="shared" si="88"/>
        <v>-5000</v>
      </c>
      <c r="AT82" s="470">
        <f t="shared" si="89"/>
        <v>-100</v>
      </c>
      <c r="AU82" s="479">
        <v>5000</v>
      </c>
      <c r="AV82" s="463"/>
      <c r="AW82" s="459">
        <f t="shared" si="90"/>
        <v>-5000</v>
      </c>
      <c r="AX82" s="470">
        <f t="shared" si="91"/>
        <v>-100</v>
      </c>
      <c r="AY82" s="1097">
        <f t="shared" si="72"/>
        <v>60000</v>
      </c>
      <c r="AZ82" s="174">
        <f t="shared" si="73"/>
        <v>87631.14</v>
      </c>
      <c r="BA82" s="398">
        <f t="shared" si="70"/>
        <v>8763.1139999999996</v>
      </c>
      <c r="BB82" s="805"/>
      <c r="BC82" s="825"/>
    </row>
    <row r="83" spans="1:55" s="119" customFormat="1" ht="18" customHeight="1" x14ac:dyDescent="0.25">
      <c r="A83" s="170">
        <v>12228</v>
      </c>
      <c r="B83" s="332" t="s">
        <v>183</v>
      </c>
      <c r="C83" s="899">
        <v>0</v>
      </c>
      <c r="D83" s="465">
        <v>0</v>
      </c>
      <c r="E83" s="459">
        <f t="shared" si="71"/>
        <v>0</v>
      </c>
      <c r="F83" s="469"/>
      <c r="G83" s="899">
        <v>0</v>
      </c>
      <c r="H83" s="459">
        <v>0</v>
      </c>
      <c r="I83" s="459">
        <f t="shared" si="92"/>
        <v>0</v>
      </c>
      <c r="J83" s="469"/>
      <c r="K83" s="459">
        <v>0</v>
      </c>
      <c r="L83" s="459">
        <v>0</v>
      </c>
      <c r="M83" s="467">
        <f t="shared" si="93"/>
        <v>0</v>
      </c>
      <c r="N83" s="469"/>
      <c r="O83" s="459">
        <v>0</v>
      </c>
      <c r="P83" s="459">
        <v>0</v>
      </c>
      <c r="Q83" s="459">
        <f t="shared" si="94"/>
        <v>0</v>
      </c>
      <c r="R83" s="469"/>
      <c r="S83" s="459">
        <v>0</v>
      </c>
      <c r="T83" s="459">
        <v>0</v>
      </c>
      <c r="U83" s="459">
        <f t="shared" si="95"/>
        <v>0</v>
      </c>
      <c r="V83" s="470"/>
      <c r="W83" s="459">
        <v>0</v>
      </c>
      <c r="X83" s="459">
        <v>0</v>
      </c>
      <c r="Y83" s="974">
        <f t="shared" si="96"/>
        <v>0</v>
      </c>
      <c r="Z83" s="485"/>
      <c r="AA83" s="459">
        <v>0</v>
      </c>
      <c r="AB83" s="459">
        <v>0</v>
      </c>
      <c r="AC83" s="459">
        <f t="shared" si="80"/>
        <v>0</v>
      </c>
      <c r="AD83" s="470"/>
      <c r="AE83" s="468">
        <v>0</v>
      </c>
      <c r="AF83" s="468">
        <v>0</v>
      </c>
      <c r="AG83" s="467">
        <f t="shared" si="82"/>
        <v>0</v>
      </c>
      <c r="AH83" s="470"/>
      <c r="AI83" s="463">
        <v>0</v>
      </c>
      <c r="AJ83" s="463">
        <v>0</v>
      </c>
      <c r="AK83" s="467">
        <f t="shared" si="84"/>
        <v>0</v>
      </c>
      <c r="AL83" s="470"/>
      <c r="AM83" s="463">
        <v>0</v>
      </c>
      <c r="AN83" s="463">
        <v>0</v>
      </c>
      <c r="AO83" s="467">
        <f t="shared" si="86"/>
        <v>0</v>
      </c>
      <c r="AP83" s="470"/>
      <c r="AQ83" s="479">
        <v>0</v>
      </c>
      <c r="AR83" s="468"/>
      <c r="AS83" s="467">
        <f t="shared" si="88"/>
        <v>0</v>
      </c>
      <c r="AT83" s="470"/>
      <c r="AU83" s="479">
        <v>0</v>
      </c>
      <c r="AV83" s="463"/>
      <c r="AW83" s="459">
        <f t="shared" si="90"/>
        <v>0</v>
      </c>
      <c r="AX83" s="470"/>
      <c r="AY83" s="1097">
        <f t="shared" si="72"/>
        <v>0</v>
      </c>
      <c r="AZ83" s="174">
        <f t="shared" si="73"/>
        <v>0</v>
      </c>
      <c r="BA83" s="398">
        <f t="shared" si="70"/>
        <v>0</v>
      </c>
      <c r="BB83" s="805"/>
      <c r="BC83" s="825"/>
    </row>
    <row r="84" spans="1:55" s="119" customFormat="1" ht="18" customHeight="1" x14ac:dyDescent="0.25">
      <c r="A84" s="170">
        <v>12229</v>
      </c>
      <c r="B84" s="332" t="s">
        <v>54</v>
      </c>
      <c r="C84" s="899">
        <v>340000</v>
      </c>
      <c r="D84" s="465">
        <v>403109.99</v>
      </c>
      <c r="E84" s="459">
        <f t="shared" si="71"/>
        <v>63109.989999999991</v>
      </c>
      <c r="F84" s="469">
        <f t="shared" si="74"/>
        <v>18.561761764705874</v>
      </c>
      <c r="G84" s="479">
        <v>340000</v>
      </c>
      <c r="H84" s="459">
        <v>395939.21</v>
      </c>
      <c r="I84" s="459">
        <f t="shared" si="92"/>
        <v>55939.210000000021</v>
      </c>
      <c r="J84" s="469">
        <f t="shared" si="75"/>
        <v>16.452708823529427</v>
      </c>
      <c r="K84" s="479">
        <v>340000</v>
      </c>
      <c r="L84" s="830">
        <v>418583.66</v>
      </c>
      <c r="M84" s="467">
        <f t="shared" si="93"/>
        <v>78583.659999999974</v>
      </c>
      <c r="N84" s="469">
        <f t="shared" si="76"/>
        <v>23.112841176470589</v>
      </c>
      <c r="O84" s="479">
        <v>340000</v>
      </c>
      <c r="P84" s="813">
        <v>426889.94</v>
      </c>
      <c r="Q84" s="459">
        <f t="shared" si="94"/>
        <v>86889.94</v>
      </c>
      <c r="R84" s="469">
        <f t="shared" si="77"/>
        <v>25.555864705882357</v>
      </c>
      <c r="S84" s="479">
        <v>340000</v>
      </c>
      <c r="T84" s="459">
        <v>443819.21</v>
      </c>
      <c r="U84" s="459">
        <f t="shared" si="95"/>
        <v>103819.21000000002</v>
      </c>
      <c r="V84" s="470">
        <f t="shared" si="78"/>
        <v>30.535061764705883</v>
      </c>
      <c r="W84" s="479">
        <v>340000</v>
      </c>
      <c r="X84" s="459">
        <v>425949.88</v>
      </c>
      <c r="Y84" s="974">
        <f t="shared" si="96"/>
        <v>85949.88</v>
      </c>
      <c r="Z84" s="485">
        <f t="shared" si="79"/>
        <v>25.279376470588243</v>
      </c>
      <c r="AA84" s="479">
        <v>340000</v>
      </c>
      <c r="AB84" s="459">
        <v>427660.64</v>
      </c>
      <c r="AC84" s="459">
        <f t="shared" si="80"/>
        <v>87660.640000000014</v>
      </c>
      <c r="AD84" s="470">
        <f t="shared" si="81"/>
        <v>25.782541176470588</v>
      </c>
      <c r="AE84" s="479">
        <v>340000</v>
      </c>
      <c r="AF84" s="468">
        <v>427224.66</v>
      </c>
      <c r="AG84" s="467">
        <f t="shared" si="82"/>
        <v>87224.659999999974</v>
      </c>
      <c r="AH84" s="470">
        <f t="shared" si="83"/>
        <v>25.654311764705874</v>
      </c>
      <c r="AI84" s="479">
        <v>340000</v>
      </c>
      <c r="AJ84" s="463">
        <v>436611.49</v>
      </c>
      <c r="AK84" s="467">
        <f t="shared" si="84"/>
        <v>96611.489999999991</v>
      </c>
      <c r="AL84" s="470">
        <f t="shared" si="85"/>
        <v>28.415144117647053</v>
      </c>
      <c r="AM84" s="479">
        <v>340000</v>
      </c>
      <c r="AN84" s="463">
        <v>426428.66</v>
      </c>
      <c r="AO84" s="467">
        <f t="shared" si="86"/>
        <v>86428.659999999974</v>
      </c>
      <c r="AP84" s="470">
        <f t="shared" si="87"/>
        <v>25.420194117647043</v>
      </c>
      <c r="AQ84" s="479">
        <v>340000</v>
      </c>
      <c r="AR84" s="468"/>
      <c r="AS84" s="467">
        <f t="shared" si="88"/>
        <v>-340000</v>
      </c>
      <c r="AT84" s="470">
        <f t="shared" si="89"/>
        <v>-100</v>
      </c>
      <c r="AU84" s="479">
        <v>340000</v>
      </c>
      <c r="AV84" s="463"/>
      <c r="AW84" s="459">
        <f t="shared" si="90"/>
        <v>-340000</v>
      </c>
      <c r="AX84" s="470">
        <f t="shared" si="91"/>
        <v>-100</v>
      </c>
      <c r="AY84" s="1097">
        <f t="shared" si="72"/>
        <v>4080000</v>
      </c>
      <c r="AZ84" s="174">
        <f t="shared" si="73"/>
        <v>4232217.34</v>
      </c>
      <c r="BA84" s="398">
        <f t="shared" si="70"/>
        <v>423221.734</v>
      </c>
      <c r="BB84" s="805"/>
      <c r="BC84" s="825"/>
    </row>
    <row r="85" spans="1:55" s="119" customFormat="1" ht="18" customHeight="1" x14ac:dyDescent="0.25">
      <c r="A85" s="170">
        <v>12230</v>
      </c>
      <c r="B85" s="332" t="s">
        <v>184</v>
      </c>
      <c r="C85" s="899">
        <v>20000</v>
      </c>
      <c r="D85" s="465">
        <v>17589.95</v>
      </c>
      <c r="E85" s="459">
        <f t="shared" si="71"/>
        <v>-2410.0499999999993</v>
      </c>
      <c r="F85" s="469">
        <f t="shared" si="74"/>
        <v>-12.050249999999995</v>
      </c>
      <c r="G85" s="479">
        <v>20000</v>
      </c>
      <c r="H85" s="459">
        <v>20585.759999999998</v>
      </c>
      <c r="I85" s="459">
        <f t="shared" si="92"/>
        <v>585.7599999999984</v>
      </c>
      <c r="J85" s="469">
        <f t="shared" si="75"/>
        <v>2.9287999999999981</v>
      </c>
      <c r="K85" s="479">
        <v>20000</v>
      </c>
      <c r="L85" s="830">
        <v>19440.62</v>
      </c>
      <c r="M85" s="467">
        <f t="shared" si="93"/>
        <v>-559.38000000000102</v>
      </c>
      <c r="N85" s="469">
        <f t="shared" si="76"/>
        <v>-2.7969000000000022</v>
      </c>
      <c r="O85" s="479">
        <v>20000</v>
      </c>
      <c r="P85" s="813">
        <v>20197.560000000001</v>
      </c>
      <c r="Q85" s="459">
        <f t="shared" si="94"/>
        <v>197.56000000000131</v>
      </c>
      <c r="R85" s="469">
        <f t="shared" si="77"/>
        <v>0.98780000000000534</v>
      </c>
      <c r="S85" s="479">
        <v>20000</v>
      </c>
      <c r="T85" s="459">
        <v>18420.59</v>
      </c>
      <c r="U85" s="459">
        <f t="shared" si="95"/>
        <v>-1579.4099999999999</v>
      </c>
      <c r="V85" s="470">
        <f t="shared" si="78"/>
        <v>-7.8970499999999948</v>
      </c>
      <c r="W85" s="479">
        <v>20000</v>
      </c>
      <c r="X85" s="459">
        <v>18156.189999999999</v>
      </c>
      <c r="Y85" s="974">
        <f t="shared" si="96"/>
        <v>-1843.8100000000013</v>
      </c>
      <c r="Z85" s="485">
        <f t="shared" si="79"/>
        <v>-9.2190500000000064</v>
      </c>
      <c r="AA85" s="479">
        <v>20000</v>
      </c>
      <c r="AB85" s="459">
        <v>18567.349999999999</v>
      </c>
      <c r="AC85" s="459">
        <f t="shared" si="80"/>
        <v>-1432.6500000000015</v>
      </c>
      <c r="AD85" s="470">
        <f t="shared" si="81"/>
        <v>-7.1632500000000103</v>
      </c>
      <c r="AE85" s="479">
        <v>20000</v>
      </c>
      <c r="AF85" s="468">
        <v>17762.75</v>
      </c>
      <c r="AG85" s="467">
        <f t="shared" si="82"/>
        <v>-2237.25</v>
      </c>
      <c r="AH85" s="470">
        <f t="shared" si="83"/>
        <v>-11.186249999999998</v>
      </c>
      <c r="AI85" s="479">
        <v>20000</v>
      </c>
      <c r="AJ85" s="463">
        <v>18952.009999999998</v>
      </c>
      <c r="AK85" s="467">
        <f t="shared" si="84"/>
        <v>-1047.9900000000016</v>
      </c>
      <c r="AL85" s="470">
        <f t="shared" si="85"/>
        <v>-5.2399500000000039</v>
      </c>
      <c r="AM85" s="479">
        <v>20000</v>
      </c>
      <c r="AN85" s="463">
        <v>19305.21</v>
      </c>
      <c r="AO85" s="467">
        <f t="shared" si="86"/>
        <v>-694.79000000000087</v>
      </c>
      <c r="AP85" s="470">
        <f t="shared" si="87"/>
        <v>-3.4739500000000034</v>
      </c>
      <c r="AQ85" s="479">
        <v>20000</v>
      </c>
      <c r="AR85" s="468"/>
      <c r="AS85" s="467">
        <f t="shared" si="88"/>
        <v>-20000</v>
      </c>
      <c r="AT85" s="470">
        <f t="shared" si="89"/>
        <v>-100</v>
      </c>
      <c r="AU85" s="479">
        <v>20000</v>
      </c>
      <c r="AV85" s="463"/>
      <c r="AW85" s="459">
        <f t="shared" si="90"/>
        <v>-20000</v>
      </c>
      <c r="AX85" s="470">
        <f t="shared" si="91"/>
        <v>-100</v>
      </c>
      <c r="AY85" s="1097">
        <f t="shared" si="72"/>
        <v>240000</v>
      </c>
      <c r="AZ85" s="571">
        <f t="shared" si="73"/>
        <v>188977.99</v>
      </c>
      <c r="BA85" s="398">
        <f t="shared" si="70"/>
        <v>18897.798999999999</v>
      </c>
      <c r="BB85" s="805"/>
      <c r="BC85" s="804"/>
    </row>
    <row r="86" spans="1:55" s="119" customFormat="1" ht="18" customHeight="1" x14ac:dyDescent="0.25">
      <c r="A86" s="170">
        <v>12231</v>
      </c>
      <c r="B86" s="332" t="s">
        <v>185</v>
      </c>
      <c r="C86" s="899">
        <v>40000</v>
      </c>
      <c r="D86" s="465">
        <v>35099.46</v>
      </c>
      <c r="E86" s="459">
        <f t="shared" si="71"/>
        <v>-4900.5400000000009</v>
      </c>
      <c r="F86" s="469">
        <f t="shared" si="74"/>
        <v>-12.251350000000006</v>
      </c>
      <c r="G86" s="479">
        <v>40000</v>
      </c>
      <c r="H86" s="459">
        <v>34281.18</v>
      </c>
      <c r="I86" s="459">
        <f t="shared" si="92"/>
        <v>-5718.82</v>
      </c>
      <c r="J86" s="469">
        <f t="shared" si="75"/>
        <v>-14.29705</v>
      </c>
      <c r="K86" s="479">
        <v>40000</v>
      </c>
      <c r="L86" s="830">
        <v>34473.86</v>
      </c>
      <c r="M86" s="467">
        <f t="shared" si="93"/>
        <v>-5526.1399999999994</v>
      </c>
      <c r="N86" s="469">
        <f t="shared" si="76"/>
        <v>-13.815350000000004</v>
      </c>
      <c r="O86" s="479">
        <v>40000</v>
      </c>
      <c r="P86" s="813">
        <v>31614.01</v>
      </c>
      <c r="Q86" s="459">
        <f t="shared" si="94"/>
        <v>-8385.9900000000016</v>
      </c>
      <c r="R86" s="469">
        <f t="shared" si="77"/>
        <v>-20.96497500000001</v>
      </c>
      <c r="S86" s="479">
        <v>40000</v>
      </c>
      <c r="T86" s="459">
        <v>36064.57</v>
      </c>
      <c r="U86" s="459">
        <f t="shared" si="95"/>
        <v>-3935.4300000000003</v>
      </c>
      <c r="V86" s="470">
        <f t="shared" si="78"/>
        <v>-9.8385750000000058</v>
      </c>
      <c r="W86" s="479">
        <v>40000</v>
      </c>
      <c r="X86" s="459">
        <v>43500.05</v>
      </c>
      <c r="Y86" s="974">
        <f t="shared" si="96"/>
        <v>3500.0500000000029</v>
      </c>
      <c r="Z86" s="485">
        <f t="shared" si="79"/>
        <v>8.7501250000000077</v>
      </c>
      <c r="AA86" s="479">
        <v>40000</v>
      </c>
      <c r="AB86" s="459">
        <v>32534.41</v>
      </c>
      <c r="AC86" s="459">
        <f t="shared" si="80"/>
        <v>-7465.59</v>
      </c>
      <c r="AD86" s="470">
        <f t="shared" si="81"/>
        <v>-18.663975000000001</v>
      </c>
      <c r="AE86" s="479">
        <v>40000</v>
      </c>
      <c r="AF86" s="468">
        <v>30522.11</v>
      </c>
      <c r="AG86" s="467">
        <f t="shared" si="82"/>
        <v>-9477.89</v>
      </c>
      <c r="AH86" s="470">
        <f t="shared" si="83"/>
        <v>-23.694724999999995</v>
      </c>
      <c r="AI86" s="479">
        <v>40000</v>
      </c>
      <c r="AJ86" s="463">
        <v>30051.61</v>
      </c>
      <c r="AK86" s="467">
        <f t="shared" si="84"/>
        <v>-9948.39</v>
      </c>
      <c r="AL86" s="470">
        <f t="shared" si="85"/>
        <v>-24.870974999999994</v>
      </c>
      <c r="AM86" s="479">
        <v>40000</v>
      </c>
      <c r="AN86" s="463">
        <v>31584.959999999999</v>
      </c>
      <c r="AO86" s="467">
        <f t="shared" si="86"/>
        <v>-8415.0400000000009</v>
      </c>
      <c r="AP86" s="470">
        <f t="shared" si="87"/>
        <v>-21.037600000000001</v>
      </c>
      <c r="AQ86" s="479">
        <v>40000</v>
      </c>
      <c r="AR86" s="468"/>
      <c r="AS86" s="467">
        <f t="shared" si="88"/>
        <v>-40000</v>
      </c>
      <c r="AT86" s="470">
        <f t="shared" si="89"/>
        <v>-100</v>
      </c>
      <c r="AU86" s="479">
        <v>40000</v>
      </c>
      <c r="AV86" s="463"/>
      <c r="AW86" s="459">
        <f t="shared" si="90"/>
        <v>-40000</v>
      </c>
      <c r="AX86" s="470">
        <f t="shared" si="91"/>
        <v>-100</v>
      </c>
      <c r="AY86" s="1097">
        <f t="shared" si="72"/>
        <v>480000</v>
      </c>
      <c r="AZ86" s="174">
        <f t="shared" si="73"/>
        <v>339726.22000000003</v>
      </c>
      <c r="BA86" s="398">
        <f t="shared" si="70"/>
        <v>33972.622000000003</v>
      </c>
      <c r="BB86" s="805">
        <v>744488888</v>
      </c>
      <c r="BC86" s="804"/>
    </row>
    <row r="87" spans="1:55" s="119" customFormat="1" ht="18" customHeight="1" x14ac:dyDescent="0.25">
      <c r="A87" s="170">
        <v>51010</v>
      </c>
      <c r="B87" s="332" t="s">
        <v>186</v>
      </c>
      <c r="C87" s="899">
        <v>150000</v>
      </c>
      <c r="D87" s="465">
        <v>109777</v>
      </c>
      <c r="E87" s="459">
        <f t="shared" si="71"/>
        <v>-40223</v>
      </c>
      <c r="F87" s="469">
        <f t="shared" si="74"/>
        <v>-26.815333333333335</v>
      </c>
      <c r="G87" s="479">
        <v>150000</v>
      </c>
      <c r="H87" s="459">
        <v>97901.94</v>
      </c>
      <c r="I87" s="459">
        <f t="shared" si="92"/>
        <v>-52098.06</v>
      </c>
      <c r="J87" s="469">
        <f t="shared" si="75"/>
        <v>-34.732039999999998</v>
      </c>
      <c r="K87" s="479">
        <v>150000</v>
      </c>
      <c r="L87" s="830">
        <v>108441</v>
      </c>
      <c r="M87" s="467">
        <f t="shared" si="93"/>
        <v>-41559</v>
      </c>
      <c r="N87" s="469">
        <f t="shared" si="76"/>
        <v>-27.705999999999996</v>
      </c>
      <c r="O87" s="479">
        <v>150000</v>
      </c>
      <c r="P87" s="813">
        <v>104256</v>
      </c>
      <c r="Q87" s="459">
        <f t="shared" si="94"/>
        <v>-45744</v>
      </c>
      <c r="R87" s="469">
        <f t="shared" si="77"/>
        <v>-30.496000000000002</v>
      </c>
      <c r="S87" s="479">
        <v>150000</v>
      </c>
      <c r="T87" s="459">
        <v>108935</v>
      </c>
      <c r="U87" s="459">
        <f t="shared" si="95"/>
        <v>-41065</v>
      </c>
      <c r="V87" s="470">
        <f t="shared" si="78"/>
        <v>-27.376666666666672</v>
      </c>
      <c r="W87" s="479">
        <v>150000</v>
      </c>
      <c r="X87" s="459">
        <v>104620</v>
      </c>
      <c r="Y87" s="974">
        <f t="shared" si="96"/>
        <v>-45380</v>
      </c>
      <c r="Z87" s="485">
        <f t="shared" si="79"/>
        <v>-30.25333333333333</v>
      </c>
      <c r="AA87" s="479">
        <v>150000</v>
      </c>
      <c r="AB87" s="459">
        <v>106825</v>
      </c>
      <c r="AC87" s="459">
        <f t="shared" si="80"/>
        <v>-43175</v>
      </c>
      <c r="AD87" s="470">
        <f t="shared" si="81"/>
        <v>-28.783333333333339</v>
      </c>
      <c r="AE87" s="479">
        <v>150000</v>
      </c>
      <c r="AF87" s="468">
        <v>133485</v>
      </c>
      <c r="AG87" s="467">
        <f t="shared" si="82"/>
        <v>-16515</v>
      </c>
      <c r="AH87" s="470">
        <f t="shared" si="83"/>
        <v>-11.009999999999998</v>
      </c>
      <c r="AI87" s="479">
        <v>150000</v>
      </c>
      <c r="AJ87" s="463">
        <v>166147</v>
      </c>
      <c r="AK87" s="467">
        <f t="shared" si="84"/>
        <v>16147</v>
      </c>
      <c r="AL87" s="470">
        <f t="shared" si="85"/>
        <v>10.764666666666667</v>
      </c>
      <c r="AM87" s="479">
        <v>150000</v>
      </c>
      <c r="AN87" s="463">
        <v>155565</v>
      </c>
      <c r="AO87" s="467">
        <f t="shared" si="86"/>
        <v>5565</v>
      </c>
      <c r="AP87" s="470">
        <f t="shared" si="87"/>
        <v>3.7099999999999911</v>
      </c>
      <c r="AQ87" s="479">
        <v>150000</v>
      </c>
      <c r="AR87" s="468"/>
      <c r="AS87" s="467">
        <f t="shared" si="88"/>
        <v>-150000</v>
      </c>
      <c r="AT87" s="470">
        <f t="shared" si="89"/>
        <v>-100</v>
      </c>
      <c r="AU87" s="479">
        <v>150000</v>
      </c>
      <c r="AV87" s="463"/>
      <c r="AW87" s="459">
        <f t="shared" si="90"/>
        <v>-150000</v>
      </c>
      <c r="AX87" s="470">
        <f t="shared" si="91"/>
        <v>-100</v>
      </c>
      <c r="AY87" s="1097">
        <f t="shared" si="72"/>
        <v>1800000</v>
      </c>
      <c r="AZ87" s="174">
        <f t="shared" si="73"/>
        <v>1195952.94</v>
      </c>
      <c r="BA87" s="398">
        <f t="shared" si="70"/>
        <v>119595.29399999999</v>
      </c>
      <c r="BB87" s="805"/>
      <c r="BC87" s="804"/>
    </row>
    <row r="88" spans="1:55" s="119" customFormat="1" ht="18" customHeight="1" x14ac:dyDescent="0.25">
      <c r="A88" s="170">
        <v>51011</v>
      </c>
      <c r="B88" s="332" t="s">
        <v>187</v>
      </c>
      <c r="C88" s="899">
        <v>290000</v>
      </c>
      <c r="D88" s="465">
        <v>297620</v>
      </c>
      <c r="E88" s="459">
        <f t="shared" si="71"/>
        <v>7620</v>
      </c>
      <c r="F88" s="469">
        <f t="shared" si="74"/>
        <v>2.6275862068965594</v>
      </c>
      <c r="G88" s="479">
        <v>290000</v>
      </c>
      <c r="H88" s="459">
        <v>264990</v>
      </c>
      <c r="I88" s="459">
        <f t="shared" si="92"/>
        <v>-25010</v>
      </c>
      <c r="J88" s="469">
        <f t="shared" si="75"/>
        <v>-8.6241379310344808</v>
      </c>
      <c r="K88" s="479">
        <v>290000</v>
      </c>
      <c r="L88" s="830">
        <v>292550</v>
      </c>
      <c r="M88" s="467">
        <f t="shared" si="93"/>
        <v>2550</v>
      </c>
      <c r="N88" s="469">
        <f t="shared" si="76"/>
        <v>0.87931034482757742</v>
      </c>
      <c r="O88" s="479">
        <v>290000</v>
      </c>
      <c r="P88" s="813">
        <v>284230</v>
      </c>
      <c r="Q88" s="459">
        <f t="shared" si="94"/>
        <v>-5770</v>
      </c>
      <c r="R88" s="469">
        <f t="shared" si="77"/>
        <v>-1.9896551724137956</v>
      </c>
      <c r="S88" s="479">
        <v>290000</v>
      </c>
      <c r="T88" s="459">
        <v>291770</v>
      </c>
      <c r="U88" s="459">
        <f t="shared" si="95"/>
        <v>1770</v>
      </c>
      <c r="V88" s="470">
        <f t="shared" si="78"/>
        <v>0.61034482758621778</v>
      </c>
      <c r="W88" s="479">
        <v>290000</v>
      </c>
      <c r="X88" s="459">
        <v>282280</v>
      </c>
      <c r="Y88" s="974">
        <f t="shared" si="96"/>
        <v>-7720</v>
      </c>
      <c r="Z88" s="485">
        <f t="shared" si="79"/>
        <v>-2.6620689655172391</v>
      </c>
      <c r="AA88" s="479">
        <v>290000</v>
      </c>
      <c r="AB88" s="459">
        <v>292160</v>
      </c>
      <c r="AC88" s="459">
        <f t="shared" si="80"/>
        <v>2160</v>
      </c>
      <c r="AD88" s="470">
        <f t="shared" si="81"/>
        <v>0.74482758620688649</v>
      </c>
      <c r="AE88" s="479">
        <v>290000</v>
      </c>
      <c r="AF88" s="468">
        <v>290210</v>
      </c>
      <c r="AG88" s="467">
        <f t="shared" si="82"/>
        <v>210</v>
      </c>
      <c r="AH88" s="470">
        <f t="shared" si="83"/>
        <v>7.2413793103454083E-2</v>
      </c>
      <c r="AI88" s="479">
        <v>290000</v>
      </c>
      <c r="AJ88" s="463">
        <v>282930</v>
      </c>
      <c r="AK88" s="467">
        <f t="shared" si="84"/>
        <v>-7070</v>
      </c>
      <c r="AL88" s="470">
        <f t="shared" si="85"/>
        <v>-2.4379310344827543</v>
      </c>
      <c r="AM88" s="479">
        <v>290000</v>
      </c>
      <c r="AN88" s="463">
        <v>289820</v>
      </c>
      <c r="AO88" s="467">
        <f t="shared" si="86"/>
        <v>-180</v>
      </c>
      <c r="AP88" s="470">
        <f t="shared" si="87"/>
        <v>-6.206896551723684E-2</v>
      </c>
      <c r="AQ88" s="479">
        <v>290000</v>
      </c>
      <c r="AR88" s="468"/>
      <c r="AS88" s="467">
        <f t="shared" si="88"/>
        <v>-290000</v>
      </c>
      <c r="AT88" s="470">
        <f t="shared" si="89"/>
        <v>-100</v>
      </c>
      <c r="AU88" s="479">
        <v>290000</v>
      </c>
      <c r="AV88" s="463"/>
      <c r="AW88" s="459">
        <f t="shared" si="90"/>
        <v>-290000</v>
      </c>
      <c r="AX88" s="470">
        <f t="shared" si="91"/>
        <v>-100</v>
      </c>
      <c r="AY88" s="1097">
        <f t="shared" si="72"/>
        <v>3480000</v>
      </c>
      <c r="AZ88" s="174">
        <f t="shared" si="73"/>
        <v>2868560</v>
      </c>
      <c r="BA88" s="398">
        <f t="shared" si="70"/>
        <v>286856</v>
      </c>
      <c r="BB88" s="805"/>
      <c r="BC88" s="804"/>
    </row>
    <row r="89" spans="1:55" s="119" customFormat="1" ht="18" customHeight="1" x14ac:dyDescent="0.25">
      <c r="A89" s="170">
        <v>51012</v>
      </c>
      <c r="B89" s="332" t="s">
        <v>55</v>
      </c>
      <c r="C89" s="899">
        <v>280000</v>
      </c>
      <c r="D89" s="465">
        <v>299212.94</v>
      </c>
      <c r="E89" s="459">
        <f t="shared" si="71"/>
        <v>19212.940000000002</v>
      </c>
      <c r="F89" s="469">
        <f t="shared" si="74"/>
        <v>6.861764285714278</v>
      </c>
      <c r="G89" s="479">
        <v>280000</v>
      </c>
      <c r="H89" s="459">
        <v>401244.28</v>
      </c>
      <c r="I89" s="459">
        <f t="shared" si="92"/>
        <v>121244.28000000003</v>
      </c>
      <c r="J89" s="469">
        <f t="shared" si="75"/>
        <v>43.30152857142857</v>
      </c>
      <c r="K89" s="479">
        <v>280000</v>
      </c>
      <c r="L89" s="830">
        <v>364507.75</v>
      </c>
      <c r="M89" s="467">
        <f t="shared" si="93"/>
        <v>84507.75</v>
      </c>
      <c r="N89" s="469">
        <f t="shared" si="76"/>
        <v>30.181339285714294</v>
      </c>
      <c r="O89" s="479">
        <v>280000</v>
      </c>
      <c r="P89" s="813">
        <v>349365.46</v>
      </c>
      <c r="Q89" s="459">
        <f t="shared" si="94"/>
        <v>69365.460000000021</v>
      </c>
      <c r="R89" s="469">
        <f t="shared" si="77"/>
        <v>24.773378571428584</v>
      </c>
      <c r="S89" s="479">
        <v>280000</v>
      </c>
      <c r="T89" s="459">
        <v>378112.26</v>
      </c>
      <c r="U89" s="459">
        <f t="shared" si="95"/>
        <v>98112.260000000009</v>
      </c>
      <c r="V89" s="470">
        <f t="shared" si="78"/>
        <v>35.040092857142866</v>
      </c>
      <c r="W89" s="479">
        <v>280000</v>
      </c>
      <c r="X89" s="459">
        <v>368022.8</v>
      </c>
      <c r="Y89" s="974">
        <f t="shared" si="96"/>
        <v>88022.799999999988</v>
      </c>
      <c r="Z89" s="485">
        <f t="shared" si="79"/>
        <v>31.436714285714285</v>
      </c>
      <c r="AA89" s="479">
        <v>280000</v>
      </c>
      <c r="AB89" s="459">
        <v>368022.8</v>
      </c>
      <c r="AC89" s="459">
        <f t="shared" si="80"/>
        <v>88022.799999999988</v>
      </c>
      <c r="AD89" s="470">
        <f t="shared" si="81"/>
        <v>31.436714285714285</v>
      </c>
      <c r="AE89" s="479">
        <v>280000</v>
      </c>
      <c r="AF89" s="468">
        <v>389888.4</v>
      </c>
      <c r="AG89" s="467">
        <f t="shared" si="82"/>
        <v>109888.40000000002</v>
      </c>
      <c r="AH89" s="470">
        <f t="shared" si="83"/>
        <v>39.245857142857155</v>
      </c>
      <c r="AI89" s="479">
        <v>280000</v>
      </c>
      <c r="AJ89" s="463">
        <v>366405.6</v>
      </c>
      <c r="AK89" s="467">
        <f t="shared" si="84"/>
        <v>86405.599999999977</v>
      </c>
      <c r="AL89" s="470">
        <f t="shared" si="85"/>
        <v>30.859142857142842</v>
      </c>
      <c r="AM89" s="479">
        <v>280000</v>
      </c>
      <c r="AN89" s="463">
        <v>376552</v>
      </c>
      <c r="AO89" s="467">
        <f t="shared" si="86"/>
        <v>96552</v>
      </c>
      <c r="AP89" s="470">
        <f t="shared" si="87"/>
        <v>34.482857142857149</v>
      </c>
      <c r="AQ89" s="479">
        <v>280000</v>
      </c>
      <c r="AR89" s="468"/>
      <c r="AS89" s="467">
        <f t="shared" si="88"/>
        <v>-280000</v>
      </c>
      <c r="AT89" s="470">
        <f t="shared" si="89"/>
        <v>-100</v>
      </c>
      <c r="AU89" s="479">
        <v>280000</v>
      </c>
      <c r="AV89" s="463"/>
      <c r="AW89" s="459">
        <f t="shared" si="90"/>
        <v>-280000</v>
      </c>
      <c r="AX89" s="470">
        <f t="shared" si="91"/>
        <v>-100</v>
      </c>
      <c r="AY89" s="1097">
        <f t="shared" si="72"/>
        <v>3360000</v>
      </c>
      <c r="AZ89" s="571">
        <f t="shared" si="73"/>
        <v>3661334.2899999996</v>
      </c>
      <c r="BA89" s="398">
        <f t="shared" si="70"/>
        <v>366133.42899999995</v>
      </c>
      <c r="BB89" s="805"/>
      <c r="BC89" s="804"/>
    </row>
    <row r="90" spans="1:55" s="119" customFormat="1" ht="18" customHeight="1" x14ac:dyDescent="0.25">
      <c r="A90" s="170">
        <v>51013</v>
      </c>
      <c r="B90" s="332" t="s">
        <v>56</v>
      </c>
      <c r="C90" s="899">
        <v>8000</v>
      </c>
      <c r="D90" s="465">
        <v>7100</v>
      </c>
      <c r="E90" s="459">
        <f t="shared" si="71"/>
        <v>-900</v>
      </c>
      <c r="F90" s="469">
        <f t="shared" si="74"/>
        <v>-11.250000000000004</v>
      </c>
      <c r="G90" s="479">
        <v>8000</v>
      </c>
      <c r="H90" s="459">
        <v>6700</v>
      </c>
      <c r="I90" s="459">
        <f t="shared" si="92"/>
        <v>-1300</v>
      </c>
      <c r="J90" s="469">
        <f t="shared" si="75"/>
        <v>-16.249999999999996</v>
      </c>
      <c r="K90" s="479">
        <v>8000</v>
      </c>
      <c r="L90" s="830">
        <v>7500</v>
      </c>
      <c r="M90" s="467">
        <f t="shared" si="93"/>
        <v>-500</v>
      </c>
      <c r="N90" s="469">
        <f t="shared" si="76"/>
        <v>-6.25</v>
      </c>
      <c r="O90" s="479">
        <v>8000</v>
      </c>
      <c r="P90" s="813">
        <v>6900</v>
      </c>
      <c r="Q90" s="459">
        <f t="shared" si="94"/>
        <v>-1100</v>
      </c>
      <c r="R90" s="469">
        <f t="shared" si="77"/>
        <v>-13.749999999999996</v>
      </c>
      <c r="S90" s="479">
        <v>8000</v>
      </c>
      <c r="T90" s="459">
        <v>8273.35</v>
      </c>
      <c r="U90" s="459">
        <f t="shared" si="95"/>
        <v>273.35000000000036</v>
      </c>
      <c r="V90" s="470">
        <f t="shared" si="78"/>
        <v>3.4168750000000081</v>
      </c>
      <c r="W90" s="479">
        <v>8000</v>
      </c>
      <c r="X90" s="459">
        <v>7824.45</v>
      </c>
      <c r="Y90" s="974">
        <f t="shared" si="96"/>
        <v>-175.55000000000018</v>
      </c>
      <c r="Z90" s="485">
        <f t="shared" si="79"/>
        <v>-2.194375000000004</v>
      </c>
      <c r="AA90" s="479">
        <v>8000</v>
      </c>
      <c r="AB90" s="459">
        <v>7424.45</v>
      </c>
      <c r="AC90" s="459">
        <f t="shared" si="80"/>
        <v>-575.55000000000018</v>
      </c>
      <c r="AD90" s="470">
        <f t="shared" si="81"/>
        <v>-7.1943749999999973</v>
      </c>
      <c r="AE90" s="479">
        <v>8000</v>
      </c>
      <c r="AF90" s="468">
        <v>7824.45</v>
      </c>
      <c r="AG90" s="467">
        <f t="shared" si="82"/>
        <v>-175.55000000000018</v>
      </c>
      <c r="AH90" s="470">
        <f t="shared" si="83"/>
        <v>-2.194375000000004</v>
      </c>
      <c r="AI90" s="479">
        <v>8000</v>
      </c>
      <c r="AJ90" s="463">
        <v>7624.45</v>
      </c>
      <c r="AK90" s="467">
        <f t="shared" si="84"/>
        <v>-375.55000000000018</v>
      </c>
      <c r="AL90" s="470">
        <f t="shared" si="85"/>
        <v>-4.6943750000000062</v>
      </c>
      <c r="AM90" s="479">
        <v>8000</v>
      </c>
      <c r="AN90" s="463">
        <v>7224.45</v>
      </c>
      <c r="AO90" s="467">
        <f t="shared" si="86"/>
        <v>-775.55000000000018</v>
      </c>
      <c r="AP90" s="470">
        <f t="shared" si="87"/>
        <v>-9.6943749999999991</v>
      </c>
      <c r="AQ90" s="479">
        <v>8000</v>
      </c>
      <c r="AR90" s="468"/>
      <c r="AS90" s="467">
        <f t="shared" si="88"/>
        <v>-8000</v>
      </c>
      <c r="AT90" s="470">
        <f t="shared" si="89"/>
        <v>-100</v>
      </c>
      <c r="AU90" s="479">
        <v>8000</v>
      </c>
      <c r="AV90" s="463"/>
      <c r="AW90" s="459">
        <f t="shared" si="90"/>
        <v>-8000</v>
      </c>
      <c r="AX90" s="470">
        <f t="shared" si="91"/>
        <v>-100</v>
      </c>
      <c r="AY90" s="1097">
        <f t="shared" si="72"/>
        <v>96000</v>
      </c>
      <c r="AZ90" s="174">
        <f t="shared" si="73"/>
        <v>74395.599999999991</v>
      </c>
      <c r="BA90" s="398">
        <f t="shared" si="70"/>
        <v>7439.5599999999995</v>
      </c>
      <c r="BB90" s="805"/>
      <c r="BC90" s="804"/>
    </row>
    <row r="91" spans="1:55" s="119" customFormat="1" ht="18" customHeight="1" x14ac:dyDescent="0.25">
      <c r="A91" s="170">
        <v>51014</v>
      </c>
      <c r="B91" s="332" t="s">
        <v>57</v>
      </c>
      <c r="C91" s="899">
        <v>220000</v>
      </c>
      <c r="D91" s="465">
        <v>224985.14</v>
      </c>
      <c r="E91" s="459">
        <f t="shared" si="71"/>
        <v>4985.140000000014</v>
      </c>
      <c r="F91" s="469">
        <f t="shared" si="74"/>
        <v>2.2659727272727359</v>
      </c>
      <c r="G91" s="479">
        <v>220000</v>
      </c>
      <c r="H91" s="459">
        <v>229243.21</v>
      </c>
      <c r="I91" s="459">
        <f t="shared" si="92"/>
        <v>9243.2099999999919</v>
      </c>
      <c r="J91" s="469">
        <f t="shared" si="75"/>
        <v>4.2014590909090765</v>
      </c>
      <c r="K91" s="479">
        <v>220000</v>
      </c>
      <c r="L91" s="830">
        <v>227243.23</v>
      </c>
      <c r="M91" s="467">
        <f t="shared" si="93"/>
        <v>7243.2300000000105</v>
      </c>
      <c r="N91" s="469">
        <f t="shared" si="76"/>
        <v>3.2923772727272871</v>
      </c>
      <c r="O91" s="479">
        <v>220000</v>
      </c>
      <c r="P91" s="813">
        <v>228743.19</v>
      </c>
      <c r="Q91" s="459">
        <f t="shared" si="94"/>
        <v>8743.1900000000023</v>
      </c>
      <c r="R91" s="469">
        <f t="shared" si="77"/>
        <v>3.974177272727264</v>
      </c>
      <c r="S91" s="479">
        <v>220000</v>
      </c>
      <c r="T91" s="459">
        <v>228743.23</v>
      </c>
      <c r="U91" s="459">
        <f t="shared" si="95"/>
        <v>8743.2300000000105</v>
      </c>
      <c r="V91" s="470">
        <f t="shared" si="78"/>
        <v>3.9741954545454483</v>
      </c>
      <c r="W91" s="479">
        <v>220000</v>
      </c>
      <c r="X91" s="459">
        <v>228743.19</v>
      </c>
      <c r="Y91" s="974">
        <f t="shared" si="96"/>
        <v>8743.1900000000023</v>
      </c>
      <c r="Z91" s="485">
        <f t="shared" si="79"/>
        <v>3.974177272727264</v>
      </c>
      <c r="AA91" s="479">
        <v>220000</v>
      </c>
      <c r="AB91" s="459">
        <v>228743.22</v>
      </c>
      <c r="AC91" s="459">
        <f t="shared" si="80"/>
        <v>8743.2200000000012</v>
      </c>
      <c r="AD91" s="470">
        <f t="shared" si="81"/>
        <v>3.9741909090909022</v>
      </c>
      <c r="AE91" s="479">
        <v>220000</v>
      </c>
      <c r="AF91" s="468">
        <v>228743.21</v>
      </c>
      <c r="AG91" s="467">
        <f t="shared" si="82"/>
        <v>8743.2099999999919</v>
      </c>
      <c r="AH91" s="470">
        <f t="shared" si="83"/>
        <v>3.9741863636363561</v>
      </c>
      <c r="AI91" s="479">
        <v>220000</v>
      </c>
      <c r="AJ91" s="463">
        <v>228743.23</v>
      </c>
      <c r="AK91" s="467">
        <f t="shared" si="84"/>
        <v>8743.2300000000105</v>
      </c>
      <c r="AL91" s="470">
        <f t="shared" si="85"/>
        <v>3.9741954545454483</v>
      </c>
      <c r="AM91" s="479">
        <v>220000</v>
      </c>
      <c r="AN91" s="463">
        <v>228753.71</v>
      </c>
      <c r="AO91" s="467">
        <f t="shared" si="86"/>
        <v>8753.7099999999919</v>
      </c>
      <c r="AP91" s="470">
        <f t="shared" si="87"/>
        <v>3.9789590909090844</v>
      </c>
      <c r="AQ91" s="479">
        <v>220000</v>
      </c>
      <c r="AR91" s="468"/>
      <c r="AS91" s="467">
        <f t="shared" si="88"/>
        <v>-220000</v>
      </c>
      <c r="AT91" s="470">
        <f t="shared" si="89"/>
        <v>-100</v>
      </c>
      <c r="AU91" s="479">
        <v>220000</v>
      </c>
      <c r="AV91" s="463"/>
      <c r="AW91" s="459">
        <f t="shared" si="90"/>
        <v>-220000</v>
      </c>
      <c r="AX91" s="470">
        <f t="shared" si="91"/>
        <v>-100</v>
      </c>
      <c r="AY91" s="1097">
        <f t="shared" si="72"/>
        <v>2640000</v>
      </c>
      <c r="AZ91" s="174">
        <f t="shared" si="73"/>
        <v>2282684.56</v>
      </c>
      <c r="BA91" s="398">
        <f t="shared" si="70"/>
        <v>228268.45600000001</v>
      </c>
      <c r="BB91" s="805"/>
      <c r="BC91" s="804"/>
    </row>
    <row r="92" spans="1:55" s="119" customFormat="1" ht="18" customHeight="1" x14ac:dyDescent="0.25">
      <c r="A92" s="170">
        <v>51019</v>
      </c>
      <c r="B92" s="332" t="s">
        <v>188</v>
      </c>
      <c r="C92" s="899">
        <v>160000</v>
      </c>
      <c r="D92" s="465">
        <v>175738.37</v>
      </c>
      <c r="E92" s="459">
        <f t="shared" si="71"/>
        <v>15738.369999999995</v>
      </c>
      <c r="F92" s="469">
        <f t="shared" si="74"/>
        <v>9.8364812500000056</v>
      </c>
      <c r="G92" s="479">
        <v>160000</v>
      </c>
      <c r="H92" s="459">
        <v>180287.81</v>
      </c>
      <c r="I92" s="459">
        <f t="shared" si="92"/>
        <v>20287.809999999998</v>
      </c>
      <c r="J92" s="469">
        <f t="shared" si="75"/>
        <v>12.67988124999999</v>
      </c>
      <c r="K92" s="479">
        <v>160000</v>
      </c>
      <c r="L92" s="830">
        <v>180287.81</v>
      </c>
      <c r="M92" s="467">
        <f t="shared" si="93"/>
        <v>20287.809999999998</v>
      </c>
      <c r="N92" s="469">
        <f t="shared" si="76"/>
        <v>12.67988124999999</v>
      </c>
      <c r="O92" s="479">
        <v>160000</v>
      </c>
      <c r="P92" s="813">
        <v>156565.73000000001</v>
      </c>
      <c r="Q92" s="459">
        <f t="shared" si="94"/>
        <v>-3434.2699999999895</v>
      </c>
      <c r="R92" s="469">
        <f t="shared" si="77"/>
        <v>-2.1464187499999898</v>
      </c>
      <c r="S92" s="479">
        <v>160000</v>
      </c>
      <c r="T92" s="459">
        <v>170702.4</v>
      </c>
      <c r="U92" s="459">
        <f t="shared" si="95"/>
        <v>10702.399999999994</v>
      </c>
      <c r="V92" s="470">
        <f t="shared" si="78"/>
        <v>6.6889999999999894</v>
      </c>
      <c r="W92" s="479">
        <v>160000</v>
      </c>
      <c r="X92" s="459">
        <v>170702.4</v>
      </c>
      <c r="Y92" s="974">
        <f t="shared" si="96"/>
        <v>10702.399999999994</v>
      </c>
      <c r="Z92" s="485">
        <f t="shared" si="79"/>
        <v>6.6889999999999894</v>
      </c>
      <c r="AA92" s="479">
        <v>160000</v>
      </c>
      <c r="AB92" s="459">
        <v>173500.79999999999</v>
      </c>
      <c r="AC92" s="459">
        <f t="shared" si="80"/>
        <v>13500.799999999988</v>
      </c>
      <c r="AD92" s="470">
        <f t="shared" si="81"/>
        <v>8.43799999999999</v>
      </c>
      <c r="AE92" s="479">
        <v>160000</v>
      </c>
      <c r="AF92" s="468">
        <v>126700.8</v>
      </c>
      <c r="AG92" s="467">
        <f t="shared" si="82"/>
        <v>-33299.199999999997</v>
      </c>
      <c r="AH92" s="470">
        <f t="shared" si="83"/>
        <v>-20.811999999999998</v>
      </c>
      <c r="AI92" s="479">
        <v>160000</v>
      </c>
      <c r="AJ92" s="463">
        <v>183864</v>
      </c>
      <c r="AK92" s="467">
        <f t="shared" si="84"/>
        <v>23864</v>
      </c>
      <c r="AL92" s="470">
        <f t="shared" si="85"/>
        <v>14.914999999999988</v>
      </c>
      <c r="AM92" s="479">
        <v>160000</v>
      </c>
      <c r="AN92" s="463">
        <v>152222.39999999999</v>
      </c>
      <c r="AO92" s="467">
        <f t="shared" si="86"/>
        <v>-7777.6000000000058</v>
      </c>
      <c r="AP92" s="470">
        <f t="shared" si="87"/>
        <v>-4.8610000000000042</v>
      </c>
      <c r="AQ92" s="479">
        <v>160000</v>
      </c>
      <c r="AR92" s="468"/>
      <c r="AS92" s="467">
        <f t="shared" si="88"/>
        <v>-160000</v>
      </c>
      <c r="AT92" s="470">
        <f t="shared" si="89"/>
        <v>-100</v>
      </c>
      <c r="AU92" s="479">
        <v>160000</v>
      </c>
      <c r="AV92" s="463"/>
      <c r="AW92" s="459">
        <f t="shared" si="90"/>
        <v>-160000</v>
      </c>
      <c r="AX92" s="470">
        <f t="shared" si="91"/>
        <v>-100</v>
      </c>
      <c r="AY92" s="1097">
        <f t="shared" si="72"/>
        <v>1920000</v>
      </c>
      <c r="AZ92" s="174">
        <f t="shared" si="73"/>
        <v>1670572.52</v>
      </c>
      <c r="BA92" s="398">
        <f t="shared" si="70"/>
        <v>167057.25200000001</v>
      </c>
      <c r="BB92" s="805"/>
      <c r="BC92" s="804"/>
    </row>
    <row r="93" spans="1:55" s="119" customFormat="1" ht="18" customHeight="1" x14ac:dyDescent="0.25">
      <c r="A93" s="170">
        <v>51020</v>
      </c>
      <c r="B93" s="332" t="s">
        <v>58</v>
      </c>
      <c r="C93" s="899">
        <v>115000</v>
      </c>
      <c r="D93" s="465">
        <v>130960</v>
      </c>
      <c r="E93" s="459">
        <f t="shared" si="71"/>
        <v>15960</v>
      </c>
      <c r="F93" s="469">
        <f t="shared" si="74"/>
        <v>13.878260869565207</v>
      </c>
      <c r="G93" s="479">
        <v>115000</v>
      </c>
      <c r="H93" s="459">
        <v>117520</v>
      </c>
      <c r="I93" s="459">
        <f t="shared" si="92"/>
        <v>2520</v>
      </c>
      <c r="J93" s="470">
        <f t="shared" si="75"/>
        <v>2.1913043478260841</v>
      </c>
      <c r="K93" s="479">
        <v>115000</v>
      </c>
      <c r="L93" s="830">
        <v>129616</v>
      </c>
      <c r="M93" s="467">
        <f t="shared" si="93"/>
        <v>14616</v>
      </c>
      <c r="N93" s="469">
        <f t="shared" si="76"/>
        <v>12.709565217391305</v>
      </c>
      <c r="O93" s="479">
        <v>115000</v>
      </c>
      <c r="P93" s="813">
        <v>122584</v>
      </c>
      <c r="Q93" s="459">
        <f t="shared" si="94"/>
        <v>7584</v>
      </c>
      <c r="R93" s="469">
        <f t="shared" si="77"/>
        <v>6.5947826086956596</v>
      </c>
      <c r="S93" s="479">
        <v>115000</v>
      </c>
      <c r="T93" s="459">
        <v>125272</v>
      </c>
      <c r="U93" s="459">
        <f t="shared" si="95"/>
        <v>10272</v>
      </c>
      <c r="V93" s="470">
        <f t="shared" si="78"/>
        <v>8.932173913043485</v>
      </c>
      <c r="W93" s="479">
        <v>115000</v>
      </c>
      <c r="X93" s="459">
        <v>122584</v>
      </c>
      <c r="Y93" s="974">
        <f t="shared" si="96"/>
        <v>7584</v>
      </c>
      <c r="Z93" s="485">
        <f t="shared" si="79"/>
        <v>6.5947826086956596</v>
      </c>
      <c r="AA93" s="479">
        <v>115000</v>
      </c>
      <c r="AB93" s="459">
        <v>126616</v>
      </c>
      <c r="AC93" s="459">
        <f t="shared" si="80"/>
        <v>11616</v>
      </c>
      <c r="AD93" s="470">
        <f t="shared" si="81"/>
        <v>10.100869565217385</v>
      </c>
      <c r="AE93" s="479">
        <v>115000</v>
      </c>
      <c r="AF93" s="468">
        <v>125272</v>
      </c>
      <c r="AG93" s="467">
        <f t="shared" si="82"/>
        <v>10272</v>
      </c>
      <c r="AH93" s="470">
        <f t="shared" si="83"/>
        <v>8.932173913043485</v>
      </c>
      <c r="AI93" s="479">
        <v>115000</v>
      </c>
      <c r="AJ93" s="463">
        <v>122584</v>
      </c>
      <c r="AK93" s="467">
        <f t="shared" si="84"/>
        <v>7584</v>
      </c>
      <c r="AL93" s="470">
        <f t="shared" si="85"/>
        <v>6.5947826086956596</v>
      </c>
      <c r="AM93" s="479">
        <v>115000</v>
      </c>
      <c r="AN93" s="463">
        <v>125272</v>
      </c>
      <c r="AO93" s="467">
        <f t="shared" si="86"/>
        <v>10272</v>
      </c>
      <c r="AP93" s="470">
        <f t="shared" si="87"/>
        <v>8.932173913043485</v>
      </c>
      <c r="AQ93" s="479">
        <v>115000</v>
      </c>
      <c r="AR93" s="468"/>
      <c r="AS93" s="467">
        <f t="shared" si="88"/>
        <v>-115000</v>
      </c>
      <c r="AT93" s="470">
        <f t="shared" si="89"/>
        <v>-100</v>
      </c>
      <c r="AU93" s="479">
        <v>115000</v>
      </c>
      <c r="AV93" s="463"/>
      <c r="AW93" s="459">
        <f t="shared" si="90"/>
        <v>-115000</v>
      </c>
      <c r="AX93" s="470">
        <f t="shared" si="91"/>
        <v>-100</v>
      </c>
      <c r="AY93" s="1097">
        <f t="shared" si="72"/>
        <v>1380000</v>
      </c>
      <c r="AZ93" s="571">
        <f t="shared" si="73"/>
        <v>1248280</v>
      </c>
      <c r="BA93" s="398">
        <f t="shared" si="70"/>
        <v>124828</v>
      </c>
      <c r="BB93" s="805"/>
      <c r="BC93" s="804"/>
    </row>
    <row r="94" spans="1:55" s="119" customFormat="1" ht="18" customHeight="1" x14ac:dyDescent="0.25">
      <c r="A94" s="170">
        <v>51288</v>
      </c>
      <c r="B94" s="332" t="s">
        <v>59</v>
      </c>
      <c r="C94" s="899">
        <v>600000</v>
      </c>
      <c r="D94" s="465">
        <v>543591.1</v>
      </c>
      <c r="E94" s="459">
        <f t="shared" si="71"/>
        <v>-56408.900000000023</v>
      </c>
      <c r="F94" s="469">
        <f t="shared" si="74"/>
        <v>-9.4014833333333385</v>
      </c>
      <c r="G94" s="479">
        <v>600000</v>
      </c>
      <c r="H94" s="459">
        <v>505045.5</v>
      </c>
      <c r="I94" s="459">
        <f t="shared" si="92"/>
        <v>-94954.5</v>
      </c>
      <c r="J94" s="469">
        <f t="shared" si="75"/>
        <v>-15.825750000000005</v>
      </c>
      <c r="K94" s="479">
        <v>600000</v>
      </c>
      <c r="L94" s="830">
        <v>648041.75</v>
      </c>
      <c r="M94" s="467">
        <f t="shared" si="93"/>
        <v>48041.75</v>
      </c>
      <c r="N94" s="469">
        <f t="shared" si="76"/>
        <v>8.006958333333337</v>
      </c>
      <c r="O94" s="479">
        <v>600000</v>
      </c>
      <c r="P94" s="813">
        <v>591547.25</v>
      </c>
      <c r="Q94" s="459">
        <f t="shared" si="94"/>
        <v>-8452.75</v>
      </c>
      <c r="R94" s="469">
        <f t="shared" si="77"/>
        <v>-1.4087916666666644</v>
      </c>
      <c r="S94" s="479">
        <v>600000</v>
      </c>
      <c r="T94" s="459">
        <v>651471</v>
      </c>
      <c r="U94" s="459">
        <f t="shared" si="95"/>
        <v>51471</v>
      </c>
      <c r="V94" s="470">
        <f t="shared" si="78"/>
        <v>8.5785</v>
      </c>
      <c r="W94" s="479">
        <v>600000</v>
      </c>
      <c r="X94" s="459">
        <v>671614.25</v>
      </c>
      <c r="Y94" s="974">
        <f t="shared" si="96"/>
        <v>71614.25</v>
      </c>
      <c r="Z94" s="485">
        <f t="shared" si="79"/>
        <v>11.935708333333327</v>
      </c>
      <c r="AA94" s="479">
        <v>600000</v>
      </c>
      <c r="AB94" s="459">
        <v>640240.88</v>
      </c>
      <c r="AC94" s="459">
        <f t="shared" si="80"/>
        <v>40240.880000000005</v>
      </c>
      <c r="AD94" s="470">
        <f t="shared" si="81"/>
        <v>6.7068133333333391</v>
      </c>
      <c r="AE94" s="479">
        <v>600000</v>
      </c>
      <c r="AF94" s="468">
        <v>736414.22</v>
      </c>
      <c r="AG94" s="467">
        <f t="shared" si="82"/>
        <v>136414.21999999997</v>
      </c>
      <c r="AH94" s="470">
        <f t="shared" si="83"/>
        <v>22.735703333333323</v>
      </c>
      <c r="AI94" s="479">
        <v>600000</v>
      </c>
      <c r="AJ94" s="463">
        <v>733554</v>
      </c>
      <c r="AK94" s="467">
        <f t="shared" si="84"/>
        <v>133554</v>
      </c>
      <c r="AL94" s="470">
        <f t="shared" si="85"/>
        <v>22.259000000000007</v>
      </c>
      <c r="AM94" s="479">
        <v>600000</v>
      </c>
      <c r="AN94" s="463">
        <v>679313.5</v>
      </c>
      <c r="AO94" s="467">
        <f t="shared" si="86"/>
        <v>79313.5</v>
      </c>
      <c r="AP94" s="470">
        <f t="shared" si="87"/>
        <v>13.218916666666658</v>
      </c>
      <c r="AQ94" s="479">
        <v>600000</v>
      </c>
      <c r="AR94" s="468"/>
      <c r="AS94" s="467">
        <f t="shared" si="88"/>
        <v>-600000</v>
      </c>
      <c r="AT94" s="470">
        <f t="shared" si="89"/>
        <v>-100</v>
      </c>
      <c r="AU94" s="479">
        <v>600000</v>
      </c>
      <c r="AV94" s="463"/>
      <c r="AW94" s="459">
        <f t="shared" si="90"/>
        <v>-600000</v>
      </c>
      <c r="AX94" s="470">
        <f t="shared" si="91"/>
        <v>-100</v>
      </c>
      <c r="AY94" s="1097">
        <f t="shared" si="72"/>
        <v>7200000</v>
      </c>
      <c r="AZ94" s="174">
        <f t="shared" si="73"/>
        <v>6400833.4500000002</v>
      </c>
      <c r="BA94" s="398">
        <f t="shared" si="70"/>
        <v>640083.34499999997</v>
      </c>
      <c r="BB94" s="805"/>
      <c r="BC94" s="804"/>
    </row>
    <row r="95" spans="1:55" s="119" customFormat="1" ht="18" customHeight="1" x14ac:dyDescent="0.25">
      <c r="A95" s="170">
        <v>51819</v>
      </c>
      <c r="B95" s="332" t="s">
        <v>189</v>
      </c>
      <c r="C95" s="899">
        <v>1000</v>
      </c>
      <c r="D95" s="465">
        <v>528.29</v>
      </c>
      <c r="E95" s="459">
        <f t="shared" si="71"/>
        <v>-471.71000000000004</v>
      </c>
      <c r="F95" s="469">
        <f t="shared" si="74"/>
        <v>-47.171000000000006</v>
      </c>
      <c r="G95" s="479">
        <v>1000</v>
      </c>
      <c r="H95" s="459">
        <v>337.29</v>
      </c>
      <c r="I95" s="459">
        <f t="shared" si="92"/>
        <v>-662.71</v>
      </c>
      <c r="J95" s="469">
        <f t="shared" si="75"/>
        <v>-66.270999999999987</v>
      </c>
      <c r="K95" s="479">
        <v>1000</v>
      </c>
      <c r="L95" s="830">
        <v>402.95</v>
      </c>
      <c r="M95" s="467">
        <f t="shared" si="93"/>
        <v>-597.04999999999995</v>
      </c>
      <c r="N95" s="469">
        <f t="shared" si="76"/>
        <v>-59.705000000000005</v>
      </c>
      <c r="O95" s="479">
        <v>1000</v>
      </c>
      <c r="P95" s="813">
        <v>480.09</v>
      </c>
      <c r="Q95" s="459">
        <f t="shared" si="94"/>
        <v>-519.91000000000008</v>
      </c>
      <c r="R95" s="469">
        <f t="shared" si="77"/>
        <v>-51.991000000000007</v>
      </c>
      <c r="S95" s="479">
        <v>1000</v>
      </c>
      <c r="T95" s="459">
        <v>462.95</v>
      </c>
      <c r="U95" s="459">
        <f t="shared" si="95"/>
        <v>-537.04999999999995</v>
      </c>
      <c r="V95" s="470">
        <f t="shared" si="78"/>
        <v>-53.705000000000005</v>
      </c>
      <c r="W95" s="479">
        <v>1000</v>
      </c>
      <c r="X95" s="459">
        <v>388.72</v>
      </c>
      <c r="Y95" s="974">
        <f t="shared" si="96"/>
        <v>-611.28</v>
      </c>
      <c r="Z95" s="485">
        <f t="shared" si="79"/>
        <v>-61.128000000000007</v>
      </c>
      <c r="AA95" s="479">
        <v>1000</v>
      </c>
      <c r="AB95" s="459">
        <v>480.21</v>
      </c>
      <c r="AC95" s="459">
        <f t="shared" si="80"/>
        <v>-519.79</v>
      </c>
      <c r="AD95" s="470">
        <f t="shared" si="81"/>
        <v>-51.978999999999999</v>
      </c>
      <c r="AE95" s="479">
        <v>1000</v>
      </c>
      <c r="AF95" s="468">
        <v>314.49</v>
      </c>
      <c r="AG95" s="467">
        <f t="shared" si="82"/>
        <v>-685.51</v>
      </c>
      <c r="AH95" s="470">
        <f t="shared" si="83"/>
        <v>-68.551000000000002</v>
      </c>
      <c r="AI95" s="479">
        <v>1000</v>
      </c>
      <c r="AJ95" s="463">
        <v>280.2</v>
      </c>
      <c r="AK95" s="467">
        <f t="shared" si="84"/>
        <v>-719.8</v>
      </c>
      <c r="AL95" s="470">
        <f t="shared" si="85"/>
        <v>-71.98</v>
      </c>
      <c r="AM95" s="479">
        <v>1000</v>
      </c>
      <c r="AN95" s="463">
        <v>297.35000000000002</v>
      </c>
      <c r="AO95" s="467">
        <f t="shared" si="86"/>
        <v>-702.65</v>
      </c>
      <c r="AP95" s="470">
        <f t="shared" si="87"/>
        <v>-70.265000000000001</v>
      </c>
      <c r="AQ95" s="479">
        <v>1000</v>
      </c>
      <c r="AR95" s="468"/>
      <c r="AS95" s="467">
        <f t="shared" si="88"/>
        <v>-1000</v>
      </c>
      <c r="AT95" s="470">
        <f t="shared" si="89"/>
        <v>-100</v>
      </c>
      <c r="AU95" s="479">
        <v>1000</v>
      </c>
      <c r="AV95" s="463"/>
      <c r="AW95" s="459">
        <f t="shared" si="90"/>
        <v>-1000</v>
      </c>
      <c r="AX95" s="470">
        <f t="shared" si="91"/>
        <v>-100</v>
      </c>
      <c r="AY95" s="1097">
        <f t="shared" si="72"/>
        <v>12000</v>
      </c>
      <c r="AZ95" s="174">
        <f t="shared" si="73"/>
        <v>3972.5399999999995</v>
      </c>
      <c r="BA95" s="398">
        <f t="shared" si="70"/>
        <v>397.25399999999996</v>
      </c>
      <c r="BB95" s="805"/>
      <c r="BC95" s="804"/>
    </row>
    <row r="96" spans="1:55" s="119" customFormat="1" ht="18" customHeight="1" x14ac:dyDescent="0.25">
      <c r="A96" s="170">
        <v>51645</v>
      </c>
      <c r="B96" s="332" t="s">
        <v>3701</v>
      </c>
      <c r="C96" s="899">
        <v>0</v>
      </c>
      <c r="D96" s="465">
        <v>0</v>
      </c>
      <c r="E96" s="459">
        <f t="shared" si="71"/>
        <v>0</v>
      </c>
      <c r="F96" s="469"/>
      <c r="G96" s="899">
        <v>0</v>
      </c>
      <c r="H96" s="459">
        <v>963</v>
      </c>
      <c r="I96" s="459">
        <f t="shared" si="92"/>
        <v>963</v>
      </c>
      <c r="J96" s="469"/>
      <c r="K96" s="899">
        <v>0</v>
      </c>
      <c r="L96" s="830">
        <v>4480</v>
      </c>
      <c r="M96" s="467">
        <f t="shared" si="93"/>
        <v>4480</v>
      </c>
      <c r="N96" s="469"/>
      <c r="O96" s="899">
        <v>0</v>
      </c>
      <c r="P96" s="906">
        <v>-4480</v>
      </c>
      <c r="Q96" s="459">
        <f t="shared" si="94"/>
        <v>-4480</v>
      </c>
      <c r="R96" s="469"/>
      <c r="S96" s="899">
        <v>0</v>
      </c>
      <c r="T96" s="459">
        <v>0</v>
      </c>
      <c r="U96" s="459">
        <f t="shared" si="95"/>
        <v>0</v>
      </c>
      <c r="V96" s="470"/>
      <c r="W96" s="899">
        <v>0</v>
      </c>
      <c r="X96" s="459">
        <v>420</v>
      </c>
      <c r="Y96" s="974">
        <f t="shared" si="96"/>
        <v>420</v>
      </c>
      <c r="Z96" s="485"/>
      <c r="AA96" s="899">
        <v>0</v>
      </c>
      <c r="AB96" s="459">
        <v>420</v>
      </c>
      <c r="AC96" s="459">
        <f t="shared" si="80"/>
        <v>420</v>
      </c>
      <c r="AD96" s="470"/>
      <c r="AE96" s="899">
        <v>0</v>
      </c>
      <c r="AF96" s="468">
        <v>380</v>
      </c>
      <c r="AG96" s="467">
        <f t="shared" si="82"/>
        <v>380</v>
      </c>
      <c r="AH96" s="470"/>
      <c r="AI96" s="899">
        <v>0</v>
      </c>
      <c r="AJ96" s="463">
        <v>490</v>
      </c>
      <c r="AK96" s="467">
        <f t="shared" si="84"/>
        <v>490</v>
      </c>
      <c r="AL96" s="470"/>
      <c r="AM96" s="899">
        <v>0</v>
      </c>
      <c r="AN96" s="463">
        <v>380</v>
      </c>
      <c r="AO96" s="467">
        <f t="shared" si="86"/>
        <v>380</v>
      </c>
      <c r="AP96" s="470"/>
      <c r="AQ96" s="899">
        <v>0</v>
      </c>
      <c r="AR96" s="468"/>
      <c r="AS96" s="467">
        <f t="shared" si="88"/>
        <v>0</v>
      </c>
      <c r="AT96" s="470"/>
      <c r="AU96" s="899">
        <v>0</v>
      </c>
      <c r="AV96" s="463"/>
      <c r="AW96" s="459">
        <f t="shared" si="90"/>
        <v>0</v>
      </c>
      <c r="AX96" s="470"/>
      <c r="AY96" s="1097">
        <f t="shared" si="72"/>
        <v>0</v>
      </c>
      <c r="AZ96" s="174">
        <f t="shared" si="73"/>
        <v>3053</v>
      </c>
      <c r="BA96" s="398">
        <f t="shared" si="70"/>
        <v>305.3</v>
      </c>
      <c r="BB96" s="805"/>
      <c r="BC96" s="804"/>
    </row>
    <row r="97" spans="1:95" s="119" customFormat="1" ht="18" customHeight="1" x14ac:dyDescent="0.25">
      <c r="A97" s="170">
        <v>51820</v>
      </c>
      <c r="B97" s="332" t="s">
        <v>190</v>
      </c>
      <c r="C97" s="899">
        <v>1000</v>
      </c>
      <c r="D97" s="465">
        <v>1218.4100000000001</v>
      </c>
      <c r="E97" s="459">
        <f t="shared" si="71"/>
        <v>218.41000000000008</v>
      </c>
      <c r="F97" s="469">
        <f t="shared" si="74"/>
        <v>21.841000000000001</v>
      </c>
      <c r="G97" s="479">
        <v>1000</v>
      </c>
      <c r="H97" s="459">
        <v>1027.4100000000001</v>
      </c>
      <c r="I97" s="459">
        <f t="shared" si="92"/>
        <v>27.410000000000082</v>
      </c>
      <c r="J97" s="469">
        <f t="shared" si="75"/>
        <v>2.7410000000000156</v>
      </c>
      <c r="K97" s="479">
        <v>1000</v>
      </c>
      <c r="L97" s="830">
        <v>1093.07</v>
      </c>
      <c r="M97" s="467">
        <f t="shared" si="93"/>
        <v>93.069999999999936</v>
      </c>
      <c r="N97" s="469">
        <f t="shared" si="76"/>
        <v>9.3069999999999986</v>
      </c>
      <c r="O97" s="479">
        <v>1000</v>
      </c>
      <c r="P97" s="813">
        <v>1170.21</v>
      </c>
      <c r="Q97" s="459">
        <f t="shared" si="94"/>
        <v>170.21000000000004</v>
      </c>
      <c r="R97" s="469">
        <f t="shared" si="77"/>
        <v>17.020999999999997</v>
      </c>
      <c r="S97" s="479">
        <v>1000</v>
      </c>
      <c r="T97" s="459">
        <v>1153.07</v>
      </c>
      <c r="U97" s="459">
        <f t="shared" si="95"/>
        <v>153.06999999999994</v>
      </c>
      <c r="V97" s="470">
        <f t="shared" si="78"/>
        <v>15.307000000000004</v>
      </c>
      <c r="W97" s="479">
        <v>1000</v>
      </c>
      <c r="X97" s="459">
        <v>1078.8399999999999</v>
      </c>
      <c r="Y97" s="974">
        <f t="shared" si="96"/>
        <v>78.839999999999918</v>
      </c>
      <c r="Z97" s="485">
        <f t="shared" si="79"/>
        <v>7.8840000000000021</v>
      </c>
      <c r="AA97" s="479">
        <v>1000</v>
      </c>
      <c r="AB97" s="459">
        <v>1170.21</v>
      </c>
      <c r="AC97" s="459">
        <f t="shared" si="80"/>
        <v>170.21000000000004</v>
      </c>
      <c r="AD97" s="470">
        <f t="shared" si="81"/>
        <v>17.020999999999997</v>
      </c>
      <c r="AE97" s="479">
        <v>1000</v>
      </c>
      <c r="AF97" s="468">
        <v>1004.61</v>
      </c>
      <c r="AG97" s="467">
        <f t="shared" si="82"/>
        <v>4.6100000000000136</v>
      </c>
      <c r="AH97" s="470">
        <f t="shared" si="83"/>
        <v>0.4610000000000003</v>
      </c>
      <c r="AI97" s="479">
        <v>1000</v>
      </c>
      <c r="AJ97" s="463">
        <v>970.32</v>
      </c>
      <c r="AK97" s="467">
        <f t="shared" si="84"/>
        <v>-29.67999999999995</v>
      </c>
      <c r="AL97" s="470">
        <f t="shared" si="85"/>
        <v>-2.9679999999999929</v>
      </c>
      <c r="AM97" s="479">
        <v>1000</v>
      </c>
      <c r="AN97" s="463">
        <v>987.47</v>
      </c>
      <c r="AO97" s="467">
        <f t="shared" si="86"/>
        <v>-12.529999999999973</v>
      </c>
      <c r="AP97" s="470">
        <f t="shared" si="87"/>
        <v>-1.252999999999993</v>
      </c>
      <c r="AQ97" s="479">
        <v>1000</v>
      </c>
      <c r="AR97" s="468"/>
      <c r="AS97" s="467">
        <f t="shared" si="88"/>
        <v>-1000</v>
      </c>
      <c r="AT97" s="470">
        <f t="shared" si="89"/>
        <v>-100</v>
      </c>
      <c r="AU97" s="479">
        <v>1000</v>
      </c>
      <c r="AV97" s="463"/>
      <c r="AW97" s="459">
        <f t="shared" si="90"/>
        <v>-1000</v>
      </c>
      <c r="AX97" s="470">
        <f t="shared" si="91"/>
        <v>-100</v>
      </c>
      <c r="AY97" s="1097">
        <f t="shared" si="72"/>
        <v>12000</v>
      </c>
      <c r="AZ97" s="174">
        <f t="shared" si="73"/>
        <v>10873.619999999999</v>
      </c>
      <c r="BA97" s="398">
        <f t="shared" si="70"/>
        <v>1087.3619999999999</v>
      </c>
      <c r="BB97" s="805"/>
      <c r="BC97" s="804"/>
    </row>
    <row r="98" spans="1:95" s="119" customFormat="1" ht="18" customHeight="1" x14ac:dyDescent="0.25">
      <c r="A98" s="170">
        <v>51821</v>
      </c>
      <c r="B98" s="332" t="s">
        <v>191</v>
      </c>
      <c r="C98" s="899">
        <v>4000</v>
      </c>
      <c r="D98" s="465">
        <v>3534.88</v>
      </c>
      <c r="E98" s="459">
        <f t="shared" si="71"/>
        <v>-465.11999999999989</v>
      </c>
      <c r="F98" s="469">
        <f t="shared" si="74"/>
        <v>-11.627999999999993</v>
      </c>
      <c r="G98" s="479">
        <v>4000</v>
      </c>
      <c r="H98" s="459">
        <v>3343.87</v>
      </c>
      <c r="I98" s="459">
        <f t="shared" si="92"/>
        <v>-656.13000000000011</v>
      </c>
      <c r="J98" s="469">
        <f t="shared" si="75"/>
        <v>-16.403250000000003</v>
      </c>
      <c r="K98" s="479">
        <v>4000</v>
      </c>
      <c r="L98" s="830">
        <v>3409.53</v>
      </c>
      <c r="M98" s="467">
        <f t="shared" si="93"/>
        <v>-590.4699999999998</v>
      </c>
      <c r="N98" s="469">
        <f t="shared" si="76"/>
        <v>-14.761749999999996</v>
      </c>
      <c r="O98" s="479">
        <v>4000</v>
      </c>
      <c r="P98" s="813">
        <v>3486.67</v>
      </c>
      <c r="Q98" s="459">
        <f t="shared" si="94"/>
        <v>-513.32999999999993</v>
      </c>
      <c r="R98" s="469">
        <f t="shared" si="77"/>
        <v>-12.833249999999996</v>
      </c>
      <c r="S98" s="479">
        <v>4000</v>
      </c>
      <c r="T98" s="459">
        <v>3469.53</v>
      </c>
      <c r="U98" s="459">
        <f t="shared" si="95"/>
        <v>-530.4699999999998</v>
      </c>
      <c r="V98" s="470">
        <f t="shared" si="78"/>
        <v>-13.261749999999994</v>
      </c>
      <c r="W98" s="479">
        <v>4000</v>
      </c>
      <c r="X98" s="459">
        <v>3395.3</v>
      </c>
      <c r="Y98" s="974">
        <f t="shared" si="96"/>
        <v>-604.69999999999982</v>
      </c>
      <c r="Z98" s="485">
        <f t="shared" si="79"/>
        <v>-15.117499999999994</v>
      </c>
      <c r="AA98" s="479">
        <v>4000</v>
      </c>
      <c r="AB98" s="459">
        <v>3486.67</v>
      </c>
      <c r="AC98" s="459">
        <f t="shared" si="80"/>
        <v>-513.32999999999993</v>
      </c>
      <c r="AD98" s="470">
        <f t="shared" si="81"/>
        <v>-12.833249999999996</v>
      </c>
      <c r="AE98" s="479">
        <v>4000</v>
      </c>
      <c r="AF98" s="468">
        <v>3321.06</v>
      </c>
      <c r="AG98" s="467">
        <f t="shared" si="82"/>
        <v>-678.94</v>
      </c>
      <c r="AH98" s="470">
        <f t="shared" si="83"/>
        <v>-16.973499999999998</v>
      </c>
      <c r="AI98" s="479">
        <v>4000</v>
      </c>
      <c r="AJ98" s="463">
        <v>3286.79</v>
      </c>
      <c r="AK98" s="467">
        <f t="shared" si="84"/>
        <v>-713.21</v>
      </c>
      <c r="AL98" s="470">
        <f t="shared" si="85"/>
        <v>-17.830250000000003</v>
      </c>
      <c r="AM98" s="479">
        <v>4000</v>
      </c>
      <c r="AN98" s="463">
        <v>3303.91</v>
      </c>
      <c r="AO98" s="467">
        <f t="shared" si="86"/>
        <v>-696.09000000000015</v>
      </c>
      <c r="AP98" s="470">
        <f t="shared" si="87"/>
        <v>-17.402250000000009</v>
      </c>
      <c r="AQ98" s="479">
        <v>4000</v>
      </c>
      <c r="AR98" s="468"/>
      <c r="AS98" s="467">
        <f t="shared" si="88"/>
        <v>-4000</v>
      </c>
      <c r="AT98" s="470">
        <f t="shared" si="89"/>
        <v>-100</v>
      </c>
      <c r="AU98" s="479">
        <v>4000</v>
      </c>
      <c r="AV98" s="463"/>
      <c r="AW98" s="459">
        <f t="shared" si="90"/>
        <v>-4000</v>
      </c>
      <c r="AX98" s="470">
        <f t="shared" si="91"/>
        <v>-100</v>
      </c>
      <c r="AY98" s="1097">
        <f t="shared" si="72"/>
        <v>48000</v>
      </c>
      <c r="AZ98" s="571">
        <f t="shared" si="73"/>
        <v>34038.21</v>
      </c>
      <c r="BA98" s="398">
        <f t="shared" si="70"/>
        <v>3403.8209999999999</v>
      </c>
      <c r="BB98" s="805"/>
      <c r="BC98" s="804"/>
    </row>
    <row r="99" spans="1:95" s="119" customFormat="1" ht="18" customHeight="1" x14ac:dyDescent="0.25">
      <c r="A99" s="170">
        <v>51822</v>
      </c>
      <c r="B99" s="332" t="s">
        <v>192</v>
      </c>
      <c r="C99" s="899">
        <v>90000</v>
      </c>
      <c r="D99" s="465">
        <v>80474.240000000005</v>
      </c>
      <c r="E99" s="459">
        <f t="shared" si="71"/>
        <v>-9525.7599999999948</v>
      </c>
      <c r="F99" s="469">
        <f t="shared" si="74"/>
        <v>-10.58417777777777</v>
      </c>
      <c r="G99" s="479">
        <v>90000</v>
      </c>
      <c r="H99" s="459">
        <v>80614.16</v>
      </c>
      <c r="I99" s="459">
        <f t="shared" si="92"/>
        <v>-9385.8399999999965</v>
      </c>
      <c r="J99" s="469">
        <f t="shared" si="75"/>
        <v>-10.428711111111111</v>
      </c>
      <c r="K99" s="479">
        <v>90000</v>
      </c>
      <c r="L99" s="830">
        <v>84624.51</v>
      </c>
      <c r="M99" s="467">
        <f t="shared" si="93"/>
        <v>-5375.4900000000052</v>
      </c>
      <c r="N99" s="469">
        <f t="shared" si="76"/>
        <v>-5.9727666666666739</v>
      </c>
      <c r="O99" s="479">
        <v>90000</v>
      </c>
      <c r="P99" s="813">
        <v>77679.8</v>
      </c>
      <c r="Q99" s="459">
        <f t="shared" si="94"/>
        <v>-12320.199999999997</v>
      </c>
      <c r="R99" s="469">
        <f t="shared" si="77"/>
        <v>-13.689111111111107</v>
      </c>
      <c r="S99" s="479">
        <v>90000</v>
      </c>
      <c r="T99" s="459">
        <v>83207.67</v>
      </c>
      <c r="U99" s="459">
        <f t="shared" si="95"/>
        <v>-6792.3300000000017</v>
      </c>
      <c r="V99" s="470">
        <f t="shared" si="78"/>
        <v>-7.5470333333333306</v>
      </c>
      <c r="W99" s="479">
        <v>90000</v>
      </c>
      <c r="X99" s="459">
        <v>86746.69</v>
      </c>
      <c r="Y99" s="974">
        <f t="shared" si="96"/>
        <v>-3253.3099999999977</v>
      </c>
      <c r="Z99" s="485">
        <f t="shared" si="79"/>
        <v>-3.6147888888888868</v>
      </c>
      <c r="AA99" s="479">
        <v>90000</v>
      </c>
      <c r="AB99" s="459">
        <v>89226.11</v>
      </c>
      <c r="AC99" s="459">
        <f t="shared" si="80"/>
        <v>-773.88999999999942</v>
      </c>
      <c r="AD99" s="470">
        <f t="shared" si="81"/>
        <v>-0.8598777777777733</v>
      </c>
      <c r="AE99" s="479">
        <v>90000</v>
      </c>
      <c r="AF99" s="468">
        <v>103539.26</v>
      </c>
      <c r="AG99" s="467">
        <f t="shared" si="82"/>
        <v>13539.259999999995</v>
      </c>
      <c r="AH99" s="470">
        <f t="shared" si="83"/>
        <v>15.043622222222218</v>
      </c>
      <c r="AI99" s="479">
        <v>90000</v>
      </c>
      <c r="AJ99" s="463">
        <v>95150.64</v>
      </c>
      <c r="AK99" s="467">
        <f t="shared" si="84"/>
        <v>5150.6399999999994</v>
      </c>
      <c r="AL99" s="470">
        <f t="shared" si="85"/>
        <v>5.7229333333333354</v>
      </c>
      <c r="AM99" s="479">
        <v>90000</v>
      </c>
      <c r="AN99" s="463">
        <v>96094.97</v>
      </c>
      <c r="AO99" s="467">
        <f t="shared" si="86"/>
        <v>6094.9700000000012</v>
      </c>
      <c r="AP99" s="470">
        <f t="shared" si="87"/>
        <v>6.7721888888888859</v>
      </c>
      <c r="AQ99" s="479">
        <v>90000</v>
      </c>
      <c r="AR99" s="468"/>
      <c r="AS99" s="467">
        <f t="shared" si="88"/>
        <v>-90000</v>
      </c>
      <c r="AT99" s="470">
        <f t="shared" si="89"/>
        <v>-100</v>
      </c>
      <c r="AU99" s="479">
        <v>90000</v>
      </c>
      <c r="AV99" s="463"/>
      <c r="AW99" s="459">
        <f t="shared" si="90"/>
        <v>-90000</v>
      </c>
      <c r="AX99" s="470">
        <f t="shared" si="91"/>
        <v>-100</v>
      </c>
      <c r="AY99" s="1097">
        <f t="shared" si="72"/>
        <v>1080000</v>
      </c>
      <c r="AZ99" s="174">
        <f t="shared" si="73"/>
        <v>877358.05</v>
      </c>
      <c r="BA99" s="398">
        <f t="shared" si="70"/>
        <v>87735.805000000008</v>
      </c>
      <c r="BB99" s="805"/>
      <c r="BC99" s="804"/>
    </row>
    <row r="100" spans="1:95" s="119" customFormat="1" ht="18" customHeight="1" x14ac:dyDescent="0.25">
      <c r="A100" s="170">
        <v>52230</v>
      </c>
      <c r="B100" s="332" t="s">
        <v>193</v>
      </c>
      <c r="C100" s="899">
        <v>25000</v>
      </c>
      <c r="D100" s="465">
        <v>8696.42</v>
      </c>
      <c r="E100" s="459">
        <f t="shared" si="71"/>
        <v>-16303.58</v>
      </c>
      <c r="F100" s="469">
        <f t="shared" si="74"/>
        <v>-65.214320000000001</v>
      </c>
      <c r="G100" s="479">
        <v>25000</v>
      </c>
      <c r="H100" s="459">
        <v>61441</v>
      </c>
      <c r="I100" s="459">
        <f t="shared" si="92"/>
        <v>36441</v>
      </c>
      <c r="J100" s="469">
        <f t="shared" si="75"/>
        <v>145.76400000000001</v>
      </c>
      <c r="K100" s="479">
        <v>25000</v>
      </c>
      <c r="L100" s="830">
        <v>10600</v>
      </c>
      <c r="M100" s="467">
        <f t="shared" si="93"/>
        <v>-14400</v>
      </c>
      <c r="N100" s="469">
        <f t="shared" si="76"/>
        <v>-57.600000000000009</v>
      </c>
      <c r="O100" s="479">
        <v>25000</v>
      </c>
      <c r="P100" s="813">
        <v>10600</v>
      </c>
      <c r="Q100" s="459">
        <f t="shared" si="94"/>
        <v>-14400</v>
      </c>
      <c r="R100" s="469">
        <f t="shared" si="77"/>
        <v>-57.600000000000009</v>
      </c>
      <c r="S100" s="479">
        <v>25000</v>
      </c>
      <c r="T100" s="459">
        <v>10600</v>
      </c>
      <c r="U100" s="459">
        <f t="shared" si="95"/>
        <v>-14400</v>
      </c>
      <c r="V100" s="470">
        <f t="shared" si="78"/>
        <v>-57.600000000000009</v>
      </c>
      <c r="W100" s="479">
        <v>25000</v>
      </c>
      <c r="X100" s="459">
        <v>10600</v>
      </c>
      <c r="Y100" s="974">
        <f t="shared" si="96"/>
        <v>-14400</v>
      </c>
      <c r="Z100" s="485">
        <f t="shared" si="79"/>
        <v>-57.600000000000009</v>
      </c>
      <c r="AA100" s="479">
        <v>25000</v>
      </c>
      <c r="AB100" s="459">
        <v>10600</v>
      </c>
      <c r="AC100" s="459">
        <f t="shared" si="80"/>
        <v>-14400</v>
      </c>
      <c r="AD100" s="470">
        <f t="shared" si="81"/>
        <v>-57.600000000000009</v>
      </c>
      <c r="AE100" s="479">
        <v>25000</v>
      </c>
      <c r="AF100" s="468">
        <v>10600</v>
      </c>
      <c r="AG100" s="467">
        <f t="shared" si="82"/>
        <v>-14400</v>
      </c>
      <c r="AH100" s="470">
        <f t="shared" si="83"/>
        <v>-57.600000000000009</v>
      </c>
      <c r="AI100" s="479">
        <v>25000</v>
      </c>
      <c r="AJ100" s="463">
        <v>10600</v>
      </c>
      <c r="AK100" s="467">
        <f t="shared" si="84"/>
        <v>-14400</v>
      </c>
      <c r="AL100" s="470">
        <f t="shared" si="85"/>
        <v>-57.600000000000009</v>
      </c>
      <c r="AM100" s="479">
        <v>25000</v>
      </c>
      <c r="AN100" s="463">
        <v>10600</v>
      </c>
      <c r="AO100" s="467">
        <f t="shared" si="86"/>
        <v>-14400</v>
      </c>
      <c r="AP100" s="470">
        <f t="shared" si="87"/>
        <v>-57.600000000000009</v>
      </c>
      <c r="AQ100" s="479">
        <v>25000</v>
      </c>
      <c r="AR100" s="468"/>
      <c r="AS100" s="467">
        <f t="shared" si="88"/>
        <v>-25000</v>
      </c>
      <c r="AT100" s="470">
        <f t="shared" si="89"/>
        <v>-100</v>
      </c>
      <c r="AU100" s="479">
        <v>25000</v>
      </c>
      <c r="AV100" s="463"/>
      <c r="AW100" s="459">
        <f t="shared" si="90"/>
        <v>-25000</v>
      </c>
      <c r="AX100" s="470">
        <f t="shared" si="91"/>
        <v>-100</v>
      </c>
      <c r="AY100" s="1097">
        <f t="shared" si="72"/>
        <v>300000</v>
      </c>
      <c r="AZ100" s="174">
        <f t="shared" si="73"/>
        <v>154937.41999999998</v>
      </c>
      <c r="BA100" s="398">
        <f t="shared" si="70"/>
        <v>15493.741999999998</v>
      </c>
      <c r="BB100" s="805"/>
      <c r="BC100" s="804"/>
    </row>
    <row r="101" spans="1:95" s="119" customFormat="1" ht="18" customHeight="1" x14ac:dyDescent="0.25">
      <c r="A101" s="170">
        <v>52563</v>
      </c>
      <c r="B101" s="332" t="s">
        <v>60</v>
      </c>
      <c r="C101" s="899">
        <v>20000</v>
      </c>
      <c r="D101" s="465">
        <v>14994.7</v>
      </c>
      <c r="E101" s="459">
        <f t="shared" si="71"/>
        <v>-5005.2999999999993</v>
      </c>
      <c r="F101" s="469">
        <f t="shared" si="74"/>
        <v>-25.026499999999995</v>
      </c>
      <c r="G101" s="479">
        <v>20000</v>
      </c>
      <c r="H101" s="459">
        <v>18346</v>
      </c>
      <c r="I101" s="459">
        <f t="shared" si="92"/>
        <v>-1654</v>
      </c>
      <c r="J101" s="469">
        <f t="shared" si="75"/>
        <v>-8.27</v>
      </c>
      <c r="K101" s="479">
        <v>20000</v>
      </c>
      <c r="L101" s="830">
        <v>18666</v>
      </c>
      <c r="M101" s="467">
        <f t="shared" si="93"/>
        <v>-1334</v>
      </c>
      <c r="N101" s="469">
        <f t="shared" si="76"/>
        <v>-6.6699999999999982</v>
      </c>
      <c r="O101" s="479">
        <v>20000</v>
      </c>
      <c r="P101" s="813">
        <v>17866</v>
      </c>
      <c r="Q101" s="459">
        <f t="shared" si="94"/>
        <v>-2134</v>
      </c>
      <c r="R101" s="469">
        <f t="shared" si="77"/>
        <v>-10.670000000000002</v>
      </c>
      <c r="S101" s="479">
        <v>20000</v>
      </c>
      <c r="T101" s="459">
        <v>17947</v>
      </c>
      <c r="U101" s="459">
        <f t="shared" si="95"/>
        <v>-2053</v>
      </c>
      <c r="V101" s="470">
        <f t="shared" si="78"/>
        <v>-10.265000000000002</v>
      </c>
      <c r="W101" s="479">
        <v>20000</v>
      </c>
      <c r="X101" s="459">
        <v>18046</v>
      </c>
      <c r="Y101" s="974">
        <f t="shared" si="96"/>
        <v>-1954</v>
      </c>
      <c r="Z101" s="485">
        <f t="shared" si="79"/>
        <v>-9.7700000000000014</v>
      </c>
      <c r="AA101" s="479">
        <v>20000</v>
      </c>
      <c r="AB101" s="459">
        <v>17966</v>
      </c>
      <c r="AC101" s="459">
        <f t="shared" si="80"/>
        <v>-2034</v>
      </c>
      <c r="AD101" s="470">
        <f t="shared" si="81"/>
        <v>-10.170000000000002</v>
      </c>
      <c r="AE101" s="479">
        <v>20000</v>
      </c>
      <c r="AF101" s="468">
        <v>18066</v>
      </c>
      <c r="AG101" s="467">
        <f t="shared" si="82"/>
        <v>-1934</v>
      </c>
      <c r="AH101" s="470">
        <f t="shared" si="83"/>
        <v>-9.6700000000000017</v>
      </c>
      <c r="AI101" s="479">
        <v>20000</v>
      </c>
      <c r="AJ101" s="463">
        <v>15546</v>
      </c>
      <c r="AK101" s="467">
        <f t="shared" si="84"/>
        <v>-4454</v>
      </c>
      <c r="AL101" s="470">
        <f t="shared" si="85"/>
        <v>-22.27</v>
      </c>
      <c r="AM101" s="479">
        <v>20000</v>
      </c>
      <c r="AN101" s="463">
        <v>17725.5</v>
      </c>
      <c r="AO101" s="467">
        <f t="shared" si="86"/>
        <v>-2274.5</v>
      </c>
      <c r="AP101" s="470">
        <f t="shared" si="87"/>
        <v>-11.372499999999997</v>
      </c>
      <c r="AQ101" s="479">
        <v>20000</v>
      </c>
      <c r="AR101" s="468"/>
      <c r="AS101" s="467">
        <f t="shared" si="88"/>
        <v>-20000</v>
      </c>
      <c r="AT101" s="470">
        <f t="shared" si="89"/>
        <v>-100</v>
      </c>
      <c r="AU101" s="479">
        <v>20000</v>
      </c>
      <c r="AV101" s="463"/>
      <c r="AW101" s="459">
        <f t="shared" si="90"/>
        <v>-20000</v>
      </c>
      <c r="AX101" s="470">
        <f t="shared" si="91"/>
        <v>-100</v>
      </c>
      <c r="AY101" s="1097">
        <f t="shared" si="72"/>
        <v>240000</v>
      </c>
      <c r="AZ101" s="174">
        <f t="shared" si="73"/>
        <v>175169.2</v>
      </c>
      <c r="BA101" s="398">
        <f t="shared" si="70"/>
        <v>17516.920000000002</v>
      </c>
      <c r="BB101" s="805"/>
      <c r="BC101" s="804"/>
    </row>
    <row r="102" spans="1:95" s="119" customFormat="1" ht="18" customHeight="1" x14ac:dyDescent="0.25">
      <c r="A102" s="170">
        <v>12878</v>
      </c>
      <c r="B102" s="332" t="s">
        <v>194</v>
      </c>
      <c r="C102" s="899">
        <v>1000</v>
      </c>
      <c r="D102" s="465">
        <v>789.25</v>
      </c>
      <c r="E102" s="459">
        <f t="shared" si="71"/>
        <v>-210.75</v>
      </c>
      <c r="F102" s="469">
        <f t="shared" si="74"/>
        <v>-21.074999999999999</v>
      </c>
      <c r="G102" s="479">
        <v>1000</v>
      </c>
      <c r="H102" s="459">
        <v>1236.25</v>
      </c>
      <c r="I102" s="459">
        <f t="shared" si="92"/>
        <v>236.25</v>
      </c>
      <c r="J102" s="469">
        <f t="shared" si="75"/>
        <v>23.625000000000007</v>
      </c>
      <c r="K102" s="479">
        <v>1000</v>
      </c>
      <c r="L102" s="830">
        <v>973.7</v>
      </c>
      <c r="M102" s="467">
        <f t="shared" si="93"/>
        <v>-26.299999999999955</v>
      </c>
      <c r="N102" s="469">
        <f t="shared" si="76"/>
        <v>-2.629999999999999</v>
      </c>
      <c r="O102" s="479">
        <v>1000</v>
      </c>
      <c r="P102" s="813">
        <v>659.2</v>
      </c>
      <c r="Q102" s="459">
        <f t="shared" si="94"/>
        <v>-340.79999999999995</v>
      </c>
      <c r="R102" s="469">
        <f t="shared" si="77"/>
        <v>-34.08</v>
      </c>
      <c r="S102" s="479">
        <v>1000</v>
      </c>
      <c r="T102" s="459">
        <v>476.5</v>
      </c>
      <c r="U102" s="459">
        <f t="shared" si="95"/>
        <v>-523.5</v>
      </c>
      <c r="V102" s="470">
        <f t="shared" si="78"/>
        <v>-52.350000000000009</v>
      </c>
      <c r="W102" s="479">
        <v>1000</v>
      </c>
      <c r="X102" s="459">
        <v>670.7</v>
      </c>
      <c r="Y102" s="974">
        <f t="shared" si="96"/>
        <v>-329.29999999999995</v>
      </c>
      <c r="Z102" s="485">
        <f t="shared" si="79"/>
        <v>-32.929999999999993</v>
      </c>
      <c r="AA102" s="479">
        <v>1000</v>
      </c>
      <c r="AB102" s="459">
        <v>505.15</v>
      </c>
      <c r="AC102" s="459">
        <f t="shared" si="80"/>
        <v>-494.85</v>
      </c>
      <c r="AD102" s="470">
        <f t="shared" si="81"/>
        <v>-49.484999999999999</v>
      </c>
      <c r="AE102" s="479">
        <v>1000</v>
      </c>
      <c r="AF102" s="468">
        <v>760.1</v>
      </c>
      <c r="AG102" s="467">
        <f t="shared" si="82"/>
        <v>-239.89999999999998</v>
      </c>
      <c r="AH102" s="470">
        <f t="shared" si="83"/>
        <v>-23.990000000000002</v>
      </c>
      <c r="AI102" s="479">
        <v>1000</v>
      </c>
      <c r="AJ102" s="463">
        <v>508.25</v>
      </c>
      <c r="AK102" s="467">
        <f t="shared" si="84"/>
        <v>-491.75</v>
      </c>
      <c r="AL102" s="470">
        <f t="shared" si="85"/>
        <v>-49.175000000000004</v>
      </c>
      <c r="AM102" s="479">
        <v>1000</v>
      </c>
      <c r="AN102" s="463">
        <v>1010.7</v>
      </c>
      <c r="AO102" s="467">
        <f t="shared" si="86"/>
        <v>10.700000000000045</v>
      </c>
      <c r="AP102" s="470">
        <f t="shared" si="87"/>
        <v>1.0700000000000154</v>
      </c>
      <c r="AQ102" s="479">
        <v>1000</v>
      </c>
      <c r="AR102" s="468"/>
      <c r="AS102" s="467">
        <f t="shared" si="88"/>
        <v>-1000</v>
      </c>
      <c r="AT102" s="470">
        <f t="shared" si="89"/>
        <v>-100</v>
      </c>
      <c r="AU102" s="479">
        <v>1000</v>
      </c>
      <c r="AV102" s="463"/>
      <c r="AW102" s="459">
        <f t="shared" si="90"/>
        <v>-1000</v>
      </c>
      <c r="AX102" s="470">
        <f t="shared" si="91"/>
        <v>-100</v>
      </c>
      <c r="AY102" s="1097">
        <f t="shared" si="72"/>
        <v>12000</v>
      </c>
      <c r="AZ102" s="571">
        <f t="shared" si="73"/>
        <v>7589.7999999999993</v>
      </c>
      <c r="BA102" s="398">
        <f t="shared" si="70"/>
        <v>758.9799999999999</v>
      </c>
      <c r="BB102" s="805"/>
      <c r="BC102" s="804"/>
    </row>
    <row r="103" spans="1:95" s="119" customFormat="1" ht="18" customHeight="1" x14ac:dyDescent="0.25">
      <c r="A103" s="170">
        <v>54956</v>
      </c>
      <c r="B103" s="332" t="s">
        <v>188</v>
      </c>
      <c r="C103" s="899">
        <v>0</v>
      </c>
      <c r="D103" s="465">
        <v>0</v>
      </c>
      <c r="E103" s="459">
        <f t="shared" si="71"/>
        <v>0</v>
      </c>
      <c r="F103" s="469"/>
      <c r="G103" s="899">
        <v>0</v>
      </c>
      <c r="H103" s="459">
        <v>0</v>
      </c>
      <c r="I103" s="459">
        <f t="shared" si="92"/>
        <v>0</v>
      </c>
      <c r="J103" s="469"/>
      <c r="K103" s="459">
        <v>0</v>
      </c>
      <c r="L103" s="459">
        <v>0</v>
      </c>
      <c r="M103" s="467">
        <f t="shared" si="93"/>
        <v>0</v>
      </c>
      <c r="N103" s="469"/>
      <c r="O103" s="459">
        <v>0</v>
      </c>
      <c r="P103" s="813">
        <v>9900</v>
      </c>
      <c r="Q103" s="459">
        <f t="shared" si="94"/>
        <v>9900</v>
      </c>
      <c r="R103" s="469"/>
      <c r="S103" s="459">
        <v>0</v>
      </c>
      <c r="T103" s="459">
        <v>10230</v>
      </c>
      <c r="U103" s="459">
        <f t="shared" si="95"/>
        <v>10230</v>
      </c>
      <c r="V103" s="470"/>
      <c r="W103" s="459">
        <v>0</v>
      </c>
      <c r="X103" s="459">
        <v>9900</v>
      </c>
      <c r="Y103" s="974">
        <f t="shared" si="96"/>
        <v>9900</v>
      </c>
      <c r="Z103" s="485"/>
      <c r="AA103" s="459">
        <v>0</v>
      </c>
      <c r="AB103" s="459">
        <v>10230</v>
      </c>
      <c r="AC103" s="459">
        <f t="shared" si="80"/>
        <v>10230</v>
      </c>
      <c r="AD103" s="470"/>
      <c r="AE103" s="459">
        <v>0</v>
      </c>
      <c r="AF103" s="468">
        <v>10230</v>
      </c>
      <c r="AG103" s="467">
        <f t="shared" si="82"/>
        <v>10230</v>
      </c>
      <c r="AH103" s="470"/>
      <c r="AI103" s="459">
        <v>0</v>
      </c>
      <c r="AJ103" s="463">
        <v>9900</v>
      </c>
      <c r="AK103" s="467">
        <f t="shared" si="84"/>
        <v>9900</v>
      </c>
      <c r="AL103" s="470"/>
      <c r="AM103" s="459">
        <v>0</v>
      </c>
      <c r="AN103" s="463">
        <v>10230.200000000001</v>
      </c>
      <c r="AO103" s="467">
        <f t="shared" si="86"/>
        <v>10230.200000000001</v>
      </c>
      <c r="AP103" s="470"/>
      <c r="AQ103" s="459">
        <v>0</v>
      </c>
      <c r="AR103" s="468"/>
      <c r="AS103" s="467">
        <f t="shared" si="88"/>
        <v>0</v>
      </c>
      <c r="AT103" s="470"/>
      <c r="AU103" s="467">
        <v>0</v>
      </c>
      <c r="AV103" s="463"/>
      <c r="AW103" s="459">
        <f t="shared" si="90"/>
        <v>0</v>
      </c>
      <c r="AX103" s="470"/>
      <c r="AY103" s="1097">
        <f t="shared" si="72"/>
        <v>0</v>
      </c>
      <c r="AZ103" s="571">
        <f t="shared" si="73"/>
        <v>70620.2</v>
      </c>
      <c r="BA103" s="398">
        <f t="shared" si="70"/>
        <v>7062.0199999999995</v>
      </c>
      <c r="BB103" s="805"/>
      <c r="BC103" s="804"/>
    </row>
    <row r="104" spans="1:95" s="119" customFormat="1" ht="18" customHeight="1" x14ac:dyDescent="0.25">
      <c r="A104" s="170">
        <v>51641</v>
      </c>
      <c r="B104" s="332" t="s">
        <v>61</v>
      </c>
      <c r="C104" s="899">
        <v>60000</v>
      </c>
      <c r="D104" s="465">
        <v>62500</v>
      </c>
      <c r="E104" s="459">
        <f t="shared" si="71"/>
        <v>2500</v>
      </c>
      <c r="F104" s="470">
        <f t="shared" si="74"/>
        <v>4.1666666666666741</v>
      </c>
      <c r="G104" s="479">
        <v>60000</v>
      </c>
      <c r="H104" s="459">
        <v>105600</v>
      </c>
      <c r="I104" s="459">
        <f t="shared" si="92"/>
        <v>45600</v>
      </c>
      <c r="J104" s="469">
        <f t="shared" si="75"/>
        <v>76</v>
      </c>
      <c r="K104" s="479">
        <v>60000</v>
      </c>
      <c r="L104" s="830">
        <v>55600</v>
      </c>
      <c r="M104" s="467">
        <f t="shared" si="93"/>
        <v>-4400</v>
      </c>
      <c r="N104" s="469">
        <f t="shared" si="76"/>
        <v>-7.3333333333333357</v>
      </c>
      <c r="O104" s="479">
        <v>60000</v>
      </c>
      <c r="P104" s="813">
        <v>61000</v>
      </c>
      <c r="Q104" s="459">
        <f t="shared" si="94"/>
        <v>1000</v>
      </c>
      <c r="R104" s="469">
        <f t="shared" si="77"/>
        <v>1.6666666666666607</v>
      </c>
      <c r="S104" s="479">
        <v>60000</v>
      </c>
      <c r="T104" s="459">
        <v>61000</v>
      </c>
      <c r="U104" s="459">
        <f t="shared" si="95"/>
        <v>1000</v>
      </c>
      <c r="V104" s="470">
        <f t="shared" si="78"/>
        <v>1.6666666666666607</v>
      </c>
      <c r="W104" s="479">
        <v>60000</v>
      </c>
      <c r="X104" s="459">
        <v>61000</v>
      </c>
      <c r="Y104" s="974">
        <f t="shared" si="96"/>
        <v>1000</v>
      </c>
      <c r="Z104" s="485">
        <f t="shared" si="79"/>
        <v>1.6666666666666607</v>
      </c>
      <c r="AA104" s="479">
        <v>60000</v>
      </c>
      <c r="AB104" s="459">
        <v>61000</v>
      </c>
      <c r="AC104" s="459">
        <f t="shared" si="80"/>
        <v>1000</v>
      </c>
      <c r="AD104" s="470">
        <f t="shared" si="81"/>
        <v>1.6666666666666607</v>
      </c>
      <c r="AE104" s="479">
        <v>60000</v>
      </c>
      <c r="AF104" s="468">
        <v>61000</v>
      </c>
      <c r="AG104" s="467">
        <f t="shared" si="82"/>
        <v>1000</v>
      </c>
      <c r="AH104" s="470">
        <f t="shared" si="83"/>
        <v>1.6666666666666607</v>
      </c>
      <c r="AI104" s="479">
        <v>60000</v>
      </c>
      <c r="AJ104" s="463">
        <v>61000</v>
      </c>
      <c r="AK104" s="467">
        <f t="shared" si="84"/>
        <v>1000</v>
      </c>
      <c r="AL104" s="470">
        <f t="shared" si="85"/>
        <v>1.6666666666666607</v>
      </c>
      <c r="AM104" s="479">
        <v>60000</v>
      </c>
      <c r="AN104" s="463">
        <v>63169.36</v>
      </c>
      <c r="AO104" s="467">
        <f t="shared" si="86"/>
        <v>3169.3600000000006</v>
      </c>
      <c r="AP104" s="470">
        <f t="shared" si="87"/>
        <v>5.2822666666666684</v>
      </c>
      <c r="AQ104" s="479">
        <v>60000</v>
      </c>
      <c r="AR104" s="468"/>
      <c r="AS104" s="467">
        <f t="shared" si="88"/>
        <v>-60000</v>
      </c>
      <c r="AT104" s="470">
        <f t="shared" si="89"/>
        <v>-100</v>
      </c>
      <c r="AU104" s="479">
        <v>60000</v>
      </c>
      <c r="AV104" s="463"/>
      <c r="AW104" s="463">
        <f t="shared" si="90"/>
        <v>-60000</v>
      </c>
      <c r="AX104" s="470">
        <f t="shared" si="91"/>
        <v>-100</v>
      </c>
      <c r="AY104" s="1097">
        <f t="shared" si="72"/>
        <v>720000</v>
      </c>
      <c r="AZ104" s="174">
        <f t="shared" si="73"/>
        <v>652869.36</v>
      </c>
      <c r="BA104" s="398">
        <f t="shared" si="70"/>
        <v>65286.936000000002</v>
      </c>
      <c r="BB104" s="805"/>
      <c r="BC104" s="804"/>
    </row>
    <row r="105" spans="1:95" s="119" customFormat="1" ht="18" customHeight="1" x14ac:dyDescent="0.25">
      <c r="A105" s="170">
        <v>54957</v>
      </c>
      <c r="B105" s="382" t="s">
        <v>3703</v>
      </c>
      <c r="C105" s="899">
        <v>0</v>
      </c>
      <c r="D105" s="465">
        <v>0</v>
      </c>
      <c r="E105" s="459">
        <f t="shared" si="71"/>
        <v>0</v>
      </c>
      <c r="F105" s="470"/>
      <c r="G105" s="459">
        <v>0</v>
      </c>
      <c r="H105" s="459">
        <v>0</v>
      </c>
      <c r="I105" s="459">
        <f t="shared" si="92"/>
        <v>0</v>
      </c>
      <c r="J105" s="469"/>
      <c r="K105" s="459">
        <v>0</v>
      </c>
      <c r="L105" s="459">
        <v>0</v>
      </c>
      <c r="M105" s="467">
        <f t="shared" si="93"/>
        <v>0</v>
      </c>
      <c r="N105" s="469"/>
      <c r="O105" s="459">
        <v>0</v>
      </c>
      <c r="P105" s="813">
        <v>2500</v>
      </c>
      <c r="Q105" s="459">
        <f t="shared" si="94"/>
        <v>2500</v>
      </c>
      <c r="R105" s="469"/>
      <c r="S105" s="459">
        <v>0</v>
      </c>
      <c r="T105" s="459">
        <v>1500</v>
      </c>
      <c r="U105" s="459">
        <f t="shared" si="95"/>
        <v>1500</v>
      </c>
      <c r="V105" s="470"/>
      <c r="W105" s="459">
        <v>0</v>
      </c>
      <c r="X105" s="459">
        <v>2500</v>
      </c>
      <c r="Y105" s="974">
        <f t="shared" si="96"/>
        <v>2500</v>
      </c>
      <c r="Z105" s="485"/>
      <c r="AA105" s="459">
        <v>0</v>
      </c>
      <c r="AB105" s="459">
        <v>2000</v>
      </c>
      <c r="AC105" s="459">
        <f t="shared" si="80"/>
        <v>2000</v>
      </c>
      <c r="AD105" s="470"/>
      <c r="AE105" s="459">
        <v>0</v>
      </c>
      <c r="AF105" s="468">
        <v>2000</v>
      </c>
      <c r="AG105" s="467">
        <f t="shared" si="82"/>
        <v>2000</v>
      </c>
      <c r="AH105" s="470"/>
      <c r="AI105" s="459">
        <v>0</v>
      </c>
      <c r="AJ105" s="463">
        <v>2000</v>
      </c>
      <c r="AK105" s="467">
        <f t="shared" si="84"/>
        <v>2000</v>
      </c>
      <c r="AL105" s="470"/>
      <c r="AM105" s="459">
        <v>0</v>
      </c>
      <c r="AN105" s="463">
        <v>4500</v>
      </c>
      <c r="AO105" s="467">
        <f t="shared" si="86"/>
        <v>4500</v>
      </c>
      <c r="AP105" s="470"/>
      <c r="AQ105" s="459">
        <v>0</v>
      </c>
      <c r="AR105" s="468"/>
      <c r="AS105" s="467">
        <f t="shared" si="88"/>
        <v>0</v>
      </c>
      <c r="AT105" s="470"/>
      <c r="AU105" s="467">
        <v>0</v>
      </c>
      <c r="AV105" s="463"/>
      <c r="AW105" s="463">
        <f t="shared" si="90"/>
        <v>0</v>
      </c>
      <c r="AX105" s="470"/>
      <c r="AY105" s="1097">
        <f t="shared" si="72"/>
        <v>0</v>
      </c>
      <c r="AZ105" s="174">
        <f t="shared" si="73"/>
        <v>17000</v>
      </c>
      <c r="BA105" s="398">
        <f t="shared" si="70"/>
        <v>1700</v>
      </c>
      <c r="BB105" s="805"/>
      <c r="BC105" s="804"/>
    </row>
    <row r="106" spans="1:95" s="119" customFormat="1" ht="18" customHeight="1" x14ac:dyDescent="0.25">
      <c r="A106" s="170">
        <v>53920</v>
      </c>
      <c r="B106" s="382" t="s">
        <v>3630</v>
      </c>
      <c r="C106" s="899">
        <v>15000</v>
      </c>
      <c r="D106" s="465">
        <v>11000</v>
      </c>
      <c r="E106" s="459">
        <f t="shared" si="71"/>
        <v>-4000</v>
      </c>
      <c r="F106" s="470">
        <f>((D106/C106)-1)*100</f>
        <v>-26.666666666666671</v>
      </c>
      <c r="G106" s="479">
        <v>15000</v>
      </c>
      <c r="H106" s="459">
        <v>11000</v>
      </c>
      <c r="I106" s="459">
        <f t="shared" si="92"/>
        <v>-4000</v>
      </c>
      <c r="J106" s="469">
        <f t="shared" ref="J106:J111" si="97">((H106/G106)-1)*100</f>
        <v>-26.666666666666671</v>
      </c>
      <c r="K106" s="479">
        <v>15000</v>
      </c>
      <c r="L106" s="830">
        <v>11000</v>
      </c>
      <c r="M106" s="467">
        <f>L106-K106</f>
        <v>-4000</v>
      </c>
      <c r="N106" s="469">
        <f>((L106/K106)-1)*100</f>
        <v>-26.666666666666671</v>
      </c>
      <c r="O106" s="479">
        <v>15000</v>
      </c>
      <c r="P106" s="813">
        <v>11000</v>
      </c>
      <c r="Q106" s="459">
        <f>P106-O106</f>
        <v>-4000</v>
      </c>
      <c r="R106" s="469">
        <f>((P106/O106)-1)*100</f>
        <v>-26.666666666666671</v>
      </c>
      <c r="S106" s="479">
        <v>15000</v>
      </c>
      <c r="T106" s="459">
        <v>11000</v>
      </c>
      <c r="U106" s="459">
        <f t="shared" si="95"/>
        <v>-4000</v>
      </c>
      <c r="V106" s="470">
        <f t="shared" si="78"/>
        <v>-26.666666666666671</v>
      </c>
      <c r="W106" s="479">
        <v>15000</v>
      </c>
      <c r="X106" s="459">
        <v>11000</v>
      </c>
      <c r="Y106" s="974">
        <f t="shared" si="96"/>
        <v>-4000</v>
      </c>
      <c r="Z106" s="485">
        <f t="shared" si="79"/>
        <v>-26.666666666666671</v>
      </c>
      <c r="AA106" s="479">
        <v>15000</v>
      </c>
      <c r="AB106" s="459">
        <v>11000</v>
      </c>
      <c r="AC106" s="459">
        <f t="shared" si="80"/>
        <v>-4000</v>
      </c>
      <c r="AD106" s="470">
        <f t="shared" si="81"/>
        <v>-26.666666666666671</v>
      </c>
      <c r="AE106" s="479">
        <v>15000</v>
      </c>
      <c r="AF106" s="468">
        <v>11000</v>
      </c>
      <c r="AG106" s="467">
        <f t="shared" si="82"/>
        <v>-4000</v>
      </c>
      <c r="AH106" s="470">
        <f t="shared" si="83"/>
        <v>-26.666666666666671</v>
      </c>
      <c r="AI106" s="479">
        <v>15000</v>
      </c>
      <c r="AJ106" s="463">
        <v>11000</v>
      </c>
      <c r="AK106" s="467">
        <f t="shared" si="84"/>
        <v>-4000</v>
      </c>
      <c r="AL106" s="470">
        <f t="shared" si="85"/>
        <v>-26.666666666666671</v>
      </c>
      <c r="AM106" s="479">
        <v>15000</v>
      </c>
      <c r="AN106" s="463">
        <v>11000</v>
      </c>
      <c r="AO106" s="467">
        <f t="shared" si="86"/>
        <v>-4000</v>
      </c>
      <c r="AP106" s="470">
        <f t="shared" si="87"/>
        <v>-26.666666666666671</v>
      </c>
      <c r="AQ106" s="479">
        <v>15000</v>
      </c>
      <c r="AR106" s="468"/>
      <c r="AS106" s="467">
        <f>AR106-AQ106</f>
        <v>-15000</v>
      </c>
      <c r="AT106" s="470">
        <f>((AR106/AQ106)-1)*100</f>
        <v>-100</v>
      </c>
      <c r="AU106" s="479">
        <v>15000</v>
      </c>
      <c r="AV106" s="463"/>
      <c r="AW106" s="463">
        <f t="shared" si="90"/>
        <v>-15000</v>
      </c>
      <c r="AX106" s="470">
        <f t="shared" si="91"/>
        <v>-100</v>
      </c>
      <c r="AY106" s="1097">
        <f t="shared" si="72"/>
        <v>180000</v>
      </c>
      <c r="AZ106" s="174">
        <f t="shared" si="73"/>
        <v>110000</v>
      </c>
      <c r="BA106" s="398">
        <f t="shared" si="70"/>
        <v>11000</v>
      </c>
      <c r="BB106" s="805"/>
      <c r="BC106" s="804"/>
    </row>
    <row r="107" spans="1:95" s="119" customFormat="1" ht="18" customHeight="1" x14ac:dyDescent="0.25">
      <c r="A107" s="170">
        <v>53921</v>
      </c>
      <c r="B107" s="382" t="s">
        <v>3631</v>
      </c>
      <c r="C107" s="899">
        <v>10000</v>
      </c>
      <c r="D107" s="465">
        <v>8006</v>
      </c>
      <c r="E107" s="459">
        <f t="shared" si="71"/>
        <v>-1994</v>
      </c>
      <c r="F107" s="470">
        <f>((D107/C107)-1)*100</f>
        <v>-19.940000000000001</v>
      </c>
      <c r="G107" s="479">
        <v>10000</v>
      </c>
      <c r="H107" s="459">
        <v>2000</v>
      </c>
      <c r="I107" s="459">
        <f t="shared" si="92"/>
        <v>-8000</v>
      </c>
      <c r="J107" s="469">
        <f t="shared" si="97"/>
        <v>-80</v>
      </c>
      <c r="K107" s="479">
        <v>10000</v>
      </c>
      <c r="L107" s="830">
        <v>2000</v>
      </c>
      <c r="M107" s="467">
        <f>L107-K107</f>
        <v>-8000</v>
      </c>
      <c r="N107" s="469">
        <f>((L107/K107)-1)*100</f>
        <v>-80</v>
      </c>
      <c r="O107" s="479">
        <v>10000</v>
      </c>
      <c r="P107" s="813">
        <v>2000</v>
      </c>
      <c r="Q107" s="459">
        <f>P107-O107</f>
        <v>-8000</v>
      </c>
      <c r="R107" s="469">
        <f>((P107/O107)-1)*100</f>
        <v>-80</v>
      </c>
      <c r="S107" s="479">
        <v>10000</v>
      </c>
      <c r="T107" s="459">
        <v>2000</v>
      </c>
      <c r="U107" s="459">
        <f t="shared" si="95"/>
        <v>-8000</v>
      </c>
      <c r="V107" s="470">
        <f t="shared" si="78"/>
        <v>-80</v>
      </c>
      <c r="W107" s="479">
        <v>10000</v>
      </c>
      <c r="X107" s="459">
        <v>4002</v>
      </c>
      <c r="Y107" s="974">
        <f t="shared" si="96"/>
        <v>-5998</v>
      </c>
      <c r="Z107" s="485">
        <f t="shared" si="79"/>
        <v>-59.98</v>
      </c>
      <c r="AA107" s="479">
        <v>10000</v>
      </c>
      <c r="AB107" s="459">
        <v>6004</v>
      </c>
      <c r="AC107" s="459">
        <f t="shared" si="80"/>
        <v>-3996</v>
      </c>
      <c r="AD107" s="470">
        <f t="shared" si="81"/>
        <v>-39.959999999999994</v>
      </c>
      <c r="AE107" s="479">
        <v>10000</v>
      </c>
      <c r="AF107" s="468">
        <v>4002</v>
      </c>
      <c r="AG107" s="467">
        <f t="shared" si="82"/>
        <v>-5998</v>
      </c>
      <c r="AH107" s="470">
        <f t="shared" si="83"/>
        <v>-59.98</v>
      </c>
      <c r="AI107" s="479">
        <v>10000</v>
      </c>
      <c r="AJ107" s="463">
        <v>2000</v>
      </c>
      <c r="AK107" s="467">
        <f t="shared" si="84"/>
        <v>-8000</v>
      </c>
      <c r="AL107" s="470">
        <f t="shared" si="85"/>
        <v>-80</v>
      </c>
      <c r="AM107" s="479">
        <v>10000</v>
      </c>
      <c r="AN107" s="463">
        <v>8006</v>
      </c>
      <c r="AO107" s="467">
        <f t="shared" si="86"/>
        <v>-1994</v>
      </c>
      <c r="AP107" s="470">
        <f t="shared" si="87"/>
        <v>-19.940000000000001</v>
      </c>
      <c r="AQ107" s="479">
        <v>10000</v>
      </c>
      <c r="AR107" s="468"/>
      <c r="AS107" s="467">
        <f>AR107-AQ107</f>
        <v>-10000</v>
      </c>
      <c r="AT107" s="470">
        <f>((AR107/AQ107)-1)*100</f>
        <v>-100</v>
      </c>
      <c r="AU107" s="479">
        <v>10000</v>
      </c>
      <c r="AV107" s="463"/>
      <c r="AW107" s="463">
        <f t="shared" si="90"/>
        <v>-10000</v>
      </c>
      <c r="AX107" s="470">
        <f t="shared" si="91"/>
        <v>-100</v>
      </c>
      <c r="AY107" s="1097">
        <f t="shared" si="72"/>
        <v>120000</v>
      </c>
      <c r="AZ107" s="174">
        <f t="shared" si="73"/>
        <v>40020</v>
      </c>
      <c r="BA107" s="398">
        <f t="shared" si="70"/>
        <v>4002</v>
      </c>
      <c r="BB107" s="805"/>
      <c r="BC107" s="804"/>
    </row>
    <row r="108" spans="1:95" s="119" customFormat="1" ht="18" customHeight="1" x14ac:dyDescent="0.25">
      <c r="A108" s="1072">
        <v>52204</v>
      </c>
      <c r="B108" s="1075" t="s">
        <v>3636</v>
      </c>
      <c r="C108" s="899">
        <v>0</v>
      </c>
      <c r="D108" s="422">
        <v>0</v>
      </c>
      <c r="E108" s="459">
        <f t="shared" si="71"/>
        <v>0</v>
      </c>
      <c r="F108" s="471"/>
      <c r="G108" s="422">
        <v>0</v>
      </c>
      <c r="H108" s="423">
        <v>0</v>
      </c>
      <c r="I108" s="459">
        <f t="shared" si="92"/>
        <v>0</v>
      </c>
      <c r="J108" s="469"/>
      <c r="K108" s="459">
        <v>0</v>
      </c>
      <c r="L108" s="459">
        <v>0</v>
      </c>
      <c r="M108" s="467">
        <f>L108-K108</f>
        <v>0</v>
      </c>
      <c r="N108" s="469"/>
      <c r="O108" s="459">
        <v>0</v>
      </c>
      <c r="P108" s="459">
        <v>0</v>
      </c>
      <c r="Q108" s="459">
        <f>P108-O108</f>
        <v>0</v>
      </c>
      <c r="R108" s="469"/>
      <c r="S108" s="459">
        <v>0</v>
      </c>
      <c r="T108" s="459">
        <v>0</v>
      </c>
      <c r="U108" s="459">
        <f t="shared" si="95"/>
        <v>0</v>
      </c>
      <c r="V108" s="470"/>
      <c r="W108" s="459">
        <v>0</v>
      </c>
      <c r="X108" s="425">
        <v>7241.99</v>
      </c>
      <c r="Y108" s="974">
        <f t="shared" si="96"/>
        <v>7241.99</v>
      </c>
      <c r="Z108" s="485"/>
      <c r="AA108" s="459">
        <v>0</v>
      </c>
      <c r="AB108" s="425">
        <v>0</v>
      </c>
      <c r="AC108" s="459">
        <f t="shared" ref="AC108:AC115" si="98">AB108-AA108</f>
        <v>0</v>
      </c>
      <c r="AD108" s="470"/>
      <c r="AE108" s="459">
        <v>0</v>
      </c>
      <c r="AF108" s="468">
        <v>2201.9699999999998</v>
      </c>
      <c r="AG108" s="467">
        <f>AF108-AE108</f>
        <v>2201.9699999999998</v>
      </c>
      <c r="AH108" s="470"/>
      <c r="AI108" s="459">
        <v>0</v>
      </c>
      <c r="AJ108" s="463">
        <v>0</v>
      </c>
      <c r="AK108" s="467">
        <f t="shared" ref="AK108:AK115" si="99">AJ108-AI108</f>
        <v>0</v>
      </c>
      <c r="AL108" s="470"/>
      <c r="AM108" s="459">
        <v>0</v>
      </c>
      <c r="AN108" s="463">
        <v>0</v>
      </c>
      <c r="AO108" s="467">
        <f>AN108-AM108</f>
        <v>0</v>
      </c>
      <c r="AP108" s="470"/>
      <c r="AQ108" s="459">
        <v>0</v>
      </c>
      <c r="AR108" s="468"/>
      <c r="AS108" s="467">
        <f>AR108-AQ108</f>
        <v>0</v>
      </c>
      <c r="AT108" s="470"/>
      <c r="AU108" s="467">
        <v>0</v>
      </c>
      <c r="AV108" s="463"/>
      <c r="AW108" s="463">
        <f>AV108-AU108</f>
        <v>0</v>
      </c>
      <c r="AX108" s="470"/>
      <c r="AY108" s="1097">
        <f t="shared" si="72"/>
        <v>0</v>
      </c>
      <c r="AZ108" s="571">
        <f t="shared" si="73"/>
        <v>9443.9599999999991</v>
      </c>
      <c r="BA108" s="398">
        <f t="shared" si="70"/>
        <v>944.39599999999996</v>
      </c>
      <c r="BB108" s="805"/>
    </row>
    <row r="109" spans="1:95" s="423" customFormat="1" ht="18" customHeight="1" x14ac:dyDescent="0.25">
      <c r="A109" s="1098">
        <v>54162</v>
      </c>
      <c r="B109" s="1099" t="s">
        <v>3650</v>
      </c>
      <c r="C109" s="480">
        <v>20000</v>
      </c>
      <c r="D109" s="905">
        <v>19894.060000000001</v>
      </c>
      <c r="E109" s="459">
        <f t="shared" si="71"/>
        <v>-105.93999999999869</v>
      </c>
      <c r="F109" s="471">
        <f>((D109/C109)-1)*100</f>
        <v>-0.52969999999998851</v>
      </c>
      <c r="G109" s="480">
        <v>20000</v>
      </c>
      <c r="H109" s="459">
        <v>26363.39</v>
      </c>
      <c r="I109" s="459">
        <f t="shared" si="92"/>
        <v>6363.3899999999994</v>
      </c>
      <c r="J109" s="469">
        <f t="shared" si="97"/>
        <v>31.816949999999999</v>
      </c>
      <c r="K109" s="480">
        <v>20000</v>
      </c>
      <c r="L109" s="831">
        <v>91240</v>
      </c>
      <c r="M109" s="467">
        <f>L109-K109</f>
        <v>71240</v>
      </c>
      <c r="N109" s="469">
        <f>((L109/K109)-1)*100</f>
        <v>356.20000000000005</v>
      </c>
      <c r="O109" s="480">
        <v>20000</v>
      </c>
      <c r="P109" s="806">
        <v>31320.33</v>
      </c>
      <c r="Q109" s="459">
        <f>P109-O109</f>
        <v>11320.330000000002</v>
      </c>
      <c r="R109" s="469">
        <f>((P109/O109)-1)*100</f>
        <v>56.601650000000014</v>
      </c>
      <c r="S109" s="480">
        <v>20000</v>
      </c>
      <c r="T109" s="424">
        <v>13393.42</v>
      </c>
      <c r="U109" s="459">
        <f t="shared" si="95"/>
        <v>-6606.58</v>
      </c>
      <c r="V109" s="470">
        <f t="shared" si="78"/>
        <v>-33.032899999999998</v>
      </c>
      <c r="W109" s="480">
        <v>20000</v>
      </c>
      <c r="X109" s="425">
        <v>6377.6</v>
      </c>
      <c r="Y109" s="974">
        <f t="shared" si="96"/>
        <v>-13622.4</v>
      </c>
      <c r="Z109" s="485">
        <f t="shared" si="79"/>
        <v>-68.111999999999995</v>
      </c>
      <c r="AA109" s="480">
        <v>20000</v>
      </c>
      <c r="AB109" s="425">
        <v>11392</v>
      </c>
      <c r="AC109" s="459">
        <f t="shared" si="98"/>
        <v>-8608</v>
      </c>
      <c r="AD109" s="470">
        <f>((AB109/AA109)-1)*100</f>
        <v>-43.04</v>
      </c>
      <c r="AE109" s="480">
        <v>20000</v>
      </c>
      <c r="AF109" s="468">
        <v>20256</v>
      </c>
      <c r="AG109" s="467">
        <f>AF109-AE109</f>
        <v>256</v>
      </c>
      <c r="AH109" s="470">
        <f>((AF109/AE109)-1)*100</f>
        <v>1.2799999999999923</v>
      </c>
      <c r="AI109" s="480">
        <v>20000</v>
      </c>
      <c r="AJ109" s="463">
        <v>19096</v>
      </c>
      <c r="AK109" s="467">
        <f t="shared" si="99"/>
        <v>-904</v>
      </c>
      <c r="AL109" s="470">
        <f>((AJ109/AI109)-1)*100</f>
        <v>-4.5200000000000014</v>
      </c>
      <c r="AM109" s="480">
        <v>20000</v>
      </c>
      <c r="AN109" s="463">
        <v>14976</v>
      </c>
      <c r="AO109" s="467">
        <f>AN109-AM109</f>
        <v>-5024</v>
      </c>
      <c r="AP109" s="470">
        <f>((AN109/AM109)-1)*100</f>
        <v>-25.119999999999997</v>
      </c>
      <c r="AQ109" s="480">
        <v>20000</v>
      </c>
      <c r="AR109" s="468"/>
      <c r="AS109" s="467">
        <f>AR109-AQ109</f>
        <v>-20000</v>
      </c>
      <c r="AT109" s="470">
        <f>((AR109/AQ109)-1)*100</f>
        <v>-100</v>
      </c>
      <c r="AU109" s="480">
        <v>20000</v>
      </c>
      <c r="AV109" s="463"/>
      <c r="AW109" s="463">
        <f>AV109-AU109</f>
        <v>-20000</v>
      </c>
      <c r="AX109" s="470">
        <f>((AV109/AU109)-1)*100</f>
        <v>-100</v>
      </c>
      <c r="AY109" s="1097">
        <f t="shared" si="72"/>
        <v>240000</v>
      </c>
      <c r="AZ109" s="174">
        <f t="shared" si="73"/>
        <v>254308.80000000005</v>
      </c>
      <c r="BA109" s="398">
        <f t="shared" si="70"/>
        <v>25430.880000000005</v>
      </c>
      <c r="BB109" s="805"/>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row>
    <row r="110" spans="1:95" s="146" customFormat="1" ht="18" customHeight="1" x14ac:dyDescent="0.25">
      <c r="A110" s="1100">
        <v>54391</v>
      </c>
      <c r="B110" s="1075" t="s">
        <v>3657</v>
      </c>
      <c r="C110" s="480">
        <v>90000</v>
      </c>
      <c r="D110" s="905">
        <v>89480</v>
      </c>
      <c r="E110" s="459">
        <f t="shared" si="71"/>
        <v>-520</v>
      </c>
      <c r="F110" s="471">
        <f>((D110/C110)-1)*100</f>
        <v>-0.57777777777777706</v>
      </c>
      <c r="G110" s="480">
        <v>90000</v>
      </c>
      <c r="H110" s="459">
        <v>86560</v>
      </c>
      <c r="I110" s="459">
        <f t="shared" si="92"/>
        <v>-3440</v>
      </c>
      <c r="J110" s="469">
        <f t="shared" si="97"/>
        <v>-3.8222222222222269</v>
      </c>
      <c r="K110" s="480">
        <v>90000</v>
      </c>
      <c r="L110" s="831">
        <v>21364.66</v>
      </c>
      <c r="M110" s="467">
        <f t="shared" ref="M110:M115" si="100">L110-K110</f>
        <v>-68635.34</v>
      </c>
      <c r="N110" s="469">
        <f>((L110/K110)-1)*100</f>
        <v>-76.261488888888891</v>
      </c>
      <c r="O110" s="480">
        <v>90000</v>
      </c>
      <c r="P110" s="806">
        <v>89520</v>
      </c>
      <c r="Q110" s="459">
        <f t="shared" ref="Q110:Q115" si="101">P110-O110</f>
        <v>-480</v>
      </c>
      <c r="R110" s="469">
        <f>((P110/O110)-1)*100</f>
        <v>-0.53333333333333011</v>
      </c>
      <c r="S110" s="480">
        <v>90000</v>
      </c>
      <c r="T110" s="424">
        <v>88808</v>
      </c>
      <c r="U110" s="459">
        <f t="shared" si="95"/>
        <v>-1192</v>
      </c>
      <c r="V110" s="470">
        <f t="shared" si="78"/>
        <v>-1.3244444444444392</v>
      </c>
      <c r="W110" s="480">
        <v>90000</v>
      </c>
      <c r="X110" s="425">
        <v>91956.479999999996</v>
      </c>
      <c r="Y110" s="974">
        <f t="shared" si="96"/>
        <v>1956.4799999999959</v>
      </c>
      <c r="Z110" s="485">
        <f t="shared" si="79"/>
        <v>2.1738666666666573</v>
      </c>
      <c r="AA110" s="480">
        <v>90000</v>
      </c>
      <c r="AB110" s="425">
        <v>91836.479999999996</v>
      </c>
      <c r="AC110" s="459">
        <f t="shared" si="98"/>
        <v>1836.4799999999959</v>
      </c>
      <c r="AD110" s="470">
        <f>((AB110/AA110)-1)*100</f>
        <v>2.0405333333333386</v>
      </c>
      <c r="AE110" s="1003">
        <v>90000</v>
      </c>
      <c r="AF110" s="993">
        <v>87316.800000000003</v>
      </c>
      <c r="AG110" s="467">
        <f t="shared" ref="AG110:AG115" si="102">AF110-AE110</f>
        <v>-2683.1999999999971</v>
      </c>
      <c r="AH110" s="470">
        <f>((AF110/AE110)-1)*100</f>
        <v>-2.9813333333333247</v>
      </c>
      <c r="AI110" s="480">
        <v>90000</v>
      </c>
      <c r="AJ110" s="425">
        <v>75120</v>
      </c>
      <c r="AK110" s="467">
        <f t="shared" si="99"/>
        <v>-14880</v>
      </c>
      <c r="AL110" s="470">
        <f>((AJ110/AI110)-1)*100</f>
        <v>-16.533333333333331</v>
      </c>
      <c r="AM110" s="480">
        <v>90000</v>
      </c>
      <c r="AN110" s="463">
        <v>90356.479999999996</v>
      </c>
      <c r="AO110" s="467">
        <f t="shared" ref="AO110:AO115" si="103">AN110-AM110</f>
        <v>356.47999999999593</v>
      </c>
      <c r="AP110" s="470">
        <f>((AN110/AM110)-1)*100</f>
        <v>0.39608888888889027</v>
      </c>
      <c r="AQ110" s="480">
        <v>90000</v>
      </c>
      <c r="AR110" s="468"/>
      <c r="AS110" s="467">
        <f t="shared" ref="AS110:AS115" si="104">AR110-AQ110</f>
        <v>-90000</v>
      </c>
      <c r="AT110" s="470">
        <f>((AR110/AQ110)-1)*100</f>
        <v>-100</v>
      </c>
      <c r="AU110" s="480">
        <v>90000</v>
      </c>
      <c r="AV110" s="463"/>
      <c r="AW110" s="463">
        <f t="shared" ref="AW110:AW115" si="105">AV110-AU110</f>
        <v>-90000</v>
      </c>
      <c r="AX110" s="470">
        <f>((AV110/AU110)-1)*100</f>
        <v>-100</v>
      </c>
      <c r="AY110" s="1097">
        <f t="shared" si="72"/>
        <v>1080000</v>
      </c>
      <c r="AZ110" s="174">
        <f t="shared" si="73"/>
        <v>812318.9</v>
      </c>
      <c r="BA110" s="398">
        <f t="shared" si="70"/>
        <v>81231.89</v>
      </c>
    </row>
    <row r="111" spans="1:95" s="146" customFormat="1" ht="18" customHeight="1" x14ac:dyDescent="0.25">
      <c r="A111" s="1101">
        <v>54448</v>
      </c>
      <c r="B111" s="1075" t="s">
        <v>3675</v>
      </c>
      <c r="C111" s="480">
        <v>10000</v>
      </c>
      <c r="D111" s="952">
        <v>5450</v>
      </c>
      <c r="E111" s="953">
        <f t="shared" si="71"/>
        <v>-4550</v>
      </c>
      <c r="F111" s="954">
        <f>((D111/C111)-1)*100</f>
        <v>-45.499999999999993</v>
      </c>
      <c r="G111" s="955">
        <v>10000</v>
      </c>
      <c r="H111" s="953">
        <v>4825</v>
      </c>
      <c r="I111" s="953">
        <f t="shared" si="92"/>
        <v>-5175</v>
      </c>
      <c r="J111" s="957">
        <f t="shared" si="97"/>
        <v>-51.750000000000007</v>
      </c>
      <c r="K111" s="955">
        <v>10000</v>
      </c>
      <c r="L111" s="991">
        <v>5000</v>
      </c>
      <c r="M111" s="958">
        <f t="shared" si="100"/>
        <v>-5000</v>
      </c>
      <c r="N111" s="957">
        <f>((L111/K111)-1)*100</f>
        <v>-50</v>
      </c>
      <c r="O111" s="955">
        <v>10000</v>
      </c>
      <c r="P111" s="959">
        <v>4775</v>
      </c>
      <c r="Q111" s="953">
        <f t="shared" si="101"/>
        <v>-5225</v>
      </c>
      <c r="R111" s="957">
        <f>((P111/O111)-1)*100</f>
        <v>-52.25</v>
      </c>
      <c r="S111" s="955">
        <v>10000</v>
      </c>
      <c r="T111" s="956">
        <v>5325</v>
      </c>
      <c r="U111" s="953">
        <f t="shared" si="95"/>
        <v>-4675</v>
      </c>
      <c r="V111" s="960">
        <f t="shared" si="78"/>
        <v>-46.75</v>
      </c>
      <c r="W111" s="955">
        <v>10000</v>
      </c>
      <c r="X111" s="961">
        <v>7100</v>
      </c>
      <c r="Y111" s="975">
        <f t="shared" si="96"/>
        <v>-2900</v>
      </c>
      <c r="Z111" s="962">
        <f t="shared" si="79"/>
        <v>-29.000000000000004</v>
      </c>
      <c r="AA111" s="951">
        <v>10000</v>
      </c>
      <c r="AB111" s="520">
        <v>5700</v>
      </c>
      <c r="AC111" s="953">
        <f t="shared" si="98"/>
        <v>-4300</v>
      </c>
      <c r="AD111" s="470">
        <f>((AB111/AA111)-1)*100</f>
        <v>-43.000000000000007</v>
      </c>
      <c r="AE111" s="1004">
        <v>10000</v>
      </c>
      <c r="AF111" s="967">
        <v>7675</v>
      </c>
      <c r="AG111" s="958">
        <f t="shared" si="102"/>
        <v>-2325</v>
      </c>
      <c r="AH111" s="960">
        <f>((AF111/AE111)-1)*100</f>
        <v>-23.250000000000004</v>
      </c>
      <c r="AI111" s="955">
        <v>10000</v>
      </c>
      <c r="AJ111" s="961">
        <v>5925</v>
      </c>
      <c r="AK111" s="958">
        <f t="shared" si="99"/>
        <v>-4075</v>
      </c>
      <c r="AL111" s="960">
        <f>((AJ111/AI111)-1)*100</f>
        <v>-40.75</v>
      </c>
      <c r="AM111" s="955">
        <v>10000</v>
      </c>
      <c r="AN111" s="963">
        <v>5275</v>
      </c>
      <c r="AO111" s="958">
        <f t="shared" si="103"/>
        <v>-4725</v>
      </c>
      <c r="AP111" s="470">
        <f>((AN111/AM111)-1)*100</f>
        <v>-47.25</v>
      </c>
      <c r="AQ111" s="955">
        <v>10000</v>
      </c>
      <c r="AR111" s="964"/>
      <c r="AS111" s="958">
        <f t="shared" si="104"/>
        <v>-10000</v>
      </c>
      <c r="AT111" s="960">
        <f>((AR111/AQ111)-1)*100</f>
        <v>-100</v>
      </c>
      <c r="AU111" s="955">
        <v>10000</v>
      </c>
      <c r="AV111" s="963"/>
      <c r="AW111" s="963">
        <f t="shared" si="105"/>
        <v>-10000</v>
      </c>
      <c r="AX111" s="960">
        <f>((AV111/AU111)-1)*100</f>
        <v>-100</v>
      </c>
      <c r="AY111" s="1097">
        <f t="shared" si="72"/>
        <v>120000</v>
      </c>
      <c r="AZ111" s="965">
        <f t="shared" si="73"/>
        <v>57050</v>
      </c>
      <c r="BA111" s="398">
        <f t="shared" si="70"/>
        <v>5705</v>
      </c>
    </row>
    <row r="112" spans="1:95" s="146" customFormat="1" ht="18" customHeight="1" x14ac:dyDescent="0.25">
      <c r="A112" s="1100">
        <v>33263</v>
      </c>
      <c r="B112" s="1075" t="s">
        <v>3700</v>
      </c>
      <c r="C112" s="468">
        <v>0</v>
      </c>
      <c r="D112" s="992">
        <v>250000</v>
      </c>
      <c r="E112" s="459">
        <f t="shared" si="71"/>
        <v>250000</v>
      </c>
      <c r="F112" s="965"/>
      <c r="G112" s="899">
        <v>0</v>
      </c>
      <c r="H112" s="992">
        <v>250000</v>
      </c>
      <c r="I112" s="459">
        <f t="shared" si="92"/>
        <v>250000</v>
      </c>
      <c r="J112" s="465"/>
      <c r="K112" s="899">
        <v>0</v>
      </c>
      <c r="L112" s="992">
        <v>-2769.39</v>
      </c>
      <c r="M112" s="459">
        <f t="shared" si="100"/>
        <v>-2769.39</v>
      </c>
      <c r="N112" s="465"/>
      <c r="O112" s="899">
        <v>0</v>
      </c>
      <c r="P112" s="992">
        <v>250000</v>
      </c>
      <c r="Q112" s="459">
        <f t="shared" si="101"/>
        <v>250000</v>
      </c>
      <c r="R112" s="957"/>
      <c r="S112" s="899">
        <v>0</v>
      </c>
      <c r="T112" s="992">
        <v>255437.87</v>
      </c>
      <c r="U112" s="459">
        <f t="shared" si="95"/>
        <v>255437.87</v>
      </c>
      <c r="V112" s="465"/>
      <c r="W112" s="899">
        <v>0</v>
      </c>
      <c r="X112" s="992">
        <v>0</v>
      </c>
      <c r="Y112" s="459">
        <f t="shared" si="96"/>
        <v>0</v>
      </c>
      <c r="Z112" s="465"/>
      <c r="AA112" s="899">
        <v>0</v>
      </c>
      <c r="AB112" s="992">
        <v>250000</v>
      </c>
      <c r="AC112" s="953">
        <f t="shared" si="98"/>
        <v>250000</v>
      </c>
      <c r="AD112" s="470"/>
      <c r="AE112" s="211">
        <v>0</v>
      </c>
      <c r="AF112" s="1002">
        <v>500000</v>
      </c>
      <c r="AG112" s="958">
        <f t="shared" si="102"/>
        <v>500000</v>
      </c>
      <c r="AH112" s="465"/>
      <c r="AI112" s="899">
        <v>0</v>
      </c>
      <c r="AJ112" s="992">
        <v>0</v>
      </c>
      <c r="AK112" s="958">
        <f t="shared" si="99"/>
        <v>0</v>
      </c>
      <c r="AL112" s="465"/>
      <c r="AM112" s="899">
        <v>0</v>
      </c>
      <c r="AN112" s="992">
        <v>500000</v>
      </c>
      <c r="AO112" s="958">
        <f t="shared" si="103"/>
        <v>500000</v>
      </c>
      <c r="AP112" s="465"/>
      <c r="AQ112" s="899">
        <v>0</v>
      </c>
      <c r="AR112" s="1102"/>
      <c r="AS112" s="459">
        <f t="shared" si="104"/>
        <v>0</v>
      </c>
      <c r="AT112" s="465"/>
      <c r="AU112" s="899">
        <v>0</v>
      </c>
      <c r="AV112" s="465"/>
      <c r="AW112" s="993">
        <f t="shared" si="105"/>
        <v>0</v>
      </c>
      <c r="AX112" s="1103"/>
      <c r="AY112" s="1097">
        <f t="shared" si="72"/>
        <v>0</v>
      </c>
      <c r="AZ112" s="965">
        <f t="shared" si="73"/>
        <v>2252668.48</v>
      </c>
      <c r="BA112" s="398">
        <f t="shared" si="70"/>
        <v>225266.848</v>
      </c>
    </row>
    <row r="113" spans="1:53" s="146" customFormat="1" ht="18" customHeight="1" x14ac:dyDescent="0.25">
      <c r="A113" s="1101">
        <v>55062</v>
      </c>
      <c r="B113" s="1075" t="s">
        <v>3705</v>
      </c>
      <c r="C113" s="899">
        <v>0</v>
      </c>
      <c r="D113" s="465">
        <v>0</v>
      </c>
      <c r="E113" s="459">
        <f t="shared" si="71"/>
        <v>0</v>
      </c>
      <c r="F113" s="1104"/>
      <c r="G113" s="468">
        <v>0</v>
      </c>
      <c r="H113" s="995">
        <v>0</v>
      </c>
      <c r="I113" s="459">
        <f t="shared" si="92"/>
        <v>0</v>
      </c>
      <c r="J113" s="465"/>
      <c r="K113" s="899">
        <v>0</v>
      </c>
      <c r="L113" s="459">
        <v>0</v>
      </c>
      <c r="M113" s="459">
        <f t="shared" si="100"/>
        <v>0</v>
      </c>
      <c r="N113" s="465"/>
      <c r="O113" s="899">
        <v>0</v>
      </c>
      <c r="P113" s="459">
        <v>0</v>
      </c>
      <c r="Q113" s="459">
        <f t="shared" si="101"/>
        <v>0</v>
      </c>
      <c r="R113" s="465"/>
      <c r="S113" s="899">
        <v>0</v>
      </c>
      <c r="T113" s="459">
        <v>0</v>
      </c>
      <c r="U113" s="459">
        <f t="shared" si="95"/>
        <v>0</v>
      </c>
      <c r="V113" s="465"/>
      <c r="W113" s="899">
        <v>0</v>
      </c>
      <c r="X113" s="992">
        <v>950</v>
      </c>
      <c r="Y113" s="459">
        <f t="shared" si="96"/>
        <v>950</v>
      </c>
      <c r="Z113" s="465"/>
      <c r="AA113" s="899">
        <v>0</v>
      </c>
      <c r="AB113" s="992">
        <v>0</v>
      </c>
      <c r="AC113" s="953">
        <f t="shared" si="98"/>
        <v>0</v>
      </c>
      <c r="AD113" s="470"/>
      <c r="AE113" s="211">
        <v>0</v>
      </c>
      <c r="AF113" s="1002">
        <v>0</v>
      </c>
      <c r="AG113" s="958">
        <f t="shared" si="102"/>
        <v>0</v>
      </c>
      <c r="AH113" s="465"/>
      <c r="AI113" s="899">
        <v>0</v>
      </c>
      <c r="AJ113" s="992">
        <v>0</v>
      </c>
      <c r="AK113" s="958">
        <f t="shared" si="99"/>
        <v>0</v>
      </c>
      <c r="AL113" s="465"/>
      <c r="AM113" s="899">
        <v>0</v>
      </c>
      <c r="AN113" s="992">
        <v>0</v>
      </c>
      <c r="AO113" s="958">
        <f t="shared" si="103"/>
        <v>0</v>
      </c>
      <c r="AP113" s="465"/>
      <c r="AQ113" s="899">
        <v>0</v>
      </c>
      <c r="AR113" s="1102"/>
      <c r="AS113" s="459">
        <f t="shared" si="104"/>
        <v>0</v>
      </c>
      <c r="AT113" s="465"/>
      <c r="AU113" s="899">
        <v>0</v>
      </c>
      <c r="AV113" s="465"/>
      <c r="AW113" s="993">
        <f t="shared" si="105"/>
        <v>0</v>
      </c>
      <c r="AX113" s="1103"/>
      <c r="AY113" s="1097">
        <f>C113+G113+K113+O113+S113+W113+AA113+AE113+AI113+AM113+AQ113+AU113</f>
        <v>0</v>
      </c>
      <c r="AZ113" s="965">
        <f>SUM(D113+H113+L113+P113+T113+X113+AB113+AF113+AJ113+AN113+AR113+AV113)</f>
        <v>950</v>
      </c>
      <c r="BA113" s="398">
        <f t="shared" si="70"/>
        <v>95</v>
      </c>
    </row>
    <row r="114" spans="1:53" s="146" customFormat="1" ht="18" customHeight="1" x14ac:dyDescent="0.25">
      <c r="A114" s="1100">
        <v>55105</v>
      </c>
      <c r="B114" s="1075" t="s">
        <v>3706</v>
      </c>
      <c r="C114" s="899">
        <v>0</v>
      </c>
      <c r="D114" s="465">
        <v>0</v>
      </c>
      <c r="E114" s="459">
        <f t="shared" si="71"/>
        <v>0</v>
      </c>
      <c r="F114" s="1106"/>
      <c r="G114" s="468">
        <v>0</v>
      </c>
      <c r="H114" s="995">
        <v>0</v>
      </c>
      <c r="I114" s="459">
        <f t="shared" si="92"/>
        <v>0</v>
      </c>
      <c r="J114" s="905"/>
      <c r="K114" s="899">
        <v>0</v>
      </c>
      <c r="L114" s="459">
        <v>0</v>
      </c>
      <c r="M114" s="459">
        <f t="shared" si="100"/>
        <v>0</v>
      </c>
      <c r="N114" s="905"/>
      <c r="O114" s="899">
        <v>0</v>
      </c>
      <c r="P114" s="459">
        <v>0</v>
      </c>
      <c r="Q114" s="459">
        <f t="shared" si="101"/>
        <v>0</v>
      </c>
      <c r="R114" s="905"/>
      <c r="S114" s="899">
        <v>0</v>
      </c>
      <c r="T114" s="459">
        <v>0</v>
      </c>
      <c r="U114" s="459">
        <f t="shared" si="95"/>
        <v>0</v>
      </c>
      <c r="V114" s="905"/>
      <c r="W114" s="899">
        <v>0</v>
      </c>
      <c r="X114" s="1107">
        <v>24000</v>
      </c>
      <c r="Y114" s="459">
        <f t="shared" si="96"/>
        <v>24000</v>
      </c>
      <c r="Z114" s="905"/>
      <c r="AA114" s="899">
        <v>0</v>
      </c>
      <c r="AB114" s="459">
        <v>0</v>
      </c>
      <c r="AC114" s="953">
        <f t="shared" si="98"/>
        <v>0</v>
      </c>
      <c r="AD114" s="470"/>
      <c r="AE114" s="211">
        <v>0</v>
      </c>
      <c r="AF114" s="1002">
        <v>0</v>
      </c>
      <c r="AG114" s="958">
        <f t="shared" si="102"/>
        <v>0</v>
      </c>
      <c r="AH114" s="905"/>
      <c r="AI114" s="899">
        <v>0</v>
      </c>
      <c r="AJ114" s="992">
        <v>0</v>
      </c>
      <c r="AK114" s="958">
        <f t="shared" si="99"/>
        <v>0</v>
      </c>
      <c r="AL114" s="905"/>
      <c r="AM114" s="899">
        <v>0</v>
      </c>
      <c r="AN114" s="992">
        <v>0</v>
      </c>
      <c r="AO114" s="958">
        <f t="shared" si="103"/>
        <v>0</v>
      </c>
      <c r="AP114" s="905"/>
      <c r="AQ114" s="899">
        <v>0</v>
      </c>
      <c r="AR114" s="1108"/>
      <c r="AS114" s="459">
        <f t="shared" si="104"/>
        <v>0</v>
      </c>
      <c r="AT114" s="905"/>
      <c r="AU114" s="899">
        <v>0</v>
      </c>
      <c r="AV114" s="994"/>
      <c r="AW114" s="459">
        <f t="shared" si="105"/>
        <v>0</v>
      </c>
      <c r="AX114" s="1103"/>
      <c r="AY114" s="1097">
        <f t="shared" si="72"/>
        <v>0</v>
      </c>
      <c r="AZ114" s="965">
        <f t="shared" si="73"/>
        <v>24000</v>
      </c>
      <c r="BA114" s="398">
        <f t="shared" si="70"/>
        <v>2400</v>
      </c>
    </row>
    <row r="115" spans="1:53" s="11" customFormat="1" ht="18" customHeight="1" thickBot="1" x14ac:dyDescent="0.3">
      <c r="A115" s="1101">
        <v>55229</v>
      </c>
      <c r="B115" s="1109" t="s">
        <v>3710</v>
      </c>
      <c r="C115" s="1110">
        <v>0</v>
      </c>
      <c r="D115" s="1111">
        <v>0</v>
      </c>
      <c r="E115" s="1112">
        <f t="shared" si="71"/>
        <v>0</v>
      </c>
      <c r="F115" s="1113"/>
      <c r="G115" s="1114">
        <v>0</v>
      </c>
      <c r="H115" s="1112">
        <v>0</v>
      </c>
      <c r="I115" s="1115">
        <f t="shared" si="92"/>
        <v>0</v>
      </c>
      <c r="J115" s="1116"/>
      <c r="K115" s="1114">
        <v>0</v>
      </c>
      <c r="L115" s="1115">
        <v>0</v>
      </c>
      <c r="M115" s="1111">
        <f t="shared" si="100"/>
        <v>0</v>
      </c>
      <c r="N115" s="1113"/>
      <c r="O115" s="1114">
        <v>0</v>
      </c>
      <c r="P115" s="1112">
        <v>0</v>
      </c>
      <c r="Q115" s="1115">
        <f t="shared" si="101"/>
        <v>0</v>
      </c>
      <c r="R115" s="1116"/>
      <c r="S115" s="1114">
        <v>0</v>
      </c>
      <c r="T115" s="1112">
        <v>0</v>
      </c>
      <c r="U115" s="1112">
        <f t="shared" si="95"/>
        <v>0</v>
      </c>
      <c r="V115" s="1113"/>
      <c r="W115" s="1114">
        <v>0</v>
      </c>
      <c r="X115" s="1112">
        <v>0</v>
      </c>
      <c r="Y115" s="1115">
        <f t="shared" si="96"/>
        <v>0</v>
      </c>
      <c r="Z115" s="1116"/>
      <c r="AA115" s="1114">
        <v>0</v>
      </c>
      <c r="AB115" s="1112">
        <v>0</v>
      </c>
      <c r="AC115" s="1112">
        <f t="shared" si="98"/>
        <v>0</v>
      </c>
      <c r="AD115" s="1113"/>
      <c r="AE115" s="1110">
        <v>0</v>
      </c>
      <c r="AF115" s="1111">
        <v>37680</v>
      </c>
      <c r="AG115" s="1112">
        <f t="shared" si="102"/>
        <v>37680</v>
      </c>
      <c r="AH115" s="1113"/>
      <c r="AI115" s="1114">
        <v>0</v>
      </c>
      <c r="AJ115" s="1112">
        <v>39360</v>
      </c>
      <c r="AK115" s="1112">
        <f t="shared" si="99"/>
        <v>39360</v>
      </c>
      <c r="AL115" s="1113"/>
      <c r="AM115" s="1114">
        <v>0</v>
      </c>
      <c r="AN115" s="1115">
        <v>48240</v>
      </c>
      <c r="AO115" s="1115">
        <f t="shared" si="103"/>
        <v>48240</v>
      </c>
      <c r="AP115" s="1116"/>
      <c r="AQ115" s="1109">
        <v>0</v>
      </c>
      <c r="AR115" s="1114"/>
      <c r="AS115" s="1112">
        <f t="shared" si="104"/>
        <v>0</v>
      </c>
      <c r="AT115" s="1113"/>
      <c r="AU115" s="1114">
        <v>0</v>
      </c>
      <c r="AV115" s="1115"/>
      <c r="AW115" s="1115">
        <f t="shared" si="105"/>
        <v>0</v>
      </c>
      <c r="AX115" s="1116"/>
      <c r="AY115" s="1109">
        <f t="shared" si="72"/>
        <v>0</v>
      </c>
      <c r="AZ115" s="1109">
        <f t="shared" si="73"/>
        <v>125280</v>
      </c>
      <c r="BA115" s="398">
        <f t="shared" si="70"/>
        <v>12528</v>
      </c>
    </row>
    <row r="116" spans="1:53" s="11" customFormat="1" ht="18" customHeight="1" thickBot="1" x14ac:dyDescent="0.3">
      <c r="A116" s="1118"/>
      <c r="B116" s="908"/>
      <c r="C116" s="418"/>
      <c r="D116" s="419"/>
      <c r="E116" s="118"/>
      <c r="F116" s="464"/>
      <c r="G116" s="119"/>
      <c r="H116" s="119"/>
      <c r="I116" s="466"/>
      <c r="J116" s="119"/>
      <c r="K116" s="119"/>
      <c r="L116" s="119"/>
      <c r="M116" s="118"/>
      <c r="N116" s="119"/>
      <c r="O116" s="119"/>
      <c r="P116" s="119"/>
      <c r="Q116" s="118"/>
      <c r="R116" s="119"/>
      <c r="S116" s="119"/>
      <c r="T116" s="119"/>
      <c r="U116" s="118"/>
      <c r="V116" s="119"/>
      <c r="W116" s="119"/>
      <c r="X116" s="119"/>
      <c r="Y116" s="1"/>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420"/>
      <c r="AU116" s="119"/>
      <c r="AV116" s="119"/>
      <c r="AW116" s="119"/>
      <c r="AX116" s="119"/>
      <c r="AY116" s="1119"/>
      <c r="AZ116" s="1119"/>
      <c r="BA116" s="398">
        <f t="shared" si="70"/>
        <v>0</v>
      </c>
    </row>
    <row r="117" spans="1:53" s="11" customFormat="1" ht="18" customHeight="1" thickBot="1" x14ac:dyDescent="0.3">
      <c r="A117" s="165"/>
      <c r="B117" s="49" t="s">
        <v>169</v>
      </c>
      <c r="C117" s="532">
        <f>SUM(C118:C127)</f>
        <v>157000</v>
      </c>
      <c r="D117" s="532">
        <f>SUM(D118:D127)</f>
        <v>145248.72999999998</v>
      </c>
      <c r="E117" s="530">
        <f t="shared" ref="E117:E127" si="106">D117-C117</f>
        <v>-11751.270000000019</v>
      </c>
      <c r="F117" s="533">
        <f t="shared" ref="F117:F127" si="107">((D117/C117)-1)*100</f>
        <v>-7.484885350318482</v>
      </c>
      <c r="G117" s="534">
        <f>SUM(G118:G127)</f>
        <v>157000</v>
      </c>
      <c r="H117" s="392">
        <f>SUM(H118:H127)</f>
        <v>158101.70000000001</v>
      </c>
      <c r="I117" s="392">
        <f>H117-G117</f>
        <v>1101.7000000000116</v>
      </c>
      <c r="J117" s="393">
        <f>((H117/G117)-1)*100</f>
        <v>0.70171974522292846</v>
      </c>
      <c r="K117" s="534">
        <f>SUM(K118:K127)</f>
        <v>157000</v>
      </c>
      <c r="L117" s="392">
        <f>SUM(L118:L127)</f>
        <v>130776.27</v>
      </c>
      <c r="M117" s="392">
        <f>L117-K117</f>
        <v>-26223.729999999996</v>
      </c>
      <c r="N117" s="393">
        <f>((L117/K117)-1)*100</f>
        <v>-16.703012738853495</v>
      </c>
      <c r="O117" s="534">
        <f>SUM(O118:O127)</f>
        <v>157000</v>
      </c>
      <c r="P117" s="392">
        <f>SUM(P118:P127)</f>
        <v>154469.96</v>
      </c>
      <c r="Q117" s="392">
        <f>P117-O117</f>
        <v>-2530.0400000000081</v>
      </c>
      <c r="R117" s="393">
        <f>((P117/O117)-1)*100</f>
        <v>-1.6114904458598756</v>
      </c>
      <c r="S117" s="534">
        <f>SUM(S118:S127)</f>
        <v>157000</v>
      </c>
      <c r="T117" s="392">
        <f>SUM(T118:T127)</f>
        <v>193426.36999999997</v>
      </c>
      <c r="U117" s="392">
        <f>T117-S117</f>
        <v>36426.369999999966</v>
      </c>
      <c r="V117" s="393">
        <f>((T117/S117)-1)*100</f>
        <v>23.20150955414011</v>
      </c>
      <c r="W117" s="534">
        <f>SUM(W118:W127)</f>
        <v>157000</v>
      </c>
      <c r="X117" s="392">
        <f>SUM(X118:X127)</f>
        <v>153415.28000000003</v>
      </c>
      <c r="Y117" s="973">
        <f>X117-W117</f>
        <v>-3584.7199999999721</v>
      </c>
      <c r="Z117" s="393">
        <f>((X117/W117)-1)*100</f>
        <v>-2.2832611464967956</v>
      </c>
      <c r="AA117" s="534">
        <f>SUM(AA118:AA127)</f>
        <v>157000</v>
      </c>
      <c r="AB117" s="392">
        <f>SUM(AB118:AB127)</f>
        <v>149671.93</v>
      </c>
      <c r="AC117" s="392">
        <f>AB117-AA117</f>
        <v>-7328.070000000007</v>
      </c>
      <c r="AD117" s="393">
        <f>((AB117/AA117)-1)*100</f>
        <v>-4.6675605095541473</v>
      </c>
      <c r="AE117" s="534">
        <f>SUM(AE118:AE127)</f>
        <v>157000</v>
      </c>
      <c r="AF117" s="392">
        <f>SUM(AF118:AF127)</f>
        <v>164101.57</v>
      </c>
      <c r="AG117" s="392">
        <f>AF117-AE117</f>
        <v>7101.570000000007</v>
      </c>
      <c r="AH117" s="393">
        <f>((AF117/AE117)-1)*100</f>
        <v>4.5232929936305677</v>
      </c>
      <c r="AI117" s="395">
        <f>SUM(AI118:AI127)</f>
        <v>157000</v>
      </c>
      <c r="AJ117" s="396">
        <f>SUM(AJ118:AJ127)</f>
        <v>164408.78999999998</v>
      </c>
      <c r="AK117" s="392">
        <f>AJ117-AI117</f>
        <v>7408.789999999979</v>
      </c>
      <c r="AL117" s="393">
        <f>((AJ117/AI117)-1)*100</f>
        <v>4.7189745222929735</v>
      </c>
      <c r="AM117" s="395">
        <f>SUM(AM118:AM127)</f>
        <v>157000</v>
      </c>
      <c r="AN117" s="396">
        <f>SUM(AN118:AN127)</f>
        <v>236321.44</v>
      </c>
      <c r="AO117" s="392">
        <f>AN117-AM117</f>
        <v>79321.440000000002</v>
      </c>
      <c r="AP117" s="393">
        <f>((AN117/AM117)-1)*100</f>
        <v>50.523210191082811</v>
      </c>
      <c r="AQ117" s="395">
        <f>SUM(AQ118:AQ127)</f>
        <v>157000</v>
      </c>
      <c r="AR117" s="396">
        <f>SUM(AR118:AR127)</f>
        <v>0</v>
      </c>
      <c r="AS117" s="392">
        <f>AR117-AQ117</f>
        <v>-157000</v>
      </c>
      <c r="AT117" s="393">
        <f>((AR117/AQ117)-1)*100</f>
        <v>-100</v>
      </c>
      <c r="AU117" s="395">
        <f>SUM(AU118:AU127)</f>
        <v>157000</v>
      </c>
      <c r="AV117" s="396">
        <f>SUM(AV118:AV127)</f>
        <v>0</v>
      </c>
      <c r="AW117" s="392">
        <f>AV117-AU117</f>
        <v>-157000</v>
      </c>
      <c r="AX117" s="530">
        <f>((AV117/AU117)-1)*100</f>
        <v>-100</v>
      </c>
      <c r="AY117" s="395">
        <f>C117+G117+K117+O117+S117+W117+AA117+AE117+AI117+AM117+AQ117+AU117</f>
        <v>1884000</v>
      </c>
      <c r="AZ117" s="531">
        <f t="shared" ref="AZ117:AZ127" si="108">SUM(D117+H117+L117+P117+T117+X117+AB117+AF117+AJ117+AN117+AR117+AV117)</f>
        <v>1649942.04</v>
      </c>
      <c r="BA117" s="398">
        <f t="shared" si="70"/>
        <v>164994.204</v>
      </c>
    </row>
    <row r="118" spans="1:53" s="119" customFormat="1" ht="18" customHeight="1" x14ac:dyDescent="0.25">
      <c r="A118" s="170">
        <v>12293</v>
      </c>
      <c r="B118" s="331" t="s">
        <v>195</v>
      </c>
      <c r="C118" s="900">
        <v>35000</v>
      </c>
      <c r="D118" s="87">
        <v>26638.82</v>
      </c>
      <c r="E118" s="138">
        <f t="shared" si="106"/>
        <v>-8361.18</v>
      </c>
      <c r="F118" s="371">
        <f t="shared" si="107"/>
        <v>-23.88908571428572</v>
      </c>
      <c r="G118" s="879">
        <v>35000</v>
      </c>
      <c r="H118" s="137">
        <v>35754.28</v>
      </c>
      <c r="I118" s="137">
        <f>H118-G118</f>
        <v>754.27999999999884</v>
      </c>
      <c r="J118" s="237">
        <f t="shared" ref="J118:J127" si="109">((H118/G118)-1)*100</f>
        <v>2.1550857142857094</v>
      </c>
      <c r="K118" s="879">
        <v>35000</v>
      </c>
      <c r="L118" s="137">
        <v>32466.21</v>
      </c>
      <c r="M118" s="137">
        <f>L118-K118</f>
        <v>-2533.7900000000009</v>
      </c>
      <c r="N118" s="237">
        <f t="shared" ref="N118:N127" si="110">((L118/K118)-1)*100</f>
        <v>-7.2394000000000069</v>
      </c>
      <c r="O118" s="879">
        <v>35000</v>
      </c>
      <c r="P118" s="137">
        <v>31786.59</v>
      </c>
      <c r="Q118" s="137">
        <f>P118-O118</f>
        <v>-3213.41</v>
      </c>
      <c r="R118" s="237">
        <f t="shared" ref="R118:R127" si="111">((P118/O118)-1)*100</f>
        <v>-9.1811714285714334</v>
      </c>
      <c r="S118" s="879">
        <v>35000</v>
      </c>
      <c r="T118" s="137">
        <v>30621.03</v>
      </c>
      <c r="U118" s="137">
        <f>T118-S118</f>
        <v>-4378.9700000000012</v>
      </c>
      <c r="V118" s="237">
        <f t="shared" ref="V118:V127" si="112">((T118/S118)-1)*100</f>
        <v>-12.511342857142861</v>
      </c>
      <c r="W118" s="879">
        <v>35000</v>
      </c>
      <c r="X118" s="137">
        <v>29436.07</v>
      </c>
      <c r="Y118" s="727">
        <f>X118-W118</f>
        <v>-5563.93</v>
      </c>
      <c r="Z118" s="237">
        <f t="shared" ref="Z118:Z127" si="113">((X118/W118)-1)*100</f>
        <v>-15.896942857142859</v>
      </c>
      <c r="AA118" s="879">
        <v>35000</v>
      </c>
      <c r="AB118" s="212">
        <v>26953.93</v>
      </c>
      <c r="AC118" s="137">
        <f>AB118-AA118</f>
        <v>-8046.07</v>
      </c>
      <c r="AD118" s="237">
        <f t="shared" ref="AD118:AD127" si="114">((AB118/AA118)-1)*100</f>
        <v>-22.988771428571432</v>
      </c>
      <c r="AE118" s="879">
        <v>35000</v>
      </c>
      <c r="AF118" s="212">
        <v>33116.800000000003</v>
      </c>
      <c r="AG118" s="169">
        <f t="shared" ref="AG118:AG127" si="115">AF118-AE118</f>
        <v>-1883.1999999999971</v>
      </c>
      <c r="AH118" s="237">
        <f t="shared" ref="AH118:AH127" si="116">((AF118/AE118)-1)*100</f>
        <v>-5.3805714285714235</v>
      </c>
      <c r="AI118" s="879">
        <v>35000</v>
      </c>
      <c r="AJ118" s="176">
        <v>30771.22</v>
      </c>
      <c r="AK118" s="169">
        <f t="shared" ref="AK118:AK127" si="117">AJ118-AI118</f>
        <v>-4228.7799999999988</v>
      </c>
      <c r="AL118" s="237">
        <f t="shared" ref="AL118:AL127" si="118">((AJ118/AI118)-1)*100</f>
        <v>-12.082228571428566</v>
      </c>
      <c r="AM118" s="879">
        <v>35000</v>
      </c>
      <c r="AN118" s="176">
        <v>32602.97</v>
      </c>
      <c r="AO118" s="169">
        <f t="shared" ref="AO118:AO127" si="119">AN118-AM118</f>
        <v>-2397.0299999999988</v>
      </c>
      <c r="AP118" s="237">
        <f t="shared" ref="AP118:AP127" si="120">((AN118/AM118)-1)*100</f>
        <v>-6.8486571428571397</v>
      </c>
      <c r="AQ118" s="879">
        <v>35000</v>
      </c>
      <c r="AR118" s="212"/>
      <c r="AS118" s="169">
        <f t="shared" ref="AS118:AS127" si="121">AR118-AQ118</f>
        <v>-35000</v>
      </c>
      <c r="AT118" s="237">
        <f t="shared" ref="AT118:AT127" si="122">((AR118/AQ118)-1)*100</f>
        <v>-100</v>
      </c>
      <c r="AU118" s="879">
        <v>35000</v>
      </c>
      <c r="AV118" s="176"/>
      <c r="AW118" s="137">
        <f>AV118-AU118</f>
        <v>-35000</v>
      </c>
      <c r="AX118" s="138">
        <f t="shared" ref="AX118:AX127" si="123">((AV118/AU118)-1)*100</f>
        <v>-100</v>
      </c>
      <c r="AY118" s="243">
        <f>C118+G118+K118+O118+S118+W118+AA118+AE118+AI118+AM118+AQ118+AU118</f>
        <v>420000</v>
      </c>
      <c r="AZ118" s="177">
        <f t="shared" si="108"/>
        <v>310147.91999999993</v>
      </c>
      <c r="BA118" s="398">
        <f t="shared" si="70"/>
        <v>31014.791999999994</v>
      </c>
    </row>
    <row r="119" spans="1:53" s="119" customFormat="1" ht="18" customHeight="1" x14ac:dyDescent="0.25">
      <c r="A119" s="170">
        <v>12303</v>
      </c>
      <c r="B119" s="332" t="s">
        <v>196</v>
      </c>
      <c r="C119" s="900">
        <v>20000</v>
      </c>
      <c r="D119" s="87">
        <v>3565.37</v>
      </c>
      <c r="E119" s="138">
        <f t="shared" si="106"/>
        <v>-16434.63</v>
      </c>
      <c r="F119" s="371">
        <f t="shared" si="107"/>
        <v>-82.173150000000007</v>
      </c>
      <c r="G119" s="879">
        <v>20000</v>
      </c>
      <c r="H119" s="137">
        <v>8277.64</v>
      </c>
      <c r="I119" s="137">
        <f t="shared" ref="I119:I127" si="124">H119-G119</f>
        <v>-11722.36</v>
      </c>
      <c r="J119" s="237">
        <f t="shared" si="109"/>
        <v>-58.611800000000002</v>
      </c>
      <c r="K119" s="879">
        <v>20000</v>
      </c>
      <c r="L119" s="137">
        <v>9512.69</v>
      </c>
      <c r="M119" s="137">
        <f t="shared" ref="M119:M127" si="125">L119-K119</f>
        <v>-10487.31</v>
      </c>
      <c r="N119" s="237">
        <f t="shared" si="110"/>
        <v>-52.436550000000004</v>
      </c>
      <c r="O119" s="879">
        <v>20000</v>
      </c>
      <c r="P119" s="137">
        <v>11478.54</v>
      </c>
      <c r="Q119" s="137">
        <f t="shared" ref="Q119:Q127" si="126">P119-O119</f>
        <v>-8521.4599999999991</v>
      </c>
      <c r="R119" s="237">
        <f t="shared" si="111"/>
        <v>-42.607299999999995</v>
      </c>
      <c r="S119" s="879">
        <v>20000</v>
      </c>
      <c r="T119" s="137">
        <v>8932.34</v>
      </c>
      <c r="U119" s="137">
        <f t="shared" ref="U119:U127" si="127">T119-S119</f>
        <v>-11067.66</v>
      </c>
      <c r="V119" s="237">
        <f t="shared" si="112"/>
        <v>-55.338299999999997</v>
      </c>
      <c r="W119" s="879">
        <v>20000</v>
      </c>
      <c r="X119" s="137">
        <v>6404.22</v>
      </c>
      <c r="Y119" s="727">
        <f t="shared" ref="Y119:Y127" si="128">X119-W119</f>
        <v>-13595.779999999999</v>
      </c>
      <c r="Z119" s="237">
        <f t="shared" si="113"/>
        <v>-67.978899999999996</v>
      </c>
      <c r="AA119" s="879">
        <v>20000</v>
      </c>
      <c r="AB119" s="212">
        <v>5021.47</v>
      </c>
      <c r="AC119" s="137">
        <f t="shared" ref="AC119:AC127" si="129">AB119-AA119</f>
        <v>-14978.529999999999</v>
      </c>
      <c r="AD119" s="237">
        <f t="shared" si="114"/>
        <v>-74.892650000000003</v>
      </c>
      <c r="AE119" s="879">
        <v>20000</v>
      </c>
      <c r="AF119" s="212">
        <v>12524.45</v>
      </c>
      <c r="AG119" s="169">
        <f t="shared" si="115"/>
        <v>-7475.5499999999993</v>
      </c>
      <c r="AH119" s="237">
        <f t="shared" si="116"/>
        <v>-37.377749999999999</v>
      </c>
      <c r="AI119" s="879">
        <v>20000</v>
      </c>
      <c r="AJ119" s="176">
        <v>12504.04</v>
      </c>
      <c r="AK119" s="169">
        <f t="shared" si="117"/>
        <v>-7495.9599999999991</v>
      </c>
      <c r="AL119" s="237">
        <f t="shared" si="118"/>
        <v>-37.479799999999997</v>
      </c>
      <c r="AM119" s="879">
        <v>20000</v>
      </c>
      <c r="AN119" s="176">
        <v>12861.67</v>
      </c>
      <c r="AO119" s="169">
        <f t="shared" si="119"/>
        <v>-7138.33</v>
      </c>
      <c r="AP119" s="237">
        <f t="shared" si="120"/>
        <v>-35.691649999999996</v>
      </c>
      <c r="AQ119" s="879">
        <v>20000</v>
      </c>
      <c r="AR119" s="212"/>
      <c r="AS119" s="169">
        <f t="shared" si="121"/>
        <v>-20000</v>
      </c>
      <c r="AT119" s="237">
        <f t="shared" si="122"/>
        <v>-100</v>
      </c>
      <c r="AU119" s="879">
        <v>20000</v>
      </c>
      <c r="AV119" s="176"/>
      <c r="AW119" s="137">
        <f>AV119-AU119</f>
        <v>-20000</v>
      </c>
      <c r="AX119" s="138">
        <f t="shared" si="123"/>
        <v>-100</v>
      </c>
      <c r="AY119" s="243">
        <f t="shared" ref="AY119:AY127" si="130">C119+G119+K119+O119+S119+W119+AA119+AE119+AI119+AM119+AQ119+AU119</f>
        <v>240000</v>
      </c>
      <c r="AZ119" s="177">
        <f t="shared" si="108"/>
        <v>91082.430000000008</v>
      </c>
      <c r="BA119" s="398">
        <f t="shared" si="70"/>
        <v>9108.2430000000004</v>
      </c>
    </row>
    <row r="120" spans="1:53" s="119" customFormat="1" ht="18" customHeight="1" x14ac:dyDescent="0.25">
      <c r="A120" s="170">
        <v>11528</v>
      </c>
      <c r="B120" s="332" t="s">
        <v>197</v>
      </c>
      <c r="C120" s="900">
        <v>7000</v>
      </c>
      <c r="D120" s="87">
        <v>6478</v>
      </c>
      <c r="E120" s="138">
        <f t="shared" si="106"/>
        <v>-522</v>
      </c>
      <c r="F120" s="371">
        <f t="shared" si="107"/>
        <v>-7.4571428571428626</v>
      </c>
      <c r="G120" s="879">
        <v>7000</v>
      </c>
      <c r="H120" s="137">
        <v>5878</v>
      </c>
      <c r="I120" s="137">
        <f>H120-G120</f>
        <v>-1122</v>
      </c>
      <c r="J120" s="237">
        <f t="shared" si="109"/>
        <v>-16.028571428571425</v>
      </c>
      <c r="K120" s="879">
        <v>7000</v>
      </c>
      <c r="L120" s="137">
        <v>6118</v>
      </c>
      <c r="M120" s="137">
        <f>L120-K120</f>
        <v>-882</v>
      </c>
      <c r="N120" s="237">
        <f t="shared" si="110"/>
        <v>-12.6</v>
      </c>
      <c r="O120" s="879">
        <v>7000</v>
      </c>
      <c r="P120" s="137">
        <v>5918</v>
      </c>
      <c r="Q120" s="137">
        <f>P120-O120</f>
        <v>-1082</v>
      </c>
      <c r="R120" s="237">
        <f t="shared" si="111"/>
        <v>-15.457142857142859</v>
      </c>
      <c r="S120" s="879">
        <v>7000</v>
      </c>
      <c r="T120" s="137">
        <v>5878</v>
      </c>
      <c r="U120" s="137">
        <f>T120-S120</f>
        <v>-1122</v>
      </c>
      <c r="V120" s="237">
        <f t="shared" si="112"/>
        <v>-16.028571428571425</v>
      </c>
      <c r="W120" s="879">
        <v>7000</v>
      </c>
      <c r="X120" s="137">
        <v>5998</v>
      </c>
      <c r="Y120" s="727">
        <f>X120-W120</f>
        <v>-1002</v>
      </c>
      <c r="Z120" s="237">
        <f t="shared" si="113"/>
        <v>-14.314285714285713</v>
      </c>
      <c r="AA120" s="879">
        <v>7000</v>
      </c>
      <c r="AB120" s="212">
        <v>6153</v>
      </c>
      <c r="AC120" s="137">
        <f>AB120-AA120</f>
        <v>-847</v>
      </c>
      <c r="AD120" s="237">
        <f t="shared" si="114"/>
        <v>-12.1</v>
      </c>
      <c r="AE120" s="879">
        <v>7000</v>
      </c>
      <c r="AF120" s="212">
        <v>6153</v>
      </c>
      <c r="AG120" s="169">
        <f t="shared" si="115"/>
        <v>-847</v>
      </c>
      <c r="AH120" s="237">
        <f t="shared" si="116"/>
        <v>-12.1</v>
      </c>
      <c r="AI120" s="879">
        <v>7000</v>
      </c>
      <c r="AJ120" s="176">
        <v>6153</v>
      </c>
      <c r="AK120" s="169">
        <f t="shared" si="117"/>
        <v>-847</v>
      </c>
      <c r="AL120" s="237">
        <f t="shared" si="118"/>
        <v>-12.1</v>
      </c>
      <c r="AM120" s="879">
        <v>7000</v>
      </c>
      <c r="AN120" s="176">
        <v>6273</v>
      </c>
      <c r="AO120" s="169">
        <f t="shared" si="119"/>
        <v>-727</v>
      </c>
      <c r="AP120" s="237">
        <f t="shared" si="120"/>
        <v>-10.385714285714286</v>
      </c>
      <c r="AQ120" s="879">
        <v>7000</v>
      </c>
      <c r="AR120" s="212"/>
      <c r="AS120" s="169">
        <f t="shared" si="121"/>
        <v>-7000</v>
      </c>
      <c r="AT120" s="237">
        <f t="shared" si="122"/>
        <v>-100</v>
      </c>
      <c r="AU120" s="879">
        <v>7000</v>
      </c>
      <c r="AV120" s="176"/>
      <c r="AW120" s="137">
        <f t="shared" ref="AW120:AW127" si="131">AV120-AU120</f>
        <v>-7000</v>
      </c>
      <c r="AX120" s="138">
        <f t="shared" si="123"/>
        <v>-100</v>
      </c>
      <c r="AY120" s="243">
        <f t="shared" si="130"/>
        <v>84000</v>
      </c>
      <c r="AZ120" s="177">
        <f t="shared" si="108"/>
        <v>61000</v>
      </c>
      <c r="BA120" s="398">
        <f t="shared" si="70"/>
        <v>6100</v>
      </c>
    </row>
    <row r="121" spans="1:53" s="119" customFormat="1" ht="18" customHeight="1" x14ac:dyDescent="0.25">
      <c r="A121" s="170" t="s">
        <v>3624</v>
      </c>
      <c r="B121" s="332" t="s">
        <v>331</v>
      </c>
      <c r="C121" s="900">
        <v>50000</v>
      </c>
      <c r="D121" s="87">
        <f>25630.84+37612.53</f>
        <v>63243.369999999995</v>
      </c>
      <c r="E121" s="138">
        <f t="shared" si="106"/>
        <v>13243.369999999995</v>
      </c>
      <c r="F121" s="371">
        <f t="shared" si="107"/>
        <v>26.486739999999998</v>
      </c>
      <c r="G121" s="879">
        <v>50000</v>
      </c>
      <c r="H121" s="137">
        <f>22114.42+37918.85</f>
        <v>60033.27</v>
      </c>
      <c r="I121" s="137">
        <f t="shared" si="124"/>
        <v>10033.269999999997</v>
      </c>
      <c r="J121" s="237">
        <f t="shared" si="109"/>
        <v>20.066539999999989</v>
      </c>
      <c r="K121" s="879">
        <v>50000</v>
      </c>
      <c r="L121" s="137">
        <v>43077.89</v>
      </c>
      <c r="M121" s="137">
        <f t="shared" si="125"/>
        <v>-6922.1100000000006</v>
      </c>
      <c r="N121" s="237">
        <f t="shared" si="110"/>
        <v>-13.844219999999996</v>
      </c>
      <c r="O121" s="879">
        <v>50000</v>
      </c>
      <c r="P121" s="137">
        <v>64044.3</v>
      </c>
      <c r="Q121" s="137">
        <f t="shared" si="126"/>
        <v>14044.300000000003</v>
      </c>
      <c r="R121" s="237">
        <f t="shared" si="111"/>
        <v>28.088599999999996</v>
      </c>
      <c r="S121" s="879">
        <v>50000</v>
      </c>
      <c r="T121" s="137">
        <v>97367.22</v>
      </c>
      <c r="U121" s="137">
        <f t="shared" si="127"/>
        <v>47367.22</v>
      </c>
      <c r="V121" s="237">
        <f t="shared" si="112"/>
        <v>94.734439999999992</v>
      </c>
      <c r="W121" s="879">
        <v>50000</v>
      </c>
      <c r="X121" s="137">
        <v>66394.22</v>
      </c>
      <c r="Y121" s="727">
        <f t="shared" si="128"/>
        <v>16394.22</v>
      </c>
      <c r="Z121" s="237">
        <f t="shared" si="113"/>
        <v>32.788440000000008</v>
      </c>
      <c r="AA121" s="879">
        <v>50000</v>
      </c>
      <c r="AB121" s="212">
        <v>67770.36</v>
      </c>
      <c r="AC121" s="137">
        <f t="shared" si="129"/>
        <v>17770.36</v>
      </c>
      <c r="AD121" s="237">
        <f t="shared" si="114"/>
        <v>35.540719999999993</v>
      </c>
      <c r="AE121" s="879">
        <v>50000</v>
      </c>
      <c r="AF121" s="212">
        <v>68112.100000000006</v>
      </c>
      <c r="AG121" s="169">
        <f t="shared" si="115"/>
        <v>18112.100000000006</v>
      </c>
      <c r="AH121" s="237">
        <f t="shared" si="116"/>
        <v>36.224200000000017</v>
      </c>
      <c r="AI121" s="879">
        <v>50000</v>
      </c>
      <c r="AJ121" s="176">
        <v>72435.899999999994</v>
      </c>
      <c r="AK121" s="169">
        <f t="shared" si="117"/>
        <v>22435.899999999994</v>
      </c>
      <c r="AL121" s="237">
        <f t="shared" si="118"/>
        <v>44.871799999999993</v>
      </c>
      <c r="AM121" s="879">
        <v>50000</v>
      </c>
      <c r="AN121" s="176">
        <v>150944.85999999999</v>
      </c>
      <c r="AO121" s="169">
        <f t="shared" si="119"/>
        <v>100944.85999999999</v>
      </c>
      <c r="AP121" s="237">
        <f t="shared" si="120"/>
        <v>201.88971999999995</v>
      </c>
      <c r="AQ121" s="879">
        <v>50000</v>
      </c>
      <c r="AR121" s="212"/>
      <c r="AS121" s="169">
        <f t="shared" si="121"/>
        <v>-50000</v>
      </c>
      <c r="AT121" s="237">
        <f t="shared" si="122"/>
        <v>-100</v>
      </c>
      <c r="AU121" s="879">
        <v>50000</v>
      </c>
      <c r="AV121" s="176"/>
      <c r="AW121" s="137">
        <f t="shared" si="131"/>
        <v>-50000</v>
      </c>
      <c r="AX121" s="138">
        <f t="shared" si="123"/>
        <v>-100</v>
      </c>
      <c r="AY121" s="243">
        <f t="shared" si="130"/>
        <v>600000</v>
      </c>
      <c r="AZ121" s="177">
        <f t="shared" si="108"/>
        <v>753423.48999999987</v>
      </c>
      <c r="BA121" s="398">
        <f t="shared" si="70"/>
        <v>75342.348999999987</v>
      </c>
    </row>
    <row r="122" spans="1:53" s="119" customFormat="1" ht="18" customHeight="1" x14ac:dyDescent="0.25">
      <c r="A122" s="170" t="s">
        <v>63</v>
      </c>
      <c r="B122" s="332" t="s">
        <v>65</v>
      </c>
      <c r="C122" s="900">
        <v>10000</v>
      </c>
      <c r="D122" s="87">
        <f>0+12403.51</f>
        <v>12403.51</v>
      </c>
      <c r="E122" s="138">
        <f t="shared" si="106"/>
        <v>2403.5100000000002</v>
      </c>
      <c r="F122" s="371">
        <f t="shared" si="107"/>
        <v>24.0351</v>
      </c>
      <c r="G122" s="879">
        <v>10000</v>
      </c>
      <c r="H122" s="137">
        <v>12399.25</v>
      </c>
      <c r="I122" s="137">
        <f t="shared" si="124"/>
        <v>2399.25</v>
      </c>
      <c r="J122" s="237">
        <f t="shared" si="109"/>
        <v>23.992499999999993</v>
      </c>
      <c r="K122" s="879">
        <v>10000</v>
      </c>
      <c r="L122" s="137">
        <v>11970.91</v>
      </c>
      <c r="M122" s="137">
        <f t="shared" si="125"/>
        <v>1970.9099999999999</v>
      </c>
      <c r="N122" s="237">
        <f t="shared" si="110"/>
        <v>19.709099999999992</v>
      </c>
      <c r="O122" s="879">
        <v>10000</v>
      </c>
      <c r="P122" s="137">
        <v>11880.9</v>
      </c>
      <c r="Q122" s="137">
        <f t="shared" si="126"/>
        <v>1880.8999999999996</v>
      </c>
      <c r="R122" s="237">
        <f t="shared" si="111"/>
        <v>18.808999999999987</v>
      </c>
      <c r="S122" s="879">
        <v>10000</v>
      </c>
      <c r="T122" s="137">
        <v>11758.89</v>
      </c>
      <c r="U122" s="137">
        <f t="shared" si="127"/>
        <v>1758.8899999999994</v>
      </c>
      <c r="V122" s="237">
        <f t="shared" si="112"/>
        <v>17.588899999999995</v>
      </c>
      <c r="W122" s="879">
        <v>10000</v>
      </c>
      <c r="X122" s="137">
        <v>11822.72</v>
      </c>
      <c r="Y122" s="137">
        <f t="shared" si="128"/>
        <v>1822.7199999999993</v>
      </c>
      <c r="Z122" s="237">
        <f t="shared" si="113"/>
        <v>18.2272</v>
      </c>
      <c r="AA122" s="879">
        <v>10000</v>
      </c>
      <c r="AB122" s="212">
        <v>11816.77</v>
      </c>
      <c r="AC122" s="137">
        <f t="shared" si="129"/>
        <v>1816.7700000000004</v>
      </c>
      <c r="AD122" s="237">
        <f t="shared" si="114"/>
        <v>18.167700000000011</v>
      </c>
      <c r="AE122" s="879">
        <v>10000</v>
      </c>
      <c r="AF122" s="212">
        <v>12196.44</v>
      </c>
      <c r="AG122" s="169">
        <f t="shared" si="115"/>
        <v>2196.4400000000005</v>
      </c>
      <c r="AH122" s="237">
        <f t="shared" si="116"/>
        <v>21.964399999999994</v>
      </c>
      <c r="AI122" s="879">
        <v>10000</v>
      </c>
      <c r="AJ122" s="176">
        <v>10063.68</v>
      </c>
      <c r="AK122" s="169">
        <f t="shared" si="117"/>
        <v>63.680000000000291</v>
      </c>
      <c r="AL122" s="237">
        <f t="shared" si="118"/>
        <v>0.63679999999999293</v>
      </c>
      <c r="AM122" s="879">
        <v>10000</v>
      </c>
      <c r="AN122" s="176">
        <v>10262.799999999999</v>
      </c>
      <c r="AO122" s="169">
        <f t="shared" si="119"/>
        <v>262.79999999999927</v>
      </c>
      <c r="AP122" s="237">
        <f t="shared" si="120"/>
        <v>2.6279999999999859</v>
      </c>
      <c r="AQ122" s="879">
        <v>10000</v>
      </c>
      <c r="AR122" s="212"/>
      <c r="AS122" s="169">
        <f t="shared" si="121"/>
        <v>-10000</v>
      </c>
      <c r="AT122" s="237">
        <f t="shared" si="122"/>
        <v>-100</v>
      </c>
      <c r="AU122" s="879">
        <v>10000</v>
      </c>
      <c r="AV122" s="176"/>
      <c r="AW122" s="137">
        <f t="shared" si="131"/>
        <v>-10000</v>
      </c>
      <c r="AX122" s="138">
        <f t="shared" si="123"/>
        <v>-100</v>
      </c>
      <c r="AY122" s="243">
        <f t="shared" si="130"/>
        <v>120000</v>
      </c>
      <c r="AZ122" s="177">
        <f t="shared" si="108"/>
        <v>116575.87000000001</v>
      </c>
      <c r="BA122" s="398">
        <f t="shared" si="70"/>
        <v>11657.587000000001</v>
      </c>
    </row>
    <row r="123" spans="1:53" s="119" customFormat="1" ht="18" customHeight="1" x14ac:dyDescent="0.25">
      <c r="A123" s="170">
        <v>51673</v>
      </c>
      <c r="B123" s="332" t="s">
        <v>198</v>
      </c>
      <c r="C123" s="900">
        <v>2000</v>
      </c>
      <c r="D123" s="87">
        <v>3104.28</v>
      </c>
      <c r="E123" s="138">
        <f t="shared" si="106"/>
        <v>1104.2800000000002</v>
      </c>
      <c r="F123" s="371">
        <f t="shared" si="107"/>
        <v>55.214000000000006</v>
      </c>
      <c r="G123" s="879">
        <v>2000</v>
      </c>
      <c r="H123" s="137">
        <v>3194.18</v>
      </c>
      <c r="I123" s="137">
        <f t="shared" si="124"/>
        <v>1194.1799999999998</v>
      </c>
      <c r="J123" s="237">
        <f t="shared" si="109"/>
        <v>59.708999999999989</v>
      </c>
      <c r="K123" s="879">
        <v>2000</v>
      </c>
      <c r="L123" s="137">
        <v>0</v>
      </c>
      <c r="M123" s="137">
        <f t="shared" si="125"/>
        <v>-2000</v>
      </c>
      <c r="N123" s="237">
        <f t="shared" si="110"/>
        <v>-100</v>
      </c>
      <c r="O123" s="879">
        <v>2000</v>
      </c>
      <c r="P123" s="137">
        <v>0</v>
      </c>
      <c r="Q123" s="137">
        <f t="shared" si="126"/>
        <v>-2000</v>
      </c>
      <c r="R123" s="237">
        <f t="shared" si="111"/>
        <v>-100</v>
      </c>
      <c r="S123" s="879">
        <v>2000</v>
      </c>
      <c r="T123" s="137">
        <v>9724.11</v>
      </c>
      <c r="U123" s="137">
        <f t="shared" si="127"/>
        <v>7724.1100000000006</v>
      </c>
      <c r="V123" s="237">
        <f t="shared" si="112"/>
        <v>386.20550000000009</v>
      </c>
      <c r="W123" s="879">
        <v>2000</v>
      </c>
      <c r="X123" s="137">
        <v>3251.4</v>
      </c>
      <c r="Y123" s="137">
        <f t="shared" si="128"/>
        <v>1251.4000000000001</v>
      </c>
      <c r="Z123" s="237">
        <f t="shared" si="113"/>
        <v>62.570000000000014</v>
      </c>
      <c r="AA123" s="879">
        <v>2000</v>
      </c>
      <c r="AB123" s="212">
        <v>3251.4</v>
      </c>
      <c r="AC123" s="137">
        <f t="shared" si="129"/>
        <v>1251.4000000000001</v>
      </c>
      <c r="AD123" s="237">
        <f t="shared" si="114"/>
        <v>62.570000000000014</v>
      </c>
      <c r="AE123" s="879">
        <v>2000</v>
      </c>
      <c r="AF123" s="212">
        <v>3251.4</v>
      </c>
      <c r="AG123" s="169">
        <f t="shared" si="115"/>
        <v>1251.4000000000001</v>
      </c>
      <c r="AH123" s="237">
        <f t="shared" si="116"/>
        <v>62.570000000000014</v>
      </c>
      <c r="AI123" s="879">
        <v>2000</v>
      </c>
      <c r="AJ123" s="176">
        <v>3251.4</v>
      </c>
      <c r="AK123" s="169">
        <f t="shared" si="117"/>
        <v>1251.4000000000001</v>
      </c>
      <c r="AL123" s="237">
        <f t="shared" si="118"/>
        <v>62.570000000000014</v>
      </c>
      <c r="AM123" s="879">
        <v>2000</v>
      </c>
      <c r="AN123" s="176">
        <v>3251.4</v>
      </c>
      <c r="AO123" s="169">
        <f t="shared" si="119"/>
        <v>1251.4000000000001</v>
      </c>
      <c r="AP123" s="237">
        <f t="shared" si="120"/>
        <v>62.570000000000014</v>
      </c>
      <c r="AQ123" s="879">
        <v>2000</v>
      </c>
      <c r="AR123" s="212"/>
      <c r="AS123" s="169">
        <f t="shared" si="121"/>
        <v>-2000</v>
      </c>
      <c r="AT123" s="237">
        <f t="shared" si="122"/>
        <v>-100</v>
      </c>
      <c r="AU123" s="879">
        <v>2000</v>
      </c>
      <c r="AV123" s="176"/>
      <c r="AW123" s="137">
        <f t="shared" si="131"/>
        <v>-2000</v>
      </c>
      <c r="AX123" s="138">
        <f t="shared" si="123"/>
        <v>-100</v>
      </c>
      <c r="AY123" s="243">
        <f t="shared" si="130"/>
        <v>24000</v>
      </c>
      <c r="AZ123" s="177">
        <f t="shared" si="108"/>
        <v>32279.570000000007</v>
      </c>
      <c r="BA123" s="398">
        <f t="shared" si="70"/>
        <v>3227.9570000000008</v>
      </c>
    </row>
    <row r="124" spans="1:53" s="119" customFormat="1" ht="18" customHeight="1" x14ac:dyDescent="0.25">
      <c r="A124" s="170">
        <v>33004</v>
      </c>
      <c r="B124" s="332" t="s">
        <v>66</v>
      </c>
      <c r="C124" s="900">
        <v>4000</v>
      </c>
      <c r="D124" s="87">
        <v>3846.43</v>
      </c>
      <c r="E124" s="138">
        <f t="shared" si="106"/>
        <v>-153.57000000000016</v>
      </c>
      <c r="F124" s="371">
        <f t="shared" si="107"/>
        <v>-3.8392500000000052</v>
      </c>
      <c r="G124" s="879">
        <v>4000</v>
      </c>
      <c r="H124" s="137">
        <v>3646.55</v>
      </c>
      <c r="I124" s="137">
        <f t="shared" si="124"/>
        <v>-353.44999999999982</v>
      </c>
      <c r="J124" s="237">
        <f t="shared" si="109"/>
        <v>-8.8362499999999891</v>
      </c>
      <c r="K124" s="879">
        <v>4000</v>
      </c>
      <c r="L124" s="137">
        <v>2747.43</v>
      </c>
      <c r="M124" s="137">
        <f t="shared" si="125"/>
        <v>-1252.5700000000002</v>
      </c>
      <c r="N124" s="237">
        <f t="shared" si="110"/>
        <v>-31.314249999999998</v>
      </c>
      <c r="O124" s="879">
        <v>4000</v>
      </c>
      <c r="P124" s="137">
        <v>4478.3</v>
      </c>
      <c r="Q124" s="137">
        <f t="shared" si="126"/>
        <v>478.30000000000018</v>
      </c>
      <c r="R124" s="237">
        <f t="shared" si="111"/>
        <v>11.9575</v>
      </c>
      <c r="S124" s="879">
        <v>4000</v>
      </c>
      <c r="T124" s="137">
        <v>3646.43</v>
      </c>
      <c r="U124" s="137">
        <f t="shared" si="127"/>
        <v>-353.57000000000016</v>
      </c>
      <c r="V124" s="237">
        <f t="shared" si="112"/>
        <v>-8.8392500000000105</v>
      </c>
      <c r="W124" s="879">
        <v>4000</v>
      </c>
      <c r="X124" s="137">
        <v>1839.46</v>
      </c>
      <c r="Y124" s="137">
        <f>X124-W124</f>
        <v>-2160.54</v>
      </c>
      <c r="Z124" s="237">
        <f t="shared" si="113"/>
        <v>-54.013500000000001</v>
      </c>
      <c r="AA124" s="879">
        <v>4000</v>
      </c>
      <c r="AB124" s="212">
        <v>1798</v>
      </c>
      <c r="AC124" s="137">
        <f t="shared" si="129"/>
        <v>-2202</v>
      </c>
      <c r="AD124" s="237">
        <f t="shared" si="114"/>
        <v>-55.05</v>
      </c>
      <c r="AE124" s="879">
        <v>4000</v>
      </c>
      <c r="AF124" s="212">
        <v>1867.04</v>
      </c>
      <c r="AG124" s="169">
        <f t="shared" si="115"/>
        <v>-2132.96</v>
      </c>
      <c r="AH124" s="237">
        <f t="shared" si="116"/>
        <v>-53.323999999999991</v>
      </c>
      <c r="AI124" s="879">
        <v>4000</v>
      </c>
      <c r="AJ124" s="176">
        <v>1820.31</v>
      </c>
      <c r="AK124" s="169">
        <f t="shared" si="117"/>
        <v>-2179.69</v>
      </c>
      <c r="AL124" s="237">
        <f t="shared" si="118"/>
        <v>-54.492249999999999</v>
      </c>
      <c r="AM124" s="879">
        <v>4000</v>
      </c>
      <c r="AN124" s="176">
        <v>1798</v>
      </c>
      <c r="AO124" s="169">
        <f t="shared" si="119"/>
        <v>-2202</v>
      </c>
      <c r="AP124" s="237">
        <f t="shared" si="120"/>
        <v>-55.05</v>
      </c>
      <c r="AQ124" s="879">
        <v>4000</v>
      </c>
      <c r="AR124" s="212"/>
      <c r="AS124" s="169">
        <f t="shared" si="121"/>
        <v>-4000</v>
      </c>
      <c r="AT124" s="237">
        <f t="shared" si="122"/>
        <v>-100</v>
      </c>
      <c r="AU124" s="879">
        <v>4000</v>
      </c>
      <c r="AV124" s="176"/>
      <c r="AW124" s="137">
        <f t="shared" si="131"/>
        <v>-4000</v>
      </c>
      <c r="AX124" s="138">
        <f t="shared" si="123"/>
        <v>-100</v>
      </c>
      <c r="AY124" s="243">
        <f t="shared" si="130"/>
        <v>48000</v>
      </c>
      <c r="AZ124" s="177">
        <f t="shared" si="108"/>
        <v>27487.95</v>
      </c>
      <c r="BA124" s="398">
        <f t="shared" si="70"/>
        <v>2748.7950000000001</v>
      </c>
    </row>
    <row r="125" spans="1:53" s="119" customFormat="1" ht="18" customHeight="1" x14ac:dyDescent="0.25">
      <c r="A125" s="170">
        <v>12305</v>
      </c>
      <c r="B125" s="332" t="s">
        <v>67</v>
      </c>
      <c r="C125" s="900">
        <v>8000</v>
      </c>
      <c r="D125" s="87">
        <v>5753.92</v>
      </c>
      <c r="E125" s="138">
        <f t="shared" si="106"/>
        <v>-2246.08</v>
      </c>
      <c r="F125" s="371">
        <f t="shared" si="107"/>
        <v>-28.076000000000001</v>
      </c>
      <c r="G125" s="879">
        <v>8000</v>
      </c>
      <c r="H125" s="137">
        <v>6257.11</v>
      </c>
      <c r="I125" s="137">
        <f t="shared" si="124"/>
        <v>-1742.8900000000003</v>
      </c>
      <c r="J125" s="237">
        <f t="shared" si="109"/>
        <v>-21.786125000000002</v>
      </c>
      <c r="K125" s="879">
        <v>8000</v>
      </c>
      <c r="L125" s="137">
        <v>5235.7299999999996</v>
      </c>
      <c r="M125" s="137">
        <f t="shared" si="125"/>
        <v>-2764.2700000000004</v>
      </c>
      <c r="N125" s="237">
        <f t="shared" si="110"/>
        <v>-34.55337500000001</v>
      </c>
      <c r="O125" s="879">
        <v>8000</v>
      </c>
      <c r="P125" s="137">
        <v>6158.36</v>
      </c>
      <c r="Q125" s="137">
        <f t="shared" si="126"/>
        <v>-1841.6400000000003</v>
      </c>
      <c r="R125" s="237">
        <f t="shared" si="111"/>
        <v>-23.020499999999998</v>
      </c>
      <c r="S125" s="879">
        <v>8000</v>
      </c>
      <c r="T125" s="137">
        <v>5921.8</v>
      </c>
      <c r="U125" s="137">
        <f t="shared" si="127"/>
        <v>-2078.1999999999998</v>
      </c>
      <c r="V125" s="237">
        <f t="shared" si="112"/>
        <v>-25.977499999999999</v>
      </c>
      <c r="W125" s="879">
        <v>8000</v>
      </c>
      <c r="X125" s="137">
        <v>5811.17</v>
      </c>
      <c r="Y125" s="137">
        <f t="shared" si="128"/>
        <v>-2188.83</v>
      </c>
      <c r="Z125" s="237">
        <f t="shared" si="113"/>
        <v>-27.360375000000005</v>
      </c>
      <c r="AA125" s="879">
        <v>8000</v>
      </c>
      <c r="AB125" s="212">
        <v>5639.12</v>
      </c>
      <c r="AC125" s="137">
        <f t="shared" si="129"/>
        <v>-2360.88</v>
      </c>
      <c r="AD125" s="237">
        <f t="shared" si="114"/>
        <v>-29.510999999999999</v>
      </c>
      <c r="AE125" s="879">
        <v>8000</v>
      </c>
      <c r="AF125" s="212">
        <v>5768.63</v>
      </c>
      <c r="AG125" s="169">
        <f t="shared" si="115"/>
        <v>-2231.37</v>
      </c>
      <c r="AH125" s="237">
        <f t="shared" si="116"/>
        <v>-27.892125</v>
      </c>
      <c r="AI125" s="879">
        <v>8000</v>
      </c>
      <c r="AJ125" s="176">
        <v>6346.8</v>
      </c>
      <c r="AK125" s="169">
        <f t="shared" si="117"/>
        <v>-1653.1999999999998</v>
      </c>
      <c r="AL125" s="237">
        <f t="shared" si="118"/>
        <v>-20.664999999999999</v>
      </c>
      <c r="AM125" s="879">
        <v>8000</v>
      </c>
      <c r="AN125" s="176">
        <v>6416.64</v>
      </c>
      <c r="AO125" s="169">
        <f t="shared" si="119"/>
        <v>-1583.3599999999997</v>
      </c>
      <c r="AP125" s="237">
        <f t="shared" si="120"/>
        <v>-19.791999999999998</v>
      </c>
      <c r="AQ125" s="879">
        <v>8000</v>
      </c>
      <c r="AR125" s="212"/>
      <c r="AS125" s="169">
        <f t="shared" si="121"/>
        <v>-8000</v>
      </c>
      <c r="AT125" s="237">
        <f t="shared" si="122"/>
        <v>-100</v>
      </c>
      <c r="AU125" s="879">
        <v>8000</v>
      </c>
      <c r="AV125" s="176"/>
      <c r="AW125" s="137">
        <f t="shared" si="131"/>
        <v>-8000</v>
      </c>
      <c r="AX125" s="138">
        <f t="shared" si="123"/>
        <v>-100</v>
      </c>
      <c r="AY125" s="243">
        <f t="shared" si="130"/>
        <v>96000</v>
      </c>
      <c r="AZ125" s="177">
        <f t="shared" si="108"/>
        <v>59309.279999999999</v>
      </c>
      <c r="BA125" s="398">
        <f t="shared" si="70"/>
        <v>5930.9279999999999</v>
      </c>
    </row>
    <row r="126" spans="1:53" s="119" customFormat="1" ht="18" customHeight="1" x14ac:dyDescent="0.25">
      <c r="A126" s="170">
        <v>11634</v>
      </c>
      <c r="B126" s="332" t="s">
        <v>40</v>
      </c>
      <c r="C126" s="900">
        <v>18000</v>
      </c>
      <c r="D126" s="87">
        <v>17269.189999999999</v>
      </c>
      <c r="E126" s="138">
        <f t="shared" si="106"/>
        <v>-730.81000000000131</v>
      </c>
      <c r="F126" s="371">
        <f>((D126/C126)-1)*100</f>
        <v>-4.0600555555555644</v>
      </c>
      <c r="G126" s="879">
        <v>18000</v>
      </c>
      <c r="H126" s="137">
        <v>19689.82</v>
      </c>
      <c r="I126" s="137">
        <f>H126-G126</f>
        <v>1689.8199999999997</v>
      </c>
      <c r="J126" s="237">
        <f>((H126/G126)-1)*100</f>
        <v>9.3878888888888845</v>
      </c>
      <c r="K126" s="879">
        <v>18000</v>
      </c>
      <c r="L126" s="137">
        <v>16733.68</v>
      </c>
      <c r="M126" s="137">
        <f>L126-K126</f>
        <v>-1266.3199999999997</v>
      </c>
      <c r="N126" s="237">
        <f>((L126/K126)-1)*100</f>
        <v>-7.0351111111111138</v>
      </c>
      <c r="O126" s="879">
        <v>18000</v>
      </c>
      <c r="P126" s="137">
        <v>15783.55</v>
      </c>
      <c r="Q126" s="137">
        <f>P126-O126</f>
        <v>-2216.4500000000007</v>
      </c>
      <c r="R126" s="237">
        <f>((P126/O126)-1)*100</f>
        <v>-12.313611111111111</v>
      </c>
      <c r="S126" s="879">
        <v>18000</v>
      </c>
      <c r="T126" s="137">
        <v>16730.23</v>
      </c>
      <c r="U126" s="137">
        <f>T126-S126</f>
        <v>-1269.7700000000004</v>
      </c>
      <c r="V126" s="237">
        <f>((T126/S126)-1)*100</f>
        <v>-7.0542777777777843</v>
      </c>
      <c r="W126" s="879">
        <v>18000</v>
      </c>
      <c r="X126" s="137">
        <v>19774.29</v>
      </c>
      <c r="Y126" s="137">
        <f>X126-W126</f>
        <v>1774.2900000000009</v>
      </c>
      <c r="Z126" s="237">
        <f>((X126/W126)-1)*100</f>
        <v>9.8571666666666715</v>
      </c>
      <c r="AA126" s="879">
        <v>18000</v>
      </c>
      <c r="AB126" s="212">
        <v>18383.41</v>
      </c>
      <c r="AC126" s="137">
        <f>AB126-AA126</f>
        <v>383.40999999999985</v>
      </c>
      <c r="AD126" s="237">
        <f>((AB126/AA126)-1)*100</f>
        <v>2.1300555555555656</v>
      </c>
      <c r="AE126" s="879">
        <v>18000</v>
      </c>
      <c r="AF126" s="212">
        <v>18223.62</v>
      </c>
      <c r="AG126" s="169">
        <f>AF126-AE126</f>
        <v>223.61999999999898</v>
      </c>
      <c r="AH126" s="237">
        <f>((AF126/AE126)-1)*100</f>
        <v>1.2423333333333231</v>
      </c>
      <c r="AI126" s="879">
        <v>18000</v>
      </c>
      <c r="AJ126" s="176">
        <v>18207.330000000002</v>
      </c>
      <c r="AK126" s="169">
        <f>AJ126-AI126</f>
        <v>207.33000000000175</v>
      </c>
      <c r="AL126" s="237">
        <f>((AJ126/AI126)-1)*100</f>
        <v>1.1518333333333519</v>
      </c>
      <c r="AM126" s="879">
        <v>18000</v>
      </c>
      <c r="AN126" s="176">
        <v>9067.2900000000009</v>
      </c>
      <c r="AO126" s="169">
        <f>AN126-AM126</f>
        <v>-8932.7099999999991</v>
      </c>
      <c r="AP126" s="237">
        <f>((AN126/AM126)-1)*100</f>
        <v>-49.626166666666663</v>
      </c>
      <c r="AQ126" s="879">
        <v>18000</v>
      </c>
      <c r="AR126" s="212"/>
      <c r="AS126" s="169">
        <f>AR126-AQ126</f>
        <v>-18000</v>
      </c>
      <c r="AT126" s="237">
        <f>((AR126/AQ126)-1)*100</f>
        <v>-100</v>
      </c>
      <c r="AU126" s="879">
        <v>18000</v>
      </c>
      <c r="AV126" s="176"/>
      <c r="AW126" s="137">
        <f>AV126-AU126</f>
        <v>-18000</v>
      </c>
      <c r="AX126" s="138">
        <f>((AV126/AU126)-1)*100</f>
        <v>-100</v>
      </c>
      <c r="AY126" s="243">
        <f t="shared" si="130"/>
        <v>216000</v>
      </c>
      <c r="AZ126" s="177">
        <f>SUM(D126+H126+L126+P126+T126+X126+AB126+AF126+AJ126+AN126+AR126+AV126)</f>
        <v>169862.41</v>
      </c>
      <c r="BA126" s="398">
        <f t="shared" si="70"/>
        <v>16986.241000000002</v>
      </c>
    </row>
    <row r="127" spans="1:53" s="119" customFormat="1" ht="18" customHeight="1" thickBot="1" x14ac:dyDescent="0.3">
      <c r="A127" s="178">
        <v>11675</v>
      </c>
      <c r="B127" s="385" t="s">
        <v>68</v>
      </c>
      <c r="C127" s="901">
        <v>3000</v>
      </c>
      <c r="D127" s="98">
        <v>2945.84</v>
      </c>
      <c r="E127" s="250">
        <f t="shared" si="106"/>
        <v>-54.159999999999854</v>
      </c>
      <c r="F127" s="374">
        <f t="shared" si="107"/>
        <v>-1.8053333333333255</v>
      </c>
      <c r="G127" s="880">
        <v>3000</v>
      </c>
      <c r="H127" s="182">
        <v>2971.6</v>
      </c>
      <c r="I127" s="182">
        <f t="shared" si="124"/>
        <v>-28.400000000000091</v>
      </c>
      <c r="J127" s="248">
        <f t="shared" si="109"/>
        <v>-0.94666666666667343</v>
      </c>
      <c r="K127" s="880">
        <v>3000</v>
      </c>
      <c r="L127" s="182">
        <v>2913.73</v>
      </c>
      <c r="M127" s="182">
        <f t="shared" si="125"/>
        <v>-86.269999999999982</v>
      </c>
      <c r="N127" s="248">
        <f t="shared" si="110"/>
        <v>-2.8756666666666653</v>
      </c>
      <c r="O127" s="880">
        <v>3000</v>
      </c>
      <c r="P127" s="182">
        <v>2941.42</v>
      </c>
      <c r="Q127" s="182">
        <f t="shared" si="126"/>
        <v>-58.579999999999927</v>
      </c>
      <c r="R127" s="248">
        <f t="shared" si="111"/>
        <v>-1.9526666666666692</v>
      </c>
      <c r="S127" s="880">
        <v>3000</v>
      </c>
      <c r="T127" s="182">
        <v>2846.32</v>
      </c>
      <c r="U127" s="182">
        <f t="shared" si="127"/>
        <v>-153.67999999999984</v>
      </c>
      <c r="V127" s="248">
        <f t="shared" si="112"/>
        <v>-5.1226666666666638</v>
      </c>
      <c r="W127" s="880">
        <v>3000</v>
      </c>
      <c r="X127" s="182">
        <v>2683.73</v>
      </c>
      <c r="Y127" s="182">
        <f t="shared" si="128"/>
        <v>-316.27</v>
      </c>
      <c r="Z127" s="248">
        <f t="shared" si="113"/>
        <v>-10.542333333333332</v>
      </c>
      <c r="AA127" s="880">
        <v>3000</v>
      </c>
      <c r="AB127" s="214">
        <v>2884.47</v>
      </c>
      <c r="AC127" s="182">
        <f t="shared" si="129"/>
        <v>-115.5300000000002</v>
      </c>
      <c r="AD127" s="248">
        <f t="shared" si="114"/>
        <v>-3.8510000000000044</v>
      </c>
      <c r="AE127" s="880">
        <v>3000</v>
      </c>
      <c r="AF127" s="247">
        <v>2888.09</v>
      </c>
      <c r="AG127" s="182">
        <f t="shared" si="115"/>
        <v>-111.90999999999985</v>
      </c>
      <c r="AH127" s="248">
        <f t="shared" si="116"/>
        <v>-3.7303333333333244</v>
      </c>
      <c r="AI127" s="880">
        <v>3000</v>
      </c>
      <c r="AJ127" s="183">
        <v>2855.11</v>
      </c>
      <c r="AK127" s="182">
        <f t="shared" si="117"/>
        <v>-144.88999999999987</v>
      </c>
      <c r="AL127" s="248">
        <f t="shared" si="118"/>
        <v>-4.8296666666666654</v>
      </c>
      <c r="AM127" s="880">
        <v>3000</v>
      </c>
      <c r="AN127" s="183">
        <v>2842.81</v>
      </c>
      <c r="AO127" s="182">
        <f t="shared" si="119"/>
        <v>-157.19000000000005</v>
      </c>
      <c r="AP127" s="248">
        <f t="shared" si="120"/>
        <v>-5.2396666666666647</v>
      </c>
      <c r="AQ127" s="880">
        <v>3000</v>
      </c>
      <c r="AR127" s="214"/>
      <c r="AS127" s="182">
        <f t="shared" si="121"/>
        <v>-3000</v>
      </c>
      <c r="AT127" s="248">
        <f t="shared" si="122"/>
        <v>-100</v>
      </c>
      <c r="AU127" s="880">
        <v>3000</v>
      </c>
      <c r="AV127" s="183"/>
      <c r="AW127" s="183">
        <f t="shared" si="131"/>
        <v>-3000</v>
      </c>
      <c r="AX127" s="250">
        <f t="shared" si="123"/>
        <v>-100</v>
      </c>
      <c r="AY127" s="779">
        <f t="shared" si="130"/>
        <v>36000</v>
      </c>
      <c r="AZ127" s="184">
        <f t="shared" si="108"/>
        <v>28773.120000000003</v>
      </c>
      <c r="BA127" s="398">
        <f t="shared" si="70"/>
        <v>2877.3120000000004</v>
      </c>
    </row>
    <row r="128" spans="1:53" s="119" customFormat="1" ht="18" customHeight="1" x14ac:dyDescent="0.25">
      <c r="A128" s="436"/>
      <c r="B128" s="154"/>
      <c r="C128" s="67"/>
      <c r="D128" s="437"/>
      <c r="E128" s="67"/>
      <c r="F128" s="387"/>
      <c r="G128" s="67"/>
      <c r="H128" s="67"/>
      <c r="I128" s="67"/>
      <c r="J128" s="387"/>
      <c r="K128" s="67"/>
      <c r="L128" s="67"/>
      <c r="M128" s="67"/>
      <c r="N128" s="387"/>
      <c r="O128" s="67"/>
      <c r="P128" s="67"/>
      <c r="Q128" s="67"/>
      <c r="R128" s="387"/>
      <c r="S128" s="67"/>
      <c r="T128" s="67"/>
      <c r="U128" s="67"/>
      <c r="V128" s="387"/>
      <c r="W128" s="67"/>
      <c r="X128" s="67"/>
      <c r="Y128" s="67"/>
      <c r="Z128" s="387"/>
      <c r="AA128" s="67"/>
      <c r="AB128" s="67"/>
      <c r="AC128" s="67"/>
      <c r="AD128" s="387"/>
      <c r="AE128" s="67"/>
      <c r="AF128" s="67"/>
      <c r="AG128" s="67"/>
      <c r="AH128" s="387"/>
      <c r="AI128" s="66"/>
      <c r="AJ128" s="66"/>
      <c r="AK128" s="67"/>
      <c r="AL128" s="387"/>
      <c r="AM128" s="66"/>
      <c r="AN128" s="66"/>
      <c r="AO128" s="67"/>
      <c r="AP128" s="387"/>
      <c r="AQ128" s="66"/>
      <c r="AR128" s="66"/>
      <c r="AS128" s="67"/>
      <c r="AT128" s="387"/>
      <c r="AU128" s="66"/>
      <c r="AV128" s="66"/>
      <c r="AW128" s="66"/>
      <c r="AX128" s="67"/>
      <c r="AY128" s="1120"/>
      <c r="AZ128" s="66"/>
      <c r="BA128" s="398">
        <f t="shared" si="70"/>
        <v>0</v>
      </c>
    </row>
    <row r="129" spans="1:55" s="11" customFormat="1" ht="18" customHeight="1" thickBot="1" x14ac:dyDescent="0.3">
      <c r="A129" s="161"/>
      <c r="C129" s="334"/>
      <c r="D129" s="414"/>
      <c r="E129" s="118"/>
      <c r="F129" s="12"/>
      <c r="G129" s="119"/>
      <c r="H129" s="119"/>
      <c r="I129" s="118"/>
      <c r="J129" s="119"/>
      <c r="K129" s="119"/>
      <c r="L129" s="119"/>
      <c r="M129" s="118"/>
      <c r="N129" s="119"/>
      <c r="O129" s="119"/>
      <c r="P129" s="119"/>
      <c r="Q129" s="118"/>
      <c r="R129" s="119"/>
      <c r="S129" s="119"/>
      <c r="T129" s="119"/>
      <c r="U129" s="118"/>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398">
        <f t="shared" si="70"/>
        <v>0</v>
      </c>
    </row>
    <row r="130" spans="1:55" s="11" customFormat="1" ht="18" customHeight="1" thickBot="1" x14ac:dyDescent="0.3">
      <c r="A130" s="165"/>
      <c r="B130" s="49" t="s">
        <v>170</v>
      </c>
      <c r="C130" s="478">
        <f>SUM(C131:C151)</f>
        <v>3135202.357950001</v>
      </c>
      <c r="D130" s="532">
        <f>SUM(D131:D151)</f>
        <v>2741063.5100000007</v>
      </c>
      <c r="E130" s="530">
        <f>D130-C130</f>
        <v>-394138.84795000032</v>
      </c>
      <c r="F130" s="533">
        <f t="shared" ref="F130:F151" si="132">((D130/C130)-1)*100</f>
        <v>-12.571400597175931</v>
      </c>
      <c r="G130" s="534">
        <f>SUM(G131:G151)</f>
        <v>3135202.357950001</v>
      </c>
      <c r="H130" s="392">
        <f>SUM(H131:H151)</f>
        <v>3156984.5899999994</v>
      </c>
      <c r="I130" s="392">
        <f>H130-G130</f>
        <v>21782.232049998362</v>
      </c>
      <c r="J130" s="562">
        <f>((H130/G130)-1)*100</f>
        <v>0.69476319430434863</v>
      </c>
      <c r="K130" s="564">
        <f>SUM(K131:K151)</f>
        <v>3135202.357950001</v>
      </c>
      <c r="L130" s="534">
        <f>SUM(L131:L151)</f>
        <v>5698005.7299999995</v>
      </c>
      <c r="M130" s="392">
        <f>L130-K130</f>
        <v>2562803.3720499985</v>
      </c>
      <c r="N130" s="562">
        <f>((L130/K130)-1)*100</f>
        <v>81.74283760508925</v>
      </c>
      <c r="O130" s="478">
        <f>SUM(O131:O151)</f>
        <v>3135202.357950001</v>
      </c>
      <c r="P130" s="392">
        <f>SUM(P131:P151)</f>
        <v>6063150.9499999993</v>
      </c>
      <c r="Q130" s="392">
        <f>P130-O130</f>
        <v>2927948.5920499982</v>
      </c>
      <c r="R130" s="393">
        <f>((P130/O130)-1)*100</f>
        <v>93.389461277532376</v>
      </c>
      <c r="S130" s="534">
        <f>SUM(S131:S151)</f>
        <v>3135202.357950001</v>
      </c>
      <c r="T130" s="392">
        <f>SUM(T131:T151)</f>
        <v>6050241.4400000004</v>
      </c>
      <c r="U130" s="392">
        <f>T130-S130</f>
        <v>2915039.0820499994</v>
      </c>
      <c r="V130" s="563">
        <f>((T130/S130)-1)*100</f>
        <v>92.977701252943731</v>
      </c>
      <c r="W130" s="478">
        <f>SUM(W131:W151)</f>
        <v>3135202.357950001</v>
      </c>
      <c r="X130" s="392">
        <f>SUM(X131:X151)</f>
        <v>7181845.6899999985</v>
      </c>
      <c r="Y130" s="392">
        <f>X130-W130</f>
        <v>4046643.3320499975</v>
      </c>
      <c r="Z130" s="562">
        <f>((X130/W130)-1)*100</f>
        <v>129.07120083617048</v>
      </c>
      <c r="AA130" s="478">
        <f>SUM(AA131:AA151)</f>
        <v>3135202.357950001</v>
      </c>
      <c r="AB130" s="392">
        <f>SUM(AB131:AB151)</f>
        <v>6820113.4399999995</v>
      </c>
      <c r="AC130" s="392">
        <f>AB130-AA130</f>
        <v>3684911.0820499985</v>
      </c>
      <c r="AD130" s="393">
        <f>((AB130/AA130)-1)*100</f>
        <v>117.53343680372303</v>
      </c>
      <c r="AE130" s="534">
        <f>SUM(AE131:AE151)</f>
        <v>3135202.357950001</v>
      </c>
      <c r="AF130" s="392">
        <f>SUM(AF131:AF151)</f>
        <v>7493642.4100000001</v>
      </c>
      <c r="AG130" s="392">
        <f>AF130-AE130</f>
        <v>4358440.0520499991</v>
      </c>
      <c r="AH130" s="562">
        <f>((AF130/AE130)-1)*100</f>
        <v>139.01622780418649</v>
      </c>
      <c r="AI130" s="487">
        <f>SUM(AI131:AI151)</f>
        <v>3135202.357950001</v>
      </c>
      <c r="AJ130" s="396">
        <f>SUM(AJ131:AJ151)</f>
        <v>7648432.29</v>
      </c>
      <c r="AK130" s="392">
        <f>AJ130-AI130</f>
        <v>4513229.932049999</v>
      </c>
      <c r="AL130" s="393">
        <f>((AJ130/AI130)-1)*100</f>
        <v>143.95338535663268</v>
      </c>
      <c r="AM130" s="395">
        <f>SUM(AM131:AM151)</f>
        <v>3135202.357950001</v>
      </c>
      <c r="AN130" s="396">
        <f>SUM(AN131:AN151)</f>
        <v>6898126.2300000014</v>
      </c>
      <c r="AO130" s="392">
        <f>AN130-AM130</f>
        <v>3762923.8720500004</v>
      </c>
      <c r="AP130" s="562">
        <f>((AN130/AM130)-1)*100</f>
        <v>120.02172244187915</v>
      </c>
      <c r="AQ130" s="487">
        <f>SUM(AQ131:AQ151)</f>
        <v>3135202.357950001</v>
      </c>
      <c r="AR130" s="396">
        <f>SUM(AR131:AR151)</f>
        <v>0</v>
      </c>
      <c r="AS130" s="392">
        <f>AR130-AQ130</f>
        <v>-3135202.357950001</v>
      </c>
      <c r="AT130" s="393">
        <f>((AR130/AQ130)-1)*100</f>
        <v>-100</v>
      </c>
      <c r="AU130" s="395">
        <f>SUM(AU131:AU151)</f>
        <v>3135202.357950001</v>
      </c>
      <c r="AV130" s="396">
        <f>SUM(AV131:AV151)</f>
        <v>0</v>
      </c>
      <c r="AW130" s="392">
        <f>AV130-AU130</f>
        <v>-3135202.357950001</v>
      </c>
      <c r="AX130" s="393">
        <f>((AV130/AU130)-1)*100</f>
        <v>-100</v>
      </c>
      <c r="AY130" s="395">
        <f>C130+G130+K130+O130+S130+W130+AA130+AE130+AI130+AM130+AQ130+AU130</f>
        <v>37622428.295400016</v>
      </c>
      <c r="AZ130" s="531">
        <f>SUM(D130+H130+L130+P130+T130+X130+AB130+AF130+AJ130+AN130+AR130+AV130)</f>
        <v>59751606.279999994</v>
      </c>
      <c r="BA130" s="398">
        <f t="shared" si="70"/>
        <v>5975160.6279999996</v>
      </c>
      <c r="BB130" s="827"/>
    </row>
    <row r="131" spans="1:55" s="119" customFormat="1" ht="18" customHeight="1" x14ac:dyDescent="0.25">
      <c r="A131" s="167">
        <v>12338</v>
      </c>
      <c r="B131" s="331" t="s">
        <v>199</v>
      </c>
      <c r="C131" s="542">
        <v>275627.80170000001</v>
      </c>
      <c r="D131" s="89">
        <v>281554.26</v>
      </c>
      <c r="E131" s="213">
        <f t="shared" ref="E131:E151" si="133">D131-C131</f>
        <v>5926.4582999999984</v>
      </c>
      <c r="F131" s="375">
        <f t="shared" si="132"/>
        <v>2.1501670961518338</v>
      </c>
      <c r="G131" s="875">
        <v>275627.80170000001</v>
      </c>
      <c r="H131" s="89">
        <v>260724.25</v>
      </c>
      <c r="I131" s="190">
        <f>H131-G131</f>
        <v>-14903.551700000011</v>
      </c>
      <c r="J131" s="249">
        <f>((H131/G131)-1)*100</f>
        <v>-5.4071293273315728</v>
      </c>
      <c r="K131" s="875">
        <v>275627.80170000001</v>
      </c>
      <c r="L131" s="190">
        <v>328896.64000000001</v>
      </c>
      <c r="M131" s="190">
        <f>L131-K131</f>
        <v>53268.838300000003</v>
      </c>
      <c r="N131" s="249">
        <f>((L131/K131)-1)*100</f>
        <v>19.326366197985756</v>
      </c>
      <c r="O131" s="875">
        <v>275627.80170000001</v>
      </c>
      <c r="P131" s="190">
        <v>273098.15000000002</v>
      </c>
      <c r="Q131" s="190">
        <f>P131-O131</f>
        <v>-2529.6516999999876</v>
      </c>
      <c r="R131" s="249">
        <f>((P131/O131)-1)*100</f>
        <v>-0.91777813573150624</v>
      </c>
      <c r="S131" s="875">
        <v>275627.80170000001</v>
      </c>
      <c r="T131" s="190">
        <v>310086.90000000002</v>
      </c>
      <c r="U131" s="190">
        <f>T131-S131</f>
        <v>34459.098300000012</v>
      </c>
      <c r="V131" s="249">
        <f>((T131/S131)-1)*100</f>
        <v>12.502040101711565</v>
      </c>
      <c r="W131" s="875">
        <v>275627.80170000001</v>
      </c>
      <c r="X131" s="190">
        <v>389861.38</v>
      </c>
      <c r="Y131" s="190">
        <f>X131-W131</f>
        <v>114233.57829999999</v>
      </c>
      <c r="Z131" s="249">
        <f>((X131/W131)-1)*100</f>
        <v>41.444867896285231</v>
      </c>
      <c r="AA131" s="875">
        <v>275627.80170000001</v>
      </c>
      <c r="AB131" s="212">
        <v>309912.27</v>
      </c>
      <c r="AC131" s="190">
        <f>AB131-AA131</f>
        <v>34284.468300000008</v>
      </c>
      <c r="AD131" s="249">
        <f>((AB131/AA131)-1)*100</f>
        <v>12.438682922601574</v>
      </c>
      <c r="AE131" s="875">
        <v>275627.80170000001</v>
      </c>
      <c r="AF131" s="543">
        <v>406633.46</v>
      </c>
      <c r="AG131" s="169">
        <f>AF131-AE131</f>
        <v>131005.65830000001</v>
      </c>
      <c r="AH131" s="249">
        <f>((AF131/AE131)-1)*100</f>
        <v>47.529914432430772</v>
      </c>
      <c r="AI131" s="875">
        <v>275627.80170000001</v>
      </c>
      <c r="AJ131" s="192">
        <v>356697.57</v>
      </c>
      <c r="AK131" s="169">
        <f>AJ131-AI131</f>
        <v>81069.768299999996</v>
      </c>
      <c r="AL131" s="249">
        <f>((AJ131/AI131)-1)*100</f>
        <v>29.412768886151142</v>
      </c>
      <c r="AM131" s="875">
        <v>275627.80170000001</v>
      </c>
      <c r="AN131" s="192">
        <v>331421.28000000003</v>
      </c>
      <c r="AO131" s="169">
        <f>AN131-AM131</f>
        <v>55793.478300000017</v>
      </c>
      <c r="AP131" s="249">
        <f>((AN131/AM131)-1)*100</f>
        <v>20.242326048345085</v>
      </c>
      <c r="AQ131" s="875">
        <v>275627.80170000001</v>
      </c>
      <c r="AR131" s="136"/>
      <c r="AS131" s="169">
        <f>AR131-AQ131</f>
        <v>-275627.80170000001</v>
      </c>
      <c r="AT131" s="249">
        <f>((AR131/AQ131)-1)*100</f>
        <v>-100</v>
      </c>
      <c r="AU131" s="875">
        <v>275627.80170000001</v>
      </c>
      <c r="AV131" s="192"/>
      <c r="AW131" s="190">
        <f>AV131-AU131</f>
        <v>-275627.80170000001</v>
      </c>
      <c r="AX131" s="249">
        <f>((AV131/AU131)-1)*100</f>
        <v>-100</v>
      </c>
      <c r="AY131" s="388">
        <f>C131+G131+K131+O131+S131+W131+AA131+AE131+AI131+AM131+AQ131+AU131</f>
        <v>3307533.6204000008</v>
      </c>
      <c r="AZ131" s="193">
        <f t="shared" ref="AZ131:AZ150" si="134">SUM(D131+H131+L131+P131+T131+X131+AB131+AF131+AJ131+AN131+AR131+AV131)</f>
        <v>3248886.16</v>
      </c>
      <c r="BA131" s="398">
        <f t="shared" si="70"/>
        <v>324888.61600000004</v>
      </c>
      <c r="BB131" s="118"/>
      <c r="BC131" s="118"/>
    </row>
    <row r="132" spans="1:55" s="119" customFormat="1" ht="18" customHeight="1" x14ac:dyDescent="0.25">
      <c r="A132" s="170">
        <v>11416</v>
      </c>
      <c r="B132" s="332" t="s">
        <v>69</v>
      </c>
      <c r="C132" s="212">
        <v>11995.520500000001</v>
      </c>
      <c r="D132" s="82">
        <v>6079.17</v>
      </c>
      <c r="E132" s="138">
        <f t="shared" si="133"/>
        <v>-5916.3505000000005</v>
      </c>
      <c r="F132" s="371">
        <f t="shared" si="132"/>
        <v>-49.321332075586056</v>
      </c>
      <c r="G132" s="881">
        <v>11994.520500000001</v>
      </c>
      <c r="H132" s="82">
        <v>14461</v>
      </c>
      <c r="I132" s="137">
        <f>H132-G132</f>
        <v>2466.4794999999995</v>
      </c>
      <c r="J132" s="237">
        <f>((H132/G132)-1)*100</f>
        <v>20.563385589278038</v>
      </c>
      <c r="K132" s="881">
        <v>11994.520500000001</v>
      </c>
      <c r="L132" s="137">
        <v>16339.5</v>
      </c>
      <c r="M132" s="137">
        <f>L132-K132</f>
        <v>4344.9794999999995</v>
      </c>
      <c r="N132" s="237">
        <f>((L132/K132)-1)*100</f>
        <v>36.224703605283757</v>
      </c>
      <c r="O132" s="881">
        <v>11994.520500000001</v>
      </c>
      <c r="P132" s="137">
        <v>11366.91</v>
      </c>
      <c r="Q132" s="137">
        <f>P132-O132</f>
        <v>-627.61050000000068</v>
      </c>
      <c r="R132" s="237">
        <f>((P132/O132)-1)*100</f>
        <v>-5.232476779709538</v>
      </c>
      <c r="S132" s="881">
        <v>11994.520500000001</v>
      </c>
      <c r="T132" s="137">
        <v>18042</v>
      </c>
      <c r="U132" s="137">
        <f>T132-S132</f>
        <v>6047.4794999999995</v>
      </c>
      <c r="V132" s="237">
        <f>((T132/S132)-1)*100</f>
        <v>50.418684932007075</v>
      </c>
      <c r="W132" s="881">
        <v>11994.520500000001</v>
      </c>
      <c r="X132" s="137">
        <v>13653.72</v>
      </c>
      <c r="Y132" s="137">
        <f>X132-W132</f>
        <v>1659.1994999999988</v>
      </c>
      <c r="Z132" s="237">
        <f>((X132/W132)-1)*100</f>
        <v>13.832978984028577</v>
      </c>
      <c r="AA132" s="881">
        <v>11994.520500000001</v>
      </c>
      <c r="AB132" s="212">
        <v>12400</v>
      </c>
      <c r="AC132" s="137">
        <f>AB132-AA132</f>
        <v>405.47949999999946</v>
      </c>
      <c r="AD132" s="237">
        <f>((AB132/AA132)-1)*100</f>
        <v>3.3805394721698079</v>
      </c>
      <c r="AE132" s="881">
        <v>11994.520500000001</v>
      </c>
      <c r="AF132" s="136">
        <v>14301.64</v>
      </c>
      <c r="AG132" s="169">
        <f t="shared" ref="AG132:AG150" si="135">AF132-AE132</f>
        <v>2307.1194999999989</v>
      </c>
      <c r="AH132" s="237">
        <f>((AF132/AE132)-1)*100</f>
        <v>19.234778914255045</v>
      </c>
      <c r="AI132" s="881">
        <v>11994.520500000001</v>
      </c>
      <c r="AJ132" s="176">
        <v>19155.07</v>
      </c>
      <c r="AK132" s="169">
        <f t="shared" ref="AK132:AK150" si="136">AJ132-AI132</f>
        <v>7160.5494999999992</v>
      </c>
      <c r="AL132" s="237">
        <f>((AJ132/AI132)-1)*100</f>
        <v>59.698505663481917</v>
      </c>
      <c r="AM132" s="881">
        <v>11994.520500000001</v>
      </c>
      <c r="AN132" s="176">
        <v>18103.48</v>
      </c>
      <c r="AO132" s="169">
        <f t="shared" ref="AO132:AO150" si="137">AN132-AM132</f>
        <v>6108.959499999999</v>
      </c>
      <c r="AP132" s="237">
        <f>((AN132/AM132)-1)*100</f>
        <v>50.931252316422302</v>
      </c>
      <c r="AQ132" s="881">
        <v>11994.520500000001</v>
      </c>
      <c r="AR132" s="136"/>
      <c r="AS132" s="169">
        <f t="shared" ref="AS132:AS150" si="138">AR132-AQ132</f>
        <v>-11994.520500000001</v>
      </c>
      <c r="AT132" s="237">
        <f>((AR132/AQ132)-1)*100</f>
        <v>-100</v>
      </c>
      <c r="AU132" s="881">
        <v>11994.520500000001</v>
      </c>
      <c r="AV132" s="176"/>
      <c r="AW132" s="137">
        <f>AV132-AU132</f>
        <v>-11994.520500000001</v>
      </c>
      <c r="AX132" s="237">
        <f>((AV132/AU132)-1)*100</f>
        <v>-100</v>
      </c>
      <c r="AY132" s="388">
        <f t="shared" ref="AY132:AY151" si="139">C132+G132+K132+O132+S132+W132+AA132+AE132+AI132+AM132+AQ132+AU132</f>
        <v>143935.24600000001</v>
      </c>
      <c r="AZ132" s="177">
        <f t="shared" si="134"/>
        <v>143902.49000000002</v>
      </c>
      <c r="BA132" s="398">
        <f t="shared" si="70"/>
        <v>14390.249000000002</v>
      </c>
      <c r="BB132" s="118"/>
      <c r="BC132" s="118"/>
    </row>
    <row r="133" spans="1:55" s="119" customFormat="1" ht="18" customHeight="1" x14ac:dyDescent="0.25">
      <c r="A133" s="170" t="s">
        <v>134</v>
      </c>
      <c r="B133" s="332" t="s">
        <v>70</v>
      </c>
      <c r="C133" s="212">
        <v>1488.8907000000002</v>
      </c>
      <c r="D133" s="82">
        <f>708.53+0</f>
        <v>708.53</v>
      </c>
      <c r="E133" s="138">
        <f t="shared" si="133"/>
        <v>-780.36070000000018</v>
      </c>
      <c r="F133" s="371">
        <f t="shared" si="132"/>
        <v>-52.412222065729885</v>
      </c>
      <c r="G133" s="881">
        <v>1488.8907000000002</v>
      </c>
      <c r="H133" s="82">
        <f>-303.49</f>
        <v>-303.49</v>
      </c>
      <c r="I133" s="137">
        <f t="shared" ref="I133:I150" si="140">H133-G133</f>
        <v>-1792.3807000000002</v>
      </c>
      <c r="J133" s="237">
        <f t="shared" ref="J133:J150" si="141">((H133/G133)-1)*100</f>
        <v>-120.38363192140295</v>
      </c>
      <c r="K133" s="881">
        <v>1488.8907000000002</v>
      </c>
      <c r="L133" s="137">
        <v>105.06</v>
      </c>
      <c r="M133" s="137">
        <f t="shared" ref="M133:M150" si="142">L133-K133</f>
        <v>-1383.8307000000002</v>
      </c>
      <c r="N133" s="235">
        <f t="shared" ref="N133:N151" si="143">((L133/K133)-1)*100</f>
        <v>-92.943739926644724</v>
      </c>
      <c r="O133" s="881">
        <v>1488.8907000000002</v>
      </c>
      <c r="P133" s="137">
        <v>317</v>
      </c>
      <c r="Q133" s="137">
        <f t="shared" ref="Q133:Q150" si="144">P133-O133</f>
        <v>-1171.8907000000002</v>
      </c>
      <c r="R133" s="237">
        <f t="shared" ref="R133:R150" si="145">((P133/O133)-1)*100</f>
        <v>-78.708981122657292</v>
      </c>
      <c r="S133" s="881">
        <v>1488.8907000000002</v>
      </c>
      <c r="T133" s="137">
        <v>88.3</v>
      </c>
      <c r="U133" s="137">
        <f t="shared" ref="U133:U150" si="146">T133-S133</f>
        <v>-1400.5907000000002</v>
      </c>
      <c r="V133" s="235">
        <f t="shared" ref="V133:V150" si="147">((T133/S133)-1)*100</f>
        <v>-94.069410199150283</v>
      </c>
      <c r="W133" s="881">
        <v>1488.8907000000002</v>
      </c>
      <c r="X133" s="137">
        <v>816.08</v>
      </c>
      <c r="Y133" s="137">
        <f t="shared" ref="Y133:Y150" si="148">X133-W133</f>
        <v>-672.81070000000011</v>
      </c>
      <c r="Z133" s="235">
        <f t="shared" ref="Z133:Z150" si="149">((X133/W133)-1)*100</f>
        <v>-45.188723389836468</v>
      </c>
      <c r="AA133" s="881">
        <v>1488.8907000000002</v>
      </c>
      <c r="AB133" s="212">
        <v>114.3</v>
      </c>
      <c r="AC133" s="137">
        <f t="shared" ref="AC133:AC150" si="150">AB133-AA133</f>
        <v>-1374.5907000000002</v>
      </c>
      <c r="AD133" s="237">
        <f t="shared" ref="AD133:AD150" si="151">((AB133/AA133)-1)*100</f>
        <v>-92.32314366662375</v>
      </c>
      <c r="AE133" s="881">
        <v>1488.8907000000002</v>
      </c>
      <c r="AF133" s="136">
        <v>1079.69</v>
      </c>
      <c r="AG133" s="169">
        <f t="shared" si="135"/>
        <v>-409.2007000000001</v>
      </c>
      <c r="AH133" s="235">
        <f t="shared" ref="AH133:AH150" si="152">((AF133/AE133)-1)*100</f>
        <v>-27.483595672939597</v>
      </c>
      <c r="AI133" s="881">
        <v>1488.8907000000002</v>
      </c>
      <c r="AJ133" s="176">
        <v>0</v>
      </c>
      <c r="AK133" s="169">
        <f t="shared" si="136"/>
        <v>-1488.8907000000002</v>
      </c>
      <c r="AL133" s="237">
        <f t="shared" ref="AL133:AL150" si="153">((AJ133/AI133)-1)*100</f>
        <v>-100</v>
      </c>
      <c r="AM133" s="881">
        <v>1488.8907000000002</v>
      </c>
      <c r="AN133" s="176">
        <v>584.14</v>
      </c>
      <c r="AO133" s="169">
        <f t="shared" si="137"/>
        <v>-904.75070000000017</v>
      </c>
      <c r="AP133" s="235">
        <f t="shared" ref="AP133:AP150" si="154">((AN133/AM133)-1)*100</f>
        <v>-60.766764141921236</v>
      </c>
      <c r="AQ133" s="881">
        <v>1488.8907000000002</v>
      </c>
      <c r="AR133" s="136"/>
      <c r="AS133" s="169">
        <f t="shared" si="138"/>
        <v>-1488.8907000000002</v>
      </c>
      <c r="AT133" s="237">
        <f t="shared" ref="AT133:AT150" si="155">((AR133/AQ133)-1)*100</f>
        <v>-100</v>
      </c>
      <c r="AU133" s="881">
        <v>1488.8907000000002</v>
      </c>
      <c r="AV133" s="176"/>
      <c r="AW133" s="137">
        <f t="shared" ref="AW133:AW150" si="156">AV133-AU133</f>
        <v>-1488.8907000000002</v>
      </c>
      <c r="AX133" s="237">
        <f t="shared" ref="AX133:AX150" si="157">((AV133/AU133)-1)*100</f>
        <v>-100</v>
      </c>
      <c r="AY133" s="388">
        <f t="shared" si="139"/>
        <v>17866.688400000003</v>
      </c>
      <c r="AZ133" s="177">
        <f t="shared" si="134"/>
        <v>3509.61</v>
      </c>
      <c r="BA133" s="398">
        <f t="shared" si="70"/>
        <v>350.96100000000001</v>
      </c>
      <c r="BB133" s="118"/>
      <c r="BC133" s="118"/>
    </row>
    <row r="134" spans="1:55" s="119" customFormat="1" ht="18" customHeight="1" x14ac:dyDescent="0.25">
      <c r="A134" s="170">
        <v>12299</v>
      </c>
      <c r="B134" s="332" t="s">
        <v>71</v>
      </c>
      <c r="C134" s="212">
        <v>846216.86039999989</v>
      </c>
      <c r="D134" s="82">
        <v>803382.79</v>
      </c>
      <c r="E134" s="138">
        <f t="shared" si="133"/>
        <v>-42834.070399999851</v>
      </c>
      <c r="F134" s="371">
        <f t="shared" si="132"/>
        <v>-5.0618313584241958</v>
      </c>
      <c r="G134" s="881">
        <v>846216.86039999989</v>
      </c>
      <c r="H134" s="82">
        <v>889869.73</v>
      </c>
      <c r="I134" s="137">
        <f t="shared" si="140"/>
        <v>43652.869600000093</v>
      </c>
      <c r="J134" s="237">
        <f t="shared" si="141"/>
        <v>5.1585913307572007</v>
      </c>
      <c r="K134" s="881">
        <v>846216.86039999989</v>
      </c>
      <c r="L134" s="137">
        <v>1105965.49</v>
      </c>
      <c r="M134" s="137">
        <f t="shared" si="142"/>
        <v>259748.6296000001</v>
      </c>
      <c r="N134" s="235">
        <f t="shared" si="143"/>
        <v>30.695279396491703</v>
      </c>
      <c r="O134" s="881">
        <v>846216.86039999989</v>
      </c>
      <c r="P134" s="137">
        <v>1002303.87</v>
      </c>
      <c r="Q134" s="137">
        <f t="shared" si="144"/>
        <v>156087.00960000011</v>
      </c>
      <c r="R134" s="237">
        <f t="shared" si="145"/>
        <v>18.445272944126767</v>
      </c>
      <c r="S134" s="881">
        <v>846216.86039999989</v>
      </c>
      <c r="T134" s="137">
        <v>1097310.8999999999</v>
      </c>
      <c r="U134" s="137">
        <f t="shared" si="146"/>
        <v>251094.03960000002</v>
      </c>
      <c r="V134" s="237">
        <f t="shared" si="147"/>
        <v>29.672540379461342</v>
      </c>
      <c r="W134" s="881">
        <v>846216.86039999989</v>
      </c>
      <c r="X134" s="137">
        <v>1028127</v>
      </c>
      <c r="Y134" s="137">
        <f t="shared" si="148"/>
        <v>181910.13960000011</v>
      </c>
      <c r="Z134" s="237">
        <f t="shared" si="149"/>
        <v>21.496870142012135</v>
      </c>
      <c r="AA134" s="881">
        <v>846216.86039999989</v>
      </c>
      <c r="AB134" s="212">
        <v>876541.55</v>
      </c>
      <c r="AC134" s="137">
        <f t="shared" si="150"/>
        <v>30324.689600000158</v>
      </c>
      <c r="AD134" s="237">
        <f t="shared" si="151"/>
        <v>3.5835600800562917</v>
      </c>
      <c r="AE134" s="881">
        <v>846216.86039999989</v>
      </c>
      <c r="AF134" s="136">
        <v>925828.31</v>
      </c>
      <c r="AG134" s="169">
        <f t="shared" si="135"/>
        <v>79611.449600000167</v>
      </c>
      <c r="AH134" s="237">
        <f t="shared" si="152"/>
        <v>9.407925240625481</v>
      </c>
      <c r="AI134" s="881">
        <v>846216.86039999989</v>
      </c>
      <c r="AJ134" s="176">
        <v>804754.81</v>
      </c>
      <c r="AK134" s="169">
        <f t="shared" si="136"/>
        <v>-41462.050399999833</v>
      </c>
      <c r="AL134" s="237">
        <f t="shared" si="153"/>
        <v>-4.8996956147152488</v>
      </c>
      <c r="AM134" s="881">
        <v>846216.86039999989</v>
      </c>
      <c r="AN134" s="176">
        <v>780758.54</v>
      </c>
      <c r="AO134" s="169">
        <f t="shared" si="137"/>
        <v>-65458.320399999851</v>
      </c>
      <c r="AP134" s="237">
        <f t="shared" si="154"/>
        <v>-7.7354072535328893</v>
      </c>
      <c r="AQ134" s="881">
        <v>846216.86039999989</v>
      </c>
      <c r="AR134" s="136"/>
      <c r="AS134" s="169">
        <f t="shared" si="138"/>
        <v>-846216.86039999989</v>
      </c>
      <c r="AT134" s="237">
        <f t="shared" si="155"/>
        <v>-100</v>
      </c>
      <c r="AU134" s="881">
        <v>846216.86039999989</v>
      </c>
      <c r="AV134" s="176"/>
      <c r="AW134" s="137">
        <f t="shared" si="156"/>
        <v>-846216.86039999989</v>
      </c>
      <c r="AX134" s="237">
        <f t="shared" si="157"/>
        <v>-100</v>
      </c>
      <c r="AY134" s="388">
        <f t="shared" si="139"/>
        <v>10154602.3248</v>
      </c>
      <c r="AZ134" s="177">
        <f t="shared" si="134"/>
        <v>9314842.9899999984</v>
      </c>
      <c r="BA134" s="398">
        <f t="shared" si="70"/>
        <v>931484.29899999988</v>
      </c>
      <c r="BB134" s="118"/>
      <c r="BC134" s="118"/>
    </row>
    <row r="135" spans="1:55" s="119" customFormat="1" ht="18" customHeight="1" x14ac:dyDescent="0.25">
      <c r="A135" s="170">
        <v>12297</v>
      </c>
      <c r="B135" s="332" t="s">
        <v>200</v>
      </c>
      <c r="C135" s="212">
        <v>49211.629650000003</v>
      </c>
      <c r="D135" s="82">
        <v>32378.44</v>
      </c>
      <c r="E135" s="138">
        <f t="shared" si="133"/>
        <v>-16833.189650000004</v>
      </c>
      <c r="F135" s="371">
        <f t="shared" si="132"/>
        <v>-34.205714725807709</v>
      </c>
      <c r="G135" s="881">
        <v>49211.629650000003</v>
      </c>
      <c r="H135" s="82">
        <v>60642.44</v>
      </c>
      <c r="I135" s="137">
        <f t="shared" si="140"/>
        <v>11430.81035</v>
      </c>
      <c r="J135" s="237">
        <f t="shared" si="141"/>
        <v>23.227863883593216</v>
      </c>
      <c r="K135" s="881">
        <v>49211.629650000003</v>
      </c>
      <c r="L135" s="137">
        <v>71950.789999999994</v>
      </c>
      <c r="M135" s="137">
        <f t="shared" si="142"/>
        <v>22739.160349999991</v>
      </c>
      <c r="N135" s="252">
        <f t="shared" si="143"/>
        <v>46.206883437358371</v>
      </c>
      <c r="O135" s="881">
        <v>49211.629650000003</v>
      </c>
      <c r="P135" s="137">
        <v>51685.71</v>
      </c>
      <c r="Q135" s="137">
        <f t="shared" si="144"/>
        <v>2474.0803499999965</v>
      </c>
      <c r="R135" s="237">
        <f t="shared" si="145"/>
        <v>5.0274302387382841</v>
      </c>
      <c r="S135" s="881">
        <v>49211.629650000003</v>
      </c>
      <c r="T135" s="137">
        <v>70175.44</v>
      </c>
      <c r="U135" s="137">
        <f t="shared" si="146"/>
        <v>20963.81035</v>
      </c>
      <c r="V135" s="240">
        <f t="shared" si="147"/>
        <v>42.59930122025537</v>
      </c>
      <c r="W135" s="881">
        <v>49211.629650000003</v>
      </c>
      <c r="X135" s="137">
        <v>79458.720000000001</v>
      </c>
      <c r="Y135" s="137">
        <f t="shared" si="148"/>
        <v>30247.090349999999</v>
      </c>
      <c r="Z135" s="252">
        <f t="shared" si="149"/>
        <v>61.463297527681028</v>
      </c>
      <c r="AA135" s="881">
        <v>49211.629650000003</v>
      </c>
      <c r="AB135" s="212">
        <v>62731.28</v>
      </c>
      <c r="AC135" s="137">
        <f t="shared" si="150"/>
        <v>13519.650349999996</v>
      </c>
      <c r="AD135" s="237">
        <f t="shared" si="151"/>
        <v>27.472470320844167</v>
      </c>
      <c r="AE135" s="881">
        <v>49211.629650000003</v>
      </c>
      <c r="AF135" s="136">
        <v>65943.520000000004</v>
      </c>
      <c r="AG135" s="169">
        <f t="shared" si="135"/>
        <v>16731.890350000001</v>
      </c>
      <c r="AH135" s="252">
        <f t="shared" si="152"/>
        <v>33.999870496058662</v>
      </c>
      <c r="AI135" s="881">
        <v>49211.629650000003</v>
      </c>
      <c r="AJ135" s="176">
        <v>69893.14</v>
      </c>
      <c r="AK135" s="169">
        <f t="shared" si="136"/>
        <v>20681.510349999997</v>
      </c>
      <c r="AL135" s="237">
        <f t="shared" si="153"/>
        <v>42.025656327761936</v>
      </c>
      <c r="AM135" s="881">
        <v>49211.629650000003</v>
      </c>
      <c r="AN135" s="176">
        <v>67749.14</v>
      </c>
      <c r="AO135" s="169">
        <f t="shared" si="137"/>
        <v>18537.510349999997</v>
      </c>
      <c r="AP135" s="252">
        <f t="shared" si="154"/>
        <v>37.668962564014578</v>
      </c>
      <c r="AQ135" s="881">
        <v>49211.629650000003</v>
      </c>
      <c r="AR135" s="136"/>
      <c r="AS135" s="169">
        <f t="shared" si="138"/>
        <v>-49211.629650000003</v>
      </c>
      <c r="AT135" s="237">
        <f t="shared" si="155"/>
        <v>-100</v>
      </c>
      <c r="AU135" s="881">
        <v>49211.629650000003</v>
      </c>
      <c r="AV135" s="176"/>
      <c r="AW135" s="137">
        <f t="shared" si="156"/>
        <v>-49211.629650000003</v>
      </c>
      <c r="AX135" s="237">
        <f t="shared" si="157"/>
        <v>-100</v>
      </c>
      <c r="AY135" s="388">
        <f t="shared" si="139"/>
        <v>590539.55580000009</v>
      </c>
      <c r="AZ135" s="177">
        <f t="shared" si="134"/>
        <v>632608.62</v>
      </c>
      <c r="BA135" s="398">
        <f t="shared" si="70"/>
        <v>63260.862000000001</v>
      </c>
      <c r="BB135" s="118"/>
      <c r="BC135" s="118"/>
    </row>
    <row r="136" spans="1:55" s="119" customFormat="1" ht="18" customHeight="1" x14ac:dyDescent="0.25">
      <c r="A136" s="170">
        <v>12301</v>
      </c>
      <c r="B136" s="332" t="s">
        <v>72</v>
      </c>
      <c r="C136" s="212">
        <v>850420.22039999999</v>
      </c>
      <c r="D136" s="87">
        <v>966424.85</v>
      </c>
      <c r="E136" s="138">
        <f t="shared" si="133"/>
        <v>116004.62959999999</v>
      </c>
      <c r="F136" s="371">
        <f t="shared" si="132"/>
        <v>13.640859755831825</v>
      </c>
      <c r="G136" s="881">
        <v>850420.22039999999</v>
      </c>
      <c r="H136" s="87">
        <v>1245887.22</v>
      </c>
      <c r="I136" s="137">
        <f t="shared" si="140"/>
        <v>395466.99959999998</v>
      </c>
      <c r="J136" s="237">
        <f t="shared" si="141"/>
        <v>46.502539581430668</v>
      </c>
      <c r="K136" s="881">
        <v>850420.22039999999</v>
      </c>
      <c r="L136" s="137">
        <v>2073332.15</v>
      </c>
      <c r="M136" s="137">
        <f t="shared" si="142"/>
        <v>1222911.9295999999</v>
      </c>
      <c r="N136" s="252">
        <f t="shared" si="143"/>
        <v>143.80089986863157</v>
      </c>
      <c r="O136" s="881">
        <v>850420.22039999999</v>
      </c>
      <c r="P136" s="137">
        <v>2181793.75</v>
      </c>
      <c r="Q136" s="137">
        <f t="shared" si="144"/>
        <v>1331373.5296</v>
      </c>
      <c r="R136" s="237">
        <f t="shared" si="145"/>
        <v>156.55478287825528</v>
      </c>
      <c r="S136" s="881">
        <v>850420.22039999999</v>
      </c>
      <c r="T136" s="137">
        <v>2739066.25</v>
      </c>
      <c r="U136" s="137">
        <f t="shared" si="146"/>
        <v>1888646.0296</v>
      </c>
      <c r="V136" s="240">
        <f t="shared" si="147"/>
        <v>222.08385740306889</v>
      </c>
      <c r="W136" s="881">
        <v>850420.22039999999</v>
      </c>
      <c r="X136" s="137">
        <v>2594067.9900000002</v>
      </c>
      <c r="Y136" s="137">
        <f t="shared" si="148"/>
        <v>1743647.7696000002</v>
      </c>
      <c r="Z136" s="252">
        <f t="shared" si="149"/>
        <v>205.03366780012189</v>
      </c>
      <c r="AA136" s="881">
        <v>850420.22039999999</v>
      </c>
      <c r="AB136" s="212">
        <v>2680724.27</v>
      </c>
      <c r="AC136" s="137">
        <f t="shared" si="150"/>
        <v>1830304.0496</v>
      </c>
      <c r="AD136" s="237">
        <f t="shared" si="151"/>
        <v>215.22348665923138</v>
      </c>
      <c r="AE136" s="881">
        <v>850420.22039999999</v>
      </c>
      <c r="AF136" s="136">
        <v>2539588.58</v>
      </c>
      <c r="AG136" s="169">
        <f t="shared" si="135"/>
        <v>1689168.3596000001</v>
      </c>
      <c r="AH136" s="252">
        <f t="shared" si="152"/>
        <v>198.62749251252399</v>
      </c>
      <c r="AI136" s="881">
        <v>850420.22039999999</v>
      </c>
      <c r="AJ136" s="176">
        <v>2562605.75</v>
      </c>
      <c r="AK136" s="169">
        <f t="shared" si="136"/>
        <v>1712185.5296</v>
      </c>
      <c r="AL136" s="237">
        <f t="shared" si="153"/>
        <v>201.33405680249038</v>
      </c>
      <c r="AM136" s="881">
        <v>850420.22039999999</v>
      </c>
      <c r="AN136" s="176">
        <v>2151133.09</v>
      </c>
      <c r="AO136" s="169">
        <f t="shared" si="137"/>
        <v>1300712.8695999999</v>
      </c>
      <c r="AP136" s="252">
        <f t="shared" si="154"/>
        <v>152.94942881158238</v>
      </c>
      <c r="AQ136" s="881">
        <v>850420.22039999999</v>
      </c>
      <c r="AR136" s="136"/>
      <c r="AS136" s="169">
        <f t="shared" si="138"/>
        <v>-850420.22039999999</v>
      </c>
      <c r="AT136" s="237">
        <f t="shared" si="155"/>
        <v>-100</v>
      </c>
      <c r="AU136" s="881">
        <v>850420.22039999999</v>
      </c>
      <c r="AV136" s="176"/>
      <c r="AW136" s="137">
        <f t="shared" si="156"/>
        <v>-850420.22039999999</v>
      </c>
      <c r="AX136" s="237">
        <f t="shared" si="157"/>
        <v>-100</v>
      </c>
      <c r="AY136" s="388">
        <f t="shared" si="139"/>
        <v>10205042.6448</v>
      </c>
      <c r="AZ136" s="177">
        <f t="shared" si="134"/>
        <v>21734623.899999999</v>
      </c>
      <c r="BA136" s="398">
        <f t="shared" ref="BA136:BA199" si="158">AZ136/10</f>
        <v>2173462.3899999997</v>
      </c>
      <c r="BB136" s="118"/>
      <c r="BC136" s="118"/>
    </row>
    <row r="137" spans="1:55" s="119" customFormat="1" ht="18" customHeight="1" x14ac:dyDescent="0.25">
      <c r="A137" s="170">
        <v>12329</v>
      </c>
      <c r="B137" s="332" t="s">
        <v>73</v>
      </c>
      <c r="C137" s="212">
        <v>602130.01185000013</v>
      </c>
      <c r="D137" s="87">
        <v>170708.72</v>
      </c>
      <c r="E137" s="138">
        <f t="shared" si="133"/>
        <v>-431421.29185000015</v>
      </c>
      <c r="F137" s="371">
        <f t="shared" si="132"/>
        <v>-71.649192592890358</v>
      </c>
      <c r="G137" s="881">
        <v>602130.01185000013</v>
      </c>
      <c r="H137" s="87">
        <v>274474.82</v>
      </c>
      <c r="I137" s="137">
        <f t="shared" si="140"/>
        <v>-327655.19185000012</v>
      </c>
      <c r="J137" s="237">
        <f t="shared" si="141"/>
        <v>-54.416020693488385</v>
      </c>
      <c r="K137" s="881">
        <v>602130.01185000013</v>
      </c>
      <c r="L137" s="137">
        <v>1256383.5900000001</v>
      </c>
      <c r="M137" s="137">
        <f>L137-K137</f>
        <v>654253.57814999996</v>
      </c>
      <c r="N137" s="252">
        <f>((L137/K137)-1)*100</f>
        <v>108.65653019683475</v>
      </c>
      <c r="O137" s="881">
        <v>602130.01185000013</v>
      </c>
      <c r="P137" s="137">
        <v>1575053.43</v>
      </c>
      <c r="Q137" s="137">
        <f t="shared" si="144"/>
        <v>972923.41814999981</v>
      </c>
      <c r="R137" s="237">
        <f t="shared" si="145"/>
        <v>161.58028980498153</v>
      </c>
      <c r="S137" s="881">
        <v>602130.01185000013</v>
      </c>
      <c r="T137" s="137">
        <v>1032351.58</v>
      </c>
      <c r="U137" s="137">
        <f t="shared" si="146"/>
        <v>430221.56814999983</v>
      </c>
      <c r="V137" s="240">
        <f t="shared" si="147"/>
        <v>71.449945972328436</v>
      </c>
      <c r="W137" s="881">
        <v>602130.01185000013</v>
      </c>
      <c r="X137" s="137">
        <v>1797750.11</v>
      </c>
      <c r="Y137" s="137">
        <f t="shared" si="148"/>
        <v>1195620.09815</v>
      </c>
      <c r="Z137" s="252">
        <f t="shared" si="149"/>
        <v>198.56510630927451</v>
      </c>
      <c r="AA137" s="881">
        <v>602130.01185000013</v>
      </c>
      <c r="AB137" s="212">
        <v>1862318.83</v>
      </c>
      <c r="AC137" s="137">
        <f t="shared" si="150"/>
        <v>1260188.8181499999</v>
      </c>
      <c r="AD137" s="237">
        <f t="shared" si="151"/>
        <v>209.28849141370029</v>
      </c>
      <c r="AE137" s="881">
        <v>602130.01185000013</v>
      </c>
      <c r="AF137" s="136">
        <v>2386639.7000000002</v>
      </c>
      <c r="AG137" s="169">
        <f t="shared" si="135"/>
        <v>1784509.6881500001</v>
      </c>
      <c r="AH137" s="252">
        <f t="shared" si="152"/>
        <v>296.36617558178597</v>
      </c>
      <c r="AI137" s="881">
        <v>602130.01185000013</v>
      </c>
      <c r="AJ137" s="176">
        <v>2752172.38</v>
      </c>
      <c r="AK137" s="169">
        <f t="shared" si="136"/>
        <v>2150042.3681499995</v>
      </c>
      <c r="AL137" s="237">
        <f t="shared" si="153"/>
        <v>357.07277927305984</v>
      </c>
      <c r="AM137" s="881">
        <v>602130.01185000013</v>
      </c>
      <c r="AN137" s="176">
        <v>2624736.4700000002</v>
      </c>
      <c r="AO137" s="169">
        <f t="shared" si="137"/>
        <v>2022606.4581500001</v>
      </c>
      <c r="AP137" s="252">
        <f t="shared" si="154"/>
        <v>335.90859421467644</v>
      </c>
      <c r="AQ137" s="881">
        <v>602130.01185000013</v>
      </c>
      <c r="AR137" s="136"/>
      <c r="AS137" s="169">
        <f t="shared" si="138"/>
        <v>-602130.01185000013</v>
      </c>
      <c r="AT137" s="237">
        <f t="shared" si="155"/>
        <v>-100</v>
      </c>
      <c r="AU137" s="881">
        <v>602130.01185000013</v>
      </c>
      <c r="AV137" s="176"/>
      <c r="AW137" s="137">
        <f t="shared" si="156"/>
        <v>-602130.01185000013</v>
      </c>
      <c r="AX137" s="237">
        <f t="shared" si="157"/>
        <v>-100</v>
      </c>
      <c r="AY137" s="388">
        <f t="shared" si="139"/>
        <v>7225560.1422000034</v>
      </c>
      <c r="AZ137" s="177">
        <f t="shared" si="134"/>
        <v>15732589.630000001</v>
      </c>
      <c r="BA137" s="398">
        <f t="shared" si="158"/>
        <v>1573258.963</v>
      </c>
      <c r="BB137" s="118"/>
      <c r="BC137" s="118"/>
    </row>
    <row r="138" spans="1:55" s="119" customFormat="1" ht="18" customHeight="1" x14ac:dyDescent="0.25">
      <c r="A138" s="170">
        <v>11605</v>
      </c>
      <c r="B138" s="332" t="s">
        <v>74</v>
      </c>
      <c r="C138" s="212">
        <v>65481.21944999999</v>
      </c>
      <c r="D138" s="87">
        <v>58952.07</v>
      </c>
      <c r="E138" s="138">
        <f t="shared" si="133"/>
        <v>-6529.1494499999899</v>
      </c>
      <c r="F138" s="371">
        <f t="shared" si="132"/>
        <v>-9.9710260511954978</v>
      </c>
      <c r="G138" s="881">
        <v>65481.21944999999</v>
      </c>
      <c r="H138" s="87">
        <v>73644.03</v>
      </c>
      <c r="I138" s="137">
        <f t="shared" si="140"/>
        <v>8162.8105500000092</v>
      </c>
      <c r="J138" s="237">
        <f t="shared" si="141"/>
        <v>12.465880474680159</v>
      </c>
      <c r="K138" s="881">
        <v>65481.21944999999</v>
      </c>
      <c r="L138" s="137">
        <v>97126.48</v>
      </c>
      <c r="M138" s="137">
        <f t="shared" si="142"/>
        <v>31645.260550000006</v>
      </c>
      <c r="N138" s="252">
        <f t="shared" si="143"/>
        <v>48.327231557078164</v>
      </c>
      <c r="O138" s="881">
        <v>65481.21944999999</v>
      </c>
      <c r="P138" s="137">
        <v>92254.63</v>
      </c>
      <c r="Q138" s="137">
        <f t="shared" si="144"/>
        <v>26773.410550000015</v>
      </c>
      <c r="R138" s="237">
        <f t="shared" si="145"/>
        <v>40.887159363981596</v>
      </c>
      <c r="S138" s="881">
        <v>65481.21944999999</v>
      </c>
      <c r="T138" s="137">
        <v>100659.23</v>
      </c>
      <c r="U138" s="137">
        <f t="shared" si="146"/>
        <v>35178.010550000006</v>
      </c>
      <c r="V138" s="240">
        <f t="shared" si="147"/>
        <v>53.72228991071426</v>
      </c>
      <c r="W138" s="881">
        <v>65481.21944999999</v>
      </c>
      <c r="X138" s="137">
        <v>85133.97</v>
      </c>
      <c r="Y138" s="137">
        <f t="shared" si="148"/>
        <v>19652.750550000012</v>
      </c>
      <c r="Z138" s="252">
        <f t="shared" si="149"/>
        <v>30.012804763060984</v>
      </c>
      <c r="AA138" s="881">
        <v>65481.21944999999</v>
      </c>
      <c r="AB138" s="212">
        <v>112714.49</v>
      </c>
      <c r="AC138" s="137">
        <f t="shared" si="150"/>
        <v>47233.270550000016</v>
      </c>
      <c r="AD138" s="237">
        <f t="shared" si="151"/>
        <v>72.132545708111479</v>
      </c>
      <c r="AE138" s="881">
        <v>65481.21944999999</v>
      </c>
      <c r="AF138" s="136">
        <v>97235.26</v>
      </c>
      <c r="AG138" s="169">
        <f t="shared" si="135"/>
        <v>31754.040550000005</v>
      </c>
      <c r="AH138" s="252">
        <f t="shared" si="152"/>
        <v>48.493355525009264</v>
      </c>
      <c r="AI138" s="881">
        <v>65481.21944999999</v>
      </c>
      <c r="AJ138" s="176">
        <v>93459.98</v>
      </c>
      <c r="AK138" s="169">
        <f t="shared" si="136"/>
        <v>27978.760550000006</v>
      </c>
      <c r="AL138" s="237">
        <f t="shared" si="153"/>
        <v>42.727916164365219</v>
      </c>
      <c r="AM138" s="881">
        <v>65481.21944999999</v>
      </c>
      <c r="AN138" s="176">
        <v>112679.67</v>
      </c>
      <c r="AO138" s="169">
        <f t="shared" si="137"/>
        <v>47198.450550000009</v>
      </c>
      <c r="AP138" s="252">
        <f t="shared" si="154"/>
        <v>72.079370155957008</v>
      </c>
      <c r="AQ138" s="881">
        <v>65481.21944999999</v>
      </c>
      <c r="AR138" s="136"/>
      <c r="AS138" s="169">
        <f t="shared" si="138"/>
        <v>-65481.21944999999</v>
      </c>
      <c r="AT138" s="237">
        <f t="shared" si="155"/>
        <v>-100</v>
      </c>
      <c r="AU138" s="881">
        <v>65481.21944999999</v>
      </c>
      <c r="AV138" s="176"/>
      <c r="AW138" s="137">
        <f t="shared" si="156"/>
        <v>-65481.21944999999</v>
      </c>
      <c r="AX138" s="237">
        <f t="shared" si="157"/>
        <v>-100</v>
      </c>
      <c r="AY138" s="388">
        <f t="shared" si="139"/>
        <v>785774.63339999982</v>
      </c>
      <c r="AZ138" s="177">
        <f t="shared" si="134"/>
        <v>923859.81</v>
      </c>
      <c r="BA138" s="398">
        <f t="shared" si="158"/>
        <v>92385.981</v>
      </c>
      <c r="BB138" s="118"/>
      <c r="BC138" s="118"/>
    </row>
    <row r="139" spans="1:55" s="119" customFormat="1" ht="18" customHeight="1" x14ac:dyDescent="0.25">
      <c r="A139" s="170">
        <v>12333</v>
      </c>
      <c r="B139" s="332" t="s">
        <v>75</v>
      </c>
      <c r="C139" s="212">
        <v>29765.331899999997</v>
      </c>
      <c r="D139" s="87">
        <v>40123.449999999997</v>
      </c>
      <c r="E139" s="138">
        <f t="shared" si="133"/>
        <v>10358.1181</v>
      </c>
      <c r="F139" s="371">
        <f t="shared" si="132"/>
        <v>34.799269616073047</v>
      </c>
      <c r="G139" s="881">
        <v>29765.331899999997</v>
      </c>
      <c r="H139" s="87">
        <v>2379.13</v>
      </c>
      <c r="I139" s="137">
        <f t="shared" si="140"/>
        <v>-27386.201899999996</v>
      </c>
      <c r="J139" s="237">
        <f t="shared" si="141"/>
        <v>-92.007043603636077</v>
      </c>
      <c r="K139" s="881">
        <v>29765.331899999997</v>
      </c>
      <c r="L139" s="137">
        <v>82126</v>
      </c>
      <c r="M139" s="137">
        <f t="shared" si="142"/>
        <v>52360.668100000003</v>
      </c>
      <c r="N139" s="252">
        <f t="shared" si="143"/>
        <v>175.9115882729331</v>
      </c>
      <c r="O139" s="881">
        <v>29765.331899999997</v>
      </c>
      <c r="P139" s="137">
        <v>46224.65</v>
      </c>
      <c r="Q139" s="137">
        <f t="shared" si="144"/>
        <v>16459.318100000004</v>
      </c>
      <c r="R139" s="237">
        <f t="shared" si="145"/>
        <v>55.296941271466224</v>
      </c>
      <c r="S139" s="881">
        <v>29765.331899999997</v>
      </c>
      <c r="T139" s="137">
        <v>31260.17</v>
      </c>
      <c r="U139" s="137">
        <f t="shared" si="146"/>
        <v>1494.8381000000008</v>
      </c>
      <c r="V139" s="240">
        <f t="shared" si="147"/>
        <v>5.0220777145105533</v>
      </c>
      <c r="W139" s="881">
        <v>29765.331899999997</v>
      </c>
      <c r="X139" s="137">
        <v>37725.949999999997</v>
      </c>
      <c r="Y139" s="137">
        <f t="shared" si="148"/>
        <v>7960.6180999999997</v>
      </c>
      <c r="Z139" s="252">
        <f t="shared" si="149"/>
        <v>26.744597126430826</v>
      </c>
      <c r="AA139" s="881">
        <v>29765.331899999997</v>
      </c>
      <c r="AB139" s="212">
        <v>28690.77</v>
      </c>
      <c r="AC139" s="137">
        <f t="shared" si="150"/>
        <v>-1074.561899999997</v>
      </c>
      <c r="AD139" s="237">
        <f t="shared" si="151"/>
        <v>-3.6101122729291557</v>
      </c>
      <c r="AE139" s="881">
        <v>29765.331899999997</v>
      </c>
      <c r="AF139" s="136">
        <v>35110.050000000003</v>
      </c>
      <c r="AG139" s="169">
        <f t="shared" si="135"/>
        <v>5344.7181000000055</v>
      </c>
      <c r="AH139" s="252">
        <f t="shared" si="152"/>
        <v>17.956185128243128</v>
      </c>
      <c r="AI139" s="881">
        <v>29765.331899999997</v>
      </c>
      <c r="AJ139" s="176">
        <v>39205.25</v>
      </c>
      <c r="AK139" s="169">
        <f t="shared" si="136"/>
        <v>9439.9181000000026</v>
      </c>
      <c r="AL139" s="237">
        <f t="shared" si="153"/>
        <v>31.714472836098295</v>
      </c>
      <c r="AM139" s="881">
        <v>29765.331899999997</v>
      </c>
      <c r="AN139" s="176">
        <v>35252.17</v>
      </c>
      <c r="AO139" s="169">
        <f t="shared" si="137"/>
        <v>5486.8381000000008</v>
      </c>
      <c r="AP139" s="252">
        <f t="shared" si="154"/>
        <v>18.433653346899192</v>
      </c>
      <c r="AQ139" s="881">
        <v>29765.331899999997</v>
      </c>
      <c r="AR139" s="136"/>
      <c r="AS139" s="169">
        <f t="shared" si="138"/>
        <v>-29765.331899999997</v>
      </c>
      <c r="AT139" s="237">
        <f t="shared" si="155"/>
        <v>-100</v>
      </c>
      <c r="AU139" s="881">
        <v>29765.331899999997</v>
      </c>
      <c r="AV139" s="176"/>
      <c r="AW139" s="137">
        <f t="shared" si="156"/>
        <v>-29765.331899999997</v>
      </c>
      <c r="AX139" s="237">
        <f t="shared" si="157"/>
        <v>-100</v>
      </c>
      <c r="AY139" s="388">
        <f t="shared" si="139"/>
        <v>357183.98279999994</v>
      </c>
      <c r="AZ139" s="177">
        <f t="shared" si="134"/>
        <v>378097.58999999997</v>
      </c>
      <c r="BA139" s="398">
        <f t="shared" si="158"/>
        <v>37809.758999999998</v>
      </c>
      <c r="BB139" s="118"/>
      <c r="BC139" s="118"/>
    </row>
    <row r="140" spans="1:55" s="119" customFormat="1" ht="18" customHeight="1" x14ac:dyDescent="0.25">
      <c r="A140" s="170">
        <v>12331</v>
      </c>
      <c r="B140" s="332" t="s">
        <v>76</v>
      </c>
      <c r="C140" s="212">
        <v>155205.45944999997</v>
      </c>
      <c r="D140" s="87">
        <v>158328.53</v>
      </c>
      <c r="E140" s="138">
        <f t="shared" si="133"/>
        <v>3123.0705500000331</v>
      </c>
      <c r="F140" s="371">
        <f t="shared" si="132"/>
        <v>2.0122169420246028</v>
      </c>
      <c r="G140" s="881">
        <v>155205.45944999997</v>
      </c>
      <c r="H140" s="87">
        <v>154088.09</v>
      </c>
      <c r="I140" s="137">
        <f t="shared" si="140"/>
        <v>-1117.3694499999692</v>
      </c>
      <c r="J140" s="237">
        <f t="shared" si="141"/>
        <v>-0.71992921767028983</v>
      </c>
      <c r="K140" s="881">
        <v>155205.45944999997</v>
      </c>
      <c r="L140" s="137">
        <v>172062.77</v>
      </c>
      <c r="M140" s="137">
        <f t="shared" si="142"/>
        <v>16857.310550000024</v>
      </c>
      <c r="N140" s="252">
        <f t="shared" si="143"/>
        <v>10.861287102745676</v>
      </c>
      <c r="O140" s="881">
        <v>155205.45944999997</v>
      </c>
      <c r="P140" s="137">
        <v>191718.34</v>
      </c>
      <c r="Q140" s="137">
        <f t="shared" si="144"/>
        <v>36512.880550000031</v>
      </c>
      <c r="R140" s="237">
        <f t="shared" si="145"/>
        <v>23.525513006688282</v>
      </c>
      <c r="S140" s="881">
        <v>155205.45944999997</v>
      </c>
      <c r="T140" s="137">
        <v>160641.81</v>
      </c>
      <c r="U140" s="137">
        <f t="shared" si="146"/>
        <v>5436.3505500000319</v>
      </c>
      <c r="V140" s="240">
        <f t="shared" si="147"/>
        <v>3.5026799761199046</v>
      </c>
      <c r="W140" s="881">
        <v>155205.45944999997</v>
      </c>
      <c r="X140" s="137">
        <v>174032.92</v>
      </c>
      <c r="Y140" s="137">
        <f t="shared" si="148"/>
        <v>18827.460550000047</v>
      </c>
      <c r="Z140" s="252">
        <f t="shared" si="149"/>
        <v>12.130668996257432</v>
      </c>
      <c r="AA140" s="881">
        <v>155205.45944999997</v>
      </c>
      <c r="AB140" s="212">
        <v>177742.56</v>
      </c>
      <c r="AC140" s="137">
        <f t="shared" si="150"/>
        <v>22537.100550000032</v>
      </c>
      <c r="AD140" s="237">
        <f t="shared" si="151"/>
        <v>14.520816877102472</v>
      </c>
      <c r="AE140" s="881">
        <v>155205.45944999997</v>
      </c>
      <c r="AF140" s="136">
        <v>169497.84</v>
      </c>
      <c r="AG140" s="169">
        <f t="shared" si="135"/>
        <v>14292.380550000031</v>
      </c>
      <c r="AH140" s="252">
        <f t="shared" si="152"/>
        <v>9.2086841536681785</v>
      </c>
      <c r="AI140" s="881">
        <v>155205.45944999997</v>
      </c>
      <c r="AJ140" s="176">
        <v>228945.4</v>
      </c>
      <c r="AK140" s="169">
        <f t="shared" si="136"/>
        <v>73739.940550000028</v>
      </c>
      <c r="AL140" s="237">
        <f t="shared" si="153"/>
        <v>47.511176998097568</v>
      </c>
      <c r="AM140" s="881">
        <v>155205.45944999997</v>
      </c>
      <c r="AN140" s="176">
        <v>184366.48</v>
      </c>
      <c r="AO140" s="169">
        <f t="shared" si="137"/>
        <v>29161.020550000045</v>
      </c>
      <c r="AP140" s="252">
        <f t="shared" si="154"/>
        <v>18.788656438592866</v>
      </c>
      <c r="AQ140" s="881">
        <v>155205.45944999997</v>
      </c>
      <c r="AR140" s="136"/>
      <c r="AS140" s="169">
        <f t="shared" si="138"/>
        <v>-155205.45944999997</v>
      </c>
      <c r="AT140" s="237">
        <f t="shared" si="155"/>
        <v>-100</v>
      </c>
      <c r="AU140" s="881">
        <v>155205.45944999997</v>
      </c>
      <c r="AV140" s="176"/>
      <c r="AW140" s="137">
        <f t="shared" si="156"/>
        <v>-155205.45944999997</v>
      </c>
      <c r="AX140" s="237">
        <f t="shared" si="157"/>
        <v>-100</v>
      </c>
      <c r="AY140" s="388">
        <f t="shared" si="139"/>
        <v>1862465.5133999996</v>
      </c>
      <c r="AZ140" s="177">
        <f t="shared" si="134"/>
        <v>1771424.74</v>
      </c>
      <c r="BA140" s="398">
        <f t="shared" si="158"/>
        <v>177142.47399999999</v>
      </c>
      <c r="BB140" s="118"/>
      <c r="BC140" s="118"/>
    </row>
    <row r="141" spans="1:55" s="119" customFormat="1" ht="18" customHeight="1" x14ac:dyDescent="0.25">
      <c r="A141" s="170">
        <v>12316</v>
      </c>
      <c r="B141" s="332" t="s">
        <v>201</v>
      </c>
      <c r="C141" s="212">
        <v>21293.1747</v>
      </c>
      <c r="D141" s="87">
        <v>22898.45</v>
      </c>
      <c r="E141" s="138">
        <f t="shared" si="133"/>
        <v>1605.2753000000012</v>
      </c>
      <c r="F141" s="371">
        <f t="shared" si="132"/>
        <v>7.5389195017500299</v>
      </c>
      <c r="G141" s="881">
        <v>21293.1747</v>
      </c>
      <c r="H141" s="87">
        <v>24332.51</v>
      </c>
      <c r="I141" s="137">
        <f t="shared" si="140"/>
        <v>3039.3352999999988</v>
      </c>
      <c r="J141" s="237">
        <f t="shared" si="141"/>
        <v>14.273753645575438</v>
      </c>
      <c r="K141" s="881">
        <v>21293.1747</v>
      </c>
      <c r="L141" s="137">
        <v>28336.55</v>
      </c>
      <c r="M141" s="137">
        <f t="shared" si="142"/>
        <v>7043.3752999999997</v>
      </c>
      <c r="N141" s="252">
        <f t="shared" si="143"/>
        <v>33.078089102420229</v>
      </c>
      <c r="O141" s="881">
        <v>21293.1747</v>
      </c>
      <c r="P141" s="137">
        <v>19278.419999999998</v>
      </c>
      <c r="Q141" s="137">
        <f t="shared" si="144"/>
        <v>-2014.7547000000013</v>
      </c>
      <c r="R141" s="237">
        <f t="shared" si="145"/>
        <v>-9.4619742165549461</v>
      </c>
      <c r="S141" s="881">
        <v>21293.1747</v>
      </c>
      <c r="T141" s="137">
        <v>12852.47</v>
      </c>
      <c r="U141" s="137">
        <f t="shared" si="146"/>
        <v>-8440.7047000000002</v>
      </c>
      <c r="V141" s="240">
        <f t="shared" si="147"/>
        <v>-39.640423839663519</v>
      </c>
      <c r="W141" s="881">
        <v>21293.1747</v>
      </c>
      <c r="X141" s="137">
        <v>17557.080000000002</v>
      </c>
      <c r="Y141" s="137">
        <f t="shared" si="148"/>
        <v>-3736.0946999999978</v>
      </c>
      <c r="Z141" s="252">
        <f t="shared" si="149"/>
        <v>-17.545973076527655</v>
      </c>
      <c r="AA141" s="881">
        <v>21293.1747</v>
      </c>
      <c r="AB141" s="212">
        <v>25102.61</v>
      </c>
      <c r="AC141" s="137">
        <f t="shared" si="150"/>
        <v>3809.435300000001</v>
      </c>
      <c r="AD141" s="237">
        <f t="shared" si="151"/>
        <v>17.89040551102039</v>
      </c>
      <c r="AE141" s="881">
        <v>21293.1747</v>
      </c>
      <c r="AF141" s="136">
        <v>9889.86</v>
      </c>
      <c r="AG141" s="169">
        <f t="shared" si="135"/>
        <v>-11403.314699999999</v>
      </c>
      <c r="AH141" s="252">
        <f t="shared" si="152"/>
        <v>-53.553849346851969</v>
      </c>
      <c r="AI141" s="881">
        <v>21293.1747</v>
      </c>
      <c r="AJ141" s="176">
        <v>23762.47</v>
      </c>
      <c r="AK141" s="169">
        <f t="shared" si="136"/>
        <v>2469.2953000000016</v>
      </c>
      <c r="AL141" s="237">
        <f t="shared" si="153"/>
        <v>11.596651672613213</v>
      </c>
      <c r="AM141" s="881">
        <v>21293.1747</v>
      </c>
      <c r="AN141" s="176">
        <v>44392.53</v>
      </c>
      <c r="AO141" s="169">
        <f t="shared" si="137"/>
        <v>23099.355299999999</v>
      </c>
      <c r="AP141" s="252">
        <f t="shared" si="154"/>
        <v>108.48243921090828</v>
      </c>
      <c r="AQ141" s="881">
        <v>21293.1747</v>
      </c>
      <c r="AR141" s="136"/>
      <c r="AS141" s="169">
        <f t="shared" si="138"/>
        <v>-21293.1747</v>
      </c>
      <c r="AT141" s="237">
        <f t="shared" si="155"/>
        <v>-100</v>
      </c>
      <c r="AU141" s="881">
        <v>21293.1747</v>
      </c>
      <c r="AV141" s="176"/>
      <c r="AW141" s="137">
        <f t="shared" si="156"/>
        <v>-21293.1747</v>
      </c>
      <c r="AX141" s="237">
        <f t="shared" si="157"/>
        <v>-100</v>
      </c>
      <c r="AY141" s="388">
        <f t="shared" si="139"/>
        <v>255518.09640000001</v>
      </c>
      <c r="AZ141" s="177">
        <f t="shared" si="134"/>
        <v>228402.95</v>
      </c>
      <c r="BA141" s="398">
        <f t="shared" si="158"/>
        <v>22840.295000000002</v>
      </c>
      <c r="BB141" s="118"/>
      <c r="BC141" s="118"/>
    </row>
    <row r="142" spans="1:55" s="119" customFormat="1" ht="18" customHeight="1" x14ac:dyDescent="0.25">
      <c r="A142" s="170">
        <v>12332</v>
      </c>
      <c r="B142" s="332" t="s">
        <v>77</v>
      </c>
      <c r="C142" s="212">
        <v>25161.347249999999</v>
      </c>
      <c r="D142" s="87">
        <v>13694.14</v>
      </c>
      <c r="E142" s="138">
        <f t="shared" si="133"/>
        <v>-11467.207249999999</v>
      </c>
      <c r="F142" s="371">
        <f t="shared" si="132"/>
        <v>-45.574694932124515</v>
      </c>
      <c r="G142" s="881">
        <v>25161.347249999999</v>
      </c>
      <c r="H142" s="87">
        <v>54954.6</v>
      </c>
      <c r="I142" s="137">
        <f t="shared" si="140"/>
        <v>29793.25275</v>
      </c>
      <c r="J142" s="237">
        <f t="shared" si="141"/>
        <v>118.40881354236706</v>
      </c>
      <c r="K142" s="881">
        <v>25161.347249999999</v>
      </c>
      <c r="L142" s="137">
        <v>50487.24</v>
      </c>
      <c r="M142" s="137">
        <f t="shared" si="142"/>
        <v>25325.892749999999</v>
      </c>
      <c r="N142" s="252">
        <f t="shared" si="143"/>
        <v>100.65396140502769</v>
      </c>
      <c r="O142" s="881">
        <v>25161.347249999999</v>
      </c>
      <c r="P142" s="137">
        <v>27744.51</v>
      </c>
      <c r="Q142" s="137">
        <f t="shared" si="144"/>
        <v>2583.1627499999995</v>
      </c>
      <c r="R142" s="237">
        <f t="shared" si="145"/>
        <v>10.266392829978521</v>
      </c>
      <c r="S142" s="881">
        <v>25161.347249999999</v>
      </c>
      <c r="T142" s="137">
        <v>38691.82</v>
      </c>
      <c r="U142" s="137">
        <f t="shared" si="146"/>
        <v>13530.472750000001</v>
      </c>
      <c r="V142" s="240">
        <f t="shared" si="147"/>
        <v>53.774834135719814</v>
      </c>
      <c r="W142" s="881">
        <v>25161.347249999999</v>
      </c>
      <c r="X142" s="137">
        <v>65012.02</v>
      </c>
      <c r="Y142" s="137">
        <f t="shared" si="148"/>
        <v>39850.672749999998</v>
      </c>
      <c r="Z142" s="252">
        <f t="shared" si="149"/>
        <v>158.3805205422774</v>
      </c>
      <c r="AA142" s="881">
        <v>25161.347249999999</v>
      </c>
      <c r="AB142" s="212">
        <v>82757.52</v>
      </c>
      <c r="AC142" s="137">
        <f t="shared" si="150"/>
        <v>57596.172750000005</v>
      </c>
      <c r="AD142" s="237">
        <f t="shared" si="151"/>
        <v>228.90734815481713</v>
      </c>
      <c r="AE142" s="881">
        <v>25161.347249999999</v>
      </c>
      <c r="AF142" s="136">
        <v>19284.849999999999</v>
      </c>
      <c r="AG142" s="169">
        <f t="shared" si="135"/>
        <v>-5876.4972500000003</v>
      </c>
      <c r="AH142" s="252">
        <f t="shared" si="152"/>
        <v>-23.355256742064956</v>
      </c>
      <c r="AI142" s="881">
        <v>25161.347249999999</v>
      </c>
      <c r="AJ142" s="176">
        <v>32739.55</v>
      </c>
      <c r="AK142" s="169">
        <f t="shared" si="136"/>
        <v>7578.2027500000004</v>
      </c>
      <c r="AL142" s="237">
        <f t="shared" si="153"/>
        <v>30.118429966026561</v>
      </c>
      <c r="AM142" s="881">
        <v>25161.347249999999</v>
      </c>
      <c r="AN142" s="176">
        <v>21949.33</v>
      </c>
      <c r="AO142" s="169">
        <f t="shared" si="137"/>
        <v>-3212.0172499999971</v>
      </c>
      <c r="AP142" s="252">
        <f t="shared" si="154"/>
        <v>-12.765680700980742</v>
      </c>
      <c r="AQ142" s="881">
        <v>25161.347249999999</v>
      </c>
      <c r="AR142" s="136"/>
      <c r="AS142" s="169">
        <f t="shared" si="138"/>
        <v>-25161.347249999999</v>
      </c>
      <c r="AT142" s="237">
        <f t="shared" si="155"/>
        <v>-100</v>
      </c>
      <c r="AU142" s="881">
        <v>25161.347249999999</v>
      </c>
      <c r="AV142" s="176"/>
      <c r="AW142" s="137">
        <f t="shared" si="156"/>
        <v>-25161.347249999999</v>
      </c>
      <c r="AX142" s="237">
        <f t="shared" si="157"/>
        <v>-100</v>
      </c>
      <c r="AY142" s="388">
        <f t="shared" si="139"/>
        <v>301936.16699999996</v>
      </c>
      <c r="AZ142" s="177">
        <f t="shared" si="134"/>
        <v>407315.57999999996</v>
      </c>
      <c r="BA142" s="398">
        <f t="shared" si="158"/>
        <v>40731.557999999997</v>
      </c>
      <c r="BB142" s="118"/>
      <c r="BC142" s="118"/>
    </row>
    <row r="143" spans="1:55" s="119" customFormat="1" ht="18" customHeight="1" x14ac:dyDescent="0.25">
      <c r="A143" s="170">
        <v>32497</v>
      </c>
      <c r="B143" s="332" t="s">
        <v>202</v>
      </c>
      <c r="C143" s="212">
        <v>72966.796650000004</v>
      </c>
      <c r="D143" s="87">
        <v>75680.66</v>
      </c>
      <c r="E143" s="138">
        <f t="shared" si="133"/>
        <v>2713.8633499999996</v>
      </c>
      <c r="F143" s="371">
        <f t="shared" si="132"/>
        <v>3.7193127211238242</v>
      </c>
      <c r="G143" s="881">
        <v>72966.796650000004</v>
      </c>
      <c r="H143" s="87">
        <v>103529.34</v>
      </c>
      <c r="I143" s="137">
        <f t="shared" si="140"/>
        <v>30562.543349999993</v>
      </c>
      <c r="J143" s="237">
        <f t="shared" si="141"/>
        <v>41.885548980037335</v>
      </c>
      <c r="K143" s="881">
        <v>72966.796650000004</v>
      </c>
      <c r="L143" s="137">
        <v>153543.07999999999</v>
      </c>
      <c r="M143" s="137">
        <f t="shared" si="142"/>
        <v>80576.283349999983</v>
      </c>
      <c r="N143" s="252">
        <f t="shared" si="143"/>
        <v>110.42869777674413</v>
      </c>
      <c r="O143" s="881">
        <v>72966.796650000004</v>
      </c>
      <c r="P143" s="137">
        <v>121617.18</v>
      </c>
      <c r="Q143" s="137">
        <f t="shared" si="144"/>
        <v>48650.383349999989</v>
      </c>
      <c r="R143" s="237">
        <f t="shared" si="145"/>
        <v>66.6746870955037</v>
      </c>
      <c r="S143" s="881">
        <v>72966.796650000004</v>
      </c>
      <c r="T143" s="137">
        <v>111116.54</v>
      </c>
      <c r="U143" s="137">
        <f t="shared" si="146"/>
        <v>38149.74334999999</v>
      </c>
      <c r="V143" s="240">
        <f t="shared" si="147"/>
        <v>52.283703138282121</v>
      </c>
      <c r="W143" s="881">
        <v>72966.796650000004</v>
      </c>
      <c r="X143" s="137">
        <v>104416.91</v>
      </c>
      <c r="Y143" s="137">
        <f t="shared" si="148"/>
        <v>31450.11335</v>
      </c>
      <c r="Z143" s="252">
        <f t="shared" si="149"/>
        <v>43.101951564157083</v>
      </c>
      <c r="AA143" s="881">
        <v>72966.796650000004</v>
      </c>
      <c r="AB143" s="212">
        <v>115253.77</v>
      </c>
      <c r="AC143" s="137">
        <f t="shared" si="150"/>
        <v>42286.97335</v>
      </c>
      <c r="AD143" s="237">
        <f t="shared" si="151"/>
        <v>57.953720447449577</v>
      </c>
      <c r="AE143" s="881">
        <v>72966.796650000004</v>
      </c>
      <c r="AF143" s="136">
        <v>107168</v>
      </c>
      <c r="AG143" s="169">
        <f t="shared" si="135"/>
        <v>34201.203349999996</v>
      </c>
      <c r="AH143" s="252">
        <f t="shared" si="152"/>
        <v>46.872282901568219</v>
      </c>
      <c r="AI143" s="881">
        <v>72966.796650000004</v>
      </c>
      <c r="AJ143" s="176">
        <v>110654.17</v>
      </c>
      <c r="AK143" s="169">
        <f t="shared" si="136"/>
        <v>37687.373349999994</v>
      </c>
      <c r="AL143" s="237">
        <f t="shared" si="153"/>
        <v>51.650031357104929</v>
      </c>
      <c r="AM143" s="881">
        <v>72966.796650000004</v>
      </c>
      <c r="AN143" s="176">
        <v>95226.9</v>
      </c>
      <c r="AO143" s="169">
        <f t="shared" si="137"/>
        <v>22260.10334999999</v>
      </c>
      <c r="AP143" s="252">
        <f t="shared" si="154"/>
        <v>30.507168153173936</v>
      </c>
      <c r="AQ143" s="881">
        <v>72966.796650000004</v>
      </c>
      <c r="AR143" s="136"/>
      <c r="AS143" s="169">
        <f t="shared" si="138"/>
        <v>-72966.796650000004</v>
      </c>
      <c r="AT143" s="237">
        <f t="shared" si="155"/>
        <v>-100</v>
      </c>
      <c r="AU143" s="881">
        <v>72966.796650000004</v>
      </c>
      <c r="AV143" s="176"/>
      <c r="AW143" s="137">
        <f t="shared" si="156"/>
        <v>-72966.796650000004</v>
      </c>
      <c r="AX143" s="237">
        <f t="shared" si="157"/>
        <v>-100</v>
      </c>
      <c r="AY143" s="388">
        <f t="shared" si="139"/>
        <v>875601.55980000028</v>
      </c>
      <c r="AZ143" s="177">
        <f t="shared" si="134"/>
        <v>1098206.55</v>
      </c>
      <c r="BA143" s="398">
        <f t="shared" si="158"/>
        <v>109820.655</v>
      </c>
      <c r="BB143" s="118"/>
      <c r="BC143" s="118"/>
    </row>
    <row r="144" spans="1:55" s="119" customFormat="1" ht="18" customHeight="1" x14ac:dyDescent="0.25">
      <c r="A144" s="170">
        <v>51649</v>
      </c>
      <c r="B144" s="332" t="s">
        <v>78</v>
      </c>
      <c r="C144" s="212">
        <v>17882.359550000001</v>
      </c>
      <c r="D144" s="87">
        <v>10170.370000000001</v>
      </c>
      <c r="E144" s="138">
        <f t="shared" si="133"/>
        <v>-7711.9895500000002</v>
      </c>
      <c r="F144" s="371">
        <f t="shared" si="132"/>
        <v>-43.126241413706502</v>
      </c>
      <c r="G144" s="881">
        <v>17883.359549999997</v>
      </c>
      <c r="H144" s="87">
        <v>13825.38</v>
      </c>
      <c r="I144" s="137">
        <f t="shared" si="140"/>
        <v>-4057.9795499999982</v>
      </c>
      <c r="J144" s="237">
        <f t="shared" si="141"/>
        <v>-22.691371487858937</v>
      </c>
      <c r="K144" s="881">
        <v>17883.359549999997</v>
      </c>
      <c r="L144" s="137">
        <v>11441.4</v>
      </c>
      <c r="M144" s="137">
        <f t="shared" si="142"/>
        <v>-6441.9595499999978</v>
      </c>
      <c r="N144" s="252">
        <f t="shared" si="143"/>
        <v>-36.022088198746737</v>
      </c>
      <c r="O144" s="881">
        <v>17883.359549999997</v>
      </c>
      <c r="P144" s="137">
        <v>19337.080000000002</v>
      </c>
      <c r="Q144" s="137">
        <f t="shared" si="144"/>
        <v>1453.7204500000043</v>
      </c>
      <c r="R144" s="237">
        <f t="shared" si="145"/>
        <v>8.128900198732536</v>
      </c>
      <c r="S144" s="881">
        <v>17883.359549999997</v>
      </c>
      <c r="T144" s="137">
        <v>5720.7</v>
      </c>
      <c r="U144" s="137">
        <f t="shared" si="146"/>
        <v>-12162.659549999997</v>
      </c>
      <c r="V144" s="240">
        <f>((T144/S144)-1)*100</f>
        <v>-68.011044099373379</v>
      </c>
      <c r="W144" s="881">
        <v>17883.359549999997</v>
      </c>
      <c r="X144" s="137">
        <v>31943.25</v>
      </c>
      <c r="Y144" s="137">
        <f t="shared" si="148"/>
        <v>14059.890450000003</v>
      </c>
      <c r="Z144" s="252">
        <f t="shared" si="149"/>
        <v>78.619961818080242</v>
      </c>
      <c r="AA144" s="881">
        <v>17883.359549999997</v>
      </c>
      <c r="AB144" s="212">
        <v>13385.8</v>
      </c>
      <c r="AC144" s="137">
        <f t="shared" si="150"/>
        <v>-4497.5595499999981</v>
      </c>
      <c r="AD144" s="237">
        <f t="shared" si="151"/>
        <v>-25.149410754871269</v>
      </c>
      <c r="AE144" s="881">
        <v>17883.359549999997</v>
      </c>
      <c r="AF144" s="136">
        <v>14619.72</v>
      </c>
      <c r="AG144" s="169">
        <f t="shared" si="135"/>
        <v>-3263.6395499999981</v>
      </c>
      <c r="AH144" s="252">
        <f t="shared" si="152"/>
        <v>-18.24958862385563</v>
      </c>
      <c r="AI144" s="881">
        <v>17883.359549999997</v>
      </c>
      <c r="AJ144" s="176">
        <v>14061.49</v>
      </c>
      <c r="AK144" s="169">
        <f t="shared" si="136"/>
        <v>-3821.8695499999976</v>
      </c>
      <c r="AL144" s="237">
        <f t="shared" si="153"/>
        <v>-21.371093833429068</v>
      </c>
      <c r="AM144" s="881">
        <v>17883.359549999997</v>
      </c>
      <c r="AN144" s="176">
        <v>8559.69</v>
      </c>
      <c r="AO144" s="169">
        <f t="shared" si="137"/>
        <v>-9323.6695499999969</v>
      </c>
      <c r="AP144" s="252">
        <f t="shared" si="154"/>
        <v>-52.136006794092552</v>
      </c>
      <c r="AQ144" s="881">
        <v>17883.359549999997</v>
      </c>
      <c r="AR144" s="136"/>
      <c r="AS144" s="169">
        <f t="shared" si="138"/>
        <v>-17883.359549999997</v>
      </c>
      <c r="AT144" s="237">
        <f t="shared" si="155"/>
        <v>-100</v>
      </c>
      <c r="AU144" s="881">
        <v>17883.359549999997</v>
      </c>
      <c r="AV144" s="176"/>
      <c r="AW144" s="137">
        <f t="shared" si="156"/>
        <v>-17883.359549999997</v>
      </c>
      <c r="AX144" s="237">
        <f t="shared" si="157"/>
        <v>-100</v>
      </c>
      <c r="AY144" s="388">
        <f t="shared" si="139"/>
        <v>214599.31459999995</v>
      </c>
      <c r="AZ144" s="177">
        <f t="shared" si="134"/>
        <v>143064.88</v>
      </c>
      <c r="BA144" s="398">
        <f t="shared" si="158"/>
        <v>14306.488000000001</v>
      </c>
      <c r="BB144" s="118"/>
      <c r="BC144" s="118"/>
    </row>
    <row r="145" spans="1:55" s="119" customFormat="1" ht="18" customHeight="1" x14ac:dyDescent="0.25">
      <c r="A145" s="170">
        <v>12328</v>
      </c>
      <c r="B145" s="332" t="s">
        <v>336</v>
      </c>
      <c r="C145" s="212">
        <v>16669.617749999998</v>
      </c>
      <c r="D145" s="87">
        <v>17405.22</v>
      </c>
      <c r="E145" s="138">
        <f t="shared" si="133"/>
        <v>735.60225000000355</v>
      </c>
      <c r="F145" s="371">
        <f t="shared" si="132"/>
        <v>4.4128321418768213</v>
      </c>
      <c r="G145" s="881">
        <v>16669.617749999998</v>
      </c>
      <c r="H145" s="87">
        <v>24218.639999999999</v>
      </c>
      <c r="I145" s="137">
        <f t="shared" si="140"/>
        <v>7549.0222500000018</v>
      </c>
      <c r="J145" s="237">
        <f t="shared" si="141"/>
        <v>45.286114914062757</v>
      </c>
      <c r="K145" s="881">
        <v>16669.617749999998</v>
      </c>
      <c r="L145" s="137">
        <v>49148.52</v>
      </c>
      <c r="M145" s="137">
        <f>L145-K145</f>
        <v>32478.902249999999</v>
      </c>
      <c r="N145" s="252">
        <f t="shared" si="143"/>
        <v>194.83891434763106</v>
      </c>
      <c r="O145" s="881">
        <v>16669.617749999998</v>
      </c>
      <c r="P145" s="137">
        <v>37771.050000000003</v>
      </c>
      <c r="Q145" s="137">
        <f t="shared" si="144"/>
        <v>21101.432250000005</v>
      </c>
      <c r="R145" s="237">
        <f t="shared" si="145"/>
        <v>126.58617951812366</v>
      </c>
      <c r="S145" s="881">
        <v>16669.617749999998</v>
      </c>
      <c r="T145" s="137">
        <v>23835.91</v>
      </c>
      <c r="U145" s="137">
        <f>T145-S145</f>
        <v>7166.2922500000022</v>
      </c>
      <c r="V145" s="240">
        <f>((T145/S145)-1)*100</f>
        <v>42.990141450604071</v>
      </c>
      <c r="W145" s="881">
        <v>16669.617749999998</v>
      </c>
      <c r="X145" s="137">
        <v>23317.52</v>
      </c>
      <c r="Y145" s="137">
        <f>X145-W145</f>
        <v>6647.9022500000028</v>
      </c>
      <c r="Z145" s="252">
        <f t="shared" si="149"/>
        <v>39.880352085458014</v>
      </c>
      <c r="AA145" s="881">
        <v>16669.617749999998</v>
      </c>
      <c r="AB145" s="212">
        <v>13269.94</v>
      </c>
      <c r="AC145" s="137">
        <f>AB145-AA145</f>
        <v>-3399.6777499999971</v>
      </c>
      <c r="AD145" s="237">
        <f t="shared" si="151"/>
        <v>-20.394455355762421</v>
      </c>
      <c r="AE145" s="881">
        <v>16669.617749999998</v>
      </c>
      <c r="AF145" s="136">
        <v>98641.03</v>
      </c>
      <c r="AG145" s="169">
        <f t="shared" si="135"/>
        <v>81971.412249999994</v>
      </c>
      <c r="AH145" s="252">
        <f t="shared" si="152"/>
        <v>491.74140330842329</v>
      </c>
      <c r="AI145" s="881">
        <v>16669.617749999998</v>
      </c>
      <c r="AJ145" s="176">
        <v>22461.23</v>
      </c>
      <c r="AK145" s="169">
        <f t="shared" si="136"/>
        <v>5791.6122500000019</v>
      </c>
      <c r="AL145" s="237">
        <f t="shared" si="153"/>
        <v>34.743521638341115</v>
      </c>
      <c r="AM145" s="881">
        <v>16669.617749999998</v>
      </c>
      <c r="AN145" s="176">
        <v>16858.39</v>
      </c>
      <c r="AO145" s="169">
        <f t="shared" si="137"/>
        <v>188.7722500000018</v>
      </c>
      <c r="AP145" s="252">
        <f t="shared" si="154"/>
        <v>1.1324329857533844</v>
      </c>
      <c r="AQ145" s="881">
        <v>16669.617749999998</v>
      </c>
      <c r="AR145" s="136"/>
      <c r="AS145" s="169">
        <f t="shared" si="138"/>
        <v>-16669.617749999998</v>
      </c>
      <c r="AT145" s="237">
        <f t="shared" si="155"/>
        <v>-100</v>
      </c>
      <c r="AU145" s="881">
        <v>16669.617749999998</v>
      </c>
      <c r="AV145" s="176"/>
      <c r="AW145" s="137">
        <f t="shared" si="156"/>
        <v>-16669.617749999998</v>
      </c>
      <c r="AX145" s="237">
        <f t="shared" si="157"/>
        <v>-100</v>
      </c>
      <c r="AY145" s="388">
        <f t="shared" si="139"/>
        <v>200035.41300000003</v>
      </c>
      <c r="AZ145" s="177">
        <f t="shared" si="134"/>
        <v>326927.44999999995</v>
      </c>
      <c r="BA145" s="398">
        <f t="shared" si="158"/>
        <v>32692.744999999995</v>
      </c>
      <c r="BB145" s="118"/>
      <c r="BC145" s="118"/>
    </row>
    <row r="146" spans="1:55" s="119" customFormat="1" ht="18" customHeight="1" x14ac:dyDescent="0.25">
      <c r="A146" s="170" t="s">
        <v>79</v>
      </c>
      <c r="B146" s="332" t="s">
        <v>203</v>
      </c>
      <c r="C146" s="212">
        <v>49256.536049999995</v>
      </c>
      <c r="D146" s="87">
        <f>0+-35703.93+0</f>
        <v>-35703.93</v>
      </c>
      <c r="E146" s="138">
        <f t="shared" si="133"/>
        <v>-84960.466049999988</v>
      </c>
      <c r="F146" s="371">
        <f t="shared" si="132"/>
        <v>-172.48566964546021</v>
      </c>
      <c r="G146" s="881">
        <v>49256.536049999995</v>
      </c>
      <c r="H146" s="87">
        <f>-163364.67</f>
        <v>-163364.67000000001</v>
      </c>
      <c r="I146" s="137">
        <f t="shared" si="140"/>
        <v>-212621.20605000001</v>
      </c>
      <c r="J146" s="237">
        <f t="shared" si="141"/>
        <v>-431.66089843217878</v>
      </c>
      <c r="K146" s="881">
        <v>49256.536049999995</v>
      </c>
      <c r="L146" s="137">
        <v>-53396.32</v>
      </c>
      <c r="M146" s="137">
        <f>L146-K146</f>
        <v>-102652.85605</v>
      </c>
      <c r="N146" s="252">
        <f t="shared" si="143"/>
        <v>-208.40453731013025</v>
      </c>
      <c r="O146" s="881">
        <v>49256.536049999995</v>
      </c>
      <c r="P146" s="131">
        <v>-33.76</v>
      </c>
      <c r="Q146" s="137">
        <f t="shared" si="144"/>
        <v>-49290.296049999997</v>
      </c>
      <c r="R146" s="237">
        <f t="shared" si="145"/>
        <v>-100.06853912740785</v>
      </c>
      <c r="S146" s="881">
        <v>49256.536049999995</v>
      </c>
      <c r="T146" s="137">
        <v>21120.85</v>
      </c>
      <c r="U146" s="137">
        <f t="shared" si="146"/>
        <v>-28135.686049999997</v>
      </c>
      <c r="V146" s="240">
        <f>((T146/S146)-1)*100</f>
        <v>-57.120715962323544</v>
      </c>
      <c r="W146" s="881">
        <v>49256.536049999995</v>
      </c>
      <c r="X146" s="137">
        <v>430839.2</v>
      </c>
      <c r="Y146" s="137">
        <f t="shared" si="148"/>
        <v>381582.66395000002</v>
      </c>
      <c r="Z146" s="252">
        <f t="shared" si="149"/>
        <v>774.68432526935692</v>
      </c>
      <c r="AA146" s="881">
        <v>49256.536049999995</v>
      </c>
      <c r="AB146" s="212">
        <v>70019.710000000006</v>
      </c>
      <c r="AC146" s="137">
        <f t="shared" si="150"/>
        <v>20763.173950000011</v>
      </c>
      <c r="AD146" s="237">
        <f t="shared" si="151"/>
        <v>42.153134619380154</v>
      </c>
      <c r="AE146" s="881">
        <v>49256.536049999995</v>
      </c>
      <c r="AF146" s="136">
        <v>7865.54</v>
      </c>
      <c r="AG146" s="169">
        <f t="shared" si="135"/>
        <v>-41390.996049999994</v>
      </c>
      <c r="AH146" s="252">
        <f t="shared" si="152"/>
        <v>-84.031479615180942</v>
      </c>
      <c r="AI146" s="881">
        <v>49256.536049999995</v>
      </c>
      <c r="AJ146" s="176">
        <v>8855.67</v>
      </c>
      <c r="AK146" s="169">
        <f t="shared" si="136"/>
        <v>-40400.866049999997</v>
      </c>
      <c r="AL146" s="237">
        <f>((AJ146/AI146)-1)*100</f>
        <v>-82.021330141829978</v>
      </c>
      <c r="AM146" s="881">
        <v>49256.536049999995</v>
      </c>
      <c r="AN146" s="176">
        <v>-30522.04</v>
      </c>
      <c r="AO146" s="169">
        <f t="shared" si="137"/>
        <v>-79778.576050000003</v>
      </c>
      <c r="AP146" s="252">
        <f t="shared" si="154"/>
        <v>-161.96546173896044</v>
      </c>
      <c r="AQ146" s="881">
        <v>49256.536049999995</v>
      </c>
      <c r="AR146" s="136"/>
      <c r="AS146" s="169">
        <f t="shared" si="138"/>
        <v>-49256.536049999995</v>
      </c>
      <c r="AT146" s="237">
        <f t="shared" si="155"/>
        <v>-100</v>
      </c>
      <c r="AU146" s="881">
        <v>49256.536049999995</v>
      </c>
      <c r="AV146" s="176"/>
      <c r="AW146" s="137">
        <f t="shared" si="156"/>
        <v>-49256.536049999995</v>
      </c>
      <c r="AX146" s="237">
        <f t="shared" si="157"/>
        <v>-100</v>
      </c>
      <c r="AY146" s="388">
        <f t="shared" si="139"/>
        <v>591078.43259999994</v>
      </c>
      <c r="AZ146" s="177">
        <f t="shared" si="134"/>
        <v>255680.24999999997</v>
      </c>
      <c r="BA146" s="398">
        <f t="shared" si="158"/>
        <v>25568.024999999998</v>
      </c>
      <c r="BB146" s="118"/>
      <c r="BC146" s="118"/>
    </row>
    <row r="147" spans="1:55" s="119" customFormat="1" ht="18" customHeight="1" x14ac:dyDescent="0.25">
      <c r="A147" s="170">
        <v>54554</v>
      </c>
      <c r="B147" s="332" t="s">
        <v>3707</v>
      </c>
      <c r="C147" s="212">
        <v>0</v>
      </c>
      <c r="D147" s="87">
        <v>72033.86</v>
      </c>
      <c r="E147" s="138">
        <f t="shared" si="133"/>
        <v>72033.86</v>
      </c>
      <c r="F147" s="371"/>
      <c r="G147" s="212">
        <v>0</v>
      </c>
      <c r="H147" s="87">
        <v>70855.460000000006</v>
      </c>
      <c r="I147" s="137">
        <f t="shared" si="140"/>
        <v>70855.460000000006</v>
      </c>
      <c r="J147" s="237"/>
      <c r="K147" s="212">
        <v>0</v>
      </c>
      <c r="L147" s="137">
        <v>199072.76</v>
      </c>
      <c r="M147" s="137">
        <f>L147-K147</f>
        <v>199072.76</v>
      </c>
      <c r="N147" s="252"/>
      <c r="O147" s="212">
        <v>0</v>
      </c>
      <c r="P147" s="125">
        <v>354994.08</v>
      </c>
      <c r="Q147" s="137">
        <f t="shared" si="144"/>
        <v>354994.08</v>
      </c>
      <c r="R147" s="237"/>
      <c r="S147" s="212">
        <v>0</v>
      </c>
      <c r="T147" s="125">
        <v>222618.61</v>
      </c>
      <c r="U147" s="137">
        <f t="shared" si="146"/>
        <v>222618.61</v>
      </c>
      <c r="V147" s="240"/>
      <c r="W147" s="212">
        <v>0</v>
      </c>
      <c r="X147" s="137">
        <v>277541.23</v>
      </c>
      <c r="Y147" s="137">
        <f t="shared" si="148"/>
        <v>277541.23</v>
      </c>
      <c r="Z147" s="252"/>
      <c r="AA147" s="212">
        <v>0</v>
      </c>
      <c r="AB147" s="212">
        <v>316881.33</v>
      </c>
      <c r="AC147" s="137">
        <f t="shared" si="150"/>
        <v>316881.33</v>
      </c>
      <c r="AD147" s="237"/>
      <c r="AE147" s="212">
        <v>0</v>
      </c>
      <c r="AF147" s="136">
        <v>502624.52</v>
      </c>
      <c r="AG147" s="169">
        <f t="shared" si="135"/>
        <v>502624.52</v>
      </c>
      <c r="AH147" s="252"/>
      <c r="AI147" s="212">
        <v>0</v>
      </c>
      <c r="AJ147" s="176">
        <v>457491.8</v>
      </c>
      <c r="AK147" s="169">
        <f t="shared" si="136"/>
        <v>457491.8</v>
      </c>
      <c r="AL147" s="237"/>
      <c r="AM147" s="212">
        <v>0</v>
      </c>
      <c r="AN147" s="176">
        <v>389305.08</v>
      </c>
      <c r="AO147" s="169">
        <f t="shared" si="137"/>
        <v>389305.08</v>
      </c>
      <c r="AP147" s="252"/>
      <c r="AQ147" s="212">
        <v>0</v>
      </c>
      <c r="AR147" s="136"/>
      <c r="AS147" s="169">
        <f t="shared" si="138"/>
        <v>0</v>
      </c>
      <c r="AT147" s="237"/>
      <c r="AU147" s="212">
        <v>0</v>
      </c>
      <c r="AV147" s="176"/>
      <c r="AW147" s="137">
        <f t="shared" si="156"/>
        <v>0</v>
      </c>
      <c r="AX147" s="237"/>
      <c r="AY147" s="388">
        <f t="shared" si="139"/>
        <v>0</v>
      </c>
      <c r="AZ147" s="177">
        <f t="shared" si="134"/>
        <v>2863418.73</v>
      </c>
      <c r="BA147" s="398">
        <f t="shared" si="158"/>
        <v>286341.87300000002</v>
      </c>
      <c r="BB147" s="118"/>
      <c r="BC147" s="118"/>
    </row>
    <row r="148" spans="1:55" s="119" customFormat="1" ht="18" customHeight="1" x14ac:dyDescent="0.25">
      <c r="A148" s="170">
        <v>37763</v>
      </c>
      <c r="B148" s="332" t="s">
        <v>80</v>
      </c>
      <c r="C148" s="212">
        <v>27256.593150000001</v>
      </c>
      <c r="D148" s="87">
        <v>26033.66</v>
      </c>
      <c r="E148" s="138">
        <f t="shared" si="133"/>
        <v>-1222.9331500000008</v>
      </c>
      <c r="F148" s="371">
        <f t="shared" si="132"/>
        <v>-4.4867425039875179</v>
      </c>
      <c r="G148" s="881">
        <v>27256.593150000001</v>
      </c>
      <c r="H148" s="87">
        <v>31042.58</v>
      </c>
      <c r="I148" s="137">
        <f t="shared" si="140"/>
        <v>3785.9868500000011</v>
      </c>
      <c r="J148" s="237">
        <f t="shared" si="141"/>
        <v>13.890168992011386</v>
      </c>
      <c r="K148" s="881">
        <v>27256.593150000001</v>
      </c>
      <c r="L148" s="137">
        <v>32350.74</v>
      </c>
      <c r="M148" s="137">
        <f t="shared" si="142"/>
        <v>5094.146850000001</v>
      </c>
      <c r="N148" s="252">
        <f t="shared" si="143"/>
        <v>18.689594924668707</v>
      </c>
      <c r="O148" s="881">
        <v>27256.593150000001</v>
      </c>
      <c r="P148" s="125">
        <v>36672.660000000003</v>
      </c>
      <c r="Q148" s="137">
        <f t="shared" si="144"/>
        <v>9416.0668500000029</v>
      </c>
      <c r="R148" s="237">
        <f t="shared" si="145"/>
        <v>34.546015337210264</v>
      </c>
      <c r="S148" s="881">
        <v>27256.593150000001</v>
      </c>
      <c r="T148" s="131">
        <v>34252.67</v>
      </c>
      <c r="U148" s="137">
        <f t="shared" si="146"/>
        <v>6996.0768499999976</v>
      </c>
      <c r="V148" s="240">
        <f t="shared" si="147"/>
        <v>25.66746625852614</v>
      </c>
      <c r="W148" s="881">
        <v>27256.593150000001</v>
      </c>
      <c r="X148" s="137">
        <v>10530</v>
      </c>
      <c r="Y148" s="137">
        <f t="shared" si="148"/>
        <v>-16726.593150000001</v>
      </c>
      <c r="Z148" s="252">
        <f t="shared" si="149"/>
        <v>-61.367145402029088</v>
      </c>
      <c r="AA148" s="881">
        <v>27256.593150000001</v>
      </c>
      <c r="AB148" s="212">
        <v>30128.94</v>
      </c>
      <c r="AC148" s="137">
        <f t="shared" si="150"/>
        <v>2872.3468499999981</v>
      </c>
      <c r="AD148" s="237">
        <f t="shared" si="151"/>
        <v>10.538172669609658</v>
      </c>
      <c r="AE148" s="881">
        <v>27256.593150000001</v>
      </c>
      <c r="AF148" s="136">
        <v>71415.64</v>
      </c>
      <c r="AG148" s="169">
        <f t="shared" si="135"/>
        <v>44159.046849999999</v>
      </c>
      <c r="AH148" s="252">
        <f t="shared" si="152"/>
        <v>162.01234911120946</v>
      </c>
      <c r="AI148" s="881">
        <v>27256.593150000001</v>
      </c>
      <c r="AJ148" s="176">
        <v>29040.27</v>
      </c>
      <c r="AK148" s="169">
        <f t="shared" si="136"/>
        <v>1783.6768499999998</v>
      </c>
      <c r="AL148" s="237">
        <f t="shared" si="153"/>
        <v>6.5440197906758479</v>
      </c>
      <c r="AM148" s="881">
        <v>27256.593150000001</v>
      </c>
      <c r="AN148" s="176">
        <v>26500.560000000001</v>
      </c>
      <c r="AO148" s="169">
        <f t="shared" si="137"/>
        <v>-756.0331499999993</v>
      </c>
      <c r="AP148" s="252">
        <f t="shared" si="154"/>
        <v>-2.7737624648809023</v>
      </c>
      <c r="AQ148" s="881">
        <v>27256.593150000001</v>
      </c>
      <c r="AR148" s="136"/>
      <c r="AS148" s="169">
        <f t="shared" si="138"/>
        <v>-27256.593150000001</v>
      </c>
      <c r="AT148" s="237">
        <f t="shared" si="155"/>
        <v>-100</v>
      </c>
      <c r="AU148" s="881">
        <v>27256.593150000001</v>
      </c>
      <c r="AV148" s="176"/>
      <c r="AW148" s="137">
        <f t="shared" si="156"/>
        <v>-27256.593150000001</v>
      </c>
      <c r="AX148" s="237">
        <f t="shared" si="157"/>
        <v>-100</v>
      </c>
      <c r="AY148" s="388">
        <f t="shared" si="139"/>
        <v>327079.11780000001</v>
      </c>
      <c r="AZ148" s="177">
        <f t="shared" si="134"/>
        <v>327967.72000000003</v>
      </c>
      <c r="BA148" s="398">
        <f t="shared" si="158"/>
        <v>32796.772000000004</v>
      </c>
      <c r="BB148" s="118"/>
      <c r="BC148" s="118"/>
    </row>
    <row r="149" spans="1:55" s="119" customFormat="1" ht="18" customHeight="1" x14ac:dyDescent="0.25">
      <c r="A149" s="170">
        <v>37259</v>
      </c>
      <c r="B149" s="332" t="s">
        <v>204</v>
      </c>
      <c r="C149" s="212">
        <v>4993.648650000001</v>
      </c>
      <c r="D149" s="87">
        <v>4187.3100000000004</v>
      </c>
      <c r="E149" s="138">
        <f t="shared" si="133"/>
        <v>-806.3386500000006</v>
      </c>
      <c r="F149" s="371">
        <f t="shared" si="132"/>
        <v>-16.14728441096873</v>
      </c>
      <c r="G149" s="881">
        <v>4993.648650000001</v>
      </c>
      <c r="H149" s="87">
        <v>4037.97</v>
      </c>
      <c r="I149" s="137">
        <f t="shared" si="140"/>
        <v>-955.6786500000012</v>
      </c>
      <c r="J149" s="237">
        <f t="shared" si="141"/>
        <v>-19.137883278992827</v>
      </c>
      <c r="K149" s="881">
        <v>4993.648650000001</v>
      </c>
      <c r="L149" s="137">
        <v>7550</v>
      </c>
      <c r="M149" s="137">
        <f t="shared" si="142"/>
        <v>2556.351349999999</v>
      </c>
      <c r="N149" s="252">
        <f t="shared" si="143"/>
        <v>51.192054731363591</v>
      </c>
      <c r="O149" s="881">
        <v>4993.648650000001</v>
      </c>
      <c r="P149" s="125">
        <v>4770</v>
      </c>
      <c r="Q149" s="137">
        <f t="shared" si="144"/>
        <v>-223.648650000001</v>
      </c>
      <c r="R149" s="237">
        <f t="shared" si="145"/>
        <v>-4.4786621101186359</v>
      </c>
      <c r="S149" s="881">
        <v>4993.648650000001</v>
      </c>
      <c r="T149" s="125">
        <v>5166</v>
      </c>
      <c r="U149" s="137">
        <f t="shared" si="146"/>
        <v>172.351349999999</v>
      </c>
      <c r="V149" s="240">
        <f t="shared" si="147"/>
        <v>3.4514112241356587</v>
      </c>
      <c r="W149" s="881">
        <v>4993.648650000001</v>
      </c>
      <c r="X149" s="137">
        <v>5312</v>
      </c>
      <c r="Y149" s="137">
        <f t="shared" si="148"/>
        <v>318.351349999999</v>
      </c>
      <c r="Z149" s="252">
        <f t="shared" si="149"/>
        <v>6.3751251301991108</v>
      </c>
      <c r="AA149" s="881">
        <v>4993.648650000001</v>
      </c>
      <c r="AB149" s="212">
        <v>14460.5</v>
      </c>
      <c r="AC149" s="137">
        <f t="shared" si="150"/>
        <v>9466.851349999999</v>
      </c>
      <c r="AD149" s="237">
        <f t="shared" si="151"/>
        <v>189.57784204541497</v>
      </c>
      <c r="AE149" s="881">
        <v>4993.648650000001</v>
      </c>
      <c r="AF149" s="136">
        <v>5312</v>
      </c>
      <c r="AG149" s="169">
        <f t="shared" si="135"/>
        <v>318.351349999999</v>
      </c>
      <c r="AH149" s="252">
        <f t="shared" si="152"/>
        <v>6.3751251301991108</v>
      </c>
      <c r="AI149" s="881">
        <v>4993.648650000001</v>
      </c>
      <c r="AJ149" s="176">
        <v>7013</v>
      </c>
      <c r="AK149" s="169">
        <f t="shared" si="136"/>
        <v>2019.351349999999</v>
      </c>
      <c r="AL149" s="237">
        <f t="shared" si="153"/>
        <v>40.438394679609637</v>
      </c>
      <c r="AM149" s="881">
        <v>4993.648650000001</v>
      </c>
      <c r="AN149" s="176">
        <v>4671</v>
      </c>
      <c r="AO149" s="169">
        <f t="shared" si="137"/>
        <v>-322.648650000001</v>
      </c>
      <c r="AP149" s="252">
        <f t="shared" si="154"/>
        <v>-6.4611804436822133</v>
      </c>
      <c r="AQ149" s="881">
        <v>4993.648650000001</v>
      </c>
      <c r="AR149" s="136"/>
      <c r="AS149" s="169">
        <f t="shared" si="138"/>
        <v>-4993.648650000001</v>
      </c>
      <c r="AT149" s="237">
        <f t="shared" si="155"/>
        <v>-100</v>
      </c>
      <c r="AU149" s="881">
        <v>4993.648650000001</v>
      </c>
      <c r="AV149" s="176"/>
      <c r="AW149" s="137">
        <f t="shared" si="156"/>
        <v>-4993.648650000001</v>
      </c>
      <c r="AX149" s="237">
        <f t="shared" si="157"/>
        <v>-100</v>
      </c>
      <c r="AY149" s="388">
        <f t="shared" si="139"/>
        <v>59923.783800000027</v>
      </c>
      <c r="AZ149" s="177">
        <f t="shared" si="134"/>
        <v>62479.78</v>
      </c>
      <c r="BA149" s="398">
        <f t="shared" si="158"/>
        <v>6247.9780000000001</v>
      </c>
      <c r="BB149" s="118"/>
      <c r="BC149" s="118"/>
    </row>
    <row r="150" spans="1:55" s="119" customFormat="1" ht="18" customHeight="1" x14ac:dyDescent="0.25">
      <c r="A150" s="170">
        <v>12865</v>
      </c>
      <c r="B150" s="332" t="s">
        <v>205</v>
      </c>
      <c r="C150" s="212">
        <v>3966.2743500000001</v>
      </c>
      <c r="D150" s="87">
        <v>3868.29</v>
      </c>
      <c r="E150" s="138">
        <f t="shared" si="133"/>
        <v>-97.984350000000177</v>
      </c>
      <c r="F150" s="371">
        <f t="shared" si="132"/>
        <v>-2.4704380321043606</v>
      </c>
      <c r="G150" s="881">
        <v>3966.2743500000001</v>
      </c>
      <c r="H150" s="87">
        <v>5068.29</v>
      </c>
      <c r="I150" s="137">
        <f t="shared" si="140"/>
        <v>1102.0156499999998</v>
      </c>
      <c r="J150" s="237">
        <f t="shared" si="141"/>
        <v>27.784655138644144</v>
      </c>
      <c r="K150" s="881">
        <v>3966.2743500000001</v>
      </c>
      <c r="L150" s="137">
        <v>3568.29</v>
      </c>
      <c r="M150" s="137">
        <f t="shared" si="142"/>
        <v>-397.98435000000018</v>
      </c>
      <c r="N150" s="252">
        <f t="shared" si="143"/>
        <v>-10.034211324791498</v>
      </c>
      <c r="O150" s="881">
        <v>3966.2743500000001</v>
      </c>
      <c r="P150" s="125">
        <v>3568.29</v>
      </c>
      <c r="Q150" s="137">
        <f t="shared" si="144"/>
        <v>-397.98435000000018</v>
      </c>
      <c r="R150" s="237">
        <f t="shared" si="145"/>
        <v>-10.034211324791498</v>
      </c>
      <c r="S150" s="881">
        <v>3966.2743500000001</v>
      </c>
      <c r="T150" s="125">
        <v>3568.29</v>
      </c>
      <c r="U150" s="137">
        <f t="shared" si="146"/>
        <v>-397.98435000000018</v>
      </c>
      <c r="V150" s="240">
        <f t="shared" si="147"/>
        <v>-10.034211324791498</v>
      </c>
      <c r="W150" s="881">
        <v>3966.2743500000001</v>
      </c>
      <c r="X150" s="137">
        <v>3068.29</v>
      </c>
      <c r="Y150" s="137">
        <f t="shared" si="148"/>
        <v>-897.98435000000018</v>
      </c>
      <c r="Z150" s="252">
        <f t="shared" si="149"/>
        <v>-22.640500145936706</v>
      </c>
      <c r="AA150" s="881">
        <v>3966.2743500000001</v>
      </c>
      <c r="AB150" s="212">
        <v>3068</v>
      </c>
      <c r="AC150" s="137">
        <f t="shared" si="150"/>
        <v>-898.27435000000014</v>
      </c>
      <c r="AD150" s="237">
        <f t="shared" si="151"/>
        <v>-22.647811793452966</v>
      </c>
      <c r="AE150" s="881">
        <v>3966.2743500000001</v>
      </c>
      <c r="AF150" s="136">
        <v>3068.2</v>
      </c>
      <c r="AG150" s="169">
        <f t="shared" si="135"/>
        <v>-898.07435000000032</v>
      </c>
      <c r="AH150" s="252">
        <f t="shared" si="152"/>
        <v>-22.642769277924511</v>
      </c>
      <c r="AI150" s="881">
        <v>3966.2743500000001</v>
      </c>
      <c r="AJ150" s="176">
        <v>3568.29</v>
      </c>
      <c r="AK150" s="169">
        <f t="shared" si="136"/>
        <v>-397.98435000000018</v>
      </c>
      <c r="AL150" s="237">
        <f t="shared" si="153"/>
        <v>-10.034211324791498</v>
      </c>
      <c r="AM150" s="881">
        <v>3966.2743500000001</v>
      </c>
      <c r="AN150" s="176">
        <v>2505.33</v>
      </c>
      <c r="AO150" s="169">
        <f t="shared" si="137"/>
        <v>-1460.9443500000002</v>
      </c>
      <c r="AP150" s="252">
        <f t="shared" si="154"/>
        <v>-36.834172855440528</v>
      </c>
      <c r="AQ150" s="881">
        <v>3966.2743500000001</v>
      </c>
      <c r="AR150" s="136"/>
      <c r="AS150" s="169">
        <f t="shared" si="138"/>
        <v>-3966.2743500000001</v>
      </c>
      <c r="AT150" s="237">
        <f t="shared" si="155"/>
        <v>-100</v>
      </c>
      <c r="AU150" s="881">
        <v>3966.2743500000001</v>
      </c>
      <c r="AV150" s="176"/>
      <c r="AW150" s="137">
        <f t="shared" si="156"/>
        <v>-3966.2743500000001</v>
      </c>
      <c r="AX150" s="237">
        <f t="shared" si="157"/>
        <v>-100</v>
      </c>
      <c r="AY150" s="388">
        <f t="shared" si="139"/>
        <v>47595.292200000004</v>
      </c>
      <c r="AZ150" s="177">
        <f t="shared" si="134"/>
        <v>34919.560000000005</v>
      </c>
      <c r="BA150" s="398">
        <f t="shared" si="158"/>
        <v>3491.9560000000006</v>
      </c>
      <c r="BB150" s="118"/>
      <c r="BC150" s="118"/>
    </row>
    <row r="151" spans="1:55" s="119" customFormat="1" ht="18" customHeight="1" thickBot="1" x14ac:dyDescent="0.3">
      <c r="A151" s="379">
        <v>54164</v>
      </c>
      <c r="B151" s="509" t="s">
        <v>3652</v>
      </c>
      <c r="C151" s="214">
        <v>8213.0638500000005</v>
      </c>
      <c r="D151" s="98">
        <v>12154.67</v>
      </c>
      <c r="E151" s="160">
        <f t="shared" si="133"/>
        <v>3941.6061499999996</v>
      </c>
      <c r="F151" s="578">
        <f t="shared" si="132"/>
        <v>47.99190925564276</v>
      </c>
      <c r="G151" s="876">
        <v>8213.0638500000005</v>
      </c>
      <c r="H151" s="98">
        <v>12617.27</v>
      </c>
      <c r="I151" s="182">
        <f>H151-G151</f>
        <v>4404.20615</v>
      </c>
      <c r="J151" s="248">
        <f>((H151/G151)-1)*100</f>
        <v>53.624399255096499</v>
      </c>
      <c r="K151" s="876">
        <v>8213.0638500000005</v>
      </c>
      <c r="L151" s="182">
        <v>11615</v>
      </c>
      <c r="M151" s="131">
        <f>L151-K151</f>
        <v>3401.9361499999995</v>
      </c>
      <c r="N151" s="252">
        <f t="shared" si="143"/>
        <v>41.421036194671721</v>
      </c>
      <c r="O151" s="876">
        <v>8213.0638500000005</v>
      </c>
      <c r="P151" s="182">
        <v>11615</v>
      </c>
      <c r="Q151" s="182">
        <f>P151-O151</f>
        <v>3401.9361499999995</v>
      </c>
      <c r="R151" s="248">
        <f>((P151/O151)-1)*100</f>
        <v>41.421036194671721</v>
      </c>
      <c r="S151" s="876">
        <v>8213.0638500000005</v>
      </c>
      <c r="T151" s="182">
        <v>11615</v>
      </c>
      <c r="U151" s="182">
        <f>T151-S151</f>
        <v>3401.9361499999995</v>
      </c>
      <c r="V151" s="239">
        <f>((T151/S151)-1)*100</f>
        <v>41.421036194671721</v>
      </c>
      <c r="W151" s="876">
        <v>8213.0638500000005</v>
      </c>
      <c r="X151" s="182">
        <v>11680.35</v>
      </c>
      <c r="Y151" s="182">
        <f>X151-W151</f>
        <v>3467.2861499999999</v>
      </c>
      <c r="Z151" s="253">
        <f>((X151/W151)-1)*100</f>
        <v>42.216719768956864</v>
      </c>
      <c r="AA151" s="876">
        <v>8213.0638500000005</v>
      </c>
      <c r="AB151" s="214">
        <v>11895</v>
      </c>
      <c r="AC151" s="182">
        <f>AB151-AA151</f>
        <v>3681.9361499999995</v>
      </c>
      <c r="AD151" s="248">
        <f>((AB151/AA151)-1)*100</f>
        <v>44.8302389613104</v>
      </c>
      <c r="AE151" s="876">
        <v>8213.0638500000005</v>
      </c>
      <c r="AF151" s="181">
        <v>11895</v>
      </c>
      <c r="AG151" s="182">
        <f>AF151-AE151</f>
        <v>3681.9361499999995</v>
      </c>
      <c r="AH151" s="253">
        <f>((AF151/AE151)-1)*100</f>
        <v>44.8302389613104</v>
      </c>
      <c r="AI151" s="876">
        <v>8213.0638500000005</v>
      </c>
      <c r="AJ151" s="183">
        <v>11895</v>
      </c>
      <c r="AK151" s="182">
        <f>AJ151-AI151</f>
        <v>3681.9361499999995</v>
      </c>
      <c r="AL151" s="248">
        <f>((AJ151/AI151)-1)*100</f>
        <v>44.8302389613104</v>
      </c>
      <c r="AM151" s="876">
        <v>8213.0638500000005</v>
      </c>
      <c r="AN151" s="183">
        <v>11895</v>
      </c>
      <c r="AO151" s="182">
        <f>AN151-AM151</f>
        <v>3681.9361499999995</v>
      </c>
      <c r="AP151" s="253">
        <f>((AN151/AM151)-1)*100</f>
        <v>44.8302389613104</v>
      </c>
      <c r="AQ151" s="876">
        <v>8213.0638500000005</v>
      </c>
      <c r="AR151" s="129"/>
      <c r="AS151" s="182">
        <f>AR151-AQ151</f>
        <v>-8213.0638500000005</v>
      </c>
      <c r="AT151" s="248">
        <f>((AR151/AQ151)-1)*100</f>
        <v>-100</v>
      </c>
      <c r="AU151" s="876">
        <v>8213.0638500000005</v>
      </c>
      <c r="AV151" s="183"/>
      <c r="AW151" s="183">
        <f>AV151-AU151</f>
        <v>-8213.0638500000005</v>
      </c>
      <c r="AX151" s="248">
        <f>((AV151/AU151)-1)*100</f>
        <v>-100</v>
      </c>
      <c r="AY151" s="388">
        <f t="shared" si="139"/>
        <v>98556.766200000027</v>
      </c>
      <c r="AZ151" s="184">
        <f>SUM(D151+H151+L151+P151+T151+X151+AB151+AF151+AJ151+AN151+AR151+AV151)</f>
        <v>118877.29000000001</v>
      </c>
      <c r="BA151" s="398">
        <f t="shared" si="158"/>
        <v>11887.729000000001</v>
      </c>
      <c r="BB151" s="118"/>
      <c r="BC151" s="118"/>
    </row>
    <row r="152" spans="1:55" s="119" customFormat="1" ht="18" customHeight="1" x14ac:dyDescent="0.25">
      <c r="A152" s="508"/>
      <c r="B152" s="154"/>
      <c r="C152" s="67"/>
      <c r="D152" s="437"/>
      <c r="E152" s="67"/>
      <c r="F152" s="387"/>
      <c r="G152" s="67"/>
      <c r="H152" s="67"/>
      <c r="I152" s="67"/>
      <c r="J152" s="387"/>
      <c r="K152" s="67"/>
      <c r="L152" s="67"/>
      <c r="M152" s="1121"/>
      <c r="N152" s="1122"/>
      <c r="O152" s="67"/>
      <c r="P152" s="67"/>
      <c r="Q152" s="67"/>
      <c r="R152" s="387"/>
      <c r="S152" s="67"/>
      <c r="T152" s="67"/>
      <c r="U152" s="67"/>
      <c r="V152" s="387"/>
      <c r="W152" s="67"/>
      <c r="X152" s="67"/>
      <c r="Y152" s="67"/>
      <c r="Z152" s="387"/>
      <c r="AA152" s="67"/>
      <c r="AB152" s="67"/>
      <c r="AC152" s="67"/>
      <c r="AD152" s="387"/>
      <c r="AE152" s="67"/>
      <c r="AF152" s="67"/>
      <c r="AG152" s="67"/>
      <c r="AH152" s="387"/>
      <c r="AI152" s="66"/>
      <c r="AJ152" s="66"/>
      <c r="AK152" s="67"/>
      <c r="AL152" s="387"/>
      <c r="AM152" s="66"/>
      <c r="AN152" s="66"/>
      <c r="AO152" s="67"/>
      <c r="AP152" s="387"/>
      <c r="AQ152" s="66"/>
      <c r="AR152" s="1120"/>
      <c r="AS152" s="67"/>
      <c r="AT152" s="387"/>
      <c r="AU152" s="66"/>
      <c r="AV152" s="66"/>
      <c r="AW152" s="66"/>
      <c r="AX152" s="387"/>
      <c r="AY152" s="1121"/>
      <c r="AZ152" s="66"/>
      <c r="BA152" s="398">
        <f t="shared" si="158"/>
        <v>0</v>
      </c>
    </row>
    <row r="153" spans="1:55" s="11" customFormat="1" ht="18" customHeight="1" thickBot="1" x14ac:dyDescent="0.3">
      <c r="A153" s="161"/>
      <c r="C153" s="334"/>
      <c r="D153" s="415"/>
      <c r="E153" s="118"/>
      <c r="F153" s="12"/>
      <c r="G153" s="119"/>
      <c r="H153" s="119"/>
      <c r="I153" s="118"/>
      <c r="J153" s="119"/>
      <c r="K153" s="119"/>
      <c r="L153" s="119"/>
      <c r="M153" s="118"/>
      <c r="N153" s="119"/>
      <c r="O153" s="119"/>
      <c r="P153" s="119"/>
      <c r="Q153" s="118"/>
      <c r="R153" s="119"/>
      <c r="S153" s="119"/>
      <c r="T153" s="119"/>
      <c r="U153" s="118"/>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c r="AW153" s="119"/>
      <c r="AX153" s="119"/>
      <c r="AY153" s="119"/>
      <c r="AZ153" s="119"/>
      <c r="BA153" s="398">
        <f t="shared" si="158"/>
        <v>0</v>
      </c>
    </row>
    <row r="154" spans="1:55" s="11" customFormat="1" ht="18" customHeight="1" thickBot="1" x14ac:dyDescent="0.3">
      <c r="A154" s="165"/>
      <c r="B154" s="49" t="s">
        <v>171</v>
      </c>
      <c r="C154" s="870">
        <f>SUM(C155:C171)</f>
        <v>555000</v>
      </c>
      <c r="D154" s="532">
        <f>SUM(D155:D171)</f>
        <v>688342.8</v>
      </c>
      <c r="E154" s="530">
        <f>D154-C154</f>
        <v>133342.80000000005</v>
      </c>
      <c r="F154" s="533">
        <f t="shared" ref="F154:F171" si="159">((D154/C154)-1)*100</f>
        <v>24.02572972972974</v>
      </c>
      <c r="G154" s="534">
        <f>SUM(G155:G171)</f>
        <v>555000</v>
      </c>
      <c r="H154" s="392">
        <f>SUM(H155:H171)</f>
        <v>531068.28</v>
      </c>
      <c r="I154" s="392">
        <f>H154-G154</f>
        <v>-23931.719999999972</v>
      </c>
      <c r="J154" s="562">
        <f>((H154/G154)-1)*100</f>
        <v>-4.3120216216216196</v>
      </c>
      <c r="K154" s="478">
        <f>SUM(K155:K171)</f>
        <v>555000</v>
      </c>
      <c r="L154" s="392">
        <f>SUM(L155:L171)</f>
        <v>698722.18</v>
      </c>
      <c r="M154" s="392">
        <f>L154-K154</f>
        <v>143722.18000000005</v>
      </c>
      <c r="N154" s="393">
        <f>((L154/K154)-1)*100</f>
        <v>25.895888288288305</v>
      </c>
      <c r="O154" s="478">
        <f>SUM(O155:O171)</f>
        <v>555000</v>
      </c>
      <c r="P154" s="392">
        <f>SUM(P155:P171)</f>
        <v>803724.4800000001</v>
      </c>
      <c r="Q154" s="392">
        <f t="shared" ref="Q154:Q160" si="160">P154-O154</f>
        <v>248724.4800000001</v>
      </c>
      <c r="R154" s="393">
        <f t="shared" ref="R154:R160" si="161">((P154/O154)-1)*100</f>
        <v>44.815221621621639</v>
      </c>
      <c r="S154" s="534">
        <f>SUM(S155:S171)</f>
        <v>555000</v>
      </c>
      <c r="T154" s="392">
        <f>SUM(T155:T171)</f>
        <v>671751.25</v>
      </c>
      <c r="U154" s="392">
        <f>T154-S154</f>
        <v>116751.25</v>
      </c>
      <c r="V154" s="563">
        <f>((T154/S154)-1)*100</f>
        <v>21.036261261261259</v>
      </c>
      <c r="W154" s="478">
        <f>SUM(W155:W171)</f>
        <v>555000</v>
      </c>
      <c r="X154" s="392">
        <f>SUM(X155:X171)</f>
        <v>792240.02000000014</v>
      </c>
      <c r="Y154" s="392">
        <f>X154-W154</f>
        <v>237240.02000000014</v>
      </c>
      <c r="Z154" s="393">
        <f>((X154/W154)-1)*100</f>
        <v>42.745949549549579</v>
      </c>
      <c r="AA154" s="534">
        <f>SUM(AA155:AA171)</f>
        <v>555000</v>
      </c>
      <c r="AB154" s="392">
        <f>SUM(AB155:AB171)</f>
        <v>601532.55000000005</v>
      </c>
      <c r="AC154" s="392">
        <f>AB154-AA154</f>
        <v>46532.550000000047</v>
      </c>
      <c r="AD154" s="562">
        <f>((AB154/AA154)-1)*100</f>
        <v>8.384243243243251</v>
      </c>
      <c r="AE154" s="478">
        <f>SUM(AE155:AE171)</f>
        <v>555000</v>
      </c>
      <c r="AF154" s="392">
        <f>SUM(AF155:AF171)</f>
        <v>680369.64999999991</v>
      </c>
      <c r="AG154" s="392">
        <f>AF154-AE154</f>
        <v>125369.64999999991</v>
      </c>
      <c r="AH154" s="393">
        <f>((AF154/AE154)-1)*100</f>
        <v>22.589126126126114</v>
      </c>
      <c r="AI154" s="395">
        <f>SUM(AI155:AI171)</f>
        <v>555000</v>
      </c>
      <c r="AJ154" s="396">
        <f>SUM(AJ155:AJ171)</f>
        <v>996244.19000000006</v>
      </c>
      <c r="AK154" s="392">
        <f>AJ154-AI154</f>
        <v>441244.19000000006</v>
      </c>
      <c r="AL154" s="562">
        <f>((AJ154/AI154)-1)*100</f>
        <v>79.503457657657677</v>
      </c>
      <c r="AM154" s="487">
        <f>SUM(AM155:AM171)</f>
        <v>555000</v>
      </c>
      <c r="AN154" s="396">
        <f>SUM(AN155:AN171)</f>
        <v>801678.69000000006</v>
      </c>
      <c r="AO154" s="392">
        <f>AN154-AM154</f>
        <v>246678.69000000006</v>
      </c>
      <c r="AP154" s="393">
        <f>((AN154/AM154)-1)*100</f>
        <v>44.446610810810824</v>
      </c>
      <c r="AQ154" s="395">
        <f>SUM(AQ155:AQ171)</f>
        <v>555000</v>
      </c>
      <c r="AR154" s="396">
        <f>SUM(AR155:AR171)</f>
        <v>0</v>
      </c>
      <c r="AS154" s="392">
        <f>AR154-AQ154</f>
        <v>-555000</v>
      </c>
      <c r="AT154" s="562">
        <f>((AR154/AQ154)-1)*100</f>
        <v>-100</v>
      </c>
      <c r="AU154" s="487">
        <f>SUM(AU155:AU171)</f>
        <v>555000</v>
      </c>
      <c r="AV154" s="396">
        <f>SUM(AV155:AV171)</f>
        <v>0</v>
      </c>
      <c r="AW154" s="392">
        <f>AV154-AU154</f>
        <v>-555000</v>
      </c>
      <c r="AX154" s="393">
        <f>((AV154/AU154)-1)*100</f>
        <v>-100</v>
      </c>
      <c r="AY154" s="531">
        <f>C154+G154+K154+O154+S154+W154+AA154+AE154+AI154+AM154+AQ154+AU154</f>
        <v>6660000</v>
      </c>
      <c r="AZ154" s="531">
        <f t="shared" ref="AZ154:AZ160" si="162">SUM(D154+H154+L154+P154+T154+X154+AB154+AF154+AJ154+AN154+AR154+AV154)</f>
        <v>7265674.0900000017</v>
      </c>
      <c r="BA154" s="398">
        <f t="shared" si="158"/>
        <v>726567.40900000022</v>
      </c>
      <c r="BC154" s="132"/>
    </row>
    <row r="155" spans="1:55" s="119" customFormat="1" ht="18" customHeight="1" x14ac:dyDescent="0.25">
      <c r="A155" s="167">
        <v>12330</v>
      </c>
      <c r="B155" s="331" t="s">
        <v>81</v>
      </c>
      <c r="C155" s="902">
        <v>58000</v>
      </c>
      <c r="D155" s="99">
        <v>60087.3</v>
      </c>
      <c r="E155" s="213">
        <f t="shared" ref="E155:E171" si="163">D155-C155</f>
        <v>2087.3000000000029</v>
      </c>
      <c r="F155" s="375">
        <f>((D155/C155)-1)*100</f>
        <v>3.5987931034482834</v>
      </c>
      <c r="G155" s="882">
        <v>58000</v>
      </c>
      <c r="H155" s="546">
        <v>27025.56</v>
      </c>
      <c r="I155" s="190">
        <f>H155-G155</f>
        <v>-30974.44</v>
      </c>
      <c r="J155" s="249">
        <f>((H155/G155)-1)*100</f>
        <v>-53.40420689655172</v>
      </c>
      <c r="K155" s="882">
        <v>58000</v>
      </c>
      <c r="L155" s="190">
        <v>93045.14</v>
      </c>
      <c r="M155" s="190">
        <f>L155-K155</f>
        <v>35045.14</v>
      </c>
      <c r="N155" s="249">
        <f>((L155/K155)-1)*100</f>
        <v>60.422655172413783</v>
      </c>
      <c r="O155" s="882">
        <v>58000</v>
      </c>
      <c r="P155" s="815">
        <v>65671.7</v>
      </c>
      <c r="Q155" s="190">
        <f t="shared" si="160"/>
        <v>7671.6999999999971</v>
      </c>
      <c r="R155" s="249">
        <f t="shared" si="161"/>
        <v>13.22706896551724</v>
      </c>
      <c r="S155" s="882">
        <v>58000</v>
      </c>
      <c r="T155" s="190">
        <v>159344.38</v>
      </c>
      <c r="U155" s="190">
        <f>T155-S155</f>
        <v>101344.38</v>
      </c>
      <c r="V155" s="249">
        <f>((T155/S155)-1)*100</f>
        <v>174.7316896551724</v>
      </c>
      <c r="W155" s="882">
        <v>58000</v>
      </c>
      <c r="X155" s="190">
        <v>178496.55</v>
      </c>
      <c r="Y155" s="190">
        <f>X155-W155</f>
        <v>120496.54999999999</v>
      </c>
      <c r="Z155" s="249">
        <f>((X155/W155)-1)*100</f>
        <v>207.75267241379308</v>
      </c>
      <c r="AA155" s="882">
        <v>58000</v>
      </c>
      <c r="AB155" s="260">
        <v>99454.13</v>
      </c>
      <c r="AC155" s="190">
        <f>AB155-AA155</f>
        <v>41454.130000000005</v>
      </c>
      <c r="AD155" s="249">
        <f>((AB155/AA155)-1)*100</f>
        <v>71.472637931034484</v>
      </c>
      <c r="AE155" s="882">
        <v>58000</v>
      </c>
      <c r="AF155" s="260">
        <v>109620.43</v>
      </c>
      <c r="AG155" s="169">
        <f t="shared" ref="AG155:AG171" si="164">AF155-AE155</f>
        <v>51620.429999999993</v>
      </c>
      <c r="AH155" s="249">
        <f>((AF155/AE155)-1)*100</f>
        <v>89.000741379310327</v>
      </c>
      <c r="AI155" s="882">
        <v>58000</v>
      </c>
      <c r="AJ155" s="192">
        <v>233926.17</v>
      </c>
      <c r="AK155" s="169">
        <f t="shared" ref="AK155:AK171" si="165">AJ155-AI155</f>
        <v>175926.17</v>
      </c>
      <c r="AL155" s="249">
        <f>((AJ155/AI155)-1)*100</f>
        <v>303.32098275862069</v>
      </c>
      <c r="AM155" s="882">
        <v>58000</v>
      </c>
      <c r="AN155" s="192">
        <v>95374.63</v>
      </c>
      <c r="AO155" s="169">
        <f t="shared" ref="AO155:AO171" si="166">AN155-AM155</f>
        <v>37374.630000000005</v>
      </c>
      <c r="AP155" s="249">
        <f>((AN155/AM155)-1)*100</f>
        <v>64.439017241379332</v>
      </c>
      <c r="AQ155" s="882">
        <v>58000</v>
      </c>
      <c r="AR155" s="260"/>
      <c r="AS155" s="169">
        <f t="shared" ref="AS155:AS171" si="167">AR155-AQ155</f>
        <v>-58000</v>
      </c>
      <c r="AT155" s="249">
        <f>((AR155/AQ155)-1)*100</f>
        <v>-100</v>
      </c>
      <c r="AU155" s="882">
        <v>58000</v>
      </c>
      <c r="AV155" s="192"/>
      <c r="AW155" s="190">
        <f>AV155-AU155</f>
        <v>-58000</v>
      </c>
      <c r="AX155" s="744">
        <f>((AV155/AU155)-1)*100</f>
        <v>-100</v>
      </c>
      <c r="AY155" s="459">
        <f>C155+G155+K155+O155+S155+W155+AA155+AE155+AI155+AM155+AQ155+AU155</f>
        <v>696000</v>
      </c>
      <c r="AZ155" s="194">
        <f t="shared" si="162"/>
        <v>1122045.99</v>
      </c>
      <c r="BA155" s="398">
        <f t="shared" si="158"/>
        <v>112204.599</v>
      </c>
      <c r="BB155" s="334"/>
    </row>
    <row r="156" spans="1:55" s="119" customFormat="1" ht="18" customHeight="1" x14ac:dyDescent="0.25">
      <c r="A156" s="170">
        <v>12893</v>
      </c>
      <c r="B156" s="332" t="s">
        <v>206</v>
      </c>
      <c r="C156" s="211">
        <v>4000</v>
      </c>
      <c r="D156" s="416">
        <v>76359.37</v>
      </c>
      <c r="E156" s="138">
        <f t="shared" si="163"/>
        <v>72359.37</v>
      </c>
      <c r="F156" s="371">
        <f t="shared" si="159"/>
        <v>1808.98425</v>
      </c>
      <c r="G156" s="879">
        <v>4000</v>
      </c>
      <c r="H156" s="260">
        <v>2992.72</v>
      </c>
      <c r="I156" s="137">
        <f>H156-G156</f>
        <v>-1007.2800000000002</v>
      </c>
      <c r="J156" s="237">
        <f t="shared" ref="J156:J171" si="168">((H156/G156)-1)*100</f>
        <v>-25.182000000000006</v>
      </c>
      <c r="K156" s="879">
        <v>4000</v>
      </c>
      <c r="L156" s="137">
        <v>9940.4599999999991</v>
      </c>
      <c r="M156" s="137">
        <f>L156-K156</f>
        <v>5940.4599999999991</v>
      </c>
      <c r="N156" s="237">
        <f t="shared" ref="N156:N171" si="169">((L156/K156)-1)*100</f>
        <v>148.51149999999998</v>
      </c>
      <c r="O156" s="879">
        <v>4000</v>
      </c>
      <c r="P156" s="816">
        <v>102993.76</v>
      </c>
      <c r="Q156" s="137">
        <f t="shared" si="160"/>
        <v>98993.76</v>
      </c>
      <c r="R156" s="237">
        <f t="shared" si="161"/>
        <v>2474.8440000000001</v>
      </c>
      <c r="S156" s="879">
        <v>4000</v>
      </c>
      <c r="T156" s="137">
        <v>8955.74</v>
      </c>
      <c r="U156" s="137">
        <f>T156-S156</f>
        <v>4955.74</v>
      </c>
      <c r="V156" s="237">
        <f t="shared" ref="V156:V171" si="170">((T156/S156)-1)*100</f>
        <v>123.89350000000002</v>
      </c>
      <c r="W156" s="879">
        <v>4000</v>
      </c>
      <c r="X156" s="137">
        <v>18137.759999999998</v>
      </c>
      <c r="Y156" s="137">
        <f>X156-W156</f>
        <v>14137.759999999998</v>
      </c>
      <c r="Z156" s="237">
        <f t="shared" ref="Z156:Z171" si="171">((X156/W156)-1)*100</f>
        <v>353.44400000000002</v>
      </c>
      <c r="AA156" s="879">
        <v>4000</v>
      </c>
      <c r="AB156" s="260">
        <v>8279.8799999999992</v>
      </c>
      <c r="AC156" s="137">
        <f>AB156-AA156</f>
        <v>4279.8799999999992</v>
      </c>
      <c r="AD156" s="237">
        <f t="shared" ref="AD156:AD171" si="172">((AB156/AA156)-1)*100</f>
        <v>106.99699999999996</v>
      </c>
      <c r="AE156" s="879">
        <v>4000</v>
      </c>
      <c r="AF156" s="260">
        <v>15566.95</v>
      </c>
      <c r="AG156" s="169">
        <f t="shared" si="164"/>
        <v>11566.95</v>
      </c>
      <c r="AH156" s="237">
        <f t="shared" ref="AH156:AH171" si="173">((AF156/AE156)-1)*100</f>
        <v>289.17374999999998</v>
      </c>
      <c r="AI156" s="879">
        <v>4000</v>
      </c>
      <c r="AJ156" s="176">
        <v>3819.97</v>
      </c>
      <c r="AK156" s="169">
        <f t="shared" si="165"/>
        <v>-180.0300000000002</v>
      </c>
      <c r="AL156" s="237">
        <f t="shared" ref="AL156:AL171" si="174">((AJ156/AI156)-1)*100</f>
        <v>-4.5007500000000089</v>
      </c>
      <c r="AM156" s="879">
        <v>4000</v>
      </c>
      <c r="AN156" s="176">
        <v>15313.94</v>
      </c>
      <c r="AO156" s="169">
        <f t="shared" si="166"/>
        <v>11313.94</v>
      </c>
      <c r="AP156" s="237">
        <f t="shared" ref="AP156:AP171" si="175">((AN156/AM156)-1)*100</f>
        <v>282.8485</v>
      </c>
      <c r="AQ156" s="879">
        <v>4000</v>
      </c>
      <c r="AR156" s="260"/>
      <c r="AS156" s="169">
        <f t="shared" si="167"/>
        <v>-4000</v>
      </c>
      <c r="AT156" s="237">
        <f t="shared" ref="AT156:AT171" si="176">((AR156/AQ156)-1)*100</f>
        <v>-100</v>
      </c>
      <c r="AU156" s="879">
        <v>4000</v>
      </c>
      <c r="AV156" s="176"/>
      <c r="AW156" s="137">
        <f>AV156-AU156</f>
        <v>-4000</v>
      </c>
      <c r="AX156" s="252">
        <f t="shared" ref="AX156:AX171" si="177">((AV156/AU156)-1)*100</f>
        <v>-100</v>
      </c>
      <c r="AY156" s="459">
        <f t="shared" ref="AY156:AY171" si="178">C156+G156+K156+O156+S156+W156+AA156+AE156+AI156+AM156+AQ156+AU156</f>
        <v>48000</v>
      </c>
      <c r="AZ156" s="188">
        <f t="shared" si="162"/>
        <v>262360.55</v>
      </c>
      <c r="BA156" s="398">
        <f t="shared" si="158"/>
        <v>26236.055</v>
      </c>
    </row>
    <row r="157" spans="1:55" s="119" customFormat="1" ht="18" customHeight="1" x14ac:dyDescent="0.25">
      <c r="A157" s="170">
        <v>12334</v>
      </c>
      <c r="B157" s="332" t="s">
        <v>82</v>
      </c>
      <c r="C157" s="900">
        <v>34000</v>
      </c>
      <c r="D157" s="87">
        <v>38450.400000000001</v>
      </c>
      <c r="E157" s="138">
        <f t="shared" si="163"/>
        <v>4450.4000000000015</v>
      </c>
      <c r="F157" s="371">
        <f t="shared" si="159"/>
        <v>13.089411764705883</v>
      </c>
      <c r="G157" s="879">
        <v>34000</v>
      </c>
      <c r="H157" s="260">
        <v>19400.14</v>
      </c>
      <c r="I157" s="137">
        <f t="shared" ref="I157:I171" si="179">H157-G157</f>
        <v>-14599.86</v>
      </c>
      <c r="J157" s="252">
        <f t="shared" si="168"/>
        <v>-42.940764705882351</v>
      </c>
      <c r="K157" s="879">
        <v>34000</v>
      </c>
      <c r="L157" s="137">
        <v>34062.949999999997</v>
      </c>
      <c r="M157" s="137">
        <f t="shared" ref="M157:M171" si="180">L157-K157</f>
        <v>62.94999999999709</v>
      </c>
      <c r="N157" s="237">
        <f t="shared" si="169"/>
        <v>0.18514705882353155</v>
      </c>
      <c r="O157" s="879">
        <v>34000</v>
      </c>
      <c r="P157" s="816">
        <v>38893</v>
      </c>
      <c r="Q157" s="137">
        <f t="shared" si="160"/>
        <v>4893</v>
      </c>
      <c r="R157" s="237">
        <f t="shared" si="161"/>
        <v>14.391176470588229</v>
      </c>
      <c r="S157" s="879">
        <v>34000</v>
      </c>
      <c r="T157" s="137">
        <v>28011.17</v>
      </c>
      <c r="U157" s="137">
        <f t="shared" ref="U157:U171" si="181">T157-S157</f>
        <v>-5988.8300000000017</v>
      </c>
      <c r="V157" s="240">
        <f t="shared" si="170"/>
        <v>-17.614205882352952</v>
      </c>
      <c r="W157" s="879">
        <v>34000</v>
      </c>
      <c r="X157" s="137">
        <v>24330.61</v>
      </c>
      <c r="Y157" s="137">
        <f t="shared" ref="Y157:Y171" si="182">X157-W157</f>
        <v>-9669.39</v>
      </c>
      <c r="Z157" s="237">
        <f t="shared" si="171"/>
        <v>-28.439382352941177</v>
      </c>
      <c r="AA157" s="879">
        <v>34000</v>
      </c>
      <c r="AB157" s="260">
        <v>24120.57</v>
      </c>
      <c r="AC157" s="137">
        <f t="shared" ref="AC157:AC171" si="183">AB157-AA157</f>
        <v>-9879.43</v>
      </c>
      <c r="AD157" s="252">
        <f t="shared" si="172"/>
        <v>-29.057147058823528</v>
      </c>
      <c r="AE157" s="879">
        <v>34000</v>
      </c>
      <c r="AF157" s="260">
        <v>25023.35</v>
      </c>
      <c r="AG157" s="169">
        <f t="shared" si="164"/>
        <v>-8976.6500000000015</v>
      </c>
      <c r="AH157" s="237">
        <f t="shared" si="173"/>
        <v>-26.401911764705886</v>
      </c>
      <c r="AI157" s="879">
        <v>34000</v>
      </c>
      <c r="AJ157" s="176">
        <v>19018.07</v>
      </c>
      <c r="AK157" s="169">
        <f t="shared" si="165"/>
        <v>-14981.93</v>
      </c>
      <c r="AL157" s="252">
        <f t="shared" si="174"/>
        <v>-44.064499999999995</v>
      </c>
      <c r="AM157" s="879">
        <v>34000</v>
      </c>
      <c r="AN157" s="176">
        <v>35284.879999999997</v>
      </c>
      <c r="AO157" s="169">
        <f t="shared" si="166"/>
        <v>1284.8799999999974</v>
      </c>
      <c r="AP157" s="237">
        <f t="shared" si="175"/>
        <v>3.779058823529402</v>
      </c>
      <c r="AQ157" s="879">
        <v>34000</v>
      </c>
      <c r="AR157" s="260"/>
      <c r="AS157" s="169">
        <f t="shared" si="167"/>
        <v>-34000</v>
      </c>
      <c r="AT157" s="252">
        <f t="shared" si="176"/>
        <v>-100</v>
      </c>
      <c r="AU157" s="879">
        <v>34000</v>
      </c>
      <c r="AV157" s="176"/>
      <c r="AW157" s="137">
        <f t="shared" ref="AW157:AW171" si="184">AV157-AU157</f>
        <v>-34000</v>
      </c>
      <c r="AX157" s="252">
        <f t="shared" si="177"/>
        <v>-100</v>
      </c>
      <c r="AY157" s="459">
        <f t="shared" si="178"/>
        <v>408000</v>
      </c>
      <c r="AZ157" s="188">
        <f t="shared" si="162"/>
        <v>286595.13999999996</v>
      </c>
      <c r="BA157" s="398">
        <f t="shared" si="158"/>
        <v>28659.513999999996</v>
      </c>
    </row>
    <row r="158" spans="1:55" s="119" customFormat="1" ht="18" customHeight="1" x14ac:dyDescent="0.25">
      <c r="A158" s="170">
        <v>12284</v>
      </c>
      <c r="B158" s="332" t="s">
        <v>207</v>
      </c>
      <c r="C158" s="900">
        <v>19000</v>
      </c>
      <c r="D158" s="87">
        <v>2040</v>
      </c>
      <c r="E158" s="138">
        <f t="shared" si="163"/>
        <v>-16960</v>
      </c>
      <c r="F158" s="371">
        <f t="shared" si="159"/>
        <v>-89.26315789473685</v>
      </c>
      <c r="G158" s="879">
        <v>19000</v>
      </c>
      <c r="H158" s="260">
        <v>7960</v>
      </c>
      <c r="I158" s="137">
        <f t="shared" si="179"/>
        <v>-11040</v>
      </c>
      <c r="J158" s="252">
        <f t="shared" si="168"/>
        <v>-58.10526315789474</v>
      </c>
      <c r="K158" s="879">
        <v>19000</v>
      </c>
      <c r="L158" s="137">
        <v>16276</v>
      </c>
      <c r="M158" s="137">
        <f t="shared" si="180"/>
        <v>-2724</v>
      </c>
      <c r="N158" s="237">
        <f t="shared" si="169"/>
        <v>-14.336842105263159</v>
      </c>
      <c r="O158" s="879">
        <v>19000</v>
      </c>
      <c r="P158" s="816">
        <v>13735.9</v>
      </c>
      <c r="Q158" s="137">
        <f t="shared" si="160"/>
        <v>-5264.1</v>
      </c>
      <c r="R158" s="237">
        <f t="shared" si="161"/>
        <v>-27.705789473684217</v>
      </c>
      <c r="S158" s="879">
        <v>19000</v>
      </c>
      <c r="T158" s="137">
        <v>0</v>
      </c>
      <c r="U158" s="137">
        <f t="shared" si="181"/>
        <v>-19000</v>
      </c>
      <c r="V158" s="240">
        <f t="shared" si="170"/>
        <v>-100</v>
      </c>
      <c r="W158" s="879">
        <v>19000</v>
      </c>
      <c r="X158" s="137">
        <v>8520</v>
      </c>
      <c r="Y158" s="137">
        <f t="shared" si="182"/>
        <v>-10480</v>
      </c>
      <c r="Z158" s="237">
        <f t="shared" si="171"/>
        <v>-55.157894736842103</v>
      </c>
      <c r="AA158" s="879">
        <v>19000</v>
      </c>
      <c r="AB158" s="260">
        <v>3862</v>
      </c>
      <c r="AC158" s="137">
        <f t="shared" si="183"/>
        <v>-15138</v>
      </c>
      <c r="AD158" s="252">
        <f t="shared" si="172"/>
        <v>-79.673684210526318</v>
      </c>
      <c r="AE158" s="879">
        <v>19000</v>
      </c>
      <c r="AF158" s="260">
        <v>8713</v>
      </c>
      <c r="AG158" s="169">
        <f t="shared" si="164"/>
        <v>-10287</v>
      </c>
      <c r="AH158" s="237">
        <f t="shared" si="173"/>
        <v>-54.142105263157902</v>
      </c>
      <c r="AI158" s="879">
        <v>19000</v>
      </c>
      <c r="AJ158" s="176">
        <v>53542.92</v>
      </c>
      <c r="AK158" s="169">
        <f t="shared" si="165"/>
        <v>34542.92</v>
      </c>
      <c r="AL158" s="252">
        <f t="shared" si="174"/>
        <v>181.80484210526316</v>
      </c>
      <c r="AM158" s="879">
        <v>19000</v>
      </c>
      <c r="AN158" s="176">
        <v>39312</v>
      </c>
      <c r="AO158" s="169">
        <f t="shared" si="166"/>
        <v>20312</v>
      </c>
      <c r="AP158" s="237">
        <f t="shared" si="175"/>
        <v>106.90526315789475</v>
      </c>
      <c r="AQ158" s="879">
        <v>19000</v>
      </c>
      <c r="AR158" s="260"/>
      <c r="AS158" s="169">
        <f t="shared" si="167"/>
        <v>-19000</v>
      </c>
      <c r="AT158" s="252">
        <f t="shared" si="176"/>
        <v>-100</v>
      </c>
      <c r="AU158" s="879">
        <v>19000</v>
      </c>
      <c r="AV158" s="176"/>
      <c r="AW158" s="137">
        <f t="shared" si="184"/>
        <v>-19000</v>
      </c>
      <c r="AX158" s="252">
        <f t="shared" si="177"/>
        <v>-100</v>
      </c>
      <c r="AY158" s="459">
        <f t="shared" si="178"/>
        <v>228000</v>
      </c>
      <c r="AZ158" s="188">
        <f t="shared" si="162"/>
        <v>153961.82</v>
      </c>
      <c r="BA158" s="398">
        <f t="shared" si="158"/>
        <v>15396.182000000001</v>
      </c>
    </row>
    <row r="159" spans="1:55" s="119" customFormat="1" ht="18" customHeight="1" x14ac:dyDescent="0.25">
      <c r="A159" s="170">
        <v>12280</v>
      </c>
      <c r="B159" s="332" t="s">
        <v>209</v>
      </c>
      <c r="C159" s="900">
        <v>14000</v>
      </c>
      <c r="D159" s="87">
        <v>11718.6</v>
      </c>
      <c r="E159" s="138">
        <f t="shared" si="163"/>
        <v>-2281.3999999999996</v>
      </c>
      <c r="F159" s="371">
        <f t="shared" si="159"/>
        <v>-16.295714285714279</v>
      </c>
      <c r="G159" s="879">
        <v>14000</v>
      </c>
      <c r="H159" s="251">
        <v>8012.19</v>
      </c>
      <c r="I159" s="137">
        <f t="shared" si="179"/>
        <v>-5987.81</v>
      </c>
      <c r="J159" s="252">
        <f t="shared" si="168"/>
        <v>-42.770071428571434</v>
      </c>
      <c r="K159" s="879">
        <v>14000</v>
      </c>
      <c r="L159" s="137">
        <v>12668.6</v>
      </c>
      <c r="M159" s="137">
        <f t="shared" si="180"/>
        <v>-1331.3999999999996</v>
      </c>
      <c r="N159" s="237">
        <f t="shared" si="169"/>
        <v>-9.5099999999999962</v>
      </c>
      <c r="O159" s="879">
        <v>14000</v>
      </c>
      <c r="P159" s="816">
        <v>9668.6</v>
      </c>
      <c r="Q159" s="137">
        <f t="shared" si="160"/>
        <v>-4331.3999999999996</v>
      </c>
      <c r="R159" s="237">
        <f t="shared" si="161"/>
        <v>-30.938571428571425</v>
      </c>
      <c r="S159" s="879">
        <v>14000</v>
      </c>
      <c r="T159" s="137">
        <v>8078.6</v>
      </c>
      <c r="U159" s="137">
        <f t="shared" si="181"/>
        <v>-5921.4</v>
      </c>
      <c r="V159" s="240">
        <f t="shared" si="170"/>
        <v>-42.295714285714283</v>
      </c>
      <c r="W159" s="879">
        <v>14000</v>
      </c>
      <c r="X159" s="137">
        <v>10663.6</v>
      </c>
      <c r="Y159" s="137">
        <f t="shared" si="182"/>
        <v>-3336.3999999999996</v>
      </c>
      <c r="Z159" s="237">
        <f t="shared" si="171"/>
        <v>-23.831428571428571</v>
      </c>
      <c r="AA159" s="879">
        <v>14000</v>
      </c>
      <c r="AB159" s="260">
        <v>10489.6</v>
      </c>
      <c r="AC159" s="137">
        <f t="shared" si="183"/>
        <v>-3510.3999999999996</v>
      </c>
      <c r="AD159" s="252">
        <f t="shared" si="172"/>
        <v>-25.074285714285715</v>
      </c>
      <c r="AE159" s="879">
        <v>14000</v>
      </c>
      <c r="AF159" s="260">
        <v>40308.89</v>
      </c>
      <c r="AG159" s="169">
        <f t="shared" si="164"/>
        <v>26308.89</v>
      </c>
      <c r="AH159" s="237">
        <f t="shared" si="173"/>
        <v>187.92064285714284</v>
      </c>
      <c r="AI159" s="879">
        <v>14000</v>
      </c>
      <c r="AJ159" s="176">
        <v>79904.23</v>
      </c>
      <c r="AK159" s="169">
        <f t="shared" si="165"/>
        <v>65904.23</v>
      </c>
      <c r="AL159" s="252">
        <f t="shared" si="174"/>
        <v>470.74450000000002</v>
      </c>
      <c r="AM159" s="879">
        <v>14000</v>
      </c>
      <c r="AN159" s="176">
        <v>19816.7</v>
      </c>
      <c r="AO159" s="169">
        <f t="shared" si="166"/>
        <v>5816.7000000000007</v>
      </c>
      <c r="AP159" s="237">
        <f t="shared" si="175"/>
        <v>41.547857142857161</v>
      </c>
      <c r="AQ159" s="879">
        <v>14000</v>
      </c>
      <c r="AR159" s="260"/>
      <c r="AS159" s="169">
        <f t="shared" si="167"/>
        <v>-14000</v>
      </c>
      <c r="AT159" s="252">
        <f t="shared" si="176"/>
        <v>-100</v>
      </c>
      <c r="AU159" s="879">
        <v>14000</v>
      </c>
      <c r="AV159" s="176"/>
      <c r="AW159" s="137">
        <f t="shared" si="184"/>
        <v>-14000</v>
      </c>
      <c r="AX159" s="252">
        <f t="shared" si="177"/>
        <v>-100</v>
      </c>
      <c r="AY159" s="459">
        <f t="shared" si="178"/>
        <v>168000</v>
      </c>
      <c r="AZ159" s="188">
        <f t="shared" si="162"/>
        <v>211329.61</v>
      </c>
      <c r="BA159" s="398">
        <f t="shared" si="158"/>
        <v>21132.960999999999</v>
      </c>
    </row>
    <row r="160" spans="1:55" s="119" customFormat="1" ht="30" customHeight="1" x14ac:dyDescent="0.25">
      <c r="A160" s="170" t="s">
        <v>3656</v>
      </c>
      <c r="B160" s="332" t="s">
        <v>208</v>
      </c>
      <c r="C160" s="900">
        <v>21000</v>
      </c>
      <c r="D160" s="87">
        <f>7010.14+10854+2744+1837.5</f>
        <v>22445.64</v>
      </c>
      <c r="E160" s="138">
        <f t="shared" si="163"/>
        <v>1445.6399999999994</v>
      </c>
      <c r="F160" s="371">
        <f t="shared" si="159"/>
        <v>6.8840000000000012</v>
      </c>
      <c r="G160" s="879">
        <v>21000</v>
      </c>
      <c r="H160" s="251">
        <f>6225.8+7553.34+2676+2025</f>
        <v>18480.14</v>
      </c>
      <c r="I160" s="137">
        <f t="shared" si="179"/>
        <v>-2519.8600000000006</v>
      </c>
      <c r="J160" s="252">
        <f t="shared" si="168"/>
        <v>-11.99933333333334</v>
      </c>
      <c r="K160" s="879">
        <v>21000</v>
      </c>
      <c r="L160" s="137">
        <v>39927.75</v>
      </c>
      <c r="M160" s="137">
        <f t="shared" si="180"/>
        <v>18927.75</v>
      </c>
      <c r="N160" s="237">
        <f t="shared" si="169"/>
        <v>90.132142857142867</v>
      </c>
      <c r="O160" s="879">
        <v>21000</v>
      </c>
      <c r="P160" s="137">
        <v>31348.66</v>
      </c>
      <c r="Q160" s="137">
        <f t="shared" si="160"/>
        <v>10348.66</v>
      </c>
      <c r="R160" s="237">
        <f t="shared" si="161"/>
        <v>49.279333333333341</v>
      </c>
      <c r="S160" s="879">
        <v>21000</v>
      </c>
      <c r="T160" s="137">
        <v>32687.18</v>
      </c>
      <c r="U160" s="137">
        <f t="shared" si="181"/>
        <v>11687.18</v>
      </c>
      <c r="V160" s="240">
        <f t="shared" si="170"/>
        <v>55.653238095238102</v>
      </c>
      <c r="W160" s="879">
        <v>21000</v>
      </c>
      <c r="X160" s="137">
        <v>24058.65</v>
      </c>
      <c r="Y160" s="137">
        <f t="shared" si="182"/>
        <v>3058.6500000000015</v>
      </c>
      <c r="Z160" s="237">
        <f t="shared" si="171"/>
        <v>14.565000000000005</v>
      </c>
      <c r="AA160" s="879">
        <v>21000</v>
      </c>
      <c r="AB160" s="260">
        <v>32248.66</v>
      </c>
      <c r="AC160" s="137">
        <f t="shared" si="183"/>
        <v>11248.66</v>
      </c>
      <c r="AD160" s="252">
        <f t="shared" si="172"/>
        <v>53.565047619047611</v>
      </c>
      <c r="AE160" s="879">
        <v>21000</v>
      </c>
      <c r="AF160" s="260">
        <v>32416.71</v>
      </c>
      <c r="AG160" s="169">
        <f t="shared" si="164"/>
        <v>11416.71</v>
      </c>
      <c r="AH160" s="237">
        <f t="shared" si="173"/>
        <v>54.365285714285719</v>
      </c>
      <c r="AI160" s="879">
        <v>21000</v>
      </c>
      <c r="AJ160" s="176">
        <v>25755.32</v>
      </c>
      <c r="AK160" s="169">
        <f t="shared" si="165"/>
        <v>4755.32</v>
      </c>
      <c r="AL160" s="252">
        <f t="shared" si="174"/>
        <v>22.644380952380949</v>
      </c>
      <c r="AM160" s="879">
        <v>21000</v>
      </c>
      <c r="AN160" s="176">
        <v>40971.760000000002</v>
      </c>
      <c r="AO160" s="169">
        <f t="shared" si="166"/>
        <v>19971.760000000002</v>
      </c>
      <c r="AP160" s="237">
        <f t="shared" si="175"/>
        <v>95.103619047619063</v>
      </c>
      <c r="AQ160" s="879">
        <v>21000</v>
      </c>
      <c r="AR160" s="260"/>
      <c r="AS160" s="169">
        <f t="shared" si="167"/>
        <v>-21000</v>
      </c>
      <c r="AT160" s="252">
        <f t="shared" si="176"/>
        <v>-100</v>
      </c>
      <c r="AU160" s="879">
        <v>21000</v>
      </c>
      <c r="AV160" s="176"/>
      <c r="AW160" s="137">
        <f t="shared" si="184"/>
        <v>-21000</v>
      </c>
      <c r="AX160" s="252">
        <f t="shared" si="177"/>
        <v>-100</v>
      </c>
      <c r="AY160" s="459">
        <f t="shared" si="178"/>
        <v>252000</v>
      </c>
      <c r="AZ160" s="188">
        <f t="shared" si="162"/>
        <v>300340.46999999997</v>
      </c>
      <c r="BA160" s="398">
        <f t="shared" si="158"/>
        <v>30034.046999999999</v>
      </c>
    </row>
    <row r="161" spans="1:55" s="119" customFormat="1" ht="18" customHeight="1" x14ac:dyDescent="0.25">
      <c r="A161" s="170">
        <v>51090</v>
      </c>
      <c r="B161" s="332" t="s">
        <v>210</v>
      </c>
      <c r="C161" s="900">
        <v>5000</v>
      </c>
      <c r="D161" s="87">
        <v>4966</v>
      </c>
      <c r="E161" s="138">
        <f t="shared" si="163"/>
        <v>-34</v>
      </c>
      <c r="F161" s="371">
        <f t="shared" si="159"/>
        <v>-0.68000000000000282</v>
      </c>
      <c r="G161" s="879">
        <v>5000</v>
      </c>
      <c r="H161" s="212">
        <v>4366</v>
      </c>
      <c r="I161" s="137">
        <f t="shared" si="179"/>
        <v>-634</v>
      </c>
      <c r="J161" s="252">
        <f t="shared" si="168"/>
        <v>-12.680000000000003</v>
      </c>
      <c r="K161" s="879">
        <v>5000</v>
      </c>
      <c r="L161" s="137">
        <v>7826</v>
      </c>
      <c r="M161" s="137">
        <f>L161-K161</f>
        <v>2826</v>
      </c>
      <c r="N161" s="237">
        <f>((L161/K161)-1)*100</f>
        <v>56.519999999999996</v>
      </c>
      <c r="O161" s="879">
        <v>5000</v>
      </c>
      <c r="P161" s="137">
        <v>69052.899999999994</v>
      </c>
      <c r="Q161" s="137">
        <f t="shared" ref="Q161:Q170" si="185">P160-O161</f>
        <v>26348.66</v>
      </c>
      <c r="R161" s="237">
        <f t="shared" ref="R161:R169" si="186">((P160/O161)-1)*100</f>
        <v>526.97320000000002</v>
      </c>
      <c r="S161" s="879">
        <v>5000</v>
      </c>
      <c r="T161" s="137">
        <v>22334.93</v>
      </c>
      <c r="U161" s="137">
        <f t="shared" si="181"/>
        <v>17334.93</v>
      </c>
      <c r="V161" s="240">
        <f t="shared" si="170"/>
        <v>346.69860000000006</v>
      </c>
      <c r="W161" s="879">
        <v>5000</v>
      </c>
      <c r="X161" s="137">
        <v>13746</v>
      </c>
      <c r="Y161" s="137">
        <f t="shared" si="182"/>
        <v>8746</v>
      </c>
      <c r="Z161" s="237">
        <f t="shared" si="171"/>
        <v>174.92000000000002</v>
      </c>
      <c r="AA161" s="879">
        <v>5000</v>
      </c>
      <c r="AB161" s="260">
        <v>15746</v>
      </c>
      <c r="AC161" s="137">
        <f t="shared" si="183"/>
        <v>10746</v>
      </c>
      <c r="AD161" s="252">
        <f t="shared" si="172"/>
        <v>214.92</v>
      </c>
      <c r="AE161" s="879">
        <v>5000</v>
      </c>
      <c r="AF161" s="260">
        <v>4366</v>
      </c>
      <c r="AG161" s="169">
        <f t="shared" si="164"/>
        <v>-634</v>
      </c>
      <c r="AH161" s="237">
        <f t="shared" si="173"/>
        <v>-12.680000000000003</v>
      </c>
      <c r="AI161" s="879">
        <v>5000</v>
      </c>
      <c r="AJ161" s="176">
        <v>4366</v>
      </c>
      <c r="AK161" s="169">
        <f t="shared" si="165"/>
        <v>-634</v>
      </c>
      <c r="AL161" s="252">
        <f t="shared" si="174"/>
        <v>-12.680000000000003</v>
      </c>
      <c r="AM161" s="879">
        <v>5000</v>
      </c>
      <c r="AN161" s="176">
        <v>51877</v>
      </c>
      <c r="AO161" s="169">
        <f t="shared" si="166"/>
        <v>46877</v>
      </c>
      <c r="AP161" s="237">
        <f t="shared" si="175"/>
        <v>937.54000000000008</v>
      </c>
      <c r="AQ161" s="879">
        <v>5000</v>
      </c>
      <c r="AR161" s="260"/>
      <c r="AS161" s="169">
        <f t="shared" si="167"/>
        <v>-5000</v>
      </c>
      <c r="AT161" s="252">
        <f t="shared" si="176"/>
        <v>-100</v>
      </c>
      <c r="AU161" s="879">
        <v>5000</v>
      </c>
      <c r="AV161" s="176"/>
      <c r="AW161" s="137">
        <f t="shared" si="184"/>
        <v>-5000</v>
      </c>
      <c r="AX161" s="252">
        <f t="shared" si="177"/>
        <v>-100</v>
      </c>
      <c r="AY161" s="459">
        <f t="shared" si="178"/>
        <v>60000</v>
      </c>
      <c r="AZ161" s="188">
        <f t="shared" ref="AZ161:AZ170" si="187">SUM(D161+H161+L161+P160+T161+X161+AB161+AF161+AJ161+AN161+AR161+AV161)</f>
        <v>160942.59</v>
      </c>
      <c r="BA161" s="398">
        <f t="shared" si="158"/>
        <v>16094.259</v>
      </c>
    </row>
    <row r="162" spans="1:55" s="119" customFormat="1" ht="18" customHeight="1" x14ac:dyDescent="0.25">
      <c r="A162" s="170">
        <v>12282</v>
      </c>
      <c r="B162" s="332" t="s">
        <v>211</v>
      </c>
      <c r="C162" s="900">
        <v>20000</v>
      </c>
      <c r="D162" s="87">
        <v>23503.24</v>
      </c>
      <c r="E162" s="138">
        <f t="shared" si="163"/>
        <v>3503.2400000000016</v>
      </c>
      <c r="F162" s="371">
        <f t="shared" si="159"/>
        <v>17.516200000000005</v>
      </c>
      <c r="G162" s="879">
        <v>20000</v>
      </c>
      <c r="H162" s="212">
        <v>20185.72</v>
      </c>
      <c r="I162" s="137">
        <f t="shared" si="179"/>
        <v>185.72000000000116</v>
      </c>
      <c r="J162" s="252">
        <f t="shared" si="168"/>
        <v>0.92860000000001275</v>
      </c>
      <c r="K162" s="879">
        <v>20000</v>
      </c>
      <c r="L162" s="137">
        <v>12619.72</v>
      </c>
      <c r="M162" s="137">
        <f>L162-K162</f>
        <v>-7380.2800000000007</v>
      </c>
      <c r="N162" s="237">
        <f>((L162/K162)-1)*100</f>
        <v>-36.90140000000001</v>
      </c>
      <c r="O162" s="879">
        <v>20000</v>
      </c>
      <c r="P162" s="137">
        <v>33506.32</v>
      </c>
      <c r="Q162" s="137">
        <f t="shared" si="185"/>
        <v>49052.899999999994</v>
      </c>
      <c r="R162" s="237">
        <f t="shared" si="186"/>
        <v>245.26449999999994</v>
      </c>
      <c r="S162" s="879">
        <v>20000</v>
      </c>
      <c r="T162" s="137">
        <v>24149.72</v>
      </c>
      <c r="U162" s="137">
        <f t="shared" si="181"/>
        <v>4149.7200000000012</v>
      </c>
      <c r="V162" s="240">
        <f t="shared" si="170"/>
        <v>20.748600000000007</v>
      </c>
      <c r="W162" s="879">
        <v>20000</v>
      </c>
      <c r="X162" s="137">
        <v>27056.57</v>
      </c>
      <c r="Y162" s="137">
        <f t="shared" si="182"/>
        <v>7056.57</v>
      </c>
      <c r="Z162" s="237">
        <f t="shared" si="171"/>
        <v>35.282849999999996</v>
      </c>
      <c r="AA162" s="879">
        <v>20000</v>
      </c>
      <c r="AB162" s="260">
        <v>20899.72</v>
      </c>
      <c r="AC162" s="137">
        <f t="shared" si="183"/>
        <v>899.72000000000116</v>
      </c>
      <c r="AD162" s="252">
        <f t="shared" si="172"/>
        <v>4.498599999999997</v>
      </c>
      <c r="AE162" s="879">
        <v>20000</v>
      </c>
      <c r="AF162" s="260">
        <v>14816.5</v>
      </c>
      <c r="AG162" s="169">
        <f t="shared" si="164"/>
        <v>-5183.5</v>
      </c>
      <c r="AH162" s="237">
        <f t="shared" si="173"/>
        <v>-25.917500000000004</v>
      </c>
      <c r="AI162" s="879">
        <v>20000</v>
      </c>
      <c r="AJ162" s="176">
        <v>32778.78</v>
      </c>
      <c r="AK162" s="169">
        <f t="shared" si="165"/>
        <v>12778.779999999999</v>
      </c>
      <c r="AL162" s="252">
        <f t="shared" si="174"/>
        <v>63.893899999999995</v>
      </c>
      <c r="AM162" s="879">
        <v>20000</v>
      </c>
      <c r="AN162" s="176">
        <v>23056.36</v>
      </c>
      <c r="AO162" s="169">
        <f t="shared" si="166"/>
        <v>3056.3600000000006</v>
      </c>
      <c r="AP162" s="237">
        <f t="shared" si="175"/>
        <v>15.281800000000011</v>
      </c>
      <c r="AQ162" s="879">
        <v>20000</v>
      </c>
      <c r="AR162" s="260"/>
      <c r="AS162" s="169">
        <f t="shared" si="167"/>
        <v>-20000</v>
      </c>
      <c r="AT162" s="252">
        <f t="shared" si="176"/>
        <v>-100</v>
      </c>
      <c r="AU162" s="879">
        <v>20000</v>
      </c>
      <c r="AV162" s="176"/>
      <c r="AW162" s="137">
        <f t="shared" si="184"/>
        <v>-20000</v>
      </c>
      <c r="AX162" s="252">
        <f t="shared" si="177"/>
        <v>-100</v>
      </c>
      <c r="AY162" s="459">
        <f t="shared" si="178"/>
        <v>240000</v>
      </c>
      <c r="AZ162" s="188">
        <f t="shared" si="187"/>
        <v>268119.23</v>
      </c>
      <c r="BA162" s="398">
        <f t="shared" si="158"/>
        <v>26811.922999999999</v>
      </c>
    </row>
    <row r="163" spans="1:55" s="119" customFormat="1" ht="18" customHeight="1" x14ac:dyDescent="0.25">
      <c r="A163" s="170">
        <v>51665</v>
      </c>
      <c r="B163" s="152" t="s">
        <v>212</v>
      </c>
      <c r="C163" s="900">
        <v>43000</v>
      </c>
      <c r="D163" s="87">
        <v>46075.61</v>
      </c>
      <c r="E163" s="138">
        <f t="shared" si="163"/>
        <v>3075.6100000000006</v>
      </c>
      <c r="F163" s="371">
        <f t="shared" si="159"/>
        <v>7.1525813953488449</v>
      </c>
      <c r="G163" s="879">
        <v>43000</v>
      </c>
      <c r="H163" s="212">
        <v>47475.61</v>
      </c>
      <c r="I163" s="137">
        <f t="shared" si="179"/>
        <v>4475.6100000000006</v>
      </c>
      <c r="J163" s="252">
        <f t="shared" si="168"/>
        <v>10.408395348837217</v>
      </c>
      <c r="K163" s="879">
        <v>43000</v>
      </c>
      <c r="L163" s="137">
        <v>47791.76</v>
      </c>
      <c r="M163" s="137">
        <f t="shared" si="180"/>
        <v>4791.760000000002</v>
      </c>
      <c r="N163" s="237">
        <f t="shared" si="169"/>
        <v>11.143627906976739</v>
      </c>
      <c r="O163" s="879">
        <v>43000</v>
      </c>
      <c r="P163" s="137">
        <v>44777.75</v>
      </c>
      <c r="Q163" s="137">
        <f t="shared" si="185"/>
        <v>-9493.68</v>
      </c>
      <c r="R163" s="237">
        <f t="shared" si="186"/>
        <v>-22.078325581395355</v>
      </c>
      <c r="S163" s="879">
        <v>43000</v>
      </c>
      <c r="T163" s="137">
        <v>52288.79</v>
      </c>
      <c r="U163" s="137">
        <f t="shared" si="181"/>
        <v>9288.7900000000009</v>
      </c>
      <c r="V163" s="240">
        <f t="shared" si="170"/>
        <v>21.601837209302332</v>
      </c>
      <c r="W163" s="879">
        <v>43000</v>
      </c>
      <c r="X163" s="137">
        <v>44115.64</v>
      </c>
      <c r="Y163" s="137">
        <f t="shared" si="182"/>
        <v>1115.6399999999994</v>
      </c>
      <c r="Z163" s="237">
        <f t="shared" si="171"/>
        <v>2.5945116279069813</v>
      </c>
      <c r="AA163" s="879">
        <v>43000</v>
      </c>
      <c r="AB163" s="260">
        <v>44115.46</v>
      </c>
      <c r="AC163" s="137">
        <f t="shared" si="183"/>
        <v>1115.4599999999991</v>
      </c>
      <c r="AD163" s="252">
        <f t="shared" si="172"/>
        <v>2.5940930232558168</v>
      </c>
      <c r="AE163" s="879">
        <v>43000</v>
      </c>
      <c r="AF163" s="260">
        <v>71271.66</v>
      </c>
      <c r="AG163" s="169">
        <f t="shared" si="164"/>
        <v>28271.660000000003</v>
      </c>
      <c r="AH163" s="237">
        <f t="shared" si="173"/>
        <v>65.748046511627905</v>
      </c>
      <c r="AI163" s="879">
        <v>43000</v>
      </c>
      <c r="AJ163" s="176">
        <v>149807</v>
      </c>
      <c r="AK163" s="169">
        <f t="shared" si="165"/>
        <v>106807</v>
      </c>
      <c r="AL163" s="252">
        <f t="shared" si="174"/>
        <v>248.38837209302324</v>
      </c>
      <c r="AM163" s="879">
        <v>43000</v>
      </c>
      <c r="AN163" s="176">
        <v>65546.710000000006</v>
      </c>
      <c r="AO163" s="169">
        <f t="shared" si="166"/>
        <v>22546.710000000006</v>
      </c>
      <c r="AP163" s="237">
        <f t="shared" si="175"/>
        <v>52.434209302325606</v>
      </c>
      <c r="AQ163" s="879">
        <v>43000</v>
      </c>
      <c r="AR163" s="260"/>
      <c r="AS163" s="169">
        <f t="shared" si="167"/>
        <v>-43000</v>
      </c>
      <c r="AT163" s="252">
        <f t="shared" si="176"/>
        <v>-100</v>
      </c>
      <c r="AU163" s="879">
        <v>43000</v>
      </c>
      <c r="AV163" s="176"/>
      <c r="AW163" s="137">
        <f t="shared" si="184"/>
        <v>-43000</v>
      </c>
      <c r="AX163" s="252">
        <f t="shared" si="177"/>
        <v>-100</v>
      </c>
      <c r="AY163" s="459">
        <f t="shared" si="178"/>
        <v>516000</v>
      </c>
      <c r="AZ163" s="188">
        <f t="shared" si="187"/>
        <v>601994.56000000006</v>
      </c>
      <c r="BA163" s="398">
        <f t="shared" si="158"/>
        <v>60199.456000000006</v>
      </c>
    </row>
    <row r="164" spans="1:55" s="119" customFormat="1" ht="18" customHeight="1" x14ac:dyDescent="0.25">
      <c r="A164" s="170">
        <v>51666</v>
      </c>
      <c r="B164" s="152" t="s">
        <v>84</v>
      </c>
      <c r="C164" s="900">
        <v>8000</v>
      </c>
      <c r="D164" s="87">
        <v>12409</v>
      </c>
      <c r="E164" s="138">
        <f t="shared" si="163"/>
        <v>4409</v>
      </c>
      <c r="F164" s="371">
        <f t="shared" si="159"/>
        <v>55.112500000000011</v>
      </c>
      <c r="G164" s="879">
        <v>8000</v>
      </c>
      <c r="H164" s="212">
        <v>25479.83</v>
      </c>
      <c r="I164" s="137">
        <f t="shared" si="179"/>
        <v>17479.830000000002</v>
      </c>
      <c r="J164" s="252">
        <f t="shared" si="168"/>
        <v>218.49787500000005</v>
      </c>
      <c r="K164" s="879">
        <v>8000</v>
      </c>
      <c r="L164" s="137">
        <v>24565.47</v>
      </c>
      <c r="M164" s="137">
        <f t="shared" si="180"/>
        <v>16565.47</v>
      </c>
      <c r="N164" s="237">
        <f t="shared" si="169"/>
        <v>207.068375</v>
      </c>
      <c r="O164" s="879">
        <v>8000</v>
      </c>
      <c r="P164" s="137">
        <v>13574.84</v>
      </c>
      <c r="Q164" s="137">
        <f t="shared" si="185"/>
        <v>36777.75</v>
      </c>
      <c r="R164" s="237">
        <f t="shared" si="186"/>
        <v>459.72187499999995</v>
      </c>
      <c r="S164" s="879">
        <v>8000</v>
      </c>
      <c r="T164" s="137">
        <v>19759.93</v>
      </c>
      <c r="U164" s="137">
        <f t="shared" si="181"/>
        <v>11759.93</v>
      </c>
      <c r="V164" s="240">
        <f t="shared" si="170"/>
        <v>146.99912500000002</v>
      </c>
      <c r="W164" s="879">
        <v>8000</v>
      </c>
      <c r="X164" s="137">
        <v>23602.83</v>
      </c>
      <c r="Y164" s="137">
        <f t="shared" si="182"/>
        <v>15602.830000000002</v>
      </c>
      <c r="Z164" s="237">
        <f t="shared" si="171"/>
        <v>195.03537500000002</v>
      </c>
      <c r="AA164" s="879">
        <v>8000</v>
      </c>
      <c r="AB164" s="260">
        <v>20004.59</v>
      </c>
      <c r="AC164" s="137">
        <f t="shared" si="183"/>
        <v>12004.59</v>
      </c>
      <c r="AD164" s="252">
        <f t="shared" si="172"/>
        <v>150.05737500000001</v>
      </c>
      <c r="AE164" s="879">
        <v>8000</v>
      </c>
      <c r="AF164" s="260">
        <v>24948</v>
      </c>
      <c r="AG164" s="169">
        <f t="shared" si="164"/>
        <v>16948</v>
      </c>
      <c r="AH164" s="237">
        <f t="shared" si="173"/>
        <v>211.85</v>
      </c>
      <c r="AI164" s="879">
        <v>8000</v>
      </c>
      <c r="AJ164" s="176">
        <v>11562.25</v>
      </c>
      <c r="AK164" s="169">
        <f t="shared" si="165"/>
        <v>3562.25</v>
      </c>
      <c r="AL164" s="252">
        <f t="shared" si="174"/>
        <v>44.52812500000001</v>
      </c>
      <c r="AM164" s="879">
        <v>8000</v>
      </c>
      <c r="AN164" s="176">
        <v>29630.76</v>
      </c>
      <c r="AO164" s="169">
        <f t="shared" si="166"/>
        <v>21630.76</v>
      </c>
      <c r="AP164" s="237">
        <f t="shared" si="175"/>
        <v>270.3845</v>
      </c>
      <c r="AQ164" s="879">
        <v>8000</v>
      </c>
      <c r="AR164" s="260"/>
      <c r="AS164" s="169">
        <f t="shared" si="167"/>
        <v>-8000</v>
      </c>
      <c r="AT164" s="252">
        <f t="shared" si="176"/>
        <v>-100</v>
      </c>
      <c r="AU164" s="879">
        <v>8000</v>
      </c>
      <c r="AV164" s="176"/>
      <c r="AW164" s="137">
        <f t="shared" si="184"/>
        <v>-8000</v>
      </c>
      <c r="AX164" s="252">
        <f t="shared" si="177"/>
        <v>-100</v>
      </c>
      <c r="AY164" s="459">
        <f t="shared" si="178"/>
        <v>96000</v>
      </c>
      <c r="AZ164" s="188">
        <f t="shared" si="187"/>
        <v>236740.41</v>
      </c>
      <c r="BA164" s="398">
        <f t="shared" si="158"/>
        <v>23674.041000000001</v>
      </c>
    </row>
    <row r="165" spans="1:55" s="119" customFormat="1" ht="18" customHeight="1" x14ac:dyDescent="0.25">
      <c r="A165" s="170">
        <v>51667</v>
      </c>
      <c r="B165" s="152" t="s">
        <v>85</v>
      </c>
      <c r="C165" s="900">
        <v>9000</v>
      </c>
      <c r="D165" s="87">
        <v>9138</v>
      </c>
      <c r="E165" s="138">
        <f t="shared" si="163"/>
        <v>138</v>
      </c>
      <c r="F165" s="371">
        <f t="shared" si="159"/>
        <v>1.5333333333333421</v>
      </c>
      <c r="G165" s="879">
        <v>9000</v>
      </c>
      <c r="H165" s="212">
        <v>4985</v>
      </c>
      <c r="I165" s="137">
        <f t="shared" si="179"/>
        <v>-4015</v>
      </c>
      <c r="J165" s="252">
        <f t="shared" si="168"/>
        <v>-44.611111111111114</v>
      </c>
      <c r="K165" s="879">
        <v>9000</v>
      </c>
      <c r="L165" s="137">
        <v>5420</v>
      </c>
      <c r="M165" s="137">
        <f t="shared" si="180"/>
        <v>-3580</v>
      </c>
      <c r="N165" s="237">
        <f t="shared" si="169"/>
        <v>-39.777777777777779</v>
      </c>
      <c r="O165" s="879">
        <v>9000</v>
      </c>
      <c r="P165" s="137">
        <v>10612</v>
      </c>
      <c r="Q165" s="137">
        <f t="shared" si="185"/>
        <v>4574.84</v>
      </c>
      <c r="R165" s="237">
        <f t="shared" si="186"/>
        <v>50.83155555555556</v>
      </c>
      <c r="S165" s="879">
        <v>9000</v>
      </c>
      <c r="T165" s="137">
        <v>7902</v>
      </c>
      <c r="U165" s="137">
        <f t="shared" si="181"/>
        <v>-1098</v>
      </c>
      <c r="V165" s="240">
        <f t="shared" si="170"/>
        <v>-12.2</v>
      </c>
      <c r="W165" s="879">
        <v>9000</v>
      </c>
      <c r="X165" s="137">
        <v>364</v>
      </c>
      <c r="Y165" s="137">
        <f t="shared" si="182"/>
        <v>-8636</v>
      </c>
      <c r="Z165" s="237">
        <f t="shared" si="171"/>
        <v>-95.955555555555563</v>
      </c>
      <c r="AA165" s="879">
        <v>9000</v>
      </c>
      <c r="AB165" s="260">
        <v>8832.5</v>
      </c>
      <c r="AC165" s="137">
        <f t="shared" si="183"/>
        <v>-167.5</v>
      </c>
      <c r="AD165" s="252">
        <f t="shared" si="172"/>
        <v>-1.8611111111111134</v>
      </c>
      <c r="AE165" s="879">
        <v>9000</v>
      </c>
      <c r="AF165" s="260">
        <v>4870</v>
      </c>
      <c r="AG165" s="169">
        <f t="shared" si="164"/>
        <v>-4130</v>
      </c>
      <c r="AH165" s="237">
        <f t="shared" si="173"/>
        <v>-45.888888888888893</v>
      </c>
      <c r="AI165" s="879">
        <v>9000</v>
      </c>
      <c r="AJ165" s="176">
        <v>9291</v>
      </c>
      <c r="AK165" s="169">
        <f t="shared" si="165"/>
        <v>291</v>
      </c>
      <c r="AL165" s="252">
        <f t="shared" si="174"/>
        <v>3.2333333333333325</v>
      </c>
      <c r="AM165" s="879">
        <v>9000</v>
      </c>
      <c r="AN165" s="176">
        <v>2270</v>
      </c>
      <c r="AO165" s="169">
        <f t="shared" si="166"/>
        <v>-6730</v>
      </c>
      <c r="AP165" s="237">
        <f t="shared" si="175"/>
        <v>-74.777777777777771</v>
      </c>
      <c r="AQ165" s="879">
        <v>9000</v>
      </c>
      <c r="AR165" s="260"/>
      <c r="AS165" s="169">
        <f t="shared" si="167"/>
        <v>-9000</v>
      </c>
      <c r="AT165" s="252">
        <f t="shared" si="176"/>
        <v>-100</v>
      </c>
      <c r="AU165" s="879">
        <v>9000</v>
      </c>
      <c r="AV165" s="176"/>
      <c r="AW165" s="137">
        <f t="shared" si="184"/>
        <v>-9000</v>
      </c>
      <c r="AX165" s="252">
        <f t="shared" si="177"/>
        <v>-100</v>
      </c>
      <c r="AY165" s="459">
        <f t="shared" si="178"/>
        <v>108000</v>
      </c>
      <c r="AZ165" s="188">
        <f t="shared" si="187"/>
        <v>66647.34</v>
      </c>
      <c r="BA165" s="398">
        <f t="shared" si="158"/>
        <v>6664.7339999999995</v>
      </c>
    </row>
    <row r="166" spans="1:55" s="119" customFormat="1" ht="18" customHeight="1" x14ac:dyDescent="0.25">
      <c r="A166" s="170">
        <v>12900</v>
      </c>
      <c r="B166" s="152" t="s">
        <v>87</v>
      </c>
      <c r="C166" s="900">
        <v>3000</v>
      </c>
      <c r="D166" s="87">
        <v>9266.85</v>
      </c>
      <c r="E166" s="138">
        <f t="shared" si="163"/>
        <v>6266.85</v>
      </c>
      <c r="F166" s="371">
        <f t="shared" si="159"/>
        <v>208.89500000000001</v>
      </c>
      <c r="G166" s="879">
        <v>3000</v>
      </c>
      <c r="H166" s="212">
        <v>9238.8700000000008</v>
      </c>
      <c r="I166" s="137">
        <f t="shared" si="179"/>
        <v>6238.8700000000008</v>
      </c>
      <c r="J166" s="252">
        <f t="shared" si="168"/>
        <v>207.96233333333336</v>
      </c>
      <c r="K166" s="879">
        <v>3000</v>
      </c>
      <c r="L166" s="137">
        <v>8536.83</v>
      </c>
      <c r="M166" s="137">
        <f t="shared" si="180"/>
        <v>5536.83</v>
      </c>
      <c r="N166" s="237">
        <f t="shared" si="169"/>
        <v>184.56100000000001</v>
      </c>
      <c r="O166" s="879">
        <v>3000</v>
      </c>
      <c r="P166" s="137">
        <v>9567.7800000000007</v>
      </c>
      <c r="Q166" s="137">
        <f t="shared" si="185"/>
        <v>7612</v>
      </c>
      <c r="R166" s="237">
        <f t="shared" si="186"/>
        <v>253.73333333333332</v>
      </c>
      <c r="S166" s="879">
        <v>3000</v>
      </c>
      <c r="T166" s="137">
        <v>9301.7800000000007</v>
      </c>
      <c r="U166" s="137">
        <f t="shared" si="181"/>
        <v>6301.7800000000007</v>
      </c>
      <c r="V166" s="240">
        <f t="shared" si="170"/>
        <v>210.05933333333337</v>
      </c>
      <c r="W166" s="879">
        <v>3000</v>
      </c>
      <c r="X166" s="137">
        <v>9567.7800000000007</v>
      </c>
      <c r="Y166" s="137">
        <f t="shared" si="182"/>
        <v>6567.7800000000007</v>
      </c>
      <c r="Z166" s="237">
        <f t="shared" si="171"/>
        <v>218.92600000000004</v>
      </c>
      <c r="AA166" s="879">
        <v>3000</v>
      </c>
      <c r="AB166" s="260">
        <v>9301.7800000000007</v>
      </c>
      <c r="AC166" s="137">
        <f t="shared" si="183"/>
        <v>6301.7800000000007</v>
      </c>
      <c r="AD166" s="252">
        <f t="shared" si="172"/>
        <v>210.05933333333337</v>
      </c>
      <c r="AE166" s="879">
        <v>3000</v>
      </c>
      <c r="AF166" s="260">
        <v>9567.7800000000007</v>
      </c>
      <c r="AG166" s="169">
        <f t="shared" si="164"/>
        <v>6567.7800000000007</v>
      </c>
      <c r="AH166" s="237">
        <f t="shared" si="173"/>
        <v>218.92600000000004</v>
      </c>
      <c r="AI166" s="879">
        <v>3000</v>
      </c>
      <c r="AJ166" s="176">
        <v>9567.7800000000007</v>
      </c>
      <c r="AK166" s="169">
        <f t="shared" si="165"/>
        <v>6567.7800000000007</v>
      </c>
      <c r="AL166" s="252">
        <f t="shared" si="174"/>
        <v>218.92600000000004</v>
      </c>
      <c r="AM166" s="879">
        <v>3000</v>
      </c>
      <c r="AN166" s="176">
        <v>9298.67</v>
      </c>
      <c r="AO166" s="169">
        <f t="shared" si="166"/>
        <v>6298.67</v>
      </c>
      <c r="AP166" s="237">
        <f t="shared" si="175"/>
        <v>209.95566666666664</v>
      </c>
      <c r="AQ166" s="879">
        <v>3000</v>
      </c>
      <c r="AR166" s="260"/>
      <c r="AS166" s="169">
        <f t="shared" si="167"/>
        <v>-3000</v>
      </c>
      <c r="AT166" s="252">
        <f t="shared" si="176"/>
        <v>-100</v>
      </c>
      <c r="AU166" s="879">
        <v>3000</v>
      </c>
      <c r="AV166" s="176"/>
      <c r="AW166" s="137">
        <f t="shared" si="184"/>
        <v>-3000</v>
      </c>
      <c r="AX166" s="252">
        <f t="shared" si="177"/>
        <v>-100</v>
      </c>
      <c r="AY166" s="459">
        <f t="shared" si="178"/>
        <v>36000</v>
      </c>
      <c r="AZ166" s="188">
        <f t="shared" si="187"/>
        <v>94260.12</v>
      </c>
      <c r="BA166" s="398">
        <f t="shared" si="158"/>
        <v>9426.0119999999988</v>
      </c>
    </row>
    <row r="167" spans="1:55" s="119" customFormat="1" ht="18" customHeight="1" x14ac:dyDescent="0.25">
      <c r="A167" s="170" t="s">
        <v>88</v>
      </c>
      <c r="B167" s="152" t="s">
        <v>213</v>
      </c>
      <c r="C167" s="900">
        <v>59000</v>
      </c>
      <c r="D167" s="87">
        <f>25905.81+23827.14</f>
        <v>49732.95</v>
      </c>
      <c r="E167" s="138">
        <f t="shared" si="163"/>
        <v>-9267.0500000000029</v>
      </c>
      <c r="F167" s="371">
        <f t="shared" si="159"/>
        <v>-15.706864406779664</v>
      </c>
      <c r="G167" s="879">
        <v>59000</v>
      </c>
      <c r="H167" s="212">
        <f>32773.58+26818.44</f>
        <v>59592.020000000004</v>
      </c>
      <c r="I167" s="137">
        <f t="shared" si="179"/>
        <v>592.02000000000407</v>
      </c>
      <c r="J167" s="252">
        <f t="shared" si="168"/>
        <v>1.0034237288135683</v>
      </c>
      <c r="K167" s="879">
        <v>59000</v>
      </c>
      <c r="L167" s="137">
        <v>50554.95</v>
      </c>
      <c r="M167" s="137">
        <f t="shared" si="180"/>
        <v>-8445.0500000000029</v>
      </c>
      <c r="N167" s="237">
        <f t="shared" si="169"/>
        <v>-14.313644067796616</v>
      </c>
      <c r="O167" s="879">
        <v>59000</v>
      </c>
      <c r="P167" s="137">
        <v>52281.53</v>
      </c>
      <c r="Q167" s="137">
        <f t="shared" si="185"/>
        <v>-49432.22</v>
      </c>
      <c r="R167" s="237">
        <f t="shared" si="186"/>
        <v>-83.78342372881356</v>
      </c>
      <c r="S167" s="879">
        <v>59000</v>
      </c>
      <c r="T167" s="137">
        <v>51662.57</v>
      </c>
      <c r="U167" s="137">
        <f t="shared" si="181"/>
        <v>-7337.43</v>
      </c>
      <c r="V167" s="240">
        <f t="shared" si="170"/>
        <v>-12.436322033898307</v>
      </c>
      <c r="W167" s="879">
        <v>59000</v>
      </c>
      <c r="X167" s="137">
        <v>52065.94</v>
      </c>
      <c r="Y167" s="137">
        <f t="shared" si="182"/>
        <v>-6934.0599999999977</v>
      </c>
      <c r="Z167" s="237">
        <f t="shared" si="171"/>
        <v>-11.752644067796602</v>
      </c>
      <c r="AA167" s="879">
        <v>59000</v>
      </c>
      <c r="AB167" s="260">
        <v>53536.13</v>
      </c>
      <c r="AC167" s="137">
        <f t="shared" si="183"/>
        <v>-5463.8700000000026</v>
      </c>
      <c r="AD167" s="252">
        <f t="shared" si="172"/>
        <v>-9.2607966101694963</v>
      </c>
      <c r="AE167" s="879">
        <v>59000</v>
      </c>
      <c r="AF167" s="260">
        <v>51437.34</v>
      </c>
      <c r="AG167" s="169">
        <f t="shared" si="164"/>
        <v>-7562.6600000000035</v>
      </c>
      <c r="AH167" s="237">
        <f t="shared" si="173"/>
        <v>-12.818067796610178</v>
      </c>
      <c r="AI167" s="879">
        <v>59000</v>
      </c>
      <c r="AJ167" s="176">
        <v>62481.34</v>
      </c>
      <c r="AK167" s="169">
        <f t="shared" si="165"/>
        <v>3481.3399999999965</v>
      </c>
      <c r="AL167" s="252">
        <f t="shared" si="174"/>
        <v>5.9005762711864307</v>
      </c>
      <c r="AM167" s="879">
        <v>59000</v>
      </c>
      <c r="AN167" s="176">
        <v>64582.93</v>
      </c>
      <c r="AO167" s="169">
        <f t="shared" si="166"/>
        <v>5582.93</v>
      </c>
      <c r="AP167" s="237">
        <f t="shared" si="175"/>
        <v>9.4625932203389773</v>
      </c>
      <c r="AQ167" s="879">
        <v>59000</v>
      </c>
      <c r="AR167" s="260"/>
      <c r="AS167" s="169">
        <f t="shared" si="167"/>
        <v>-59000</v>
      </c>
      <c r="AT167" s="252">
        <f t="shared" si="176"/>
        <v>-100</v>
      </c>
      <c r="AU167" s="879">
        <v>59000</v>
      </c>
      <c r="AV167" s="176"/>
      <c r="AW167" s="137">
        <f t="shared" si="184"/>
        <v>-59000</v>
      </c>
      <c r="AX167" s="252">
        <f t="shared" si="177"/>
        <v>-100</v>
      </c>
      <c r="AY167" s="459">
        <f t="shared" si="178"/>
        <v>708000</v>
      </c>
      <c r="AZ167" s="188">
        <f t="shared" si="187"/>
        <v>505213.9499999999</v>
      </c>
      <c r="BA167" s="398">
        <f t="shared" si="158"/>
        <v>50521.39499999999</v>
      </c>
    </row>
    <row r="168" spans="1:55" s="119" customFormat="1" ht="18" customHeight="1" x14ac:dyDescent="0.25">
      <c r="A168" s="170" t="s">
        <v>90</v>
      </c>
      <c r="B168" s="152" t="s">
        <v>92</v>
      </c>
      <c r="C168" s="900">
        <v>169000</v>
      </c>
      <c r="D168" s="87">
        <f>18966.31+183393.99</f>
        <v>202360.3</v>
      </c>
      <c r="E168" s="138">
        <f t="shared" si="163"/>
        <v>33360.299999999988</v>
      </c>
      <c r="F168" s="371">
        <f t="shared" si="159"/>
        <v>19.739822485207092</v>
      </c>
      <c r="G168" s="879">
        <v>169000</v>
      </c>
      <c r="H168" s="212">
        <f>23189.38+156095.12</f>
        <v>179284.5</v>
      </c>
      <c r="I168" s="137">
        <f t="shared" si="179"/>
        <v>10284.5</v>
      </c>
      <c r="J168" s="252">
        <f t="shared" si="168"/>
        <v>6.0855029585798803</v>
      </c>
      <c r="K168" s="879">
        <v>169000</v>
      </c>
      <c r="L168" s="137">
        <v>211652.48000000001</v>
      </c>
      <c r="M168" s="137">
        <f t="shared" si="180"/>
        <v>42652.48000000001</v>
      </c>
      <c r="N168" s="237">
        <f t="shared" si="169"/>
        <v>25.238153846153843</v>
      </c>
      <c r="O168" s="879">
        <v>169000</v>
      </c>
      <c r="P168" s="137">
        <v>152329.01</v>
      </c>
      <c r="Q168" s="137">
        <f t="shared" si="185"/>
        <v>-116718.47</v>
      </c>
      <c r="R168" s="237">
        <f t="shared" si="186"/>
        <v>-69.064183431952671</v>
      </c>
      <c r="S168" s="879">
        <v>169000</v>
      </c>
      <c r="T168" s="137">
        <v>147629.07</v>
      </c>
      <c r="U168" s="137">
        <f t="shared" si="181"/>
        <v>-21370.929999999993</v>
      </c>
      <c r="V168" s="240">
        <f t="shared" si="170"/>
        <v>-12.645520710059166</v>
      </c>
      <c r="W168" s="879">
        <v>169000</v>
      </c>
      <c r="X168" s="137">
        <v>144623.13</v>
      </c>
      <c r="Y168" s="137">
        <f t="shared" si="182"/>
        <v>-24376.869999999995</v>
      </c>
      <c r="Z168" s="237">
        <f t="shared" si="171"/>
        <v>-14.424183431952663</v>
      </c>
      <c r="AA168" s="879">
        <v>169000</v>
      </c>
      <c r="AB168" s="260">
        <v>146893.41</v>
      </c>
      <c r="AC168" s="137">
        <f t="shared" si="183"/>
        <v>-22106.589999999997</v>
      </c>
      <c r="AD168" s="252">
        <f t="shared" si="172"/>
        <v>-13.080822485207101</v>
      </c>
      <c r="AE168" s="879">
        <v>169000</v>
      </c>
      <c r="AF168" s="260">
        <v>155859.49</v>
      </c>
      <c r="AG168" s="169">
        <f t="shared" si="164"/>
        <v>-13140.510000000009</v>
      </c>
      <c r="AH168" s="237">
        <f t="shared" si="173"/>
        <v>-7.7754497041420123</v>
      </c>
      <c r="AI168" s="879">
        <v>169000</v>
      </c>
      <c r="AJ168" s="176">
        <v>208739.54</v>
      </c>
      <c r="AK168" s="169">
        <f t="shared" si="165"/>
        <v>39739.540000000008</v>
      </c>
      <c r="AL168" s="252">
        <f t="shared" si="174"/>
        <v>23.514520710059173</v>
      </c>
      <c r="AM168" s="879">
        <v>169000</v>
      </c>
      <c r="AN168" s="176">
        <v>230572.08</v>
      </c>
      <c r="AO168" s="169">
        <f t="shared" si="166"/>
        <v>61572.079999999987</v>
      </c>
      <c r="AP168" s="237">
        <f t="shared" si="175"/>
        <v>36.433183431952656</v>
      </c>
      <c r="AQ168" s="879">
        <v>169000</v>
      </c>
      <c r="AR168" s="260"/>
      <c r="AS168" s="169">
        <f t="shared" si="167"/>
        <v>-169000</v>
      </c>
      <c r="AT168" s="252">
        <f t="shared" si="176"/>
        <v>-100</v>
      </c>
      <c r="AU168" s="879">
        <v>169000</v>
      </c>
      <c r="AV168" s="176"/>
      <c r="AW168" s="137">
        <f t="shared" si="184"/>
        <v>-169000</v>
      </c>
      <c r="AX168" s="252">
        <f t="shared" si="177"/>
        <v>-100</v>
      </c>
      <c r="AY168" s="459">
        <f t="shared" si="178"/>
        <v>2028000</v>
      </c>
      <c r="AZ168" s="188">
        <f t="shared" si="187"/>
        <v>1679895.5300000003</v>
      </c>
      <c r="BA168" s="398">
        <f t="shared" si="158"/>
        <v>167989.55300000001</v>
      </c>
    </row>
    <row r="169" spans="1:55" s="119" customFormat="1" ht="18" customHeight="1" x14ac:dyDescent="0.25">
      <c r="A169" s="170">
        <v>12869</v>
      </c>
      <c r="B169" s="152" t="s">
        <v>94</v>
      </c>
      <c r="C169" s="900">
        <v>65000</v>
      </c>
      <c r="D169" s="87">
        <v>91448.5</v>
      </c>
      <c r="E169" s="138">
        <f t="shared" si="163"/>
        <v>26448.5</v>
      </c>
      <c r="F169" s="371">
        <f t="shared" si="159"/>
        <v>40.690000000000005</v>
      </c>
      <c r="G169" s="879">
        <v>65000</v>
      </c>
      <c r="H169" s="212">
        <v>77316.69</v>
      </c>
      <c r="I169" s="137">
        <f t="shared" si="179"/>
        <v>12316.690000000002</v>
      </c>
      <c r="J169" s="252">
        <f t="shared" si="168"/>
        <v>18.948753846153842</v>
      </c>
      <c r="K169" s="879">
        <v>65000</v>
      </c>
      <c r="L169" s="131">
        <v>105412.27</v>
      </c>
      <c r="M169" s="137">
        <f t="shared" si="180"/>
        <v>40412.270000000004</v>
      </c>
      <c r="N169" s="237">
        <f t="shared" si="169"/>
        <v>62.172723076923077</v>
      </c>
      <c r="O169" s="879">
        <v>65000</v>
      </c>
      <c r="P169" s="131">
        <v>134873.32999999999</v>
      </c>
      <c r="Q169" s="137">
        <f t="shared" si="185"/>
        <v>87329.010000000009</v>
      </c>
      <c r="R169" s="237">
        <f t="shared" si="186"/>
        <v>134.35232307692311</v>
      </c>
      <c r="S169" s="879">
        <v>65000</v>
      </c>
      <c r="T169" s="137">
        <v>76062.84</v>
      </c>
      <c r="U169" s="137">
        <f t="shared" si="181"/>
        <v>11062.839999999997</v>
      </c>
      <c r="V169" s="240">
        <f t="shared" si="170"/>
        <v>17.01975384615384</v>
      </c>
      <c r="W169" s="879">
        <v>65000</v>
      </c>
      <c r="X169" s="137">
        <v>186402.67</v>
      </c>
      <c r="Y169" s="137">
        <f t="shared" si="182"/>
        <v>121402.67000000001</v>
      </c>
      <c r="Z169" s="237">
        <f t="shared" si="171"/>
        <v>186.77333846153849</v>
      </c>
      <c r="AA169" s="879">
        <v>65000</v>
      </c>
      <c r="AB169" s="260">
        <v>76237.679999999993</v>
      </c>
      <c r="AC169" s="137">
        <f t="shared" si="183"/>
        <v>11237.679999999993</v>
      </c>
      <c r="AD169" s="252">
        <f t="shared" si="172"/>
        <v>17.288738461538443</v>
      </c>
      <c r="AE169" s="879">
        <v>65000</v>
      </c>
      <c r="AF169" s="212">
        <v>81156.22</v>
      </c>
      <c r="AG169" s="169">
        <f t="shared" si="164"/>
        <v>16156.220000000001</v>
      </c>
      <c r="AH169" s="237">
        <f t="shared" si="173"/>
        <v>24.855723076923077</v>
      </c>
      <c r="AI169" s="879">
        <v>65000</v>
      </c>
      <c r="AJ169" s="176">
        <v>64620.66</v>
      </c>
      <c r="AK169" s="169">
        <f t="shared" si="165"/>
        <v>-379.33999999999651</v>
      </c>
      <c r="AL169" s="252">
        <f t="shared" si="174"/>
        <v>-0.58359999999999523</v>
      </c>
      <c r="AM169" s="879">
        <v>65000</v>
      </c>
      <c r="AN169" s="176">
        <v>50613.74</v>
      </c>
      <c r="AO169" s="169">
        <f t="shared" si="166"/>
        <v>-14386.260000000002</v>
      </c>
      <c r="AP169" s="237">
        <f t="shared" si="175"/>
        <v>-22.132707692307697</v>
      </c>
      <c r="AQ169" s="879">
        <v>65000</v>
      </c>
      <c r="AR169" s="260"/>
      <c r="AS169" s="169">
        <f t="shared" si="167"/>
        <v>-65000</v>
      </c>
      <c r="AT169" s="252">
        <f t="shared" si="176"/>
        <v>-100</v>
      </c>
      <c r="AU169" s="879">
        <v>65000</v>
      </c>
      <c r="AV169" s="176"/>
      <c r="AW169" s="137">
        <f t="shared" si="184"/>
        <v>-65000</v>
      </c>
      <c r="AX169" s="252">
        <f t="shared" si="177"/>
        <v>-100</v>
      </c>
      <c r="AY169" s="459">
        <f t="shared" si="178"/>
        <v>780000</v>
      </c>
      <c r="AZ169" s="188">
        <f t="shared" si="187"/>
        <v>961600.28000000014</v>
      </c>
      <c r="BA169" s="398">
        <f t="shared" si="158"/>
        <v>96160.02800000002</v>
      </c>
    </row>
    <row r="170" spans="1:55" s="119" customFormat="1" ht="18" customHeight="1" x14ac:dyDescent="0.25">
      <c r="A170" s="1123">
        <v>52238</v>
      </c>
      <c r="B170" s="382" t="s">
        <v>3699</v>
      </c>
      <c r="C170" s="903">
        <v>0</v>
      </c>
      <c r="D170" s="85">
        <v>8000</v>
      </c>
      <c r="E170" s="138">
        <f t="shared" si="163"/>
        <v>8000</v>
      </c>
      <c r="F170" s="886"/>
      <c r="G170" s="885">
        <v>0</v>
      </c>
      <c r="H170" s="219">
        <v>0</v>
      </c>
      <c r="I170" s="131">
        <f t="shared" si="179"/>
        <v>0</v>
      </c>
      <c r="J170" s="778"/>
      <c r="K170" s="885">
        <v>0</v>
      </c>
      <c r="L170" s="125">
        <v>0</v>
      </c>
      <c r="M170" s="137">
        <f t="shared" si="180"/>
        <v>0</v>
      </c>
      <c r="N170" s="237"/>
      <c r="O170" s="1124">
        <v>0</v>
      </c>
      <c r="P170" s="1125">
        <v>0</v>
      </c>
      <c r="Q170" s="137">
        <f t="shared" si="185"/>
        <v>134873.32999999999</v>
      </c>
      <c r="R170" s="237"/>
      <c r="S170" s="885">
        <v>0</v>
      </c>
      <c r="T170" s="131">
        <v>0</v>
      </c>
      <c r="U170" s="125">
        <f t="shared" si="181"/>
        <v>0</v>
      </c>
      <c r="V170" s="887"/>
      <c r="W170" s="885">
        <v>0</v>
      </c>
      <c r="X170" s="125">
        <v>0</v>
      </c>
      <c r="Y170" s="131">
        <f t="shared" si="182"/>
        <v>0</v>
      </c>
      <c r="Z170" s="235"/>
      <c r="AA170" s="885">
        <v>0</v>
      </c>
      <c r="AB170" s="260">
        <v>0</v>
      </c>
      <c r="AC170" s="125">
        <f t="shared" si="183"/>
        <v>0</v>
      </c>
      <c r="AD170" s="778"/>
      <c r="AE170" s="885">
        <v>0</v>
      </c>
      <c r="AF170" s="219">
        <v>0</v>
      </c>
      <c r="AG170" s="172">
        <f t="shared" si="164"/>
        <v>0</v>
      </c>
      <c r="AH170" s="235"/>
      <c r="AI170" s="885">
        <v>0</v>
      </c>
      <c r="AJ170" s="683">
        <v>0</v>
      </c>
      <c r="AK170" s="172">
        <f t="shared" si="165"/>
        <v>0</v>
      </c>
      <c r="AL170" s="778"/>
      <c r="AM170" s="885">
        <v>0</v>
      </c>
      <c r="AN170" s="683">
        <v>0</v>
      </c>
      <c r="AO170" s="172">
        <f t="shared" si="166"/>
        <v>0</v>
      </c>
      <c r="AP170" s="327"/>
      <c r="AQ170" s="885">
        <v>0</v>
      </c>
      <c r="AR170" s="260"/>
      <c r="AS170" s="684">
        <f t="shared" si="167"/>
        <v>0</v>
      </c>
      <c r="AT170" s="778"/>
      <c r="AU170" s="885">
        <v>0</v>
      </c>
      <c r="AV170" s="683"/>
      <c r="AW170" s="131">
        <f t="shared" si="184"/>
        <v>0</v>
      </c>
      <c r="AX170" s="778"/>
      <c r="AY170" s="459">
        <f t="shared" si="178"/>
        <v>0</v>
      </c>
      <c r="AZ170" s="368">
        <f t="shared" si="187"/>
        <v>142873.32999999999</v>
      </c>
      <c r="BA170" s="398">
        <f t="shared" si="158"/>
        <v>14287.332999999999</v>
      </c>
    </row>
    <row r="171" spans="1:55" s="119" customFormat="1" ht="18" customHeight="1" thickBot="1" x14ac:dyDescent="0.3">
      <c r="A171" s="178">
        <v>32937</v>
      </c>
      <c r="B171" s="180" t="s">
        <v>95</v>
      </c>
      <c r="C171" s="904">
        <v>24000</v>
      </c>
      <c r="D171" s="91">
        <v>20341.04</v>
      </c>
      <c r="E171" s="250">
        <f t="shared" si="163"/>
        <v>-3658.9599999999991</v>
      </c>
      <c r="F171" s="1126">
        <f t="shared" si="159"/>
        <v>-15.245666666666668</v>
      </c>
      <c r="G171" s="1127">
        <v>24000</v>
      </c>
      <c r="H171" s="214">
        <v>19273.29</v>
      </c>
      <c r="I171" s="159">
        <f t="shared" si="179"/>
        <v>-4726.7099999999991</v>
      </c>
      <c r="J171" s="488">
        <f t="shared" si="168"/>
        <v>-19.694624999999998</v>
      </c>
      <c r="K171" s="883">
        <v>24000</v>
      </c>
      <c r="L171" s="159">
        <v>18421.8</v>
      </c>
      <c r="M171" s="182">
        <f t="shared" si="180"/>
        <v>-5578.2000000000007</v>
      </c>
      <c r="N171" s="248">
        <f t="shared" si="169"/>
        <v>-23.2425</v>
      </c>
      <c r="O171" s="883">
        <v>24000</v>
      </c>
      <c r="P171" s="182">
        <v>20837.400000000001</v>
      </c>
      <c r="Q171" s="182">
        <f>P171-O171</f>
        <v>-3162.5999999999985</v>
      </c>
      <c r="R171" s="248">
        <f>((P171/O171)-1)*100</f>
        <v>-13.177499999999998</v>
      </c>
      <c r="S171" s="883">
        <v>24000</v>
      </c>
      <c r="T171" s="159">
        <v>23582.55</v>
      </c>
      <c r="U171" s="182">
        <f t="shared" si="181"/>
        <v>-417.45000000000073</v>
      </c>
      <c r="V171" s="488">
        <f t="shared" si="170"/>
        <v>-1.7393749999999986</v>
      </c>
      <c r="W171" s="883">
        <v>24000</v>
      </c>
      <c r="X171" s="182">
        <v>26488.29</v>
      </c>
      <c r="Y171" s="159">
        <f t="shared" si="182"/>
        <v>2488.2900000000009</v>
      </c>
      <c r="Z171" s="248">
        <f t="shared" si="171"/>
        <v>10.367875000000005</v>
      </c>
      <c r="AA171" s="883">
        <v>24000</v>
      </c>
      <c r="AB171" s="990">
        <v>27510.44</v>
      </c>
      <c r="AC171" s="182">
        <f t="shared" si="183"/>
        <v>3510.4399999999987</v>
      </c>
      <c r="AD171" s="488">
        <f t="shared" si="172"/>
        <v>14.626833333333323</v>
      </c>
      <c r="AE171" s="883">
        <v>24000</v>
      </c>
      <c r="AF171" s="214">
        <v>30427.33</v>
      </c>
      <c r="AG171" s="182">
        <f t="shared" si="164"/>
        <v>6427.3300000000017</v>
      </c>
      <c r="AH171" s="248">
        <f t="shared" si="173"/>
        <v>26.780541666666679</v>
      </c>
      <c r="AI171" s="883">
        <v>24000</v>
      </c>
      <c r="AJ171" s="1128">
        <v>27063.16</v>
      </c>
      <c r="AK171" s="182">
        <f t="shared" si="165"/>
        <v>3063.16</v>
      </c>
      <c r="AL171" s="488">
        <f t="shared" si="174"/>
        <v>12.76316666666666</v>
      </c>
      <c r="AM171" s="883">
        <v>24000</v>
      </c>
      <c r="AN171" s="1128">
        <v>28156.53</v>
      </c>
      <c r="AO171" s="182">
        <f t="shared" si="166"/>
        <v>4156.5299999999988</v>
      </c>
      <c r="AP171" s="488">
        <f t="shared" si="175"/>
        <v>17.318874999999998</v>
      </c>
      <c r="AQ171" s="883">
        <v>24000</v>
      </c>
      <c r="AR171" s="990"/>
      <c r="AS171" s="159">
        <f t="shared" si="167"/>
        <v>-24000</v>
      </c>
      <c r="AT171" s="488">
        <f t="shared" si="176"/>
        <v>-100</v>
      </c>
      <c r="AU171" s="883">
        <v>24000</v>
      </c>
      <c r="AV171" s="1128"/>
      <c r="AW171" s="1128">
        <f t="shared" si="184"/>
        <v>-24000</v>
      </c>
      <c r="AX171" s="1129">
        <f t="shared" si="177"/>
        <v>-100</v>
      </c>
      <c r="AY171" s="1130">
        <f t="shared" si="178"/>
        <v>288000</v>
      </c>
      <c r="AZ171" s="867">
        <f>SUM(D171+H171+L171+P171+T171+X171+AB171+AF171+AJ171+AN171+AR171+AV171)</f>
        <v>242101.83000000002</v>
      </c>
      <c r="BA171" s="398">
        <f t="shared" si="158"/>
        <v>24210.183000000001</v>
      </c>
    </row>
    <row r="172" spans="1:55" s="119" customFormat="1" ht="18" customHeight="1" thickBot="1" x14ac:dyDescent="0.3">
      <c r="A172" s="161"/>
      <c r="C172" s="334"/>
      <c r="D172" s="414"/>
      <c r="E172" s="118"/>
      <c r="F172" s="12"/>
      <c r="H172" s="118"/>
      <c r="I172" s="118"/>
      <c r="M172" s="118"/>
      <c r="Q172" s="118"/>
      <c r="U172" s="118"/>
      <c r="BA172" s="398">
        <f t="shared" si="158"/>
        <v>0</v>
      </c>
    </row>
    <row r="173" spans="1:55" s="551" customFormat="1" ht="18" customHeight="1" thickBot="1" x14ac:dyDescent="0.3">
      <c r="A173" s="557"/>
      <c r="B173" s="559" t="s">
        <v>172</v>
      </c>
      <c r="C173" s="478">
        <f>SUM(C174:C204)</f>
        <v>1138073</v>
      </c>
      <c r="D173" s="532">
        <f>SUM(D174:D204)</f>
        <v>986312.8</v>
      </c>
      <c r="E173" s="530">
        <f t="shared" ref="E173:E205" si="188">D173-C173</f>
        <v>-151760.19999999995</v>
      </c>
      <c r="F173" s="533">
        <f t="shared" ref="F173:F192" si="189">((D173/C173)-1)*100</f>
        <v>-13.334838802080352</v>
      </c>
      <c r="G173" s="534">
        <f>SUM(G174:G204)</f>
        <v>1138073</v>
      </c>
      <c r="H173" s="392">
        <f>SUM(H174:H204)</f>
        <v>1050012.1299999999</v>
      </c>
      <c r="I173" s="392">
        <f>H173-G173</f>
        <v>-88060.870000000112</v>
      </c>
      <c r="J173" s="562">
        <f>((H173/G173)-1)*100</f>
        <v>-7.7377171763147068</v>
      </c>
      <c r="K173" s="478">
        <f>SUM(K174:K204)</f>
        <v>1138073</v>
      </c>
      <c r="L173" s="392">
        <f>SUM(L174:L205)</f>
        <v>907662.8</v>
      </c>
      <c r="M173" s="392">
        <f>L173-K173</f>
        <v>-230410.19999999995</v>
      </c>
      <c r="N173" s="393">
        <f>((L173/K173)-1)*100</f>
        <v>-20.245643293532133</v>
      </c>
      <c r="O173" s="534">
        <f>SUM(O174:O203)</f>
        <v>1135473</v>
      </c>
      <c r="P173" s="392">
        <f>SUM(P174:P205)</f>
        <v>2387831.1699999995</v>
      </c>
      <c r="Q173" s="392">
        <f>P173-O173</f>
        <v>1252358.1699999995</v>
      </c>
      <c r="R173" s="562">
        <f>((P173/O173)-1)*100</f>
        <v>110.29396295640667</v>
      </c>
      <c r="S173" s="478">
        <f>SUM(S174:S204)</f>
        <v>1134573</v>
      </c>
      <c r="T173" s="392">
        <f>SUM(T174:T204)</f>
        <v>2439993.2199999997</v>
      </c>
      <c r="U173" s="392">
        <f>T173-S173</f>
        <v>1305420.2199999997</v>
      </c>
      <c r="V173" s="393">
        <f>((T173/S173)-1)*100</f>
        <v>115.05828360096703</v>
      </c>
      <c r="W173" s="478">
        <f>SUM(W174:W204)</f>
        <v>1134573</v>
      </c>
      <c r="X173" s="392">
        <f>SUM(X174:X204)</f>
        <v>3133319.919999999</v>
      </c>
      <c r="Y173" s="392">
        <f>X173-W173</f>
        <v>1998746.919999999</v>
      </c>
      <c r="Z173" s="393">
        <f>((X173/W173)-1)*100</f>
        <v>176.16732638622628</v>
      </c>
      <c r="AA173" s="534">
        <f>SUM(AA174:AA203)</f>
        <v>1085473</v>
      </c>
      <c r="AB173" s="392">
        <f>SUM(AB174:AB204)</f>
        <v>2489904.4000000004</v>
      </c>
      <c r="AC173" s="392">
        <f>AB173-AA173</f>
        <v>1404431.4000000004</v>
      </c>
      <c r="AD173" s="562">
        <f>((AB173/AA173)-1)*100</f>
        <v>129.38427763749081</v>
      </c>
      <c r="AE173" s="478">
        <f>SUM(AE174:AE203)</f>
        <v>1085473</v>
      </c>
      <c r="AF173" s="392">
        <f>SUM(AF174:AF204)</f>
        <v>2689821.9799999991</v>
      </c>
      <c r="AG173" s="392">
        <f>AF173-AE173</f>
        <v>1604348.9799999991</v>
      </c>
      <c r="AH173" s="393">
        <f>((AF173/AE173)-1)*100</f>
        <v>147.80183201240371</v>
      </c>
      <c r="AI173" s="395">
        <f>SUM(AI174:AI203)</f>
        <v>1085473</v>
      </c>
      <c r="AJ173" s="396">
        <f>SUM(AJ174:AJ205)</f>
        <v>2839778.1799999997</v>
      </c>
      <c r="AK173" s="392">
        <f>AJ173-AI173</f>
        <v>1754305.1799999997</v>
      </c>
      <c r="AL173" s="562">
        <f>((AJ173/AI173)-1)*100</f>
        <v>161.61665743873868</v>
      </c>
      <c r="AM173" s="487">
        <f>SUM(AM174:AM203)</f>
        <v>1085473</v>
      </c>
      <c r="AN173" s="396">
        <f>SUM(AN174:AN205)</f>
        <v>1763975.7599999998</v>
      </c>
      <c r="AO173" s="392">
        <f>AN173-AM173</f>
        <v>678502.75999999978</v>
      </c>
      <c r="AP173" s="393">
        <f>((AN173/AM173)-1)*100</f>
        <v>62.507566747399501</v>
      </c>
      <c r="AQ173" s="395">
        <f>SUM(AQ174:AQ203)</f>
        <v>1085473</v>
      </c>
      <c r="AR173" s="396">
        <f>SUM(AR174:AR203)</f>
        <v>0</v>
      </c>
      <c r="AS173" s="392">
        <f>AR173-AQ173</f>
        <v>-1085473</v>
      </c>
      <c r="AT173" s="562">
        <f>((AR173/AQ173)-1)*100</f>
        <v>-100</v>
      </c>
      <c r="AU173" s="487">
        <f>SUM(AU174:AU203)</f>
        <v>1085473</v>
      </c>
      <c r="AV173" s="396">
        <f>SUM(AV174:AV203)</f>
        <v>0</v>
      </c>
      <c r="AW173" s="392">
        <f>AV173-AU173</f>
        <v>-1085473</v>
      </c>
      <c r="AX173" s="393">
        <f>((AV173/AU173)-1)*100</f>
        <v>-100</v>
      </c>
      <c r="AY173" s="487">
        <f>C173+G173+K173+O173+S173+W173+AA173+AE173+AI173+AM173+AQ173+AU173</f>
        <v>13331676</v>
      </c>
      <c r="AZ173" s="397">
        <f>SUM(D173+H173+L173+P173+T173+X173+AB173+AF173+AJ173+AN173+AR173+AV173)</f>
        <v>20688612.359999999</v>
      </c>
      <c r="BA173" s="398">
        <f t="shared" si="158"/>
        <v>2068861.236</v>
      </c>
    </row>
    <row r="174" spans="1:55" s="119" customFormat="1" ht="18" customHeight="1" x14ac:dyDescent="0.25">
      <c r="A174" s="170" t="s">
        <v>96</v>
      </c>
      <c r="B174" s="189" t="s">
        <v>97</v>
      </c>
      <c r="C174" s="439">
        <v>185000</v>
      </c>
      <c r="D174" s="99">
        <f>138991.43+41809.3</f>
        <v>180800.72999999998</v>
      </c>
      <c r="E174" s="489">
        <f t="shared" si="188"/>
        <v>-4199.2700000000186</v>
      </c>
      <c r="F174" s="445">
        <f t="shared" si="189"/>
        <v>-2.269875675675681</v>
      </c>
      <c r="G174" s="100">
        <v>185000</v>
      </c>
      <c r="H174" s="99">
        <f>145873.13+41809.29</f>
        <v>187682.42</v>
      </c>
      <c r="I174" s="99">
        <f>H174-G174</f>
        <v>2682.4200000000128</v>
      </c>
      <c r="J174" s="446">
        <f>((H174/G174)-1)*100</f>
        <v>1.4499567567567651</v>
      </c>
      <c r="K174" s="439">
        <v>185000</v>
      </c>
      <c r="L174" s="99">
        <v>186619.74</v>
      </c>
      <c r="M174" s="99">
        <f>L174-K174</f>
        <v>1619.7399999999907</v>
      </c>
      <c r="N174" s="447">
        <f>((L174/K174)-1)*100</f>
        <v>0.87553513513511927</v>
      </c>
      <c r="O174" s="439">
        <v>185000</v>
      </c>
      <c r="P174" s="99">
        <v>184032.55</v>
      </c>
      <c r="Q174" s="99">
        <f>P174-O174</f>
        <v>-967.45000000001164</v>
      </c>
      <c r="R174" s="446">
        <f>((P174/O174)-1)*100</f>
        <v>-0.52294594594595178</v>
      </c>
      <c r="S174" s="439">
        <v>185000</v>
      </c>
      <c r="T174" s="99">
        <v>185558.23</v>
      </c>
      <c r="U174" s="99">
        <f>T174-S174</f>
        <v>558.23000000001048</v>
      </c>
      <c r="V174" s="447">
        <f>((T174/S174)-1)*100</f>
        <v>0.30174594594594151</v>
      </c>
      <c r="W174" s="439">
        <v>185000</v>
      </c>
      <c r="X174" s="137">
        <v>192805.12</v>
      </c>
      <c r="Y174" s="99">
        <f>X174-W174</f>
        <v>7805.1199999999953</v>
      </c>
      <c r="Z174" s="447">
        <f>((X174/W174)-1)*100</f>
        <v>4.2189837837837807</v>
      </c>
      <c r="AA174" s="439">
        <v>185000</v>
      </c>
      <c r="AB174" s="440">
        <v>209979.77</v>
      </c>
      <c r="AC174" s="99">
        <f>AB174-AA174</f>
        <v>24979.76999999999</v>
      </c>
      <c r="AD174" s="446">
        <f>((AB174/AA174)-1)*100</f>
        <v>13.502578378378383</v>
      </c>
      <c r="AE174" s="439">
        <v>185000</v>
      </c>
      <c r="AF174" s="439">
        <v>210347.7</v>
      </c>
      <c r="AG174" s="96">
        <f t="shared" ref="AG174:AG194" si="190">AF174-AE174</f>
        <v>25347.700000000012</v>
      </c>
      <c r="AH174" s="447">
        <f>((AF174/AE174)-1)*100</f>
        <v>13.701459459459464</v>
      </c>
      <c r="AI174" s="439">
        <v>185000</v>
      </c>
      <c r="AJ174" s="45">
        <v>211388.19</v>
      </c>
      <c r="AK174" s="96">
        <f t="shared" ref="AK174:AK205" si="191">AJ174-AI174</f>
        <v>26388.190000000002</v>
      </c>
      <c r="AL174" s="446">
        <f>((AJ174/AI174)-1)*100</f>
        <v>14.263886486486488</v>
      </c>
      <c r="AM174" s="439">
        <v>185000</v>
      </c>
      <c r="AN174" s="45">
        <v>206637.87</v>
      </c>
      <c r="AO174" s="96">
        <f t="shared" ref="AO174:AO204" si="192">AN174-AM174</f>
        <v>21637.869999999995</v>
      </c>
      <c r="AP174" s="448">
        <f>((AN174/AM174)-1)*100</f>
        <v>11.696145945945947</v>
      </c>
      <c r="AQ174" s="439">
        <v>185000</v>
      </c>
      <c r="AR174" s="440"/>
      <c r="AS174" s="96">
        <f t="shared" ref="AS174:AS204" si="193">AR174-AQ174</f>
        <v>-185000</v>
      </c>
      <c r="AT174" s="449">
        <f>((AR174/AQ174)-1)*100</f>
        <v>-100</v>
      </c>
      <c r="AU174" s="439">
        <v>185000</v>
      </c>
      <c r="AV174" s="45"/>
      <c r="AW174" s="99">
        <f>AV174-AU174</f>
        <v>-185000</v>
      </c>
      <c r="AX174" s="448">
        <f>((AV174/AU174)-1)*100</f>
        <v>-100</v>
      </c>
      <c r="AY174" s="1131">
        <f>C174+G174+K174+O174+S174+W174+AA174+AE174+AI174+AM174+AQ174+AU174</f>
        <v>2220000</v>
      </c>
      <c r="AZ174" s="194">
        <f t="shared" ref="AZ174:AZ205" si="194">SUM(D174+H174+L174+P174+T174+X174+AB174+AF174+AJ174+AN174+AR174+AV174)</f>
        <v>1955852.3199999998</v>
      </c>
      <c r="BA174" s="398">
        <f t="shared" si="158"/>
        <v>195585.23199999999</v>
      </c>
      <c r="BB174" s="805"/>
      <c r="BC174" s="804"/>
    </row>
    <row r="175" spans="1:55" s="119" customFormat="1" ht="18" customHeight="1" x14ac:dyDescent="0.25">
      <c r="A175" s="170">
        <v>33736</v>
      </c>
      <c r="B175" s="152" t="s">
        <v>98</v>
      </c>
      <c r="C175" s="212">
        <v>33000</v>
      </c>
      <c r="D175" s="87">
        <v>32771.47</v>
      </c>
      <c r="E175" s="490">
        <f t="shared" si="188"/>
        <v>-228.52999999999884</v>
      </c>
      <c r="F175" s="450">
        <f t="shared" si="189"/>
        <v>-0.69251515151514953</v>
      </c>
      <c r="G175" s="86">
        <v>33000</v>
      </c>
      <c r="H175" s="87">
        <v>32771.47</v>
      </c>
      <c r="I175" s="451">
        <f>H175-G175</f>
        <v>-228.52999999999884</v>
      </c>
      <c r="J175" s="452">
        <f t="shared" ref="J175:J202" si="195">((H175/G175)-1)*100</f>
        <v>-0.69251515151514953</v>
      </c>
      <c r="K175" s="440">
        <v>33000</v>
      </c>
      <c r="L175" s="87">
        <v>32771.47</v>
      </c>
      <c r="M175" s="451">
        <f>L175-K175</f>
        <v>-228.52999999999884</v>
      </c>
      <c r="N175" s="453">
        <f t="shared" ref="N175:N196" si="196">((L175/K175)-1)*100</f>
        <v>-0.69251515151514953</v>
      </c>
      <c r="O175" s="440">
        <v>33000</v>
      </c>
      <c r="P175" s="87">
        <v>32771.47</v>
      </c>
      <c r="Q175" s="451">
        <f>P175-O175</f>
        <v>-228.52999999999884</v>
      </c>
      <c r="R175" s="452">
        <f t="shared" ref="R175:R202" si="197">((P175/O175)-1)*100</f>
        <v>-0.69251515151514953</v>
      </c>
      <c r="S175" s="440">
        <v>33000</v>
      </c>
      <c r="T175" s="87">
        <v>32943.589999999997</v>
      </c>
      <c r="U175" s="451">
        <f>T175-S175</f>
        <v>-56.410000000003492</v>
      </c>
      <c r="V175" s="453">
        <f t="shared" ref="V175:V202" si="198">((T175/S175)-1)*100</f>
        <v>-0.1709393939394066</v>
      </c>
      <c r="W175" s="440">
        <v>33000</v>
      </c>
      <c r="X175" s="137">
        <v>32969.089999999997</v>
      </c>
      <c r="Y175" s="451">
        <f>X175-W175</f>
        <v>-30.910000000003492</v>
      </c>
      <c r="Z175" s="453">
        <f t="shared" ref="Z175:Z199" si="199">((X175/W175)-1)*100</f>
        <v>-9.3666666666680776E-2</v>
      </c>
      <c r="AA175" s="440">
        <v>33000</v>
      </c>
      <c r="AB175" s="440">
        <v>32946.089999999997</v>
      </c>
      <c r="AC175" s="451">
        <f>AB175-AA175</f>
        <v>-53.910000000003492</v>
      </c>
      <c r="AD175" s="452">
        <f t="shared" ref="AD175:AD194" si="200">((AB175/AA175)-1)*100</f>
        <v>-0.16336363636364482</v>
      </c>
      <c r="AE175" s="440">
        <v>33000</v>
      </c>
      <c r="AF175" s="440">
        <v>32946.089999999997</v>
      </c>
      <c r="AG175" s="96">
        <f t="shared" si="190"/>
        <v>-53.910000000003492</v>
      </c>
      <c r="AH175" s="453">
        <f t="shared" ref="AH175:AH194" si="201">((AF175/AE175)-1)*100</f>
        <v>-0.16336363636364482</v>
      </c>
      <c r="AI175" s="440">
        <v>33000</v>
      </c>
      <c r="AJ175" s="46">
        <v>32946.089999999997</v>
      </c>
      <c r="AK175" s="96">
        <f t="shared" si="191"/>
        <v>-53.910000000003492</v>
      </c>
      <c r="AL175" s="452">
        <f t="shared" ref="AL175:AL194" si="202">((AJ175/AI175)-1)*100</f>
        <v>-0.16336363636364482</v>
      </c>
      <c r="AM175" s="440">
        <v>33000</v>
      </c>
      <c r="AN175" s="46">
        <v>32710.93</v>
      </c>
      <c r="AO175" s="96">
        <f t="shared" si="192"/>
        <v>-289.06999999999971</v>
      </c>
      <c r="AP175" s="448">
        <f t="shared" ref="AP175:AP194" si="203">((AN175/AM175)-1)*100</f>
        <v>-0.87596969696969174</v>
      </c>
      <c r="AQ175" s="440">
        <v>33000</v>
      </c>
      <c r="AR175" s="440"/>
      <c r="AS175" s="96">
        <f t="shared" si="193"/>
        <v>-33000</v>
      </c>
      <c r="AT175" s="449">
        <f t="shared" ref="AT175:AT202" si="204">((AR175/AQ175)-1)*100</f>
        <v>-100</v>
      </c>
      <c r="AU175" s="440">
        <v>33000</v>
      </c>
      <c r="AV175" s="46"/>
      <c r="AW175" s="87">
        <f>AV175-AU175</f>
        <v>-33000</v>
      </c>
      <c r="AX175" s="448">
        <f t="shared" ref="AX175:AX202" si="205">((AV175/AU175)-1)*100</f>
        <v>-100</v>
      </c>
      <c r="AY175" s="1131">
        <f t="shared" ref="AY175:AY205" si="206">C175+G175+K175+O175+S175+W175+AA175+AE175+AI175+AM175+AQ175+AU175</f>
        <v>396000</v>
      </c>
      <c r="AZ175" s="188">
        <f t="shared" si="194"/>
        <v>328547.75999999995</v>
      </c>
      <c r="BA175" s="398">
        <f t="shared" si="158"/>
        <v>32854.775999999998</v>
      </c>
      <c r="BB175" s="805"/>
      <c r="BC175" s="804"/>
    </row>
    <row r="176" spans="1:55" s="119" customFormat="1" ht="18" customHeight="1" x14ac:dyDescent="0.25">
      <c r="A176" s="170">
        <v>11761</v>
      </c>
      <c r="B176" s="152" t="s">
        <v>99</v>
      </c>
      <c r="C176" s="212">
        <v>8000</v>
      </c>
      <c r="D176" s="87">
        <v>7341.6</v>
      </c>
      <c r="E176" s="893">
        <f t="shared" si="188"/>
        <v>-658.39999999999964</v>
      </c>
      <c r="F176" s="450">
        <f t="shared" si="189"/>
        <v>-8.2299999999999933</v>
      </c>
      <c r="G176" s="86">
        <v>8000</v>
      </c>
      <c r="H176" s="87">
        <v>7341.6</v>
      </c>
      <c r="I176" s="87">
        <f>H176-G176</f>
        <v>-658.39999999999964</v>
      </c>
      <c r="J176" s="452">
        <f t="shared" si="195"/>
        <v>-8.2299999999999933</v>
      </c>
      <c r="K176" s="440">
        <v>8000</v>
      </c>
      <c r="L176" s="87">
        <v>7341.6</v>
      </c>
      <c r="M176" s="87">
        <f>L176-K176</f>
        <v>-658.39999999999964</v>
      </c>
      <c r="N176" s="453">
        <f t="shared" si="196"/>
        <v>-8.2299999999999933</v>
      </c>
      <c r="O176" s="440">
        <v>8000</v>
      </c>
      <c r="P176" s="87">
        <v>7341.6</v>
      </c>
      <c r="Q176" s="87">
        <f>P176-O176</f>
        <v>-658.39999999999964</v>
      </c>
      <c r="R176" s="452">
        <f t="shared" si="197"/>
        <v>-8.2299999999999933</v>
      </c>
      <c r="S176" s="440">
        <v>8000</v>
      </c>
      <c r="T176" s="87">
        <v>7341.6</v>
      </c>
      <c r="U176" s="87">
        <f>T176-S176</f>
        <v>-658.39999999999964</v>
      </c>
      <c r="V176" s="453">
        <f t="shared" si="198"/>
        <v>-8.2299999999999933</v>
      </c>
      <c r="W176" s="440">
        <v>8000</v>
      </c>
      <c r="X176" s="137">
        <v>7341.61</v>
      </c>
      <c r="Y176" s="87">
        <f>X176-W176</f>
        <v>-658.39000000000033</v>
      </c>
      <c r="Z176" s="453">
        <f t="shared" si="199"/>
        <v>-8.2298750000000087</v>
      </c>
      <c r="AA176" s="440">
        <v>8000</v>
      </c>
      <c r="AB176" s="440">
        <v>7341.61</v>
      </c>
      <c r="AC176" s="87">
        <f>AB176-AA176</f>
        <v>-658.39000000000033</v>
      </c>
      <c r="AD176" s="452">
        <f t="shared" si="200"/>
        <v>-8.2298750000000087</v>
      </c>
      <c r="AE176" s="440">
        <v>8000</v>
      </c>
      <c r="AF176" s="440">
        <v>7341.61</v>
      </c>
      <c r="AG176" s="96">
        <f t="shared" si="190"/>
        <v>-658.39000000000033</v>
      </c>
      <c r="AH176" s="453">
        <f t="shared" si="201"/>
        <v>-8.2298750000000087</v>
      </c>
      <c r="AI176" s="440">
        <v>8000</v>
      </c>
      <c r="AJ176" s="46">
        <v>7341.61</v>
      </c>
      <c r="AK176" s="96">
        <f t="shared" si="191"/>
        <v>-658.39000000000033</v>
      </c>
      <c r="AL176" s="452">
        <f t="shared" si="202"/>
        <v>-8.2298750000000087</v>
      </c>
      <c r="AM176" s="440">
        <v>8000</v>
      </c>
      <c r="AN176" s="46">
        <v>7341.61</v>
      </c>
      <c r="AO176" s="96">
        <f t="shared" si="192"/>
        <v>-658.39000000000033</v>
      </c>
      <c r="AP176" s="448">
        <f t="shared" si="203"/>
        <v>-8.2298750000000087</v>
      </c>
      <c r="AQ176" s="440">
        <v>8000</v>
      </c>
      <c r="AR176" s="440"/>
      <c r="AS176" s="96">
        <f t="shared" si="193"/>
        <v>-8000</v>
      </c>
      <c r="AT176" s="449">
        <f t="shared" si="204"/>
        <v>-100</v>
      </c>
      <c r="AU176" s="440">
        <v>8000</v>
      </c>
      <c r="AV176" s="46"/>
      <c r="AW176" s="87">
        <f t="shared" ref="AW176:AW204" si="207">AV176-AU176</f>
        <v>-8000</v>
      </c>
      <c r="AX176" s="448">
        <f t="shared" si="205"/>
        <v>-100</v>
      </c>
      <c r="AY176" s="1131">
        <f t="shared" si="206"/>
        <v>96000</v>
      </c>
      <c r="AZ176" s="188">
        <f t="shared" si="194"/>
        <v>73416.05</v>
      </c>
      <c r="BA176" s="398">
        <f t="shared" si="158"/>
        <v>7341.6050000000005</v>
      </c>
      <c r="BB176" s="805"/>
      <c r="BC176" s="804"/>
    </row>
    <row r="177" spans="1:55" s="119" customFormat="1" ht="18" customHeight="1" x14ac:dyDescent="0.25">
      <c r="A177" s="170" t="s">
        <v>100</v>
      </c>
      <c r="B177" s="152" t="s">
        <v>102</v>
      </c>
      <c r="C177" s="212">
        <v>3500</v>
      </c>
      <c r="D177" s="87">
        <f>14.88+62.8</f>
        <v>77.679999999999993</v>
      </c>
      <c r="E177" s="893">
        <f t="shared" si="188"/>
        <v>-3422.32</v>
      </c>
      <c r="F177" s="450">
        <f t="shared" si="189"/>
        <v>-97.780571428571434</v>
      </c>
      <c r="G177" s="86">
        <v>3500</v>
      </c>
      <c r="H177" s="87">
        <v>0</v>
      </c>
      <c r="I177" s="87">
        <f t="shared" ref="I177:I205" si="208">H177-G177</f>
        <v>-3500</v>
      </c>
      <c r="J177" s="452">
        <f t="shared" si="195"/>
        <v>-100</v>
      </c>
      <c r="K177" s="440">
        <v>3500</v>
      </c>
      <c r="L177" s="87">
        <v>14.88</v>
      </c>
      <c r="M177" s="87">
        <f t="shared" ref="M177:M202" si="209">L177-K177</f>
        <v>-3485.12</v>
      </c>
      <c r="N177" s="453">
        <f t="shared" si="196"/>
        <v>-99.574857142857141</v>
      </c>
      <c r="O177" s="440">
        <v>0</v>
      </c>
      <c r="P177" s="87">
        <v>4601.3500000000004</v>
      </c>
      <c r="Q177" s="87">
        <f t="shared" ref="Q177:Q205" si="210">P177-O177</f>
        <v>4601.3500000000004</v>
      </c>
      <c r="R177" s="452"/>
      <c r="S177" s="440">
        <v>0</v>
      </c>
      <c r="T177" s="87">
        <v>4039.26</v>
      </c>
      <c r="U177" s="87">
        <f t="shared" ref="U177:U205" si="211">T177-S177</f>
        <v>4039.26</v>
      </c>
      <c r="V177" s="453"/>
      <c r="W177" s="440">
        <v>0</v>
      </c>
      <c r="X177" s="137">
        <v>273.24</v>
      </c>
      <c r="Y177" s="87">
        <f t="shared" ref="Y177:Y204" si="212">X177-W177</f>
        <v>273.24</v>
      </c>
      <c r="Z177" s="453"/>
      <c r="AA177" s="440">
        <v>0</v>
      </c>
      <c r="AB177" s="440">
        <v>572.16</v>
      </c>
      <c r="AC177" s="87">
        <f t="shared" ref="AC177:AC194" si="213">AB177-AA177</f>
        <v>572.16</v>
      </c>
      <c r="AD177" s="452"/>
      <c r="AE177" s="440">
        <v>0</v>
      </c>
      <c r="AF177" s="440">
        <v>55.48</v>
      </c>
      <c r="AG177" s="96">
        <f t="shared" si="190"/>
        <v>55.48</v>
      </c>
      <c r="AH177" s="453"/>
      <c r="AI177" s="440">
        <v>0</v>
      </c>
      <c r="AJ177" s="46">
        <v>1099.17</v>
      </c>
      <c r="AK177" s="96">
        <f t="shared" si="191"/>
        <v>1099.17</v>
      </c>
      <c r="AL177" s="452"/>
      <c r="AM177" s="440">
        <v>0</v>
      </c>
      <c r="AN177" s="46">
        <v>669.5</v>
      </c>
      <c r="AO177" s="96">
        <f t="shared" si="192"/>
        <v>669.5</v>
      </c>
      <c r="AP177" s="448"/>
      <c r="AQ177" s="440">
        <v>0</v>
      </c>
      <c r="AR177" s="440"/>
      <c r="AS177" s="96">
        <f t="shared" si="193"/>
        <v>0</v>
      </c>
      <c r="AT177" s="449"/>
      <c r="AU177" s="440">
        <v>0</v>
      </c>
      <c r="AV177" s="46"/>
      <c r="AW177" s="87">
        <f t="shared" si="207"/>
        <v>0</v>
      </c>
      <c r="AX177" s="448"/>
      <c r="AY177" s="1131">
        <f t="shared" si="206"/>
        <v>10500</v>
      </c>
      <c r="AZ177" s="188">
        <f t="shared" si="194"/>
        <v>11402.720000000001</v>
      </c>
      <c r="BA177" s="398">
        <f t="shared" si="158"/>
        <v>1140.2720000000002</v>
      </c>
      <c r="BB177" s="805"/>
      <c r="BC177" s="804"/>
    </row>
    <row r="178" spans="1:55" s="119" customFormat="1" ht="31.5" x14ac:dyDescent="0.25">
      <c r="A178" s="170" t="s">
        <v>138</v>
      </c>
      <c r="B178" s="152" t="s">
        <v>214</v>
      </c>
      <c r="C178" s="212">
        <v>7000</v>
      </c>
      <c r="D178" s="87">
        <f>34.25+-338.84+-66.95+-96.88+0</f>
        <v>-468.41999999999996</v>
      </c>
      <c r="E178" s="893">
        <f t="shared" si="188"/>
        <v>-7468.42</v>
      </c>
      <c r="F178" s="450">
        <f t="shared" si="189"/>
        <v>-106.69171428571428</v>
      </c>
      <c r="G178" s="440">
        <v>7000</v>
      </c>
      <c r="H178" s="87">
        <f>-2547.59+-2226.3+17.66+82.77+192.83</f>
        <v>-4480.63</v>
      </c>
      <c r="I178" s="87">
        <f t="shared" si="208"/>
        <v>-11480.630000000001</v>
      </c>
      <c r="J178" s="452">
        <f t="shared" si="195"/>
        <v>-164.00900000000001</v>
      </c>
      <c r="K178" s="440">
        <v>7000</v>
      </c>
      <c r="L178" s="87">
        <v>895.41</v>
      </c>
      <c r="M178" s="87">
        <f t="shared" si="209"/>
        <v>-6104.59</v>
      </c>
      <c r="N178" s="453">
        <f t="shared" si="196"/>
        <v>-87.20842857142857</v>
      </c>
      <c r="O178" s="440">
        <v>7000</v>
      </c>
      <c r="P178" s="87">
        <v>1536.9</v>
      </c>
      <c r="Q178" s="87">
        <f t="shared" si="210"/>
        <v>-5463.1</v>
      </c>
      <c r="R178" s="452">
        <f t="shared" si="197"/>
        <v>-78.044285714285706</v>
      </c>
      <c r="S178" s="440">
        <v>7000</v>
      </c>
      <c r="T178" s="87">
        <v>560.89</v>
      </c>
      <c r="U178" s="87">
        <f t="shared" si="211"/>
        <v>-6439.11</v>
      </c>
      <c r="V178" s="453">
        <f t="shared" si="198"/>
        <v>-91.987285714285719</v>
      </c>
      <c r="W178" s="440">
        <v>7000</v>
      </c>
      <c r="X178" s="137">
        <v>926.94</v>
      </c>
      <c r="Y178" s="87">
        <f t="shared" si="212"/>
        <v>-6073.0599999999995</v>
      </c>
      <c r="Z178" s="453">
        <f t="shared" si="199"/>
        <v>-86.757999999999996</v>
      </c>
      <c r="AA178" s="440">
        <v>7000</v>
      </c>
      <c r="AB178" s="440">
        <v>1200.02</v>
      </c>
      <c r="AC178" s="87">
        <f t="shared" si="213"/>
        <v>-5799.98</v>
      </c>
      <c r="AD178" s="452">
        <f t="shared" si="200"/>
        <v>-82.856857142857137</v>
      </c>
      <c r="AE178" s="440">
        <v>7000</v>
      </c>
      <c r="AF178" s="440">
        <v>4441.6099999999997</v>
      </c>
      <c r="AG178" s="96">
        <f t="shared" si="190"/>
        <v>-2558.3900000000003</v>
      </c>
      <c r="AH178" s="453">
        <f t="shared" si="201"/>
        <v>-36.548428571428573</v>
      </c>
      <c r="AI178" s="440">
        <v>7000</v>
      </c>
      <c r="AJ178" s="46">
        <v>1897.15</v>
      </c>
      <c r="AK178" s="96">
        <f t="shared" si="191"/>
        <v>-5102.8500000000004</v>
      </c>
      <c r="AL178" s="452">
        <f t="shared" si="202"/>
        <v>-72.897857142857148</v>
      </c>
      <c r="AM178" s="440">
        <v>7000</v>
      </c>
      <c r="AN178" s="46">
        <v>1585.76</v>
      </c>
      <c r="AO178" s="96">
        <f t="shared" si="192"/>
        <v>-5414.24</v>
      </c>
      <c r="AP178" s="448">
        <f t="shared" si="203"/>
        <v>-77.346285714285713</v>
      </c>
      <c r="AQ178" s="440">
        <v>7000</v>
      </c>
      <c r="AR178" s="440"/>
      <c r="AS178" s="96">
        <f t="shared" si="193"/>
        <v>-7000</v>
      </c>
      <c r="AT178" s="449">
        <f t="shared" si="204"/>
        <v>-100</v>
      </c>
      <c r="AU178" s="440">
        <v>7000</v>
      </c>
      <c r="AV178" s="46"/>
      <c r="AW178" s="87">
        <f t="shared" si="207"/>
        <v>-7000</v>
      </c>
      <c r="AX178" s="448">
        <f t="shared" si="205"/>
        <v>-100</v>
      </c>
      <c r="AY178" s="1131">
        <f t="shared" si="206"/>
        <v>84000</v>
      </c>
      <c r="AZ178" s="111">
        <f t="shared" si="194"/>
        <v>8095.6299999999992</v>
      </c>
      <c r="BA178" s="398">
        <f t="shared" si="158"/>
        <v>809.56299999999987</v>
      </c>
      <c r="BB178" s="805"/>
      <c r="BC178" s="804"/>
    </row>
    <row r="179" spans="1:55" s="119" customFormat="1" ht="31.5" x14ac:dyDescent="0.25">
      <c r="A179" s="170" t="s">
        <v>3637</v>
      </c>
      <c r="B179" s="152" t="s">
        <v>216</v>
      </c>
      <c r="C179" s="212">
        <v>670000</v>
      </c>
      <c r="D179" s="87">
        <f>457.97+1586.66+472850.06+22303.65</f>
        <v>497198.34</v>
      </c>
      <c r="E179" s="893">
        <f t="shared" si="188"/>
        <v>-172801.65999999997</v>
      </c>
      <c r="F179" s="450">
        <f t="shared" si="189"/>
        <v>-25.791292537313424</v>
      </c>
      <c r="G179" s="440">
        <v>670000</v>
      </c>
      <c r="H179" s="87">
        <f>8031.88+685.33+525266.89+20188.85</f>
        <v>554172.94999999995</v>
      </c>
      <c r="I179" s="87">
        <f t="shared" si="208"/>
        <v>-115827.05000000005</v>
      </c>
      <c r="J179" s="452">
        <f t="shared" si="195"/>
        <v>-17.287619402985076</v>
      </c>
      <c r="K179" s="440">
        <v>670000</v>
      </c>
      <c r="L179" s="87">
        <v>394003.09</v>
      </c>
      <c r="M179" s="87">
        <f t="shared" si="209"/>
        <v>-275996.90999999997</v>
      </c>
      <c r="N179" s="453">
        <f t="shared" si="196"/>
        <v>-41.193568656716415</v>
      </c>
      <c r="O179" s="440">
        <v>670000</v>
      </c>
      <c r="P179" s="87">
        <f>471008.3+1267046</f>
        <v>1738054.3</v>
      </c>
      <c r="Q179" s="87">
        <f t="shared" si="210"/>
        <v>1068054.3</v>
      </c>
      <c r="R179" s="452">
        <f t="shared" si="197"/>
        <v>159.41108955223879</v>
      </c>
      <c r="S179" s="440">
        <v>670000</v>
      </c>
      <c r="T179" s="87">
        <f>566871.7+1374767</f>
        <v>1941638.7</v>
      </c>
      <c r="U179" s="87">
        <f t="shared" si="211"/>
        <v>1271638.7</v>
      </c>
      <c r="V179" s="453">
        <f t="shared" si="198"/>
        <v>189.79682089552239</v>
      </c>
      <c r="W179" s="440">
        <v>670000</v>
      </c>
      <c r="X179" s="137">
        <v>2664156.09</v>
      </c>
      <c r="Y179" s="87">
        <f t="shared" si="212"/>
        <v>1994156.0899999999</v>
      </c>
      <c r="Z179" s="453">
        <f t="shared" si="199"/>
        <v>297.63523731343281</v>
      </c>
      <c r="AA179" s="440">
        <v>670000</v>
      </c>
      <c r="AB179" s="440">
        <v>1915920.85</v>
      </c>
      <c r="AC179" s="984">
        <f t="shared" si="213"/>
        <v>1245920.8500000001</v>
      </c>
      <c r="AD179" s="452">
        <f t="shared" si="200"/>
        <v>185.95833582089551</v>
      </c>
      <c r="AE179" s="440">
        <v>670000</v>
      </c>
      <c r="AF179" s="440">
        <v>2127578.65</v>
      </c>
      <c r="AG179" s="96">
        <f t="shared" si="190"/>
        <v>1457578.65</v>
      </c>
      <c r="AH179" s="453">
        <f t="shared" si="201"/>
        <v>217.54905223880593</v>
      </c>
      <c r="AI179" s="440">
        <v>670000</v>
      </c>
      <c r="AJ179" s="46">
        <v>2189559.71</v>
      </c>
      <c r="AK179" s="96">
        <f t="shared" si="191"/>
        <v>1519559.71</v>
      </c>
      <c r="AL179" s="452">
        <f t="shared" si="202"/>
        <v>226.79995671641788</v>
      </c>
      <c r="AM179" s="440">
        <v>670000</v>
      </c>
      <c r="AN179" s="46">
        <v>1230745.3</v>
      </c>
      <c r="AO179" s="96">
        <f t="shared" si="192"/>
        <v>560745.30000000005</v>
      </c>
      <c r="AP179" s="448">
        <f t="shared" si="203"/>
        <v>83.693328358208959</v>
      </c>
      <c r="AQ179" s="440">
        <v>670000</v>
      </c>
      <c r="AR179" s="440"/>
      <c r="AS179" s="96">
        <f t="shared" si="193"/>
        <v>-670000</v>
      </c>
      <c r="AT179" s="449">
        <f t="shared" si="204"/>
        <v>-100</v>
      </c>
      <c r="AU179" s="440">
        <v>670000</v>
      </c>
      <c r="AV179" s="46"/>
      <c r="AW179" s="87">
        <f t="shared" si="207"/>
        <v>-670000</v>
      </c>
      <c r="AX179" s="448">
        <f t="shared" si="205"/>
        <v>-100</v>
      </c>
      <c r="AY179" s="1131">
        <f t="shared" si="206"/>
        <v>8040000</v>
      </c>
      <c r="AZ179" s="188">
        <f t="shared" si="194"/>
        <v>15253027.98</v>
      </c>
      <c r="BA179" s="398">
        <f t="shared" si="158"/>
        <v>1525302.798</v>
      </c>
      <c r="BB179" s="805"/>
      <c r="BC179" s="804"/>
    </row>
    <row r="180" spans="1:55" s="119" customFormat="1" ht="18" customHeight="1" x14ac:dyDescent="0.25">
      <c r="A180" s="170">
        <v>12867</v>
      </c>
      <c r="B180" s="152" t="s">
        <v>3711</v>
      </c>
      <c r="C180" s="212">
        <v>15000</v>
      </c>
      <c r="D180" s="87">
        <v>15597.37</v>
      </c>
      <c r="E180" s="893">
        <f t="shared" si="188"/>
        <v>597.3700000000008</v>
      </c>
      <c r="F180" s="450">
        <f t="shared" si="189"/>
        <v>3.9824666666666619</v>
      </c>
      <c r="G180" s="86">
        <v>15000</v>
      </c>
      <c r="H180" s="87">
        <v>14576.66</v>
      </c>
      <c r="I180" s="87">
        <f t="shared" si="208"/>
        <v>-423.34000000000015</v>
      </c>
      <c r="J180" s="452">
        <f t="shared" si="195"/>
        <v>-2.8222666666666729</v>
      </c>
      <c r="K180" s="440">
        <v>15000</v>
      </c>
      <c r="L180" s="87">
        <v>26935.46</v>
      </c>
      <c r="M180" s="87">
        <f t="shared" si="209"/>
        <v>11935.46</v>
      </c>
      <c r="N180" s="453">
        <f t="shared" si="196"/>
        <v>79.569733333333332</v>
      </c>
      <c r="O180" s="440">
        <v>15000</v>
      </c>
      <c r="P180" s="87">
        <v>21229.88</v>
      </c>
      <c r="Q180" s="87">
        <f t="shared" si="210"/>
        <v>6229.880000000001</v>
      </c>
      <c r="R180" s="452">
        <f t="shared" si="197"/>
        <v>41.532533333333333</v>
      </c>
      <c r="S180" s="440">
        <v>15000</v>
      </c>
      <c r="T180" s="87">
        <v>21047.66</v>
      </c>
      <c r="U180" s="87">
        <f t="shared" si="211"/>
        <v>6047.66</v>
      </c>
      <c r="V180" s="453">
        <f t="shared" si="198"/>
        <v>40.317733333333329</v>
      </c>
      <c r="W180" s="440">
        <v>15000</v>
      </c>
      <c r="X180" s="137">
        <v>22469.98</v>
      </c>
      <c r="Y180" s="87">
        <f t="shared" si="212"/>
        <v>7469.98</v>
      </c>
      <c r="Z180" s="453">
        <f t="shared" si="199"/>
        <v>49.799866666666674</v>
      </c>
      <c r="AA180" s="440">
        <v>15000</v>
      </c>
      <c r="AB180" s="440">
        <v>23178.99</v>
      </c>
      <c r="AC180" s="87">
        <f t="shared" si="213"/>
        <v>8178.9900000000016</v>
      </c>
      <c r="AD180" s="452">
        <f t="shared" si="200"/>
        <v>54.526600000000002</v>
      </c>
      <c r="AE180" s="440">
        <v>15000</v>
      </c>
      <c r="AF180" s="440">
        <v>21192.07</v>
      </c>
      <c r="AG180" s="96">
        <f t="shared" si="190"/>
        <v>6192.07</v>
      </c>
      <c r="AH180" s="453">
        <f t="shared" si="201"/>
        <v>41.280466666666669</v>
      </c>
      <c r="AI180" s="440">
        <v>15000</v>
      </c>
      <c r="AJ180" s="46">
        <v>20508.04</v>
      </c>
      <c r="AK180" s="96">
        <f t="shared" si="191"/>
        <v>5508.0400000000009</v>
      </c>
      <c r="AL180" s="452">
        <f t="shared" si="202"/>
        <v>36.720266666666681</v>
      </c>
      <c r="AM180" s="440">
        <v>15000</v>
      </c>
      <c r="AN180" s="46">
        <v>19147.39</v>
      </c>
      <c r="AO180" s="96">
        <f t="shared" si="192"/>
        <v>4147.3899999999994</v>
      </c>
      <c r="AP180" s="448">
        <f t="shared" si="203"/>
        <v>27.649266666666673</v>
      </c>
      <c r="AQ180" s="440">
        <v>15000</v>
      </c>
      <c r="AR180" s="440"/>
      <c r="AS180" s="96">
        <f t="shared" si="193"/>
        <v>-15000</v>
      </c>
      <c r="AT180" s="449">
        <f t="shared" si="204"/>
        <v>-100</v>
      </c>
      <c r="AU180" s="440">
        <v>15000</v>
      </c>
      <c r="AV180" s="46"/>
      <c r="AW180" s="87">
        <f t="shared" si="207"/>
        <v>-15000</v>
      </c>
      <c r="AX180" s="448">
        <f t="shared" si="205"/>
        <v>-100</v>
      </c>
      <c r="AY180" s="1131">
        <f t="shared" si="206"/>
        <v>180000</v>
      </c>
      <c r="AZ180" s="188">
        <f t="shared" si="194"/>
        <v>205883.5</v>
      </c>
      <c r="BA180" s="398">
        <f t="shared" si="158"/>
        <v>20588.349999999999</v>
      </c>
      <c r="BB180" s="805"/>
      <c r="BC180" s="804"/>
    </row>
    <row r="181" spans="1:55" s="119" customFormat="1" ht="18" customHeight="1" x14ac:dyDescent="0.25">
      <c r="A181" s="170">
        <v>11510</v>
      </c>
      <c r="B181" s="152" t="s">
        <v>105</v>
      </c>
      <c r="C181" s="212">
        <v>6000</v>
      </c>
      <c r="D181" s="87">
        <v>0</v>
      </c>
      <c r="E181" s="893">
        <f t="shared" si="188"/>
        <v>-6000</v>
      </c>
      <c r="F181" s="450">
        <f t="shared" si="189"/>
        <v>-100</v>
      </c>
      <c r="G181" s="86">
        <v>6000</v>
      </c>
      <c r="H181" s="87">
        <v>26500</v>
      </c>
      <c r="I181" s="87">
        <f t="shared" si="208"/>
        <v>20500</v>
      </c>
      <c r="J181" s="452">
        <f t="shared" si="195"/>
        <v>341.66666666666669</v>
      </c>
      <c r="K181" s="440">
        <v>6000</v>
      </c>
      <c r="L181" s="87">
        <v>26500</v>
      </c>
      <c r="M181" s="87">
        <f t="shared" si="209"/>
        <v>20500</v>
      </c>
      <c r="N181" s="453">
        <f t="shared" si="196"/>
        <v>341.66666666666669</v>
      </c>
      <c r="O181" s="440">
        <v>6000</v>
      </c>
      <c r="P181" s="87">
        <v>126500</v>
      </c>
      <c r="Q181" s="87">
        <f t="shared" si="210"/>
        <v>120500</v>
      </c>
      <c r="R181" s="452">
        <f t="shared" si="197"/>
        <v>2008.3333333333333</v>
      </c>
      <c r="S181" s="440">
        <v>6000</v>
      </c>
      <c r="T181" s="87">
        <v>11500</v>
      </c>
      <c r="U181" s="87">
        <f t="shared" si="211"/>
        <v>5500</v>
      </c>
      <c r="V181" s="453">
        <f t="shared" si="198"/>
        <v>91.666666666666671</v>
      </c>
      <c r="W181" s="440">
        <v>6000</v>
      </c>
      <c r="X181" s="137">
        <v>11500</v>
      </c>
      <c r="Y181" s="87">
        <f t="shared" si="212"/>
        <v>5500</v>
      </c>
      <c r="Z181" s="453">
        <f t="shared" si="199"/>
        <v>91.666666666666671</v>
      </c>
      <c r="AA181" s="440">
        <v>6000</v>
      </c>
      <c r="AB181" s="440">
        <v>11500</v>
      </c>
      <c r="AC181" s="87">
        <f t="shared" si="213"/>
        <v>5500</v>
      </c>
      <c r="AD181" s="452">
        <f t="shared" si="200"/>
        <v>91.666666666666671</v>
      </c>
      <c r="AE181" s="440">
        <v>6000</v>
      </c>
      <c r="AF181" s="440">
        <v>11500</v>
      </c>
      <c r="AG181" s="96">
        <f t="shared" si="190"/>
        <v>5500</v>
      </c>
      <c r="AH181" s="453">
        <f t="shared" si="201"/>
        <v>91.666666666666671</v>
      </c>
      <c r="AI181" s="440">
        <v>6000</v>
      </c>
      <c r="AJ181" s="46">
        <v>11500</v>
      </c>
      <c r="AK181" s="96">
        <f t="shared" si="191"/>
        <v>5500</v>
      </c>
      <c r="AL181" s="452">
        <f t="shared" si="202"/>
        <v>91.666666666666671</v>
      </c>
      <c r="AM181" s="440">
        <v>6000</v>
      </c>
      <c r="AN181" s="46">
        <v>11500</v>
      </c>
      <c r="AO181" s="96">
        <f t="shared" si="192"/>
        <v>5500</v>
      </c>
      <c r="AP181" s="448">
        <f t="shared" si="203"/>
        <v>91.666666666666671</v>
      </c>
      <c r="AQ181" s="440">
        <v>6000</v>
      </c>
      <c r="AR181" s="440"/>
      <c r="AS181" s="96">
        <f t="shared" si="193"/>
        <v>-6000</v>
      </c>
      <c r="AT181" s="449">
        <f t="shared" si="204"/>
        <v>-100</v>
      </c>
      <c r="AU181" s="440">
        <v>6000</v>
      </c>
      <c r="AV181" s="46"/>
      <c r="AW181" s="87">
        <f t="shared" si="207"/>
        <v>-6000</v>
      </c>
      <c r="AX181" s="448">
        <f t="shared" si="205"/>
        <v>-100</v>
      </c>
      <c r="AY181" s="1131">
        <f t="shared" si="206"/>
        <v>72000</v>
      </c>
      <c r="AZ181" s="188">
        <f t="shared" si="194"/>
        <v>248500</v>
      </c>
      <c r="BA181" s="398">
        <f t="shared" si="158"/>
        <v>24850</v>
      </c>
      <c r="BB181" s="805"/>
      <c r="BC181" s="804"/>
    </row>
    <row r="182" spans="1:55" s="119" customFormat="1" ht="18" customHeight="1" x14ac:dyDescent="0.25">
      <c r="A182" s="170" t="s">
        <v>106</v>
      </c>
      <c r="B182" s="152" t="s">
        <v>217</v>
      </c>
      <c r="C182" s="212">
        <v>5000</v>
      </c>
      <c r="D182" s="87">
        <f>18876.03+739.74</f>
        <v>19615.77</v>
      </c>
      <c r="E182" s="893">
        <f t="shared" si="188"/>
        <v>14615.77</v>
      </c>
      <c r="F182" s="450">
        <f t="shared" si="189"/>
        <v>292.31540000000001</v>
      </c>
      <c r="G182" s="86">
        <v>5000</v>
      </c>
      <c r="H182" s="87">
        <f>4628.51+8.69</f>
        <v>4637.2</v>
      </c>
      <c r="I182" s="87">
        <f t="shared" si="208"/>
        <v>-362.80000000000018</v>
      </c>
      <c r="J182" s="452">
        <f t="shared" si="195"/>
        <v>-7.2560000000000073</v>
      </c>
      <c r="K182" s="440">
        <v>5000</v>
      </c>
      <c r="L182" s="87">
        <v>8068.54</v>
      </c>
      <c r="M182" s="87">
        <f t="shared" si="209"/>
        <v>3068.54</v>
      </c>
      <c r="N182" s="453">
        <f t="shared" si="196"/>
        <v>61.370799999999988</v>
      </c>
      <c r="O182" s="440">
        <v>5000</v>
      </c>
      <c r="P182" s="87">
        <v>9419.75</v>
      </c>
      <c r="Q182" s="87">
        <f t="shared" si="210"/>
        <v>4419.75</v>
      </c>
      <c r="R182" s="452">
        <f t="shared" si="197"/>
        <v>88.394999999999996</v>
      </c>
      <c r="S182" s="440">
        <v>5000</v>
      </c>
      <c r="T182" s="87">
        <v>5020.1400000000003</v>
      </c>
      <c r="U182" s="87">
        <f t="shared" si="211"/>
        <v>20.140000000000327</v>
      </c>
      <c r="V182" s="453">
        <f t="shared" si="198"/>
        <v>0.40280000000001426</v>
      </c>
      <c r="W182" s="440">
        <v>5000</v>
      </c>
      <c r="X182" s="137">
        <v>3350.01</v>
      </c>
      <c r="Y182" s="87">
        <f t="shared" si="212"/>
        <v>-1649.9899999999998</v>
      </c>
      <c r="Z182" s="453">
        <f t="shared" si="199"/>
        <v>-32.999799999999993</v>
      </c>
      <c r="AA182" s="440">
        <v>5000</v>
      </c>
      <c r="AB182" s="440">
        <v>14991.49</v>
      </c>
      <c r="AC182" s="87">
        <f t="shared" si="213"/>
        <v>9991.49</v>
      </c>
      <c r="AD182" s="452">
        <f t="shared" si="200"/>
        <v>199.82980000000001</v>
      </c>
      <c r="AE182" s="440">
        <v>5000</v>
      </c>
      <c r="AF182" s="440">
        <v>4980.3900000000003</v>
      </c>
      <c r="AG182" s="96">
        <f t="shared" si="190"/>
        <v>-19.609999999999673</v>
      </c>
      <c r="AH182" s="453">
        <f t="shared" si="201"/>
        <v>-0.39219999999999811</v>
      </c>
      <c r="AI182" s="440">
        <v>5000</v>
      </c>
      <c r="AJ182" s="46">
        <v>6169.76</v>
      </c>
      <c r="AK182" s="96">
        <f t="shared" si="191"/>
        <v>1169.7600000000002</v>
      </c>
      <c r="AL182" s="452">
        <f t="shared" si="202"/>
        <v>23.395199999999996</v>
      </c>
      <c r="AM182" s="440">
        <v>5000</v>
      </c>
      <c r="AN182" s="46">
        <v>8129.16</v>
      </c>
      <c r="AO182" s="96">
        <f t="shared" si="192"/>
        <v>3129.16</v>
      </c>
      <c r="AP182" s="448">
        <f t="shared" si="203"/>
        <v>62.583199999999991</v>
      </c>
      <c r="AQ182" s="440">
        <v>5000</v>
      </c>
      <c r="AR182" s="440"/>
      <c r="AS182" s="96">
        <f t="shared" si="193"/>
        <v>-5000</v>
      </c>
      <c r="AT182" s="449">
        <f t="shared" si="204"/>
        <v>-100</v>
      </c>
      <c r="AU182" s="440">
        <v>5000</v>
      </c>
      <c r="AV182" s="46"/>
      <c r="AW182" s="87">
        <f t="shared" si="207"/>
        <v>-5000</v>
      </c>
      <c r="AX182" s="448">
        <f t="shared" si="205"/>
        <v>-100</v>
      </c>
      <c r="AY182" s="1131">
        <f t="shared" si="206"/>
        <v>60000</v>
      </c>
      <c r="AZ182" s="188">
        <f t="shared" si="194"/>
        <v>84382.21</v>
      </c>
      <c r="BA182" s="398">
        <f t="shared" si="158"/>
        <v>8438.2210000000014</v>
      </c>
      <c r="BB182" s="805"/>
      <c r="BC182" s="804"/>
    </row>
    <row r="183" spans="1:55" s="119" customFormat="1" ht="18" customHeight="1" x14ac:dyDescent="0.25">
      <c r="A183" s="170">
        <v>11669</v>
      </c>
      <c r="B183" s="152" t="s">
        <v>334</v>
      </c>
      <c r="C183" s="212">
        <v>1800</v>
      </c>
      <c r="D183" s="87">
        <v>2000</v>
      </c>
      <c r="E183" s="893">
        <f t="shared" si="188"/>
        <v>200</v>
      </c>
      <c r="F183" s="450">
        <f t="shared" si="189"/>
        <v>11.111111111111116</v>
      </c>
      <c r="G183" s="86">
        <v>1800</v>
      </c>
      <c r="H183" s="87">
        <v>2000</v>
      </c>
      <c r="I183" s="87">
        <f t="shared" si="208"/>
        <v>200</v>
      </c>
      <c r="J183" s="452">
        <f t="shared" si="195"/>
        <v>11.111111111111116</v>
      </c>
      <c r="K183" s="440">
        <v>1800</v>
      </c>
      <c r="L183" s="87">
        <v>2065.7399999999998</v>
      </c>
      <c r="M183" s="87">
        <f t="shared" si="209"/>
        <v>265.73999999999978</v>
      </c>
      <c r="N183" s="453">
        <f t="shared" si="196"/>
        <v>14.763333333333328</v>
      </c>
      <c r="O183" s="440">
        <v>1800</v>
      </c>
      <c r="P183" s="87">
        <v>2217.37</v>
      </c>
      <c r="Q183" s="87">
        <f t="shared" si="210"/>
        <v>417.36999999999989</v>
      </c>
      <c r="R183" s="452">
        <f t="shared" si="197"/>
        <v>23.187222222222225</v>
      </c>
      <c r="S183" s="440">
        <v>1800</v>
      </c>
      <c r="T183" s="87">
        <v>4040.19</v>
      </c>
      <c r="U183" s="87">
        <f t="shared" si="211"/>
        <v>2240.19</v>
      </c>
      <c r="V183" s="453">
        <f t="shared" si="198"/>
        <v>124.45499999999998</v>
      </c>
      <c r="W183" s="440">
        <v>1800</v>
      </c>
      <c r="X183" s="137">
        <v>0</v>
      </c>
      <c r="Y183" s="87">
        <f t="shared" si="212"/>
        <v>-1800</v>
      </c>
      <c r="Z183" s="453">
        <f t="shared" si="199"/>
        <v>-100</v>
      </c>
      <c r="AA183" s="440">
        <v>1800</v>
      </c>
      <c r="AB183" s="440">
        <v>2094.2600000000002</v>
      </c>
      <c r="AC183" s="87">
        <f t="shared" si="213"/>
        <v>294.26000000000022</v>
      </c>
      <c r="AD183" s="452">
        <f t="shared" si="200"/>
        <v>16.347777777777782</v>
      </c>
      <c r="AE183" s="440">
        <v>1800</v>
      </c>
      <c r="AF183" s="440">
        <v>2057</v>
      </c>
      <c r="AG183" s="96">
        <f t="shared" si="190"/>
        <v>257</v>
      </c>
      <c r="AH183" s="453">
        <f t="shared" si="201"/>
        <v>14.277777777777768</v>
      </c>
      <c r="AI183" s="440">
        <v>1800</v>
      </c>
      <c r="AJ183" s="46">
        <v>2080</v>
      </c>
      <c r="AK183" s="96">
        <f t="shared" si="191"/>
        <v>280</v>
      </c>
      <c r="AL183" s="452">
        <f t="shared" si="202"/>
        <v>15.555555555555545</v>
      </c>
      <c r="AM183" s="440">
        <v>1800</v>
      </c>
      <c r="AN183" s="46">
        <v>2000</v>
      </c>
      <c r="AO183" s="96">
        <f t="shared" si="192"/>
        <v>200</v>
      </c>
      <c r="AP183" s="448">
        <f t="shared" si="203"/>
        <v>11.111111111111116</v>
      </c>
      <c r="AQ183" s="440">
        <v>1800</v>
      </c>
      <c r="AR183" s="440"/>
      <c r="AS183" s="96">
        <f t="shared" si="193"/>
        <v>-1800</v>
      </c>
      <c r="AT183" s="449">
        <f t="shared" si="204"/>
        <v>-100</v>
      </c>
      <c r="AU183" s="440">
        <v>1800</v>
      </c>
      <c r="AV183" s="46"/>
      <c r="AW183" s="87">
        <f t="shared" si="207"/>
        <v>-1800</v>
      </c>
      <c r="AX183" s="448">
        <f t="shared" si="205"/>
        <v>-100</v>
      </c>
      <c r="AY183" s="1131">
        <f t="shared" si="206"/>
        <v>21600</v>
      </c>
      <c r="AZ183" s="188">
        <f t="shared" si="194"/>
        <v>20554.560000000001</v>
      </c>
      <c r="BA183" s="398">
        <f t="shared" si="158"/>
        <v>2055.4560000000001</v>
      </c>
      <c r="BB183" s="805"/>
      <c r="BC183" s="804"/>
    </row>
    <row r="184" spans="1:55" s="119" customFormat="1" ht="31.5" x14ac:dyDescent="0.25">
      <c r="A184" s="170" t="s">
        <v>3629</v>
      </c>
      <c r="B184" s="152" t="s">
        <v>3628</v>
      </c>
      <c r="C184" s="212">
        <v>10000</v>
      </c>
      <c r="D184" s="87">
        <f>0+5840+0+0</f>
        <v>5840</v>
      </c>
      <c r="E184" s="893">
        <f t="shared" si="188"/>
        <v>-4160</v>
      </c>
      <c r="F184" s="450">
        <f t="shared" si="189"/>
        <v>-41.6</v>
      </c>
      <c r="G184" s="86">
        <v>10000</v>
      </c>
      <c r="H184" s="87">
        <f>10000+27910</f>
        <v>37910</v>
      </c>
      <c r="I184" s="87">
        <f t="shared" si="208"/>
        <v>27910</v>
      </c>
      <c r="J184" s="452">
        <f t="shared" si="195"/>
        <v>279.09999999999997</v>
      </c>
      <c r="K184" s="440">
        <v>10000</v>
      </c>
      <c r="L184" s="87">
        <v>38806.54</v>
      </c>
      <c r="M184" s="87">
        <f t="shared" si="209"/>
        <v>28806.54</v>
      </c>
      <c r="N184" s="453">
        <f t="shared" si="196"/>
        <v>288.06540000000001</v>
      </c>
      <c r="O184" s="440">
        <v>10000</v>
      </c>
      <c r="P184" s="87">
        <v>3447</v>
      </c>
      <c r="Q184" s="87">
        <f t="shared" si="210"/>
        <v>-6553</v>
      </c>
      <c r="R184" s="452">
        <f t="shared" si="197"/>
        <v>-65.53</v>
      </c>
      <c r="S184" s="440">
        <v>10000</v>
      </c>
      <c r="T184" s="87">
        <v>29567</v>
      </c>
      <c r="U184" s="87">
        <f t="shared" si="211"/>
        <v>19567</v>
      </c>
      <c r="V184" s="453">
        <f t="shared" si="198"/>
        <v>195.67000000000002</v>
      </c>
      <c r="W184" s="440">
        <v>10000</v>
      </c>
      <c r="X184" s="137">
        <v>13131.5</v>
      </c>
      <c r="Y184" s="87">
        <f t="shared" si="212"/>
        <v>3131.5</v>
      </c>
      <c r="Z184" s="453">
        <f t="shared" si="199"/>
        <v>31.315000000000005</v>
      </c>
      <c r="AA184" s="440">
        <v>10000</v>
      </c>
      <c r="AB184" s="440">
        <v>5015.5</v>
      </c>
      <c r="AC184" s="87">
        <f t="shared" si="213"/>
        <v>-4984.5</v>
      </c>
      <c r="AD184" s="452">
        <f t="shared" si="200"/>
        <v>-49.844999999999992</v>
      </c>
      <c r="AE184" s="440">
        <v>10000</v>
      </c>
      <c r="AF184" s="440">
        <v>12872</v>
      </c>
      <c r="AG184" s="96">
        <f t="shared" si="190"/>
        <v>2872</v>
      </c>
      <c r="AH184" s="453">
        <f t="shared" si="201"/>
        <v>28.719999999999992</v>
      </c>
      <c r="AI184" s="440">
        <v>10000</v>
      </c>
      <c r="AJ184" s="46">
        <v>11020</v>
      </c>
      <c r="AK184" s="96">
        <f t="shared" si="191"/>
        <v>1020</v>
      </c>
      <c r="AL184" s="452">
        <f t="shared" si="202"/>
        <v>10.20000000000001</v>
      </c>
      <c r="AM184" s="440">
        <v>10000</v>
      </c>
      <c r="AN184" s="46">
        <v>56970</v>
      </c>
      <c r="AO184" s="96">
        <f t="shared" si="192"/>
        <v>46970</v>
      </c>
      <c r="AP184" s="448">
        <f t="shared" si="203"/>
        <v>469.7</v>
      </c>
      <c r="AQ184" s="440">
        <v>10000</v>
      </c>
      <c r="AR184" s="440"/>
      <c r="AS184" s="96">
        <f t="shared" si="193"/>
        <v>-10000</v>
      </c>
      <c r="AT184" s="449">
        <f t="shared" si="204"/>
        <v>-100</v>
      </c>
      <c r="AU184" s="440">
        <v>10000</v>
      </c>
      <c r="AV184" s="46"/>
      <c r="AW184" s="87">
        <f t="shared" si="207"/>
        <v>-10000</v>
      </c>
      <c r="AX184" s="448">
        <f t="shared" si="205"/>
        <v>-100</v>
      </c>
      <c r="AY184" s="1131">
        <f t="shared" si="206"/>
        <v>120000</v>
      </c>
      <c r="AZ184" s="188">
        <f t="shared" si="194"/>
        <v>214579.54</v>
      </c>
      <c r="BA184" s="398">
        <f t="shared" si="158"/>
        <v>21457.954000000002</v>
      </c>
      <c r="BB184" s="805"/>
      <c r="BC184" s="804"/>
    </row>
    <row r="185" spans="1:55" s="119" customFormat="1" ht="18" customHeight="1" x14ac:dyDescent="0.25">
      <c r="A185" s="170">
        <v>11891</v>
      </c>
      <c r="B185" s="152" t="s">
        <v>327</v>
      </c>
      <c r="C185" s="212">
        <v>0</v>
      </c>
      <c r="D185" s="87">
        <v>0</v>
      </c>
      <c r="E185" s="893">
        <f t="shared" si="188"/>
        <v>0</v>
      </c>
      <c r="F185" s="450"/>
      <c r="G185" s="440">
        <v>0</v>
      </c>
      <c r="H185" s="87">
        <v>0</v>
      </c>
      <c r="I185" s="87">
        <f t="shared" si="208"/>
        <v>0</v>
      </c>
      <c r="J185" s="452"/>
      <c r="K185" s="440">
        <v>0</v>
      </c>
      <c r="L185" s="87">
        <v>0</v>
      </c>
      <c r="M185" s="87">
        <f t="shared" si="209"/>
        <v>0</v>
      </c>
      <c r="N185" s="453"/>
      <c r="O185" s="440">
        <v>0</v>
      </c>
      <c r="P185" s="87">
        <v>0</v>
      </c>
      <c r="Q185" s="87">
        <f t="shared" si="210"/>
        <v>0</v>
      </c>
      <c r="R185" s="452"/>
      <c r="S185" s="440">
        <v>0</v>
      </c>
      <c r="T185" s="87">
        <v>0</v>
      </c>
      <c r="U185" s="87">
        <f t="shared" si="211"/>
        <v>0</v>
      </c>
      <c r="V185" s="453"/>
      <c r="W185" s="440">
        <v>0</v>
      </c>
      <c r="X185" s="137">
        <v>0</v>
      </c>
      <c r="Y185" s="87">
        <f t="shared" si="212"/>
        <v>0</v>
      </c>
      <c r="Z185" s="453"/>
      <c r="AA185" s="440">
        <v>0</v>
      </c>
      <c r="AB185" s="440">
        <v>0</v>
      </c>
      <c r="AC185" s="87">
        <f t="shared" si="213"/>
        <v>0</v>
      </c>
      <c r="AD185" s="452"/>
      <c r="AE185" s="440">
        <v>0</v>
      </c>
      <c r="AF185" s="87">
        <v>0</v>
      </c>
      <c r="AG185" s="96">
        <f t="shared" si="190"/>
        <v>0</v>
      </c>
      <c r="AH185" s="453"/>
      <c r="AI185" s="440">
        <v>0</v>
      </c>
      <c r="AJ185" s="46">
        <v>0</v>
      </c>
      <c r="AK185" s="96">
        <f t="shared" si="191"/>
        <v>0</v>
      </c>
      <c r="AL185" s="452"/>
      <c r="AM185" s="440">
        <v>0</v>
      </c>
      <c r="AN185" s="46">
        <v>0</v>
      </c>
      <c r="AO185" s="96">
        <f t="shared" si="192"/>
        <v>0</v>
      </c>
      <c r="AP185" s="448"/>
      <c r="AQ185" s="440">
        <v>0</v>
      </c>
      <c r="AR185" s="440">
        <v>0</v>
      </c>
      <c r="AS185" s="96">
        <f t="shared" si="193"/>
        <v>0</v>
      </c>
      <c r="AT185" s="449"/>
      <c r="AU185" s="440">
        <v>0</v>
      </c>
      <c r="AV185" s="46">
        <v>0</v>
      </c>
      <c r="AW185" s="87">
        <f t="shared" si="207"/>
        <v>0</v>
      </c>
      <c r="AX185" s="448"/>
      <c r="AY185" s="1131">
        <f t="shared" si="206"/>
        <v>0</v>
      </c>
      <c r="AZ185" s="188">
        <f t="shared" si="194"/>
        <v>0</v>
      </c>
      <c r="BA185" s="398">
        <f t="shared" si="158"/>
        <v>0</v>
      </c>
      <c r="BB185" s="805"/>
      <c r="BC185" s="804"/>
    </row>
    <row r="186" spans="1:55" s="119" customFormat="1" ht="18" customHeight="1" x14ac:dyDescent="0.25">
      <c r="A186" s="170">
        <v>11972</v>
      </c>
      <c r="B186" s="152" t="s">
        <v>328</v>
      </c>
      <c r="C186" s="212">
        <v>10000</v>
      </c>
      <c r="D186" s="87">
        <v>6003.08</v>
      </c>
      <c r="E186" s="893">
        <f t="shared" si="188"/>
        <v>-3996.92</v>
      </c>
      <c r="F186" s="450">
        <f t="shared" si="189"/>
        <v>-39.969200000000008</v>
      </c>
      <c r="G186" s="86">
        <v>10000</v>
      </c>
      <c r="H186" s="87">
        <v>47684.11</v>
      </c>
      <c r="I186" s="87">
        <f t="shared" si="208"/>
        <v>37684.11</v>
      </c>
      <c r="J186" s="452">
        <f t="shared" si="195"/>
        <v>376.84110000000004</v>
      </c>
      <c r="K186" s="440">
        <v>10000</v>
      </c>
      <c r="L186" s="87">
        <v>6716.77</v>
      </c>
      <c r="M186" s="87">
        <f t="shared" si="209"/>
        <v>-3283.2299999999996</v>
      </c>
      <c r="N186" s="453">
        <f t="shared" si="196"/>
        <v>-32.832299999999989</v>
      </c>
      <c r="O186" s="440">
        <v>10000</v>
      </c>
      <c r="P186" s="87">
        <v>24422.080000000002</v>
      </c>
      <c r="Q186" s="87">
        <f t="shared" si="210"/>
        <v>14422.080000000002</v>
      </c>
      <c r="R186" s="452">
        <f t="shared" si="197"/>
        <v>144.22080000000003</v>
      </c>
      <c r="S186" s="440">
        <v>10000</v>
      </c>
      <c r="T186" s="87">
        <v>11170</v>
      </c>
      <c r="U186" s="87">
        <f t="shared" si="211"/>
        <v>1170</v>
      </c>
      <c r="V186" s="453">
        <f t="shared" si="198"/>
        <v>11.7</v>
      </c>
      <c r="W186" s="440">
        <v>10000</v>
      </c>
      <c r="X186" s="137">
        <v>7100</v>
      </c>
      <c r="Y186" s="87">
        <f t="shared" si="212"/>
        <v>-2900</v>
      </c>
      <c r="Z186" s="453">
        <f t="shared" si="199"/>
        <v>-29.000000000000004</v>
      </c>
      <c r="AA186" s="440">
        <v>10000</v>
      </c>
      <c r="AB186" s="440">
        <v>36537.25</v>
      </c>
      <c r="AC186" s="87">
        <f t="shared" si="213"/>
        <v>26537.25</v>
      </c>
      <c r="AD186" s="452">
        <f t="shared" si="200"/>
        <v>265.3725</v>
      </c>
      <c r="AE186" s="440">
        <v>10000</v>
      </c>
      <c r="AF186" s="440">
        <v>17589.439999999999</v>
      </c>
      <c r="AG186" s="96">
        <f t="shared" si="190"/>
        <v>7589.4399999999987</v>
      </c>
      <c r="AH186" s="453">
        <f t="shared" si="201"/>
        <v>75.89439999999999</v>
      </c>
      <c r="AI186" s="440">
        <v>10000</v>
      </c>
      <c r="AJ186" s="46">
        <v>122991.7</v>
      </c>
      <c r="AK186" s="96">
        <f t="shared" si="191"/>
        <v>112991.7</v>
      </c>
      <c r="AL186" s="452">
        <f t="shared" si="202"/>
        <v>1129.9169999999999</v>
      </c>
      <c r="AM186" s="440">
        <v>10000</v>
      </c>
      <c r="AN186" s="46">
        <v>8090.89</v>
      </c>
      <c r="AO186" s="96">
        <f t="shared" si="192"/>
        <v>-1909.1099999999997</v>
      </c>
      <c r="AP186" s="448">
        <f t="shared" si="203"/>
        <v>-19.091099999999994</v>
      </c>
      <c r="AQ186" s="440">
        <v>10000</v>
      </c>
      <c r="AR186" s="440"/>
      <c r="AS186" s="96">
        <f t="shared" si="193"/>
        <v>-10000</v>
      </c>
      <c r="AT186" s="449">
        <f t="shared" si="204"/>
        <v>-100</v>
      </c>
      <c r="AU186" s="440">
        <v>10000</v>
      </c>
      <c r="AV186" s="46"/>
      <c r="AW186" s="87">
        <f t="shared" si="207"/>
        <v>-10000</v>
      </c>
      <c r="AX186" s="448">
        <f t="shared" si="205"/>
        <v>-100</v>
      </c>
      <c r="AY186" s="1131">
        <f t="shared" si="206"/>
        <v>120000</v>
      </c>
      <c r="AZ186" s="188">
        <f t="shared" si="194"/>
        <v>288305.32</v>
      </c>
      <c r="BA186" s="398">
        <f t="shared" si="158"/>
        <v>28830.531999999999</v>
      </c>
      <c r="BB186" s="805"/>
      <c r="BC186" s="804"/>
    </row>
    <row r="187" spans="1:55" s="552" customFormat="1" ht="18" customHeight="1" x14ac:dyDescent="0.25">
      <c r="A187" s="170" t="s">
        <v>3635</v>
      </c>
      <c r="B187" s="152" t="s">
        <v>108</v>
      </c>
      <c r="C187" s="212">
        <v>23000</v>
      </c>
      <c r="D187" s="87">
        <f>14679.68+0+5571.92</f>
        <v>20251.599999999999</v>
      </c>
      <c r="E187" s="893">
        <f t="shared" si="188"/>
        <v>-2748.4000000000015</v>
      </c>
      <c r="F187" s="450">
        <f t="shared" si="189"/>
        <v>-11.949565217391312</v>
      </c>
      <c r="G187" s="86">
        <v>23000</v>
      </c>
      <c r="H187" s="87">
        <f>14698.25+10167.73</f>
        <v>24865.98</v>
      </c>
      <c r="I187" s="87">
        <f t="shared" si="208"/>
        <v>1865.9799999999996</v>
      </c>
      <c r="J187" s="452">
        <f t="shared" si="195"/>
        <v>8.1129565217391342</v>
      </c>
      <c r="K187" s="440">
        <v>23000</v>
      </c>
      <c r="L187" s="87">
        <v>19050.900000000001</v>
      </c>
      <c r="M187" s="87">
        <f t="shared" si="209"/>
        <v>-3949.0999999999985</v>
      </c>
      <c r="N187" s="453">
        <f t="shared" si="196"/>
        <v>-17.169999999999995</v>
      </c>
      <c r="O187" s="440">
        <v>23000</v>
      </c>
      <c r="P187" s="87">
        <v>19084.63</v>
      </c>
      <c r="Q187" s="87">
        <f t="shared" si="210"/>
        <v>-3915.369999999999</v>
      </c>
      <c r="R187" s="452">
        <f t="shared" si="197"/>
        <v>-17.023347826086955</v>
      </c>
      <c r="S187" s="440">
        <v>23000</v>
      </c>
      <c r="T187" s="87">
        <v>19120.009999999998</v>
      </c>
      <c r="U187" s="87">
        <f t="shared" si="211"/>
        <v>-3879.9900000000016</v>
      </c>
      <c r="V187" s="453">
        <f t="shared" si="198"/>
        <v>-16.869521739130445</v>
      </c>
      <c r="W187" s="440">
        <v>23000</v>
      </c>
      <c r="X187" s="137">
        <v>19165.52</v>
      </c>
      <c r="Y187" s="87">
        <f t="shared" si="212"/>
        <v>-3834.4799999999996</v>
      </c>
      <c r="Z187" s="453">
        <f t="shared" si="199"/>
        <v>-16.671652173913042</v>
      </c>
      <c r="AA187" s="440">
        <v>23000</v>
      </c>
      <c r="AB187" s="440">
        <v>19217.77</v>
      </c>
      <c r="AC187" s="87">
        <f t="shared" si="213"/>
        <v>-3782.2299999999996</v>
      </c>
      <c r="AD187" s="452">
        <f t="shared" si="200"/>
        <v>-16.444478260869566</v>
      </c>
      <c r="AE187" s="440">
        <v>23000</v>
      </c>
      <c r="AF187" s="440">
        <v>19278.759999999998</v>
      </c>
      <c r="AG187" s="96">
        <f t="shared" si="190"/>
        <v>-3721.2400000000016</v>
      </c>
      <c r="AH187" s="453">
        <f t="shared" si="201"/>
        <v>-16.179304347826097</v>
      </c>
      <c r="AI187" s="440">
        <v>23000</v>
      </c>
      <c r="AJ187" s="46">
        <v>16407.919999999998</v>
      </c>
      <c r="AK187" s="96">
        <f t="shared" si="191"/>
        <v>-6592.0800000000017</v>
      </c>
      <c r="AL187" s="452">
        <f t="shared" si="202"/>
        <v>-28.661217391304351</v>
      </c>
      <c r="AM187" s="440">
        <v>23000</v>
      </c>
      <c r="AN187" s="46">
        <v>16472.02</v>
      </c>
      <c r="AO187" s="96">
        <f t="shared" si="192"/>
        <v>-6527.98</v>
      </c>
      <c r="AP187" s="448">
        <f t="shared" si="203"/>
        <v>-28.382521739130429</v>
      </c>
      <c r="AQ187" s="440">
        <v>23000</v>
      </c>
      <c r="AR187" s="440"/>
      <c r="AS187" s="96">
        <f t="shared" si="193"/>
        <v>-23000</v>
      </c>
      <c r="AT187" s="449">
        <f t="shared" si="204"/>
        <v>-100</v>
      </c>
      <c r="AU187" s="440">
        <v>23000</v>
      </c>
      <c r="AV187" s="46"/>
      <c r="AW187" s="87">
        <f t="shared" si="207"/>
        <v>-23000</v>
      </c>
      <c r="AX187" s="448">
        <f t="shared" si="205"/>
        <v>-100</v>
      </c>
      <c r="AY187" s="1131">
        <f t="shared" si="206"/>
        <v>276000</v>
      </c>
      <c r="AZ187" s="188">
        <f t="shared" si="194"/>
        <v>192915.11000000002</v>
      </c>
      <c r="BA187" s="398">
        <f t="shared" si="158"/>
        <v>19291.511000000002</v>
      </c>
      <c r="BB187" s="828"/>
      <c r="BC187" s="804"/>
    </row>
    <row r="188" spans="1:55" s="119" customFormat="1" ht="18" customHeight="1" x14ac:dyDescent="0.25">
      <c r="A188" s="170">
        <v>11983</v>
      </c>
      <c r="B188" s="152" t="s">
        <v>218</v>
      </c>
      <c r="C188" s="212">
        <v>1800</v>
      </c>
      <c r="D188" s="87">
        <v>1814.23</v>
      </c>
      <c r="E188" s="893">
        <f t="shared" si="188"/>
        <v>14.230000000000018</v>
      </c>
      <c r="F188" s="450">
        <f t="shared" si="189"/>
        <v>0.79055555555556101</v>
      </c>
      <c r="G188" s="86">
        <v>1800</v>
      </c>
      <c r="H188" s="87">
        <v>1814.23</v>
      </c>
      <c r="I188" s="87">
        <f t="shared" si="208"/>
        <v>14.230000000000018</v>
      </c>
      <c r="J188" s="452">
        <f t="shared" si="195"/>
        <v>0.79055555555556101</v>
      </c>
      <c r="K188" s="440">
        <v>1800</v>
      </c>
      <c r="L188" s="87">
        <v>1814.23</v>
      </c>
      <c r="M188" s="87">
        <f t="shared" si="209"/>
        <v>14.230000000000018</v>
      </c>
      <c r="N188" s="453">
        <f t="shared" si="196"/>
        <v>0.79055555555556101</v>
      </c>
      <c r="O188" s="440">
        <v>1800</v>
      </c>
      <c r="P188" s="87">
        <v>1814.23</v>
      </c>
      <c r="Q188" s="87">
        <f t="shared" si="210"/>
        <v>14.230000000000018</v>
      </c>
      <c r="R188" s="452">
        <f t="shared" si="197"/>
        <v>0.79055555555556101</v>
      </c>
      <c r="S188" s="440">
        <v>1800</v>
      </c>
      <c r="T188" s="87">
        <v>1814.23</v>
      </c>
      <c r="U188" s="87">
        <f t="shared" si="211"/>
        <v>14.230000000000018</v>
      </c>
      <c r="V188" s="453">
        <f t="shared" si="198"/>
        <v>0.79055555555556101</v>
      </c>
      <c r="W188" s="440">
        <v>1800</v>
      </c>
      <c r="X188" s="137">
        <v>1814.23</v>
      </c>
      <c r="Y188" s="87">
        <f t="shared" si="212"/>
        <v>14.230000000000018</v>
      </c>
      <c r="Z188" s="453">
        <f t="shared" si="199"/>
        <v>0.79055555555556101</v>
      </c>
      <c r="AA188" s="440">
        <v>1800</v>
      </c>
      <c r="AB188" s="440">
        <v>1814.23</v>
      </c>
      <c r="AC188" s="87">
        <f t="shared" si="213"/>
        <v>14.230000000000018</v>
      </c>
      <c r="AD188" s="452">
        <f t="shared" si="200"/>
        <v>0.79055555555556101</v>
      </c>
      <c r="AE188" s="440">
        <v>1800</v>
      </c>
      <c r="AF188" s="440">
        <v>1814.23</v>
      </c>
      <c r="AG188" s="96">
        <f t="shared" si="190"/>
        <v>14.230000000000018</v>
      </c>
      <c r="AH188" s="453">
        <f t="shared" si="201"/>
        <v>0.79055555555556101</v>
      </c>
      <c r="AI188" s="440">
        <v>1800</v>
      </c>
      <c r="AJ188" s="46">
        <v>2086.36</v>
      </c>
      <c r="AK188" s="96">
        <f t="shared" si="191"/>
        <v>286.36000000000013</v>
      </c>
      <c r="AL188" s="452">
        <f t="shared" si="202"/>
        <v>15.908888888888907</v>
      </c>
      <c r="AM188" s="440">
        <v>1800</v>
      </c>
      <c r="AN188" s="46">
        <v>2086.36</v>
      </c>
      <c r="AO188" s="96">
        <f t="shared" si="192"/>
        <v>286.36000000000013</v>
      </c>
      <c r="AP188" s="448">
        <f t="shared" si="203"/>
        <v>15.908888888888907</v>
      </c>
      <c r="AQ188" s="440">
        <v>1800</v>
      </c>
      <c r="AR188" s="440"/>
      <c r="AS188" s="96">
        <f t="shared" si="193"/>
        <v>-1800</v>
      </c>
      <c r="AT188" s="449">
        <f t="shared" si="204"/>
        <v>-100</v>
      </c>
      <c r="AU188" s="440">
        <v>1800</v>
      </c>
      <c r="AV188" s="46"/>
      <c r="AW188" s="87">
        <f t="shared" si="207"/>
        <v>-1800</v>
      </c>
      <c r="AX188" s="448">
        <f t="shared" si="205"/>
        <v>-100</v>
      </c>
      <c r="AY188" s="1131">
        <f t="shared" si="206"/>
        <v>21600</v>
      </c>
      <c r="AZ188" s="188">
        <f t="shared" si="194"/>
        <v>18686.559999999998</v>
      </c>
      <c r="BA188" s="398">
        <f t="shared" si="158"/>
        <v>1868.6559999999997</v>
      </c>
      <c r="BB188" s="805"/>
      <c r="BC188" s="804"/>
    </row>
    <row r="189" spans="1:55" s="119" customFormat="1" ht="18" customHeight="1" x14ac:dyDescent="0.25">
      <c r="A189" s="170">
        <v>11704</v>
      </c>
      <c r="B189" s="152" t="s">
        <v>109</v>
      </c>
      <c r="C189" s="212">
        <v>7000</v>
      </c>
      <c r="D189" s="87">
        <v>4969</v>
      </c>
      <c r="E189" s="893">
        <f t="shared" si="188"/>
        <v>-2031</v>
      </c>
      <c r="F189" s="450">
        <f t="shared" si="189"/>
        <v>-29.014285714285716</v>
      </c>
      <c r="G189" s="86">
        <v>7000</v>
      </c>
      <c r="H189" s="87">
        <v>8609</v>
      </c>
      <c r="I189" s="87">
        <f t="shared" si="208"/>
        <v>1609</v>
      </c>
      <c r="J189" s="452">
        <f t="shared" si="195"/>
        <v>22.985714285714277</v>
      </c>
      <c r="K189" s="440">
        <v>7000</v>
      </c>
      <c r="L189" s="87">
        <v>7133</v>
      </c>
      <c r="M189" s="87">
        <f t="shared" si="209"/>
        <v>133</v>
      </c>
      <c r="N189" s="453">
        <f t="shared" si="196"/>
        <v>1.8999999999999906</v>
      </c>
      <c r="O189" s="440">
        <v>7000</v>
      </c>
      <c r="P189" s="87">
        <v>4045</v>
      </c>
      <c r="Q189" s="87">
        <f t="shared" si="210"/>
        <v>-2955</v>
      </c>
      <c r="R189" s="452">
        <f t="shared" si="197"/>
        <v>-42.214285714285715</v>
      </c>
      <c r="S189" s="440">
        <v>7000</v>
      </c>
      <c r="T189" s="87">
        <v>11180</v>
      </c>
      <c r="U189" s="87">
        <f t="shared" si="211"/>
        <v>4180</v>
      </c>
      <c r="V189" s="453">
        <f t="shared" si="198"/>
        <v>59.714285714285722</v>
      </c>
      <c r="W189" s="440">
        <v>7000</v>
      </c>
      <c r="X189" s="137">
        <v>7520</v>
      </c>
      <c r="Y189" s="87">
        <f t="shared" si="212"/>
        <v>520</v>
      </c>
      <c r="Z189" s="453">
        <f t="shared" si="199"/>
        <v>7.4285714285714288</v>
      </c>
      <c r="AA189" s="440">
        <v>7000</v>
      </c>
      <c r="AB189" s="440">
        <v>7460</v>
      </c>
      <c r="AC189" s="87">
        <f t="shared" si="213"/>
        <v>460</v>
      </c>
      <c r="AD189" s="452">
        <f t="shared" si="200"/>
        <v>6.5714285714285614</v>
      </c>
      <c r="AE189" s="440">
        <v>7000</v>
      </c>
      <c r="AF189" s="440">
        <v>7556</v>
      </c>
      <c r="AG189" s="96">
        <f t="shared" si="190"/>
        <v>556</v>
      </c>
      <c r="AH189" s="453">
        <f t="shared" si="201"/>
        <v>7.9428571428571404</v>
      </c>
      <c r="AI189" s="440">
        <v>7000</v>
      </c>
      <c r="AJ189" s="46">
        <v>7460</v>
      </c>
      <c r="AK189" s="96">
        <f t="shared" si="191"/>
        <v>460</v>
      </c>
      <c r="AL189" s="452">
        <f t="shared" si="202"/>
        <v>6.5714285714285614</v>
      </c>
      <c r="AM189" s="440">
        <v>7000</v>
      </c>
      <c r="AN189" s="46">
        <v>7490</v>
      </c>
      <c r="AO189" s="96">
        <f t="shared" si="192"/>
        <v>490</v>
      </c>
      <c r="AP189" s="448">
        <f t="shared" si="203"/>
        <v>7.0000000000000062</v>
      </c>
      <c r="AQ189" s="440">
        <v>7000</v>
      </c>
      <c r="AR189" s="440"/>
      <c r="AS189" s="96">
        <f t="shared" si="193"/>
        <v>-7000</v>
      </c>
      <c r="AT189" s="449">
        <f t="shared" si="204"/>
        <v>-100</v>
      </c>
      <c r="AU189" s="440">
        <v>7000</v>
      </c>
      <c r="AV189" s="46"/>
      <c r="AW189" s="87">
        <f t="shared" si="207"/>
        <v>-7000</v>
      </c>
      <c r="AX189" s="448">
        <f t="shared" si="205"/>
        <v>-100</v>
      </c>
      <c r="AY189" s="1131">
        <f t="shared" si="206"/>
        <v>84000</v>
      </c>
      <c r="AZ189" s="188">
        <f t="shared" si="194"/>
        <v>73422</v>
      </c>
      <c r="BA189" s="398">
        <f t="shared" si="158"/>
        <v>7342.2</v>
      </c>
      <c r="BB189" s="805"/>
      <c r="BC189" s="804"/>
    </row>
    <row r="190" spans="1:55" s="119" customFormat="1" ht="18" customHeight="1" x14ac:dyDescent="0.25">
      <c r="A190" s="170">
        <v>12314</v>
      </c>
      <c r="B190" s="152" t="s">
        <v>325</v>
      </c>
      <c r="C190" s="212">
        <v>2500</v>
      </c>
      <c r="D190" s="87">
        <v>35162.65</v>
      </c>
      <c r="E190" s="893">
        <f t="shared" si="188"/>
        <v>32662.65</v>
      </c>
      <c r="F190" s="450">
        <f t="shared" si="189"/>
        <v>1306.5060000000001</v>
      </c>
      <c r="G190" s="86">
        <v>2500</v>
      </c>
      <c r="H190" s="87">
        <v>-10350.33</v>
      </c>
      <c r="I190" s="87">
        <f t="shared" si="208"/>
        <v>-12850.33</v>
      </c>
      <c r="J190" s="452">
        <f t="shared" si="195"/>
        <v>-514.01319999999998</v>
      </c>
      <c r="K190" s="440">
        <v>2500</v>
      </c>
      <c r="L190" s="87">
        <v>4352.6000000000004</v>
      </c>
      <c r="M190" s="87">
        <f t="shared" si="209"/>
        <v>1852.6000000000004</v>
      </c>
      <c r="N190" s="453">
        <f t="shared" si="196"/>
        <v>74.104000000000013</v>
      </c>
      <c r="O190" s="440">
        <v>2500</v>
      </c>
      <c r="P190" s="87">
        <v>36898.9</v>
      </c>
      <c r="Q190" s="87">
        <f t="shared" si="210"/>
        <v>34398.9</v>
      </c>
      <c r="R190" s="452">
        <f t="shared" si="197"/>
        <v>1375.9560000000001</v>
      </c>
      <c r="S190" s="440">
        <v>2500</v>
      </c>
      <c r="T190" s="87">
        <v>332</v>
      </c>
      <c r="U190" s="87">
        <f t="shared" si="211"/>
        <v>-2168</v>
      </c>
      <c r="V190" s="453">
        <f t="shared" si="198"/>
        <v>-86.72</v>
      </c>
      <c r="W190" s="440">
        <v>2500</v>
      </c>
      <c r="X190" s="137">
        <v>9316.36</v>
      </c>
      <c r="Y190" s="87">
        <f t="shared" si="212"/>
        <v>6816.3600000000006</v>
      </c>
      <c r="Z190" s="453">
        <f t="shared" si="199"/>
        <v>272.65440000000001</v>
      </c>
      <c r="AA190" s="440">
        <v>2500</v>
      </c>
      <c r="AB190" s="440">
        <v>912.52</v>
      </c>
      <c r="AC190" s="87">
        <f t="shared" si="213"/>
        <v>-1587.48</v>
      </c>
      <c r="AD190" s="452">
        <f t="shared" si="200"/>
        <v>-63.499200000000002</v>
      </c>
      <c r="AE190" s="440">
        <v>2500</v>
      </c>
      <c r="AF190" s="440">
        <v>-9081.09</v>
      </c>
      <c r="AG190" s="96">
        <f t="shared" si="190"/>
        <v>-11581.09</v>
      </c>
      <c r="AH190" s="453">
        <f t="shared" si="201"/>
        <v>-463.24360000000001</v>
      </c>
      <c r="AI190" s="440">
        <v>2500</v>
      </c>
      <c r="AJ190" s="46">
        <v>6043.17</v>
      </c>
      <c r="AK190" s="96">
        <f t="shared" si="191"/>
        <v>3543.17</v>
      </c>
      <c r="AL190" s="452">
        <f t="shared" si="202"/>
        <v>141.7268</v>
      </c>
      <c r="AM190" s="440">
        <v>2500</v>
      </c>
      <c r="AN190" s="46">
        <v>31501.95</v>
      </c>
      <c r="AO190" s="96">
        <f t="shared" si="192"/>
        <v>29001.95</v>
      </c>
      <c r="AP190" s="448">
        <f t="shared" si="203"/>
        <v>1160.078</v>
      </c>
      <c r="AQ190" s="440">
        <v>2500</v>
      </c>
      <c r="AR190" s="440"/>
      <c r="AS190" s="96">
        <f t="shared" si="193"/>
        <v>-2500</v>
      </c>
      <c r="AT190" s="449">
        <f t="shared" si="204"/>
        <v>-100</v>
      </c>
      <c r="AU190" s="440">
        <v>2500</v>
      </c>
      <c r="AV190" s="46"/>
      <c r="AW190" s="87">
        <f t="shared" si="207"/>
        <v>-2500</v>
      </c>
      <c r="AX190" s="448">
        <f t="shared" si="205"/>
        <v>-100</v>
      </c>
      <c r="AY190" s="1131">
        <f t="shared" si="206"/>
        <v>30000</v>
      </c>
      <c r="AZ190" s="188">
        <f t="shared" si="194"/>
        <v>105088.73000000001</v>
      </c>
      <c r="BA190" s="398">
        <f t="shared" si="158"/>
        <v>10508.873000000001</v>
      </c>
      <c r="BB190" s="805"/>
      <c r="BC190" s="804"/>
    </row>
    <row r="191" spans="1:55" s="119" customFormat="1" ht="18" customHeight="1" x14ac:dyDescent="0.25">
      <c r="A191" s="170">
        <v>11259</v>
      </c>
      <c r="B191" s="152" t="s">
        <v>110</v>
      </c>
      <c r="C191" s="440">
        <v>0</v>
      </c>
      <c r="D191" s="87">
        <v>122.78</v>
      </c>
      <c r="E191" s="893">
        <f t="shared" si="188"/>
        <v>122.78</v>
      </c>
      <c r="F191" s="450"/>
      <c r="G191" s="86">
        <v>0</v>
      </c>
      <c r="H191" s="87">
        <v>5.31</v>
      </c>
      <c r="I191" s="87">
        <f t="shared" si="208"/>
        <v>5.31</v>
      </c>
      <c r="J191" s="452"/>
      <c r="K191" s="440">
        <v>0</v>
      </c>
      <c r="L191" s="87">
        <v>223.28</v>
      </c>
      <c r="M191" s="87">
        <f t="shared" si="209"/>
        <v>223.28</v>
      </c>
      <c r="N191" s="453"/>
      <c r="O191" s="440">
        <v>0</v>
      </c>
      <c r="P191" s="87">
        <v>5.7</v>
      </c>
      <c r="Q191" s="87">
        <f t="shared" si="210"/>
        <v>5.7</v>
      </c>
      <c r="R191" s="452"/>
      <c r="S191" s="440">
        <v>0</v>
      </c>
      <c r="T191" s="87">
        <v>42.67</v>
      </c>
      <c r="U191" s="87">
        <f t="shared" si="211"/>
        <v>42.67</v>
      </c>
      <c r="V191" s="453"/>
      <c r="W191" s="440">
        <v>0</v>
      </c>
      <c r="X191" s="137">
        <v>5.61</v>
      </c>
      <c r="Y191" s="87">
        <f t="shared" si="212"/>
        <v>5.61</v>
      </c>
      <c r="Z191" s="453"/>
      <c r="AA191" s="440">
        <v>0</v>
      </c>
      <c r="AB191" s="440">
        <v>0</v>
      </c>
      <c r="AC191" s="87">
        <f t="shared" si="213"/>
        <v>0</v>
      </c>
      <c r="AD191" s="452"/>
      <c r="AE191" s="440">
        <v>0</v>
      </c>
      <c r="AF191" s="440">
        <v>5.13</v>
      </c>
      <c r="AG191" s="96">
        <f t="shared" si="190"/>
        <v>5.13</v>
      </c>
      <c r="AH191" s="453"/>
      <c r="AI191" s="440">
        <v>0</v>
      </c>
      <c r="AJ191" s="46">
        <v>0</v>
      </c>
      <c r="AK191" s="96">
        <f t="shared" si="191"/>
        <v>0</v>
      </c>
      <c r="AL191" s="452"/>
      <c r="AM191" s="440">
        <v>0</v>
      </c>
      <c r="AN191" s="46">
        <v>88.57</v>
      </c>
      <c r="AO191" s="96">
        <f t="shared" si="192"/>
        <v>88.57</v>
      </c>
      <c r="AP191" s="448"/>
      <c r="AQ191" s="440">
        <v>0</v>
      </c>
      <c r="AR191" s="440"/>
      <c r="AS191" s="96">
        <f t="shared" si="193"/>
        <v>0</v>
      </c>
      <c r="AT191" s="449"/>
      <c r="AU191" s="440">
        <v>0</v>
      </c>
      <c r="AV191" s="46"/>
      <c r="AW191" s="87">
        <f t="shared" si="207"/>
        <v>0</v>
      </c>
      <c r="AX191" s="448"/>
      <c r="AY191" s="1131">
        <f t="shared" si="206"/>
        <v>0</v>
      </c>
      <c r="AZ191" s="188">
        <f t="shared" si="194"/>
        <v>499.05</v>
      </c>
      <c r="BA191" s="398">
        <f t="shared" si="158"/>
        <v>49.905000000000001</v>
      </c>
      <c r="BB191" s="805"/>
      <c r="BC191" s="804"/>
    </row>
    <row r="192" spans="1:55" s="119" customFormat="1" ht="18" customHeight="1" x14ac:dyDescent="0.25">
      <c r="A192" s="170">
        <v>51872</v>
      </c>
      <c r="B192" s="152" t="s">
        <v>219</v>
      </c>
      <c r="C192" s="212">
        <v>50000</v>
      </c>
      <c r="D192" s="87">
        <v>50000</v>
      </c>
      <c r="E192" s="893">
        <f t="shared" si="188"/>
        <v>0</v>
      </c>
      <c r="F192" s="450">
        <f t="shared" si="189"/>
        <v>0</v>
      </c>
      <c r="G192" s="86">
        <v>50000</v>
      </c>
      <c r="H192" s="87">
        <v>50000</v>
      </c>
      <c r="I192" s="87">
        <f t="shared" si="208"/>
        <v>0</v>
      </c>
      <c r="J192" s="452">
        <f t="shared" si="195"/>
        <v>0</v>
      </c>
      <c r="K192" s="440">
        <v>50000</v>
      </c>
      <c r="L192" s="87">
        <v>50000</v>
      </c>
      <c r="M192" s="87">
        <f t="shared" si="209"/>
        <v>0</v>
      </c>
      <c r="N192" s="453">
        <f t="shared" si="196"/>
        <v>0</v>
      </c>
      <c r="O192" s="440">
        <v>50000</v>
      </c>
      <c r="P192" s="87">
        <v>50000</v>
      </c>
      <c r="Q192" s="87">
        <f t="shared" si="210"/>
        <v>0</v>
      </c>
      <c r="R192" s="452">
        <f>((P192/O192)-1)*100</f>
        <v>0</v>
      </c>
      <c r="S192" s="440">
        <v>50000</v>
      </c>
      <c r="T192" s="87">
        <v>50000</v>
      </c>
      <c r="U192" s="87">
        <f t="shared" si="211"/>
        <v>0</v>
      </c>
      <c r="V192" s="453">
        <f t="shared" si="198"/>
        <v>0</v>
      </c>
      <c r="W192" s="440">
        <v>50000</v>
      </c>
      <c r="X192" s="137">
        <v>50000</v>
      </c>
      <c r="Y192" s="87">
        <f t="shared" si="212"/>
        <v>0</v>
      </c>
      <c r="Z192" s="453">
        <f t="shared" si="199"/>
        <v>0</v>
      </c>
      <c r="AA192" s="440">
        <v>0</v>
      </c>
      <c r="AB192" s="440">
        <v>50000</v>
      </c>
      <c r="AC192" s="87">
        <f t="shared" si="213"/>
        <v>50000</v>
      </c>
      <c r="AD192" s="452"/>
      <c r="AE192" s="440">
        <v>0</v>
      </c>
      <c r="AF192" s="440">
        <v>50000</v>
      </c>
      <c r="AG192" s="96">
        <f t="shared" si="190"/>
        <v>50000</v>
      </c>
      <c r="AH192" s="453"/>
      <c r="AI192" s="440">
        <v>0</v>
      </c>
      <c r="AJ192" s="46">
        <v>50000</v>
      </c>
      <c r="AK192" s="96">
        <f t="shared" si="191"/>
        <v>50000</v>
      </c>
      <c r="AL192" s="452"/>
      <c r="AM192" s="440">
        <v>0</v>
      </c>
      <c r="AN192" s="46">
        <v>0</v>
      </c>
      <c r="AO192" s="96">
        <f t="shared" si="192"/>
        <v>0</v>
      </c>
      <c r="AP192" s="448">
        <v>0</v>
      </c>
      <c r="AQ192" s="440">
        <v>0</v>
      </c>
      <c r="AR192" s="440"/>
      <c r="AS192" s="96">
        <f t="shared" si="193"/>
        <v>0</v>
      </c>
      <c r="AT192" s="449"/>
      <c r="AU192" s="440">
        <v>0</v>
      </c>
      <c r="AV192" s="46"/>
      <c r="AW192" s="87">
        <f t="shared" si="207"/>
        <v>0</v>
      </c>
      <c r="AX192" s="448"/>
      <c r="AY192" s="1131">
        <f t="shared" si="206"/>
        <v>300000</v>
      </c>
      <c r="AZ192" s="188">
        <f t="shared" si="194"/>
        <v>450000</v>
      </c>
      <c r="BA192" s="398">
        <f t="shared" si="158"/>
        <v>45000</v>
      </c>
      <c r="BB192" s="805"/>
      <c r="BC192" s="804"/>
    </row>
    <row r="193" spans="1:55" s="119" customFormat="1" ht="18" customHeight="1" x14ac:dyDescent="0.25">
      <c r="A193" s="170">
        <v>11563</v>
      </c>
      <c r="B193" s="152" t="s">
        <v>3679</v>
      </c>
      <c r="C193" s="212">
        <v>60000</v>
      </c>
      <c r="D193" s="87">
        <v>59779.03</v>
      </c>
      <c r="E193" s="893">
        <f t="shared" si="188"/>
        <v>-220.97000000000116</v>
      </c>
      <c r="F193" s="450"/>
      <c r="G193" s="86">
        <v>60000</v>
      </c>
      <c r="H193" s="87">
        <v>45905.47</v>
      </c>
      <c r="I193" s="87">
        <f t="shared" si="208"/>
        <v>-14094.529999999999</v>
      </c>
      <c r="J193" s="452">
        <v>0</v>
      </c>
      <c r="K193" s="440">
        <v>60000</v>
      </c>
      <c r="L193" s="87">
        <v>73652.59</v>
      </c>
      <c r="M193" s="87">
        <f t="shared" si="209"/>
        <v>13652.589999999997</v>
      </c>
      <c r="N193" s="453">
        <f t="shared" si="196"/>
        <v>22.754316666666654</v>
      </c>
      <c r="O193" s="440">
        <v>60000</v>
      </c>
      <c r="P193" s="87">
        <v>65918.73</v>
      </c>
      <c r="Q193" s="87">
        <f t="shared" si="210"/>
        <v>5918.7299999999959</v>
      </c>
      <c r="R193" s="452">
        <f>((P193/O193)-1)*100</f>
        <v>9.8645499999999942</v>
      </c>
      <c r="S193" s="440">
        <v>60000</v>
      </c>
      <c r="T193" s="87">
        <v>63058.879999999997</v>
      </c>
      <c r="U193" s="87">
        <f t="shared" si="211"/>
        <v>3058.8799999999974</v>
      </c>
      <c r="V193" s="453">
        <f t="shared" si="198"/>
        <v>5.0981333333333323</v>
      </c>
      <c r="W193" s="440">
        <v>60000</v>
      </c>
      <c r="X193" s="137">
        <v>73050.210000000006</v>
      </c>
      <c r="Y193" s="87">
        <f t="shared" si="212"/>
        <v>13050.210000000006</v>
      </c>
      <c r="Z193" s="453">
        <f t="shared" si="199"/>
        <v>21.750350000000008</v>
      </c>
      <c r="AA193" s="440">
        <v>60000</v>
      </c>
      <c r="AB193" s="440">
        <v>95190.36</v>
      </c>
      <c r="AC193" s="87">
        <f t="shared" si="213"/>
        <v>35190.36</v>
      </c>
      <c r="AD193" s="452">
        <f t="shared" si="200"/>
        <v>58.650599999999997</v>
      </c>
      <c r="AE193" s="440">
        <v>60000</v>
      </c>
      <c r="AF193" s="440">
        <v>111302.01</v>
      </c>
      <c r="AG193" s="96">
        <f t="shared" si="190"/>
        <v>51302.009999999995</v>
      </c>
      <c r="AH193" s="453">
        <f t="shared" si="201"/>
        <v>85.503349999999998</v>
      </c>
      <c r="AI193" s="440">
        <v>60000</v>
      </c>
      <c r="AJ193" s="46">
        <v>128915.81</v>
      </c>
      <c r="AK193" s="96">
        <f t="shared" si="191"/>
        <v>68915.81</v>
      </c>
      <c r="AL193" s="452">
        <f>((AJ193/AI193)-1)*100</f>
        <v>114.85968333333334</v>
      </c>
      <c r="AM193" s="440">
        <v>60000</v>
      </c>
      <c r="AN193" s="46">
        <v>94222.21</v>
      </c>
      <c r="AO193" s="96">
        <f t="shared" si="192"/>
        <v>34222.210000000006</v>
      </c>
      <c r="AP193" s="448">
        <f t="shared" si="203"/>
        <v>57.037016666666673</v>
      </c>
      <c r="AQ193" s="440">
        <v>60000</v>
      </c>
      <c r="AR193" s="440"/>
      <c r="AS193" s="96">
        <f t="shared" si="193"/>
        <v>-60000</v>
      </c>
      <c r="AT193" s="449">
        <f t="shared" si="204"/>
        <v>-100</v>
      </c>
      <c r="AU193" s="440">
        <v>60000</v>
      </c>
      <c r="AV193" s="46"/>
      <c r="AW193" s="87">
        <f t="shared" si="207"/>
        <v>-60000</v>
      </c>
      <c r="AX193" s="448">
        <f t="shared" si="205"/>
        <v>-100</v>
      </c>
      <c r="AY193" s="1131">
        <f t="shared" si="206"/>
        <v>720000</v>
      </c>
      <c r="AZ193" s="188">
        <f t="shared" si="194"/>
        <v>810995.3</v>
      </c>
      <c r="BA193" s="398">
        <f t="shared" si="158"/>
        <v>81099.53</v>
      </c>
      <c r="BB193" s="805"/>
      <c r="BC193" s="804"/>
    </row>
    <row r="194" spans="1:55" s="119" customFormat="1" ht="18" customHeight="1" x14ac:dyDescent="0.25">
      <c r="A194" s="170">
        <v>11516</v>
      </c>
      <c r="B194" s="152" t="s">
        <v>326</v>
      </c>
      <c r="C194" s="212">
        <v>1500</v>
      </c>
      <c r="D194" s="87">
        <v>1313</v>
      </c>
      <c r="E194" s="893">
        <f t="shared" si="188"/>
        <v>-187</v>
      </c>
      <c r="F194" s="450">
        <f t="shared" ref="F194:F202" si="214">((D194/C194)-1)*100</f>
        <v>-12.46666666666667</v>
      </c>
      <c r="G194" s="86">
        <v>1500</v>
      </c>
      <c r="H194" s="87">
        <v>1313</v>
      </c>
      <c r="I194" s="87">
        <f t="shared" si="208"/>
        <v>-187</v>
      </c>
      <c r="J194" s="452">
        <f t="shared" si="195"/>
        <v>-12.46666666666667</v>
      </c>
      <c r="K194" s="440">
        <v>1500</v>
      </c>
      <c r="L194" s="87">
        <v>1313</v>
      </c>
      <c r="M194" s="87">
        <f t="shared" si="209"/>
        <v>-187</v>
      </c>
      <c r="N194" s="453">
        <f t="shared" si="196"/>
        <v>-12.46666666666667</v>
      </c>
      <c r="O194" s="440">
        <v>1500</v>
      </c>
      <c r="P194" s="87">
        <v>1313</v>
      </c>
      <c r="Q194" s="87">
        <f t="shared" si="210"/>
        <v>-187</v>
      </c>
      <c r="R194" s="452">
        <f t="shared" si="197"/>
        <v>-12.46666666666667</v>
      </c>
      <c r="S194" s="440">
        <v>1500</v>
      </c>
      <c r="T194" s="87">
        <v>1313</v>
      </c>
      <c r="U194" s="87">
        <f t="shared" si="211"/>
        <v>-187</v>
      </c>
      <c r="V194" s="453">
        <f t="shared" si="198"/>
        <v>-12.46666666666667</v>
      </c>
      <c r="W194" s="440">
        <v>1500</v>
      </c>
      <c r="X194" s="137">
        <v>1313</v>
      </c>
      <c r="Y194" s="87">
        <f t="shared" si="212"/>
        <v>-187</v>
      </c>
      <c r="Z194" s="453">
        <f t="shared" si="199"/>
        <v>-12.46666666666667</v>
      </c>
      <c r="AA194" s="440">
        <v>1500</v>
      </c>
      <c r="AB194" s="440">
        <v>1313</v>
      </c>
      <c r="AC194" s="87">
        <f t="shared" si="213"/>
        <v>-187</v>
      </c>
      <c r="AD194" s="452">
        <f t="shared" si="200"/>
        <v>-12.46666666666667</v>
      </c>
      <c r="AE194" s="440">
        <v>1500</v>
      </c>
      <c r="AF194" s="440">
        <v>1313</v>
      </c>
      <c r="AG194" s="96">
        <f t="shared" si="190"/>
        <v>-187</v>
      </c>
      <c r="AH194" s="453">
        <f t="shared" si="201"/>
        <v>-12.46666666666667</v>
      </c>
      <c r="AI194" s="440">
        <v>1500</v>
      </c>
      <c r="AJ194" s="46">
        <v>1313</v>
      </c>
      <c r="AK194" s="96">
        <f t="shared" si="191"/>
        <v>-187</v>
      </c>
      <c r="AL194" s="452">
        <f t="shared" si="202"/>
        <v>-12.46666666666667</v>
      </c>
      <c r="AM194" s="440">
        <v>1500</v>
      </c>
      <c r="AN194" s="46">
        <v>1313</v>
      </c>
      <c r="AO194" s="96">
        <f t="shared" si="192"/>
        <v>-187</v>
      </c>
      <c r="AP194" s="448">
        <f t="shared" si="203"/>
        <v>-12.46666666666667</v>
      </c>
      <c r="AQ194" s="440">
        <v>1500</v>
      </c>
      <c r="AR194" s="440"/>
      <c r="AS194" s="96">
        <f t="shared" si="193"/>
        <v>-1500</v>
      </c>
      <c r="AT194" s="449">
        <f t="shared" si="204"/>
        <v>-100</v>
      </c>
      <c r="AU194" s="440">
        <v>1500</v>
      </c>
      <c r="AV194" s="46"/>
      <c r="AW194" s="87">
        <f t="shared" si="207"/>
        <v>-1500</v>
      </c>
      <c r="AX194" s="448">
        <f t="shared" si="205"/>
        <v>-100</v>
      </c>
      <c r="AY194" s="1131">
        <f t="shared" si="206"/>
        <v>18000</v>
      </c>
      <c r="AZ194" s="188">
        <f t="shared" si="194"/>
        <v>13130</v>
      </c>
      <c r="BA194" s="398">
        <f t="shared" si="158"/>
        <v>1313</v>
      </c>
      <c r="BB194" s="805"/>
      <c r="BC194" s="804"/>
    </row>
    <row r="195" spans="1:55" s="119" customFormat="1" ht="18" customHeight="1" x14ac:dyDescent="0.25">
      <c r="A195" s="170">
        <v>11522</v>
      </c>
      <c r="B195" s="152" t="s">
        <v>111</v>
      </c>
      <c r="C195" s="212">
        <v>90000</v>
      </c>
      <c r="D195" s="87">
        <v>87839.73</v>
      </c>
      <c r="E195" s="893">
        <f t="shared" si="188"/>
        <v>-2160.2700000000041</v>
      </c>
      <c r="F195" s="450">
        <f t="shared" si="214"/>
        <v>-2.4002999999999997</v>
      </c>
      <c r="G195" s="86">
        <v>90000</v>
      </c>
      <c r="H195" s="87">
        <v>70356.45</v>
      </c>
      <c r="I195" s="87">
        <f t="shared" si="208"/>
        <v>-19643.550000000003</v>
      </c>
      <c r="J195" s="452">
        <f t="shared" si="195"/>
        <v>-21.826166666666669</v>
      </c>
      <c r="K195" s="440">
        <v>90000</v>
      </c>
      <c r="L195" s="87">
        <v>76474.429999999993</v>
      </c>
      <c r="M195" s="87">
        <f t="shared" si="209"/>
        <v>-13525.570000000007</v>
      </c>
      <c r="N195" s="453">
        <f t="shared" si="196"/>
        <v>-15.028411111111117</v>
      </c>
      <c r="O195" s="440">
        <v>90000</v>
      </c>
      <c r="P195" s="87">
        <v>108001.54</v>
      </c>
      <c r="Q195" s="87">
        <f>P195-O195</f>
        <v>18001.539999999994</v>
      </c>
      <c r="R195" s="452">
        <f>((P195/O196)-1)*100</f>
        <v>4400.064166666667</v>
      </c>
      <c r="S195" s="440">
        <v>90000</v>
      </c>
      <c r="T195" s="87">
        <v>86994.03</v>
      </c>
      <c r="U195" s="87">
        <f t="shared" si="211"/>
        <v>-3005.9700000000012</v>
      </c>
      <c r="V195" s="453">
        <f t="shared" si="198"/>
        <v>-3.3399666666666716</v>
      </c>
      <c r="W195" s="440">
        <v>90000</v>
      </c>
      <c r="X195" s="137">
        <v>87091.54</v>
      </c>
      <c r="Y195" s="87">
        <f t="shared" si="212"/>
        <v>-2908.4600000000064</v>
      </c>
      <c r="Z195" s="453">
        <f t="shared" si="199"/>
        <v>-3.2316222222222302</v>
      </c>
      <c r="AA195" s="440">
        <v>90000</v>
      </c>
      <c r="AB195" s="440">
        <v>112417.18</v>
      </c>
      <c r="AC195" s="87">
        <f>AB195-AA195</f>
        <v>22417.179999999993</v>
      </c>
      <c r="AD195" s="452">
        <f>((AB195/AA195)-1)*100</f>
        <v>24.907977777777781</v>
      </c>
      <c r="AE195" s="1077">
        <v>90000</v>
      </c>
      <c r="AF195" s="440">
        <v>102263.5</v>
      </c>
      <c r="AG195" s="96">
        <f>AF195-AE195</f>
        <v>12263.5</v>
      </c>
      <c r="AH195" s="453">
        <f>((AF195/AE195)-1)*100</f>
        <v>13.626111111111117</v>
      </c>
      <c r="AI195" s="1132">
        <v>90000</v>
      </c>
      <c r="AJ195" s="46">
        <v>89353.37</v>
      </c>
      <c r="AK195" s="96">
        <f t="shared" si="191"/>
        <v>-646.63000000000466</v>
      </c>
      <c r="AL195" s="452">
        <f>((AJ195/AI195)-1)*100</f>
        <v>-0.71847777777778177</v>
      </c>
      <c r="AM195" s="440">
        <v>90000</v>
      </c>
      <c r="AN195" s="46">
        <v>90804.94</v>
      </c>
      <c r="AO195" s="96">
        <f t="shared" si="192"/>
        <v>804.94000000000233</v>
      </c>
      <c r="AP195" s="448">
        <f>((AN195/AM195)-1)*100</f>
        <v>0.89437777777778837</v>
      </c>
      <c r="AQ195" s="1077">
        <v>90000</v>
      </c>
      <c r="AR195" s="440"/>
      <c r="AS195" s="96">
        <f t="shared" si="193"/>
        <v>-90000</v>
      </c>
      <c r="AT195" s="449">
        <f t="shared" si="204"/>
        <v>-100</v>
      </c>
      <c r="AU195" s="1132">
        <v>90000</v>
      </c>
      <c r="AV195" s="46"/>
      <c r="AW195" s="87">
        <f t="shared" si="207"/>
        <v>-90000</v>
      </c>
      <c r="AX195" s="448">
        <f t="shared" si="205"/>
        <v>-100</v>
      </c>
      <c r="AY195" s="1131">
        <f t="shared" si="206"/>
        <v>1080000</v>
      </c>
      <c r="AZ195" s="188">
        <f t="shared" si="194"/>
        <v>911596.71</v>
      </c>
      <c r="BA195" s="398">
        <f t="shared" si="158"/>
        <v>91159.671000000002</v>
      </c>
      <c r="BB195" s="805"/>
      <c r="BC195" s="804"/>
    </row>
    <row r="196" spans="1:55" s="119" customFormat="1" ht="18" customHeight="1" x14ac:dyDescent="0.25">
      <c r="A196" s="170" t="s">
        <v>113</v>
      </c>
      <c r="B196" s="152" t="s">
        <v>220</v>
      </c>
      <c r="C196" s="212">
        <v>1500</v>
      </c>
      <c r="D196" s="87">
        <f>0+515</f>
        <v>515</v>
      </c>
      <c r="E196" s="893">
        <f t="shared" si="188"/>
        <v>-985</v>
      </c>
      <c r="F196" s="450">
        <f t="shared" si="214"/>
        <v>-65.666666666666671</v>
      </c>
      <c r="G196" s="212">
        <v>1500</v>
      </c>
      <c r="H196" s="87">
        <v>1580</v>
      </c>
      <c r="I196" s="87">
        <f t="shared" si="208"/>
        <v>80</v>
      </c>
      <c r="J196" s="452">
        <f t="shared" si="195"/>
        <v>5.3333333333333233</v>
      </c>
      <c r="K196" s="440">
        <v>1500</v>
      </c>
      <c r="L196" s="87">
        <v>840</v>
      </c>
      <c r="M196" s="87">
        <f t="shared" si="209"/>
        <v>-660</v>
      </c>
      <c r="N196" s="453">
        <f t="shared" si="196"/>
        <v>-43.999999999999993</v>
      </c>
      <c r="O196" s="440">
        <v>2400</v>
      </c>
      <c r="P196" s="87">
        <v>1240</v>
      </c>
      <c r="Q196" s="87">
        <f>P196-O197</f>
        <v>-760</v>
      </c>
      <c r="R196" s="452">
        <f>((P196/O197)-1)*100</f>
        <v>-38</v>
      </c>
      <c r="S196" s="440">
        <v>1500</v>
      </c>
      <c r="T196" s="87">
        <v>1330</v>
      </c>
      <c r="U196" s="87">
        <f t="shared" si="211"/>
        <v>-170</v>
      </c>
      <c r="V196" s="453">
        <f t="shared" si="198"/>
        <v>-11.333333333333329</v>
      </c>
      <c r="W196" s="440">
        <v>1500</v>
      </c>
      <c r="X196" s="137">
        <v>820</v>
      </c>
      <c r="Y196" s="87">
        <f t="shared" si="212"/>
        <v>-680</v>
      </c>
      <c r="Z196" s="453">
        <f t="shared" si="199"/>
        <v>-45.333333333333336</v>
      </c>
      <c r="AA196" s="440">
        <v>2400</v>
      </c>
      <c r="AB196" s="440">
        <v>800</v>
      </c>
      <c r="AC196" s="87">
        <f t="shared" ref="AC196:AC205" si="215">AB196-AA196</f>
        <v>-1600</v>
      </c>
      <c r="AD196" s="452">
        <f t="shared" ref="AD196:AD202" si="216">((AB196/AA196)-1)*100</f>
        <v>-66.666666666666671</v>
      </c>
      <c r="AE196" s="440">
        <v>2400</v>
      </c>
      <c r="AF196" s="440">
        <v>900</v>
      </c>
      <c r="AG196" s="96">
        <f t="shared" ref="AG196:AG205" si="217">AF196-AE196</f>
        <v>-1500</v>
      </c>
      <c r="AH196" s="453">
        <f t="shared" ref="AH196:AH202" si="218">((AF196/AE196)-1)*100</f>
        <v>-62.5</v>
      </c>
      <c r="AI196" s="440">
        <v>2400</v>
      </c>
      <c r="AJ196" s="46">
        <v>960</v>
      </c>
      <c r="AK196" s="96">
        <f t="shared" si="191"/>
        <v>-1440</v>
      </c>
      <c r="AL196" s="452">
        <f t="shared" ref="AL196:AL202" si="219">((AJ196/AI196)-1)*100</f>
        <v>-60</v>
      </c>
      <c r="AM196" s="440">
        <v>2400</v>
      </c>
      <c r="AN196" s="46">
        <v>940</v>
      </c>
      <c r="AO196" s="96">
        <f t="shared" si="192"/>
        <v>-1460</v>
      </c>
      <c r="AP196" s="448">
        <f t="shared" ref="AP196:AP202" si="220">((AN196/AM196)-1)*100</f>
        <v>-60.833333333333343</v>
      </c>
      <c r="AQ196" s="440">
        <v>2400</v>
      </c>
      <c r="AR196" s="440"/>
      <c r="AS196" s="96">
        <f t="shared" si="193"/>
        <v>-2400</v>
      </c>
      <c r="AT196" s="449">
        <f t="shared" si="204"/>
        <v>-100</v>
      </c>
      <c r="AU196" s="440">
        <v>2400</v>
      </c>
      <c r="AV196" s="46"/>
      <c r="AW196" s="87">
        <f t="shared" si="207"/>
        <v>-2400</v>
      </c>
      <c r="AX196" s="448">
        <f t="shared" si="205"/>
        <v>-100</v>
      </c>
      <c r="AY196" s="1131">
        <f t="shared" si="206"/>
        <v>24300</v>
      </c>
      <c r="AZ196" s="188">
        <f t="shared" si="194"/>
        <v>9925</v>
      </c>
      <c r="BA196" s="398">
        <f t="shared" si="158"/>
        <v>992.5</v>
      </c>
      <c r="BB196" s="805"/>
      <c r="BC196" s="804"/>
    </row>
    <row r="197" spans="1:55" s="119" customFormat="1" ht="18" customHeight="1" x14ac:dyDescent="0.25">
      <c r="A197" s="170">
        <v>11534</v>
      </c>
      <c r="B197" s="152" t="s">
        <v>115</v>
      </c>
      <c r="C197" s="212">
        <v>2000</v>
      </c>
      <c r="D197" s="87">
        <v>2384.1</v>
      </c>
      <c r="E197" s="893">
        <f t="shared" si="188"/>
        <v>384.09999999999991</v>
      </c>
      <c r="F197" s="450">
        <f t="shared" si="214"/>
        <v>19.205000000000005</v>
      </c>
      <c r="G197" s="212">
        <v>2000</v>
      </c>
      <c r="H197" s="87">
        <v>3374.35</v>
      </c>
      <c r="I197" s="87">
        <f t="shared" si="208"/>
        <v>1374.35</v>
      </c>
      <c r="J197" s="452">
        <f t="shared" si="195"/>
        <v>68.717499999999987</v>
      </c>
      <c r="K197" s="440">
        <v>2000</v>
      </c>
      <c r="L197" s="87">
        <v>1707.28</v>
      </c>
      <c r="M197" s="87">
        <f t="shared" si="209"/>
        <v>-292.72000000000003</v>
      </c>
      <c r="N197" s="453">
        <f>((L197/K198)-1)*100</f>
        <v>-102.84418678261449</v>
      </c>
      <c r="O197" s="440">
        <v>2000</v>
      </c>
      <c r="P197" s="87">
        <v>2772.12</v>
      </c>
      <c r="Q197" s="87">
        <f>P197-O198</f>
        <v>62799.12</v>
      </c>
      <c r="R197" s="452">
        <f>((P197/O198)-1)*100</f>
        <v>-104.61812184516968</v>
      </c>
      <c r="S197" s="440">
        <v>2000</v>
      </c>
      <c r="T197" s="87">
        <v>2539.23</v>
      </c>
      <c r="U197" s="87">
        <f t="shared" si="211"/>
        <v>539.23</v>
      </c>
      <c r="V197" s="453">
        <f t="shared" si="198"/>
        <v>26.961499999999994</v>
      </c>
      <c r="W197" s="440">
        <v>2000</v>
      </c>
      <c r="X197" s="137">
        <v>3238.08</v>
      </c>
      <c r="Y197" s="87">
        <f t="shared" si="212"/>
        <v>1238.08</v>
      </c>
      <c r="Z197" s="453">
        <f t="shared" si="199"/>
        <v>61.904000000000003</v>
      </c>
      <c r="AA197" s="440">
        <v>2000</v>
      </c>
      <c r="AB197" s="440">
        <v>2134.1</v>
      </c>
      <c r="AC197" s="87">
        <f t="shared" si="215"/>
        <v>134.09999999999991</v>
      </c>
      <c r="AD197" s="452">
        <f t="shared" si="216"/>
        <v>6.7050000000000054</v>
      </c>
      <c r="AE197" s="440">
        <v>2000</v>
      </c>
      <c r="AF197" s="440">
        <v>3139.1</v>
      </c>
      <c r="AG197" s="96">
        <f t="shared" si="217"/>
        <v>1139.0999999999999</v>
      </c>
      <c r="AH197" s="453">
        <f t="shared" si="218"/>
        <v>56.954999999999998</v>
      </c>
      <c r="AI197" s="440">
        <v>2000</v>
      </c>
      <c r="AJ197" s="46">
        <v>4278.28</v>
      </c>
      <c r="AK197" s="96">
        <f t="shared" si="191"/>
        <v>2278.2799999999997</v>
      </c>
      <c r="AL197" s="452">
        <f t="shared" si="219"/>
        <v>113.91399999999999</v>
      </c>
      <c r="AM197" s="440">
        <v>2000</v>
      </c>
      <c r="AN197" s="46">
        <v>1718.34</v>
      </c>
      <c r="AO197" s="96">
        <f t="shared" si="192"/>
        <v>-281.66000000000008</v>
      </c>
      <c r="AP197" s="448">
        <f t="shared" si="220"/>
        <v>-14.083000000000002</v>
      </c>
      <c r="AQ197" s="440">
        <v>2000</v>
      </c>
      <c r="AR197" s="440"/>
      <c r="AS197" s="96">
        <f t="shared" si="193"/>
        <v>-2000</v>
      </c>
      <c r="AT197" s="449">
        <f t="shared" si="204"/>
        <v>-100</v>
      </c>
      <c r="AU197" s="440">
        <v>2000</v>
      </c>
      <c r="AV197" s="46"/>
      <c r="AW197" s="87">
        <f t="shared" si="207"/>
        <v>-2000</v>
      </c>
      <c r="AX197" s="448">
        <f t="shared" si="205"/>
        <v>-100</v>
      </c>
      <c r="AY197" s="1131">
        <f t="shared" si="206"/>
        <v>24000</v>
      </c>
      <c r="AZ197" s="188">
        <f t="shared" si="194"/>
        <v>27284.979999999996</v>
      </c>
      <c r="BA197" s="398">
        <f t="shared" si="158"/>
        <v>2728.4979999999996</v>
      </c>
      <c r="BB197" s="805"/>
      <c r="BC197" s="804"/>
    </row>
    <row r="198" spans="1:55" s="119" customFormat="1" ht="18" customHeight="1" x14ac:dyDescent="0.25">
      <c r="A198" s="170">
        <v>33248</v>
      </c>
      <c r="B198" s="152" t="s">
        <v>221</v>
      </c>
      <c r="C198" s="212">
        <v>-60027</v>
      </c>
      <c r="D198" s="103">
        <v>-57431.41</v>
      </c>
      <c r="E198" s="893">
        <f t="shared" si="188"/>
        <v>2595.5899999999965</v>
      </c>
      <c r="F198" s="450">
        <f t="shared" si="214"/>
        <v>-4.3240375164509288</v>
      </c>
      <c r="G198" s="212">
        <v>-60027</v>
      </c>
      <c r="H198" s="87">
        <v>-61602.45</v>
      </c>
      <c r="I198" s="87">
        <f t="shared" si="208"/>
        <v>-1575.4499999999971</v>
      </c>
      <c r="J198" s="452">
        <f t="shared" si="195"/>
        <v>2.6245689439752029</v>
      </c>
      <c r="K198" s="440">
        <v>-60027</v>
      </c>
      <c r="L198" s="103">
        <v>-63016.57</v>
      </c>
      <c r="M198" s="87">
        <f t="shared" si="209"/>
        <v>-2989.5699999999997</v>
      </c>
      <c r="N198" s="453">
        <f>((L198/K199)-1)*100</f>
        <v>-63116.57</v>
      </c>
      <c r="O198" s="440">
        <v>-60027</v>
      </c>
      <c r="P198" s="103">
        <v>-63404.68</v>
      </c>
      <c r="Q198" s="87">
        <f>P198-O199</f>
        <v>-63504.68</v>
      </c>
      <c r="R198" s="452">
        <f>((P198/O199)-1)*100</f>
        <v>-63504.679999999993</v>
      </c>
      <c r="S198" s="440">
        <v>-60027</v>
      </c>
      <c r="T198" s="103">
        <v>-57191.61</v>
      </c>
      <c r="U198" s="87">
        <f t="shared" si="211"/>
        <v>2835.3899999999994</v>
      </c>
      <c r="V198" s="453">
        <f t="shared" si="198"/>
        <v>-4.7235244140136912</v>
      </c>
      <c r="W198" s="440">
        <v>-60027</v>
      </c>
      <c r="X198" s="137">
        <v>-80068.58</v>
      </c>
      <c r="Y198" s="87">
        <f t="shared" si="212"/>
        <v>-20041.580000000002</v>
      </c>
      <c r="Z198" s="453">
        <f t="shared" si="199"/>
        <v>33.38760890932415</v>
      </c>
      <c r="AA198" s="440">
        <v>-60027</v>
      </c>
      <c r="AB198" s="440">
        <v>-67850.67</v>
      </c>
      <c r="AC198" s="87">
        <f t="shared" si="215"/>
        <v>-7823.6699999999983</v>
      </c>
      <c r="AD198" s="452">
        <f t="shared" si="216"/>
        <v>13.033584886800931</v>
      </c>
      <c r="AE198" s="440">
        <v>-60027</v>
      </c>
      <c r="AF198" s="440">
        <v>-70133.72</v>
      </c>
      <c r="AG198" s="96">
        <f t="shared" si="217"/>
        <v>-10106.720000000001</v>
      </c>
      <c r="AH198" s="453">
        <f t="shared" si="218"/>
        <v>16.836956702817062</v>
      </c>
      <c r="AI198" s="440">
        <v>-60027</v>
      </c>
      <c r="AJ198" s="454">
        <v>-69460.490000000005</v>
      </c>
      <c r="AK198" s="96">
        <f t="shared" si="191"/>
        <v>-9433.4900000000052</v>
      </c>
      <c r="AL198" s="452">
        <f t="shared" si="219"/>
        <v>15.715411398204161</v>
      </c>
      <c r="AM198" s="440">
        <v>-60027</v>
      </c>
      <c r="AN198" s="454">
        <v>-70478.210000000006</v>
      </c>
      <c r="AO198" s="96">
        <f t="shared" si="192"/>
        <v>-10451.210000000006</v>
      </c>
      <c r="AP198" s="448">
        <f t="shared" si="220"/>
        <v>17.410848451530157</v>
      </c>
      <c r="AQ198" s="440">
        <v>-60027</v>
      </c>
      <c r="AR198" s="440"/>
      <c r="AS198" s="96">
        <f t="shared" si="193"/>
        <v>60027</v>
      </c>
      <c r="AT198" s="449">
        <f t="shared" si="204"/>
        <v>-100</v>
      </c>
      <c r="AU198" s="440">
        <v>-60027</v>
      </c>
      <c r="AV198" s="454"/>
      <c r="AW198" s="87">
        <f t="shared" si="207"/>
        <v>60027</v>
      </c>
      <c r="AX198" s="448">
        <f t="shared" si="205"/>
        <v>-100</v>
      </c>
      <c r="AY198" s="1131">
        <f t="shared" si="206"/>
        <v>-720324</v>
      </c>
      <c r="AZ198" s="233">
        <f t="shared" si="194"/>
        <v>-660638.3899999999</v>
      </c>
      <c r="BA198" s="398">
        <f t="shared" si="158"/>
        <v>-66063.838999999993</v>
      </c>
      <c r="BB198" s="805"/>
      <c r="BC198" s="804"/>
    </row>
    <row r="199" spans="1:55" s="119" customFormat="1" ht="18" customHeight="1" x14ac:dyDescent="0.25">
      <c r="A199" s="170">
        <v>11611</v>
      </c>
      <c r="B199" s="152" t="s">
        <v>329</v>
      </c>
      <c r="C199" s="212">
        <v>100</v>
      </c>
      <c r="D199" s="87">
        <v>0</v>
      </c>
      <c r="E199" s="893">
        <f t="shared" si="188"/>
        <v>-100</v>
      </c>
      <c r="F199" s="450">
        <f t="shared" si="214"/>
        <v>-100</v>
      </c>
      <c r="G199" s="212">
        <v>100</v>
      </c>
      <c r="H199" s="87">
        <v>103.26</v>
      </c>
      <c r="I199" s="87">
        <f t="shared" si="208"/>
        <v>3.2600000000000051</v>
      </c>
      <c r="J199" s="452">
        <f t="shared" si="195"/>
        <v>3.2599999999999962</v>
      </c>
      <c r="K199" s="1133">
        <v>100</v>
      </c>
      <c r="L199" s="87">
        <v>-103.26</v>
      </c>
      <c r="M199" s="87">
        <f t="shared" si="209"/>
        <v>-203.26</v>
      </c>
      <c r="N199" s="453">
        <f>((L199/K200)-1)*100</f>
        <v>-106.884</v>
      </c>
      <c r="O199" s="1133">
        <v>100</v>
      </c>
      <c r="P199" s="87">
        <v>103.26</v>
      </c>
      <c r="Q199" s="87">
        <f>P199-O200</f>
        <v>-1396.74</v>
      </c>
      <c r="R199" s="452">
        <f>((P199/O200)-1)*100</f>
        <v>-93.116</v>
      </c>
      <c r="S199" s="1133">
        <v>100</v>
      </c>
      <c r="T199" s="87">
        <v>58.98</v>
      </c>
      <c r="U199" s="87">
        <f t="shared" si="211"/>
        <v>-41.02</v>
      </c>
      <c r="V199" s="453">
        <f t="shared" si="198"/>
        <v>-41.02</v>
      </c>
      <c r="W199" s="1133">
        <v>100</v>
      </c>
      <c r="X199" s="137">
        <v>289.14999999999998</v>
      </c>
      <c r="Y199" s="87">
        <f t="shared" si="212"/>
        <v>189.14999999999998</v>
      </c>
      <c r="Z199" s="453">
        <f t="shared" si="199"/>
        <v>189.14999999999998</v>
      </c>
      <c r="AA199" s="1133">
        <v>100</v>
      </c>
      <c r="AB199" s="440">
        <v>221.56</v>
      </c>
      <c r="AC199" s="87">
        <f t="shared" si="215"/>
        <v>121.56</v>
      </c>
      <c r="AD199" s="452">
        <f t="shared" si="216"/>
        <v>121.56000000000003</v>
      </c>
      <c r="AE199" s="1133">
        <v>100</v>
      </c>
      <c r="AF199" s="440">
        <v>0</v>
      </c>
      <c r="AG199" s="96">
        <f t="shared" si="217"/>
        <v>-100</v>
      </c>
      <c r="AH199" s="453">
        <f t="shared" si="218"/>
        <v>-100</v>
      </c>
      <c r="AI199" s="1133">
        <v>100</v>
      </c>
      <c r="AJ199" s="46">
        <v>403.43</v>
      </c>
      <c r="AK199" s="96">
        <f t="shared" si="191"/>
        <v>303.43</v>
      </c>
      <c r="AL199" s="452">
        <f t="shared" si="219"/>
        <v>303.43</v>
      </c>
      <c r="AM199" s="1133">
        <v>100</v>
      </c>
      <c r="AN199" s="46">
        <v>0</v>
      </c>
      <c r="AO199" s="96">
        <f t="shared" si="192"/>
        <v>-100</v>
      </c>
      <c r="AP199" s="448">
        <f t="shared" si="220"/>
        <v>-100</v>
      </c>
      <c r="AQ199" s="1133">
        <v>100</v>
      </c>
      <c r="AR199" s="440"/>
      <c r="AS199" s="96">
        <f t="shared" si="193"/>
        <v>-100</v>
      </c>
      <c r="AT199" s="449">
        <f t="shared" si="204"/>
        <v>-100</v>
      </c>
      <c r="AU199" s="1133">
        <v>100</v>
      </c>
      <c r="AV199" s="46"/>
      <c r="AW199" s="87">
        <f t="shared" si="207"/>
        <v>-100</v>
      </c>
      <c r="AX199" s="448">
        <f t="shared" si="205"/>
        <v>-100</v>
      </c>
      <c r="AY199" s="1131">
        <f t="shared" si="206"/>
        <v>1200</v>
      </c>
      <c r="AZ199" s="188">
        <f t="shared" si="194"/>
        <v>1076.3800000000001</v>
      </c>
      <c r="BA199" s="398">
        <f t="shared" si="158"/>
        <v>107.63800000000001</v>
      </c>
      <c r="BB199" s="805"/>
      <c r="BC199" s="804"/>
    </row>
    <row r="200" spans="1:55" s="119" customFormat="1" ht="18" customHeight="1" x14ac:dyDescent="0.25">
      <c r="A200" s="170">
        <v>11820</v>
      </c>
      <c r="B200" s="152" t="s">
        <v>330</v>
      </c>
      <c r="C200" s="212">
        <v>1500</v>
      </c>
      <c r="D200" s="87">
        <v>9987.7999999999993</v>
      </c>
      <c r="E200" s="893">
        <f t="shared" si="188"/>
        <v>8487.7999999999993</v>
      </c>
      <c r="F200" s="450">
        <f t="shared" si="214"/>
        <v>565.85333333333324</v>
      </c>
      <c r="G200" s="212">
        <v>1500</v>
      </c>
      <c r="H200" s="87">
        <v>122.08</v>
      </c>
      <c r="I200" s="87">
        <f t="shared" si="208"/>
        <v>-1377.92</v>
      </c>
      <c r="J200" s="452">
        <f t="shared" si="195"/>
        <v>-91.861333333333334</v>
      </c>
      <c r="K200" s="440">
        <v>1500</v>
      </c>
      <c r="L200" s="87">
        <v>122.08</v>
      </c>
      <c r="M200" s="87">
        <f t="shared" si="209"/>
        <v>-1377.92</v>
      </c>
      <c r="N200" s="453">
        <f>((L200/K200)-1)*100</f>
        <v>-91.861333333333334</v>
      </c>
      <c r="O200" s="440">
        <v>1500</v>
      </c>
      <c r="P200" s="87">
        <v>1636.82</v>
      </c>
      <c r="Q200" s="87">
        <f>P200-O201</f>
        <v>1636.82</v>
      </c>
      <c r="R200" s="452">
        <f>((P200/O200)-1)*100</f>
        <v>9.121333333333336</v>
      </c>
      <c r="S200" s="440">
        <v>1500</v>
      </c>
      <c r="T200" s="87">
        <v>1729.47</v>
      </c>
      <c r="U200" s="87">
        <f t="shared" si="211"/>
        <v>229.47000000000003</v>
      </c>
      <c r="V200" s="453">
        <f t="shared" si="198"/>
        <v>15.298000000000012</v>
      </c>
      <c r="W200" s="440">
        <v>1500</v>
      </c>
      <c r="X200" s="137">
        <v>244.15</v>
      </c>
      <c r="Y200" s="87">
        <f t="shared" si="212"/>
        <v>-1255.8499999999999</v>
      </c>
      <c r="Z200" s="453"/>
      <c r="AA200" s="440">
        <v>1500</v>
      </c>
      <c r="AB200" s="440">
        <v>1461.29</v>
      </c>
      <c r="AC200" s="87">
        <f t="shared" si="215"/>
        <v>-38.710000000000036</v>
      </c>
      <c r="AD200" s="452">
        <f t="shared" si="216"/>
        <v>-2.5806666666666644</v>
      </c>
      <c r="AE200" s="440">
        <v>1500</v>
      </c>
      <c r="AF200" s="440">
        <v>366.22</v>
      </c>
      <c r="AG200" s="96">
        <f t="shared" si="217"/>
        <v>-1133.78</v>
      </c>
      <c r="AH200" s="453">
        <f t="shared" si="218"/>
        <v>-75.585333333333324</v>
      </c>
      <c r="AI200" s="440">
        <v>1500</v>
      </c>
      <c r="AJ200" s="46">
        <v>244.15</v>
      </c>
      <c r="AK200" s="96">
        <f t="shared" si="191"/>
        <v>-1255.8499999999999</v>
      </c>
      <c r="AL200" s="452">
        <f t="shared" si="219"/>
        <v>-83.723333333333329</v>
      </c>
      <c r="AM200" s="440">
        <v>1500</v>
      </c>
      <c r="AN200" s="46">
        <v>292.76</v>
      </c>
      <c r="AO200" s="96">
        <f t="shared" si="192"/>
        <v>-1207.24</v>
      </c>
      <c r="AP200" s="448">
        <f t="shared" si="220"/>
        <v>-80.482666666666674</v>
      </c>
      <c r="AQ200" s="440">
        <v>1500</v>
      </c>
      <c r="AR200" s="440"/>
      <c r="AS200" s="96">
        <f t="shared" si="193"/>
        <v>-1500</v>
      </c>
      <c r="AT200" s="449">
        <f t="shared" si="204"/>
        <v>-100</v>
      </c>
      <c r="AU200" s="440">
        <v>1500</v>
      </c>
      <c r="AV200" s="46"/>
      <c r="AW200" s="87">
        <f t="shared" si="207"/>
        <v>-1500</v>
      </c>
      <c r="AX200" s="448">
        <f t="shared" si="205"/>
        <v>-100</v>
      </c>
      <c r="AY200" s="1131">
        <f t="shared" si="206"/>
        <v>18000</v>
      </c>
      <c r="AZ200" s="188">
        <f t="shared" si="194"/>
        <v>16206.819999999998</v>
      </c>
      <c r="BA200" s="398">
        <f t="shared" ref="BA200:BA208" si="221">AZ200/10</f>
        <v>1620.6819999999998</v>
      </c>
      <c r="BB200" s="805"/>
      <c r="BC200" s="804"/>
    </row>
    <row r="201" spans="1:55" s="119" customFormat="1" ht="18" customHeight="1" x14ac:dyDescent="0.25">
      <c r="A201" s="170">
        <v>11908</v>
      </c>
      <c r="B201" s="152" t="s">
        <v>225</v>
      </c>
      <c r="C201" s="440">
        <v>0</v>
      </c>
      <c r="D201" s="87">
        <v>0</v>
      </c>
      <c r="E201" s="893">
        <f t="shared" si="188"/>
        <v>0</v>
      </c>
      <c r="F201" s="450"/>
      <c r="G201" s="440"/>
      <c r="H201" s="87">
        <v>0</v>
      </c>
      <c r="I201" s="87">
        <f t="shared" si="208"/>
        <v>0</v>
      </c>
      <c r="J201" s="452"/>
      <c r="K201" s="440"/>
      <c r="L201" s="87">
        <v>0</v>
      </c>
      <c r="M201" s="87">
        <f t="shared" si="209"/>
        <v>0</v>
      </c>
      <c r="N201" s="453"/>
      <c r="O201" s="440"/>
      <c r="P201" s="87">
        <v>0</v>
      </c>
      <c r="Q201" s="87">
        <f t="shared" si="210"/>
        <v>0</v>
      </c>
      <c r="R201" s="452"/>
      <c r="S201" s="440"/>
      <c r="T201" s="87">
        <v>0</v>
      </c>
      <c r="U201" s="87">
        <f t="shared" si="211"/>
        <v>0</v>
      </c>
      <c r="V201" s="453"/>
      <c r="W201" s="440">
        <v>0</v>
      </c>
      <c r="X201" s="137">
        <v>0</v>
      </c>
      <c r="Y201" s="87">
        <f t="shared" si="212"/>
        <v>0</v>
      </c>
      <c r="Z201" s="453"/>
      <c r="AA201" s="440"/>
      <c r="AB201" s="440">
        <v>0</v>
      </c>
      <c r="AC201" s="87">
        <f t="shared" si="215"/>
        <v>0</v>
      </c>
      <c r="AD201" s="452"/>
      <c r="AE201" s="440"/>
      <c r="AF201" s="440">
        <v>0</v>
      </c>
      <c r="AG201" s="96">
        <f t="shared" si="217"/>
        <v>0</v>
      </c>
      <c r="AH201" s="453"/>
      <c r="AI201" s="440"/>
      <c r="AJ201" s="46">
        <v>0</v>
      </c>
      <c r="AK201" s="96">
        <f t="shared" si="191"/>
        <v>0</v>
      </c>
      <c r="AL201" s="452"/>
      <c r="AM201" s="440"/>
      <c r="AN201" s="46">
        <v>0</v>
      </c>
      <c r="AO201" s="96">
        <f t="shared" si="192"/>
        <v>0</v>
      </c>
      <c r="AP201" s="448"/>
      <c r="AQ201" s="440"/>
      <c r="AR201" s="440"/>
      <c r="AS201" s="96">
        <f t="shared" si="193"/>
        <v>0</v>
      </c>
      <c r="AT201" s="449"/>
      <c r="AU201" s="440"/>
      <c r="AV201" s="46"/>
      <c r="AW201" s="87">
        <f t="shared" si="207"/>
        <v>0</v>
      </c>
      <c r="AX201" s="448"/>
      <c r="AY201" s="1131">
        <f t="shared" si="206"/>
        <v>0</v>
      </c>
      <c r="AZ201" s="188">
        <f t="shared" si="194"/>
        <v>0</v>
      </c>
      <c r="BA201" s="398">
        <f t="shared" si="221"/>
        <v>0</v>
      </c>
      <c r="BB201" s="805"/>
      <c r="BC201" s="804"/>
    </row>
    <row r="202" spans="1:55" s="119" customFormat="1" ht="18" customHeight="1" x14ac:dyDescent="0.25">
      <c r="A202" s="170">
        <v>53474</v>
      </c>
      <c r="B202" s="152" t="s">
        <v>140</v>
      </c>
      <c r="C202" s="212">
        <v>2900</v>
      </c>
      <c r="D202" s="87">
        <v>2827.67</v>
      </c>
      <c r="E202" s="893">
        <f t="shared" si="188"/>
        <v>-72.329999999999927</v>
      </c>
      <c r="F202" s="450">
        <f t="shared" si="214"/>
        <v>-2.4941379310344791</v>
      </c>
      <c r="G202" s="212">
        <v>2900</v>
      </c>
      <c r="H202" s="87">
        <v>3120</v>
      </c>
      <c r="I202" s="87">
        <f t="shared" si="208"/>
        <v>220</v>
      </c>
      <c r="J202" s="452">
        <f t="shared" si="195"/>
        <v>7.5862068965517171</v>
      </c>
      <c r="K202" s="440">
        <v>2900</v>
      </c>
      <c r="L202" s="87">
        <v>3120</v>
      </c>
      <c r="M202" s="87">
        <f t="shared" si="209"/>
        <v>220</v>
      </c>
      <c r="N202" s="453">
        <f>((L202/K202)-1)*100</f>
        <v>7.5862068965517171</v>
      </c>
      <c r="O202" s="440">
        <v>2900</v>
      </c>
      <c r="P202" s="87">
        <v>2827.67</v>
      </c>
      <c r="Q202" s="87">
        <f t="shared" si="210"/>
        <v>-72.329999999999927</v>
      </c>
      <c r="R202" s="452">
        <f t="shared" si="197"/>
        <v>-2.4941379310344791</v>
      </c>
      <c r="S202" s="1134">
        <f>O202</f>
        <v>2900</v>
      </c>
      <c r="T202" s="87">
        <v>3245.07</v>
      </c>
      <c r="U202" s="87">
        <f t="shared" si="211"/>
        <v>345.07000000000016</v>
      </c>
      <c r="V202" s="453">
        <f t="shared" si="198"/>
        <v>11.89896551724139</v>
      </c>
      <c r="W202" s="440">
        <v>2900</v>
      </c>
      <c r="X202" s="137">
        <v>3245.07</v>
      </c>
      <c r="Y202" s="87">
        <f t="shared" si="212"/>
        <v>345.07000000000016</v>
      </c>
      <c r="Z202" s="453">
        <f>((X202/W202)-1)*100</f>
        <v>11.89896551724139</v>
      </c>
      <c r="AA202" s="440">
        <v>2900</v>
      </c>
      <c r="AB202" s="440">
        <v>3535.07</v>
      </c>
      <c r="AC202" s="87">
        <f t="shared" si="215"/>
        <v>635.07000000000016</v>
      </c>
      <c r="AD202" s="452">
        <f t="shared" si="216"/>
        <v>21.898965517241376</v>
      </c>
      <c r="AE202" s="440">
        <v>2900</v>
      </c>
      <c r="AF202" s="440">
        <v>18196.8</v>
      </c>
      <c r="AG202" s="96">
        <f t="shared" si="217"/>
        <v>15296.8</v>
      </c>
      <c r="AH202" s="453">
        <f t="shared" si="218"/>
        <v>527.47586206896551</v>
      </c>
      <c r="AI202" s="440">
        <v>2900</v>
      </c>
      <c r="AJ202" s="46">
        <v>-18196.8</v>
      </c>
      <c r="AK202" s="96">
        <f t="shared" si="191"/>
        <v>-21096.799999999999</v>
      </c>
      <c r="AL202" s="452">
        <f t="shared" si="219"/>
        <v>-727.47586206896551</v>
      </c>
      <c r="AM202" s="440">
        <v>2900</v>
      </c>
      <c r="AN202" s="46">
        <v>0</v>
      </c>
      <c r="AO202" s="96">
        <f t="shared" si="192"/>
        <v>-2900</v>
      </c>
      <c r="AP202" s="448">
        <f t="shared" si="220"/>
        <v>-100</v>
      </c>
      <c r="AQ202" s="440">
        <v>2900</v>
      </c>
      <c r="AR202" s="440"/>
      <c r="AS202" s="96">
        <f t="shared" si="193"/>
        <v>-2900</v>
      </c>
      <c r="AT202" s="449">
        <f t="shared" si="204"/>
        <v>-100</v>
      </c>
      <c r="AU202" s="440">
        <v>2900</v>
      </c>
      <c r="AV202" s="46"/>
      <c r="AW202" s="87">
        <f t="shared" si="207"/>
        <v>-2900</v>
      </c>
      <c r="AX202" s="448">
        <f t="shared" si="205"/>
        <v>-100</v>
      </c>
      <c r="AY202" s="1131">
        <f t="shared" si="206"/>
        <v>34800</v>
      </c>
      <c r="AZ202" s="188">
        <f t="shared" si="194"/>
        <v>21920.55</v>
      </c>
      <c r="BA202" s="398">
        <f t="shared" si="221"/>
        <v>2192.0549999999998</v>
      </c>
      <c r="BB202" s="805"/>
      <c r="BC202" s="804"/>
    </row>
    <row r="203" spans="1:55" s="119" customFormat="1" ht="18" customHeight="1" x14ac:dyDescent="0.25">
      <c r="A203" s="579">
        <v>37992</v>
      </c>
      <c r="B203" s="147" t="s">
        <v>222</v>
      </c>
      <c r="C203" s="440">
        <v>0</v>
      </c>
      <c r="D203" s="583">
        <v>0</v>
      </c>
      <c r="E203" s="584">
        <f t="shared" si="188"/>
        <v>0</v>
      </c>
      <c r="F203" s="102"/>
      <c r="G203" s="1132">
        <v>0</v>
      </c>
      <c r="H203" s="583">
        <v>0</v>
      </c>
      <c r="I203" s="583">
        <f t="shared" si="208"/>
        <v>0</v>
      </c>
      <c r="J203" s="1135"/>
      <c r="K203" s="1136">
        <v>0</v>
      </c>
      <c r="L203" s="82">
        <v>240</v>
      </c>
      <c r="M203" s="583">
        <f>L203-K203</f>
        <v>240</v>
      </c>
      <c r="N203" s="453"/>
      <c r="O203" s="582">
        <v>0</v>
      </c>
      <c r="P203" s="583">
        <v>0</v>
      </c>
      <c r="Q203" s="87">
        <f t="shared" si="210"/>
        <v>0</v>
      </c>
      <c r="R203" s="452"/>
      <c r="S203" s="1132">
        <v>0</v>
      </c>
      <c r="T203" s="583">
        <v>0</v>
      </c>
      <c r="U203" s="583">
        <f t="shared" si="211"/>
        <v>0</v>
      </c>
      <c r="V203" s="1137"/>
      <c r="W203" s="582">
        <v>0</v>
      </c>
      <c r="X203" s="137">
        <v>252</v>
      </c>
      <c r="Y203" s="82">
        <f t="shared" si="212"/>
        <v>252</v>
      </c>
      <c r="Z203" s="1137"/>
      <c r="AA203" s="1077">
        <v>0</v>
      </c>
      <c r="AB203" s="442">
        <v>0</v>
      </c>
      <c r="AC203" s="87">
        <f t="shared" si="215"/>
        <v>0</v>
      </c>
      <c r="AD203" s="452"/>
      <c r="AE203" s="1077">
        <v>0</v>
      </c>
      <c r="AF203" s="442">
        <v>0</v>
      </c>
      <c r="AG203" s="96">
        <f t="shared" si="217"/>
        <v>0</v>
      </c>
      <c r="AH203" s="453"/>
      <c r="AI203" s="1132">
        <v>0</v>
      </c>
      <c r="AJ203" s="47">
        <v>0</v>
      </c>
      <c r="AK203" s="96">
        <f t="shared" si="191"/>
        <v>0</v>
      </c>
      <c r="AL203" s="452"/>
      <c r="AM203" s="582">
        <v>0</v>
      </c>
      <c r="AN203" s="587">
        <v>0</v>
      </c>
      <c r="AO203" s="96">
        <f t="shared" si="192"/>
        <v>0</v>
      </c>
      <c r="AP203" s="448"/>
      <c r="AQ203" s="582">
        <v>0</v>
      </c>
      <c r="AR203" s="440"/>
      <c r="AS203" s="96">
        <f t="shared" si="193"/>
        <v>0</v>
      </c>
      <c r="AT203" s="449"/>
      <c r="AU203" s="582">
        <v>0</v>
      </c>
      <c r="AV203" s="47"/>
      <c r="AW203" s="87">
        <f t="shared" si="207"/>
        <v>0</v>
      </c>
      <c r="AX203" s="448"/>
      <c r="AY203" s="1131">
        <f t="shared" si="206"/>
        <v>0</v>
      </c>
      <c r="AZ203" s="368">
        <f t="shared" si="194"/>
        <v>492</v>
      </c>
      <c r="BA203" s="398">
        <f t="shared" si="221"/>
        <v>49.2</v>
      </c>
      <c r="BB203" s="805"/>
      <c r="BC203" s="804"/>
    </row>
    <row r="204" spans="1:55" s="119" customFormat="1" ht="18" customHeight="1" x14ac:dyDescent="0.25">
      <c r="A204" s="1138">
        <v>11870</v>
      </c>
      <c r="B204" s="382" t="s">
        <v>3654</v>
      </c>
      <c r="C204" s="1132">
        <v>0</v>
      </c>
      <c r="D204" s="1002">
        <v>0</v>
      </c>
      <c r="E204" s="490">
        <f t="shared" si="188"/>
        <v>0</v>
      </c>
      <c r="F204" s="1077"/>
      <c r="G204" s="1132">
        <v>0</v>
      </c>
      <c r="H204" s="82">
        <v>0</v>
      </c>
      <c r="I204" s="82">
        <f t="shared" si="208"/>
        <v>0</v>
      </c>
      <c r="J204" s="1137"/>
      <c r="K204" s="582">
        <v>0</v>
      </c>
      <c r="L204" s="85">
        <v>0</v>
      </c>
      <c r="M204" s="583">
        <f>L204-K204</f>
        <v>0</v>
      </c>
      <c r="N204" s="1137"/>
      <c r="O204" s="582">
        <v>0</v>
      </c>
      <c r="P204" s="583">
        <v>0</v>
      </c>
      <c r="Q204" s="82">
        <f t="shared" si="210"/>
        <v>0</v>
      </c>
      <c r="R204" s="1137"/>
      <c r="S204" s="442">
        <v>0</v>
      </c>
      <c r="T204" s="82">
        <v>0</v>
      </c>
      <c r="U204" s="583">
        <f t="shared" si="211"/>
        <v>0</v>
      </c>
      <c r="V204" s="1137"/>
      <c r="W204" s="84">
        <v>0</v>
      </c>
      <c r="X204" s="131">
        <v>0</v>
      </c>
      <c r="Y204" s="82">
        <f t="shared" si="212"/>
        <v>0</v>
      </c>
      <c r="Z204" s="1137"/>
      <c r="AA204" s="1139">
        <v>0</v>
      </c>
      <c r="AB204" s="1132">
        <v>0</v>
      </c>
      <c r="AC204" s="85">
        <f t="shared" si="215"/>
        <v>0</v>
      </c>
      <c r="AD204" s="456"/>
      <c r="AE204" s="1077">
        <v>0</v>
      </c>
      <c r="AF204" s="1140">
        <v>0</v>
      </c>
      <c r="AG204" s="1033">
        <f t="shared" si="217"/>
        <v>0</v>
      </c>
      <c r="AH204" s="455"/>
      <c r="AI204" s="442">
        <v>0</v>
      </c>
      <c r="AJ204" s="87">
        <v>0</v>
      </c>
      <c r="AK204" s="96">
        <f t="shared" si="191"/>
        <v>0</v>
      </c>
      <c r="AL204" s="452"/>
      <c r="AM204" s="1132">
        <v>0</v>
      </c>
      <c r="AN204" s="587">
        <v>0</v>
      </c>
      <c r="AO204" s="97">
        <f t="shared" si="192"/>
        <v>0</v>
      </c>
      <c r="AP204" s="1141"/>
      <c r="AQ204" s="1077">
        <v>0</v>
      </c>
      <c r="AR204" s="442"/>
      <c r="AS204" s="1033">
        <f t="shared" si="193"/>
        <v>0</v>
      </c>
      <c r="AT204" s="1141"/>
      <c r="AU204" s="84">
        <v>0</v>
      </c>
      <c r="AV204" s="47"/>
      <c r="AW204" s="85">
        <f t="shared" si="207"/>
        <v>0</v>
      </c>
      <c r="AX204" s="1007"/>
      <c r="AY204" s="1131">
        <f t="shared" si="206"/>
        <v>0</v>
      </c>
      <c r="AZ204" s="1142">
        <f t="shared" si="194"/>
        <v>0</v>
      </c>
      <c r="BA204" s="398">
        <f t="shared" si="221"/>
        <v>0</v>
      </c>
      <c r="BB204" s="805"/>
      <c r="BC204" s="804"/>
    </row>
    <row r="205" spans="1:55" s="119" customFormat="1" ht="18" customHeight="1" outlineLevel="1" thickBot="1" x14ac:dyDescent="0.3">
      <c r="A205" s="1143">
        <v>11161</v>
      </c>
      <c r="B205" s="384" t="s">
        <v>3764</v>
      </c>
      <c r="C205" s="1144">
        <v>0</v>
      </c>
      <c r="D205" s="91">
        <v>0</v>
      </c>
      <c r="E205" s="1145">
        <f t="shared" si="188"/>
        <v>0</v>
      </c>
      <c r="F205" s="1146"/>
      <c r="G205" s="1147">
        <v>0</v>
      </c>
      <c r="H205" s="91">
        <v>0</v>
      </c>
      <c r="I205" s="91">
        <f t="shared" si="208"/>
        <v>0</v>
      </c>
      <c r="J205" s="1148"/>
      <c r="K205" s="1147">
        <v>0</v>
      </c>
      <c r="L205" s="91">
        <v>0</v>
      </c>
      <c r="M205" s="1149">
        <f>L205-K205</f>
        <v>0</v>
      </c>
      <c r="N205" s="1150"/>
      <c r="O205" s="1144">
        <v>0</v>
      </c>
      <c r="P205" s="1151">
        <v>0</v>
      </c>
      <c r="Q205" s="1151">
        <f t="shared" si="210"/>
        <v>0</v>
      </c>
      <c r="R205" s="1150"/>
      <c r="S205" s="1147">
        <v>0</v>
      </c>
      <c r="T205" s="91">
        <v>0</v>
      </c>
      <c r="U205" s="1149">
        <f t="shared" si="211"/>
        <v>0</v>
      </c>
      <c r="V205" s="1150"/>
      <c r="W205" s="1147">
        <v>0</v>
      </c>
      <c r="X205" s="1152">
        <v>0</v>
      </c>
      <c r="Y205" s="1008">
        <f>X205-W205</f>
        <v>0</v>
      </c>
      <c r="Z205" s="1150"/>
      <c r="AA205" s="1149">
        <v>0</v>
      </c>
      <c r="AB205" s="1147">
        <v>0</v>
      </c>
      <c r="AC205" s="91">
        <f t="shared" si="215"/>
        <v>0</v>
      </c>
      <c r="AD205" s="1153"/>
      <c r="AE205" s="1078">
        <v>0</v>
      </c>
      <c r="AF205" s="1154">
        <v>0</v>
      </c>
      <c r="AG205" s="91">
        <f t="shared" si="217"/>
        <v>0</v>
      </c>
      <c r="AH205" s="1153"/>
      <c r="AI205" s="1147">
        <v>0</v>
      </c>
      <c r="AJ205" s="1015">
        <v>1468.56</v>
      </c>
      <c r="AK205" s="1155">
        <f t="shared" si="191"/>
        <v>1468.56</v>
      </c>
      <c r="AL205" s="1150"/>
      <c r="AM205" s="1008">
        <v>0</v>
      </c>
      <c r="AN205" s="1156">
        <v>1995.41</v>
      </c>
      <c r="AO205" s="1157">
        <f>AN205-AM205</f>
        <v>1995.41</v>
      </c>
      <c r="AP205" s="1013"/>
      <c r="AQ205" s="1078">
        <v>0</v>
      </c>
      <c r="AR205" s="1147"/>
      <c r="AS205" s="1157">
        <f>AR205-AQ205</f>
        <v>0</v>
      </c>
      <c r="AT205" s="1158"/>
      <c r="AU205" s="1147">
        <v>0</v>
      </c>
      <c r="AV205" s="1011"/>
      <c r="AW205" s="1151">
        <f>AV205-AU205</f>
        <v>0</v>
      </c>
      <c r="AX205" s="1158"/>
      <c r="AY205" s="1159">
        <f t="shared" si="206"/>
        <v>0</v>
      </c>
      <c r="AZ205" s="1160">
        <f t="shared" si="194"/>
        <v>3463.9700000000003</v>
      </c>
      <c r="BA205" s="398">
        <f t="shared" si="221"/>
        <v>346.39700000000005</v>
      </c>
      <c r="BB205" s="805"/>
      <c r="BC205" s="804"/>
    </row>
    <row r="206" spans="1:55" s="119" customFormat="1" ht="18" customHeight="1" outlineLevel="1" thickBot="1" x14ac:dyDescent="0.3">
      <c r="A206" s="923"/>
      <c r="B206" s="343"/>
      <c r="C206" s="1008"/>
      <c r="D206" s="1008"/>
      <c r="E206" s="437"/>
      <c r="F206" s="1161"/>
      <c r="G206" s="437"/>
      <c r="H206" s="1008"/>
      <c r="I206" s="1008"/>
      <c r="J206" s="1009"/>
      <c r="K206" s="1008"/>
      <c r="L206" s="1008"/>
      <c r="M206" s="1008"/>
      <c r="N206" s="1009"/>
      <c r="O206" s="1008"/>
      <c r="P206" s="1008"/>
      <c r="Q206" s="1008"/>
      <c r="R206" s="1009"/>
      <c r="S206" s="437"/>
      <c r="T206" s="1008"/>
      <c r="U206" s="1008"/>
      <c r="V206" s="947"/>
      <c r="W206" s="437"/>
      <c r="X206" s="1010"/>
      <c r="Y206" s="437"/>
      <c r="Z206" s="1009"/>
      <c r="AA206" s="437"/>
      <c r="AB206" s="1008"/>
      <c r="AC206" s="1008"/>
      <c r="AD206" s="1009"/>
      <c r="AE206" s="947"/>
      <c r="AF206" s="1009"/>
      <c r="AG206" s="1008"/>
      <c r="AH206" s="1009"/>
      <c r="AI206" s="437"/>
      <c r="AJ206" s="1011"/>
      <c r="AK206" s="1012"/>
      <c r="AL206" s="1009"/>
      <c r="AM206" s="437"/>
      <c r="AN206" s="1011"/>
      <c r="AO206" s="1012"/>
      <c r="AP206" s="1013"/>
      <c r="AQ206" s="1008"/>
      <c r="AR206" s="1008"/>
      <c r="AS206" s="1014"/>
      <c r="AT206" s="924"/>
      <c r="AU206" s="437"/>
      <c r="AV206" s="1011"/>
      <c r="AW206" s="1008"/>
      <c r="AX206" s="1013"/>
      <c r="AY206" s="925"/>
      <c r="AZ206" s="66"/>
      <c r="BA206" s="398">
        <f t="shared" si="221"/>
        <v>0</v>
      </c>
      <c r="BB206" s="805"/>
      <c r="BC206" s="804"/>
    </row>
    <row r="207" spans="1:55" ht="18" customHeight="1" outlineLevel="1" thickBot="1" x14ac:dyDescent="0.3">
      <c r="A207" s="557"/>
      <c r="B207" s="559" t="s">
        <v>3625</v>
      </c>
      <c r="C207" s="478">
        <f>SUM(C208)</f>
        <v>25000</v>
      </c>
      <c r="D207" s="532">
        <f>SUM(D208)</f>
        <v>54998.770000000004</v>
      </c>
      <c r="E207" s="530">
        <f>D207-C207</f>
        <v>29998.770000000004</v>
      </c>
      <c r="F207" s="533">
        <f>((D207/C207)-1)*100</f>
        <v>119.99508000000003</v>
      </c>
      <c r="G207" s="478">
        <f>SUM(G208)</f>
        <v>25000</v>
      </c>
      <c r="H207" s="532">
        <f>SUM(H208)</f>
        <v>40622.899999999994</v>
      </c>
      <c r="I207" s="530">
        <f>H207-G207</f>
        <v>15622.899999999994</v>
      </c>
      <c r="J207" s="533">
        <f>((H207/G207)-1)*100</f>
        <v>62.491599999999977</v>
      </c>
      <c r="K207" s="478">
        <f>SUM(K208)</f>
        <v>25000</v>
      </c>
      <c r="L207" s="532">
        <f>SUM(L208)</f>
        <v>39956.25</v>
      </c>
      <c r="M207" s="530">
        <f>L207-K207</f>
        <v>14956.25</v>
      </c>
      <c r="N207" s="533">
        <f>((L207/K207)-1)*100</f>
        <v>59.824999999999996</v>
      </c>
      <c r="O207" s="478">
        <f>SUM(O208)</f>
        <v>25000</v>
      </c>
      <c r="P207" s="532">
        <f>SUM(P208)</f>
        <v>37438.07</v>
      </c>
      <c r="Q207" s="530">
        <f>P207-O207</f>
        <v>12438.07</v>
      </c>
      <c r="R207" s="533">
        <f>((P207/O207)-1)*100</f>
        <v>49.752280000000006</v>
      </c>
      <c r="S207" s="478">
        <f>SUM(S208)</f>
        <v>25000</v>
      </c>
      <c r="T207" s="478">
        <f>SUM(T208)</f>
        <v>38924.730000000003</v>
      </c>
      <c r="U207" s="392">
        <f>T207-S207</f>
        <v>13924.730000000003</v>
      </c>
      <c r="V207" s="393">
        <f>((T207/S207)-1)*100</f>
        <v>55.698920000000008</v>
      </c>
      <c r="W207" s="478">
        <f>SUM(W208)</f>
        <v>25000</v>
      </c>
      <c r="X207" s="478">
        <f t="shared" ref="X207:AW207" si="222">SUM(X208)</f>
        <v>32521.200000000001</v>
      </c>
      <c r="Y207" s="478">
        <f t="shared" si="222"/>
        <v>7521.2000000000007</v>
      </c>
      <c r="Z207" s="478">
        <f>((X207/W207)-1)*100</f>
        <v>30.084800000000001</v>
      </c>
      <c r="AA207" s="478">
        <f t="shared" si="222"/>
        <v>25000</v>
      </c>
      <c r="AB207" s="478">
        <f t="shared" si="222"/>
        <v>43030.36</v>
      </c>
      <c r="AC207" s="478">
        <f t="shared" si="222"/>
        <v>18030.36</v>
      </c>
      <c r="AD207" s="478">
        <f>((AB207/AA207)-1)*100</f>
        <v>72.121440000000007</v>
      </c>
      <c r="AE207" s="478">
        <f t="shared" si="222"/>
        <v>25000</v>
      </c>
      <c r="AF207" s="392">
        <f t="shared" si="222"/>
        <v>39952.58</v>
      </c>
      <c r="AG207" s="392">
        <f t="shared" si="222"/>
        <v>14952.580000000002</v>
      </c>
      <c r="AH207" s="392">
        <f>((AF207/AE207)-1)*100</f>
        <v>59.810320000000019</v>
      </c>
      <c r="AI207" s="395">
        <f t="shared" si="222"/>
        <v>25000</v>
      </c>
      <c r="AJ207" s="396">
        <f>SUM(AJ208)</f>
        <v>92566.94</v>
      </c>
      <c r="AK207" s="392">
        <f t="shared" si="222"/>
        <v>67566.94</v>
      </c>
      <c r="AL207" s="392">
        <f>((AJ207/AI207)-1)*100</f>
        <v>270.26776000000001</v>
      </c>
      <c r="AM207" s="487">
        <f t="shared" si="222"/>
        <v>25000</v>
      </c>
      <c r="AN207" s="396">
        <f t="shared" si="222"/>
        <v>37317.879999999997</v>
      </c>
      <c r="AO207" s="392">
        <f t="shared" si="222"/>
        <v>12317.879999999997</v>
      </c>
      <c r="AP207" s="394">
        <f>((AN207/AM207)-1)*100</f>
        <v>49.271519999999988</v>
      </c>
      <c r="AQ207" s="395">
        <f t="shared" si="222"/>
        <v>25000</v>
      </c>
      <c r="AR207" s="396">
        <f t="shared" si="222"/>
        <v>0</v>
      </c>
      <c r="AS207" s="392">
        <f t="shared" si="222"/>
        <v>-25000</v>
      </c>
      <c r="AT207" s="562">
        <f>((AR207/AQ207)-1)*100</f>
        <v>-100</v>
      </c>
      <c r="AU207" s="487">
        <f t="shared" si="222"/>
        <v>25000</v>
      </c>
      <c r="AV207" s="396">
        <f t="shared" si="222"/>
        <v>0</v>
      </c>
      <c r="AW207" s="392">
        <f t="shared" si="222"/>
        <v>-25000</v>
      </c>
      <c r="AX207" s="393">
        <f>((AV207/AU207)-1)*100</f>
        <v>-100</v>
      </c>
      <c r="AY207" s="487">
        <f>C207+G207+K207+O207+S207+W207+AA207+AE207+AI207+AM207+AQ207+AU207</f>
        <v>300000</v>
      </c>
      <c r="AZ207" s="397">
        <f>SUM(D207+H207+L207+P207+T207+X207+AB207+AF207+AJ207+AN207+AR207+AV207)</f>
        <v>457329.68000000005</v>
      </c>
      <c r="BA207" s="398">
        <f t="shared" si="221"/>
        <v>45732.968000000008</v>
      </c>
    </row>
    <row r="208" spans="1:55" s="119" customFormat="1" ht="18" customHeight="1" outlineLevel="1" thickBot="1" x14ac:dyDescent="0.3">
      <c r="A208" s="910" t="s">
        <v>3626</v>
      </c>
      <c r="B208" s="911" t="s">
        <v>3625</v>
      </c>
      <c r="C208" s="718">
        <v>25000</v>
      </c>
      <c r="D208" s="912">
        <f>37820.93+17177.84</f>
        <v>54998.770000000004</v>
      </c>
      <c r="E208" s="913">
        <f>D208-C208</f>
        <v>29998.770000000004</v>
      </c>
      <c r="F208" s="914">
        <f>((D208/C208)-1)*100</f>
        <v>119.99508000000003</v>
      </c>
      <c r="G208" s="718">
        <v>25000</v>
      </c>
      <c r="H208" s="912">
        <f>23445.1+17177.8</f>
        <v>40622.899999999994</v>
      </c>
      <c r="I208" s="912">
        <f>H208-G208</f>
        <v>15622.899999999994</v>
      </c>
      <c r="J208" s="915">
        <v>0</v>
      </c>
      <c r="K208" s="916">
        <v>25000</v>
      </c>
      <c r="L208" s="912">
        <v>39956.25</v>
      </c>
      <c r="M208" s="912">
        <f>L208-K208</f>
        <v>14956.25</v>
      </c>
      <c r="N208" s="917">
        <f>((L208/K208)-1)*100</f>
        <v>59.824999999999996</v>
      </c>
      <c r="O208" s="916">
        <v>25000</v>
      </c>
      <c r="P208" s="912">
        <v>37438.07</v>
      </c>
      <c r="Q208" s="912">
        <f>P208-O208</f>
        <v>12438.07</v>
      </c>
      <c r="R208" s="915">
        <f>((P208/O208)-1)*100</f>
        <v>49.752280000000006</v>
      </c>
      <c r="S208" s="918">
        <f>O208</f>
        <v>25000</v>
      </c>
      <c r="T208" s="912">
        <v>38924.730000000003</v>
      </c>
      <c r="U208" s="912">
        <f>T208-S208</f>
        <v>13924.730000000003</v>
      </c>
      <c r="V208" s="917">
        <f>((T208/S208)-1)*100</f>
        <v>55.698920000000008</v>
      </c>
      <c r="W208" s="916">
        <v>25000</v>
      </c>
      <c r="X208" s="131">
        <v>32521.200000000001</v>
      </c>
      <c r="Y208" s="912">
        <f>X208-W208</f>
        <v>7521.2000000000007</v>
      </c>
      <c r="Z208" s="912">
        <f>((X208/W208)-1)*100</f>
        <v>30.084800000000001</v>
      </c>
      <c r="AA208" s="916">
        <v>25000</v>
      </c>
      <c r="AB208" s="916">
        <v>43030.36</v>
      </c>
      <c r="AC208" s="916">
        <f>AB208-AA208</f>
        <v>18030.36</v>
      </c>
      <c r="AD208" s="916">
        <f>((AB208/AA208)-1)*100</f>
        <v>72.121440000000007</v>
      </c>
      <c r="AE208" s="916">
        <v>25000</v>
      </c>
      <c r="AF208" s="916">
        <v>39952.58</v>
      </c>
      <c r="AG208" s="912">
        <f>AF208-AE208</f>
        <v>14952.580000000002</v>
      </c>
      <c r="AH208" s="912">
        <f>((AF208/AE208)-1)*100</f>
        <v>59.810320000000019</v>
      </c>
      <c r="AI208" s="916">
        <v>25000</v>
      </c>
      <c r="AJ208" s="919">
        <v>92566.94</v>
      </c>
      <c r="AK208" s="920">
        <f>AJ208-AI208</f>
        <v>67566.94</v>
      </c>
      <c r="AL208" s="920">
        <f>((AJ208/AI208)-1)*100</f>
        <v>270.26776000000001</v>
      </c>
      <c r="AM208" s="916">
        <v>25000</v>
      </c>
      <c r="AN208" s="919">
        <v>37317.879999999997</v>
      </c>
      <c r="AO208" s="920">
        <f>AN208-AM208</f>
        <v>12317.879999999997</v>
      </c>
      <c r="AP208" s="1162">
        <f>((AN208/AM208)-1)*100</f>
        <v>49.271519999999988</v>
      </c>
      <c r="AQ208" s="916">
        <v>25000</v>
      </c>
      <c r="AR208" s="916"/>
      <c r="AS208" s="920">
        <f>AR208-AQ208</f>
        <v>-25000</v>
      </c>
      <c r="AT208" s="922">
        <f>((AR208/AQ208)-1)*100</f>
        <v>-100</v>
      </c>
      <c r="AU208" s="916">
        <v>25000</v>
      </c>
      <c r="AV208" s="919"/>
      <c r="AW208" s="912">
        <f>AV208-AU208</f>
        <v>-25000</v>
      </c>
      <c r="AX208" s="921">
        <f>((AV208/AU208)-1)*100</f>
        <v>-100</v>
      </c>
      <c r="AY208" s="116">
        <f>+C208+G208+K208+O208+S208+W208+AA208+AE208+AI208+AM208+AQ208+AU208</f>
        <v>300000</v>
      </c>
      <c r="AZ208" s="116">
        <f>SUM(D208+H208+L208+P208+T208+X208+AB208+AF208+AJ208+AN208+AR208+AV208)</f>
        <v>457329.68000000005</v>
      </c>
      <c r="BA208" s="398">
        <f t="shared" si="221"/>
        <v>45732.968000000008</v>
      </c>
      <c r="BB208" s="805"/>
      <c r="BC208" s="804"/>
    </row>
    <row r="209" spans="1:58" ht="18" customHeight="1" thickBot="1" x14ac:dyDescent="0.3">
      <c r="C209" s="83"/>
      <c r="D209" s="25"/>
      <c r="E209" s="93"/>
      <c r="G209" s="25"/>
      <c r="H209" s="25"/>
      <c r="I209" s="93"/>
      <c r="J209" s="25"/>
      <c r="K209" s="85"/>
      <c r="L209" s="92"/>
      <c r="M209" s="93"/>
      <c r="N209" s="25"/>
      <c r="O209" s="25"/>
      <c r="P209" s="25"/>
      <c r="Q209" s="93"/>
      <c r="R209" s="25"/>
      <c r="S209" s="25"/>
      <c r="T209" s="25"/>
      <c r="U209" s="93"/>
      <c r="V209" s="25"/>
      <c r="W209" s="25"/>
      <c r="X209" s="1163"/>
      <c r="Y209" s="25"/>
      <c r="Z209" s="25"/>
      <c r="AA209" s="25"/>
      <c r="AB209" s="25"/>
      <c r="AC209" s="25"/>
      <c r="AD209" s="25"/>
      <c r="AE209" s="25"/>
      <c r="AF209" s="25"/>
      <c r="BA209" s="63"/>
    </row>
    <row r="210" spans="1:58" s="8" customFormat="1" ht="18" customHeight="1" thickBot="1" x14ac:dyDescent="0.3">
      <c r="A210" s="315"/>
      <c r="B210" s="1083" t="s">
        <v>3697</v>
      </c>
      <c r="C210" s="80">
        <f>C7-C45</f>
        <v>1202999.6287166607</v>
      </c>
      <c r="D210" s="80">
        <f>D7-D45</f>
        <v>2212190.799999997</v>
      </c>
      <c r="E210" s="80">
        <f>E7-E45</f>
        <v>1009191.1712833364</v>
      </c>
      <c r="F210" s="69">
        <f>((D210/C210)-1)*100</f>
        <v>83.889566313492892</v>
      </c>
      <c r="G210" s="80">
        <f>G7-G45</f>
        <v>1203250.0677166618</v>
      </c>
      <c r="H210" s="80">
        <f>H7-H45</f>
        <v>1250054.1500000041</v>
      </c>
      <c r="I210" s="80">
        <f>I7-I45</f>
        <v>46804.082283342257</v>
      </c>
      <c r="J210" s="69">
        <f>((H210/G210)-1)*100</f>
        <v>3.8898050820108887</v>
      </c>
      <c r="K210" s="80">
        <f t="shared" ref="K210:Q210" si="223">K7-K45</f>
        <v>1203250.0677166618</v>
      </c>
      <c r="L210" s="80">
        <f t="shared" si="223"/>
        <v>115341.58999999613</v>
      </c>
      <c r="M210" s="80">
        <f t="shared" si="223"/>
        <v>-1087908.4777166657</v>
      </c>
      <c r="N210" s="80">
        <f>((L210/K210)-1)*100</f>
        <v>-90.414163016099124</v>
      </c>
      <c r="O210" s="80">
        <f t="shared" si="223"/>
        <v>1208913.7277166601</v>
      </c>
      <c r="P210" s="80">
        <f t="shared" si="223"/>
        <v>3671897.41</v>
      </c>
      <c r="Q210" s="80">
        <f t="shared" si="223"/>
        <v>2462983.68228334</v>
      </c>
      <c r="R210" s="80">
        <f>((P210/O210)-1)*100</f>
        <v>203.73527289952352</v>
      </c>
      <c r="S210" s="80">
        <f>S7-S45</f>
        <v>1028094.049549995</v>
      </c>
      <c r="T210" s="80">
        <f>T7-T45</f>
        <v>4530253.6300000027</v>
      </c>
      <c r="U210" s="80">
        <f>U7-U45</f>
        <v>3502159.5804500077</v>
      </c>
      <c r="V210" s="80">
        <f>((T210/S210)-1)*100</f>
        <v>340.6458370207406</v>
      </c>
      <c r="W210" s="104">
        <f>W7-W45</f>
        <v>828094.04954999499</v>
      </c>
      <c r="X210" s="104">
        <f>X7-X45</f>
        <v>1100003.7600000091</v>
      </c>
      <c r="Y210" s="104">
        <f>Y7-Y45</f>
        <v>271909.7104500141</v>
      </c>
      <c r="Z210" s="80">
        <f>((X210/W210)-1)*100</f>
        <v>32.835607332014519</v>
      </c>
      <c r="AA210" s="104">
        <f>AA7-AA45</f>
        <v>901035.46821666323</v>
      </c>
      <c r="AB210" s="104">
        <f>AB7-AB45</f>
        <v>2331257.8299999982</v>
      </c>
      <c r="AC210" s="104">
        <f>AC7-AC45</f>
        <v>1430222.361783335</v>
      </c>
      <c r="AD210" s="80">
        <f>((AB210/AA210)-1)*100</f>
        <v>158.73097255694529</v>
      </c>
      <c r="AE210" s="104">
        <f>AE7-AE45</f>
        <v>964211.34321666136</v>
      </c>
      <c r="AF210" s="104">
        <f>AF7-AF45</f>
        <v>2389569.1800000072</v>
      </c>
      <c r="AG210" s="104">
        <f>AG7-AG45</f>
        <v>1425357.8367833458</v>
      </c>
      <c r="AH210" s="80">
        <f>((AF210/AE210)-1)*100</f>
        <v>147.82628796175271</v>
      </c>
      <c r="AI210" s="51">
        <f>AI7-AI45</f>
        <v>1010125.404883327</v>
      </c>
      <c r="AJ210" s="51">
        <f>AJ7-AJ45</f>
        <v>-1913422</v>
      </c>
      <c r="AK210" s="104">
        <f>AK7-AK45</f>
        <v>-2923547.404883327</v>
      </c>
      <c r="AL210" s="80">
        <f>((AJ210/AI210)-1)*100</f>
        <v>-289.42420324741829</v>
      </c>
      <c r="AM210" s="51">
        <f>AM7-AM45</f>
        <v>1020579.9540499933</v>
      </c>
      <c r="AN210" s="51">
        <f>AN7-AN45</f>
        <v>2530373.3900000043</v>
      </c>
      <c r="AO210" s="104">
        <f>AO7-AO45</f>
        <v>1509793.435950011</v>
      </c>
      <c r="AP210" s="80">
        <f>((AN210/AM210)-1)*100</f>
        <v>147.93485115582169</v>
      </c>
      <c r="AQ210" s="51">
        <f>AQ7-AQ45</f>
        <v>1030364.9490499925</v>
      </c>
      <c r="AR210" s="51">
        <f>AR7-AR45</f>
        <v>0</v>
      </c>
      <c r="AS210" s="104">
        <f>AS7-AS45</f>
        <v>-1030364.9490499925</v>
      </c>
      <c r="AT210" s="80">
        <f>((AR210/AQ210)-1)*100</f>
        <v>-100</v>
      </c>
      <c r="AU210" s="51">
        <f>AU7-AU45</f>
        <v>1234811.6747166589</v>
      </c>
      <c r="AV210" s="51">
        <f>AV7-AV45</f>
        <v>0</v>
      </c>
      <c r="AW210" s="104">
        <f>AW7-AW45</f>
        <v>-1234811.6747166589</v>
      </c>
      <c r="AX210" s="80">
        <f>((AV210/AU210)-1)*100</f>
        <v>-100</v>
      </c>
      <c r="AY210" s="59">
        <f>C210+G210+K210+O210+S210+W210+AA210+AE210+AI210+AM210+AQ210+AU210</f>
        <v>12835730.385099931</v>
      </c>
      <c r="AZ210" s="59">
        <f>D210+H210++L210+P210+T210+X210+AB210+AF210+AJ210+AN210+AR210+AV210</f>
        <v>18217519.740000021</v>
      </c>
      <c r="BA210" s="63"/>
      <c r="BB210" s="132"/>
      <c r="BC210" s="64"/>
      <c r="BD210" s="9"/>
      <c r="BF210" s="9"/>
    </row>
    <row r="211" spans="1:58" ht="18" customHeight="1" thickBot="1" x14ac:dyDescent="0.3">
      <c r="A211" s="52"/>
      <c r="C211" s="16"/>
      <c r="E211" s="43"/>
      <c r="I211" s="43"/>
      <c r="M211" s="43"/>
      <c r="Q211" s="43"/>
      <c r="U211" s="43"/>
      <c r="AV211" s="43"/>
      <c r="AZ211" s="43"/>
    </row>
    <row r="212" spans="1:58" ht="18" customHeight="1" thickBot="1" x14ac:dyDescent="0.3">
      <c r="A212" s="52"/>
      <c r="B212" s="1084" t="s">
        <v>116</v>
      </c>
      <c r="C212" s="17">
        <f>C216</f>
        <v>1124365.2429999998</v>
      </c>
      <c r="D212" s="17">
        <v>1124365.2429999998</v>
      </c>
      <c r="E212" s="17">
        <f>E216</f>
        <v>0</v>
      </c>
      <c r="F212" s="72"/>
      <c r="G212" s="17">
        <f>C212</f>
        <v>1124365.2429999998</v>
      </c>
      <c r="H212" s="17">
        <f>D212</f>
        <v>1124365.2429999998</v>
      </c>
      <c r="I212" s="17">
        <f>I216</f>
        <v>0</v>
      </c>
      <c r="J212" s="72"/>
      <c r="K212" s="17">
        <f>G212</f>
        <v>1124365.2429999998</v>
      </c>
      <c r="L212" s="17">
        <f>H212</f>
        <v>1124365.2429999998</v>
      </c>
      <c r="M212" s="17">
        <f>M216</f>
        <v>0</v>
      </c>
      <c r="N212" s="72"/>
      <c r="O212" s="17">
        <f>K212</f>
        <v>1124365.2429999998</v>
      </c>
      <c r="P212" s="17">
        <f>L212</f>
        <v>1124365.2429999998</v>
      </c>
      <c r="Q212" s="17">
        <f>Q216</f>
        <v>0</v>
      </c>
      <c r="R212" s="72"/>
      <c r="S212" s="17">
        <f>O212</f>
        <v>1124365.2429999998</v>
      </c>
      <c r="T212" s="17">
        <f>P212</f>
        <v>1124365.2429999998</v>
      </c>
      <c r="U212" s="17">
        <f>U216</f>
        <v>0</v>
      </c>
      <c r="V212" s="72"/>
      <c r="W212" s="17"/>
      <c r="X212" s="17"/>
      <c r="Y212" s="17"/>
      <c r="Z212" s="72"/>
      <c r="AA212" s="17"/>
      <c r="AB212" s="17"/>
      <c r="AC212" s="17"/>
      <c r="AD212" s="72"/>
      <c r="AE212" s="17"/>
      <c r="AF212" s="17"/>
      <c r="AG212" s="17"/>
      <c r="AH212" s="72"/>
      <c r="AI212" s="17"/>
      <c r="AJ212" s="17"/>
      <c r="AK212" s="17"/>
      <c r="AL212" s="72"/>
      <c r="AM212" s="17"/>
      <c r="AN212" s="17"/>
      <c r="AO212" s="17"/>
      <c r="AP212" s="72"/>
      <c r="AQ212" s="17"/>
      <c r="AR212" s="17"/>
      <c r="AS212" s="17"/>
      <c r="AT212" s="72"/>
      <c r="AU212" s="17"/>
      <c r="AV212" s="17"/>
      <c r="AW212" s="17"/>
      <c r="AX212" s="72"/>
      <c r="AY212" s="17"/>
      <c r="AZ212" s="65"/>
    </row>
    <row r="213" spans="1:58" s="23" customFormat="1" ht="18" customHeight="1" thickBot="1" x14ac:dyDescent="0.3">
      <c r="A213" s="53"/>
      <c r="B213" s="19" t="s">
        <v>117</v>
      </c>
      <c r="C213" s="21">
        <f>C212-C210</f>
        <v>-78634.38571666088</v>
      </c>
      <c r="D213" s="21">
        <f>D212-D210</f>
        <v>-1087825.5569999972</v>
      </c>
      <c r="E213" s="21">
        <f>D213-C213</f>
        <v>-1009191.1712833364</v>
      </c>
      <c r="F213" s="73"/>
      <c r="G213" s="21">
        <f t="shared" ref="G213:T213" si="224">G212-G210</f>
        <v>-78884.824716662057</v>
      </c>
      <c r="H213" s="21">
        <f t="shared" si="224"/>
        <v>-125688.90700000431</v>
      </c>
      <c r="I213" s="21">
        <f>H213-G213</f>
        <v>-46804.082283342257</v>
      </c>
      <c r="J213" s="73"/>
      <c r="K213" s="21">
        <f t="shared" si="224"/>
        <v>-78884.824716662057</v>
      </c>
      <c r="L213" s="21">
        <f t="shared" si="224"/>
        <v>1009023.6530000037</v>
      </c>
      <c r="M213" s="21">
        <f>L213-K213</f>
        <v>1087908.4777166657</v>
      </c>
      <c r="N213" s="73"/>
      <c r="O213" s="21">
        <f t="shared" si="224"/>
        <v>-84548.484716660343</v>
      </c>
      <c r="P213" s="21">
        <f t="shared" si="224"/>
        <v>-2547532.1670000004</v>
      </c>
      <c r="Q213" s="21">
        <f>P213-O213</f>
        <v>-2462983.68228334</v>
      </c>
      <c r="R213" s="73"/>
      <c r="S213" s="21">
        <f t="shared" si="224"/>
        <v>96271.193450004794</v>
      </c>
      <c r="T213" s="21">
        <f t="shared" si="224"/>
        <v>-3405888.3870000029</v>
      </c>
      <c r="U213" s="21">
        <f>T213-S213</f>
        <v>-3502159.5804500077</v>
      </c>
      <c r="V213" s="73"/>
      <c r="W213" s="21"/>
      <c r="X213" s="21"/>
      <c r="Y213" s="21"/>
      <c r="Z213" s="73"/>
      <c r="AA213" s="21"/>
      <c r="AB213" s="21"/>
      <c r="AC213" s="21"/>
      <c r="AD213" s="73"/>
      <c r="AE213" s="21"/>
      <c r="AF213" s="21"/>
      <c r="AG213" s="21"/>
      <c r="AH213" s="73"/>
      <c r="AI213" s="21"/>
      <c r="AJ213" s="21"/>
      <c r="AK213" s="21"/>
      <c r="AL213" s="73"/>
      <c r="AM213" s="21"/>
      <c r="AN213" s="21"/>
      <c r="AO213" s="21"/>
      <c r="AP213" s="73"/>
      <c r="AQ213" s="21"/>
      <c r="AR213" s="21"/>
      <c r="AS213" s="21"/>
      <c r="AT213" s="73"/>
      <c r="AU213" s="21"/>
      <c r="AV213" s="21"/>
      <c r="AW213" s="21"/>
      <c r="AX213" s="73"/>
      <c r="AY213" s="21"/>
      <c r="AZ213" s="22"/>
      <c r="BB213" s="105"/>
    </row>
    <row r="214" spans="1:58" s="23" customFormat="1" ht="18" hidden="1" customHeight="1" thickBot="1" x14ac:dyDescent="0.3">
      <c r="A214" s="53"/>
      <c r="B214" s="54"/>
      <c r="C214" s="22"/>
      <c r="D214" s="22"/>
      <c r="E214" s="22"/>
      <c r="F214" s="74"/>
      <c r="G214" s="22"/>
      <c r="H214" s="22"/>
      <c r="I214" s="22"/>
      <c r="J214" s="74"/>
      <c r="K214" s="22"/>
      <c r="L214" s="22"/>
      <c r="M214" s="22"/>
      <c r="N214" s="74"/>
      <c r="O214" s="22"/>
      <c r="P214" s="22"/>
      <c r="Q214" s="22"/>
      <c r="R214" s="74"/>
      <c r="S214" s="22"/>
      <c r="T214" s="22"/>
      <c r="U214" s="22"/>
      <c r="V214" s="74"/>
      <c r="W214" s="22"/>
      <c r="X214" s="22"/>
      <c r="Y214" s="22"/>
      <c r="Z214" s="74"/>
      <c r="AA214" s="22"/>
      <c r="AB214" s="22"/>
      <c r="AC214" s="22"/>
      <c r="AD214" s="74"/>
      <c r="AE214" s="22"/>
      <c r="AF214" s="22"/>
      <c r="AG214" s="22"/>
      <c r="AH214" s="74"/>
      <c r="AI214" s="22"/>
      <c r="AJ214" s="22"/>
      <c r="AK214" s="22"/>
      <c r="AL214" s="74"/>
      <c r="AM214" s="22"/>
      <c r="AN214" s="22"/>
      <c r="AO214" s="22"/>
      <c r="AP214" s="74"/>
      <c r="AQ214" s="22"/>
      <c r="AR214" s="22"/>
      <c r="AS214" s="22"/>
      <c r="AT214" s="74"/>
      <c r="AU214" s="22"/>
      <c r="AV214" s="22"/>
      <c r="AW214" s="22"/>
      <c r="AX214" s="74"/>
      <c r="AY214" s="22"/>
      <c r="AZ214" s="22"/>
    </row>
    <row r="215" spans="1:58" ht="18" hidden="1" customHeight="1" thickBot="1" x14ac:dyDescent="0.3">
      <c r="A215" s="52"/>
      <c r="C215" s="16"/>
    </row>
    <row r="216" spans="1:58" s="25" customFormat="1" ht="18" hidden="1" customHeight="1" x14ac:dyDescent="0.25">
      <c r="A216" s="24"/>
      <c r="B216" s="1079" t="s">
        <v>118</v>
      </c>
      <c r="C216" s="60">
        <f t="shared" ref="C216:K216" si="225">C217+C218</f>
        <v>1124365.2429999998</v>
      </c>
      <c r="D216" s="27">
        <f t="shared" si="225"/>
        <v>0</v>
      </c>
      <c r="E216" s="27">
        <f t="shared" si="225"/>
        <v>0</v>
      </c>
      <c r="F216" s="75"/>
      <c r="G216" s="27">
        <f t="shared" si="225"/>
        <v>1126844.3229999999</v>
      </c>
      <c r="H216" s="27">
        <f t="shared" si="225"/>
        <v>0</v>
      </c>
      <c r="I216" s="27">
        <f t="shared" si="225"/>
        <v>0</v>
      </c>
      <c r="J216" s="75"/>
      <c r="K216" s="27">
        <f t="shared" si="225"/>
        <v>1111435.3129999998</v>
      </c>
      <c r="L216" s="27"/>
      <c r="M216" s="27">
        <f t="shared" ref="M216:U216" si="226">M217+M218</f>
        <v>0</v>
      </c>
      <c r="N216" s="75"/>
      <c r="O216" s="27">
        <f t="shared" si="226"/>
        <v>1108830.2329999998</v>
      </c>
      <c r="P216" s="27">
        <f t="shared" si="226"/>
        <v>0</v>
      </c>
      <c r="Q216" s="27">
        <f t="shared" si="226"/>
        <v>0</v>
      </c>
      <c r="R216" s="75"/>
      <c r="S216" s="27">
        <f t="shared" si="226"/>
        <v>1100602.8329999999</v>
      </c>
      <c r="T216" s="27">
        <f t="shared" si="226"/>
        <v>0</v>
      </c>
      <c r="U216" s="27">
        <f t="shared" si="226"/>
        <v>0</v>
      </c>
      <c r="V216" s="75"/>
      <c r="W216" s="27"/>
      <c r="X216" s="27"/>
      <c r="Y216" s="27"/>
      <c r="Z216" s="75"/>
      <c r="AA216" s="27"/>
      <c r="AB216" s="27"/>
      <c r="AC216" s="27"/>
      <c r="AD216" s="75"/>
      <c r="AE216" s="27"/>
      <c r="AF216" s="27"/>
      <c r="AG216" s="27"/>
      <c r="AH216" s="75"/>
      <c r="AI216" s="27"/>
      <c r="AJ216" s="27"/>
      <c r="AK216" s="27"/>
      <c r="AL216" s="75"/>
      <c r="AM216" s="27"/>
      <c r="AN216" s="27"/>
      <c r="AO216" s="27"/>
      <c r="AP216" s="75"/>
      <c r="AQ216" s="27"/>
      <c r="AR216" s="27"/>
      <c r="AS216" s="27"/>
      <c r="AT216" s="75"/>
      <c r="AU216" s="27"/>
      <c r="AV216" s="27"/>
      <c r="AW216" s="27"/>
      <c r="AX216" s="75"/>
      <c r="AY216" s="27"/>
      <c r="AZ216" s="106"/>
    </row>
    <row r="217" spans="1:58" s="25" customFormat="1" ht="18" hidden="1" customHeight="1" thickBot="1" x14ac:dyDescent="0.3">
      <c r="A217" s="24"/>
      <c r="B217" s="1080" t="s">
        <v>119</v>
      </c>
      <c r="C217" s="61">
        <v>501587.39000000007</v>
      </c>
      <c r="D217" s="30"/>
      <c r="E217" s="31"/>
      <c r="F217" s="76"/>
      <c r="G217" s="29">
        <v>504066.47000000009</v>
      </c>
      <c r="H217" s="29"/>
      <c r="I217" s="31"/>
      <c r="J217" s="76"/>
      <c r="K217" s="29">
        <v>506324.12000000011</v>
      </c>
      <c r="L217" s="29"/>
      <c r="M217" s="31"/>
      <c r="N217" s="76"/>
      <c r="O217" s="29">
        <v>508878.14000000007</v>
      </c>
      <c r="P217" s="29"/>
      <c r="Q217" s="31"/>
      <c r="R217" s="76"/>
      <c r="S217" s="29">
        <v>511470.46000000008</v>
      </c>
      <c r="T217" s="29"/>
      <c r="U217" s="31"/>
      <c r="V217" s="76"/>
      <c r="W217" s="29"/>
      <c r="X217" s="29"/>
      <c r="Y217" s="29"/>
      <c r="Z217" s="76"/>
      <c r="AA217" s="29"/>
      <c r="AB217" s="29"/>
      <c r="AC217" s="29"/>
      <c r="AD217" s="76"/>
      <c r="AE217" s="29"/>
      <c r="AF217" s="29"/>
      <c r="AG217" s="29"/>
      <c r="AH217" s="76"/>
      <c r="AI217" s="29"/>
      <c r="AJ217" s="29"/>
      <c r="AK217" s="29"/>
      <c r="AL217" s="76"/>
      <c r="AM217" s="29"/>
      <c r="AN217" s="29"/>
      <c r="AO217" s="29"/>
      <c r="AP217" s="76"/>
      <c r="AQ217" s="29"/>
      <c r="AR217" s="29"/>
      <c r="AS217" s="29"/>
      <c r="AT217" s="76"/>
      <c r="AU217" s="29"/>
      <c r="AV217" s="29"/>
      <c r="AW217" s="29"/>
      <c r="AX217" s="76"/>
      <c r="AY217" s="29"/>
      <c r="AZ217" s="32"/>
    </row>
    <row r="218" spans="1:58" s="34" customFormat="1" ht="18" hidden="1" customHeight="1" thickBot="1" x14ac:dyDescent="0.3">
      <c r="A218" s="33"/>
      <c r="B218" s="1081" t="s">
        <v>120</v>
      </c>
      <c r="C218" s="62">
        <v>622777.85299999977</v>
      </c>
      <c r="D218" s="35"/>
      <c r="E218" s="35"/>
      <c r="F218" s="77"/>
      <c r="G218" s="35">
        <v>622777.85299999977</v>
      </c>
      <c r="H218" s="35"/>
      <c r="I218" s="35"/>
      <c r="J218" s="77"/>
      <c r="K218" s="35">
        <v>605111.19299999974</v>
      </c>
      <c r="L218" s="36" t="s">
        <v>121</v>
      </c>
      <c r="M218" s="35"/>
      <c r="N218" s="77"/>
      <c r="O218" s="35">
        <v>599952.09299999976</v>
      </c>
      <c r="P218" s="35"/>
      <c r="Q218" s="35"/>
      <c r="R218" s="77"/>
      <c r="S218" s="35">
        <v>589132.37299999979</v>
      </c>
      <c r="T218" s="35"/>
      <c r="U218" s="35"/>
      <c r="V218" s="77"/>
      <c r="W218" s="35"/>
      <c r="X218" s="36"/>
      <c r="Y218" s="35"/>
      <c r="Z218" s="77"/>
      <c r="AA218" s="36"/>
      <c r="AB218" s="35"/>
      <c r="AC218" s="36"/>
      <c r="AD218" s="77"/>
      <c r="AE218" s="35"/>
      <c r="AF218" s="36"/>
      <c r="AG218" s="35"/>
      <c r="AH218" s="77"/>
      <c r="AI218" s="36"/>
      <c r="AJ218" s="35"/>
      <c r="AK218" s="36"/>
      <c r="AL218" s="77"/>
      <c r="AM218" s="35"/>
      <c r="AN218" s="36"/>
      <c r="AO218" s="35"/>
      <c r="AP218" s="77"/>
      <c r="AQ218" s="35"/>
      <c r="AR218" s="35"/>
      <c r="AS218" s="35"/>
      <c r="AT218" s="77"/>
      <c r="AU218" s="35"/>
      <c r="AV218" s="35"/>
      <c r="AW218" s="35"/>
      <c r="AX218" s="77"/>
      <c r="AY218" s="35"/>
      <c r="AZ218" s="107"/>
    </row>
    <row r="219" spans="1:58" ht="18" hidden="1" customHeight="1" x14ac:dyDescent="0.25">
      <c r="C219" s="55"/>
      <c r="D219" s="55"/>
      <c r="E219" s="55"/>
      <c r="F219" s="78"/>
      <c r="G219" s="55"/>
      <c r="H219" s="55"/>
      <c r="I219" s="55"/>
      <c r="J219" s="78"/>
      <c r="K219" s="55"/>
      <c r="L219" s="55"/>
      <c r="M219" s="55"/>
      <c r="N219" s="78"/>
      <c r="O219" s="55"/>
      <c r="P219" s="55"/>
      <c r="Q219" s="55"/>
      <c r="R219" s="78"/>
      <c r="U219" s="55"/>
      <c r="V219" s="78"/>
      <c r="W219" s="55"/>
      <c r="X219" s="55"/>
      <c r="Y219" s="55"/>
      <c r="Z219" s="78"/>
      <c r="AA219" s="55"/>
      <c r="AB219" s="55"/>
      <c r="AC219" s="55"/>
      <c r="AD219" s="78"/>
      <c r="AE219" s="55"/>
      <c r="AF219" s="55"/>
      <c r="AG219" s="55"/>
      <c r="AH219" s="78"/>
      <c r="AI219" s="55"/>
      <c r="AJ219" s="55"/>
      <c r="AK219" s="55"/>
      <c r="AL219" s="78"/>
      <c r="AM219" s="55"/>
      <c r="AN219" s="55"/>
      <c r="AO219" s="55"/>
      <c r="AP219" s="78"/>
      <c r="AQ219" s="55"/>
      <c r="AR219" s="55"/>
      <c r="AS219" s="55"/>
      <c r="AT219" s="78"/>
      <c r="AU219" s="55"/>
      <c r="AV219" s="55"/>
      <c r="AW219" s="55"/>
      <c r="AX219" s="78"/>
      <c r="AY219" s="55"/>
      <c r="AZ219" s="55"/>
    </row>
    <row r="220" spans="1:58" ht="18" hidden="1" customHeight="1" thickBot="1" x14ac:dyDescent="0.3">
      <c r="C220" s="56"/>
      <c r="D220" s="57"/>
      <c r="E220" s="57"/>
      <c r="F220" s="70"/>
      <c r="G220" s="57"/>
      <c r="H220" s="57"/>
      <c r="I220" s="57"/>
      <c r="J220" s="70"/>
      <c r="K220" s="57"/>
      <c r="L220" s="57"/>
      <c r="M220" s="57"/>
      <c r="N220" s="70"/>
      <c r="O220" s="57"/>
      <c r="P220" s="57"/>
      <c r="Q220" s="57"/>
      <c r="R220" s="70"/>
      <c r="U220" s="57"/>
      <c r="V220" s="70"/>
      <c r="W220" s="57"/>
      <c r="X220" s="57"/>
      <c r="Y220" s="57"/>
      <c r="Z220" s="70"/>
      <c r="AA220" s="57"/>
      <c r="AB220" s="57"/>
      <c r="AC220" s="57"/>
      <c r="AD220" s="70"/>
      <c r="AE220" s="57"/>
      <c r="AF220" s="57"/>
      <c r="AG220" s="57"/>
      <c r="AH220" s="70"/>
      <c r="AI220" s="57"/>
      <c r="AJ220" s="57"/>
      <c r="AK220" s="57"/>
      <c r="AL220" s="70"/>
      <c r="AM220" s="57"/>
      <c r="AN220" s="57"/>
      <c r="AO220" s="57"/>
      <c r="AP220" s="70"/>
      <c r="AQ220" s="57"/>
      <c r="AR220" s="57"/>
      <c r="AS220" s="57"/>
      <c r="AT220" s="70"/>
      <c r="AU220" s="57"/>
      <c r="AV220" s="57"/>
      <c r="AW220" s="57"/>
      <c r="AX220" s="70"/>
      <c r="AY220" s="57"/>
      <c r="AZ220" s="57"/>
    </row>
    <row r="221" spans="1:58" ht="18" customHeight="1" x14ac:dyDescent="0.25">
      <c r="C221" s="55"/>
      <c r="D221" s="55"/>
      <c r="E221" s="55"/>
      <c r="F221" s="78"/>
      <c r="G221" s="55"/>
      <c r="H221" s="55"/>
      <c r="I221" s="55"/>
      <c r="J221" s="78"/>
      <c r="K221" s="55"/>
      <c r="L221" s="55"/>
      <c r="M221" s="55"/>
      <c r="N221" s="78"/>
      <c r="O221" s="55"/>
      <c r="P221" s="55"/>
      <c r="Q221" s="55"/>
      <c r="R221" s="78"/>
      <c r="U221" s="55"/>
      <c r="V221" s="78"/>
      <c r="W221" s="55"/>
      <c r="X221" s="55"/>
      <c r="Y221" s="55"/>
      <c r="Z221" s="78"/>
      <c r="AA221" s="55"/>
      <c r="AB221" s="55"/>
      <c r="AC221" s="55"/>
      <c r="AD221" s="78"/>
      <c r="AE221" s="55"/>
      <c r="AF221" s="55"/>
      <c r="AG221" s="55"/>
      <c r="AH221" s="78"/>
      <c r="AI221" s="55"/>
      <c r="AJ221" s="55"/>
      <c r="AK221" s="55"/>
      <c r="AL221" s="78"/>
      <c r="AM221" s="55"/>
      <c r="AN221" s="55"/>
      <c r="AO221" s="55"/>
      <c r="AP221" s="78"/>
      <c r="AQ221" s="55"/>
      <c r="AR221" s="55"/>
      <c r="AS221" s="55"/>
      <c r="AT221" s="78"/>
      <c r="AU221" s="55"/>
      <c r="AV221" s="55"/>
      <c r="AW221" s="55"/>
      <c r="AX221" s="78"/>
      <c r="AY221" s="55"/>
      <c r="AZ221" s="55"/>
    </row>
    <row r="222" spans="1:58" ht="18" customHeight="1" x14ac:dyDescent="0.25">
      <c r="C222" s="13"/>
      <c r="D222" s="317"/>
      <c r="E222" s="25"/>
      <c r="AA222" s="109"/>
      <c r="AX222" s="317"/>
      <c r="AY222" s="43"/>
    </row>
    <row r="223" spans="1:58" ht="18" customHeight="1" x14ac:dyDescent="0.25">
      <c r="C223" s="317"/>
      <c r="D223" s="25"/>
      <c r="E223" s="25"/>
      <c r="AY223" s="109"/>
      <c r="AZ223" s="43"/>
    </row>
    <row r="224" spans="1:58" ht="18" customHeight="1" x14ac:dyDescent="0.25">
      <c r="C224" s="317"/>
      <c r="D224" s="25"/>
      <c r="E224" s="25"/>
      <c r="H224" s="43"/>
      <c r="AX224" s="68"/>
      <c r="AY224" s="109"/>
      <c r="AZ224" s="43"/>
    </row>
    <row r="225" spans="1:52" ht="18" customHeight="1" x14ac:dyDescent="0.25">
      <c r="A225" s="13"/>
      <c r="C225" s="317"/>
      <c r="D225" s="316"/>
      <c r="E225" s="316"/>
      <c r="G225" s="109"/>
      <c r="AY225" s="43"/>
      <c r="AZ225" s="109"/>
    </row>
    <row r="226" spans="1:52" ht="18" customHeight="1" x14ac:dyDescent="0.25">
      <c r="A226" s="13"/>
      <c r="C226" s="402"/>
      <c r="D226" s="109"/>
      <c r="E226" s="110"/>
      <c r="G226" s="109"/>
      <c r="I226" s="109"/>
      <c r="AY226" s="43"/>
      <c r="AZ226" s="109"/>
    </row>
    <row r="227" spans="1:52" ht="18" customHeight="1" x14ac:dyDescent="0.25">
      <c r="A227" s="13"/>
      <c r="D227" s="109"/>
      <c r="G227" s="109"/>
      <c r="I227" s="109"/>
      <c r="AA227" s="43"/>
      <c r="AB227" s="109"/>
      <c r="AY227" s="43"/>
      <c r="AZ227" s="43"/>
    </row>
    <row r="228" spans="1:52" ht="18" customHeight="1" x14ac:dyDescent="0.25">
      <c r="A228" s="13"/>
      <c r="D228" s="109"/>
      <c r="E228" s="110"/>
      <c r="G228" s="109"/>
      <c r="I228" s="109"/>
      <c r="AA228" s="109"/>
      <c r="AW228" s="43"/>
      <c r="AY228" s="109"/>
      <c r="AZ228" s="43"/>
    </row>
    <row r="229" spans="1:52" ht="18" customHeight="1" x14ac:dyDescent="0.25">
      <c r="A229" s="13"/>
      <c r="C229" s="402"/>
      <c r="D229" s="109"/>
      <c r="E229" s="109"/>
      <c r="G229" s="109"/>
      <c r="I229" s="109"/>
      <c r="AB229" s="110"/>
      <c r="AY229" s="109"/>
    </row>
    <row r="230" spans="1:52" ht="18" customHeight="1" x14ac:dyDescent="0.25">
      <c r="A230" s="13"/>
      <c r="B230" s="109"/>
      <c r="C230" s="109"/>
      <c r="D230" s="109"/>
      <c r="E230" s="403"/>
      <c r="G230" s="109"/>
      <c r="I230" s="109"/>
      <c r="AB230" s="109"/>
      <c r="AY230" s="43"/>
    </row>
    <row r="231" spans="1:52" ht="18" customHeight="1" x14ac:dyDescent="0.25">
      <c r="A231" s="13"/>
      <c r="B231" s="109"/>
      <c r="C231" s="402"/>
      <c r="D231" s="110"/>
      <c r="E231" s="404"/>
      <c r="G231" s="109"/>
      <c r="I231" s="109"/>
      <c r="AB231" s="110"/>
      <c r="AY231" s="109"/>
      <c r="AZ231" s="109"/>
    </row>
    <row r="232" spans="1:52" ht="18" customHeight="1" x14ac:dyDescent="0.25">
      <c r="A232" s="13"/>
      <c r="B232" s="109"/>
      <c r="E232" s="109"/>
      <c r="G232" s="109"/>
      <c r="I232" s="109"/>
      <c r="AY232" s="110"/>
    </row>
    <row r="233" spans="1:52" ht="18" customHeight="1" x14ac:dyDescent="0.25">
      <c r="A233" s="13"/>
      <c r="B233" s="109"/>
      <c r="D233" s="43"/>
      <c r="E233" s="110"/>
      <c r="G233" s="109"/>
      <c r="I233" s="109"/>
    </row>
    <row r="234" spans="1:52" ht="18" customHeight="1" x14ac:dyDescent="0.25">
      <c r="A234" s="13"/>
      <c r="B234" s="110"/>
      <c r="G234" s="109"/>
      <c r="I234" s="109"/>
      <c r="K234" s="110"/>
    </row>
    <row r="235" spans="1:52" ht="18" customHeight="1" x14ac:dyDescent="0.25">
      <c r="A235" s="13"/>
      <c r="E235" s="110"/>
      <c r="G235" s="109"/>
      <c r="I235" s="109"/>
    </row>
    <row r="236" spans="1:52" ht="18" customHeight="1" x14ac:dyDescent="0.25">
      <c r="A236" s="13"/>
      <c r="B236" s="110"/>
      <c r="G236" s="110"/>
    </row>
    <row r="237" spans="1:52" ht="18" customHeight="1" x14ac:dyDescent="0.25">
      <c r="A237" s="13"/>
    </row>
    <row r="238" spans="1:52" ht="18" customHeight="1" x14ac:dyDescent="0.25">
      <c r="A238" s="13"/>
      <c r="G238" s="110"/>
    </row>
    <row r="240" spans="1:52" ht="18" customHeight="1" x14ac:dyDescent="0.25">
      <c r="A240" s="13"/>
    </row>
  </sheetData>
  <mergeCells count="16">
    <mergeCell ref="AQ5:AT5"/>
    <mergeCell ref="AU5:AX5"/>
    <mergeCell ref="AY5:AY6"/>
    <mergeCell ref="AZ5:AZ6"/>
    <mergeCell ref="S5:V5"/>
    <mergeCell ref="W5:Z5"/>
    <mergeCell ref="AA5:AD5"/>
    <mergeCell ref="AE5:AH5"/>
    <mergeCell ref="AI5:AL5"/>
    <mergeCell ref="AM5:AP5"/>
    <mergeCell ref="O5:R5"/>
    <mergeCell ref="A5:A6"/>
    <mergeCell ref="B5:B6"/>
    <mergeCell ref="C5:F5"/>
    <mergeCell ref="G5:J5"/>
    <mergeCell ref="K5:N5"/>
  </mergeCell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427"/>
  <sheetViews>
    <sheetView workbookViewId="0">
      <pane xSplit="2" ySplit="3" topLeftCell="C4" activePane="bottomRight" state="frozen"/>
      <selection activeCell="A9" sqref="A9"/>
      <selection pane="topRight" activeCell="A9" sqref="A9"/>
      <selection pane="bottomLeft" activeCell="A9" sqref="A9"/>
      <selection pane="bottomRight" activeCell="A9" sqref="A9"/>
    </sheetView>
  </sheetViews>
  <sheetFormatPr defaultRowHeight="15.75" customHeight="1" x14ac:dyDescent="0.25"/>
  <cols>
    <col min="1" max="1" width="9.140625" style="264"/>
    <col min="2" max="2" width="17.5703125" style="264" customWidth="1"/>
    <col min="3" max="3" width="17.28515625" style="1056" bestFit="1" customWidth="1"/>
    <col min="4" max="9" width="16.85546875" style="1056" customWidth="1"/>
    <col min="10" max="12" width="17.28515625" style="1056" bestFit="1" customWidth="1"/>
    <col min="13" max="13" width="18" style="312" bestFit="1" customWidth="1"/>
    <col min="14" max="14" width="15.28515625" style="268" bestFit="1" customWidth="1"/>
    <col min="15" max="15" width="14.7109375" style="268" customWidth="1"/>
    <col min="16" max="16" width="18.28515625" style="264" customWidth="1"/>
    <col min="17" max="17" width="13" style="264" customWidth="1"/>
    <col min="18" max="18" width="12.7109375" style="264" customWidth="1"/>
    <col min="19" max="19" width="13.7109375" style="264" customWidth="1"/>
    <col min="20" max="31" width="16.85546875" style="1056" bestFit="1" customWidth="1"/>
    <col min="32" max="32" width="18" style="264" bestFit="1" customWidth="1"/>
    <col min="33" max="16384" width="9.140625" style="264"/>
  </cols>
  <sheetData>
    <row r="1" spans="1:32" ht="18.75" x14ac:dyDescent="0.3">
      <c r="A1" s="2701" t="s">
        <v>3759</v>
      </c>
      <c r="B1" s="2701"/>
      <c r="C1" s="2701"/>
      <c r="D1" s="2701"/>
      <c r="E1" s="2701"/>
      <c r="F1" s="2701"/>
      <c r="G1" s="2701"/>
      <c r="H1" s="2701"/>
      <c r="I1" s="2701"/>
      <c r="J1" s="2701"/>
      <c r="K1" s="2701"/>
      <c r="L1" s="2701"/>
      <c r="M1" s="2701"/>
      <c r="Q1" s="269"/>
      <c r="R1" s="270"/>
      <c r="T1" s="1055"/>
      <c r="U1" s="1055"/>
      <c r="V1" s="1055"/>
      <c r="W1" s="1055"/>
      <c r="X1" s="1055"/>
      <c r="Y1" s="1055"/>
      <c r="Z1" s="1055"/>
      <c r="AA1" s="1055"/>
      <c r="AB1" s="1055"/>
      <c r="AC1" s="1055"/>
      <c r="AD1" s="1055"/>
      <c r="AE1" s="1055"/>
    </row>
    <row r="2" spans="1:32" ht="15.75" customHeight="1" x14ac:dyDescent="0.25">
      <c r="M2" s="274"/>
    </row>
    <row r="3" spans="1:32" s="279" customFormat="1" ht="33.75" customHeight="1" x14ac:dyDescent="0.25">
      <c r="A3" s="2654" t="s">
        <v>226</v>
      </c>
      <c r="B3" s="2655"/>
      <c r="C3" s="1057" t="s">
        <v>302</v>
      </c>
      <c r="D3" s="1057" t="s">
        <v>303</v>
      </c>
      <c r="E3" s="1057" t="s">
        <v>304</v>
      </c>
      <c r="F3" s="1057" t="s">
        <v>305</v>
      </c>
      <c r="G3" s="1057" t="s">
        <v>306</v>
      </c>
      <c r="H3" s="1057" t="s">
        <v>307</v>
      </c>
      <c r="I3" s="1057" t="s">
        <v>308</v>
      </c>
      <c r="J3" s="1057" t="s">
        <v>309</v>
      </c>
      <c r="K3" s="1057" t="s">
        <v>310</v>
      </c>
      <c r="L3" s="1057" t="s">
        <v>311</v>
      </c>
      <c r="M3" s="1057" t="s">
        <v>314</v>
      </c>
      <c r="N3" s="1058" t="s">
        <v>3758</v>
      </c>
      <c r="O3" s="1058" t="s">
        <v>223</v>
      </c>
      <c r="P3" s="277" t="s">
        <v>227</v>
      </c>
      <c r="Q3" s="277" t="s">
        <v>228</v>
      </c>
      <c r="R3" s="278" t="s">
        <v>229</v>
      </c>
      <c r="S3" s="278" t="s">
        <v>315</v>
      </c>
      <c r="T3" s="1066">
        <v>44562</v>
      </c>
      <c r="U3" s="1066">
        <v>44593</v>
      </c>
      <c r="V3" s="1066">
        <v>44621</v>
      </c>
      <c r="W3" s="1066">
        <v>44652</v>
      </c>
      <c r="X3" s="1066">
        <v>44682</v>
      </c>
      <c r="Y3" s="1066">
        <v>44713</v>
      </c>
      <c r="Z3" s="1066">
        <v>44743</v>
      </c>
      <c r="AA3" s="1066">
        <v>44774</v>
      </c>
      <c r="AB3" s="1066">
        <v>44805</v>
      </c>
      <c r="AC3" s="1066">
        <v>44835</v>
      </c>
      <c r="AD3" s="1066">
        <v>44866</v>
      </c>
      <c r="AE3" s="1066">
        <v>44896</v>
      </c>
      <c r="AF3" s="1057" t="s">
        <v>3</v>
      </c>
    </row>
    <row r="4" spans="1:32" s="289" customFormat="1" ht="21.95" customHeight="1" x14ac:dyDescent="0.25">
      <c r="A4" s="1048" t="s">
        <v>3729</v>
      </c>
      <c r="B4" s="1049"/>
      <c r="C4" s="1059">
        <v>0</v>
      </c>
      <c r="D4" s="1059">
        <v>62</v>
      </c>
      <c r="E4" s="1059">
        <v>0</v>
      </c>
      <c r="F4" s="1059">
        <v>386.25</v>
      </c>
      <c r="G4" s="1059">
        <v>722.39</v>
      </c>
      <c r="H4" s="1059">
        <v>473.34</v>
      </c>
      <c r="I4" s="1059">
        <v>986.81</v>
      </c>
      <c r="J4" s="1060">
        <v>1368.2</v>
      </c>
      <c r="K4" s="1059">
        <v>1337.03</v>
      </c>
      <c r="L4" s="1059">
        <v>427.11</v>
      </c>
      <c r="M4" s="1061">
        <f t="shared" ref="M4:M41" si="0">SUM(C4:L4)</f>
        <v>5763.1299999999992</v>
      </c>
      <c r="N4" s="284">
        <f>(M4*-12%)+M4</f>
        <v>5071.5543999999991</v>
      </c>
      <c r="O4" s="284">
        <f>N4/10</f>
        <v>507.15543999999989</v>
      </c>
      <c r="P4" s="285" t="s">
        <v>246</v>
      </c>
      <c r="Q4" s="286">
        <v>0.05</v>
      </c>
      <c r="R4" s="285" t="s">
        <v>287</v>
      </c>
      <c r="S4" s="287">
        <f>(O4+(O4*Q4))</f>
        <v>532.51321199999984</v>
      </c>
      <c r="T4" s="288">
        <f>$O$4</f>
        <v>507.15543999999989</v>
      </c>
      <c r="U4" s="288">
        <f>$O$4</f>
        <v>507.15543999999989</v>
      </c>
      <c r="V4" s="288">
        <f>$O$4</f>
        <v>507.15543999999989</v>
      </c>
      <c r="W4" s="288">
        <f>$O$4</f>
        <v>507.15543999999989</v>
      </c>
      <c r="X4" s="288">
        <f t="shared" ref="X4:AC4" si="1">$O$4</f>
        <v>507.15543999999989</v>
      </c>
      <c r="Y4" s="288">
        <f t="shared" si="1"/>
        <v>507.15543999999989</v>
      </c>
      <c r="Z4" s="288">
        <f t="shared" si="1"/>
        <v>507.15543999999989</v>
      </c>
      <c r="AA4" s="288">
        <f t="shared" si="1"/>
        <v>507.15543999999989</v>
      </c>
      <c r="AB4" s="288">
        <f t="shared" si="1"/>
        <v>507.15543999999989</v>
      </c>
      <c r="AC4" s="288">
        <f t="shared" si="1"/>
        <v>507.15543999999989</v>
      </c>
      <c r="AD4" s="288">
        <f>$S$4</f>
        <v>532.51321199999984</v>
      </c>
      <c r="AE4" s="288">
        <f>$S$4</f>
        <v>532.51321199999984</v>
      </c>
      <c r="AF4" s="288">
        <f>SUM(T4:AE4)</f>
        <v>6136.5808239999988</v>
      </c>
    </row>
    <row r="5" spans="1:32" s="289" customFormat="1" ht="21.95" customHeight="1" x14ac:dyDescent="0.25">
      <c r="A5" s="1048" t="s">
        <v>3730</v>
      </c>
      <c r="B5" s="1049"/>
      <c r="C5" s="1059">
        <v>71213.38</v>
      </c>
      <c r="D5" s="1059">
        <v>0</v>
      </c>
      <c r="E5" s="1059">
        <v>225</v>
      </c>
      <c r="F5" s="1059">
        <v>150</v>
      </c>
      <c r="G5" s="1059">
        <v>346.95</v>
      </c>
      <c r="H5" s="1059">
        <v>75</v>
      </c>
      <c r="I5" s="1059">
        <v>0</v>
      </c>
      <c r="J5" s="1059">
        <v>1026.6099999999999</v>
      </c>
      <c r="K5" s="1059">
        <v>322.5</v>
      </c>
      <c r="L5" s="1059">
        <v>150</v>
      </c>
      <c r="M5" s="1061">
        <f t="shared" si="0"/>
        <v>73509.440000000002</v>
      </c>
      <c r="N5" s="284">
        <f t="shared" ref="N5:N42" si="2">(M5*-12%)+M5</f>
        <v>64688.307200000003</v>
      </c>
      <c r="O5" s="284">
        <f t="shared" ref="O5:O42" si="3">N5/10</f>
        <v>6468.8307199999999</v>
      </c>
      <c r="P5" s="291"/>
      <c r="Q5" s="1164">
        <v>0.05</v>
      </c>
      <c r="R5" s="291" t="s">
        <v>235</v>
      </c>
      <c r="S5" s="287">
        <f>(O5+(O5*Q5))</f>
        <v>6792.2722560000002</v>
      </c>
      <c r="T5" s="288">
        <f>$O$5</f>
        <v>6468.8307199999999</v>
      </c>
      <c r="U5" s="288">
        <f t="shared" ref="U5:AD5" si="4">$O$5</f>
        <v>6468.8307199999999</v>
      </c>
      <c r="V5" s="288">
        <f t="shared" si="4"/>
        <v>6468.8307199999999</v>
      </c>
      <c r="W5" s="288">
        <f t="shared" si="4"/>
        <v>6468.8307199999999</v>
      </c>
      <c r="X5" s="288">
        <f t="shared" si="4"/>
        <v>6468.8307199999999</v>
      </c>
      <c r="Y5" s="288">
        <f t="shared" si="4"/>
        <v>6468.8307199999999</v>
      </c>
      <c r="Z5" s="288">
        <f t="shared" si="4"/>
        <v>6468.8307199999999</v>
      </c>
      <c r="AA5" s="288">
        <f t="shared" si="4"/>
        <v>6468.8307199999999</v>
      </c>
      <c r="AB5" s="288">
        <f t="shared" si="4"/>
        <v>6468.8307199999999</v>
      </c>
      <c r="AC5" s="288">
        <f t="shared" si="4"/>
        <v>6468.8307199999999</v>
      </c>
      <c r="AD5" s="288">
        <f t="shared" si="4"/>
        <v>6468.8307199999999</v>
      </c>
      <c r="AE5" s="288">
        <f>$S$5</f>
        <v>6792.2722560000002</v>
      </c>
      <c r="AF5" s="288">
        <f t="shared" ref="AF5:AF41" si="5">SUM(T5:AE5)</f>
        <v>77949.41017599999</v>
      </c>
    </row>
    <row r="6" spans="1:32" s="289" customFormat="1" ht="21.95" customHeight="1" x14ac:dyDescent="0.25">
      <c r="A6" s="1048" t="s">
        <v>3731</v>
      </c>
      <c r="B6" s="1049"/>
      <c r="C6" s="1059">
        <v>0</v>
      </c>
      <c r="D6" s="1059">
        <v>0</v>
      </c>
      <c r="E6" s="1059">
        <v>0</v>
      </c>
      <c r="F6" s="1059">
        <v>0</v>
      </c>
      <c r="G6" s="1059">
        <v>326.35000000000002</v>
      </c>
      <c r="H6" s="1059">
        <v>137.79</v>
      </c>
      <c r="I6" s="1059">
        <v>91.51</v>
      </c>
      <c r="J6" s="1060">
        <v>0</v>
      </c>
      <c r="K6" s="1060">
        <v>0</v>
      </c>
      <c r="L6" s="1059">
        <v>211.17</v>
      </c>
      <c r="M6" s="1061">
        <f t="shared" si="0"/>
        <v>766.81999999999994</v>
      </c>
      <c r="N6" s="284">
        <f t="shared" si="2"/>
        <v>674.80160000000001</v>
      </c>
      <c r="O6" s="284">
        <f t="shared" si="3"/>
        <v>67.480159999999998</v>
      </c>
      <c r="P6" s="293" t="s">
        <v>234</v>
      </c>
      <c r="Q6" s="293">
        <v>0.05</v>
      </c>
      <c r="R6" s="294" t="s">
        <v>235</v>
      </c>
      <c r="S6" s="295">
        <f>(O6+(O6*Q6))</f>
        <v>70.854168000000001</v>
      </c>
      <c r="T6" s="288">
        <f>$O$6</f>
        <v>67.480159999999998</v>
      </c>
      <c r="U6" s="288">
        <f t="shared" ref="U6:AD6" si="6">$O$6</f>
        <v>67.480159999999998</v>
      </c>
      <c r="V6" s="288">
        <f t="shared" si="6"/>
        <v>67.480159999999998</v>
      </c>
      <c r="W6" s="288">
        <f t="shared" si="6"/>
        <v>67.480159999999998</v>
      </c>
      <c r="X6" s="288">
        <f t="shared" si="6"/>
        <v>67.480159999999998</v>
      </c>
      <c r="Y6" s="288">
        <f t="shared" si="6"/>
        <v>67.480159999999998</v>
      </c>
      <c r="Z6" s="288">
        <f t="shared" si="6"/>
        <v>67.480159999999998</v>
      </c>
      <c r="AA6" s="288">
        <f t="shared" si="6"/>
        <v>67.480159999999998</v>
      </c>
      <c r="AB6" s="288">
        <f t="shared" si="6"/>
        <v>67.480159999999998</v>
      </c>
      <c r="AC6" s="288">
        <f t="shared" si="6"/>
        <v>67.480159999999998</v>
      </c>
      <c r="AD6" s="288">
        <f t="shared" si="6"/>
        <v>67.480159999999998</v>
      </c>
      <c r="AE6" s="288">
        <f>$S$6</f>
        <v>70.854168000000001</v>
      </c>
      <c r="AF6" s="288">
        <f t="shared" si="5"/>
        <v>813.13592799999981</v>
      </c>
    </row>
    <row r="7" spans="1:32" s="289" customFormat="1" ht="21.95" customHeight="1" x14ac:dyDescent="0.25">
      <c r="A7" s="1048" t="s">
        <v>3442</v>
      </c>
      <c r="B7" s="1049"/>
      <c r="C7" s="1059">
        <v>133527.78</v>
      </c>
      <c r="D7" s="1059">
        <v>131706.32</v>
      </c>
      <c r="E7" s="1059">
        <v>218453.77</v>
      </c>
      <c r="F7" s="1059">
        <v>294967.01</v>
      </c>
      <c r="G7" s="1059">
        <v>463138.01</v>
      </c>
      <c r="H7" s="1059">
        <v>396913.5</v>
      </c>
      <c r="I7" s="1059">
        <v>383061.64</v>
      </c>
      <c r="J7" s="1059">
        <v>170655.72</v>
      </c>
      <c r="K7" s="1059">
        <v>250258.34</v>
      </c>
      <c r="L7" s="1059">
        <v>269988.32</v>
      </c>
      <c r="M7" s="1061">
        <f t="shared" si="0"/>
        <v>2712670.41</v>
      </c>
      <c r="N7" s="284">
        <f t="shared" si="2"/>
        <v>2387149.9608</v>
      </c>
      <c r="O7" s="284">
        <f t="shared" si="3"/>
        <v>238714.99608000001</v>
      </c>
      <c r="P7" s="294" t="s">
        <v>238</v>
      </c>
      <c r="Q7" s="296">
        <v>0.08</v>
      </c>
      <c r="R7" s="294" t="s">
        <v>248</v>
      </c>
      <c r="S7" s="295">
        <f>(O7+(O7*Q7))</f>
        <v>257812.19576640002</v>
      </c>
      <c r="T7" s="288">
        <f>$S$7</f>
        <v>257812.19576640002</v>
      </c>
      <c r="U7" s="288">
        <f t="shared" ref="U7:AE7" si="7">$S$7</f>
        <v>257812.19576640002</v>
      </c>
      <c r="V7" s="288">
        <f t="shared" si="7"/>
        <v>257812.19576640002</v>
      </c>
      <c r="W7" s="288">
        <f t="shared" si="7"/>
        <v>257812.19576640002</v>
      </c>
      <c r="X7" s="288">
        <f t="shared" si="7"/>
        <v>257812.19576640002</v>
      </c>
      <c r="Y7" s="288">
        <f t="shared" si="7"/>
        <v>257812.19576640002</v>
      </c>
      <c r="Z7" s="288">
        <f t="shared" si="7"/>
        <v>257812.19576640002</v>
      </c>
      <c r="AA7" s="288">
        <f t="shared" si="7"/>
        <v>257812.19576640002</v>
      </c>
      <c r="AB7" s="288">
        <f t="shared" si="7"/>
        <v>257812.19576640002</v>
      </c>
      <c r="AC7" s="288">
        <f t="shared" si="7"/>
        <v>257812.19576640002</v>
      </c>
      <c r="AD7" s="288">
        <f t="shared" si="7"/>
        <v>257812.19576640002</v>
      </c>
      <c r="AE7" s="288">
        <f t="shared" si="7"/>
        <v>257812.19576640002</v>
      </c>
      <c r="AF7" s="288">
        <f t="shared" si="5"/>
        <v>3093746.3491968005</v>
      </c>
    </row>
    <row r="8" spans="1:32" s="289" customFormat="1" ht="21.95" customHeight="1" x14ac:dyDescent="0.25">
      <c r="A8" s="1048" t="s">
        <v>3732</v>
      </c>
      <c r="B8" s="1048"/>
      <c r="C8" s="1059">
        <v>8179917.3499999996</v>
      </c>
      <c r="D8" s="1059">
        <v>7599992.54</v>
      </c>
      <c r="E8" s="1059">
        <v>8000639.0599999996</v>
      </c>
      <c r="F8" s="1059">
        <v>12670464.720000001</v>
      </c>
      <c r="G8" s="1059">
        <v>13747663.08</v>
      </c>
      <c r="H8" s="1059">
        <v>12500236.6</v>
      </c>
      <c r="I8" s="1059">
        <v>12968781.550000001</v>
      </c>
      <c r="J8" s="1059">
        <v>15370340.949999999</v>
      </c>
      <c r="K8" s="1059">
        <v>12008598.109999999</v>
      </c>
      <c r="L8" s="1059">
        <v>14204557.66</v>
      </c>
      <c r="M8" s="1061">
        <f t="shared" si="0"/>
        <v>117251191.62</v>
      </c>
      <c r="N8" s="284">
        <f t="shared" si="2"/>
        <v>103181048.62560001</v>
      </c>
      <c r="O8" s="284">
        <f t="shared" si="3"/>
        <v>10318104.86256</v>
      </c>
      <c r="P8" s="294"/>
      <c r="Q8" s="294" t="s">
        <v>132</v>
      </c>
      <c r="R8" s="294" t="s">
        <v>132</v>
      </c>
      <c r="S8" s="295">
        <v>0</v>
      </c>
      <c r="T8" s="288"/>
      <c r="U8" s="288"/>
      <c r="V8" s="288"/>
      <c r="W8" s="288"/>
      <c r="X8" s="288"/>
      <c r="Y8" s="288"/>
      <c r="Z8" s="288"/>
      <c r="AA8" s="288"/>
      <c r="AB8" s="288"/>
      <c r="AC8" s="288"/>
      <c r="AD8" s="288"/>
      <c r="AE8" s="288"/>
      <c r="AF8" s="288">
        <f t="shared" si="5"/>
        <v>0</v>
      </c>
    </row>
    <row r="9" spans="1:32" s="289" customFormat="1" ht="21.95" customHeight="1" x14ac:dyDescent="0.25">
      <c r="A9" s="1048" t="s">
        <v>3733</v>
      </c>
      <c r="B9" s="1049"/>
      <c r="C9" s="1059">
        <v>260886.06</v>
      </c>
      <c r="D9" s="1059">
        <v>213318.68</v>
      </c>
      <c r="E9" s="1059">
        <v>207609.42</v>
      </c>
      <c r="F9" s="1059">
        <v>177328.91</v>
      </c>
      <c r="G9" s="1059">
        <v>316574.81</v>
      </c>
      <c r="H9" s="1059">
        <v>231201.46</v>
      </c>
      <c r="I9" s="1059">
        <v>194438.97</v>
      </c>
      <c r="J9" s="1059">
        <v>281133.78000000003</v>
      </c>
      <c r="K9" s="1059">
        <v>237561.47</v>
      </c>
      <c r="L9" s="1059">
        <v>173480.76</v>
      </c>
      <c r="M9" s="1061">
        <f t="shared" si="0"/>
        <v>2293534.3200000003</v>
      </c>
      <c r="N9" s="284">
        <f t="shared" si="2"/>
        <v>2018310.2016000003</v>
      </c>
      <c r="O9" s="284"/>
      <c r="P9" s="294" t="s">
        <v>232</v>
      </c>
      <c r="Q9" s="296"/>
      <c r="R9" s="294" t="s">
        <v>243</v>
      </c>
      <c r="S9" s="295"/>
      <c r="T9" s="288">
        <f>$O$9</f>
        <v>0</v>
      </c>
      <c r="U9" s="288">
        <f>$O$9</f>
        <v>0</v>
      </c>
      <c r="V9" s="288">
        <f>$O$9</f>
        <v>0</v>
      </c>
      <c r="W9" s="288">
        <f>$O$9</f>
        <v>0</v>
      </c>
      <c r="X9" s="288">
        <f>$O$9</f>
        <v>0</v>
      </c>
      <c r="Y9" s="288">
        <f>$S$9</f>
        <v>0</v>
      </c>
      <c r="Z9" s="288">
        <f t="shared" ref="Z9:AE9" si="8">$S$9</f>
        <v>0</v>
      </c>
      <c r="AA9" s="288">
        <f t="shared" si="8"/>
        <v>0</v>
      </c>
      <c r="AB9" s="288">
        <f t="shared" si="8"/>
        <v>0</v>
      </c>
      <c r="AC9" s="288">
        <f t="shared" si="8"/>
        <v>0</v>
      </c>
      <c r="AD9" s="288">
        <f t="shared" si="8"/>
        <v>0</v>
      </c>
      <c r="AE9" s="288">
        <f t="shared" si="8"/>
        <v>0</v>
      </c>
      <c r="AF9" s="288">
        <f t="shared" si="5"/>
        <v>0</v>
      </c>
    </row>
    <row r="10" spans="1:32" s="289" customFormat="1" ht="21.95" customHeight="1" x14ac:dyDescent="0.25">
      <c r="A10" s="1048" t="s">
        <v>3734</v>
      </c>
      <c r="B10" s="1052"/>
      <c r="C10" s="1059">
        <v>133976.12</v>
      </c>
      <c r="D10" s="1059">
        <v>14637.93</v>
      </c>
      <c r="E10" s="1059">
        <v>17200.310000000001</v>
      </c>
      <c r="F10" s="1059">
        <v>5923.84</v>
      </c>
      <c r="G10" s="1059">
        <v>101593.7</v>
      </c>
      <c r="H10" s="1059">
        <v>149361.85999999999</v>
      </c>
      <c r="I10" s="1059">
        <v>32792.660000000003</v>
      </c>
      <c r="J10" s="1059">
        <v>68592.27</v>
      </c>
      <c r="K10" s="1059">
        <v>12074.12</v>
      </c>
      <c r="L10" s="1059">
        <v>4610.0600000000004</v>
      </c>
      <c r="M10" s="1061">
        <f t="shared" si="0"/>
        <v>540762.87</v>
      </c>
      <c r="N10" s="284">
        <f t="shared" si="2"/>
        <v>475871.32559999998</v>
      </c>
      <c r="O10" s="284">
        <f t="shared" si="3"/>
        <v>47587.132559999998</v>
      </c>
      <c r="P10" s="294" t="s">
        <v>246</v>
      </c>
      <c r="Q10" s="296">
        <v>0.1</v>
      </c>
      <c r="R10" s="294" t="s">
        <v>235</v>
      </c>
      <c r="S10" s="295">
        <f t="shared" ref="S10:S40" si="9">(O10+(O10*Q10))</f>
        <v>52345.845816000001</v>
      </c>
      <c r="T10" s="288">
        <f>$O$10</f>
        <v>47587.132559999998</v>
      </c>
      <c r="U10" s="288">
        <f t="shared" ref="U10:AD10" si="10">$O$10</f>
        <v>47587.132559999998</v>
      </c>
      <c r="V10" s="288">
        <f t="shared" si="10"/>
        <v>47587.132559999998</v>
      </c>
      <c r="W10" s="288">
        <f t="shared" si="10"/>
        <v>47587.132559999998</v>
      </c>
      <c r="X10" s="288">
        <f t="shared" si="10"/>
        <v>47587.132559999998</v>
      </c>
      <c r="Y10" s="288">
        <f t="shared" si="10"/>
        <v>47587.132559999998</v>
      </c>
      <c r="Z10" s="288">
        <f t="shared" si="10"/>
        <v>47587.132559999998</v>
      </c>
      <c r="AA10" s="288">
        <f t="shared" si="10"/>
        <v>47587.132559999998</v>
      </c>
      <c r="AB10" s="288">
        <f t="shared" si="10"/>
        <v>47587.132559999998</v>
      </c>
      <c r="AC10" s="288">
        <f t="shared" si="10"/>
        <v>47587.132559999998</v>
      </c>
      <c r="AD10" s="288">
        <f t="shared" si="10"/>
        <v>47587.132559999998</v>
      </c>
      <c r="AE10" s="288">
        <f>$S$10</f>
        <v>52345.845816000001</v>
      </c>
      <c r="AF10" s="288">
        <f t="shared" si="5"/>
        <v>575804.30397599994</v>
      </c>
    </row>
    <row r="11" spans="1:32" s="289" customFormat="1" ht="21.95" customHeight="1" x14ac:dyDescent="0.25">
      <c r="A11" s="1048" t="s">
        <v>3735</v>
      </c>
      <c r="B11" s="1048"/>
      <c r="C11" s="1059">
        <v>159939.51999999999</v>
      </c>
      <c r="D11" s="1059">
        <v>167786.79</v>
      </c>
      <c r="E11" s="1059">
        <v>299347.96000000002</v>
      </c>
      <c r="F11" s="1059">
        <v>427936.38</v>
      </c>
      <c r="G11" s="1059">
        <v>122438.75</v>
      </c>
      <c r="H11" s="1059">
        <v>333948.15999999997</v>
      </c>
      <c r="I11" s="1059">
        <v>162728.57</v>
      </c>
      <c r="J11" s="1059">
        <v>345893.79</v>
      </c>
      <c r="K11" s="1059">
        <v>203131.82</v>
      </c>
      <c r="L11" s="1059">
        <v>273107.59999999998</v>
      </c>
      <c r="M11" s="1061">
        <f t="shared" si="0"/>
        <v>2496259.34</v>
      </c>
      <c r="N11" s="284">
        <f t="shared" si="2"/>
        <v>2196708.2191999997</v>
      </c>
      <c r="O11" s="284">
        <f t="shared" si="3"/>
        <v>219670.82191999996</v>
      </c>
      <c r="P11" s="294" t="s">
        <v>234</v>
      </c>
      <c r="Q11" s="293">
        <v>0.08</v>
      </c>
      <c r="R11" s="294" t="s">
        <v>287</v>
      </c>
      <c r="S11" s="295">
        <f t="shared" si="9"/>
        <v>237244.48767359997</v>
      </c>
      <c r="T11" s="288">
        <f>$O$11</f>
        <v>219670.82191999996</v>
      </c>
      <c r="U11" s="288">
        <f t="shared" ref="U11:AC11" si="11">$O$11</f>
        <v>219670.82191999996</v>
      </c>
      <c r="V11" s="288">
        <f t="shared" si="11"/>
        <v>219670.82191999996</v>
      </c>
      <c r="W11" s="288">
        <f t="shared" si="11"/>
        <v>219670.82191999996</v>
      </c>
      <c r="X11" s="288">
        <f t="shared" si="11"/>
        <v>219670.82191999996</v>
      </c>
      <c r="Y11" s="288">
        <f t="shared" si="11"/>
        <v>219670.82191999996</v>
      </c>
      <c r="Z11" s="288">
        <f t="shared" si="11"/>
        <v>219670.82191999996</v>
      </c>
      <c r="AA11" s="288">
        <f t="shared" si="11"/>
        <v>219670.82191999996</v>
      </c>
      <c r="AB11" s="288">
        <f t="shared" si="11"/>
        <v>219670.82191999996</v>
      </c>
      <c r="AC11" s="288">
        <f t="shared" si="11"/>
        <v>219670.82191999996</v>
      </c>
      <c r="AD11" s="288">
        <f>$S$11</f>
        <v>237244.48767359997</v>
      </c>
      <c r="AE11" s="288">
        <f>$S$11</f>
        <v>237244.48767359997</v>
      </c>
      <c r="AF11" s="288">
        <f t="shared" si="5"/>
        <v>2671197.1945471996</v>
      </c>
    </row>
    <row r="12" spans="1:32" s="289" customFormat="1" ht="21.95" customHeight="1" x14ac:dyDescent="0.25">
      <c r="A12" s="1048" t="s">
        <v>3736</v>
      </c>
      <c r="B12" s="1049"/>
      <c r="C12" s="1059">
        <v>7959.85</v>
      </c>
      <c r="D12" s="1059">
        <v>3012.65</v>
      </c>
      <c r="E12" s="1059">
        <v>58840.86</v>
      </c>
      <c r="F12" s="1059">
        <v>22743.56</v>
      </c>
      <c r="G12" s="1059">
        <v>26719.97</v>
      </c>
      <c r="H12" s="1059">
        <v>3848.49</v>
      </c>
      <c r="I12" s="1059">
        <v>10605.76</v>
      </c>
      <c r="J12" s="1059">
        <v>15137.79</v>
      </c>
      <c r="K12" s="1059">
        <v>5033.33</v>
      </c>
      <c r="L12" s="1059">
        <v>8051.85</v>
      </c>
      <c r="M12" s="1061">
        <f t="shared" si="0"/>
        <v>161954.11000000002</v>
      </c>
      <c r="N12" s="284">
        <f t="shared" si="2"/>
        <v>142519.61680000002</v>
      </c>
      <c r="O12" s="284">
        <f t="shared" si="3"/>
        <v>14251.961680000002</v>
      </c>
      <c r="P12" s="294" t="s">
        <v>234</v>
      </c>
      <c r="Q12" s="293">
        <v>0.08</v>
      </c>
      <c r="R12" s="294" t="s">
        <v>287</v>
      </c>
      <c r="S12" s="295">
        <f t="shared" si="9"/>
        <v>15392.118614400002</v>
      </c>
      <c r="T12" s="288">
        <f>$O$12</f>
        <v>14251.961680000002</v>
      </c>
      <c r="U12" s="288">
        <f t="shared" ref="U12:AC12" si="12">$O$12</f>
        <v>14251.961680000002</v>
      </c>
      <c r="V12" s="288">
        <f t="shared" si="12"/>
        <v>14251.961680000002</v>
      </c>
      <c r="W12" s="288">
        <f t="shared" si="12"/>
        <v>14251.961680000002</v>
      </c>
      <c r="X12" s="288">
        <f t="shared" si="12"/>
        <v>14251.961680000002</v>
      </c>
      <c r="Y12" s="288">
        <f t="shared" si="12"/>
        <v>14251.961680000002</v>
      </c>
      <c r="Z12" s="288">
        <f t="shared" si="12"/>
        <v>14251.961680000002</v>
      </c>
      <c r="AA12" s="288">
        <f t="shared" si="12"/>
        <v>14251.961680000002</v>
      </c>
      <c r="AB12" s="288">
        <f t="shared" si="12"/>
        <v>14251.961680000002</v>
      </c>
      <c r="AC12" s="288">
        <f t="shared" si="12"/>
        <v>14251.961680000002</v>
      </c>
      <c r="AD12" s="288">
        <f>$S$12</f>
        <v>15392.118614400002</v>
      </c>
      <c r="AE12" s="288">
        <f>$S$12</f>
        <v>15392.118614400002</v>
      </c>
      <c r="AF12" s="288">
        <f t="shared" si="5"/>
        <v>173303.85402880007</v>
      </c>
    </row>
    <row r="13" spans="1:32" s="289" customFormat="1" ht="21.95" customHeight="1" x14ac:dyDescent="0.25">
      <c r="A13" s="1048" t="s">
        <v>3737</v>
      </c>
      <c r="B13" s="1048"/>
      <c r="C13" s="1059">
        <v>6164.42</v>
      </c>
      <c r="D13" s="1059">
        <v>1479.56</v>
      </c>
      <c r="E13" s="1059">
        <v>70054.929999999993</v>
      </c>
      <c r="F13" s="1059">
        <v>103711.78</v>
      </c>
      <c r="G13" s="1059">
        <v>300</v>
      </c>
      <c r="H13" s="1059">
        <v>128.19999999999999</v>
      </c>
      <c r="I13" s="1059">
        <v>300</v>
      </c>
      <c r="J13" s="1059">
        <v>1804.93</v>
      </c>
      <c r="K13" s="1059">
        <v>1424.08</v>
      </c>
      <c r="L13" s="1059">
        <v>73608.36</v>
      </c>
      <c r="M13" s="1061">
        <f t="shared" si="0"/>
        <v>258976.26</v>
      </c>
      <c r="N13" s="284">
        <f t="shared" si="2"/>
        <v>227899.10880000002</v>
      </c>
      <c r="O13" s="284">
        <f t="shared" si="3"/>
        <v>22789.910880000003</v>
      </c>
      <c r="P13" s="294" t="s">
        <v>234</v>
      </c>
      <c r="Q13" s="293">
        <v>0.08</v>
      </c>
      <c r="R13" s="294" t="s">
        <v>239</v>
      </c>
      <c r="S13" s="295">
        <f t="shared" si="9"/>
        <v>24613.103750400005</v>
      </c>
      <c r="T13" s="288">
        <f t="shared" ref="T13:Y13" si="13">$O$13</f>
        <v>22789.910880000003</v>
      </c>
      <c r="U13" s="288">
        <f t="shared" si="13"/>
        <v>22789.910880000003</v>
      </c>
      <c r="V13" s="288">
        <f t="shared" si="13"/>
        <v>22789.910880000003</v>
      </c>
      <c r="W13" s="288">
        <f t="shared" si="13"/>
        <v>22789.910880000003</v>
      </c>
      <c r="X13" s="288">
        <f t="shared" si="13"/>
        <v>22789.910880000003</v>
      </c>
      <c r="Y13" s="288">
        <f t="shared" si="13"/>
        <v>22789.910880000003</v>
      </c>
      <c r="Z13" s="288">
        <f t="shared" ref="Z13:AE13" si="14">$S$13</f>
        <v>24613.103750400005</v>
      </c>
      <c r="AA13" s="288">
        <f t="shared" si="14"/>
        <v>24613.103750400005</v>
      </c>
      <c r="AB13" s="288">
        <f t="shared" si="14"/>
        <v>24613.103750400005</v>
      </c>
      <c r="AC13" s="288">
        <f t="shared" si="14"/>
        <v>24613.103750400005</v>
      </c>
      <c r="AD13" s="288">
        <f t="shared" si="14"/>
        <v>24613.103750400005</v>
      </c>
      <c r="AE13" s="288">
        <f t="shared" si="14"/>
        <v>24613.103750400005</v>
      </c>
      <c r="AF13" s="288">
        <f t="shared" si="5"/>
        <v>284418.08778240008</v>
      </c>
    </row>
    <row r="14" spans="1:32" s="289" customFormat="1" ht="21.95" customHeight="1" x14ac:dyDescent="0.25">
      <c r="A14" s="1048" t="s">
        <v>3738</v>
      </c>
      <c r="B14" s="1048"/>
      <c r="C14" s="1059">
        <v>643.28</v>
      </c>
      <c r="D14" s="1059">
        <v>0</v>
      </c>
      <c r="E14" s="1059">
        <v>889.37</v>
      </c>
      <c r="F14" s="1059">
        <v>153.32</v>
      </c>
      <c r="G14" s="1059">
        <v>226.91</v>
      </c>
      <c r="H14" s="1059">
        <v>153.32</v>
      </c>
      <c r="I14" s="1059">
        <v>610.67999999999995</v>
      </c>
      <c r="J14" s="1059">
        <v>455.12</v>
      </c>
      <c r="K14" s="1059">
        <v>1747.37</v>
      </c>
      <c r="L14" s="1059">
        <v>3847.71</v>
      </c>
      <c r="M14" s="1061">
        <f t="shared" si="0"/>
        <v>8727.08</v>
      </c>
      <c r="N14" s="284">
        <f t="shared" si="2"/>
        <v>7679.8303999999998</v>
      </c>
      <c r="O14" s="284">
        <f t="shared" si="3"/>
        <v>767.98303999999996</v>
      </c>
      <c r="P14" s="294" t="s">
        <v>234</v>
      </c>
      <c r="Q14" s="293">
        <v>0.08</v>
      </c>
      <c r="R14" s="294" t="s">
        <v>239</v>
      </c>
      <c r="S14" s="295">
        <f t="shared" si="9"/>
        <v>829.42168319999996</v>
      </c>
      <c r="T14" s="288">
        <f t="shared" ref="T14:Y14" si="15">$O$14</f>
        <v>767.98303999999996</v>
      </c>
      <c r="U14" s="288">
        <f t="shared" si="15"/>
        <v>767.98303999999996</v>
      </c>
      <c r="V14" s="288">
        <f t="shared" si="15"/>
        <v>767.98303999999996</v>
      </c>
      <c r="W14" s="288">
        <f t="shared" si="15"/>
        <v>767.98303999999996</v>
      </c>
      <c r="X14" s="288">
        <f t="shared" si="15"/>
        <v>767.98303999999996</v>
      </c>
      <c r="Y14" s="288">
        <f t="shared" si="15"/>
        <v>767.98303999999996</v>
      </c>
      <c r="Z14" s="288">
        <f t="shared" ref="Z14:AE14" si="16">$S$14</f>
        <v>829.42168319999996</v>
      </c>
      <c r="AA14" s="288">
        <f t="shared" si="16"/>
        <v>829.42168319999996</v>
      </c>
      <c r="AB14" s="288">
        <f t="shared" si="16"/>
        <v>829.42168319999996</v>
      </c>
      <c r="AC14" s="288">
        <f t="shared" si="16"/>
        <v>829.42168319999996</v>
      </c>
      <c r="AD14" s="288">
        <f t="shared" si="16"/>
        <v>829.42168319999996</v>
      </c>
      <c r="AE14" s="288">
        <f t="shared" si="16"/>
        <v>829.42168319999996</v>
      </c>
      <c r="AF14" s="288">
        <f t="shared" si="5"/>
        <v>9584.4283391999998</v>
      </c>
    </row>
    <row r="15" spans="1:32" s="289" customFormat="1" ht="21.95" customHeight="1" x14ac:dyDescent="0.25">
      <c r="A15" s="1048" t="s">
        <v>3739</v>
      </c>
      <c r="B15" s="1049"/>
      <c r="C15" s="1059">
        <v>91120.57</v>
      </c>
      <c r="D15" s="1059">
        <v>112030.55</v>
      </c>
      <c r="E15" s="1059">
        <v>91604.39</v>
      </c>
      <c r="F15" s="1059">
        <v>155718.45000000001</v>
      </c>
      <c r="G15" s="1059">
        <v>17185.05</v>
      </c>
      <c r="H15" s="1059">
        <v>11636.75</v>
      </c>
      <c r="I15" s="1059">
        <v>8284.35</v>
      </c>
      <c r="J15" s="1059">
        <v>42228.53</v>
      </c>
      <c r="K15" s="1059">
        <v>13249.52</v>
      </c>
      <c r="L15" s="1059">
        <v>40571.919999999998</v>
      </c>
      <c r="M15" s="1061">
        <f t="shared" si="0"/>
        <v>583630.08000000007</v>
      </c>
      <c r="N15" s="284">
        <f t="shared" si="2"/>
        <v>513594.47040000005</v>
      </c>
      <c r="O15" s="284">
        <f t="shared" si="3"/>
        <v>51359.447040000006</v>
      </c>
      <c r="P15" s="294" t="s">
        <v>234</v>
      </c>
      <c r="Q15" s="293">
        <v>0.08</v>
      </c>
      <c r="R15" s="294" t="s">
        <v>235</v>
      </c>
      <c r="S15" s="295">
        <f t="shared" si="9"/>
        <v>55468.202803200009</v>
      </c>
      <c r="T15" s="288">
        <f t="shared" ref="T15:AD15" si="17">$O$15</f>
        <v>51359.447040000006</v>
      </c>
      <c r="U15" s="288">
        <f t="shared" si="17"/>
        <v>51359.447040000006</v>
      </c>
      <c r="V15" s="288">
        <f t="shared" si="17"/>
        <v>51359.447040000006</v>
      </c>
      <c r="W15" s="288">
        <f t="shared" si="17"/>
        <v>51359.447040000006</v>
      </c>
      <c r="X15" s="288">
        <f t="shared" si="17"/>
        <v>51359.447040000006</v>
      </c>
      <c r="Y15" s="288">
        <f t="shared" si="17"/>
        <v>51359.447040000006</v>
      </c>
      <c r="Z15" s="288">
        <f t="shared" si="17"/>
        <v>51359.447040000006</v>
      </c>
      <c r="AA15" s="288">
        <f t="shared" si="17"/>
        <v>51359.447040000006</v>
      </c>
      <c r="AB15" s="288">
        <f t="shared" si="17"/>
        <v>51359.447040000006</v>
      </c>
      <c r="AC15" s="288">
        <f t="shared" si="17"/>
        <v>51359.447040000006</v>
      </c>
      <c r="AD15" s="288">
        <f t="shared" si="17"/>
        <v>51359.447040000006</v>
      </c>
      <c r="AE15" s="288">
        <f>$S$15</f>
        <v>55468.202803200009</v>
      </c>
      <c r="AF15" s="288">
        <f t="shared" si="5"/>
        <v>620422.1202432001</v>
      </c>
    </row>
    <row r="16" spans="1:32" s="289" customFormat="1" ht="21.95" customHeight="1" x14ac:dyDescent="0.25">
      <c r="A16" s="1048" t="s">
        <v>3767</v>
      </c>
      <c r="B16" s="1049"/>
      <c r="C16" s="1059">
        <v>49885.04</v>
      </c>
      <c r="D16" s="1059">
        <v>68855.960000000006</v>
      </c>
      <c r="E16" s="1059">
        <v>81757.13</v>
      </c>
      <c r="F16" s="1059">
        <v>67182.850000000006</v>
      </c>
      <c r="G16" s="1059">
        <v>37907.32</v>
      </c>
      <c r="H16" s="1059">
        <v>75876.91</v>
      </c>
      <c r="I16" s="1059">
        <v>89118.33</v>
      </c>
      <c r="J16" s="1059">
        <v>86936.98</v>
      </c>
      <c r="K16" s="1059">
        <v>32193.7</v>
      </c>
      <c r="L16" s="1059">
        <v>0</v>
      </c>
      <c r="M16" s="1061">
        <f t="shared" si="0"/>
        <v>589714.22</v>
      </c>
      <c r="N16" s="284">
        <f t="shared" si="2"/>
        <v>518948.51359999995</v>
      </c>
      <c r="O16" s="284">
        <f t="shared" si="3"/>
        <v>51894.851359999993</v>
      </c>
      <c r="P16" s="294" t="s">
        <v>234</v>
      </c>
      <c r="Q16" s="293">
        <v>0.08</v>
      </c>
      <c r="R16" s="294" t="s">
        <v>253</v>
      </c>
      <c r="S16" s="295">
        <f t="shared" si="9"/>
        <v>56046.439468799996</v>
      </c>
      <c r="T16" s="288">
        <f>$O$16</f>
        <v>51894.851359999993</v>
      </c>
      <c r="U16" s="288">
        <f>$O$16</f>
        <v>51894.851359999993</v>
      </c>
      <c r="V16" s="288">
        <f>$O$16</f>
        <v>51894.851359999993</v>
      </c>
      <c r="W16" s="288">
        <f>$O$16</f>
        <v>51894.851359999993</v>
      </c>
      <c r="X16" s="288">
        <f t="shared" ref="X16:AE16" si="18">$S$16</f>
        <v>56046.439468799996</v>
      </c>
      <c r="Y16" s="288">
        <f t="shared" si="18"/>
        <v>56046.439468799996</v>
      </c>
      <c r="Z16" s="288">
        <f t="shared" si="18"/>
        <v>56046.439468799996</v>
      </c>
      <c r="AA16" s="288">
        <f t="shared" si="18"/>
        <v>56046.439468799996</v>
      </c>
      <c r="AB16" s="288">
        <f t="shared" si="18"/>
        <v>56046.439468799996</v>
      </c>
      <c r="AC16" s="288">
        <f t="shared" si="18"/>
        <v>56046.439468799996</v>
      </c>
      <c r="AD16" s="288">
        <f t="shared" si="18"/>
        <v>56046.439468799996</v>
      </c>
      <c r="AE16" s="288">
        <f t="shared" si="18"/>
        <v>56046.439468799996</v>
      </c>
      <c r="AF16" s="288">
        <f t="shared" si="5"/>
        <v>655950.92119039979</v>
      </c>
    </row>
    <row r="17" spans="1:32" s="289" customFormat="1" ht="21.95" customHeight="1" x14ac:dyDescent="0.25">
      <c r="A17" s="280" t="s">
        <v>3740</v>
      </c>
      <c r="B17" s="281"/>
      <c r="C17" s="1059">
        <v>0</v>
      </c>
      <c r="D17" s="1059">
        <v>0</v>
      </c>
      <c r="E17" s="1059">
        <v>0</v>
      </c>
      <c r="F17" s="1059">
        <v>0</v>
      </c>
      <c r="G17" s="1059">
        <v>0</v>
      </c>
      <c r="H17" s="1059">
        <v>1187.98</v>
      </c>
      <c r="I17" s="1060">
        <v>0</v>
      </c>
      <c r="J17" s="1059">
        <v>0</v>
      </c>
      <c r="K17" s="1059">
        <v>0</v>
      </c>
      <c r="L17" s="1059">
        <v>0</v>
      </c>
      <c r="M17" s="1061">
        <f t="shared" si="0"/>
        <v>1187.98</v>
      </c>
      <c r="N17" s="284">
        <f t="shared" si="2"/>
        <v>1045.4223999999999</v>
      </c>
      <c r="O17" s="284">
        <f t="shared" si="3"/>
        <v>104.54223999999999</v>
      </c>
      <c r="P17" s="294" t="s">
        <v>234</v>
      </c>
      <c r="Q17" s="293">
        <v>0.08</v>
      </c>
      <c r="R17" s="294" t="s">
        <v>263</v>
      </c>
      <c r="S17" s="295">
        <f t="shared" si="9"/>
        <v>112.90561919999999</v>
      </c>
      <c r="T17" s="288">
        <f t="shared" ref="T17:Z17" si="19">$O$17</f>
        <v>104.54223999999999</v>
      </c>
      <c r="U17" s="288">
        <f t="shared" si="19"/>
        <v>104.54223999999999</v>
      </c>
      <c r="V17" s="288">
        <f t="shared" si="19"/>
        <v>104.54223999999999</v>
      </c>
      <c r="W17" s="288">
        <f t="shared" si="19"/>
        <v>104.54223999999999</v>
      </c>
      <c r="X17" s="288">
        <f t="shared" si="19"/>
        <v>104.54223999999999</v>
      </c>
      <c r="Y17" s="288">
        <f t="shared" si="19"/>
        <v>104.54223999999999</v>
      </c>
      <c r="Z17" s="288">
        <f t="shared" si="19"/>
        <v>104.54223999999999</v>
      </c>
      <c r="AA17" s="288">
        <f>$S$17</f>
        <v>112.90561919999999</v>
      </c>
      <c r="AB17" s="288">
        <f>$S$17</f>
        <v>112.90561919999999</v>
      </c>
      <c r="AC17" s="288">
        <f>$S$17</f>
        <v>112.90561919999999</v>
      </c>
      <c r="AD17" s="288">
        <f>$S$17</f>
        <v>112.90561919999999</v>
      </c>
      <c r="AE17" s="288">
        <f>$S$17</f>
        <v>112.90561919999999</v>
      </c>
      <c r="AF17" s="288">
        <f t="shared" si="5"/>
        <v>1296.3237760000002</v>
      </c>
    </row>
    <row r="18" spans="1:32" s="289" customFormat="1" ht="21.95" customHeight="1" x14ac:dyDescent="0.25">
      <c r="A18" s="1053" t="s">
        <v>3741</v>
      </c>
      <c r="B18" s="1053"/>
      <c r="C18" s="1059">
        <v>88774.49</v>
      </c>
      <c r="D18" s="1059">
        <v>7877.77</v>
      </c>
      <c r="E18" s="1059">
        <v>22464.05</v>
      </c>
      <c r="F18" s="1059">
        <v>21229.16</v>
      </c>
      <c r="G18" s="1059">
        <v>260802.45</v>
      </c>
      <c r="H18" s="1059">
        <v>71202.179999999993</v>
      </c>
      <c r="I18" s="1059">
        <v>2634.82</v>
      </c>
      <c r="J18" s="1059">
        <v>55968.24</v>
      </c>
      <c r="K18" s="1059">
        <v>3014.89</v>
      </c>
      <c r="L18" s="1059">
        <v>11850.38</v>
      </c>
      <c r="M18" s="1061">
        <f t="shared" si="0"/>
        <v>545818.43000000005</v>
      </c>
      <c r="N18" s="284">
        <f t="shared" si="2"/>
        <v>480320.21840000007</v>
      </c>
      <c r="O18" s="284">
        <f t="shared" si="3"/>
        <v>48032.021840000009</v>
      </c>
      <c r="P18" s="294" t="s">
        <v>234</v>
      </c>
      <c r="Q18" s="293">
        <v>0.08</v>
      </c>
      <c r="R18" s="294" t="s">
        <v>248</v>
      </c>
      <c r="S18" s="295">
        <f t="shared" si="9"/>
        <v>51874.58358720001</v>
      </c>
      <c r="T18" s="288">
        <f>$S$18</f>
        <v>51874.58358720001</v>
      </c>
      <c r="U18" s="288">
        <f t="shared" ref="U18:AE18" si="20">$S$18</f>
        <v>51874.58358720001</v>
      </c>
      <c r="V18" s="288">
        <f t="shared" si="20"/>
        <v>51874.58358720001</v>
      </c>
      <c r="W18" s="288">
        <f t="shared" si="20"/>
        <v>51874.58358720001</v>
      </c>
      <c r="X18" s="288">
        <f t="shared" si="20"/>
        <v>51874.58358720001</v>
      </c>
      <c r="Y18" s="288">
        <f t="shared" si="20"/>
        <v>51874.58358720001</v>
      </c>
      <c r="Z18" s="288">
        <f t="shared" si="20"/>
        <v>51874.58358720001</v>
      </c>
      <c r="AA18" s="288">
        <f t="shared" si="20"/>
        <v>51874.58358720001</v>
      </c>
      <c r="AB18" s="288">
        <f t="shared" si="20"/>
        <v>51874.58358720001</v>
      </c>
      <c r="AC18" s="288">
        <f t="shared" si="20"/>
        <v>51874.58358720001</v>
      </c>
      <c r="AD18" s="288">
        <f t="shared" si="20"/>
        <v>51874.58358720001</v>
      </c>
      <c r="AE18" s="288">
        <f t="shared" si="20"/>
        <v>51874.58358720001</v>
      </c>
      <c r="AF18" s="288">
        <f t="shared" si="5"/>
        <v>622495.00304640026</v>
      </c>
    </row>
    <row r="19" spans="1:32" s="289" customFormat="1" ht="21.95" customHeight="1" x14ac:dyDescent="0.25">
      <c r="A19" s="1053" t="s">
        <v>3742</v>
      </c>
      <c r="B19" s="1054"/>
      <c r="C19" s="1059">
        <v>145085.89000000001</v>
      </c>
      <c r="D19" s="1059">
        <v>183669.79</v>
      </c>
      <c r="E19" s="1059">
        <v>213346.2</v>
      </c>
      <c r="F19" s="1059">
        <v>151583.54999999999</v>
      </c>
      <c r="G19" s="1059">
        <v>139060.43</v>
      </c>
      <c r="H19" s="1059">
        <v>36110.21</v>
      </c>
      <c r="I19" s="1059">
        <v>312901.27</v>
      </c>
      <c r="J19" s="1059">
        <v>111490.2</v>
      </c>
      <c r="K19" s="1059">
        <v>181049.27</v>
      </c>
      <c r="L19" s="1059">
        <v>158810.47</v>
      </c>
      <c r="M19" s="1061">
        <f t="shared" si="0"/>
        <v>1633107.28</v>
      </c>
      <c r="N19" s="284">
        <f t="shared" si="2"/>
        <v>1437134.4064</v>
      </c>
      <c r="O19" s="284">
        <f t="shared" si="3"/>
        <v>143713.44063999999</v>
      </c>
      <c r="P19" s="294" t="s">
        <v>234</v>
      </c>
      <c r="Q19" s="293">
        <v>0.08</v>
      </c>
      <c r="R19" s="294" t="s">
        <v>239</v>
      </c>
      <c r="S19" s="295">
        <f t="shared" si="9"/>
        <v>155210.51589119999</v>
      </c>
      <c r="T19" s="288">
        <f t="shared" ref="T19:Y19" si="21">$O$19</f>
        <v>143713.44063999999</v>
      </c>
      <c r="U19" s="288">
        <f t="shared" si="21"/>
        <v>143713.44063999999</v>
      </c>
      <c r="V19" s="288">
        <f t="shared" si="21"/>
        <v>143713.44063999999</v>
      </c>
      <c r="W19" s="288">
        <f t="shared" si="21"/>
        <v>143713.44063999999</v>
      </c>
      <c r="X19" s="288">
        <f t="shared" si="21"/>
        <v>143713.44063999999</v>
      </c>
      <c r="Y19" s="288">
        <f t="shared" si="21"/>
        <v>143713.44063999999</v>
      </c>
      <c r="Z19" s="288">
        <f t="shared" ref="Z19:AE19" si="22">$S$19</f>
        <v>155210.51589119999</v>
      </c>
      <c r="AA19" s="288">
        <f t="shared" si="22"/>
        <v>155210.51589119999</v>
      </c>
      <c r="AB19" s="288">
        <f t="shared" si="22"/>
        <v>155210.51589119999</v>
      </c>
      <c r="AC19" s="288">
        <f t="shared" si="22"/>
        <v>155210.51589119999</v>
      </c>
      <c r="AD19" s="288">
        <f t="shared" si="22"/>
        <v>155210.51589119999</v>
      </c>
      <c r="AE19" s="288">
        <f t="shared" si="22"/>
        <v>155210.51589119999</v>
      </c>
      <c r="AF19" s="288">
        <f t="shared" si="5"/>
        <v>1793543.7391871994</v>
      </c>
    </row>
    <row r="20" spans="1:32" s="289" customFormat="1" ht="21.95" customHeight="1" x14ac:dyDescent="0.25">
      <c r="A20" s="1053" t="s">
        <v>3743</v>
      </c>
      <c r="B20" s="1053"/>
      <c r="C20" s="1059">
        <v>923.71</v>
      </c>
      <c r="D20" s="1059">
        <v>1475.03</v>
      </c>
      <c r="E20" s="1059">
        <v>0</v>
      </c>
      <c r="F20" s="1059">
        <v>0</v>
      </c>
      <c r="G20" s="1059">
        <v>0</v>
      </c>
      <c r="H20" s="1059">
        <v>0</v>
      </c>
      <c r="I20" s="1059">
        <v>0</v>
      </c>
      <c r="J20" s="1059">
        <v>0</v>
      </c>
      <c r="K20" s="1059">
        <v>0</v>
      </c>
      <c r="L20" s="1059">
        <v>0</v>
      </c>
      <c r="M20" s="1061">
        <f t="shared" si="0"/>
        <v>2398.7399999999998</v>
      </c>
      <c r="N20" s="284">
        <f t="shared" si="2"/>
        <v>2110.8912</v>
      </c>
      <c r="O20" s="284"/>
      <c r="P20" s="294" t="s">
        <v>234</v>
      </c>
      <c r="Q20" s="293">
        <v>0.08</v>
      </c>
      <c r="R20" s="294" t="s">
        <v>248</v>
      </c>
      <c r="S20" s="295">
        <f t="shared" si="9"/>
        <v>0</v>
      </c>
      <c r="T20" s="288">
        <f>$O$20</f>
        <v>0</v>
      </c>
      <c r="U20" s="288">
        <f t="shared" ref="U20:Z20" si="23">$O$20</f>
        <v>0</v>
      </c>
      <c r="V20" s="288">
        <f t="shared" si="23"/>
        <v>0</v>
      </c>
      <c r="W20" s="288">
        <f t="shared" si="23"/>
        <v>0</v>
      </c>
      <c r="X20" s="288">
        <f t="shared" si="23"/>
        <v>0</v>
      </c>
      <c r="Y20" s="288">
        <f t="shared" si="23"/>
        <v>0</v>
      </c>
      <c r="Z20" s="288">
        <f t="shared" si="23"/>
        <v>0</v>
      </c>
      <c r="AA20" s="288">
        <f>$S$20</f>
        <v>0</v>
      </c>
      <c r="AB20" s="288">
        <f>$S$20</f>
        <v>0</v>
      </c>
      <c r="AC20" s="288">
        <f>$S$20</f>
        <v>0</v>
      </c>
      <c r="AD20" s="288">
        <f>$S$20</f>
        <v>0</v>
      </c>
      <c r="AE20" s="288">
        <f>$S$20</f>
        <v>0</v>
      </c>
      <c r="AF20" s="288">
        <f t="shared" si="5"/>
        <v>0</v>
      </c>
    </row>
    <row r="21" spans="1:32" s="289" customFormat="1" ht="21.95" customHeight="1" x14ac:dyDescent="0.25">
      <c r="A21" s="1048" t="s">
        <v>3744</v>
      </c>
      <c r="B21" s="1049"/>
      <c r="C21" s="1059">
        <v>257758.22</v>
      </c>
      <c r="D21" s="1059">
        <v>59517.59</v>
      </c>
      <c r="E21" s="1059">
        <v>43668.04</v>
      </c>
      <c r="F21" s="1059">
        <v>64880.15</v>
      </c>
      <c r="G21" s="1059">
        <v>442193.69</v>
      </c>
      <c r="H21" s="1059">
        <v>24891.77</v>
      </c>
      <c r="I21" s="1059">
        <v>6324.34</v>
      </c>
      <c r="J21" s="1059">
        <v>44746.62</v>
      </c>
      <c r="K21" s="1059">
        <v>35252.79</v>
      </c>
      <c r="L21" s="1059">
        <v>16064.16</v>
      </c>
      <c r="M21" s="1061">
        <f t="shared" si="0"/>
        <v>995297.37</v>
      </c>
      <c r="N21" s="284">
        <f t="shared" si="2"/>
        <v>875861.68559999997</v>
      </c>
      <c r="O21" s="284">
        <f t="shared" si="3"/>
        <v>87586.168559999991</v>
      </c>
      <c r="P21" s="294" t="s">
        <v>234</v>
      </c>
      <c r="Q21" s="293">
        <v>0.08</v>
      </c>
      <c r="R21" s="294" t="s">
        <v>239</v>
      </c>
      <c r="S21" s="295">
        <f t="shared" si="9"/>
        <v>94593.062044799997</v>
      </c>
      <c r="T21" s="288">
        <f t="shared" ref="T21:Y21" si="24">$O$21</f>
        <v>87586.168559999991</v>
      </c>
      <c r="U21" s="288">
        <f t="shared" si="24"/>
        <v>87586.168559999991</v>
      </c>
      <c r="V21" s="288">
        <f t="shared" si="24"/>
        <v>87586.168559999991</v>
      </c>
      <c r="W21" s="288">
        <f t="shared" si="24"/>
        <v>87586.168559999991</v>
      </c>
      <c r="X21" s="288">
        <f t="shared" si="24"/>
        <v>87586.168559999991</v>
      </c>
      <c r="Y21" s="288">
        <f t="shared" si="24"/>
        <v>87586.168559999991</v>
      </c>
      <c r="Z21" s="288">
        <f t="shared" ref="Z21:AE21" si="25">$S$21</f>
        <v>94593.062044799997</v>
      </c>
      <c r="AA21" s="288">
        <f t="shared" si="25"/>
        <v>94593.062044799997</v>
      </c>
      <c r="AB21" s="288">
        <f t="shared" si="25"/>
        <v>94593.062044799997</v>
      </c>
      <c r="AC21" s="288">
        <f t="shared" si="25"/>
        <v>94593.062044799997</v>
      </c>
      <c r="AD21" s="288">
        <f t="shared" si="25"/>
        <v>94593.062044799997</v>
      </c>
      <c r="AE21" s="288">
        <f t="shared" si="25"/>
        <v>94593.062044799997</v>
      </c>
      <c r="AF21" s="288">
        <f t="shared" si="5"/>
        <v>1093075.3836288</v>
      </c>
    </row>
    <row r="22" spans="1:32" s="289" customFormat="1" ht="21.95" customHeight="1" x14ac:dyDescent="0.25">
      <c r="A22" s="1048" t="s">
        <v>3745</v>
      </c>
      <c r="B22" s="1049"/>
      <c r="C22" s="1059">
        <v>0</v>
      </c>
      <c r="D22" s="1059">
        <v>0</v>
      </c>
      <c r="E22" s="1059">
        <v>0</v>
      </c>
      <c r="F22" s="1059">
        <v>0</v>
      </c>
      <c r="G22" s="1059">
        <v>0</v>
      </c>
      <c r="H22" s="1059">
        <v>0</v>
      </c>
      <c r="I22" s="1060">
        <v>170.86</v>
      </c>
      <c r="J22" s="1059">
        <v>0</v>
      </c>
      <c r="K22" s="1059">
        <v>27852.22</v>
      </c>
      <c r="L22" s="1060">
        <v>48002.74</v>
      </c>
      <c r="M22" s="1061">
        <f t="shared" si="0"/>
        <v>76025.820000000007</v>
      </c>
      <c r="N22" s="284">
        <f t="shared" si="2"/>
        <v>66902.721600000004</v>
      </c>
      <c r="O22" s="284">
        <f t="shared" si="3"/>
        <v>6690.2721600000004</v>
      </c>
      <c r="P22" s="294" t="s">
        <v>234</v>
      </c>
      <c r="Q22" s="293">
        <v>0.08</v>
      </c>
      <c r="R22" s="294" t="s">
        <v>253</v>
      </c>
      <c r="S22" s="295">
        <f t="shared" si="9"/>
        <v>7225.4939328</v>
      </c>
      <c r="T22" s="288">
        <f>$O$22</f>
        <v>6690.2721600000004</v>
      </c>
      <c r="U22" s="288">
        <f>$O$22</f>
        <v>6690.2721600000004</v>
      </c>
      <c r="V22" s="288">
        <f>$O$22</f>
        <v>6690.2721600000004</v>
      </c>
      <c r="W22" s="288">
        <f>$O$22</f>
        <v>6690.2721600000004</v>
      </c>
      <c r="X22" s="288">
        <f t="shared" ref="X22:AE22" si="26">$S$22</f>
        <v>7225.4939328</v>
      </c>
      <c r="Y22" s="288">
        <f t="shared" si="26"/>
        <v>7225.4939328</v>
      </c>
      <c r="Z22" s="288">
        <f t="shared" si="26"/>
        <v>7225.4939328</v>
      </c>
      <c r="AA22" s="288">
        <f t="shared" si="26"/>
        <v>7225.4939328</v>
      </c>
      <c r="AB22" s="288">
        <f t="shared" si="26"/>
        <v>7225.4939328</v>
      </c>
      <c r="AC22" s="288">
        <f t="shared" si="26"/>
        <v>7225.4939328</v>
      </c>
      <c r="AD22" s="288">
        <f t="shared" si="26"/>
        <v>7225.4939328</v>
      </c>
      <c r="AE22" s="288">
        <f t="shared" si="26"/>
        <v>7225.4939328</v>
      </c>
      <c r="AF22" s="288">
        <f t="shared" si="5"/>
        <v>84565.040102400031</v>
      </c>
    </row>
    <row r="23" spans="1:32" s="289" customFormat="1" ht="21.95" customHeight="1" x14ac:dyDescent="0.25">
      <c r="A23" s="1048" t="s">
        <v>3746</v>
      </c>
      <c r="B23" s="1049"/>
      <c r="C23" s="1059">
        <v>868985.92</v>
      </c>
      <c r="D23" s="1059">
        <v>851308.32</v>
      </c>
      <c r="E23" s="1059">
        <v>921945.7</v>
      </c>
      <c r="F23" s="1059">
        <v>957097.96</v>
      </c>
      <c r="G23" s="1059">
        <v>996672.76</v>
      </c>
      <c r="H23" s="1059">
        <v>747672.79</v>
      </c>
      <c r="I23" s="1059">
        <v>1053403.57</v>
      </c>
      <c r="J23" s="1059">
        <v>916215.47</v>
      </c>
      <c r="K23" s="1059">
        <v>972208.82</v>
      </c>
      <c r="L23" s="1059">
        <v>898489.19</v>
      </c>
      <c r="M23" s="1061">
        <f t="shared" si="0"/>
        <v>9184000.5</v>
      </c>
      <c r="N23" s="284">
        <f t="shared" si="2"/>
        <v>8081920.4399999995</v>
      </c>
      <c r="O23" s="284">
        <f t="shared" si="3"/>
        <v>808192.04399999999</v>
      </c>
      <c r="P23" s="294"/>
      <c r="Q23" s="293"/>
      <c r="R23" s="294"/>
      <c r="S23" s="295">
        <f t="shared" si="9"/>
        <v>808192.04399999999</v>
      </c>
      <c r="T23" s="288">
        <v>800000</v>
      </c>
      <c r="U23" s="288">
        <v>800000</v>
      </c>
      <c r="V23" s="288">
        <v>800000</v>
      </c>
      <c r="W23" s="288">
        <v>800000</v>
      </c>
      <c r="X23" s="288">
        <v>800000</v>
      </c>
      <c r="Y23" s="288">
        <v>800000</v>
      </c>
      <c r="Z23" s="288">
        <v>800000</v>
      </c>
      <c r="AA23" s="288">
        <v>800000</v>
      </c>
      <c r="AB23" s="288">
        <v>800000</v>
      </c>
      <c r="AC23" s="288">
        <v>800000</v>
      </c>
      <c r="AD23" s="288">
        <v>800000</v>
      </c>
      <c r="AE23" s="288">
        <v>800000</v>
      </c>
      <c r="AF23" s="288">
        <f t="shared" si="5"/>
        <v>9600000</v>
      </c>
    </row>
    <row r="24" spans="1:32" s="289" customFormat="1" ht="21.95" customHeight="1" x14ac:dyDescent="0.25">
      <c r="A24" s="1053" t="s">
        <v>3747</v>
      </c>
      <c r="B24" s="1053"/>
      <c r="C24" s="1059">
        <v>95718</v>
      </c>
      <c r="D24" s="1059">
        <v>86708</v>
      </c>
      <c r="E24" s="1059">
        <v>113950</v>
      </c>
      <c r="F24" s="1059">
        <v>99693</v>
      </c>
      <c r="G24" s="1059">
        <v>100329</v>
      </c>
      <c r="H24" s="1059">
        <v>109498</v>
      </c>
      <c r="I24" s="1059">
        <v>99905</v>
      </c>
      <c r="J24" s="1059">
        <v>117395</v>
      </c>
      <c r="K24" s="1059">
        <v>78599</v>
      </c>
      <c r="L24" s="1059">
        <v>54961</v>
      </c>
      <c r="M24" s="1061">
        <f t="shared" si="0"/>
        <v>956756</v>
      </c>
      <c r="N24" s="284">
        <f t="shared" si="2"/>
        <v>841945.28</v>
      </c>
      <c r="O24" s="284">
        <f t="shared" si="3"/>
        <v>84194.528000000006</v>
      </c>
      <c r="P24" s="294"/>
      <c r="Q24" s="296"/>
      <c r="R24" s="294"/>
      <c r="S24" s="295">
        <f t="shared" si="9"/>
        <v>84194.528000000006</v>
      </c>
      <c r="T24" s="288">
        <v>80000</v>
      </c>
      <c r="U24" s="288">
        <v>80000</v>
      </c>
      <c r="V24" s="288">
        <v>80000</v>
      </c>
      <c r="W24" s="288">
        <v>80000</v>
      </c>
      <c r="X24" s="288">
        <v>80000</v>
      </c>
      <c r="Y24" s="288">
        <v>80000</v>
      </c>
      <c r="Z24" s="288">
        <v>80000</v>
      </c>
      <c r="AA24" s="288">
        <v>80000</v>
      </c>
      <c r="AB24" s="288">
        <v>80000</v>
      </c>
      <c r="AC24" s="288">
        <v>80000</v>
      </c>
      <c r="AD24" s="288">
        <v>80000</v>
      </c>
      <c r="AE24" s="288">
        <v>80000</v>
      </c>
      <c r="AF24" s="288">
        <f t="shared" si="5"/>
        <v>960000</v>
      </c>
    </row>
    <row r="25" spans="1:32" s="289" customFormat="1" ht="34.5" customHeight="1" x14ac:dyDescent="0.25">
      <c r="A25" s="1048" t="s">
        <v>3748</v>
      </c>
      <c r="B25" s="1049"/>
      <c r="C25" s="1059">
        <v>146564.47</v>
      </c>
      <c r="D25" s="1059">
        <v>95565.96</v>
      </c>
      <c r="E25" s="1059">
        <v>52083.88</v>
      </c>
      <c r="F25" s="1059">
        <v>92723.24</v>
      </c>
      <c r="G25" s="1059">
        <v>53828.71</v>
      </c>
      <c r="H25" s="1059">
        <v>74741.33</v>
      </c>
      <c r="I25" s="1059">
        <v>41038.449999999997</v>
      </c>
      <c r="J25" s="1059">
        <v>103907.7</v>
      </c>
      <c r="K25" s="1059">
        <v>92015.51</v>
      </c>
      <c r="L25" s="1059">
        <v>146925.64000000001</v>
      </c>
      <c r="M25" s="1061">
        <f t="shared" si="0"/>
        <v>899394.89</v>
      </c>
      <c r="N25" s="284">
        <f t="shared" si="2"/>
        <v>791467.50320000004</v>
      </c>
      <c r="O25" s="284">
        <f t="shared" si="3"/>
        <v>79146.750320000006</v>
      </c>
      <c r="P25" s="297" t="s">
        <v>273</v>
      </c>
      <c r="Q25" s="296">
        <v>0.05</v>
      </c>
      <c r="R25" s="294" t="s">
        <v>235</v>
      </c>
      <c r="S25" s="295">
        <f t="shared" si="9"/>
        <v>83104.087836000006</v>
      </c>
      <c r="T25" s="288">
        <f>$O$25</f>
        <v>79146.750320000006</v>
      </c>
      <c r="U25" s="288">
        <f t="shared" ref="U25:AD25" si="27">$O$25</f>
        <v>79146.750320000006</v>
      </c>
      <c r="V25" s="288">
        <f t="shared" si="27"/>
        <v>79146.750320000006</v>
      </c>
      <c r="W25" s="288">
        <f t="shared" si="27"/>
        <v>79146.750320000006</v>
      </c>
      <c r="X25" s="288">
        <f t="shared" si="27"/>
        <v>79146.750320000006</v>
      </c>
      <c r="Y25" s="288">
        <f t="shared" si="27"/>
        <v>79146.750320000006</v>
      </c>
      <c r="Z25" s="288">
        <f t="shared" si="27"/>
        <v>79146.750320000006</v>
      </c>
      <c r="AA25" s="288">
        <f t="shared" si="27"/>
        <v>79146.750320000006</v>
      </c>
      <c r="AB25" s="288">
        <f t="shared" si="27"/>
        <v>79146.750320000006</v>
      </c>
      <c r="AC25" s="288">
        <f t="shared" si="27"/>
        <v>79146.750320000006</v>
      </c>
      <c r="AD25" s="288">
        <f t="shared" si="27"/>
        <v>79146.750320000006</v>
      </c>
      <c r="AE25" s="288">
        <f>$S$25</f>
        <v>83104.087836000006</v>
      </c>
      <c r="AF25" s="288">
        <f t="shared" si="5"/>
        <v>953718.34135600005</v>
      </c>
    </row>
    <row r="26" spans="1:32" s="289" customFormat="1" ht="21.95" customHeight="1" x14ac:dyDescent="0.25">
      <c r="A26" s="1053" t="s">
        <v>3749</v>
      </c>
      <c r="B26" s="1053"/>
      <c r="C26" s="1059">
        <v>2162.0500000000002</v>
      </c>
      <c r="D26" s="1059">
        <v>2818.8</v>
      </c>
      <c r="E26" s="1059">
        <v>3519.48</v>
      </c>
      <c r="F26" s="1059">
        <v>2439.09</v>
      </c>
      <c r="G26" s="1059">
        <v>4213.45</v>
      </c>
      <c r="H26" s="1059">
        <v>4148.0200000000004</v>
      </c>
      <c r="I26" s="1059">
        <v>5813.25</v>
      </c>
      <c r="J26" s="1059">
        <v>4829.3</v>
      </c>
      <c r="K26" s="1059">
        <v>1176.51</v>
      </c>
      <c r="L26" s="1059">
        <v>1340.74</v>
      </c>
      <c r="M26" s="1061">
        <f t="shared" si="0"/>
        <v>32460.69</v>
      </c>
      <c r="N26" s="284">
        <f t="shared" si="2"/>
        <v>28565.407199999998</v>
      </c>
      <c r="O26" s="284">
        <f t="shared" si="3"/>
        <v>2856.54072</v>
      </c>
      <c r="P26" s="294" t="s">
        <v>255</v>
      </c>
      <c r="Q26" s="296">
        <v>0.1</v>
      </c>
      <c r="R26" s="294" t="s">
        <v>243</v>
      </c>
      <c r="S26" s="295">
        <f t="shared" si="9"/>
        <v>3142.1947919999998</v>
      </c>
      <c r="T26" s="288">
        <f>$O$26</f>
        <v>2856.54072</v>
      </c>
      <c r="U26" s="288">
        <f>$O$26</f>
        <v>2856.54072</v>
      </c>
      <c r="V26" s="288">
        <f>$O$26</f>
        <v>2856.54072</v>
      </c>
      <c r="W26" s="288">
        <f>$O$26</f>
        <v>2856.54072</v>
      </c>
      <c r="X26" s="288">
        <f>$O$26</f>
        <v>2856.54072</v>
      </c>
      <c r="Y26" s="288">
        <f>$S$26</f>
        <v>3142.1947919999998</v>
      </c>
      <c r="Z26" s="288">
        <f t="shared" ref="Z26:AE26" si="28">$S$26</f>
        <v>3142.1947919999998</v>
      </c>
      <c r="AA26" s="288">
        <f t="shared" si="28"/>
        <v>3142.1947919999998</v>
      </c>
      <c r="AB26" s="288">
        <f t="shared" si="28"/>
        <v>3142.1947919999998</v>
      </c>
      <c r="AC26" s="288">
        <f t="shared" si="28"/>
        <v>3142.1947919999998</v>
      </c>
      <c r="AD26" s="288">
        <f t="shared" si="28"/>
        <v>3142.1947919999998</v>
      </c>
      <c r="AE26" s="288">
        <f t="shared" si="28"/>
        <v>3142.1947919999998</v>
      </c>
      <c r="AF26" s="288">
        <f t="shared" si="5"/>
        <v>36278.067143999993</v>
      </c>
    </row>
    <row r="27" spans="1:32" s="289" customFormat="1" ht="21.95" customHeight="1" x14ac:dyDescent="0.25">
      <c r="A27" s="1048" t="s">
        <v>3750</v>
      </c>
      <c r="B27" s="1049"/>
      <c r="C27" s="1059">
        <v>69704.240000000005</v>
      </c>
      <c r="D27" s="1059">
        <v>38325.370000000003</v>
      </c>
      <c r="E27" s="1059">
        <v>57437.95</v>
      </c>
      <c r="F27" s="1059">
        <v>30605.74</v>
      </c>
      <c r="G27" s="1059">
        <v>442483.21</v>
      </c>
      <c r="H27" s="1059">
        <v>449127.24</v>
      </c>
      <c r="I27" s="1059">
        <v>455503.08</v>
      </c>
      <c r="J27" s="1059">
        <v>341670.69</v>
      </c>
      <c r="K27" s="1059">
        <v>52353.52</v>
      </c>
      <c r="L27" s="1059">
        <v>154686.73000000001</v>
      </c>
      <c r="M27" s="1061">
        <f t="shared" si="0"/>
        <v>2091897.77</v>
      </c>
      <c r="N27" s="284">
        <f t="shared" si="2"/>
        <v>1840870.0375999999</v>
      </c>
      <c r="O27" s="284">
        <f t="shared" si="3"/>
        <v>184087.00375999999</v>
      </c>
      <c r="P27" s="294" t="s">
        <v>234</v>
      </c>
      <c r="Q27" s="293">
        <v>0.05</v>
      </c>
      <c r="R27" s="294" t="s">
        <v>253</v>
      </c>
      <c r="S27" s="295">
        <f t="shared" si="9"/>
        <v>193291.353948</v>
      </c>
      <c r="T27" s="288">
        <f>$O$27</f>
        <v>184087.00375999999</v>
      </c>
      <c r="U27" s="288">
        <f>$O$27</f>
        <v>184087.00375999999</v>
      </c>
      <c r="V27" s="288">
        <f>$O$27</f>
        <v>184087.00375999999</v>
      </c>
      <c r="W27" s="288">
        <f>$O$27</f>
        <v>184087.00375999999</v>
      </c>
      <c r="X27" s="288">
        <f>$S$27</f>
        <v>193291.353948</v>
      </c>
      <c r="Y27" s="288">
        <f t="shared" ref="Y27:AE27" si="29">$S$27</f>
        <v>193291.353948</v>
      </c>
      <c r="Z27" s="288">
        <f t="shared" si="29"/>
        <v>193291.353948</v>
      </c>
      <c r="AA27" s="288">
        <f t="shared" si="29"/>
        <v>193291.353948</v>
      </c>
      <c r="AB27" s="288">
        <f t="shared" si="29"/>
        <v>193291.353948</v>
      </c>
      <c r="AC27" s="288">
        <f t="shared" si="29"/>
        <v>193291.353948</v>
      </c>
      <c r="AD27" s="288">
        <f t="shared" si="29"/>
        <v>193291.353948</v>
      </c>
      <c r="AE27" s="288">
        <f t="shared" si="29"/>
        <v>193291.353948</v>
      </c>
      <c r="AF27" s="288">
        <f t="shared" si="5"/>
        <v>2282678.8466239995</v>
      </c>
    </row>
    <row r="28" spans="1:32" s="289" customFormat="1" ht="21.95" customHeight="1" x14ac:dyDescent="0.25">
      <c r="A28" s="1048" t="s">
        <v>985</v>
      </c>
      <c r="B28" s="1049"/>
      <c r="C28" s="1059">
        <v>9187.94</v>
      </c>
      <c r="D28" s="1059">
        <v>15434.72</v>
      </c>
      <c r="E28" s="1059">
        <v>23540.880000000001</v>
      </c>
      <c r="F28" s="1059">
        <v>15633.11</v>
      </c>
      <c r="G28" s="1059">
        <v>41758.28</v>
      </c>
      <c r="H28" s="1059">
        <v>92087.63</v>
      </c>
      <c r="I28" s="1059">
        <v>30600.720000000001</v>
      </c>
      <c r="J28" s="1059">
        <v>16800.310000000001</v>
      </c>
      <c r="K28" s="1059">
        <v>42015.6</v>
      </c>
      <c r="L28" s="1059">
        <v>16739.82</v>
      </c>
      <c r="M28" s="1061">
        <f t="shared" si="0"/>
        <v>303799.01</v>
      </c>
      <c r="N28" s="284">
        <f t="shared" si="2"/>
        <v>267343.12880000001</v>
      </c>
      <c r="O28" s="284">
        <f t="shared" si="3"/>
        <v>26734.312880000001</v>
      </c>
      <c r="P28" s="294" t="s">
        <v>234</v>
      </c>
      <c r="Q28" s="293">
        <v>0.05</v>
      </c>
      <c r="R28" s="294" t="s">
        <v>287</v>
      </c>
      <c r="S28" s="295">
        <f t="shared" si="9"/>
        <v>28071.028524000001</v>
      </c>
      <c r="T28" s="288">
        <f>$O$28</f>
        <v>26734.312880000001</v>
      </c>
      <c r="U28" s="288">
        <f t="shared" ref="U28:AC28" si="30">$O$28</f>
        <v>26734.312880000001</v>
      </c>
      <c r="V28" s="288">
        <f t="shared" si="30"/>
        <v>26734.312880000001</v>
      </c>
      <c r="W28" s="288">
        <f t="shared" si="30"/>
        <v>26734.312880000001</v>
      </c>
      <c r="X28" s="288">
        <f t="shared" si="30"/>
        <v>26734.312880000001</v>
      </c>
      <c r="Y28" s="288">
        <f t="shared" si="30"/>
        <v>26734.312880000001</v>
      </c>
      <c r="Z28" s="288">
        <f t="shared" si="30"/>
        <v>26734.312880000001</v>
      </c>
      <c r="AA28" s="288">
        <f t="shared" si="30"/>
        <v>26734.312880000001</v>
      </c>
      <c r="AB28" s="288">
        <f t="shared" si="30"/>
        <v>26734.312880000001</v>
      </c>
      <c r="AC28" s="288">
        <f t="shared" si="30"/>
        <v>26734.312880000001</v>
      </c>
      <c r="AD28" s="288">
        <f>$S$28</f>
        <v>28071.028524000001</v>
      </c>
      <c r="AE28" s="288">
        <f>$S$28</f>
        <v>28071.028524000001</v>
      </c>
      <c r="AF28" s="288">
        <f t="shared" si="5"/>
        <v>323485.18584800011</v>
      </c>
    </row>
    <row r="29" spans="1:32" s="289" customFormat="1" ht="36" customHeight="1" x14ac:dyDescent="0.25">
      <c r="A29" s="1048" t="s">
        <v>987</v>
      </c>
      <c r="B29" s="1048"/>
      <c r="C29" s="1059">
        <v>107483.41</v>
      </c>
      <c r="D29" s="1059">
        <v>55122.01</v>
      </c>
      <c r="E29" s="1059">
        <v>67482.94</v>
      </c>
      <c r="F29" s="1059">
        <v>65233.41</v>
      </c>
      <c r="G29" s="1059">
        <v>51189.05</v>
      </c>
      <c r="H29" s="1059">
        <v>65024.13</v>
      </c>
      <c r="I29" s="1059">
        <v>89804.51</v>
      </c>
      <c r="J29" s="1059">
        <v>117981.5</v>
      </c>
      <c r="K29" s="1059">
        <v>125295.66</v>
      </c>
      <c r="L29" s="1059">
        <v>170438.83</v>
      </c>
      <c r="M29" s="1061">
        <f t="shared" si="0"/>
        <v>915055.45</v>
      </c>
      <c r="N29" s="284">
        <f t="shared" si="2"/>
        <v>805248.79599999997</v>
      </c>
      <c r="O29" s="284">
        <f t="shared" si="3"/>
        <v>80524.8796</v>
      </c>
      <c r="P29" s="297" t="s">
        <v>273</v>
      </c>
      <c r="Q29" s="296">
        <v>0.05</v>
      </c>
      <c r="R29" s="294" t="s">
        <v>235</v>
      </c>
      <c r="S29" s="295">
        <f t="shared" si="9"/>
        <v>84551.123579999999</v>
      </c>
      <c r="T29" s="288">
        <f>$O$29</f>
        <v>80524.8796</v>
      </c>
      <c r="U29" s="288">
        <f>$O$29</f>
        <v>80524.8796</v>
      </c>
      <c r="V29" s="288">
        <f t="shared" ref="V29:AD29" si="31">$O$29</f>
        <v>80524.8796</v>
      </c>
      <c r="W29" s="288">
        <f t="shared" si="31"/>
        <v>80524.8796</v>
      </c>
      <c r="X29" s="288">
        <f t="shared" si="31"/>
        <v>80524.8796</v>
      </c>
      <c r="Y29" s="288">
        <f t="shared" si="31"/>
        <v>80524.8796</v>
      </c>
      <c r="Z29" s="288">
        <f t="shared" si="31"/>
        <v>80524.8796</v>
      </c>
      <c r="AA29" s="288">
        <f t="shared" si="31"/>
        <v>80524.8796</v>
      </c>
      <c r="AB29" s="288">
        <f t="shared" si="31"/>
        <v>80524.8796</v>
      </c>
      <c r="AC29" s="288">
        <f t="shared" si="31"/>
        <v>80524.8796</v>
      </c>
      <c r="AD29" s="288">
        <f t="shared" si="31"/>
        <v>80524.8796</v>
      </c>
      <c r="AE29" s="288">
        <f>$S$29</f>
        <v>84551.123579999999</v>
      </c>
      <c r="AF29" s="288">
        <f t="shared" si="5"/>
        <v>970324.79917999997</v>
      </c>
    </row>
    <row r="30" spans="1:32" s="289" customFormat="1" ht="21.95" customHeight="1" x14ac:dyDescent="0.25">
      <c r="A30" s="1053" t="s">
        <v>3751</v>
      </c>
      <c r="B30" s="1053"/>
      <c r="C30" s="1059">
        <v>178857.64</v>
      </c>
      <c r="D30" s="1059">
        <v>18231.41</v>
      </c>
      <c r="E30" s="1059">
        <v>68964.429999999993</v>
      </c>
      <c r="F30" s="1059">
        <v>13327.52</v>
      </c>
      <c r="G30" s="1059">
        <v>137304.95999999999</v>
      </c>
      <c r="H30" s="1059">
        <v>44304.31</v>
      </c>
      <c r="I30" s="1059">
        <v>52126.32</v>
      </c>
      <c r="J30" s="1059">
        <v>14743.53</v>
      </c>
      <c r="K30" s="1059">
        <v>13081.52</v>
      </c>
      <c r="L30" s="1059">
        <v>6746.69</v>
      </c>
      <c r="M30" s="1061">
        <f t="shared" si="0"/>
        <v>547688.32999999996</v>
      </c>
      <c r="N30" s="284">
        <f t="shared" si="2"/>
        <v>481965.7304</v>
      </c>
      <c r="O30" s="284">
        <f t="shared" si="3"/>
        <v>48196.573040000003</v>
      </c>
      <c r="P30" s="294" t="s">
        <v>238</v>
      </c>
      <c r="Q30" s="296">
        <v>0.08</v>
      </c>
      <c r="R30" s="294" t="s">
        <v>243</v>
      </c>
      <c r="S30" s="295">
        <f t="shared" si="9"/>
        <v>52052.298883200005</v>
      </c>
      <c r="T30" s="288">
        <f>$O$30</f>
        <v>48196.573040000003</v>
      </c>
      <c r="U30" s="288">
        <f>$O$30</f>
        <v>48196.573040000003</v>
      </c>
      <c r="V30" s="288">
        <f>$O$30</f>
        <v>48196.573040000003</v>
      </c>
      <c r="W30" s="288">
        <f>$O$30</f>
        <v>48196.573040000003</v>
      </c>
      <c r="X30" s="288">
        <f>$O$30</f>
        <v>48196.573040000003</v>
      </c>
      <c r="Y30" s="288">
        <f t="shared" ref="Y30:AE30" si="32">$S$30</f>
        <v>52052.298883200005</v>
      </c>
      <c r="Z30" s="288">
        <f t="shared" si="32"/>
        <v>52052.298883200005</v>
      </c>
      <c r="AA30" s="288">
        <f t="shared" si="32"/>
        <v>52052.298883200005</v>
      </c>
      <c r="AB30" s="288">
        <f t="shared" si="32"/>
        <v>52052.298883200005</v>
      </c>
      <c r="AC30" s="288">
        <f t="shared" si="32"/>
        <v>52052.298883200005</v>
      </c>
      <c r="AD30" s="288">
        <f t="shared" si="32"/>
        <v>52052.298883200005</v>
      </c>
      <c r="AE30" s="288">
        <f t="shared" si="32"/>
        <v>52052.298883200005</v>
      </c>
      <c r="AF30" s="288">
        <f t="shared" si="5"/>
        <v>605348.95738239994</v>
      </c>
    </row>
    <row r="31" spans="1:32" s="289" customFormat="1" ht="21.95" customHeight="1" x14ac:dyDescent="0.25">
      <c r="A31" s="1053" t="s">
        <v>3752</v>
      </c>
      <c r="B31" s="1054"/>
      <c r="C31" s="1059">
        <v>115837.82</v>
      </c>
      <c r="D31" s="1059">
        <v>135663.85999999999</v>
      </c>
      <c r="E31" s="1059">
        <v>163524.09</v>
      </c>
      <c r="F31" s="1059">
        <v>120652.48</v>
      </c>
      <c r="G31" s="1059">
        <v>126833.3</v>
      </c>
      <c r="H31" s="1059">
        <v>94722.1</v>
      </c>
      <c r="I31" s="1059">
        <v>165805.23000000001</v>
      </c>
      <c r="J31" s="1059">
        <v>169774.5</v>
      </c>
      <c r="K31" s="1059">
        <v>137917.54</v>
      </c>
      <c r="L31" s="1059">
        <v>141324.06</v>
      </c>
      <c r="M31" s="1061">
        <f t="shared" si="0"/>
        <v>1372054.98</v>
      </c>
      <c r="N31" s="284">
        <f t="shared" si="2"/>
        <v>1207408.3824</v>
      </c>
      <c r="O31" s="284">
        <f t="shared" si="3"/>
        <v>120740.83824</v>
      </c>
      <c r="P31" s="294"/>
      <c r="Q31" s="293"/>
      <c r="R31" s="294"/>
      <c r="S31" s="295">
        <f t="shared" si="9"/>
        <v>120740.83824</v>
      </c>
      <c r="T31" s="288">
        <f>$O$31</f>
        <v>120740.83824</v>
      </c>
      <c r="U31" s="288">
        <f>$O$31</f>
        <v>120740.83824</v>
      </c>
      <c r="V31" s="288">
        <f>$O$31</f>
        <v>120740.83824</v>
      </c>
      <c r="W31" s="288">
        <f>$O$31</f>
        <v>120740.83824</v>
      </c>
      <c r="X31" s="288">
        <f>$S$31</f>
        <v>120740.83824</v>
      </c>
      <c r="Y31" s="288">
        <f t="shared" ref="Y31:AE31" si="33">$S$31</f>
        <v>120740.83824</v>
      </c>
      <c r="Z31" s="288">
        <f t="shared" si="33"/>
        <v>120740.83824</v>
      </c>
      <c r="AA31" s="288">
        <f t="shared" si="33"/>
        <v>120740.83824</v>
      </c>
      <c r="AB31" s="288">
        <f t="shared" si="33"/>
        <v>120740.83824</v>
      </c>
      <c r="AC31" s="288">
        <f t="shared" si="33"/>
        <v>120740.83824</v>
      </c>
      <c r="AD31" s="288">
        <f t="shared" si="33"/>
        <v>120740.83824</v>
      </c>
      <c r="AE31" s="288">
        <f t="shared" si="33"/>
        <v>120740.83824</v>
      </c>
      <c r="AF31" s="288">
        <f t="shared" si="5"/>
        <v>1448890.0588799997</v>
      </c>
    </row>
    <row r="32" spans="1:32" s="289" customFormat="1" ht="21.95" customHeight="1" x14ac:dyDescent="0.25">
      <c r="A32" s="1053" t="s">
        <v>3753</v>
      </c>
      <c r="B32" s="1054"/>
      <c r="C32" s="1059">
        <v>74255.98</v>
      </c>
      <c r="D32" s="1059">
        <v>79604.17</v>
      </c>
      <c r="E32" s="1059">
        <v>49000.11</v>
      </c>
      <c r="F32" s="1059">
        <v>80344.73</v>
      </c>
      <c r="G32" s="1059">
        <v>115236.39</v>
      </c>
      <c r="H32" s="1059">
        <v>87536.12</v>
      </c>
      <c r="I32" s="1059">
        <v>45611.26</v>
      </c>
      <c r="J32" s="1059">
        <v>41270.620000000003</v>
      </c>
      <c r="K32" s="1059">
        <v>57765.04</v>
      </c>
      <c r="L32" s="1059">
        <v>64907.53</v>
      </c>
      <c r="M32" s="1061">
        <f t="shared" si="0"/>
        <v>695531.95000000007</v>
      </c>
      <c r="N32" s="284">
        <f t="shared" si="2"/>
        <v>612068.11600000004</v>
      </c>
      <c r="O32" s="284">
        <f t="shared" si="3"/>
        <v>61206.811600000001</v>
      </c>
      <c r="P32" s="294" t="s">
        <v>238</v>
      </c>
      <c r="Q32" s="296">
        <v>0.08</v>
      </c>
      <c r="R32" s="294" t="s">
        <v>287</v>
      </c>
      <c r="S32" s="295">
        <f t="shared" si="9"/>
        <v>66103.356528000004</v>
      </c>
      <c r="T32" s="288">
        <f>$O$32</f>
        <v>61206.811600000001</v>
      </c>
      <c r="U32" s="288">
        <f>$O$32</f>
        <v>61206.811600000001</v>
      </c>
      <c r="V32" s="288">
        <f>$O$32</f>
        <v>61206.811600000001</v>
      </c>
      <c r="W32" s="288">
        <f>$O$32</f>
        <v>61206.811600000001</v>
      </c>
      <c r="X32" s="288">
        <f t="shared" ref="X32:AC32" si="34">$O$32</f>
        <v>61206.811600000001</v>
      </c>
      <c r="Y32" s="288">
        <f t="shared" si="34"/>
        <v>61206.811600000001</v>
      </c>
      <c r="Z32" s="288">
        <f t="shared" si="34"/>
        <v>61206.811600000001</v>
      </c>
      <c r="AA32" s="288">
        <f t="shared" si="34"/>
        <v>61206.811600000001</v>
      </c>
      <c r="AB32" s="288">
        <f t="shared" si="34"/>
        <v>61206.811600000001</v>
      </c>
      <c r="AC32" s="288">
        <f t="shared" si="34"/>
        <v>61206.811600000001</v>
      </c>
      <c r="AD32" s="288">
        <f>$S$32</f>
        <v>66103.356528000004</v>
      </c>
      <c r="AE32" s="288">
        <f>$S$32</f>
        <v>66103.356528000004</v>
      </c>
      <c r="AF32" s="288">
        <f t="shared" si="5"/>
        <v>744274.82905599999</v>
      </c>
    </row>
    <row r="33" spans="1:32" s="289" customFormat="1" ht="21.95" customHeight="1" x14ac:dyDescent="0.25">
      <c r="A33" s="1053" t="s">
        <v>3754</v>
      </c>
      <c r="B33" s="1054"/>
      <c r="C33" s="1059">
        <v>15695.67</v>
      </c>
      <c r="D33" s="1059">
        <v>17347.419999999998</v>
      </c>
      <c r="E33" s="1059">
        <v>30380.27</v>
      </c>
      <c r="F33" s="1059">
        <v>46980.79</v>
      </c>
      <c r="G33" s="1059">
        <v>20800.91</v>
      </c>
      <c r="H33" s="1059">
        <v>8974.9599999999991</v>
      </c>
      <c r="I33" s="1059">
        <v>27147.16</v>
      </c>
      <c r="J33" s="1059">
        <v>24351.06</v>
      </c>
      <c r="K33" s="1059">
        <v>10967.75</v>
      </c>
      <c r="L33" s="1059">
        <v>10901.13</v>
      </c>
      <c r="M33" s="1061">
        <f t="shared" si="0"/>
        <v>213547.12</v>
      </c>
      <c r="N33" s="284">
        <f t="shared" si="2"/>
        <v>187921.4656</v>
      </c>
      <c r="O33" s="284">
        <f t="shared" si="3"/>
        <v>18792.146560000001</v>
      </c>
      <c r="P33" s="294" t="s">
        <v>238</v>
      </c>
      <c r="Q33" s="296">
        <v>0.05</v>
      </c>
      <c r="R33" s="294" t="s">
        <v>235</v>
      </c>
      <c r="S33" s="295">
        <f t="shared" si="9"/>
        <v>19731.753887999999</v>
      </c>
      <c r="T33" s="288">
        <f>$O$33</f>
        <v>18792.146560000001</v>
      </c>
      <c r="U33" s="288">
        <f>$O$33</f>
        <v>18792.146560000001</v>
      </c>
      <c r="V33" s="288">
        <f>$O$33</f>
        <v>18792.146560000001</v>
      </c>
      <c r="W33" s="288">
        <f>$O$33</f>
        <v>18792.146560000001</v>
      </c>
      <c r="X33" s="288">
        <f>$O$33</f>
        <v>18792.146560000001</v>
      </c>
      <c r="Y33" s="288">
        <f t="shared" ref="Y33:AD33" si="35">$O$33</f>
        <v>18792.146560000001</v>
      </c>
      <c r="Z33" s="288">
        <f t="shared" si="35"/>
        <v>18792.146560000001</v>
      </c>
      <c r="AA33" s="288">
        <f t="shared" si="35"/>
        <v>18792.146560000001</v>
      </c>
      <c r="AB33" s="288">
        <f t="shared" si="35"/>
        <v>18792.146560000001</v>
      </c>
      <c r="AC33" s="288">
        <f t="shared" si="35"/>
        <v>18792.146560000001</v>
      </c>
      <c r="AD33" s="288">
        <f t="shared" si="35"/>
        <v>18792.146560000001</v>
      </c>
      <c r="AE33" s="288">
        <f>$S$33</f>
        <v>19731.753887999999</v>
      </c>
      <c r="AF33" s="288">
        <f t="shared" si="5"/>
        <v>226445.36604799997</v>
      </c>
    </row>
    <row r="34" spans="1:32" s="289" customFormat="1" ht="21.95" customHeight="1" x14ac:dyDescent="0.25">
      <c r="A34" s="1048" t="s">
        <v>3755</v>
      </c>
      <c r="B34" s="1049"/>
      <c r="C34" s="1059">
        <v>4547.46</v>
      </c>
      <c r="D34" s="1059">
        <v>2931.19</v>
      </c>
      <c r="E34" s="1059">
        <v>5931.36</v>
      </c>
      <c r="F34" s="1059">
        <v>3632.26</v>
      </c>
      <c r="G34" s="1059">
        <v>74421.55</v>
      </c>
      <c r="H34" s="1059">
        <v>2038.77</v>
      </c>
      <c r="I34" s="1059">
        <v>1367.67</v>
      </c>
      <c r="J34" s="1059">
        <v>6993.28</v>
      </c>
      <c r="K34" s="1059">
        <v>54174.400000000001</v>
      </c>
      <c r="L34" s="1059">
        <v>4656.0600000000004</v>
      </c>
      <c r="M34" s="1061">
        <f t="shared" si="0"/>
        <v>160694</v>
      </c>
      <c r="N34" s="284">
        <f t="shared" si="2"/>
        <v>141410.72</v>
      </c>
      <c r="O34" s="284">
        <f t="shared" si="3"/>
        <v>14141.072</v>
      </c>
      <c r="P34" s="294" t="s">
        <v>246</v>
      </c>
      <c r="Q34" s="296">
        <v>0.05</v>
      </c>
      <c r="R34" s="294" t="s">
        <v>3768</v>
      </c>
      <c r="S34" s="295">
        <f t="shared" si="9"/>
        <v>14848.125599999999</v>
      </c>
      <c r="T34" s="288">
        <f>$O$34</f>
        <v>14141.072</v>
      </c>
      <c r="U34" s="288">
        <f t="shared" ref="U34:AB34" si="36">$O$34</f>
        <v>14141.072</v>
      </c>
      <c r="V34" s="288">
        <f t="shared" si="36"/>
        <v>14141.072</v>
      </c>
      <c r="W34" s="288">
        <f t="shared" si="36"/>
        <v>14141.072</v>
      </c>
      <c r="X34" s="288">
        <f t="shared" si="36"/>
        <v>14141.072</v>
      </c>
      <c r="Y34" s="288">
        <f t="shared" si="36"/>
        <v>14141.072</v>
      </c>
      <c r="Z34" s="288">
        <f t="shared" si="36"/>
        <v>14141.072</v>
      </c>
      <c r="AA34" s="288">
        <f t="shared" si="36"/>
        <v>14141.072</v>
      </c>
      <c r="AB34" s="288">
        <f t="shared" si="36"/>
        <v>14141.072</v>
      </c>
      <c r="AC34" s="288">
        <f>$S$34</f>
        <v>14848.125599999999</v>
      </c>
      <c r="AD34" s="288">
        <f>$S$34</f>
        <v>14848.125599999999</v>
      </c>
      <c r="AE34" s="288">
        <f>$S$34</f>
        <v>14848.125599999999</v>
      </c>
      <c r="AF34" s="288">
        <f t="shared" si="5"/>
        <v>171814.02480000001</v>
      </c>
    </row>
    <row r="35" spans="1:32" s="289" customFormat="1" ht="21.95" customHeight="1" x14ac:dyDescent="0.25">
      <c r="A35" s="1053" t="s">
        <v>3756</v>
      </c>
      <c r="B35" s="1054"/>
      <c r="C35" s="1059">
        <v>70</v>
      </c>
      <c r="D35" s="1059">
        <v>341.74</v>
      </c>
      <c r="E35" s="1059">
        <v>0</v>
      </c>
      <c r="F35" s="1059">
        <v>0</v>
      </c>
      <c r="G35" s="1059">
        <v>0</v>
      </c>
      <c r="H35" s="1059">
        <v>4974.2700000000004</v>
      </c>
      <c r="I35" s="1059">
        <v>0</v>
      </c>
      <c r="J35" s="1059">
        <v>330.55</v>
      </c>
      <c r="K35" s="1059">
        <v>0</v>
      </c>
      <c r="L35" s="1059">
        <v>353.71</v>
      </c>
      <c r="M35" s="1061">
        <f t="shared" si="0"/>
        <v>6070.27</v>
      </c>
      <c r="N35" s="284">
        <f t="shared" si="2"/>
        <v>5341.8376000000007</v>
      </c>
      <c r="O35" s="284">
        <f t="shared" si="3"/>
        <v>534.18376000000012</v>
      </c>
      <c r="P35" s="294" t="s">
        <v>234</v>
      </c>
      <c r="Q35" s="293">
        <v>0.05</v>
      </c>
      <c r="R35" s="294" t="s">
        <v>253</v>
      </c>
      <c r="S35" s="295">
        <f t="shared" si="9"/>
        <v>560.89294800000016</v>
      </c>
      <c r="T35" s="288">
        <f>$O$35</f>
        <v>534.18376000000012</v>
      </c>
      <c r="U35" s="288">
        <f>$O$35</f>
        <v>534.18376000000012</v>
      </c>
      <c r="V35" s="288">
        <f>$O$35</f>
        <v>534.18376000000012</v>
      </c>
      <c r="W35" s="288">
        <f>$O$35</f>
        <v>534.18376000000012</v>
      </c>
      <c r="X35" s="288">
        <f>$S$35</f>
        <v>560.89294800000016</v>
      </c>
      <c r="Y35" s="288">
        <f t="shared" ref="Y35:AE35" si="37">$S$35</f>
        <v>560.89294800000016</v>
      </c>
      <c r="Z35" s="288">
        <f t="shared" si="37"/>
        <v>560.89294800000016</v>
      </c>
      <c r="AA35" s="288">
        <f t="shared" si="37"/>
        <v>560.89294800000016</v>
      </c>
      <c r="AB35" s="288">
        <f t="shared" si="37"/>
        <v>560.89294800000016</v>
      </c>
      <c r="AC35" s="288">
        <f t="shared" si="37"/>
        <v>560.89294800000016</v>
      </c>
      <c r="AD35" s="288">
        <f t="shared" si="37"/>
        <v>560.89294800000016</v>
      </c>
      <c r="AE35" s="288">
        <f t="shared" si="37"/>
        <v>560.89294800000016</v>
      </c>
      <c r="AF35" s="288">
        <f t="shared" si="5"/>
        <v>6623.8786240000027</v>
      </c>
    </row>
    <row r="36" spans="1:32" s="289" customFormat="1" ht="21.95" customHeight="1" x14ac:dyDescent="0.25">
      <c r="A36" s="1048" t="s">
        <v>292</v>
      </c>
      <c r="B36" s="1048"/>
      <c r="C36" s="1059">
        <v>45945.04</v>
      </c>
      <c r="D36" s="1059">
        <v>26101.65</v>
      </c>
      <c r="E36" s="1059">
        <v>38328.19</v>
      </c>
      <c r="F36" s="1059">
        <v>26875.22</v>
      </c>
      <c r="G36" s="1059">
        <v>47593.14</v>
      </c>
      <c r="H36" s="1059">
        <v>45375.14</v>
      </c>
      <c r="I36" s="1059">
        <v>51238.720000000001</v>
      </c>
      <c r="J36" s="1059">
        <v>41831.29</v>
      </c>
      <c r="K36" s="1059">
        <v>39981.25</v>
      </c>
      <c r="L36" s="1059">
        <v>35352.910000000003</v>
      </c>
      <c r="M36" s="1061">
        <f t="shared" si="0"/>
        <v>398622.54999999993</v>
      </c>
      <c r="N36" s="284">
        <f t="shared" si="2"/>
        <v>350787.84399999992</v>
      </c>
      <c r="O36" s="284">
        <f t="shared" si="3"/>
        <v>35078.78439999999</v>
      </c>
      <c r="P36" s="294" t="s">
        <v>246</v>
      </c>
      <c r="Q36" s="296">
        <v>0.08</v>
      </c>
      <c r="R36" s="294" t="s">
        <v>3769</v>
      </c>
      <c r="S36" s="295">
        <f t="shared" si="9"/>
        <v>37885.087151999986</v>
      </c>
      <c r="T36" s="288">
        <f>$O$36</f>
        <v>35078.78439999999</v>
      </c>
      <c r="U36" s="288">
        <f>$O$36</f>
        <v>35078.78439999999</v>
      </c>
      <c r="V36" s="288">
        <f>$O$36</f>
        <v>35078.78439999999</v>
      </c>
      <c r="W36" s="288">
        <f t="shared" ref="W36:AE36" si="38">$S$36</f>
        <v>37885.087151999986</v>
      </c>
      <c r="X36" s="288">
        <f t="shared" si="38"/>
        <v>37885.087151999986</v>
      </c>
      <c r="Y36" s="288">
        <f t="shared" si="38"/>
        <v>37885.087151999986</v>
      </c>
      <c r="Z36" s="288">
        <f t="shared" si="38"/>
        <v>37885.087151999986</v>
      </c>
      <c r="AA36" s="288">
        <f t="shared" si="38"/>
        <v>37885.087151999986</v>
      </c>
      <c r="AB36" s="288">
        <f t="shared" si="38"/>
        <v>37885.087151999986</v>
      </c>
      <c r="AC36" s="288">
        <f t="shared" si="38"/>
        <v>37885.087151999986</v>
      </c>
      <c r="AD36" s="288">
        <f t="shared" si="38"/>
        <v>37885.087151999986</v>
      </c>
      <c r="AE36" s="288">
        <f t="shared" si="38"/>
        <v>37885.087151999986</v>
      </c>
      <c r="AF36" s="288">
        <f t="shared" si="5"/>
        <v>446202.13756799989</v>
      </c>
    </row>
    <row r="37" spans="1:32" s="289" customFormat="1" ht="21.95" customHeight="1" x14ac:dyDescent="0.25">
      <c r="A37" s="1048" t="s">
        <v>3487</v>
      </c>
      <c r="B37" s="1049"/>
      <c r="C37" s="1059">
        <v>514029.53</v>
      </c>
      <c r="D37" s="1059">
        <v>516568.45</v>
      </c>
      <c r="E37" s="1059">
        <v>410557.81</v>
      </c>
      <c r="F37" s="1059">
        <v>377532.48</v>
      </c>
      <c r="G37" s="1059">
        <v>672253.63</v>
      </c>
      <c r="H37" s="1059">
        <v>714955.28</v>
      </c>
      <c r="I37" s="1059">
        <v>375946.48</v>
      </c>
      <c r="J37" s="1059">
        <v>1180354.58</v>
      </c>
      <c r="K37" s="1059">
        <v>979244.82</v>
      </c>
      <c r="L37" s="1059">
        <v>1036845.13</v>
      </c>
      <c r="M37" s="1061">
        <f t="shared" si="0"/>
        <v>6778288.1900000004</v>
      </c>
      <c r="N37" s="284">
        <f t="shared" si="2"/>
        <v>5964893.6072000004</v>
      </c>
      <c r="O37" s="284">
        <f t="shared" si="3"/>
        <v>596489.36072</v>
      </c>
      <c r="P37" s="294" t="s">
        <v>234</v>
      </c>
      <c r="Q37" s="293">
        <v>7.0000000000000007E-2</v>
      </c>
      <c r="R37" s="294" t="s">
        <v>275</v>
      </c>
      <c r="S37" s="295">
        <f t="shared" si="9"/>
        <v>638243.61597040005</v>
      </c>
      <c r="T37" s="288">
        <f>$O$37</f>
        <v>596489.36072</v>
      </c>
      <c r="U37" s="288">
        <f t="shared" ref="U37:AA37" si="39">$O$37</f>
        <v>596489.36072</v>
      </c>
      <c r="V37" s="288">
        <f t="shared" si="39"/>
        <v>596489.36072</v>
      </c>
      <c r="W37" s="288">
        <f t="shared" si="39"/>
        <v>596489.36072</v>
      </c>
      <c r="X37" s="288">
        <f t="shared" si="39"/>
        <v>596489.36072</v>
      </c>
      <c r="Y37" s="288">
        <f t="shared" si="39"/>
        <v>596489.36072</v>
      </c>
      <c r="Z37" s="288">
        <f t="shared" si="39"/>
        <v>596489.36072</v>
      </c>
      <c r="AA37" s="288">
        <f t="shared" si="39"/>
        <v>596489.36072</v>
      </c>
      <c r="AB37" s="288">
        <f>$S$37</f>
        <v>638243.61597040005</v>
      </c>
      <c r="AC37" s="288">
        <f>$S$37</f>
        <v>638243.61597040005</v>
      </c>
      <c r="AD37" s="288">
        <f>$S$37</f>
        <v>638243.61597040005</v>
      </c>
      <c r="AE37" s="288">
        <f>$S$37</f>
        <v>638243.61597040005</v>
      </c>
      <c r="AF37" s="288">
        <f t="shared" si="5"/>
        <v>7324889.3496416016</v>
      </c>
    </row>
    <row r="38" spans="1:32" s="289" customFormat="1" ht="30" x14ac:dyDescent="0.25">
      <c r="A38" s="1053" t="s">
        <v>320</v>
      </c>
      <c r="B38" s="1054"/>
      <c r="C38" s="1059">
        <v>344633.09</v>
      </c>
      <c r="D38" s="1059">
        <v>588078.12</v>
      </c>
      <c r="E38" s="1059">
        <v>938867.44</v>
      </c>
      <c r="F38" s="1059">
        <v>715336.65</v>
      </c>
      <c r="G38" s="1059">
        <v>645722.69999999995</v>
      </c>
      <c r="H38" s="1059">
        <v>886252.53</v>
      </c>
      <c r="I38" s="1059">
        <v>852497.81</v>
      </c>
      <c r="J38" s="1059">
        <v>349931.37</v>
      </c>
      <c r="K38" s="1059">
        <v>282620.92</v>
      </c>
      <c r="L38" s="1059">
        <v>233161</v>
      </c>
      <c r="M38" s="1061">
        <f t="shared" si="0"/>
        <v>5837101.6299999999</v>
      </c>
      <c r="N38" s="284">
        <f t="shared" si="2"/>
        <v>5136649.4343999997</v>
      </c>
      <c r="O38" s="284">
        <v>300000</v>
      </c>
      <c r="P38" s="297" t="s">
        <v>321</v>
      </c>
      <c r="Q38" s="296">
        <v>0.08</v>
      </c>
      <c r="R38" s="294" t="s">
        <v>263</v>
      </c>
      <c r="S38" s="295">
        <f t="shared" si="9"/>
        <v>324000</v>
      </c>
      <c r="T38" s="288">
        <f>$O$38</f>
        <v>300000</v>
      </c>
      <c r="U38" s="288">
        <f t="shared" ref="U38:Z38" si="40">$O$38</f>
        <v>300000</v>
      </c>
      <c r="V38" s="288">
        <f t="shared" si="40"/>
        <v>300000</v>
      </c>
      <c r="W38" s="288">
        <f t="shared" si="40"/>
        <v>300000</v>
      </c>
      <c r="X38" s="288">
        <f t="shared" si="40"/>
        <v>300000</v>
      </c>
      <c r="Y38" s="288">
        <f t="shared" si="40"/>
        <v>300000</v>
      </c>
      <c r="Z38" s="288">
        <f t="shared" si="40"/>
        <v>300000</v>
      </c>
      <c r="AA38" s="288">
        <f>$S$38</f>
        <v>324000</v>
      </c>
      <c r="AB38" s="288">
        <f>$S$38</f>
        <v>324000</v>
      </c>
      <c r="AC38" s="288">
        <f>$S$38</f>
        <v>324000</v>
      </c>
      <c r="AD38" s="288">
        <f>$S$38</f>
        <v>324000</v>
      </c>
      <c r="AE38" s="288">
        <f>$S$38</f>
        <v>324000</v>
      </c>
      <c r="AF38" s="288">
        <f t="shared" si="5"/>
        <v>3720000</v>
      </c>
    </row>
    <row r="39" spans="1:32" s="289" customFormat="1" ht="30" x14ac:dyDescent="0.25">
      <c r="A39" s="1053" t="s">
        <v>322</v>
      </c>
      <c r="B39" s="1054"/>
      <c r="C39" s="1059">
        <v>1002208.26</v>
      </c>
      <c r="D39" s="1059">
        <v>1021229.01</v>
      </c>
      <c r="E39" s="1059">
        <v>1405313.49</v>
      </c>
      <c r="F39" s="1059">
        <v>2359955.65</v>
      </c>
      <c r="G39" s="1059">
        <v>1388534.36</v>
      </c>
      <c r="H39" s="1059">
        <v>1735328.6</v>
      </c>
      <c r="I39" s="1059">
        <v>1639511.5</v>
      </c>
      <c r="J39" s="1059">
        <v>1222790.43</v>
      </c>
      <c r="K39" s="1059">
        <v>624913.17000000004</v>
      </c>
      <c r="L39" s="1059">
        <v>620985.06000000006</v>
      </c>
      <c r="M39" s="1061">
        <f t="shared" si="0"/>
        <v>13020769.530000001</v>
      </c>
      <c r="N39" s="284">
        <f t="shared" si="2"/>
        <v>11458277.186400002</v>
      </c>
      <c r="O39" s="284">
        <v>650000</v>
      </c>
      <c r="P39" s="297" t="s">
        <v>321</v>
      </c>
      <c r="Q39" s="296">
        <v>0.08</v>
      </c>
      <c r="R39" s="294" t="s">
        <v>263</v>
      </c>
      <c r="S39" s="295">
        <f t="shared" si="9"/>
        <v>702000</v>
      </c>
      <c r="T39" s="288">
        <f>$O$39</f>
        <v>650000</v>
      </c>
      <c r="U39" s="288">
        <f t="shared" ref="U39:Z39" si="41">$O$39</f>
        <v>650000</v>
      </c>
      <c r="V39" s="288">
        <f t="shared" si="41"/>
        <v>650000</v>
      </c>
      <c r="W39" s="288">
        <f t="shared" si="41"/>
        <v>650000</v>
      </c>
      <c r="X39" s="288">
        <f t="shared" si="41"/>
        <v>650000</v>
      </c>
      <c r="Y39" s="288">
        <f t="shared" si="41"/>
        <v>650000</v>
      </c>
      <c r="Z39" s="288">
        <f t="shared" si="41"/>
        <v>650000</v>
      </c>
      <c r="AA39" s="288">
        <f>$S$39</f>
        <v>702000</v>
      </c>
      <c r="AB39" s="288">
        <f>$S$39</f>
        <v>702000</v>
      </c>
      <c r="AC39" s="288">
        <f>$S$39</f>
        <v>702000</v>
      </c>
      <c r="AD39" s="288">
        <f>$S$39</f>
        <v>702000</v>
      </c>
      <c r="AE39" s="288">
        <f>$S$39</f>
        <v>702000</v>
      </c>
      <c r="AF39" s="288">
        <f t="shared" si="5"/>
        <v>8060000</v>
      </c>
    </row>
    <row r="40" spans="1:32" s="289" customFormat="1" ht="15" x14ac:dyDescent="0.25">
      <c r="A40" s="1053" t="s">
        <v>3757</v>
      </c>
      <c r="B40" s="1054"/>
      <c r="C40" s="1059">
        <v>0</v>
      </c>
      <c r="D40" s="1059">
        <v>0</v>
      </c>
      <c r="E40" s="1059">
        <v>0</v>
      </c>
      <c r="F40" s="1059">
        <v>0</v>
      </c>
      <c r="G40" s="1059">
        <v>40435.32</v>
      </c>
      <c r="H40" s="1059">
        <v>0</v>
      </c>
      <c r="I40" s="1059">
        <v>0</v>
      </c>
      <c r="J40" s="1059">
        <v>0</v>
      </c>
      <c r="K40" s="1059">
        <v>0</v>
      </c>
      <c r="L40" s="1059">
        <v>71874.23</v>
      </c>
      <c r="M40" s="1061">
        <f t="shared" si="0"/>
        <v>112309.54999999999</v>
      </c>
      <c r="N40" s="284">
        <f t="shared" si="2"/>
        <v>98832.403999999995</v>
      </c>
      <c r="O40" s="284">
        <f t="shared" si="3"/>
        <v>9883.2403999999988</v>
      </c>
      <c r="P40" s="294" t="s">
        <v>297</v>
      </c>
      <c r="Q40" s="296">
        <v>0.08</v>
      </c>
      <c r="R40" s="294" t="s">
        <v>239</v>
      </c>
      <c r="S40" s="295">
        <f t="shared" si="9"/>
        <v>10673.899631999999</v>
      </c>
      <c r="T40" s="298">
        <f t="shared" ref="T40:Y40" si="42">$O$40</f>
        <v>9883.2403999999988</v>
      </c>
      <c r="U40" s="298">
        <f t="shared" si="42"/>
        <v>9883.2403999999988</v>
      </c>
      <c r="V40" s="298">
        <f t="shared" si="42"/>
        <v>9883.2403999999988</v>
      </c>
      <c r="W40" s="298">
        <f t="shared" si="42"/>
        <v>9883.2403999999988</v>
      </c>
      <c r="X40" s="298">
        <f t="shared" si="42"/>
        <v>9883.2403999999988</v>
      </c>
      <c r="Y40" s="298">
        <f t="shared" si="42"/>
        <v>9883.2403999999988</v>
      </c>
      <c r="Z40" s="298">
        <f t="shared" ref="Z40:AE40" si="43">$S$40</f>
        <v>10673.899631999999</v>
      </c>
      <c r="AA40" s="298">
        <f t="shared" si="43"/>
        <v>10673.899631999999</v>
      </c>
      <c r="AB40" s="298">
        <f t="shared" si="43"/>
        <v>10673.899631999999</v>
      </c>
      <c r="AC40" s="298">
        <f t="shared" si="43"/>
        <v>10673.899631999999</v>
      </c>
      <c r="AD40" s="298">
        <f t="shared" si="43"/>
        <v>10673.899631999999</v>
      </c>
      <c r="AE40" s="298">
        <f t="shared" si="43"/>
        <v>10673.899631999999</v>
      </c>
      <c r="AF40" s="288">
        <f t="shared" si="5"/>
        <v>123342.84019199999</v>
      </c>
    </row>
    <row r="41" spans="1:32" ht="21.95" customHeight="1" x14ac:dyDescent="0.25">
      <c r="A41" s="2656" t="s">
        <v>323</v>
      </c>
      <c r="B41" s="2657"/>
      <c r="C41" s="1062">
        <v>169131.03</v>
      </c>
      <c r="D41" s="1059">
        <v>221531.82</v>
      </c>
      <c r="E41" s="1059">
        <v>87479.65</v>
      </c>
      <c r="F41" s="1059">
        <v>101124.29</v>
      </c>
      <c r="G41" s="1059">
        <v>196930.48</v>
      </c>
      <c r="H41" s="1059">
        <v>203300.6</v>
      </c>
      <c r="I41" s="1059">
        <v>188801.57</v>
      </c>
      <c r="J41" s="1059">
        <v>159270.57</v>
      </c>
      <c r="K41" s="1059">
        <v>208326.55</v>
      </c>
      <c r="L41" s="1059">
        <v>160581.42000000001</v>
      </c>
      <c r="M41" s="1063">
        <f t="shared" si="0"/>
        <v>1696477.98</v>
      </c>
      <c r="N41" s="284">
        <f t="shared" si="2"/>
        <v>1492900.6224</v>
      </c>
      <c r="O41" s="284">
        <f t="shared" si="3"/>
        <v>149290.06224</v>
      </c>
      <c r="P41" s="301"/>
      <c r="Q41" s="302"/>
      <c r="R41" s="301"/>
      <c r="S41" s="303"/>
      <c r="T41" s="304">
        <f>$O$41</f>
        <v>149290.06224</v>
      </c>
      <c r="U41" s="304">
        <f t="shared" ref="U41:AE41" si="44">$O$41</f>
        <v>149290.06224</v>
      </c>
      <c r="V41" s="304">
        <f t="shared" si="44"/>
        <v>149290.06224</v>
      </c>
      <c r="W41" s="304">
        <f t="shared" si="44"/>
        <v>149290.06224</v>
      </c>
      <c r="X41" s="304">
        <f t="shared" si="44"/>
        <v>149290.06224</v>
      </c>
      <c r="Y41" s="304">
        <f t="shared" si="44"/>
        <v>149290.06224</v>
      </c>
      <c r="Z41" s="304">
        <f t="shared" si="44"/>
        <v>149290.06224</v>
      </c>
      <c r="AA41" s="304">
        <f t="shared" si="44"/>
        <v>149290.06224</v>
      </c>
      <c r="AB41" s="304">
        <f t="shared" si="44"/>
        <v>149290.06224</v>
      </c>
      <c r="AC41" s="304">
        <f t="shared" si="44"/>
        <v>149290.06224</v>
      </c>
      <c r="AD41" s="304">
        <f t="shared" si="44"/>
        <v>149290.06224</v>
      </c>
      <c r="AE41" s="304">
        <f t="shared" si="44"/>
        <v>149290.06224</v>
      </c>
      <c r="AF41" s="288">
        <f t="shared" si="5"/>
        <v>1791480.7468799995</v>
      </c>
    </row>
    <row r="42" spans="1:32" ht="29.1" customHeight="1" x14ac:dyDescent="0.25">
      <c r="A42" s="2658" t="s">
        <v>324</v>
      </c>
      <c r="B42" s="2659"/>
      <c r="C42" s="1064">
        <f>SUM(C4:C41)</f>
        <v>13352793.23</v>
      </c>
      <c r="D42" s="1064">
        <f t="shared" ref="D42:M42" si="45">SUM(D4:D41)</f>
        <v>12338335.179999998</v>
      </c>
      <c r="E42" s="1064">
        <f t="shared" si="45"/>
        <v>13764408.159999998</v>
      </c>
      <c r="F42" s="1064">
        <f t="shared" si="45"/>
        <v>19273547.549999997</v>
      </c>
      <c r="G42" s="1064">
        <f t="shared" si="45"/>
        <v>20833741.060000002</v>
      </c>
      <c r="H42" s="1064">
        <f t="shared" si="45"/>
        <v>19207445.340000007</v>
      </c>
      <c r="I42" s="1064">
        <f t="shared" si="45"/>
        <v>19349954.420000002</v>
      </c>
      <c r="J42" s="1064">
        <f t="shared" si="45"/>
        <v>21428221.479999993</v>
      </c>
      <c r="K42" s="1064">
        <f t="shared" si="45"/>
        <v>16786758.139999993</v>
      </c>
      <c r="L42" s="1064">
        <f t="shared" si="45"/>
        <v>19118611.150000002</v>
      </c>
      <c r="M42" s="1064">
        <f t="shared" si="45"/>
        <v>175453815.71000001</v>
      </c>
      <c r="N42" s="268">
        <f t="shared" si="2"/>
        <v>154399357.82480001</v>
      </c>
      <c r="O42" s="1065">
        <f t="shared" si="3"/>
        <v>15439935.782480001</v>
      </c>
      <c r="P42" s="307"/>
      <c r="Q42" s="308"/>
      <c r="R42" s="308"/>
      <c r="S42" s="309"/>
      <c r="T42" s="310">
        <f t="shared" ref="T42:AE42" si="46">SUM(T4:T41)</f>
        <v>4220849.3379936004</v>
      </c>
      <c r="U42" s="313">
        <f t="shared" si="46"/>
        <v>4220849.3379936004</v>
      </c>
      <c r="V42" s="313">
        <f t="shared" si="46"/>
        <v>4220849.3379936004</v>
      </c>
      <c r="W42" s="313">
        <f t="shared" si="46"/>
        <v>4223655.6407456007</v>
      </c>
      <c r="X42" s="313">
        <f t="shared" si="46"/>
        <v>4237573.5100032007</v>
      </c>
      <c r="Y42" s="313">
        <f t="shared" si="46"/>
        <v>4241714.8899184009</v>
      </c>
      <c r="Z42" s="313">
        <f t="shared" si="46"/>
        <v>4262894.1494000014</v>
      </c>
      <c r="AA42" s="313">
        <f t="shared" si="46"/>
        <v>4338902.5127792014</v>
      </c>
      <c r="AB42" s="313">
        <f t="shared" si="46"/>
        <v>4380656.7680296013</v>
      </c>
      <c r="AC42" s="313">
        <f t="shared" si="46"/>
        <v>4381363.8216296006</v>
      </c>
      <c r="AD42" s="313">
        <f t="shared" si="46"/>
        <v>4406336.2626616005</v>
      </c>
      <c r="AE42" s="313">
        <f t="shared" si="46"/>
        <v>4424453.7360488009</v>
      </c>
      <c r="AF42" s="311">
        <f>SUM(T42:AE42)</f>
        <v>51560099.305196807</v>
      </c>
    </row>
    <row r="43" spans="1:32" ht="15.75" customHeight="1" x14ac:dyDescent="0.25">
      <c r="M43" s="274"/>
    </row>
    <row r="44" spans="1:32" ht="15" x14ac:dyDescent="0.25">
      <c r="M44" s="274"/>
    </row>
    <row r="45" spans="1:32" ht="15" x14ac:dyDescent="0.25">
      <c r="M45" s="274"/>
    </row>
    <row r="46" spans="1:32" ht="15" x14ac:dyDescent="0.25">
      <c r="M46" s="274"/>
    </row>
    <row r="47" spans="1:32" ht="15" x14ac:dyDescent="0.25">
      <c r="M47" s="274"/>
    </row>
    <row r="48" spans="1:32" ht="15" x14ac:dyDescent="0.25">
      <c r="M48" s="274"/>
    </row>
    <row r="49" spans="1:32" ht="15" x14ac:dyDescent="0.25">
      <c r="M49" s="274"/>
    </row>
    <row r="50" spans="1:32" s="268" customFormat="1" ht="15" x14ac:dyDescent="0.25">
      <c r="A50" s="264"/>
      <c r="B50" s="264"/>
      <c r="C50" s="1056"/>
      <c r="D50" s="1056"/>
      <c r="E50" s="1056"/>
      <c r="F50" s="1056"/>
      <c r="G50" s="1056"/>
      <c r="H50" s="1056"/>
      <c r="I50" s="1056"/>
      <c r="J50" s="1056"/>
      <c r="K50" s="1056"/>
      <c r="L50" s="1056"/>
      <c r="M50" s="274"/>
      <c r="P50" s="264"/>
      <c r="Q50" s="264"/>
      <c r="R50" s="264"/>
      <c r="S50" s="264"/>
      <c r="T50" s="1056"/>
      <c r="U50" s="1056"/>
      <c r="V50" s="1056"/>
      <c r="W50" s="1056"/>
      <c r="X50" s="1056"/>
      <c r="Y50" s="1056"/>
      <c r="Z50" s="1056"/>
      <c r="AA50" s="1056"/>
      <c r="AB50" s="1056"/>
      <c r="AC50" s="1056"/>
      <c r="AD50" s="1056"/>
      <c r="AE50" s="1056"/>
      <c r="AF50" s="264"/>
    </row>
    <row r="51" spans="1:32" s="268" customFormat="1" ht="15" x14ac:dyDescent="0.25">
      <c r="A51" s="264"/>
      <c r="B51" s="264"/>
      <c r="C51" s="1056"/>
      <c r="D51" s="1056"/>
      <c r="E51" s="1056"/>
      <c r="F51" s="1056"/>
      <c r="G51" s="1056"/>
      <c r="H51" s="1056"/>
      <c r="I51" s="1056"/>
      <c r="J51" s="1056"/>
      <c r="K51" s="1056"/>
      <c r="L51" s="1056"/>
      <c r="M51" s="274"/>
      <c r="P51" s="264"/>
      <c r="Q51" s="264"/>
      <c r="R51" s="264"/>
      <c r="S51" s="264"/>
      <c r="T51" s="1056"/>
      <c r="U51" s="1056"/>
      <c r="V51" s="1056"/>
      <c r="W51" s="1056"/>
      <c r="X51" s="1056"/>
      <c r="Y51" s="1056"/>
      <c r="Z51" s="1056"/>
      <c r="AA51" s="1056"/>
      <c r="AB51" s="1056"/>
      <c r="AC51" s="1056"/>
      <c r="AD51" s="1056"/>
      <c r="AE51" s="1056"/>
      <c r="AF51" s="264"/>
    </row>
    <row r="52" spans="1:32" s="268" customFormat="1" ht="15" x14ac:dyDescent="0.25">
      <c r="A52" s="264"/>
      <c r="B52" s="264"/>
      <c r="C52" s="1056"/>
      <c r="D52" s="1056"/>
      <c r="E52" s="1056"/>
      <c r="F52" s="1056"/>
      <c r="G52" s="1056"/>
      <c r="H52" s="1056"/>
      <c r="I52" s="1056"/>
      <c r="J52" s="1056"/>
      <c r="K52" s="1056"/>
      <c r="L52" s="1056"/>
      <c r="M52" s="274"/>
      <c r="P52" s="264"/>
      <c r="Q52" s="264"/>
      <c r="R52" s="264"/>
      <c r="S52" s="264"/>
      <c r="T52" s="1056"/>
      <c r="U52" s="1056"/>
      <c r="V52" s="1056"/>
      <c r="W52" s="1056"/>
      <c r="X52" s="1056"/>
      <c r="Y52" s="1056"/>
      <c r="Z52" s="1056"/>
      <c r="AA52" s="1056"/>
      <c r="AB52" s="1056"/>
      <c r="AC52" s="1056"/>
      <c r="AD52" s="1056"/>
      <c r="AE52" s="1056"/>
      <c r="AF52" s="264"/>
    </row>
    <row r="53" spans="1:32" s="268" customFormat="1" ht="15" x14ac:dyDescent="0.25">
      <c r="A53" s="264"/>
      <c r="B53" s="264"/>
      <c r="C53" s="1056"/>
      <c r="D53" s="1056"/>
      <c r="E53" s="1056"/>
      <c r="F53" s="1056"/>
      <c r="G53" s="1056"/>
      <c r="H53" s="1056"/>
      <c r="I53" s="1056"/>
      <c r="J53" s="1056"/>
      <c r="K53" s="1056"/>
      <c r="L53" s="1056"/>
      <c r="M53" s="274"/>
      <c r="P53" s="264"/>
      <c r="Q53" s="264"/>
      <c r="R53" s="264"/>
      <c r="S53" s="264"/>
      <c r="T53" s="1056"/>
      <c r="U53" s="1056"/>
      <c r="V53" s="1056"/>
      <c r="W53" s="1056"/>
      <c r="X53" s="1056"/>
      <c r="Y53" s="1056"/>
      <c r="Z53" s="1056"/>
      <c r="AA53" s="1056"/>
      <c r="AB53" s="1056"/>
      <c r="AC53" s="1056"/>
      <c r="AD53" s="1056"/>
      <c r="AE53" s="1056"/>
      <c r="AF53" s="264"/>
    </row>
    <row r="54" spans="1:32" s="268" customFormat="1" ht="15" x14ac:dyDescent="0.25">
      <c r="A54" s="264"/>
      <c r="B54" s="264"/>
      <c r="C54" s="1056"/>
      <c r="D54" s="1056"/>
      <c r="E54" s="1056"/>
      <c r="F54" s="1056"/>
      <c r="G54" s="1056"/>
      <c r="H54" s="1056"/>
      <c r="I54" s="1056"/>
      <c r="J54" s="1056"/>
      <c r="K54" s="1056"/>
      <c r="L54" s="1056"/>
      <c r="M54" s="274"/>
      <c r="P54" s="264"/>
      <c r="Q54" s="264"/>
      <c r="R54" s="264"/>
      <c r="S54" s="264"/>
      <c r="T54" s="1056"/>
      <c r="U54" s="1056"/>
      <c r="V54" s="1056"/>
      <c r="W54" s="1056"/>
      <c r="X54" s="1056"/>
      <c r="Y54" s="1056"/>
      <c r="Z54" s="1056"/>
      <c r="AA54" s="1056"/>
      <c r="AB54" s="1056"/>
      <c r="AC54" s="1056"/>
      <c r="AD54" s="1056"/>
      <c r="AE54" s="1056"/>
      <c r="AF54" s="264"/>
    </row>
    <row r="55" spans="1:32" s="268" customFormat="1" ht="15" x14ac:dyDescent="0.25">
      <c r="A55" s="264"/>
      <c r="B55" s="264"/>
      <c r="C55" s="1056"/>
      <c r="D55" s="1056"/>
      <c r="E55" s="1056"/>
      <c r="F55" s="1056"/>
      <c r="G55" s="1056"/>
      <c r="H55" s="1056"/>
      <c r="I55" s="1056"/>
      <c r="J55" s="1056"/>
      <c r="K55" s="1056"/>
      <c r="L55" s="1056"/>
      <c r="M55" s="274"/>
      <c r="P55" s="264"/>
      <c r="Q55" s="264"/>
      <c r="R55" s="264"/>
      <c r="S55" s="264"/>
      <c r="T55" s="1056"/>
      <c r="U55" s="1056"/>
      <c r="V55" s="1056"/>
      <c r="W55" s="1056"/>
      <c r="X55" s="1056"/>
      <c r="Y55" s="1056"/>
      <c r="Z55" s="1056"/>
      <c r="AA55" s="1056"/>
      <c r="AB55" s="1056"/>
      <c r="AC55" s="1056"/>
      <c r="AD55" s="1056"/>
      <c r="AE55" s="1056"/>
      <c r="AF55" s="264"/>
    </row>
    <row r="56" spans="1:32" s="268" customFormat="1" ht="15" x14ac:dyDescent="0.25">
      <c r="A56" s="264"/>
      <c r="B56" s="264"/>
      <c r="C56" s="1056"/>
      <c r="D56" s="1056"/>
      <c r="E56" s="1056"/>
      <c r="F56" s="1056"/>
      <c r="G56" s="1056"/>
      <c r="H56" s="1056"/>
      <c r="I56" s="1056"/>
      <c r="J56" s="1056"/>
      <c r="K56" s="1056"/>
      <c r="L56" s="1056"/>
      <c r="M56" s="274"/>
      <c r="P56" s="264"/>
      <c r="Q56" s="264"/>
      <c r="R56" s="264"/>
      <c r="S56" s="264"/>
      <c r="T56" s="1056"/>
      <c r="U56" s="1056"/>
      <c r="V56" s="1056"/>
      <c r="W56" s="1056"/>
      <c r="X56" s="1056"/>
      <c r="Y56" s="1056"/>
      <c r="Z56" s="1056"/>
      <c r="AA56" s="1056"/>
      <c r="AB56" s="1056"/>
      <c r="AC56" s="1056"/>
      <c r="AD56" s="1056"/>
      <c r="AE56" s="1056"/>
      <c r="AF56" s="264"/>
    </row>
    <row r="57" spans="1:32" s="268" customFormat="1" ht="15" x14ac:dyDescent="0.25">
      <c r="A57" s="264"/>
      <c r="B57" s="264"/>
      <c r="C57" s="1056"/>
      <c r="D57" s="1056"/>
      <c r="E57" s="1056"/>
      <c r="F57" s="1056"/>
      <c r="G57" s="1056"/>
      <c r="H57" s="1056"/>
      <c r="I57" s="1056"/>
      <c r="J57" s="1056"/>
      <c r="K57" s="1056"/>
      <c r="L57" s="1056"/>
      <c r="M57" s="274"/>
      <c r="P57" s="264"/>
      <c r="Q57" s="264"/>
      <c r="R57" s="264"/>
      <c r="S57" s="264"/>
      <c r="T57" s="1056"/>
      <c r="U57" s="1056"/>
      <c r="V57" s="1056"/>
      <c r="W57" s="1056"/>
      <c r="X57" s="1056"/>
      <c r="Y57" s="1056"/>
      <c r="Z57" s="1056"/>
      <c r="AA57" s="1056"/>
      <c r="AB57" s="1056"/>
      <c r="AC57" s="1056"/>
      <c r="AD57" s="1056"/>
      <c r="AE57" s="1056"/>
      <c r="AF57" s="264"/>
    </row>
    <row r="58" spans="1:32" s="268" customFormat="1" ht="15" x14ac:dyDescent="0.25">
      <c r="A58" s="264"/>
      <c r="B58" s="264"/>
      <c r="C58" s="1056"/>
      <c r="D58" s="1056"/>
      <c r="E58" s="1056"/>
      <c r="F58" s="1056"/>
      <c r="G58" s="1056"/>
      <c r="H58" s="1056"/>
      <c r="I58" s="1056"/>
      <c r="J58" s="1056"/>
      <c r="K58" s="1056"/>
      <c r="L58" s="1056"/>
      <c r="M58" s="274"/>
      <c r="P58" s="264"/>
      <c r="Q58" s="264"/>
      <c r="R58" s="264"/>
      <c r="S58" s="264"/>
      <c r="T58" s="1056"/>
      <c r="U58" s="1056"/>
      <c r="V58" s="1056"/>
      <c r="W58" s="1056"/>
      <c r="X58" s="1056"/>
      <c r="Y58" s="1056"/>
      <c r="Z58" s="1056"/>
      <c r="AA58" s="1056"/>
      <c r="AB58" s="1056"/>
      <c r="AC58" s="1056"/>
      <c r="AD58" s="1056"/>
      <c r="AE58" s="1056"/>
      <c r="AF58" s="264"/>
    </row>
    <row r="59" spans="1:32" s="268" customFormat="1" ht="15" x14ac:dyDescent="0.25">
      <c r="A59" s="264"/>
      <c r="B59" s="264"/>
      <c r="C59" s="1056"/>
      <c r="D59" s="1056"/>
      <c r="E59" s="1056"/>
      <c r="F59" s="1056"/>
      <c r="G59" s="1056"/>
      <c r="H59" s="1056"/>
      <c r="I59" s="1056"/>
      <c r="J59" s="1056"/>
      <c r="K59" s="1056"/>
      <c r="L59" s="1056"/>
      <c r="M59" s="274"/>
      <c r="P59" s="264"/>
      <c r="Q59" s="264"/>
      <c r="R59" s="264"/>
      <c r="S59" s="264"/>
      <c r="T59" s="1056"/>
      <c r="U59" s="1056"/>
      <c r="V59" s="1056"/>
      <c r="W59" s="1056"/>
      <c r="X59" s="1056"/>
      <c r="Y59" s="1056"/>
      <c r="Z59" s="1056"/>
      <c r="AA59" s="1056"/>
      <c r="AB59" s="1056"/>
      <c r="AC59" s="1056"/>
      <c r="AD59" s="1056"/>
      <c r="AE59" s="1056"/>
      <c r="AF59" s="264"/>
    </row>
    <row r="60" spans="1:32" s="268" customFormat="1" ht="15" x14ac:dyDescent="0.25">
      <c r="A60" s="264"/>
      <c r="B60" s="264"/>
      <c r="C60" s="1056"/>
      <c r="D60" s="1056"/>
      <c r="E60" s="1056"/>
      <c r="F60" s="1056"/>
      <c r="G60" s="1056"/>
      <c r="H60" s="1056"/>
      <c r="I60" s="1056"/>
      <c r="J60" s="1056"/>
      <c r="K60" s="1056"/>
      <c r="L60" s="1056"/>
      <c r="M60" s="274"/>
      <c r="P60" s="264"/>
      <c r="Q60" s="264"/>
      <c r="R60" s="264"/>
      <c r="S60" s="264"/>
      <c r="T60" s="1056"/>
      <c r="U60" s="1056"/>
      <c r="V60" s="1056"/>
      <c r="W60" s="1056"/>
      <c r="X60" s="1056"/>
      <c r="Y60" s="1056"/>
      <c r="Z60" s="1056"/>
      <c r="AA60" s="1056"/>
      <c r="AB60" s="1056"/>
      <c r="AC60" s="1056"/>
      <c r="AD60" s="1056"/>
      <c r="AE60" s="1056"/>
      <c r="AF60" s="264"/>
    </row>
    <row r="61" spans="1:32" s="268" customFormat="1" ht="15" x14ac:dyDescent="0.25">
      <c r="A61" s="264"/>
      <c r="B61" s="264"/>
      <c r="C61" s="1056"/>
      <c r="D61" s="1056"/>
      <c r="E61" s="1056"/>
      <c r="F61" s="1056"/>
      <c r="G61" s="1056"/>
      <c r="H61" s="1056"/>
      <c r="I61" s="1056"/>
      <c r="J61" s="1056"/>
      <c r="K61" s="1056"/>
      <c r="L61" s="1056"/>
      <c r="M61" s="274"/>
      <c r="P61" s="264"/>
      <c r="Q61" s="264"/>
      <c r="R61" s="264"/>
      <c r="S61" s="264"/>
      <c r="T61" s="1056"/>
      <c r="U61" s="1056"/>
      <c r="V61" s="1056"/>
      <c r="W61" s="1056"/>
      <c r="X61" s="1056"/>
      <c r="Y61" s="1056"/>
      <c r="Z61" s="1056"/>
      <c r="AA61" s="1056"/>
      <c r="AB61" s="1056"/>
      <c r="AC61" s="1056"/>
      <c r="AD61" s="1056"/>
      <c r="AE61" s="1056"/>
      <c r="AF61" s="264"/>
    </row>
    <row r="62" spans="1:32" s="268" customFormat="1" ht="15" x14ac:dyDescent="0.25">
      <c r="A62" s="264"/>
      <c r="B62" s="264"/>
      <c r="C62" s="1056"/>
      <c r="D62" s="1056"/>
      <c r="E62" s="1056"/>
      <c r="F62" s="1056"/>
      <c r="G62" s="1056"/>
      <c r="H62" s="1056"/>
      <c r="I62" s="1056"/>
      <c r="J62" s="1056"/>
      <c r="K62" s="1056"/>
      <c r="L62" s="1056"/>
      <c r="M62" s="274"/>
      <c r="P62" s="264"/>
      <c r="Q62" s="264"/>
      <c r="R62" s="264"/>
      <c r="S62" s="264"/>
      <c r="T62" s="1056"/>
      <c r="U62" s="1056"/>
      <c r="V62" s="1056"/>
      <c r="W62" s="1056"/>
      <c r="X62" s="1056"/>
      <c r="Y62" s="1056"/>
      <c r="Z62" s="1056"/>
      <c r="AA62" s="1056"/>
      <c r="AB62" s="1056"/>
      <c r="AC62" s="1056"/>
      <c r="AD62" s="1056"/>
      <c r="AE62" s="1056"/>
      <c r="AF62" s="264"/>
    </row>
    <row r="63" spans="1:32" s="268" customFormat="1" ht="15" x14ac:dyDescent="0.25">
      <c r="A63" s="264"/>
      <c r="B63" s="264"/>
      <c r="C63" s="1056"/>
      <c r="D63" s="1056"/>
      <c r="E63" s="1056"/>
      <c r="F63" s="1056"/>
      <c r="G63" s="1056"/>
      <c r="H63" s="1056"/>
      <c r="I63" s="1056"/>
      <c r="J63" s="1056"/>
      <c r="K63" s="1056"/>
      <c r="L63" s="1056"/>
      <c r="M63" s="274"/>
      <c r="P63" s="264"/>
      <c r="Q63" s="264"/>
      <c r="R63" s="264"/>
      <c r="S63" s="264"/>
      <c r="T63" s="1056"/>
      <c r="U63" s="1056"/>
      <c r="V63" s="1056"/>
      <c r="W63" s="1056"/>
      <c r="X63" s="1056"/>
      <c r="Y63" s="1056"/>
      <c r="Z63" s="1056"/>
      <c r="AA63" s="1056"/>
      <c r="AB63" s="1056"/>
      <c r="AC63" s="1056"/>
      <c r="AD63" s="1056"/>
      <c r="AE63" s="1056"/>
      <c r="AF63" s="264"/>
    </row>
    <row r="64" spans="1:32" s="268" customFormat="1" ht="15" x14ac:dyDescent="0.25">
      <c r="A64" s="264"/>
      <c r="B64" s="264"/>
      <c r="C64" s="1056"/>
      <c r="D64" s="1056"/>
      <c r="E64" s="1056"/>
      <c r="F64" s="1056"/>
      <c r="G64" s="1056"/>
      <c r="H64" s="1056"/>
      <c r="I64" s="1056"/>
      <c r="J64" s="1056"/>
      <c r="K64" s="1056"/>
      <c r="L64" s="1056"/>
      <c r="M64" s="274"/>
      <c r="P64" s="264"/>
      <c r="Q64" s="264"/>
      <c r="R64" s="264"/>
      <c r="S64" s="264"/>
      <c r="T64" s="1056"/>
      <c r="U64" s="1056"/>
      <c r="V64" s="1056"/>
      <c r="W64" s="1056"/>
      <c r="X64" s="1056"/>
      <c r="Y64" s="1056"/>
      <c r="Z64" s="1056"/>
      <c r="AA64" s="1056"/>
      <c r="AB64" s="1056"/>
      <c r="AC64" s="1056"/>
      <c r="AD64" s="1056"/>
      <c r="AE64" s="1056"/>
      <c r="AF64" s="264"/>
    </row>
    <row r="65" spans="1:32" s="268" customFormat="1" ht="15" x14ac:dyDescent="0.25">
      <c r="A65" s="264"/>
      <c r="B65" s="264"/>
      <c r="C65" s="1056"/>
      <c r="D65" s="1056"/>
      <c r="E65" s="1056"/>
      <c r="F65" s="1056"/>
      <c r="G65" s="1056"/>
      <c r="H65" s="1056"/>
      <c r="I65" s="1056"/>
      <c r="J65" s="1056"/>
      <c r="K65" s="1056"/>
      <c r="L65" s="1056"/>
      <c r="M65" s="274"/>
      <c r="P65" s="264"/>
      <c r="Q65" s="264"/>
      <c r="R65" s="264"/>
      <c r="S65" s="264"/>
      <c r="T65" s="1056"/>
      <c r="U65" s="1056"/>
      <c r="V65" s="1056"/>
      <c r="W65" s="1056"/>
      <c r="X65" s="1056"/>
      <c r="Y65" s="1056"/>
      <c r="Z65" s="1056"/>
      <c r="AA65" s="1056"/>
      <c r="AB65" s="1056"/>
      <c r="AC65" s="1056"/>
      <c r="AD65" s="1056"/>
      <c r="AE65" s="1056"/>
      <c r="AF65" s="264"/>
    </row>
    <row r="66" spans="1:32" s="268" customFormat="1" ht="15" x14ac:dyDescent="0.25">
      <c r="A66" s="264"/>
      <c r="B66" s="264"/>
      <c r="C66" s="1056"/>
      <c r="D66" s="1056"/>
      <c r="E66" s="1056"/>
      <c r="F66" s="1056"/>
      <c r="G66" s="1056"/>
      <c r="H66" s="1056"/>
      <c r="I66" s="1056"/>
      <c r="J66" s="1056"/>
      <c r="K66" s="1056"/>
      <c r="L66" s="1056"/>
      <c r="M66" s="274"/>
      <c r="P66" s="264"/>
      <c r="Q66" s="264"/>
      <c r="R66" s="264"/>
      <c r="S66" s="264"/>
      <c r="T66" s="1056"/>
      <c r="U66" s="1056"/>
      <c r="V66" s="1056"/>
      <c r="W66" s="1056"/>
      <c r="X66" s="1056"/>
      <c r="Y66" s="1056"/>
      <c r="Z66" s="1056"/>
      <c r="AA66" s="1056"/>
      <c r="AB66" s="1056"/>
      <c r="AC66" s="1056"/>
      <c r="AD66" s="1056"/>
      <c r="AE66" s="1056"/>
      <c r="AF66" s="264"/>
    </row>
    <row r="67" spans="1:32" s="268" customFormat="1" ht="15" x14ac:dyDescent="0.25">
      <c r="A67" s="264"/>
      <c r="B67" s="264"/>
      <c r="C67" s="1056"/>
      <c r="D67" s="1056"/>
      <c r="E67" s="1056"/>
      <c r="F67" s="1056"/>
      <c r="G67" s="1056"/>
      <c r="H67" s="1056"/>
      <c r="I67" s="1056"/>
      <c r="J67" s="1056"/>
      <c r="K67" s="1056"/>
      <c r="L67" s="1056"/>
      <c r="M67" s="274"/>
      <c r="P67" s="264"/>
      <c r="Q67" s="264"/>
      <c r="R67" s="264"/>
      <c r="S67" s="264"/>
      <c r="T67" s="1056"/>
      <c r="U67" s="1056"/>
      <c r="V67" s="1056"/>
      <c r="W67" s="1056"/>
      <c r="X67" s="1056"/>
      <c r="Y67" s="1056"/>
      <c r="Z67" s="1056"/>
      <c r="AA67" s="1056"/>
      <c r="AB67" s="1056"/>
      <c r="AC67" s="1056"/>
      <c r="AD67" s="1056"/>
      <c r="AE67" s="1056"/>
      <c r="AF67" s="264"/>
    </row>
    <row r="68" spans="1:32" s="268" customFormat="1" ht="15" x14ac:dyDescent="0.25">
      <c r="A68" s="264"/>
      <c r="B68" s="264"/>
      <c r="C68" s="1056"/>
      <c r="D68" s="1056"/>
      <c r="E68" s="1056"/>
      <c r="F68" s="1056"/>
      <c r="G68" s="1056"/>
      <c r="H68" s="1056"/>
      <c r="I68" s="1056"/>
      <c r="J68" s="1056"/>
      <c r="K68" s="1056"/>
      <c r="L68" s="1056"/>
      <c r="M68" s="274"/>
      <c r="P68" s="264"/>
      <c r="Q68" s="264"/>
      <c r="R68" s="264"/>
      <c r="S68" s="264"/>
      <c r="T68" s="1056"/>
      <c r="U68" s="1056"/>
      <c r="V68" s="1056"/>
      <c r="W68" s="1056"/>
      <c r="X68" s="1056"/>
      <c r="Y68" s="1056"/>
      <c r="Z68" s="1056"/>
      <c r="AA68" s="1056"/>
      <c r="AB68" s="1056"/>
      <c r="AC68" s="1056"/>
      <c r="AD68" s="1056"/>
      <c r="AE68" s="1056"/>
      <c r="AF68" s="264"/>
    </row>
    <row r="69" spans="1:32" s="268" customFormat="1" ht="15" x14ac:dyDescent="0.25">
      <c r="A69" s="264"/>
      <c r="B69" s="264"/>
      <c r="C69" s="1056"/>
      <c r="D69" s="1056"/>
      <c r="E69" s="1056"/>
      <c r="F69" s="1056"/>
      <c r="G69" s="1056"/>
      <c r="H69" s="1056"/>
      <c r="I69" s="1056"/>
      <c r="J69" s="1056"/>
      <c r="K69" s="1056"/>
      <c r="L69" s="1056"/>
      <c r="M69" s="274"/>
      <c r="P69" s="264"/>
      <c r="Q69" s="264"/>
      <c r="R69" s="264"/>
      <c r="S69" s="264"/>
      <c r="T69" s="1056"/>
      <c r="U69" s="1056"/>
      <c r="V69" s="1056"/>
      <c r="W69" s="1056"/>
      <c r="X69" s="1056"/>
      <c r="Y69" s="1056"/>
      <c r="Z69" s="1056"/>
      <c r="AA69" s="1056"/>
      <c r="AB69" s="1056"/>
      <c r="AC69" s="1056"/>
      <c r="AD69" s="1056"/>
      <c r="AE69" s="1056"/>
      <c r="AF69" s="264"/>
    </row>
    <row r="70" spans="1:32" s="268" customFormat="1" ht="15" x14ac:dyDescent="0.25">
      <c r="A70" s="264"/>
      <c r="B70" s="264"/>
      <c r="C70" s="1056"/>
      <c r="D70" s="1056"/>
      <c r="E70" s="1056"/>
      <c r="F70" s="1056"/>
      <c r="G70" s="1056"/>
      <c r="H70" s="1056"/>
      <c r="I70" s="1056"/>
      <c r="J70" s="1056"/>
      <c r="K70" s="1056"/>
      <c r="L70" s="1056"/>
      <c r="M70" s="274"/>
      <c r="P70" s="264"/>
      <c r="Q70" s="264"/>
      <c r="R70" s="264"/>
      <c r="S70" s="264"/>
      <c r="T70" s="1056"/>
      <c r="U70" s="1056"/>
      <c r="V70" s="1056"/>
      <c r="W70" s="1056"/>
      <c r="X70" s="1056"/>
      <c r="Y70" s="1056"/>
      <c r="Z70" s="1056"/>
      <c r="AA70" s="1056"/>
      <c r="AB70" s="1056"/>
      <c r="AC70" s="1056"/>
      <c r="AD70" s="1056"/>
      <c r="AE70" s="1056"/>
      <c r="AF70" s="264"/>
    </row>
    <row r="71" spans="1:32" s="268" customFormat="1" ht="15" x14ac:dyDescent="0.25">
      <c r="A71" s="264"/>
      <c r="B71" s="264"/>
      <c r="C71" s="1056"/>
      <c r="D71" s="1056"/>
      <c r="E71" s="1056"/>
      <c r="F71" s="1056"/>
      <c r="G71" s="1056"/>
      <c r="H71" s="1056"/>
      <c r="I71" s="1056"/>
      <c r="J71" s="1056"/>
      <c r="K71" s="1056"/>
      <c r="L71" s="1056"/>
      <c r="M71" s="274"/>
      <c r="P71" s="264"/>
      <c r="Q71" s="264"/>
      <c r="R71" s="264"/>
      <c r="S71" s="264"/>
      <c r="T71" s="1056"/>
      <c r="U71" s="1056"/>
      <c r="V71" s="1056"/>
      <c r="W71" s="1056"/>
      <c r="X71" s="1056"/>
      <c r="Y71" s="1056"/>
      <c r="Z71" s="1056"/>
      <c r="AA71" s="1056"/>
      <c r="AB71" s="1056"/>
      <c r="AC71" s="1056"/>
      <c r="AD71" s="1056"/>
      <c r="AE71" s="1056"/>
      <c r="AF71" s="264"/>
    </row>
    <row r="72" spans="1:32" s="268" customFormat="1" ht="15" x14ac:dyDescent="0.25">
      <c r="A72" s="264"/>
      <c r="B72" s="264"/>
      <c r="C72" s="1056"/>
      <c r="D72" s="1056"/>
      <c r="E72" s="1056"/>
      <c r="F72" s="1056"/>
      <c r="G72" s="1056"/>
      <c r="H72" s="1056"/>
      <c r="I72" s="1056"/>
      <c r="J72" s="1056"/>
      <c r="K72" s="1056"/>
      <c r="L72" s="1056"/>
      <c r="M72" s="274"/>
      <c r="P72" s="264"/>
      <c r="Q72" s="264"/>
      <c r="R72" s="264"/>
      <c r="S72" s="264"/>
      <c r="T72" s="1056"/>
      <c r="U72" s="1056"/>
      <c r="V72" s="1056"/>
      <c r="W72" s="1056"/>
      <c r="X72" s="1056"/>
      <c r="Y72" s="1056"/>
      <c r="Z72" s="1056"/>
      <c r="AA72" s="1056"/>
      <c r="AB72" s="1056"/>
      <c r="AC72" s="1056"/>
      <c r="AD72" s="1056"/>
      <c r="AE72" s="1056"/>
      <c r="AF72" s="264"/>
    </row>
    <row r="73" spans="1:32" s="268" customFormat="1" ht="15" x14ac:dyDescent="0.25">
      <c r="A73" s="264"/>
      <c r="B73" s="264"/>
      <c r="C73" s="1056"/>
      <c r="D73" s="1056"/>
      <c r="E73" s="1056"/>
      <c r="F73" s="1056"/>
      <c r="G73" s="1056"/>
      <c r="H73" s="1056"/>
      <c r="I73" s="1056"/>
      <c r="J73" s="1056"/>
      <c r="K73" s="1056"/>
      <c r="L73" s="1056"/>
      <c r="M73" s="274"/>
      <c r="P73" s="264"/>
      <c r="Q73" s="264"/>
      <c r="R73" s="264"/>
      <c r="S73" s="264"/>
      <c r="T73" s="1056"/>
      <c r="U73" s="1056"/>
      <c r="V73" s="1056"/>
      <c r="W73" s="1056"/>
      <c r="X73" s="1056"/>
      <c r="Y73" s="1056"/>
      <c r="Z73" s="1056"/>
      <c r="AA73" s="1056"/>
      <c r="AB73" s="1056"/>
      <c r="AC73" s="1056"/>
      <c r="AD73" s="1056"/>
      <c r="AE73" s="1056"/>
      <c r="AF73" s="264"/>
    </row>
    <row r="74" spans="1:32" s="268" customFormat="1" ht="15" x14ac:dyDescent="0.25">
      <c r="A74" s="264"/>
      <c r="B74" s="264"/>
      <c r="C74" s="1056"/>
      <c r="D74" s="1056"/>
      <c r="E74" s="1056"/>
      <c r="F74" s="1056"/>
      <c r="G74" s="1056"/>
      <c r="H74" s="1056"/>
      <c r="I74" s="1056"/>
      <c r="J74" s="1056"/>
      <c r="K74" s="1056"/>
      <c r="L74" s="1056"/>
      <c r="M74" s="274"/>
      <c r="P74" s="264"/>
      <c r="Q74" s="264"/>
      <c r="R74" s="264"/>
      <c r="S74" s="264"/>
      <c r="T74" s="1056"/>
      <c r="U74" s="1056"/>
      <c r="V74" s="1056"/>
      <c r="W74" s="1056"/>
      <c r="X74" s="1056"/>
      <c r="Y74" s="1056"/>
      <c r="Z74" s="1056"/>
      <c r="AA74" s="1056"/>
      <c r="AB74" s="1056"/>
      <c r="AC74" s="1056"/>
      <c r="AD74" s="1056"/>
      <c r="AE74" s="1056"/>
      <c r="AF74" s="264"/>
    </row>
    <row r="75" spans="1:32" s="268" customFormat="1" ht="15" x14ac:dyDescent="0.25">
      <c r="A75" s="264"/>
      <c r="B75" s="264"/>
      <c r="C75" s="1056"/>
      <c r="D75" s="1056"/>
      <c r="E75" s="1056"/>
      <c r="F75" s="1056"/>
      <c r="G75" s="1056"/>
      <c r="H75" s="1056"/>
      <c r="I75" s="1056"/>
      <c r="J75" s="1056"/>
      <c r="K75" s="1056"/>
      <c r="L75" s="1056"/>
      <c r="M75" s="274"/>
      <c r="P75" s="264"/>
      <c r="Q75" s="264"/>
      <c r="R75" s="264"/>
      <c r="S75" s="264"/>
      <c r="T75" s="1056"/>
      <c r="U75" s="1056"/>
      <c r="V75" s="1056"/>
      <c r="W75" s="1056"/>
      <c r="X75" s="1056"/>
      <c r="Y75" s="1056"/>
      <c r="Z75" s="1056"/>
      <c r="AA75" s="1056"/>
      <c r="AB75" s="1056"/>
      <c r="AC75" s="1056"/>
      <c r="AD75" s="1056"/>
      <c r="AE75" s="1056"/>
      <c r="AF75" s="264"/>
    </row>
    <row r="76" spans="1:32" s="268" customFormat="1" ht="15" x14ac:dyDescent="0.25">
      <c r="A76" s="264"/>
      <c r="B76" s="264"/>
      <c r="C76" s="1056"/>
      <c r="D76" s="1056"/>
      <c r="E76" s="1056"/>
      <c r="F76" s="1056"/>
      <c r="G76" s="1056"/>
      <c r="H76" s="1056"/>
      <c r="I76" s="1056"/>
      <c r="J76" s="1056"/>
      <c r="K76" s="1056"/>
      <c r="L76" s="1056"/>
      <c r="M76" s="274"/>
      <c r="P76" s="264"/>
      <c r="Q76" s="264"/>
      <c r="R76" s="264"/>
      <c r="S76" s="264"/>
      <c r="T76" s="1056"/>
      <c r="U76" s="1056"/>
      <c r="V76" s="1056"/>
      <c r="W76" s="1056"/>
      <c r="X76" s="1056"/>
      <c r="Y76" s="1056"/>
      <c r="Z76" s="1056"/>
      <c r="AA76" s="1056"/>
      <c r="AB76" s="1056"/>
      <c r="AC76" s="1056"/>
      <c r="AD76" s="1056"/>
      <c r="AE76" s="1056"/>
      <c r="AF76" s="264"/>
    </row>
    <row r="77" spans="1:32" s="268" customFormat="1" ht="15" x14ac:dyDescent="0.25">
      <c r="A77" s="264"/>
      <c r="B77" s="264"/>
      <c r="C77" s="1056"/>
      <c r="D77" s="1056"/>
      <c r="E77" s="1056"/>
      <c r="F77" s="1056"/>
      <c r="G77" s="1056"/>
      <c r="H77" s="1056"/>
      <c r="I77" s="1056"/>
      <c r="J77" s="1056"/>
      <c r="K77" s="1056"/>
      <c r="L77" s="1056"/>
      <c r="M77" s="274"/>
      <c r="P77" s="264"/>
      <c r="Q77" s="264"/>
      <c r="R77" s="264"/>
      <c r="S77" s="264"/>
      <c r="T77" s="1056"/>
      <c r="U77" s="1056"/>
      <c r="V77" s="1056"/>
      <c r="W77" s="1056"/>
      <c r="X77" s="1056"/>
      <c r="Y77" s="1056"/>
      <c r="Z77" s="1056"/>
      <c r="AA77" s="1056"/>
      <c r="AB77" s="1056"/>
      <c r="AC77" s="1056"/>
      <c r="AD77" s="1056"/>
      <c r="AE77" s="1056"/>
      <c r="AF77" s="264"/>
    </row>
    <row r="78" spans="1:32" s="268" customFormat="1" ht="15" x14ac:dyDescent="0.25">
      <c r="A78" s="264"/>
      <c r="B78" s="264"/>
      <c r="C78" s="1056"/>
      <c r="D78" s="1056"/>
      <c r="E78" s="1056"/>
      <c r="F78" s="1056"/>
      <c r="G78" s="1056"/>
      <c r="H78" s="1056"/>
      <c r="I78" s="1056"/>
      <c r="J78" s="1056"/>
      <c r="K78" s="1056"/>
      <c r="L78" s="1056"/>
      <c r="M78" s="274"/>
      <c r="P78" s="264"/>
      <c r="Q78" s="264"/>
      <c r="R78" s="264"/>
      <c r="S78" s="264"/>
      <c r="T78" s="1056"/>
      <c r="U78" s="1056"/>
      <c r="V78" s="1056"/>
      <c r="W78" s="1056"/>
      <c r="X78" s="1056"/>
      <c r="Y78" s="1056"/>
      <c r="Z78" s="1056"/>
      <c r="AA78" s="1056"/>
      <c r="AB78" s="1056"/>
      <c r="AC78" s="1056"/>
      <c r="AD78" s="1056"/>
      <c r="AE78" s="1056"/>
      <c r="AF78" s="264"/>
    </row>
    <row r="79" spans="1:32" s="268" customFormat="1" ht="15" x14ac:dyDescent="0.25">
      <c r="A79" s="264"/>
      <c r="B79" s="264"/>
      <c r="C79" s="1056"/>
      <c r="D79" s="1056"/>
      <c r="E79" s="1056"/>
      <c r="F79" s="1056"/>
      <c r="G79" s="1056"/>
      <c r="H79" s="1056"/>
      <c r="I79" s="1056"/>
      <c r="J79" s="1056"/>
      <c r="K79" s="1056"/>
      <c r="L79" s="1056"/>
      <c r="M79" s="274"/>
      <c r="P79" s="264"/>
      <c r="Q79" s="264"/>
      <c r="R79" s="264"/>
      <c r="S79" s="264"/>
      <c r="T79" s="1056"/>
      <c r="U79" s="1056"/>
      <c r="V79" s="1056"/>
      <c r="W79" s="1056"/>
      <c r="X79" s="1056"/>
      <c r="Y79" s="1056"/>
      <c r="Z79" s="1056"/>
      <c r="AA79" s="1056"/>
      <c r="AB79" s="1056"/>
      <c r="AC79" s="1056"/>
      <c r="AD79" s="1056"/>
      <c r="AE79" s="1056"/>
      <c r="AF79" s="264"/>
    </row>
    <row r="80" spans="1:32" s="268" customFormat="1" ht="15" x14ac:dyDescent="0.25">
      <c r="A80" s="264"/>
      <c r="B80" s="264"/>
      <c r="C80" s="1056"/>
      <c r="D80" s="1056"/>
      <c r="E80" s="1056"/>
      <c r="F80" s="1056"/>
      <c r="G80" s="1056"/>
      <c r="H80" s="1056"/>
      <c r="I80" s="1056"/>
      <c r="J80" s="1056"/>
      <c r="K80" s="1056"/>
      <c r="L80" s="1056"/>
      <c r="M80" s="274"/>
      <c r="P80" s="264"/>
      <c r="Q80" s="264"/>
      <c r="R80" s="264"/>
      <c r="S80" s="264"/>
      <c r="T80" s="1056"/>
      <c r="U80" s="1056"/>
      <c r="V80" s="1056"/>
      <c r="W80" s="1056"/>
      <c r="X80" s="1056"/>
      <c r="Y80" s="1056"/>
      <c r="Z80" s="1056"/>
      <c r="AA80" s="1056"/>
      <c r="AB80" s="1056"/>
      <c r="AC80" s="1056"/>
      <c r="AD80" s="1056"/>
      <c r="AE80" s="1056"/>
      <c r="AF80" s="264"/>
    </row>
    <row r="81" spans="1:32" s="268" customFormat="1" ht="15" x14ac:dyDescent="0.25">
      <c r="A81" s="264"/>
      <c r="B81" s="264"/>
      <c r="C81" s="1056"/>
      <c r="D81" s="1056"/>
      <c r="E81" s="1056"/>
      <c r="F81" s="1056"/>
      <c r="G81" s="1056"/>
      <c r="H81" s="1056"/>
      <c r="I81" s="1056"/>
      <c r="J81" s="1056"/>
      <c r="K81" s="1056"/>
      <c r="L81" s="1056"/>
      <c r="M81" s="274"/>
      <c r="P81" s="264"/>
      <c r="Q81" s="264"/>
      <c r="R81" s="264"/>
      <c r="S81" s="264"/>
      <c r="T81" s="1056"/>
      <c r="U81" s="1056"/>
      <c r="V81" s="1056"/>
      <c r="W81" s="1056"/>
      <c r="X81" s="1056"/>
      <c r="Y81" s="1056"/>
      <c r="Z81" s="1056"/>
      <c r="AA81" s="1056"/>
      <c r="AB81" s="1056"/>
      <c r="AC81" s="1056"/>
      <c r="AD81" s="1056"/>
      <c r="AE81" s="1056"/>
      <c r="AF81" s="264"/>
    </row>
    <row r="82" spans="1:32" s="268" customFormat="1" ht="15" x14ac:dyDescent="0.25">
      <c r="A82" s="264"/>
      <c r="B82" s="264"/>
      <c r="C82" s="1056"/>
      <c r="D82" s="1056"/>
      <c r="E82" s="1056"/>
      <c r="F82" s="1056"/>
      <c r="G82" s="1056"/>
      <c r="H82" s="1056"/>
      <c r="I82" s="1056"/>
      <c r="J82" s="1056"/>
      <c r="K82" s="1056"/>
      <c r="L82" s="1056"/>
      <c r="M82" s="274"/>
      <c r="P82" s="264"/>
      <c r="Q82" s="264"/>
      <c r="R82" s="264"/>
      <c r="S82" s="264"/>
      <c r="T82" s="1056"/>
      <c r="U82" s="1056"/>
      <c r="V82" s="1056"/>
      <c r="W82" s="1056"/>
      <c r="X82" s="1056"/>
      <c r="Y82" s="1056"/>
      <c r="Z82" s="1056"/>
      <c r="AA82" s="1056"/>
      <c r="AB82" s="1056"/>
      <c r="AC82" s="1056"/>
      <c r="AD82" s="1056"/>
      <c r="AE82" s="1056"/>
      <c r="AF82" s="264"/>
    </row>
    <row r="83" spans="1:32" s="268" customFormat="1" ht="15" x14ac:dyDescent="0.25">
      <c r="A83" s="264"/>
      <c r="B83" s="264"/>
      <c r="C83" s="1056"/>
      <c r="D83" s="1056"/>
      <c r="E83" s="1056"/>
      <c r="F83" s="1056"/>
      <c r="G83" s="1056"/>
      <c r="H83" s="1056"/>
      <c r="I83" s="1056"/>
      <c r="J83" s="1056"/>
      <c r="K83" s="1056"/>
      <c r="L83" s="1056"/>
      <c r="M83" s="274"/>
      <c r="P83" s="264"/>
      <c r="Q83" s="264"/>
      <c r="R83" s="264"/>
      <c r="S83" s="264"/>
      <c r="T83" s="1056"/>
      <c r="U83" s="1056"/>
      <c r="V83" s="1056"/>
      <c r="W83" s="1056"/>
      <c r="X83" s="1056"/>
      <c r="Y83" s="1056"/>
      <c r="Z83" s="1056"/>
      <c r="AA83" s="1056"/>
      <c r="AB83" s="1056"/>
      <c r="AC83" s="1056"/>
      <c r="AD83" s="1056"/>
      <c r="AE83" s="1056"/>
      <c r="AF83" s="264"/>
    </row>
    <row r="84" spans="1:32" s="268" customFormat="1" ht="15" x14ac:dyDescent="0.25">
      <c r="A84" s="264"/>
      <c r="B84" s="264"/>
      <c r="C84" s="1056"/>
      <c r="D84" s="1056"/>
      <c r="E84" s="1056"/>
      <c r="F84" s="1056"/>
      <c r="G84" s="1056"/>
      <c r="H84" s="1056"/>
      <c r="I84" s="1056"/>
      <c r="J84" s="1056"/>
      <c r="K84" s="1056"/>
      <c r="L84" s="1056"/>
      <c r="M84" s="274"/>
      <c r="P84" s="264"/>
      <c r="Q84" s="264"/>
      <c r="R84" s="264"/>
      <c r="S84" s="264"/>
      <c r="T84" s="1056"/>
      <c r="U84" s="1056"/>
      <c r="V84" s="1056"/>
      <c r="W84" s="1056"/>
      <c r="X84" s="1056"/>
      <c r="Y84" s="1056"/>
      <c r="Z84" s="1056"/>
      <c r="AA84" s="1056"/>
      <c r="AB84" s="1056"/>
      <c r="AC84" s="1056"/>
      <c r="AD84" s="1056"/>
      <c r="AE84" s="1056"/>
      <c r="AF84" s="264"/>
    </row>
    <row r="85" spans="1:32" s="268" customFormat="1" ht="15" x14ac:dyDescent="0.25">
      <c r="A85" s="264"/>
      <c r="B85" s="264"/>
      <c r="C85" s="1056"/>
      <c r="D85" s="1056"/>
      <c r="E85" s="1056"/>
      <c r="F85" s="1056"/>
      <c r="G85" s="1056"/>
      <c r="H85" s="1056"/>
      <c r="I85" s="1056"/>
      <c r="J85" s="1056"/>
      <c r="K85" s="1056"/>
      <c r="L85" s="1056"/>
      <c r="M85" s="274"/>
      <c r="P85" s="264"/>
      <c r="Q85" s="264"/>
      <c r="R85" s="264"/>
      <c r="S85" s="264"/>
      <c r="T85" s="1056"/>
      <c r="U85" s="1056"/>
      <c r="V85" s="1056"/>
      <c r="W85" s="1056"/>
      <c r="X85" s="1056"/>
      <c r="Y85" s="1056"/>
      <c r="Z85" s="1056"/>
      <c r="AA85" s="1056"/>
      <c r="AB85" s="1056"/>
      <c r="AC85" s="1056"/>
      <c r="AD85" s="1056"/>
      <c r="AE85" s="1056"/>
      <c r="AF85" s="264"/>
    </row>
    <row r="86" spans="1:32" s="268" customFormat="1" ht="15" x14ac:dyDescent="0.25">
      <c r="A86" s="264"/>
      <c r="B86" s="264"/>
      <c r="C86" s="1056"/>
      <c r="D86" s="1056"/>
      <c r="E86" s="1056"/>
      <c r="F86" s="1056"/>
      <c r="G86" s="1056"/>
      <c r="H86" s="1056"/>
      <c r="I86" s="1056"/>
      <c r="J86" s="1056"/>
      <c r="K86" s="1056"/>
      <c r="L86" s="1056"/>
      <c r="M86" s="274"/>
      <c r="P86" s="264"/>
      <c r="Q86" s="264"/>
      <c r="R86" s="264"/>
      <c r="S86" s="264"/>
      <c r="T86" s="1056"/>
      <c r="U86" s="1056"/>
      <c r="V86" s="1056"/>
      <c r="W86" s="1056"/>
      <c r="X86" s="1056"/>
      <c r="Y86" s="1056"/>
      <c r="Z86" s="1056"/>
      <c r="AA86" s="1056"/>
      <c r="AB86" s="1056"/>
      <c r="AC86" s="1056"/>
      <c r="AD86" s="1056"/>
      <c r="AE86" s="1056"/>
      <c r="AF86" s="264"/>
    </row>
    <row r="87" spans="1:32" s="268" customFormat="1" ht="15" x14ac:dyDescent="0.25">
      <c r="A87" s="264"/>
      <c r="B87" s="264"/>
      <c r="C87" s="1056"/>
      <c r="D87" s="1056"/>
      <c r="E87" s="1056"/>
      <c r="F87" s="1056"/>
      <c r="G87" s="1056"/>
      <c r="H87" s="1056"/>
      <c r="I87" s="1056"/>
      <c r="J87" s="1056"/>
      <c r="K87" s="1056"/>
      <c r="L87" s="1056"/>
      <c r="M87" s="274"/>
      <c r="P87" s="264"/>
      <c r="Q87" s="264"/>
      <c r="R87" s="264"/>
      <c r="S87" s="264"/>
      <c r="T87" s="1056"/>
      <c r="U87" s="1056"/>
      <c r="V87" s="1056"/>
      <c r="W87" s="1056"/>
      <c r="X87" s="1056"/>
      <c r="Y87" s="1056"/>
      <c r="Z87" s="1056"/>
      <c r="AA87" s="1056"/>
      <c r="AB87" s="1056"/>
      <c r="AC87" s="1056"/>
      <c r="AD87" s="1056"/>
      <c r="AE87" s="1056"/>
      <c r="AF87" s="264"/>
    </row>
    <row r="88" spans="1:32" s="268" customFormat="1" ht="15" x14ac:dyDescent="0.25">
      <c r="A88" s="264"/>
      <c r="B88" s="264"/>
      <c r="C88" s="1056"/>
      <c r="D88" s="1056"/>
      <c r="E88" s="1056"/>
      <c r="F88" s="1056"/>
      <c r="G88" s="1056"/>
      <c r="H88" s="1056"/>
      <c r="I88" s="1056"/>
      <c r="J88" s="1056"/>
      <c r="K88" s="1056"/>
      <c r="L88" s="1056"/>
      <c r="M88" s="274"/>
      <c r="P88" s="264"/>
      <c r="Q88" s="264"/>
      <c r="R88" s="264"/>
      <c r="S88" s="264"/>
      <c r="T88" s="1056"/>
      <c r="U88" s="1056"/>
      <c r="V88" s="1056"/>
      <c r="W88" s="1056"/>
      <c r="X88" s="1056"/>
      <c r="Y88" s="1056"/>
      <c r="Z88" s="1056"/>
      <c r="AA88" s="1056"/>
      <c r="AB88" s="1056"/>
      <c r="AC88" s="1056"/>
      <c r="AD88" s="1056"/>
      <c r="AE88" s="1056"/>
      <c r="AF88" s="264"/>
    </row>
    <row r="89" spans="1:32" s="268" customFormat="1" ht="15" x14ac:dyDescent="0.25">
      <c r="A89" s="264"/>
      <c r="B89" s="264"/>
      <c r="C89" s="1056"/>
      <c r="D89" s="1056"/>
      <c r="E89" s="1056"/>
      <c r="F89" s="1056"/>
      <c r="G89" s="1056"/>
      <c r="H89" s="1056"/>
      <c r="I89" s="1056"/>
      <c r="J89" s="1056"/>
      <c r="K89" s="1056"/>
      <c r="L89" s="1056"/>
      <c r="M89" s="274"/>
      <c r="P89" s="264"/>
      <c r="Q89" s="264"/>
      <c r="R89" s="264"/>
      <c r="S89" s="264"/>
      <c r="T89" s="1056"/>
      <c r="U89" s="1056"/>
      <c r="V89" s="1056"/>
      <c r="W89" s="1056"/>
      <c r="X89" s="1056"/>
      <c r="Y89" s="1056"/>
      <c r="Z89" s="1056"/>
      <c r="AA89" s="1056"/>
      <c r="AB89" s="1056"/>
      <c r="AC89" s="1056"/>
      <c r="AD89" s="1056"/>
      <c r="AE89" s="1056"/>
      <c r="AF89" s="264"/>
    </row>
    <row r="90" spans="1:32" s="268" customFormat="1" ht="15" x14ac:dyDescent="0.25">
      <c r="A90" s="264"/>
      <c r="B90" s="264"/>
      <c r="C90" s="1056"/>
      <c r="D90" s="1056"/>
      <c r="E90" s="1056"/>
      <c r="F90" s="1056"/>
      <c r="G90" s="1056"/>
      <c r="H90" s="1056"/>
      <c r="I90" s="1056"/>
      <c r="J90" s="1056"/>
      <c r="K90" s="1056"/>
      <c r="L90" s="1056"/>
      <c r="M90" s="274"/>
      <c r="P90" s="264"/>
      <c r="Q90" s="264"/>
      <c r="R90" s="264"/>
      <c r="S90" s="264"/>
      <c r="T90" s="1056"/>
      <c r="U90" s="1056"/>
      <c r="V90" s="1056"/>
      <c r="W90" s="1056"/>
      <c r="X90" s="1056"/>
      <c r="Y90" s="1056"/>
      <c r="Z90" s="1056"/>
      <c r="AA90" s="1056"/>
      <c r="AB90" s="1056"/>
      <c r="AC90" s="1056"/>
      <c r="AD90" s="1056"/>
      <c r="AE90" s="1056"/>
      <c r="AF90" s="264"/>
    </row>
    <row r="91" spans="1:32" s="268" customFormat="1" ht="15" x14ac:dyDescent="0.25">
      <c r="A91" s="264"/>
      <c r="B91" s="264"/>
      <c r="C91" s="1056"/>
      <c r="D91" s="1056"/>
      <c r="E91" s="1056"/>
      <c r="F91" s="1056"/>
      <c r="G91" s="1056"/>
      <c r="H91" s="1056"/>
      <c r="I91" s="1056"/>
      <c r="J91" s="1056"/>
      <c r="K91" s="1056"/>
      <c r="L91" s="1056"/>
      <c r="M91" s="274"/>
      <c r="P91" s="264"/>
      <c r="Q91" s="264"/>
      <c r="R91" s="264"/>
      <c r="S91" s="264"/>
      <c r="T91" s="1056"/>
      <c r="U91" s="1056"/>
      <c r="V91" s="1056"/>
      <c r="W91" s="1056"/>
      <c r="X91" s="1056"/>
      <c r="Y91" s="1056"/>
      <c r="Z91" s="1056"/>
      <c r="AA91" s="1056"/>
      <c r="AB91" s="1056"/>
      <c r="AC91" s="1056"/>
      <c r="AD91" s="1056"/>
      <c r="AE91" s="1056"/>
      <c r="AF91" s="264"/>
    </row>
    <row r="92" spans="1:32" s="268" customFormat="1" ht="15" x14ac:dyDescent="0.25">
      <c r="A92" s="264"/>
      <c r="B92" s="264"/>
      <c r="C92" s="1056"/>
      <c r="D92" s="1056"/>
      <c r="E92" s="1056"/>
      <c r="F92" s="1056"/>
      <c r="G92" s="1056"/>
      <c r="H92" s="1056"/>
      <c r="I92" s="1056"/>
      <c r="J92" s="1056"/>
      <c r="K92" s="1056"/>
      <c r="L92" s="1056"/>
      <c r="M92" s="274"/>
      <c r="P92" s="264"/>
      <c r="Q92" s="264"/>
      <c r="R92" s="264"/>
      <c r="S92" s="264"/>
      <c r="T92" s="1056"/>
      <c r="U92" s="1056"/>
      <c r="V92" s="1056"/>
      <c r="W92" s="1056"/>
      <c r="X92" s="1056"/>
      <c r="Y92" s="1056"/>
      <c r="Z92" s="1056"/>
      <c r="AA92" s="1056"/>
      <c r="AB92" s="1056"/>
      <c r="AC92" s="1056"/>
      <c r="AD92" s="1056"/>
      <c r="AE92" s="1056"/>
      <c r="AF92" s="264"/>
    </row>
    <row r="93" spans="1:32" s="268" customFormat="1" ht="15" x14ac:dyDescent="0.25">
      <c r="A93" s="264"/>
      <c r="B93" s="264"/>
      <c r="C93" s="1056"/>
      <c r="D93" s="1056"/>
      <c r="E93" s="1056"/>
      <c r="F93" s="1056"/>
      <c r="G93" s="1056"/>
      <c r="H93" s="1056"/>
      <c r="I93" s="1056"/>
      <c r="J93" s="1056"/>
      <c r="K93" s="1056"/>
      <c r="L93" s="1056"/>
      <c r="M93" s="274"/>
      <c r="P93" s="264"/>
      <c r="Q93" s="264"/>
      <c r="R93" s="264"/>
      <c r="S93" s="264"/>
      <c r="T93" s="1056"/>
      <c r="U93" s="1056"/>
      <c r="V93" s="1056"/>
      <c r="W93" s="1056"/>
      <c r="X93" s="1056"/>
      <c r="Y93" s="1056"/>
      <c r="Z93" s="1056"/>
      <c r="AA93" s="1056"/>
      <c r="AB93" s="1056"/>
      <c r="AC93" s="1056"/>
      <c r="AD93" s="1056"/>
      <c r="AE93" s="1056"/>
      <c r="AF93" s="264"/>
    </row>
    <row r="94" spans="1:32" s="268" customFormat="1" ht="15" x14ac:dyDescent="0.25">
      <c r="A94" s="264"/>
      <c r="B94" s="264"/>
      <c r="C94" s="1056"/>
      <c r="D94" s="1056"/>
      <c r="E94" s="1056"/>
      <c r="F94" s="1056"/>
      <c r="G94" s="1056"/>
      <c r="H94" s="1056"/>
      <c r="I94" s="1056"/>
      <c r="J94" s="1056"/>
      <c r="K94" s="1056"/>
      <c r="L94" s="1056"/>
      <c r="M94" s="274"/>
      <c r="P94" s="264"/>
      <c r="Q94" s="264"/>
      <c r="R94" s="264"/>
      <c r="S94" s="264"/>
      <c r="T94" s="1056"/>
      <c r="U94" s="1056"/>
      <c r="V94" s="1056"/>
      <c r="W94" s="1056"/>
      <c r="X94" s="1056"/>
      <c r="Y94" s="1056"/>
      <c r="Z94" s="1056"/>
      <c r="AA94" s="1056"/>
      <c r="AB94" s="1056"/>
      <c r="AC94" s="1056"/>
      <c r="AD94" s="1056"/>
      <c r="AE94" s="1056"/>
      <c r="AF94" s="264"/>
    </row>
    <row r="95" spans="1:32" s="268" customFormat="1" ht="15" x14ac:dyDescent="0.25">
      <c r="A95" s="264"/>
      <c r="B95" s="264"/>
      <c r="C95" s="1056"/>
      <c r="D95" s="1056"/>
      <c r="E95" s="1056"/>
      <c r="F95" s="1056"/>
      <c r="G95" s="1056"/>
      <c r="H95" s="1056"/>
      <c r="I95" s="1056"/>
      <c r="J95" s="1056"/>
      <c r="K95" s="1056"/>
      <c r="L95" s="1056"/>
      <c r="M95" s="274"/>
      <c r="P95" s="264"/>
      <c r="Q95" s="264"/>
      <c r="R95" s="264"/>
      <c r="S95" s="264"/>
      <c r="T95" s="1056"/>
      <c r="U95" s="1056"/>
      <c r="V95" s="1056"/>
      <c r="W95" s="1056"/>
      <c r="X95" s="1056"/>
      <c r="Y95" s="1056"/>
      <c r="Z95" s="1056"/>
      <c r="AA95" s="1056"/>
      <c r="AB95" s="1056"/>
      <c r="AC95" s="1056"/>
      <c r="AD95" s="1056"/>
      <c r="AE95" s="1056"/>
      <c r="AF95" s="264"/>
    </row>
    <row r="96" spans="1:32" s="268" customFormat="1" ht="15" x14ac:dyDescent="0.25">
      <c r="A96" s="264"/>
      <c r="B96" s="264"/>
      <c r="C96" s="1056"/>
      <c r="D96" s="1056"/>
      <c r="E96" s="1056"/>
      <c r="F96" s="1056"/>
      <c r="G96" s="1056"/>
      <c r="H96" s="1056"/>
      <c r="I96" s="1056"/>
      <c r="J96" s="1056"/>
      <c r="K96" s="1056"/>
      <c r="L96" s="1056"/>
      <c r="M96" s="274"/>
      <c r="P96" s="264"/>
      <c r="Q96" s="264"/>
      <c r="R96" s="264"/>
      <c r="S96" s="264"/>
      <c r="T96" s="1056"/>
      <c r="U96" s="1056"/>
      <c r="V96" s="1056"/>
      <c r="W96" s="1056"/>
      <c r="X96" s="1056"/>
      <c r="Y96" s="1056"/>
      <c r="Z96" s="1056"/>
      <c r="AA96" s="1056"/>
      <c r="AB96" s="1056"/>
      <c r="AC96" s="1056"/>
      <c r="AD96" s="1056"/>
      <c r="AE96" s="1056"/>
      <c r="AF96" s="264"/>
    </row>
    <row r="97" spans="1:32" s="268" customFormat="1" ht="15" x14ac:dyDescent="0.25">
      <c r="A97" s="264"/>
      <c r="B97" s="264"/>
      <c r="C97" s="1056"/>
      <c r="D97" s="1056"/>
      <c r="E97" s="1056"/>
      <c r="F97" s="1056"/>
      <c r="G97" s="1056"/>
      <c r="H97" s="1056"/>
      <c r="I97" s="1056"/>
      <c r="J97" s="1056"/>
      <c r="K97" s="1056"/>
      <c r="L97" s="1056"/>
      <c r="M97" s="274"/>
      <c r="P97" s="264"/>
      <c r="Q97" s="264"/>
      <c r="R97" s="264"/>
      <c r="S97" s="264"/>
      <c r="T97" s="1056"/>
      <c r="U97" s="1056"/>
      <c r="V97" s="1056"/>
      <c r="W97" s="1056"/>
      <c r="X97" s="1056"/>
      <c r="Y97" s="1056"/>
      <c r="Z97" s="1056"/>
      <c r="AA97" s="1056"/>
      <c r="AB97" s="1056"/>
      <c r="AC97" s="1056"/>
      <c r="AD97" s="1056"/>
      <c r="AE97" s="1056"/>
      <c r="AF97" s="264"/>
    </row>
    <row r="98" spans="1:32" s="268" customFormat="1" ht="15" x14ac:dyDescent="0.25">
      <c r="A98" s="264"/>
      <c r="B98" s="264"/>
      <c r="C98" s="1056"/>
      <c r="D98" s="1056"/>
      <c r="E98" s="1056"/>
      <c r="F98" s="1056"/>
      <c r="G98" s="1056"/>
      <c r="H98" s="1056"/>
      <c r="I98" s="1056"/>
      <c r="J98" s="1056"/>
      <c r="K98" s="1056"/>
      <c r="L98" s="1056"/>
      <c r="M98" s="274"/>
      <c r="P98" s="264"/>
      <c r="Q98" s="264"/>
      <c r="R98" s="264"/>
      <c r="S98" s="264"/>
      <c r="T98" s="1056"/>
      <c r="U98" s="1056"/>
      <c r="V98" s="1056"/>
      <c r="W98" s="1056"/>
      <c r="X98" s="1056"/>
      <c r="Y98" s="1056"/>
      <c r="Z98" s="1056"/>
      <c r="AA98" s="1056"/>
      <c r="AB98" s="1056"/>
      <c r="AC98" s="1056"/>
      <c r="AD98" s="1056"/>
      <c r="AE98" s="1056"/>
      <c r="AF98" s="264"/>
    </row>
    <row r="99" spans="1:32" s="268" customFormat="1" ht="15" x14ac:dyDescent="0.25">
      <c r="A99" s="264"/>
      <c r="B99" s="264"/>
      <c r="C99" s="1056"/>
      <c r="D99" s="1056"/>
      <c r="E99" s="1056"/>
      <c r="F99" s="1056"/>
      <c r="G99" s="1056"/>
      <c r="H99" s="1056"/>
      <c r="I99" s="1056"/>
      <c r="J99" s="1056"/>
      <c r="K99" s="1056"/>
      <c r="L99" s="1056"/>
      <c r="M99" s="274"/>
      <c r="P99" s="264"/>
      <c r="Q99" s="264"/>
      <c r="R99" s="264"/>
      <c r="S99" s="264"/>
      <c r="T99" s="1056"/>
      <c r="U99" s="1056"/>
      <c r="V99" s="1056"/>
      <c r="W99" s="1056"/>
      <c r="X99" s="1056"/>
      <c r="Y99" s="1056"/>
      <c r="Z99" s="1056"/>
      <c r="AA99" s="1056"/>
      <c r="AB99" s="1056"/>
      <c r="AC99" s="1056"/>
      <c r="AD99" s="1056"/>
      <c r="AE99" s="1056"/>
      <c r="AF99" s="264"/>
    </row>
    <row r="100" spans="1:32" s="268" customFormat="1" ht="15" x14ac:dyDescent="0.25">
      <c r="A100" s="264"/>
      <c r="B100" s="264"/>
      <c r="C100" s="1056"/>
      <c r="D100" s="1056"/>
      <c r="E100" s="1056"/>
      <c r="F100" s="1056"/>
      <c r="G100" s="1056"/>
      <c r="H100" s="1056"/>
      <c r="I100" s="1056"/>
      <c r="J100" s="1056"/>
      <c r="K100" s="1056"/>
      <c r="L100" s="1056"/>
      <c r="M100" s="274"/>
      <c r="P100" s="264"/>
      <c r="Q100" s="264"/>
      <c r="R100" s="264"/>
      <c r="S100" s="264"/>
      <c r="T100" s="1056"/>
      <c r="U100" s="1056"/>
      <c r="V100" s="1056"/>
      <c r="W100" s="1056"/>
      <c r="X100" s="1056"/>
      <c r="Y100" s="1056"/>
      <c r="Z100" s="1056"/>
      <c r="AA100" s="1056"/>
      <c r="AB100" s="1056"/>
      <c r="AC100" s="1056"/>
      <c r="AD100" s="1056"/>
      <c r="AE100" s="1056"/>
      <c r="AF100" s="264"/>
    </row>
    <row r="101" spans="1:32" s="268" customFormat="1" ht="15" x14ac:dyDescent="0.25">
      <c r="A101" s="264"/>
      <c r="B101" s="264"/>
      <c r="C101" s="1056"/>
      <c r="D101" s="1056"/>
      <c r="E101" s="1056"/>
      <c r="F101" s="1056"/>
      <c r="G101" s="1056"/>
      <c r="H101" s="1056"/>
      <c r="I101" s="1056"/>
      <c r="J101" s="1056"/>
      <c r="K101" s="1056"/>
      <c r="L101" s="1056"/>
      <c r="M101" s="274"/>
      <c r="P101" s="264"/>
      <c r="Q101" s="264"/>
      <c r="R101" s="264"/>
      <c r="S101" s="264"/>
      <c r="T101" s="1056"/>
      <c r="U101" s="1056"/>
      <c r="V101" s="1056"/>
      <c r="W101" s="1056"/>
      <c r="X101" s="1056"/>
      <c r="Y101" s="1056"/>
      <c r="Z101" s="1056"/>
      <c r="AA101" s="1056"/>
      <c r="AB101" s="1056"/>
      <c r="AC101" s="1056"/>
      <c r="AD101" s="1056"/>
      <c r="AE101" s="1056"/>
      <c r="AF101" s="264"/>
    </row>
    <row r="102" spans="1:32" s="268" customFormat="1" ht="15" x14ac:dyDescent="0.25">
      <c r="A102" s="264"/>
      <c r="B102" s="264"/>
      <c r="C102" s="1056"/>
      <c r="D102" s="1056"/>
      <c r="E102" s="1056"/>
      <c r="F102" s="1056"/>
      <c r="G102" s="1056"/>
      <c r="H102" s="1056"/>
      <c r="I102" s="1056"/>
      <c r="J102" s="1056"/>
      <c r="K102" s="1056"/>
      <c r="L102" s="1056"/>
      <c r="M102" s="274"/>
      <c r="P102" s="264"/>
      <c r="Q102" s="264"/>
      <c r="R102" s="264"/>
      <c r="S102" s="264"/>
      <c r="T102" s="1056"/>
      <c r="U102" s="1056"/>
      <c r="V102" s="1056"/>
      <c r="W102" s="1056"/>
      <c r="X102" s="1056"/>
      <c r="Y102" s="1056"/>
      <c r="Z102" s="1056"/>
      <c r="AA102" s="1056"/>
      <c r="AB102" s="1056"/>
      <c r="AC102" s="1056"/>
      <c r="AD102" s="1056"/>
      <c r="AE102" s="1056"/>
      <c r="AF102" s="264"/>
    </row>
    <row r="103" spans="1:32" s="268" customFormat="1" ht="15" x14ac:dyDescent="0.25">
      <c r="A103" s="264"/>
      <c r="B103" s="264"/>
      <c r="C103" s="1056"/>
      <c r="D103" s="1056"/>
      <c r="E103" s="1056"/>
      <c r="F103" s="1056"/>
      <c r="G103" s="1056"/>
      <c r="H103" s="1056"/>
      <c r="I103" s="1056"/>
      <c r="J103" s="1056"/>
      <c r="K103" s="1056"/>
      <c r="L103" s="1056"/>
      <c r="M103" s="274"/>
      <c r="P103" s="264"/>
      <c r="Q103" s="264"/>
      <c r="R103" s="264"/>
      <c r="S103" s="264"/>
      <c r="T103" s="1056"/>
      <c r="U103" s="1056"/>
      <c r="V103" s="1056"/>
      <c r="W103" s="1056"/>
      <c r="X103" s="1056"/>
      <c r="Y103" s="1056"/>
      <c r="Z103" s="1056"/>
      <c r="AA103" s="1056"/>
      <c r="AB103" s="1056"/>
      <c r="AC103" s="1056"/>
      <c r="AD103" s="1056"/>
      <c r="AE103" s="1056"/>
      <c r="AF103" s="264"/>
    </row>
    <row r="104" spans="1:32" s="268" customFormat="1" ht="15" x14ac:dyDescent="0.25">
      <c r="A104" s="264"/>
      <c r="B104" s="264"/>
      <c r="C104" s="1056"/>
      <c r="D104" s="1056"/>
      <c r="E104" s="1056"/>
      <c r="F104" s="1056"/>
      <c r="G104" s="1056"/>
      <c r="H104" s="1056"/>
      <c r="I104" s="1056"/>
      <c r="J104" s="1056"/>
      <c r="K104" s="1056"/>
      <c r="L104" s="1056"/>
      <c r="M104" s="274"/>
      <c r="P104" s="264"/>
      <c r="Q104" s="264"/>
      <c r="R104" s="264"/>
      <c r="S104" s="264"/>
      <c r="T104" s="1056"/>
      <c r="U104" s="1056"/>
      <c r="V104" s="1056"/>
      <c r="W104" s="1056"/>
      <c r="X104" s="1056"/>
      <c r="Y104" s="1056"/>
      <c r="Z104" s="1056"/>
      <c r="AA104" s="1056"/>
      <c r="AB104" s="1056"/>
      <c r="AC104" s="1056"/>
      <c r="AD104" s="1056"/>
      <c r="AE104" s="1056"/>
      <c r="AF104" s="264"/>
    </row>
    <row r="105" spans="1:32" s="268" customFormat="1" ht="15" x14ac:dyDescent="0.25">
      <c r="A105" s="264"/>
      <c r="B105" s="264"/>
      <c r="C105" s="1056"/>
      <c r="D105" s="1056"/>
      <c r="E105" s="1056"/>
      <c r="F105" s="1056"/>
      <c r="G105" s="1056"/>
      <c r="H105" s="1056"/>
      <c r="I105" s="1056"/>
      <c r="J105" s="1056"/>
      <c r="K105" s="1056"/>
      <c r="L105" s="1056"/>
      <c r="M105" s="274"/>
      <c r="P105" s="264"/>
      <c r="Q105" s="264"/>
      <c r="R105" s="264"/>
      <c r="S105" s="264"/>
      <c r="T105" s="1056"/>
      <c r="U105" s="1056"/>
      <c r="V105" s="1056"/>
      <c r="W105" s="1056"/>
      <c r="X105" s="1056"/>
      <c r="Y105" s="1056"/>
      <c r="Z105" s="1056"/>
      <c r="AA105" s="1056"/>
      <c r="AB105" s="1056"/>
      <c r="AC105" s="1056"/>
      <c r="AD105" s="1056"/>
      <c r="AE105" s="1056"/>
      <c r="AF105" s="264"/>
    </row>
    <row r="106" spans="1:32" s="268" customFormat="1" ht="15" x14ac:dyDescent="0.25">
      <c r="A106" s="264"/>
      <c r="B106" s="264"/>
      <c r="C106" s="1056"/>
      <c r="D106" s="1056"/>
      <c r="E106" s="1056"/>
      <c r="F106" s="1056"/>
      <c r="G106" s="1056"/>
      <c r="H106" s="1056"/>
      <c r="I106" s="1056"/>
      <c r="J106" s="1056"/>
      <c r="K106" s="1056"/>
      <c r="L106" s="1056"/>
      <c r="M106" s="274"/>
      <c r="P106" s="264"/>
      <c r="Q106" s="264"/>
      <c r="R106" s="264"/>
      <c r="S106" s="264"/>
      <c r="T106" s="1056"/>
      <c r="U106" s="1056"/>
      <c r="V106" s="1056"/>
      <c r="W106" s="1056"/>
      <c r="X106" s="1056"/>
      <c r="Y106" s="1056"/>
      <c r="Z106" s="1056"/>
      <c r="AA106" s="1056"/>
      <c r="AB106" s="1056"/>
      <c r="AC106" s="1056"/>
      <c r="AD106" s="1056"/>
      <c r="AE106" s="1056"/>
      <c r="AF106" s="264"/>
    </row>
    <row r="107" spans="1:32" s="268" customFormat="1" ht="15" x14ac:dyDescent="0.25">
      <c r="A107" s="264"/>
      <c r="B107" s="264"/>
      <c r="C107" s="1056"/>
      <c r="D107" s="1056"/>
      <c r="E107" s="1056"/>
      <c r="F107" s="1056"/>
      <c r="G107" s="1056"/>
      <c r="H107" s="1056"/>
      <c r="I107" s="1056"/>
      <c r="J107" s="1056"/>
      <c r="K107" s="1056"/>
      <c r="L107" s="1056"/>
      <c r="M107" s="274"/>
      <c r="P107" s="264"/>
      <c r="Q107" s="264"/>
      <c r="R107" s="264"/>
      <c r="S107" s="264"/>
      <c r="T107" s="1056"/>
      <c r="U107" s="1056"/>
      <c r="V107" s="1056"/>
      <c r="W107" s="1056"/>
      <c r="X107" s="1056"/>
      <c r="Y107" s="1056"/>
      <c r="Z107" s="1056"/>
      <c r="AA107" s="1056"/>
      <c r="AB107" s="1056"/>
      <c r="AC107" s="1056"/>
      <c r="AD107" s="1056"/>
      <c r="AE107" s="1056"/>
      <c r="AF107" s="264"/>
    </row>
    <row r="108" spans="1:32" s="268" customFormat="1" ht="15" x14ac:dyDescent="0.25">
      <c r="A108" s="264"/>
      <c r="B108" s="264"/>
      <c r="C108" s="1056"/>
      <c r="D108" s="1056"/>
      <c r="E108" s="1056"/>
      <c r="F108" s="1056"/>
      <c r="G108" s="1056"/>
      <c r="H108" s="1056"/>
      <c r="I108" s="1056"/>
      <c r="J108" s="1056"/>
      <c r="K108" s="1056"/>
      <c r="L108" s="1056"/>
      <c r="M108" s="274"/>
      <c r="P108" s="264"/>
      <c r="Q108" s="264"/>
      <c r="R108" s="264"/>
      <c r="S108" s="264"/>
      <c r="T108" s="1056"/>
      <c r="U108" s="1056"/>
      <c r="V108" s="1056"/>
      <c r="W108" s="1056"/>
      <c r="X108" s="1056"/>
      <c r="Y108" s="1056"/>
      <c r="Z108" s="1056"/>
      <c r="AA108" s="1056"/>
      <c r="AB108" s="1056"/>
      <c r="AC108" s="1056"/>
      <c r="AD108" s="1056"/>
      <c r="AE108" s="1056"/>
      <c r="AF108" s="264"/>
    </row>
    <row r="109" spans="1:32" s="268" customFormat="1" ht="15" x14ac:dyDescent="0.25">
      <c r="A109" s="264"/>
      <c r="B109" s="264"/>
      <c r="C109" s="1056"/>
      <c r="D109" s="1056"/>
      <c r="E109" s="1056"/>
      <c r="F109" s="1056"/>
      <c r="G109" s="1056"/>
      <c r="H109" s="1056"/>
      <c r="I109" s="1056"/>
      <c r="J109" s="1056"/>
      <c r="K109" s="1056"/>
      <c r="L109" s="1056"/>
      <c r="M109" s="274"/>
      <c r="P109" s="264"/>
      <c r="Q109" s="264"/>
      <c r="R109" s="264"/>
      <c r="S109" s="264"/>
      <c r="T109" s="1056"/>
      <c r="U109" s="1056"/>
      <c r="V109" s="1056"/>
      <c r="W109" s="1056"/>
      <c r="X109" s="1056"/>
      <c r="Y109" s="1056"/>
      <c r="Z109" s="1056"/>
      <c r="AA109" s="1056"/>
      <c r="AB109" s="1056"/>
      <c r="AC109" s="1056"/>
      <c r="AD109" s="1056"/>
      <c r="AE109" s="1056"/>
      <c r="AF109" s="264"/>
    </row>
    <row r="110" spans="1:32" s="268" customFormat="1" ht="15" x14ac:dyDescent="0.25">
      <c r="A110" s="264"/>
      <c r="B110" s="264"/>
      <c r="C110" s="1056"/>
      <c r="D110" s="1056"/>
      <c r="E110" s="1056"/>
      <c r="F110" s="1056"/>
      <c r="G110" s="1056"/>
      <c r="H110" s="1056"/>
      <c r="I110" s="1056"/>
      <c r="J110" s="1056"/>
      <c r="K110" s="1056"/>
      <c r="L110" s="1056"/>
      <c r="M110" s="274"/>
      <c r="P110" s="264"/>
      <c r="Q110" s="264"/>
      <c r="R110" s="264"/>
      <c r="S110" s="264"/>
      <c r="T110" s="1056"/>
      <c r="U110" s="1056"/>
      <c r="V110" s="1056"/>
      <c r="W110" s="1056"/>
      <c r="X110" s="1056"/>
      <c r="Y110" s="1056"/>
      <c r="Z110" s="1056"/>
      <c r="AA110" s="1056"/>
      <c r="AB110" s="1056"/>
      <c r="AC110" s="1056"/>
      <c r="AD110" s="1056"/>
      <c r="AE110" s="1056"/>
      <c r="AF110" s="264"/>
    </row>
    <row r="111" spans="1:32" s="268" customFormat="1" ht="15" x14ac:dyDescent="0.25">
      <c r="A111" s="264"/>
      <c r="B111" s="264"/>
      <c r="C111" s="1056"/>
      <c r="D111" s="1056"/>
      <c r="E111" s="1056"/>
      <c r="F111" s="1056"/>
      <c r="G111" s="1056"/>
      <c r="H111" s="1056"/>
      <c r="I111" s="1056"/>
      <c r="J111" s="1056"/>
      <c r="K111" s="1056"/>
      <c r="L111" s="1056"/>
      <c r="M111" s="274"/>
      <c r="P111" s="264"/>
      <c r="Q111" s="264"/>
      <c r="R111" s="264"/>
      <c r="S111" s="264"/>
      <c r="T111" s="1056"/>
      <c r="U111" s="1056"/>
      <c r="V111" s="1056"/>
      <c r="W111" s="1056"/>
      <c r="X111" s="1056"/>
      <c r="Y111" s="1056"/>
      <c r="Z111" s="1056"/>
      <c r="AA111" s="1056"/>
      <c r="AB111" s="1056"/>
      <c r="AC111" s="1056"/>
      <c r="AD111" s="1056"/>
      <c r="AE111" s="1056"/>
      <c r="AF111" s="264"/>
    </row>
    <row r="112" spans="1:32" s="268" customFormat="1" ht="15" x14ac:dyDescent="0.25">
      <c r="A112" s="264"/>
      <c r="B112" s="264"/>
      <c r="C112" s="1056"/>
      <c r="D112" s="1056"/>
      <c r="E112" s="1056"/>
      <c r="F112" s="1056"/>
      <c r="G112" s="1056"/>
      <c r="H112" s="1056"/>
      <c r="I112" s="1056"/>
      <c r="J112" s="1056"/>
      <c r="K112" s="1056"/>
      <c r="L112" s="1056"/>
      <c r="M112" s="274"/>
      <c r="P112" s="264"/>
      <c r="Q112" s="264"/>
      <c r="R112" s="264"/>
      <c r="S112" s="264"/>
      <c r="T112" s="1056"/>
      <c r="U112" s="1056"/>
      <c r="V112" s="1056"/>
      <c r="W112" s="1056"/>
      <c r="X112" s="1056"/>
      <c r="Y112" s="1056"/>
      <c r="Z112" s="1056"/>
      <c r="AA112" s="1056"/>
      <c r="AB112" s="1056"/>
      <c r="AC112" s="1056"/>
      <c r="AD112" s="1056"/>
      <c r="AE112" s="1056"/>
      <c r="AF112" s="264"/>
    </row>
    <row r="113" spans="1:32" s="268" customFormat="1" ht="15" x14ac:dyDescent="0.25">
      <c r="A113" s="264"/>
      <c r="B113" s="264"/>
      <c r="C113" s="1056"/>
      <c r="D113" s="1056"/>
      <c r="E113" s="1056"/>
      <c r="F113" s="1056"/>
      <c r="G113" s="1056"/>
      <c r="H113" s="1056"/>
      <c r="I113" s="1056"/>
      <c r="J113" s="1056"/>
      <c r="K113" s="1056"/>
      <c r="L113" s="1056"/>
      <c r="M113" s="274"/>
      <c r="P113" s="264"/>
      <c r="Q113" s="264"/>
      <c r="R113" s="264"/>
      <c r="S113" s="264"/>
      <c r="T113" s="1056"/>
      <c r="U113" s="1056"/>
      <c r="V113" s="1056"/>
      <c r="W113" s="1056"/>
      <c r="X113" s="1056"/>
      <c r="Y113" s="1056"/>
      <c r="Z113" s="1056"/>
      <c r="AA113" s="1056"/>
      <c r="AB113" s="1056"/>
      <c r="AC113" s="1056"/>
      <c r="AD113" s="1056"/>
      <c r="AE113" s="1056"/>
      <c r="AF113" s="264"/>
    </row>
    <row r="114" spans="1:32" s="268" customFormat="1" ht="15" x14ac:dyDescent="0.25">
      <c r="A114" s="264"/>
      <c r="B114" s="264"/>
      <c r="C114" s="1056"/>
      <c r="D114" s="1056"/>
      <c r="E114" s="1056"/>
      <c r="F114" s="1056"/>
      <c r="G114" s="1056"/>
      <c r="H114" s="1056"/>
      <c r="I114" s="1056"/>
      <c r="J114" s="1056"/>
      <c r="K114" s="1056"/>
      <c r="L114" s="1056"/>
      <c r="M114" s="274"/>
      <c r="P114" s="264"/>
      <c r="Q114" s="264"/>
      <c r="R114" s="264"/>
      <c r="S114" s="264"/>
      <c r="T114" s="1056"/>
      <c r="U114" s="1056"/>
      <c r="V114" s="1056"/>
      <c r="W114" s="1056"/>
      <c r="X114" s="1056"/>
      <c r="Y114" s="1056"/>
      <c r="Z114" s="1056"/>
      <c r="AA114" s="1056"/>
      <c r="AB114" s="1056"/>
      <c r="AC114" s="1056"/>
      <c r="AD114" s="1056"/>
      <c r="AE114" s="1056"/>
      <c r="AF114" s="264"/>
    </row>
    <row r="115" spans="1:32" s="268" customFormat="1" ht="15" x14ac:dyDescent="0.25">
      <c r="A115" s="264"/>
      <c r="B115" s="264"/>
      <c r="C115" s="1056"/>
      <c r="D115" s="1056"/>
      <c r="E115" s="1056"/>
      <c r="F115" s="1056"/>
      <c r="G115" s="1056"/>
      <c r="H115" s="1056"/>
      <c r="I115" s="1056"/>
      <c r="J115" s="1056"/>
      <c r="K115" s="1056"/>
      <c r="L115" s="1056"/>
      <c r="M115" s="274"/>
      <c r="P115" s="264"/>
      <c r="Q115" s="264"/>
      <c r="R115" s="264"/>
      <c r="S115" s="264"/>
      <c r="T115" s="1056"/>
      <c r="U115" s="1056"/>
      <c r="V115" s="1056"/>
      <c r="W115" s="1056"/>
      <c r="X115" s="1056"/>
      <c r="Y115" s="1056"/>
      <c r="Z115" s="1056"/>
      <c r="AA115" s="1056"/>
      <c r="AB115" s="1056"/>
      <c r="AC115" s="1056"/>
      <c r="AD115" s="1056"/>
      <c r="AE115" s="1056"/>
      <c r="AF115" s="264"/>
    </row>
    <row r="116" spans="1:32" s="268" customFormat="1" ht="15" x14ac:dyDescent="0.25">
      <c r="A116" s="264"/>
      <c r="B116" s="264"/>
      <c r="C116" s="1056"/>
      <c r="D116" s="1056"/>
      <c r="E116" s="1056"/>
      <c r="F116" s="1056"/>
      <c r="G116" s="1056"/>
      <c r="H116" s="1056"/>
      <c r="I116" s="1056"/>
      <c r="J116" s="1056"/>
      <c r="K116" s="1056"/>
      <c r="L116" s="1056"/>
      <c r="M116" s="274"/>
      <c r="P116" s="264"/>
      <c r="Q116" s="264"/>
      <c r="R116" s="264"/>
      <c r="S116" s="264"/>
      <c r="T116" s="1056"/>
      <c r="U116" s="1056"/>
      <c r="V116" s="1056"/>
      <c r="W116" s="1056"/>
      <c r="X116" s="1056"/>
      <c r="Y116" s="1056"/>
      <c r="Z116" s="1056"/>
      <c r="AA116" s="1056"/>
      <c r="AB116" s="1056"/>
      <c r="AC116" s="1056"/>
      <c r="AD116" s="1056"/>
      <c r="AE116" s="1056"/>
      <c r="AF116" s="264"/>
    </row>
    <row r="117" spans="1:32" s="268" customFormat="1" ht="15" x14ac:dyDescent="0.25">
      <c r="A117" s="264"/>
      <c r="B117" s="264"/>
      <c r="C117" s="1056"/>
      <c r="D117" s="1056"/>
      <c r="E117" s="1056"/>
      <c r="F117" s="1056"/>
      <c r="G117" s="1056"/>
      <c r="H117" s="1056"/>
      <c r="I117" s="1056"/>
      <c r="J117" s="1056"/>
      <c r="K117" s="1056"/>
      <c r="L117" s="1056"/>
      <c r="M117" s="274"/>
      <c r="P117" s="264"/>
      <c r="Q117" s="264"/>
      <c r="R117" s="264"/>
      <c r="S117" s="264"/>
      <c r="T117" s="1056"/>
      <c r="U117" s="1056"/>
      <c r="V117" s="1056"/>
      <c r="W117" s="1056"/>
      <c r="X117" s="1056"/>
      <c r="Y117" s="1056"/>
      <c r="Z117" s="1056"/>
      <c r="AA117" s="1056"/>
      <c r="AB117" s="1056"/>
      <c r="AC117" s="1056"/>
      <c r="AD117" s="1056"/>
      <c r="AE117" s="1056"/>
      <c r="AF117" s="264"/>
    </row>
    <row r="118" spans="1:32" s="268" customFormat="1" ht="15" x14ac:dyDescent="0.25">
      <c r="A118" s="264"/>
      <c r="B118" s="264"/>
      <c r="C118" s="1056"/>
      <c r="D118" s="1056"/>
      <c r="E118" s="1056"/>
      <c r="F118" s="1056"/>
      <c r="G118" s="1056"/>
      <c r="H118" s="1056"/>
      <c r="I118" s="1056"/>
      <c r="J118" s="1056"/>
      <c r="K118" s="1056"/>
      <c r="L118" s="1056"/>
      <c r="M118" s="274"/>
      <c r="P118" s="264"/>
      <c r="Q118" s="264"/>
      <c r="R118" s="264"/>
      <c r="S118" s="264"/>
      <c r="T118" s="1056"/>
      <c r="U118" s="1056"/>
      <c r="V118" s="1056"/>
      <c r="W118" s="1056"/>
      <c r="X118" s="1056"/>
      <c r="Y118" s="1056"/>
      <c r="Z118" s="1056"/>
      <c r="AA118" s="1056"/>
      <c r="AB118" s="1056"/>
      <c r="AC118" s="1056"/>
      <c r="AD118" s="1056"/>
      <c r="AE118" s="1056"/>
      <c r="AF118" s="264"/>
    </row>
    <row r="119" spans="1:32" s="268" customFormat="1" ht="15" x14ac:dyDescent="0.25">
      <c r="A119" s="264"/>
      <c r="B119" s="264"/>
      <c r="C119" s="1056"/>
      <c r="D119" s="1056"/>
      <c r="E119" s="1056"/>
      <c r="F119" s="1056"/>
      <c r="G119" s="1056"/>
      <c r="H119" s="1056"/>
      <c r="I119" s="1056"/>
      <c r="J119" s="1056"/>
      <c r="K119" s="1056"/>
      <c r="L119" s="1056"/>
      <c r="M119" s="274"/>
      <c r="P119" s="264"/>
      <c r="Q119" s="264"/>
      <c r="R119" s="264"/>
      <c r="S119" s="264"/>
      <c r="T119" s="1056"/>
      <c r="U119" s="1056"/>
      <c r="V119" s="1056"/>
      <c r="W119" s="1056"/>
      <c r="X119" s="1056"/>
      <c r="Y119" s="1056"/>
      <c r="Z119" s="1056"/>
      <c r="AA119" s="1056"/>
      <c r="AB119" s="1056"/>
      <c r="AC119" s="1056"/>
      <c r="AD119" s="1056"/>
      <c r="AE119" s="1056"/>
      <c r="AF119" s="264"/>
    </row>
    <row r="120" spans="1:32" s="268" customFormat="1" ht="15" x14ac:dyDescent="0.25">
      <c r="A120" s="264"/>
      <c r="B120" s="264"/>
      <c r="C120" s="1056"/>
      <c r="D120" s="1056"/>
      <c r="E120" s="1056"/>
      <c r="F120" s="1056"/>
      <c r="G120" s="1056"/>
      <c r="H120" s="1056"/>
      <c r="I120" s="1056"/>
      <c r="J120" s="1056"/>
      <c r="K120" s="1056"/>
      <c r="L120" s="1056"/>
      <c r="M120" s="274"/>
      <c r="P120" s="264"/>
      <c r="Q120" s="264"/>
      <c r="R120" s="264"/>
      <c r="S120" s="264"/>
      <c r="T120" s="1056"/>
      <c r="U120" s="1056"/>
      <c r="V120" s="1056"/>
      <c r="W120" s="1056"/>
      <c r="X120" s="1056"/>
      <c r="Y120" s="1056"/>
      <c r="Z120" s="1056"/>
      <c r="AA120" s="1056"/>
      <c r="AB120" s="1056"/>
      <c r="AC120" s="1056"/>
      <c r="AD120" s="1056"/>
      <c r="AE120" s="1056"/>
      <c r="AF120" s="264"/>
    </row>
    <row r="121" spans="1:32" s="268" customFormat="1" ht="15" x14ac:dyDescent="0.25">
      <c r="A121" s="264"/>
      <c r="B121" s="264"/>
      <c r="C121" s="1056"/>
      <c r="D121" s="1056"/>
      <c r="E121" s="1056"/>
      <c r="F121" s="1056"/>
      <c r="G121" s="1056"/>
      <c r="H121" s="1056"/>
      <c r="I121" s="1056"/>
      <c r="J121" s="1056"/>
      <c r="K121" s="1056"/>
      <c r="L121" s="1056"/>
      <c r="M121" s="274"/>
      <c r="P121" s="264"/>
      <c r="Q121" s="264"/>
      <c r="R121" s="264"/>
      <c r="S121" s="264"/>
      <c r="T121" s="1056"/>
      <c r="U121" s="1056"/>
      <c r="V121" s="1056"/>
      <c r="W121" s="1056"/>
      <c r="X121" s="1056"/>
      <c r="Y121" s="1056"/>
      <c r="Z121" s="1056"/>
      <c r="AA121" s="1056"/>
      <c r="AB121" s="1056"/>
      <c r="AC121" s="1056"/>
      <c r="AD121" s="1056"/>
      <c r="AE121" s="1056"/>
      <c r="AF121" s="264"/>
    </row>
    <row r="122" spans="1:32" s="268" customFormat="1" ht="15" x14ac:dyDescent="0.25">
      <c r="A122" s="264"/>
      <c r="B122" s="264"/>
      <c r="C122" s="1056"/>
      <c r="D122" s="1056"/>
      <c r="E122" s="1056"/>
      <c r="F122" s="1056"/>
      <c r="G122" s="1056"/>
      <c r="H122" s="1056"/>
      <c r="I122" s="1056"/>
      <c r="J122" s="1056"/>
      <c r="K122" s="1056"/>
      <c r="L122" s="1056"/>
      <c r="M122" s="274"/>
      <c r="P122" s="264"/>
      <c r="Q122" s="264"/>
      <c r="R122" s="264"/>
      <c r="S122" s="264"/>
      <c r="T122" s="1056"/>
      <c r="U122" s="1056"/>
      <c r="V122" s="1056"/>
      <c r="W122" s="1056"/>
      <c r="X122" s="1056"/>
      <c r="Y122" s="1056"/>
      <c r="Z122" s="1056"/>
      <c r="AA122" s="1056"/>
      <c r="AB122" s="1056"/>
      <c r="AC122" s="1056"/>
      <c r="AD122" s="1056"/>
      <c r="AE122" s="1056"/>
      <c r="AF122" s="264"/>
    </row>
    <row r="123" spans="1:32" s="268" customFormat="1" ht="15" x14ac:dyDescent="0.25">
      <c r="A123" s="264"/>
      <c r="B123" s="264"/>
      <c r="C123" s="1056"/>
      <c r="D123" s="1056"/>
      <c r="E123" s="1056"/>
      <c r="F123" s="1056"/>
      <c r="G123" s="1056"/>
      <c r="H123" s="1056"/>
      <c r="I123" s="1056"/>
      <c r="J123" s="1056"/>
      <c r="K123" s="1056"/>
      <c r="L123" s="1056"/>
      <c r="M123" s="274"/>
      <c r="P123" s="264"/>
      <c r="Q123" s="264"/>
      <c r="R123" s="264"/>
      <c r="S123" s="264"/>
      <c r="T123" s="1056"/>
      <c r="U123" s="1056"/>
      <c r="V123" s="1056"/>
      <c r="W123" s="1056"/>
      <c r="X123" s="1056"/>
      <c r="Y123" s="1056"/>
      <c r="Z123" s="1056"/>
      <c r="AA123" s="1056"/>
      <c r="AB123" s="1056"/>
      <c r="AC123" s="1056"/>
      <c r="AD123" s="1056"/>
      <c r="AE123" s="1056"/>
      <c r="AF123" s="264"/>
    </row>
    <row r="124" spans="1:32" s="268" customFormat="1" ht="15" x14ac:dyDescent="0.25">
      <c r="A124" s="264"/>
      <c r="B124" s="264"/>
      <c r="C124" s="1056"/>
      <c r="D124" s="1056"/>
      <c r="E124" s="1056"/>
      <c r="F124" s="1056"/>
      <c r="G124" s="1056"/>
      <c r="H124" s="1056"/>
      <c r="I124" s="1056"/>
      <c r="J124" s="1056"/>
      <c r="K124" s="1056"/>
      <c r="L124" s="1056"/>
      <c r="M124" s="274"/>
      <c r="P124" s="264"/>
      <c r="Q124" s="264"/>
      <c r="R124" s="264"/>
      <c r="S124" s="264"/>
      <c r="T124" s="1056"/>
      <c r="U124" s="1056"/>
      <c r="V124" s="1056"/>
      <c r="W124" s="1056"/>
      <c r="X124" s="1056"/>
      <c r="Y124" s="1056"/>
      <c r="Z124" s="1056"/>
      <c r="AA124" s="1056"/>
      <c r="AB124" s="1056"/>
      <c r="AC124" s="1056"/>
      <c r="AD124" s="1056"/>
      <c r="AE124" s="1056"/>
      <c r="AF124" s="264"/>
    </row>
    <row r="125" spans="1:32" s="268" customFormat="1" ht="15" x14ac:dyDescent="0.25">
      <c r="A125" s="264"/>
      <c r="B125" s="264"/>
      <c r="C125" s="1056"/>
      <c r="D125" s="1056"/>
      <c r="E125" s="1056"/>
      <c r="F125" s="1056"/>
      <c r="G125" s="1056"/>
      <c r="H125" s="1056"/>
      <c r="I125" s="1056"/>
      <c r="J125" s="1056"/>
      <c r="K125" s="1056"/>
      <c r="L125" s="1056"/>
      <c r="M125" s="274"/>
      <c r="P125" s="264"/>
      <c r="Q125" s="264"/>
      <c r="R125" s="264"/>
      <c r="S125" s="264"/>
      <c r="T125" s="1056"/>
      <c r="U125" s="1056"/>
      <c r="V125" s="1056"/>
      <c r="W125" s="1056"/>
      <c r="X125" s="1056"/>
      <c r="Y125" s="1056"/>
      <c r="Z125" s="1056"/>
      <c r="AA125" s="1056"/>
      <c r="AB125" s="1056"/>
      <c r="AC125" s="1056"/>
      <c r="AD125" s="1056"/>
      <c r="AE125" s="1056"/>
      <c r="AF125" s="264"/>
    </row>
    <row r="126" spans="1:32" s="268" customFormat="1" ht="15" x14ac:dyDescent="0.25">
      <c r="A126" s="264"/>
      <c r="B126" s="264"/>
      <c r="C126" s="1056"/>
      <c r="D126" s="1056"/>
      <c r="E126" s="1056"/>
      <c r="F126" s="1056"/>
      <c r="G126" s="1056"/>
      <c r="H126" s="1056"/>
      <c r="I126" s="1056"/>
      <c r="J126" s="1056"/>
      <c r="K126" s="1056"/>
      <c r="L126" s="1056"/>
      <c r="M126" s="274"/>
      <c r="P126" s="264"/>
      <c r="Q126" s="264"/>
      <c r="R126" s="264"/>
      <c r="S126" s="264"/>
      <c r="T126" s="1056"/>
      <c r="U126" s="1056"/>
      <c r="V126" s="1056"/>
      <c r="W126" s="1056"/>
      <c r="X126" s="1056"/>
      <c r="Y126" s="1056"/>
      <c r="Z126" s="1056"/>
      <c r="AA126" s="1056"/>
      <c r="AB126" s="1056"/>
      <c r="AC126" s="1056"/>
      <c r="AD126" s="1056"/>
      <c r="AE126" s="1056"/>
      <c r="AF126" s="264"/>
    </row>
    <row r="127" spans="1:32" s="268" customFormat="1" ht="15" x14ac:dyDescent="0.25">
      <c r="A127" s="264"/>
      <c r="B127" s="264"/>
      <c r="C127" s="1056"/>
      <c r="D127" s="1056"/>
      <c r="E127" s="1056"/>
      <c r="F127" s="1056"/>
      <c r="G127" s="1056"/>
      <c r="H127" s="1056"/>
      <c r="I127" s="1056"/>
      <c r="J127" s="1056"/>
      <c r="K127" s="1056"/>
      <c r="L127" s="1056"/>
      <c r="M127" s="274"/>
      <c r="P127" s="264"/>
      <c r="Q127" s="264"/>
      <c r="R127" s="264"/>
      <c r="S127" s="264"/>
      <c r="T127" s="1056"/>
      <c r="U127" s="1056"/>
      <c r="V127" s="1056"/>
      <c r="W127" s="1056"/>
      <c r="X127" s="1056"/>
      <c r="Y127" s="1056"/>
      <c r="Z127" s="1056"/>
      <c r="AA127" s="1056"/>
      <c r="AB127" s="1056"/>
      <c r="AC127" s="1056"/>
      <c r="AD127" s="1056"/>
      <c r="AE127" s="1056"/>
      <c r="AF127" s="264"/>
    </row>
    <row r="128" spans="1:32" s="268" customFormat="1" ht="15" x14ac:dyDescent="0.25">
      <c r="A128" s="264"/>
      <c r="B128" s="264"/>
      <c r="C128" s="1056"/>
      <c r="D128" s="1056"/>
      <c r="E128" s="1056"/>
      <c r="F128" s="1056"/>
      <c r="G128" s="1056"/>
      <c r="H128" s="1056"/>
      <c r="I128" s="1056"/>
      <c r="J128" s="1056"/>
      <c r="K128" s="1056"/>
      <c r="L128" s="1056"/>
      <c r="M128" s="274"/>
      <c r="P128" s="264"/>
      <c r="Q128" s="264"/>
      <c r="R128" s="264"/>
      <c r="S128" s="264"/>
      <c r="T128" s="1056"/>
      <c r="U128" s="1056"/>
      <c r="V128" s="1056"/>
      <c r="W128" s="1056"/>
      <c r="X128" s="1056"/>
      <c r="Y128" s="1056"/>
      <c r="Z128" s="1056"/>
      <c r="AA128" s="1056"/>
      <c r="AB128" s="1056"/>
      <c r="AC128" s="1056"/>
      <c r="AD128" s="1056"/>
      <c r="AE128" s="1056"/>
      <c r="AF128" s="264"/>
    </row>
    <row r="129" spans="1:32" s="268" customFormat="1" ht="15" x14ac:dyDescent="0.25">
      <c r="A129" s="264"/>
      <c r="B129" s="264"/>
      <c r="C129" s="1056"/>
      <c r="D129" s="1056"/>
      <c r="E129" s="1056"/>
      <c r="F129" s="1056"/>
      <c r="G129" s="1056"/>
      <c r="H129" s="1056"/>
      <c r="I129" s="1056"/>
      <c r="J129" s="1056"/>
      <c r="K129" s="1056"/>
      <c r="L129" s="1056"/>
      <c r="M129" s="274"/>
      <c r="P129" s="264"/>
      <c r="Q129" s="264"/>
      <c r="R129" s="264"/>
      <c r="S129" s="264"/>
      <c r="T129" s="1056"/>
      <c r="U129" s="1056"/>
      <c r="V129" s="1056"/>
      <c r="W129" s="1056"/>
      <c r="X129" s="1056"/>
      <c r="Y129" s="1056"/>
      <c r="Z129" s="1056"/>
      <c r="AA129" s="1056"/>
      <c r="AB129" s="1056"/>
      <c r="AC129" s="1056"/>
      <c r="AD129" s="1056"/>
      <c r="AE129" s="1056"/>
      <c r="AF129" s="264"/>
    </row>
    <row r="130" spans="1:32" s="268" customFormat="1" ht="15" x14ac:dyDescent="0.25">
      <c r="A130" s="264"/>
      <c r="B130" s="264"/>
      <c r="C130" s="1056"/>
      <c r="D130" s="1056"/>
      <c r="E130" s="1056"/>
      <c r="F130" s="1056"/>
      <c r="G130" s="1056"/>
      <c r="H130" s="1056"/>
      <c r="I130" s="1056"/>
      <c r="J130" s="1056"/>
      <c r="K130" s="1056"/>
      <c r="L130" s="1056"/>
      <c r="M130" s="274"/>
      <c r="P130" s="264"/>
      <c r="Q130" s="264"/>
      <c r="R130" s="264"/>
      <c r="S130" s="264"/>
      <c r="T130" s="1056"/>
      <c r="U130" s="1056"/>
      <c r="V130" s="1056"/>
      <c r="W130" s="1056"/>
      <c r="X130" s="1056"/>
      <c r="Y130" s="1056"/>
      <c r="Z130" s="1056"/>
      <c r="AA130" s="1056"/>
      <c r="AB130" s="1056"/>
      <c r="AC130" s="1056"/>
      <c r="AD130" s="1056"/>
      <c r="AE130" s="1056"/>
      <c r="AF130" s="264"/>
    </row>
    <row r="131" spans="1:32" s="268" customFormat="1" ht="15" x14ac:dyDescent="0.25">
      <c r="A131" s="264"/>
      <c r="B131" s="264"/>
      <c r="C131" s="1056"/>
      <c r="D131" s="1056"/>
      <c r="E131" s="1056"/>
      <c r="F131" s="1056"/>
      <c r="G131" s="1056"/>
      <c r="H131" s="1056"/>
      <c r="I131" s="1056"/>
      <c r="J131" s="1056"/>
      <c r="K131" s="1056"/>
      <c r="L131" s="1056"/>
      <c r="M131" s="274"/>
      <c r="P131" s="264"/>
      <c r="Q131" s="264"/>
      <c r="R131" s="264"/>
      <c r="S131" s="264"/>
      <c r="T131" s="1056"/>
      <c r="U131" s="1056"/>
      <c r="V131" s="1056"/>
      <c r="W131" s="1056"/>
      <c r="X131" s="1056"/>
      <c r="Y131" s="1056"/>
      <c r="Z131" s="1056"/>
      <c r="AA131" s="1056"/>
      <c r="AB131" s="1056"/>
      <c r="AC131" s="1056"/>
      <c r="AD131" s="1056"/>
      <c r="AE131" s="1056"/>
      <c r="AF131" s="264"/>
    </row>
    <row r="132" spans="1:32" s="268" customFormat="1" ht="15" x14ac:dyDescent="0.25">
      <c r="A132" s="264"/>
      <c r="B132" s="264"/>
      <c r="C132" s="1056"/>
      <c r="D132" s="1056"/>
      <c r="E132" s="1056"/>
      <c r="F132" s="1056"/>
      <c r="G132" s="1056"/>
      <c r="H132" s="1056"/>
      <c r="I132" s="1056"/>
      <c r="J132" s="1056"/>
      <c r="K132" s="1056"/>
      <c r="L132" s="1056"/>
      <c r="M132" s="274"/>
      <c r="P132" s="264"/>
      <c r="Q132" s="264"/>
      <c r="R132" s="264"/>
      <c r="S132" s="264"/>
      <c r="T132" s="1056"/>
      <c r="U132" s="1056"/>
      <c r="V132" s="1056"/>
      <c r="W132" s="1056"/>
      <c r="X132" s="1056"/>
      <c r="Y132" s="1056"/>
      <c r="Z132" s="1056"/>
      <c r="AA132" s="1056"/>
      <c r="AB132" s="1056"/>
      <c r="AC132" s="1056"/>
      <c r="AD132" s="1056"/>
      <c r="AE132" s="1056"/>
      <c r="AF132" s="264"/>
    </row>
    <row r="133" spans="1:32" s="268" customFormat="1" ht="15" x14ac:dyDescent="0.25">
      <c r="A133" s="264"/>
      <c r="B133" s="264"/>
      <c r="C133" s="1056"/>
      <c r="D133" s="1056"/>
      <c r="E133" s="1056"/>
      <c r="F133" s="1056"/>
      <c r="G133" s="1056"/>
      <c r="H133" s="1056"/>
      <c r="I133" s="1056"/>
      <c r="J133" s="1056"/>
      <c r="K133" s="1056"/>
      <c r="L133" s="1056"/>
      <c r="M133" s="274"/>
      <c r="P133" s="264"/>
      <c r="Q133" s="264"/>
      <c r="R133" s="264"/>
      <c r="S133" s="264"/>
      <c r="T133" s="1056"/>
      <c r="U133" s="1056"/>
      <c r="V133" s="1056"/>
      <c r="W133" s="1056"/>
      <c r="X133" s="1056"/>
      <c r="Y133" s="1056"/>
      <c r="Z133" s="1056"/>
      <c r="AA133" s="1056"/>
      <c r="AB133" s="1056"/>
      <c r="AC133" s="1056"/>
      <c r="AD133" s="1056"/>
      <c r="AE133" s="1056"/>
      <c r="AF133" s="264"/>
    </row>
    <row r="134" spans="1:32" s="268" customFormat="1" ht="15" x14ac:dyDescent="0.25">
      <c r="A134" s="264"/>
      <c r="B134" s="264"/>
      <c r="C134" s="1056"/>
      <c r="D134" s="1056"/>
      <c r="E134" s="1056"/>
      <c r="F134" s="1056"/>
      <c r="G134" s="1056"/>
      <c r="H134" s="1056"/>
      <c r="I134" s="1056"/>
      <c r="J134" s="1056"/>
      <c r="K134" s="1056"/>
      <c r="L134" s="1056"/>
      <c r="M134" s="274"/>
      <c r="P134" s="264"/>
      <c r="Q134" s="264"/>
      <c r="R134" s="264"/>
      <c r="S134" s="264"/>
      <c r="T134" s="1056"/>
      <c r="U134" s="1056"/>
      <c r="V134" s="1056"/>
      <c r="W134" s="1056"/>
      <c r="X134" s="1056"/>
      <c r="Y134" s="1056"/>
      <c r="Z134" s="1056"/>
      <c r="AA134" s="1056"/>
      <c r="AB134" s="1056"/>
      <c r="AC134" s="1056"/>
      <c r="AD134" s="1056"/>
      <c r="AE134" s="1056"/>
      <c r="AF134" s="264"/>
    </row>
    <row r="135" spans="1:32" s="268" customFormat="1" ht="15" x14ac:dyDescent="0.25">
      <c r="A135" s="264"/>
      <c r="B135" s="264"/>
      <c r="C135" s="1056"/>
      <c r="D135" s="1056"/>
      <c r="E135" s="1056"/>
      <c r="F135" s="1056"/>
      <c r="G135" s="1056"/>
      <c r="H135" s="1056"/>
      <c r="I135" s="1056"/>
      <c r="J135" s="1056"/>
      <c r="K135" s="1056"/>
      <c r="L135" s="1056"/>
      <c r="M135" s="274"/>
      <c r="P135" s="264"/>
      <c r="Q135" s="264"/>
      <c r="R135" s="264"/>
      <c r="S135" s="264"/>
      <c r="T135" s="1056"/>
      <c r="U135" s="1056"/>
      <c r="V135" s="1056"/>
      <c r="W135" s="1056"/>
      <c r="X135" s="1056"/>
      <c r="Y135" s="1056"/>
      <c r="Z135" s="1056"/>
      <c r="AA135" s="1056"/>
      <c r="AB135" s="1056"/>
      <c r="AC135" s="1056"/>
      <c r="AD135" s="1056"/>
      <c r="AE135" s="1056"/>
      <c r="AF135" s="264"/>
    </row>
    <row r="136" spans="1:32" s="268" customFormat="1" ht="15" x14ac:dyDescent="0.25">
      <c r="A136" s="264"/>
      <c r="B136" s="264"/>
      <c r="C136" s="1056"/>
      <c r="D136" s="1056"/>
      <c r="E136" s="1056"/>
      <c r="F136" s="1056"/>
      <c r="G136" s="1056"/>
      <c r="H136" s="1056"/>
      <c r="I136" s="1056"/>
      <c r="J136" s="1056"/>
      <c r="K136" s="1056"/>
      <c r="L136" s="1056"/>
      <c r="M136" s="274"/>
      <c r="P136" s="264"/>
      <c r="Q136" s="264"/>
      <c r="R136" s="264"/>
      <c r="S136" s="264"/>
      <c r="T136" s="1056"/>
      <c r="U136" s="1056"/>
      <c r="V136" s="1056"/>
      <c r="W136" s="1056"/>
      <c r="X136" s="1056"/>
      <c r="Y136" s="1056"/>
      <c r="Z136" s="1056"/>
      <c r="AA136" s="1056"/>
      <c r="AB136" s="1056"/>
      <c r="AC136" s="1056"/>
      <c r="AD136" s="1056"/>
      <c r="AE136" s="1056"/>
      <c r="AF136" s="264"/>
    </row>
    <row r="137" spans="1:32" s="268" customFormat="1" ht="15" x14ac:dyDescent="0.25">
      <c r="A137" s="264"/>
      <c r="B137" s="264"/>
      <c r="C137" s="1056"/>
      <c r="D137" s="1056"/>
      <c r="E137" s="1056"/>
      <c r="F137" s="1056"/>
      <c r="G137" s="1056"/>
      <c r="H137" s="1056"/>
      <c r="I137" s="1056"/>
      <c r="J137" s="1056"/>
      <c r="K137" s="1056"/>
      <c r="L137" s="1056"/>
      <c r="M137" s="274"/>
      <c r="P137" s="264"/>
      <c r="Q137" s="264"/>
      <c r="R137" s="264"/>
      <c r="S137" s="264"/>
      <c r="T137" s="1056"/>
      <c r="U137" s="1056"/>
      <c r="V137" s="1056"/>
      <c r="W137" s="1056"/>
      <c r="X137" s="1056"/>
      <c r="Y137" s="1056"/>
      <c r="Z137" s="1056"/>
      <c r="AA137" s="1056"/>
      <c r="AB137" s="1056"/>
      <c r="AC137" s="1056"/>
      <c r="AD137" s="1056"/>
      <c r="AE137" s="1056"/>
      <c r="AF137" s="264"/>
    </row>
    <row r="138" spans="1:32" s="268" customFormat="1" ht="15" x14ac:dyDescent="0.25">
      <c r="A138" s="264"/>
      <c r="B138" s="264"/>
      <c r="C138" s="1056"/>
      <c r="D138" s="1056"/>
      <c r="E138" s="1056"/>
      <c r="F138" s="1056"/>
      <c r="G138" s="1056"/>
      <c r="H138" s="1056"/>
      <c r="I138" s="1056"/>
      <c r="J138" s="1056"/>
      <c r="K138" s="1056"/>
      <c r="L138" s="1056"/>
      <c r="M138" s="274"/>
      <c r="P138" s="264"/>
      <c r="Q138" s="264"/>
      <c r="R138" s="264"/>
      <c r="S138" s="264"/>
      <c r="T138" s="1056"/>
      <c r="U138" s="1056"/>
      <c r="V138" s="1056"/>
      <c r="W138" s="1056"/>
      <c r="X138" s="1056"/>
      <c r="Y138" s="1056"/>
      <c r="Z138" s="1056"/>
      <c r="AA138" s="1056"/>
      <c r="AB138" s="1056"/>
      <c r="AC138" s="1056"/>
      <c r="AD138" s="1056"/>
      <c r="AE138" s="1056"/>
      <c r="AF138" s="264"/>
    </row>
    <row r="139" spans="1:32" s="268" customFormat="1" ht="15" x14ac:dyDescent="0.25">
      <c r="A139" s="264"/>
      <c r="B139" s="264"/>
      <c r="C139" s="1056"/>
      <c r="D139" s="1056"/>
      <c r="E139" s="1056"/>
      <c r="F139" s="1056"/>
      <c r="G139" s="1056"/>
      <c r="H139" s="1056"/>
      <c r="I139" s="1056"/>
      <c r="J139" s="1056"/>
      <c r="K139" s="1056"/>
      <c r="L139" s="1056"/>
      <c r="M139" s="274"/>
      <c r="P139" s="264"/>
      <c r="Q139" s="264"/>
      <c r="R139" s="264"/>
      <c r="S139" s="264"/>
      <c r="T139" s="1056"/>
      <c r="U139" s="1056"/>
      <c r="V139" s="1056"/>
      <c r="W139" s="1056"/>
      <c r="X139" s="1056"/>
      <c r="Y139" s="1056"/>
      <c r="Z139" s="1056"/>
      <c r="AA139" s="1056"/>
      <c r="AB139" s="1056"/>
      <c r="AC139" s="1056"/>
      <c r="AD139" s="1056"/>
      <c r="AE139" s="1056"/>
      <c r="AF139" s="264"/>
    </row>
    <row r="140" spans="1:32" s="268" customFormat="1" ht="15" x14ac:dyDescent="0.25">
      <c r="A140" s="264"/>
      <c r="B140" s="264"/>
      <c r="C140" s="1056"/>
      <c r="D140" s="1056"/>
      <c r="E140" s="1056"/>
      <c r="F140" s="1056"/>
      <c r="G140" s="1056"/>
      <c r="H140" s="1056"/>
      <c r="I140" s="1056"/>
      <c r="J140" s="1056"/>
      <c r="K140" s="1056"/>
      <c r="L140" s="1056"/>
      <c r="M140" s="274"/>
      <c r="P140" s="264"/>
      <c r="Q140" s="264"/>
      <c r="R140" s="264"/>
      <c r="S140" s="264"/>
      <c r="T140" s="1056"/>
      <c r="U140" s="1056"/>
      <c r="V140" s="1056"/>
      <c r="W140" s="1056"/>
      <c r="X140" s="1056"/>
      <c r="Y140" s="1056"/>
      <c r="Z140" s="1056"/>
      <c r="AA140" s="1056"/>
      <c r="AB140" s="1056"/>
      <c r="AC140" s="1056"/>
      <c r="AD140" s="1056"/>
      <c r="AE140" s="1056"/>
      <c r="AF140" s="264"/>
    </row>
    <row r="141" spans="1:32" s="268" customFormat="1" ht="15" x14ac:dyDescent="0.25">
      <c r="A141" s="264"/>
      <c r="B141" s="264"/>
      <c r="C141" s="1056"/>
      <c r="D141" s="1056"/>
      <c r="E141" s="1056"/>
      <c r="F141" s="1056"/>
      <c r="G141" s="1056"/>
      <c r="H141" s="1056"/>
      <c r="I141" s="1056"/>
      <c r="J141" s="1056"/>
      <c r="K141" s="1056"/>
      <c r="L141" s="1056"/>
      <c r="M141" s="274"/>
      <c r="P141" s="264"/>
      <c r="Q141" s="264"/>
      <c r="R141" s="264"/>
      <c r="S141" s="264"/>
      <c r="T141" s="1056"/>
      <c r="U141" s="1056"/>
      <c r="V141" s="1056"/>
      <c r="W141" s="1056"/>
      <c r="X141" s="1056"/>
      <c r="Y141" s="1056"/>
      <c r="Z141" s="1056"/>
      <c r="AA141" s="1056"/>
      <c r="AB141" s="1056"/>
      <c r="AC141" s="1056"/>
      <c r="AD141" s="1056"/>
      <c r="AE141" s="1056"/>
      <c r="AF141" s="264"/>
    </row>
    <row r="142" spans="1:32" s="268" customFormat="1" ht="15" x14ac:dyDescent="0.25">
      <c r="A142" s="264"/>
      <c r="B142" s="264"/>
      <c r="C142" s="1056"/>
      <c r="D142" s="1056"/>
      <c r="E142" s="1056"/>
      <c r="F142" s="1056"/>
      <c r="G142" s="1056"/>
      <c r="H142" s="1056"/>
      <c r="I142" s="1056"/>
      <c r="J142" s="1056"/>
      <c r="K142" s="1056"/>
      <c r="L142" s="1056"/>
      <c r="M142" s="274"/>
      <c r="P142" s="264"/>
      <c r="Q142" s="264"/>
      <c r="R142" s="264"/>
      <c r="S142" s="264"/>
      <c r="T142" s="1056"/>
      <c r="U142" s="1056"/>
      <c r="V142" s="1056"/>
      <c r="W142" s="1056"/>
      <c r="X142" s="1056"/>
      <c r="Y142" s="1056"/>
      <c r="Z142" s="1056"/>
      <c r="AA142" s="1056"/>
      <c r="AB142" s="1056"/>
      <c r="AC142" s="1056"/>
      <c r="AD142" s="1056"/>
      <c r="AE142" s="1056"/>
      <c r="AF142" s="264"/>
    </row>
    <row r="143" spans="1:32" s="268" customFormat="1" ht="15" x14ac:dyDescent="0.25">
      <c r="A143" s="264"/>
      <c r="B143" s="264"/>
      <c r="C143" s="1056"/>
      <c r="D143" s="1056"/>
      <c r="E143" s="1056"/>
      <c r="F143" s="1056"/>
      <c r="G143" s="1056"/>
      <c r="H143" s="1056"/>
      <c r="I143" s="1056"/>
      <c r="J143" s="1056"/>
      <c r="K143" s="1056"/>
      <c r="L143" s="1056"/>
      <c r="M143" s="274"/>
      <c r="P143" s="264"/>
      <c r="Q143" s="264"/>
      <c r="R143" s="264"/>
      <c r="S143" s="264"/>
      <c r="T143" s="1056"/>
      <c r="U143" s="1056"/>
      <c r="V143" s="1056"/>
      <c r="W143" s="1056"/>
      <c r="X143" s="1056"/>
      <c r="Y143" s="1056"/>
      <c r="Z143" s="1056"/>
      <c r="AA143" s="1056"/>
      <c r="AB143" s="1056"/>
      <c r="AC143" s="1056"/>
      <c r="AD143" s="1056"/>
      <c r="AE143" s="1056"/>
      <c r="AF143" s="264"/>
    </row>
    <row r="144" spans="1:32" s="268" customFormat="1" ht="15" x14ac:dyDescent="0.25">
      <c r="A144" s="264"/>
      <c r="B144" s="264"/>
      <c r="C144" s="1056"/>
      <c r="D144" s="1056"/>
      <c r="E144" s="1056"/>
      <c r="F144" s="1056"/>
      <c r="G144" s="1056"/>
      <c r="H144" s="1056"/>
      <c r="I144" s="1056"/>
      <c r="J144" s="1056"/>
      <c r="K144" s="1056"/>
      <c r="L144" s="1056"/>
      <c r="M144" s="274"/>
      <c r="P144" s="264"/>
      <c r="Q144" s="264"/>
      <c r="R144" s="264"/>
      <c r="S144" s="264"/>
      <c r="T144" s="1056"/>
      <c r="U144" s="1056"/>
      <c r="V144" s="1056"/>
      <c r="W144" s="1056"/>
      <c r="X144" s="1056"/>
      <c r="Y144" s="1056"/>
      <c r="Z144" s="1056"/>
      <c r="AA144" s="1056"/>
      <c r="AB144" s="1056"/>
      <c r="AC144" s="1056"/>
      <c r="AD144" s="1056"/>
      <c r="AE144" s="1056"/>
      <c r="AF144" s="264"/>
    </row>
    <row r="145" spans="1:32" s="268" customFormat="1" ht="15" x14ac:dyDescent="0.25">
      <c r="A145" s="264"/>
      <c r="B145" s="264"/>
      <c r="C145" s="1056"/>
      <c r="D145" s="1056"/>
      <c r="E145" s="1056"/>
      <c r="F145" s="1056"/>
      <c r="G145" s="1056"/>
      <c r="H145" s="1056"/>
      <c r="I145" s="1056"/>
      <c r="J145" s="1056"/>
      <c r="K145" s="1056"/>
      <c r="L145" s="1056"/>
      <c r="M145" s="274"/>
      <c r="P145" s="264"/>
      <c r="Q145" s="264"/>
      <c r="R145" s="264"/>
      <c r="S145" s="264"/>
      <c r="T145" s="1056"/>
      <c r="U145" s="1056"/>
      <c r="V145" s="1056"/>
      <c r="W145" s="1056"/>
      <c r="X145" s="1056"/>
      <c r="Y145" s="1056"/>
      <c r="Z145" s="1056"/>
      <c r="AA145" s="1056"/>
      <c r="AB145" s="1056"/>
      <c r="AC145" s="1056"/>
      <c r="AD145" s="1056"/>
      <c r="AE145" s="1056"/>
      <c r="AF145" s="264"/>
    </row>
    <row r="146" spans="1:32" s="268" customFormat="1" ht="15" x14ac:dyDescent="0.25">
      <c r="A146" s="264"/>
      <c r="B146" s="264"/>
      <c r="C146" s="1056"/>
      <c r="D146" s="1056"/>
      <c r="E146" s="1056"/>
      <c r="F146" s="1056"/>
      <c r="G146" s="1056"/>
      <c r="H146" s="1056"/>
      <c r="I146" s="1056"/>
      <c r="J146" s="1056"/>
      <c r="K146" s="1056"/>
      <c r="L146" s="1056"/>
      <c r="M146" s="274"/>
      <c r="P146" s="264"/>
      <c r="Q146" s="264"/>
      <c r="R146" s="264"/>
      <c r="S146" s="264"/>
      <c r="T146" s="1056"/>
      <c r="U146" s="1056"/>
      <c r="V146" s="1056"/>
      <c r="W146" s="1056"/>
      <c r="X146" s="1056"/>
      <c r="Y146" s="1056"/>
      <c r="Z146" s="1056"/>
      <c r="AA146" s="1056"/>
      <c r="AB146" s="1056"/>
      <c r="AC146" s="1056"/>
      <c r="AD146" s="1056"/>
      <c r="AE146" s="1056"/>
      <c r="AF146" s="264"/>
    </row>
    <row r="147" spans="1:32" s="268" customFormat="1" ht="15" x14ac:dyDescent="0.25">
      <c r="A147" s="264"/>
      <c r="B147" s="264"/>
      <c r="C147" s="1056"/>
      <c r="D147" s="1056"/>
      <c r="E147" s="1056"/>
      <c r="F147" s="1056"/>
      <c r="G147" s="1056"/>
      <c r="H147" s="1056"/>
      <c r="I147" s="1056"/>
      <c r="J147" s="1056"/>
      <c r="K147" s="1056"/>
      <c r="L147" s="1056"/>
      <c r="M147" s="274"/>
      <c r="P147" s="264"/>
      <c r="Q147" s="264"/>
      <c r="R147" s="264"/>
      <c r="S147" s="264"/>
      <c r="T147" s="1056"/>
      <c r="U147" s="1056"/>
      <c r="V147" s="1056"/>
      <c r="W147" s="1056"/>
      <c r="X147" s="1056"/>
      <c r="Y147" s="1056"/>
      <c r="Z147" s="1056"/>
      <c r="AA147" s="1056"/>
      <c r="AB147" s="1056"/>
      <c r="AC147" s="1056"/>
      <c r="AD147" s="1056"/>
      <c r="AE147" s="1056"/>
      <c r="AF147" s="264"/>
    </row>
    <row r="148" spans="1:32" s="268" customFormat="1" ht="15" x14ac:dyDescent="0.25">
      <c r="A148" s="264"/>
      <c r="B148" s="264"/>
      <c r="C148" s="1056"/>
      <c r="D148" s="1056"/>
      <c r="E148" s="1056"/>
      <c r="F148" s="1056"/>
      <c r="G148" s="1056"/>
      <c r="H148" s="1056"/>
      <c r="I148" s="1056"/>
      <c r="J148" s="1056"/>
      <c r="K148" s="1056"/>
      <c r="L148" s="1056"/>
      <c r="M148" s="274"/>
      <c r="P148" s="264"/>
      <c r="Q148" s="264"/>
      <c r="R148" s="264"/>
      <c r="S148" s="264"/>
      <c r="T148" s="1056"/>
      <c r="U148" s="1056"/>
      <c r="V148" s="1056"/>
      <c r="W148" s="1056"/>
      <c r="X148" s="1056"/>
      <c r="Y148" s="1056"/>
      <c r="Z148" s="1056"/>
      <c r="AA148" s="1056"/>
      <c r="AB148" s="1056"/>
      <c r="AC148" s="1056"/>
      <c r="AD148" s="1056"/>
      <c r="AE148" s="1056"/>
      <c r="AF148" s="264"/>
    </row>
    <row r="149" spans="1:32" s="268" customFormat="1" ht="15" x14ac:dyDescent="0.25">
      <c r="A149" s="264"/>
      <c r="B149" s="264"/>
      <c r="C149" s="1056"/>
      <c r="D149" s="1056"/>
      <c r="E149" s="1056"/>
      <c r="F149" s="1056"/>
      <c r="G149" s="1056"/>
      <c r="H149" s="1056"/>
      <c r="I149" s="1056"/>
      <c r="J149" s="1056"/>
      <c r="K149" s="1056"/>
      <c r="L149" s="1056"/>
      <c r="M149" s="274"/>
      <c r="P149" s="264"/>
      <c r="Q149" s="264"/>
      <c r="R149" s="264"/>
      <c r="S149" s="264"/>
      <c r="T149" s="1056"/>
      <c r="U149" s="1056"/>
      <c r="V149" s="1056"/>
      <c r="W149" s="1056"/>
      <c r="X149" s="1056"/>
      <c r="Y149" s="1056"/>
      <c r="Z149" s="1056"/>
      <c r="AA149" s="1056"/>
      <c r="AB149" s="1056"/>
      <c r="AC149" s="1056"/>
      <c r="AD149" s="1056"/>
      <c r="AE149" s="1056"/>
      <c r="AF149" s="264"/>
    </row>
    <row r="150" spans="1:32" s="268" customFormat="1" ht="15" x14ac:dyDescent="0.25">
      <c r="A150" s="264"/>
      <c r="B150" s="264"/>
      <c r="C150" s="1056"/>
      <c r="D150" s="1056"/>
      <c r="E150" s="1056"/>
      <c r="F150" s="1056"/>
      <c r="G150" s="1056"/>
      <c r="H150" s="1056"/>
      <c r="I150" s="1056"/>
      <c r="J150" s="1056"/>
      <c r="K150" s="1056"/>
      <c r="L150" s="1056"/>
      <c r="M150" s="274"/>
      <c r="P150" s="264"/>
      <c r="Q150" s="264"/>
      <c r="R150" s="264"/>
      <c r="S150" s="264"/>
      <c r="T150" s="1056"/>
      <c r="U150" s="1056"/>
      <c r="V150" s="1056"/>
      <c r="W150" s="1056"/>
      <c r="X150" s="1056"/>
      <c r="Y150" s="1056"/>
      <c r="Z150" s="1056"/>
      <c r="AA150" s="1056"/>
      <c r="AB150" s="1056"/>
      <c r="AC150" s="1056"/>
      <c r="AD150" s="1056"/>
      <c r="AE150" s="1056"/>
      <c r="AF150" s="264"/>
    </row>
    <row r="151" spans="1:32" s="268" customFormat="1" ht="15" x14ac:dyDescent="0.25">
      <c r="A151" s="264"/>
      <c r="B151" s="264"/>
      <c r="C151" s="1056"/>
      <c r="D151" s="1056"/>
      <c r="E151" s="1056"/>
      <c r="F151" s="1056"/>
      <c r="G151" s="1056"/>
      <c r="H151" s="1056"/>
      <c r="I151" s="1056"/>
      <c r="J151" s="1056"/>
      <c r="K151" s="1056"/>
      <c r="L151" s="1056"/>
      <c r="M151" s="274"/>
      <c r="P151" s="264"/>
      <c r="Q151" s="264"/>
      <c r="R151" s="264"/>
      <c r="S151" s="264"/>
      <c r="T151" s="1056"/>
      <c r="U151" s="1056"/>
      <c r="V151" s="1056"/>
      <c r="W151" s="1056"/>
      <c r="X151" s="1056"/>
      <c r="Y151" s="1056"/>
      <c r="Z151" s="1056"/>
      <c r="AA151" s="1056"/>
      <c r="AB151" s="1056"/>
      <c r="AC151" s="1056"/>
      <c r="AD151" s="1056"/>
      <c r="AE151" s="1056"/>
      <c r="AF151" s="264"/>
    </row>
    <row r="152" spans="1:32" s="268" customFormat="1" ht="15" x14ac:dyDescent="0.25">
      <c r="A152" s="264"/>
      <c r="B152" s="264"/>
      <c r="C152" s="1056"/>
      <c r="D152" s="1056"/>
      <c r="E152" s="1056"/>
      <c r="F152" s="1056"/>
      <c r="G152" s="1056"/>
      <c r="H152" s="1056"/>
      <c r="I152" s="1056"/>
      <c r="J152" s="1056"/>
      <c r="K152" s="1056"/>
      <c r="L152" s="1056"/>
      <c r="M152" s="274"/>
      <c r="P152" s="264"/>
      <c r="Q152" s="264"/>
      <c r="R152" s="264"/>
      <c r="S152" s="264"/>
      <c r="T152" s="1056"/>
      <c r="U152" s="1056"/>
      <c r="V152" s="1056"/>
      <c r="W152" s="1056"/>
      <c r="X152" s="1056"/>
      <c r="Y152" s="1056"/>
      <c r="Z152" s="1056"/>
      <c r="AA152" s="1056"/>
      <c r="AB152" s="1056"/>
      <c r="AC152" s="1056"/>
      <c r="AD152" s="1056"/>
      <c r="AE152" s="1056"/>
      <c r="AF152" s="264"/>
    </row>
    <row r="153" spans="1:32" s="268" customFormat="1" ht="15" x14ac:dyDescent="0.25">
      <c r="A153" s="264"/>
      <c r="B153" s="264"/>
      <c r="C153" s="1056"/>
      <c r="D153" s="1056"/>
      <c r="E153" s="1056"/>
      <c r="F153" s="1056"/>
      <c r="G153" s="1056"/>
      <c r="H153" s="1056"/>
      <c r="I153" s="1056"/>
      <c r="J153" s="1056"/>
      <c r="K153" s="1056"/>
      <c r="L153" s="1056"/>
      <c r="M153" s="274"/>
      <c r="P153" s="264"/>
      <c r="Q153" s="264"/>
      <c r="R153" s="264"/>
      <c r="S153" s="264"/>
      <c r="T153" s="1056"/>
      <c r="U153" s="1056"/>
      <c r="V153" s="1056"/>
      <c r="W153" s="1056"/>
      <c r="X153" s="1056"/>
      <c r="Y153" s="1056"/>
      <c r="Z153" s="1056"/>
      <c r="AA153" s="1056"/>
      <c r="AB153" s="1056"/>
      <c r="AC153" s="1056"/>
      <c r="AD153" s="1056"/>
      <c r="AE153" s="1056"/>
      <c r="AF153" s="264"/>
    </row>
    <row r="154" spans="1:32" s="268" customFormat="1" ht="15" x14ac:dyDescent="0.25">
      <c r="A154" s="264"/>
      <c r="B154" s="264"/>
      <c r="C154" s="1056"/>
      <c r="D154" s="1056"/>
      <c r="E154" s="1056"/>
      <c r="F154" s="1056"/>
      <c r="G154" s="1056"/>
      <c r="H154" s="1056"/>
      <c r="I154" s="1056"/>
      <c r="J154" s="1056"/>
      <c r="K154" s="1056"/>
      <c r="L154" s="1056"/>
      <c r="M154" s="274"/>
      <c r="P154" s="264"/>
      <c r="Q154" s="264"/>
      <c r="R154" s="264"/>
      <c r="S154" s="264"/>
      <c r="T154" s="1056"/>
      <c r="U154" s="1056"/>
      <c r="V154" s="1056"/>
      <c r="W154" s="1056"/>
      <c r="X154" s="1056"/>
      <c r="Y154" s="1056"/>
      <c r="Z154" s="1056"/>
      <c r="AA154" s="1056"/>
      <c r="AB154" s="1056"/>
      <c r="AC154" s="1056"/>
      <c r="AD154" s="1056"/>
      <c r="AE154" s="1056"/>
      <c r="AF154" s="264"/>
    </row>
    <row r="155" spans="1:32" s="268" customFormat="1" ht="15" x14ac:dyDescent="0.25">
      <c r="A155" s="264"/>
      <c r="B155" s="264"/>
      <c r="C155" s="1056"/>
      <c r="D155" s="1056"/>
      <c r="E155" s="1056"/>
      <c r="F155" s="1056"/>
      <c r="G155" s="1056"/>
      <c r="H155" s="1056"/>
      <c r="I155" s="1056"/>
      <c r="J155" s="1056"/>
      <c r="K155" s="1056"/>
      <c r="L155" s="1056"/>
      <c r="M155" s="274"/>
      <c r="P155" s="264"/>
      <c r="Q155" s="264"/>
      <c r="R155" s="264"/>
      <c r="S155" s="264"/>
      <c r="T155" s="1056"/>
      <c r="U155" s="1056"/>
      <c r="V155" s="1056"/>
      <c r="W155" s="1056"/>
      <c r="X155" s="1056"/>
      <c r="Y155" s="1056"/>
      <c r="Z155" s="1056"/>
      <c r="AA155" s="1056"/>
      <c r="AB155" s="1056"/>
      <c r="AC155" s="1056"/>
      <c r="AD155" s="1056"/>
      <c r="AE155" s="1056"/>
      <c r="AF155" s="264"/>
    </row>
    <row r="156" spans="1:32" s="268" customFormat="1" ht="15" x14ac:dyDescent="0.25">
      <c r="A156" s="264"/>
      <c r="B156" s="264"/>
      <c r="C156" s="1056"/>
      <c r="D156" s="1056"/>
      <c r="E156" s="1056"/>
      <c r="F156" s="1056"/>
      <c r="G156" s="1056"/>
      <c r="H156" s="1056"/>
      <c r="I156" s="1056"/>
      <c r="J156" s="1056"/>
      <c r="K156" s="1056"/>
      <c r="L156" s="1056"/>
      <c r="M156" s="274"/>
      <c r="P156" s="264"/>
      <c r="Q156" s="264"/>
      <c r="R156" s="264"/>
      <c r="S156" s="264"/>
      <c r="T156" s="1056"/>
      <c r="U156" s="1056"/>
      <c r="V156" s="1056"/>
      <c r="W156" s="1056"/>
      <c r="X156" s="1056"/>
      <c r="Y156" s="1056"/>
      <c r="Z156" s="1056"/>
      <c r="AA156" s="1056"/>
      <c r="AB156" s="1056"/>
      <c r="AC156" s="1056"/>
      <c r="AD156" s="1056"/>
      <c r="AE156" s="1056"/>
      <c r="AF156" s="264"/>
    </row>
    <row r="157" spans="1:32" s="268" customFormat="1" ht="15" x14ac:dyDescent="0.25">
      <c r="A157" s="264"/>
      <c r="B157" s="264"/>
      <c r="C157" s="1056"/>
      <c r="D157" s="1056"/>
      <c r="E157" s="1056"/>
      <c r="F157" s="1056"/>
      <c r="G157" s="1056"/>
      <c r="H157" s="1056"/>
      <c r="I157" s="1056"/>
      <c r="J157" s="1056"/>
      <c r="K157" s="1056"/>
      <c r="L157" s="1056"/>
      <c r="M157" s="274"/>
      <c r="P157" s="264"/>
      <c r="Q157" s="264"/>
      <c r="R157" s="264"/>
      <c r="S157" s="264"/>
      <c r="T157" s="1056"/>
      <c r="U157" s="1056"/>
      <c r="V157" s="1056"/>
      <c r="W157" s="1056"/>
      <c r="X157" s="1056"/>
      <c r="Y157" s="1056"/>
      <c r="Z157" s="1056"/>
      <c r="AA157" s="1056"/>
      <c r="AB157" s="1056"/>
      <c r="AC157" s="1056"/>
      <c r="AD157" s="1056"/>
      <c r="AE157" s="1056"/>
      <c r="AF157" s="264"/>
    </row>
    <row r="158" spans="1:32" s="268" customFormat="1" ht="15" x14ac:dyDescent="0.25">
      <c r="A158" s="264"/>
      <c r="B158" s="264"/>
      <c r="C158" s="1056"/>
      <c r="D158" s="1056"/>
      <c r="E158" s="1056"/>
      <c r="F158" s="1056"/>
      <c r="G158" s="1056"/>
      <c r="H158" s="1056"/>
      <c r="I158" s="1056"/>
      <c r="J158" s="1056"/>
      <c r="K158" s="1056"/>
      <c r="L158" s="1056"/>
      <c r="M158" s="274"/>
      <c r="P158" s="264"/>
      <c r="Q158" s="264"/>
      <c r="R158" s="264"/>
      <c r="S158" s="264"/>
      <c r="T158" s="1056"/>
      <c r="U158" s="1056"/>
      <c r="V158" s="1056"/>
      <c r="W158" s="1056"/>
      <c r="X158" s="1056"/>
      <c r="Y158" s="1056"/>
      <c r="Z158" s="1056"/>
      <c r="AA158" s="1056"/>
      <c r="AB158" s="1056"/>
      <c r="AC158" s="1056"/>
      <c r="AD158" s="1056"/>
      <c r="AE158" s="1056"/>
      <c r="AF158" s="264"/>
    </row>
    <row r="159" spans="1:32" s="268" customFormat="1" ht="15" x14ac:dyDescent="0.25">
      <c r="A159" s="264"/>
      <c r="B159" s="264"/>
      <c r="C159" s="1056"/>
      <c r="D159" s="1056"/>
      <c r="E159" s="1056"/>
      <c r="F159" s="1056"/>
      <c r="G159" s="1056"/>
      <c r="H159" s="1056"/>
      <c r="I159" s="1056"/>
      <c r="J159" s="1056"/>
      <c r="K159" s="1056"/>
      <c r="L159" s="1056"/>
      <c r="M159" s="274"/>
      <c r="P159" s="264"/>
      <c r="Q159" s="264"/>
      <c r="R159" s="264"/>
      <c r="S159" s="264"/>
      <c r="T159" s="1056"/>
      <c r="U159" s="1056"/>
      <c r="V159" s="1056"/>
      <c r="W159" s="1056"/>
      <c r="X159" s="1056"/>
      <c r="Y159" s="1056"/>
      <c r="Z159" s="1056"/>
      <c r="AA159" s="1056"/>
      <c r="AB159" s="1056"/>
      <c r="AC159" s="1056"/>
      <c r="AD159" s="1056"/>
      <c r="AE159" s="1056"/>
      <c r="AF159" s="264"/>
    </row>
    <row r="160" spans="1:32" s="268" customFormat="1" ht="15" x14ac:dyDescent="0.25">
      <c r="A160" s="264"/>
      <c r="B160" s="264"/>
      <c r="C160" s="1056"/>
      <c r="D160" s="1056"/>
      <c r="E160" s="1056"/>
      <c r="F160" s="1056"/>
      <c r="G160" s="1056"/>
      <c r="H160" s="1056"/>
      <c r="I160" s="1056"/>
      <c r="J160" s="1056"/>
      <c r="K160" s="1056"/>
      <c r="L160" s="1056"/>
      <c r="M160" s="274"/>
      <c r="P160" s="264"/>
      <c r="Q160" s="264"/>
      <c r="R160" s="264"/>
      <c r="S160" s="264"/>
      <c r="T160" s="1056"/>
      <c r="U160" s="1056"/>
      <c r="V160" s="1056"/>
      <c r="W160" s="1056"/>
      <c r="X160" s="1056"/>
      <c r="Y160" s="1056"/>
      <c r="Z160" s="1056"/>
      <c r="AA160" s="1056"/>
      <c r="AB160" s="1056"/>
      <c r="AC160" s="1056"/>
      <c r="AD160" s="1056"/>
      <c r="AE160" s="1056"/>
      <c r="AF160" s="264"/>
    </row>
    <row r="161" spans="1:32" s="268" customFormat="1" ht="15" x14ac:dyDescent="0.25">
      <c r="A161" s="264"/>
      <c r="B161" s="264"/>
      <c r="C161" s="1056"/>
      <c r="D161" s="1056"/>
      <c r="E161" s="1056"/>
      <c r="F161" s="1056"/>
      <c r="G161" s="1056"/>
      <c r="H161" s="1056"/>
      <c r="I161" s="1056"/>
      <c r="J161" s="1056"/>
      <c r="K161" s="1056"/>
      <c r="L161" s="1056"/>
      <c r="M161" s="274"/>
      <c r="P161" s="264"/>
      <c r="Q161" s="264"/>
      <c r="R161" s="264"/>
      <c r="S161" s="264"/>
      <c r="T161" s="1056"/>
      <c r="U161" s="1056"/>
      <c r="V161" s="1056"/>
      <c r="W161" s="1056"/>
      <c r="X161" s="1056"/>
      <c r="Y161" s="1056"/>
      <c r="Z161" s="1056"/>
      <c r="AA161" s="1056"/>
      <c r="AB161" s="1056"/>
      <c r="AC161" s="1056"/>
      <c r="AD161" s="1056"/>
      <c r="AE161" s="1056"/>
      <c r="AF161" s="264"/>
    </row>
    <row r="162" spans="1:32" s="268" customFormat="1" ht="15" x14ac:dyDescent="0.25">
      <c r="A162" s="264"/>
      <c r="B162" s="264"/>
      <c r="C162" s="1056"/>
      <c r="D162" s="1056"/>
      <c r="E162" s="1056"/>
      <c r="F162" s="1056"/>
      <c r="G162" s="1056"/>
      <c r="H162" s="1056"/>
      <c r="I162" s="1056"/>
      <c r="J162" s="1056"/>
      <c r="K162" s="1056"/>
      <c r="L162" s="1056"/>
      <c r="M162" s="274"/>
      <c r="P162" s="264"/>
      <c r="Q162" s="264"/>
      <c r="R162" s="264"/>
      <c r="S162" s="264"/>
      <c r="T162" s="1056"/>
      <c r="U162" s="1056"/>
      <c r="V162" s="1056"/>
      <c r="W162" s="1056"/>
      <c r="X162" s="1056"/>
      <c r="Y162" s="1056"/>
      <c r="Z162" s="1056"/>
      <c r="AA162" s="1056"/>
      <c r="AB162" s="1056"/>
      <c r="AC162" s="1056"/>
      <c r="AD162" s="1056"/>
      <c r="AE162" s="1056"/>
      <c r="AF162" s="264"/>
    </row>
    <row r="163" spans="1:32" s="268" customFormat="1" ht="15" x14ac:dyDescent="0.25">
      <c r="A163" s="264"/>
      <c r="B163" s="264"/>
      <c r="C163" s="1056"/>
      <c r="D163" s="1056"/>
      <c r="E163" s="1056"/>
      <c r="F163" s="1056"/>
      <c r="G163" s="1056"/>
      <c r="H163" s="1056"/>
      <c r="I163" s="1056"/>
      <c r="J163" s="1056"/>
      <c r="K163" s="1056"/>
      <c r="L163" s="1056"/>
      <c r="M163" s="274"/>
      <c r="P163" s="264"/>
      <c r="Q163" s="264"/>
      <c r="R163" s="264"/>
      <c r="S163" s="264"/>
      <c r="T163" s="1056"/>
      <c r="U163" s="1056"/>
      <c r="V163" s="1056"/>
      <c r="W163" s="1056"/>
      <c r="X163" s="1056"/>
      <c r="Y163" s="1056"/>
      <c r="Z163" s="1056"/>
      <c r="AA163" s="1056"/>
      <c r="AB163" s="1056"/>
      <c r="AC163" s="1056"/>
      <c r="AD163" s="1056"/>
      <c r="AE163" s="1056"/>
      <c r="AF163" s="264"/>
    </row>
    <row r="164" spans="1:32" s="268" customFormat="1" ht="15" x14ac:dyDescent="0.25">
      <c r="A164" s="264"/>
      <c r="B164" s="264"/>
      <c r="C164" s="1056"/>
      <c r="D164" s="1056"/>
      <c r="E164" s="1056"/>
      <c r="F164" s="1056"/>
      <c r="G164" s="1056"/>
      <c r="H164" s="1056"/>
      <c r="I164" s="1056"/>
      <c r="J164" s="1056"/>
      <c r="K164" s="1056"/>
      <c r="L164" s="1056"/>
      <c r="M164" s="274"/>
      <c r="P164" s="264"/>
      <c r="Q164" s="264"/>
      <c r="R164" s="264"/>
      <c r="S164" s="264"/>
      <c r="T164" s="1056"/>
      <c r="U164" s="1056"/>
      <c r="V164" s="1056"/>
      <c r="W164" s="1056"/>
      <c r="X164" s="1056"/>
      <c r="Y164" s="1056"/>
      <c r="Z164" s="1056"/>
      <c r="AA164" s="1056"/>
      <c r="AB164" s="1056"/>
      <c r="AC164" s="1056"/>
      <c r="AD164" s="1056"/>
      <c r="AE164" s="1056"/>
      <c r="AF164" s="264"/>
    </row>
    <row r="165" spans="1:32" s="268" customFormat="1" ht="15" x14ac:dyDescent="0.25">
      <c r="A165" s="264"/>
      <c r="B165" s="264"/>
      <c r="C165" s="1056"/>
      <c r="D165" s="1056"/>
      <c r="E165" s="1056"/>
      <c r="F165" s="1056"/>
      <c r="G165" s="1056"/>
      <c r="H165" s="1056"/>
      <c r="I165" s="1056"/>
      <c r="J165" s="1056"/>
      <c r="K165" s="1056"/>
      <c r="L165" s="1056"/>
      <c r="M165" s="274"/>
      <c r="P165" s="264"/>
      <c r="Q165" s="264"/>
      <c r="R165" s="264"/>
      <c r="S165" s="264"/>
      <c r="T165" s="1056"/>
      <c r="U165" s="1056"/>
      <c r="V165" s="1056"/>
      <c r="W165" s="1056"/>
      <c r="X165" s="1056"/>
      <c r="Y165" s="1056"/>
      <c r="Z165" s="1056"/>
      <c r="AA165" s="1056"/>
      <c r="AB165" s="1056"/>
      <c r="AC165" s="1056"/>
      <c r="AD165" s="1056"/>
      <c r="AE165" s="1056"/>
      <c r="AF165" s="264"/>
    </row>
    <row r="166" spans="1:32" s="268" customFormat="1" ht="15" x14ac:dyDescent="0.25">
      <c r="A166" s="264"/>
      <c r="B166" s="264"/>
      <c r="C166" s="1056"/>
      <c r="D166" s="1056"/>
      <c r="E166" s="1056"/>
      <c r="F166" s="1056"/>
      <c r="G166" s="1056"/>
      <c r="H166" s="1056"/>
      <c r="I166" s="1056"/>
      <c r="J166" s="1056"/>
      <c r="K166" s="1056"/>
      <c r="L166" s="1056"/>
      <c r="M166" s="274"/>
      <c r="P166" s="264"/>
      <c r="Q166" s="264"/>
      <c r="R166" s="264"/>
      <c r="S166" s="264"/>
      <c r="T166" s="1056"/>
      <c r="U166" s="1056"/>
      <c r="V166" s="1056"/>
      <c r="W166" s="1056"/>
      <c r="X166" s="1056"/>
      <c r="Y166" s="1056"/>
      <c r="Z166" s="1056"/>
      <c r="AA166" s="1056"/>
      <c r="AB166" s="1056"/>
      <c r="AC166" s="1056"/>
      <c r="AD166" s="1056"/>
      <c r="AE166" s="1056"/>
      <c r="AF166" s="264"/>
    </row>
    <row r="167" spans="1:32" s="268" customFormat="1" ht="15" x14ac:dyDescent="0.25">
      <c r="A167" s="264"/>
      <c r="B167" s="264"/>
      <c r="C167" s="1056"/>
      <c r="D167" s="1056"/>
      <c r="E167" s="1056"/>
      <c r="F167" s="1056"/>
      <c r="G167" s="1056"/>
      <c r="H167" s="1056"/>
      <c r="I167" s="1056"/>
      <c r="J167" s="1056"/>
      <c r="K167" s="1056"/>
      <c r="L167" s="1056"/>
      <c r="M167" s="274"/>
      <c r="P167" s="264"/>
      <c r="Q167" s="264"/>
      <c r="R167" s="264"/>
      <c r="S167" s="264"/>
      <c r="T167" s="1056"/>
      <c r="U167" s="1056"/>
      <c r="V167" s="1056"/>
      <c r="W167" s="1056"/>
      <c r="X167" s="1056"/>
      <c r="Y167" s="1056"/>
      <c r="Z167" s="1056"/>
      <c r="AA167" s="1056"/>
      <c r="AB167" s="1056"/>
      <c r="AC167" s="1056"/>
      <c r="AD167" s="1056"/>
      <c r="AE167" s="1056"/>
      <c r="AF167" s="264"/>
    </row>
    <row r="168" spans="1:32" s="268" customFormat="1" ht="15" x14ac:dyDescent="0.25">
      <c r="A168" s="264"/>
      <c r="B168" s="264"/>
      <c r="C168" s="1056"/>
      <c r="D168" s="1056"/>
      <c r="E168" s="1056"/>
      <c r="F168" s="1056"/>
      <c r="G168" s="1056"/>
      <c r="H168" s="1056"/>
      <c r="I168" s="1056"/>
      <c r="J168" s="1056"/>
      <c r="K168" s="1056"/>
      <c r="L168" s="1056"/>
      <c r="M168" s="274"/>
      <c r="P168" s="264"/>
      <c r="Q168" s="264"/>
      <c r="R168" s="264"/>
      <c r="S168" s="264"/>
      <c r="T168" s="1056"/>
      <c r="U168" s="1056"/>
      <c r="V168" s="1056"/>
      <c r="W168" s="1056"/>
      <c r="X168" s="1056"/>
      <c r="Y168" s="1056"/>
      <c r="Z168" s="1056"/>
      <c r="AA168" s="1056"/>
      <c r="AB168" s="1056"/>
      <c r="AC168" s="1056"/>
      <c r="AD168" s="1056"/>
      <c r="AE168" s="1056"/>
      <c r="AF168" s="264"/>
    </row>
    <row r="169" spans="1:32" s="268" customFormat="1" ht="15" x14ac:dyDescent="0.25">
      <c r="A169" s="264"/>
      <c r="B169" s="264"/>
      <c r="C169" s="1056"/>
      <c r="D169" s="1056"/>
      <c r="E169" s="1056"/>
      <c r="F169" s="1056"/>
      <c r="G169" s="1056"/>
      <c r="H169" s="1056"/>
      <c r="I169" s="1056"/>
      <c r="J169" s="1056"/>
      <c r="K169" s="1056"/>
      <c r="L169" s="1056"/>
      <c r="M169" s="274"/>
      <c r="P169" s="264"/>
      <c r="Q169" s="264"/>
      <c r="R169" s="264"/>
      <c r="S169" s="264"/>
      <c r="T169" s="1056"/>
      <c r="U169" s="1056"/>
      <c r="V169" s="1056"/>
      <c r="W169" s="1056"/>
      <c r="X169" s="1056"/>
      <c r="Y169" s="1056"/>
      <c r="Z169" s="1056"/>
      <c r="AA169" s="1056"/>
      <c r="AB169" s="1056"/>
      <c r="AC169" s="1056"/>
      <c r="AD169" s="1056"/>
      <c r="AE169" s="1056"/>
      <c r="AF169" s="264"/>
    </row>
    <row r="170" spans="1:32" s="268" customFormat="1" ht="15" x14ac:dyDescent="0.25">
      <c r="A170" s="264"/>
      <c r="B170" s="264"/>
      <c r="C170" s="1056"/>
      <c r="D170" s="1056"/>
      <c r="E170" s="1056"/>
      <c r="F170" s="1056"/>
      <c r="G170" s="1056"/>
      <c r="H170" s="1056"/>
      <c r="I170" s="1056"/>
      <c r="J170" s="1056"/>
      <c r="K170" s="1056"/>
      <c r="L170" s="1056"/>
      <c r="M170" s="274"/>
      <c r="P170" s="264"/>
      <c r="Q170" s="264"/>
      <c r="R170" s="264"/>
      <c r="S170" s="264"/>
      <c r="T170" s="1056"/>
      <c r="U170" s="1056"/>
      <c r="V170" s="1056"/>
      <c r="W170" s="1056"/>
      <c r="X170" s="1056"/>
      <c r="Y170" s="1056"/>
      <c r="Z170" s="1056"/>
      <c r="AA170" s="1056"/>
      <c r="AB170" s="1056"/>
      <c r="AC170" s="1056"/>
      <c r="AD170" s="1056"/>
      <c r="AE170" s="1056"/>
      <c r="AF170" s="264"/>
    </row>
    <row r="171" spans="1:32" s="268" customFormat="1" ht="15" x14ac:dyDescent="0.25">
      <c r="A171" s="264"/>
      <c r="B171" s="264"/>
      <c r="C171" s="1056"/>
      <c r="D171" s="1056"/>
      <c r="E171" s="1056"/>
      <c r="F171" s="1056"/>
      <c r="G171" s="1056"/>
      <c r="H171" s="1056"/>
      <c r="I171" s="1056"/>
      <c r="J171" s="1056"/>
      <c r="K171" s="1056"/>
      <c r="L171" s="1056"/>
      <c r="M171" s="274"/>
      <c r="P171" s="264"/>
      <c r="Q171" s="264"/>
      <c r="R171" s="264"/>
      <c r="S171" s="264"/>
      <c r="T171" s="1056"/>
      <c r="U171" s="1056"/>
      <c r="V171" s="1056"/>
      <c r="W171" s="1056"/>
      <c r="X171" s="1056"/>
      <c r="Y171" s="1056"/>
      <c r="Z171" s="1056"/>
      <c r="AA171" s="1056"/>
      <c r="AB171" s="1056"/>
      <c r="AC171" s="1056"/>
      <c r="AD171" s="1056"/>
      <c r="AE171" s="1056"/>
      <c r="AF171" s="264"/>
    </row>
    <row r="172" spans="1:32" s="268" customFormat="1" ht="15" x14ac:dyDescent="0.25">
      <c r="A172" s="264"/>
      <c r="B172" s="264"/>
      <c r="C172" s="1056"/>
      <c r="D172" s="1056"/>
      <c r="E172" s="1056"/>
      <c r="F172" s="1056"/>
      <c r="G172" s="1056"/>
      <c r="H172" s="1056"/>
      <c r="I172" s="1056"/>
      <c r="J172" s="1056"/>
      <c r="K172" s="1056"/>
      <c r="L172" s="1056"/>
      <c r="M172" s="274"/>
      <c r="P172" s="264"/>
      <c r="Q172" s="264"/>
      <c r="R172" s="264"/>
      <c r="S172" s="264"/>
      <c r="T172" s="1056"/>
      <c r="U172" s="1056"/>
      <c r="V172" s="1056"/>
      <c r="W172" s="1056"/>
      <c r="X172" s="1056"/>
      <c r="Y172" s="1056"/>
      <c r="Z172" s="1056"/>
      <c r="AA172" s="1056"/>
      <c r="AB172" s="1056"/>
      <c r="AC172" s="1056"/>
      <c r="AD172" s="1056"/>
      <c r="AE172" s="1056"/>
      <c r="AF172" s="264"/>
    </row>
    <row r="173" spans="1:32" s="268" customFormat="1" ht="15" x14ac:dyDescent="0.25">
      <c r="A173" s="264"/>
      <c r="B173" s="264"/>
      <c r="C173" s="1056"/>
      <c r="D173" s="1056"/>
      <c r="E173" s="1056"/>
      <c r="F173" s="1056"/>
      <c r="G173" s="1056"/>
      <c r="H173" s="1056"/>
      <c r="I173" s="1056"/>
      <c r="J173" s="1056"/>
      <c r="K173" s="1056"/>
      <c r="L173" s="1056"/>
      <c r="M173" s="274"/>
      <c r="P173" s="264"/>
      <c r="Q173" s="264"/>
      <c r="R173" s="264"/>
      <c r="S173" s="264"/>
      <c r="T173" s="1056"/>
      <c r="U173" s="1056"/>
      <c r="V173" s="1056"/>
      <c r="W173" s="1056"/>
      <c r="X173" s="1056"/>
      <c r="Y173" s="1056"/>
      <c r="Z173" s="1056"/>
      <c r="AA173" s="1056"/>
      <c r="AB173" s="1056"/>
      <c r="AC173" s="1056"/>
      <c r="AD173" s="1056"/>
      <c r="AE173" s="1056"/>
      <c r="AF173" s="264"/>
    </row>
    <row r="174" spans="1:32" s="268" customFormat="1" ht="15" x14ac:dyDescent="0.25">
      <c r="A174" s="264"/>
      <c r="B174" s="264"/>
      <c r="C174" s="1056"/>
      <c r="D174" s="1056"/>
      <c r="E174" s="1056"/>
      <c r="F174" s="1056"/>
      <c r="G174" s="1056"/>
      <c r="H174" s="1056"/>
      <c r="I174" s="1056"/>
      <c r="J174" s="1056"/>
      <c r="K174" s="1056"/>
      <c r="L174" s="1056"/>
      <c r="M174" s="274"/>
      <c r="P174" s="264"/>
      <c r="Q174" s="264"/>
      <c r="R174" s="264"/>
      <c r="S174" s="264"/>
      <c r="T174" s="1056"/>
      <c r="U174" s="1056"/>
      <c r="V174" s="1056"/>
      <c r="W174" s="1056"/>
      <c r="X174" s="1056"/>
      <c r="Y174" s="1056"/>
      <c r="Z174" s="1056"/>
      <c r="AA174" s="1056"/>
      <c r="AB174" s="1056"/>
      <c r="AC174" s="1056"/>
      <c r="AD174" s="1056"/>
      <c r="AE174" s="1056"/>
      <c r="AF174" s="264"/>
    </row>
    <row r="175" spans="1:32" s="268" customFormat="1" ht="15" x14ac:dyDescent="0.25">
      <c r="A175" s="264"/>
      <c r="B175" s="264"/>
      <c r="C175" s="1056"/>
      <c r="D175" s="1056"/>
      <c r="E175" s="1056"/>
      <c r="F175" s="1056"/>
      <c r="G175" s="1056"/>
      <c r="H175" s="1056"/>
      <c r="I175" s="1056"/>
      <c r="J175" s="1056"/>
      <c r="K175" s="1056"/>
      <c r="L175" s="1056"/>
      <c r="M175" s="274"/>
      <c r="P175" s="264"/>
      <c r="Q175" s="264"/>
      <c r="R175" s="264"/>
      <c r="S175" s="264"/>
      <c r="T175" s="1056"/>
      <c r="U175" s="1056"/>
      <c r="V175" s="1056"/>
      <c r="W175" s="1056"/>
      <c r="X175" s="1056"/>
      <c r="Y175" s="1056"/>
      <c r="Z175" s="1056"/>
      <c r="AA175" s="1056"/>
      <c r="AB175" s="1056"/>
      <c r="AC175" s="1056"/>
      <c r="AD175" s="1056"/>
      <c r="AE175" s="1056"/>
      <c r="AF175" s="264"/>
    </row>
    <row r="176" spans="1:32" s="268" customFormat="1" ht="15" x14ac:dyDescent="0.25">
      <c r="A176" s="264"/>
      <c r="B176" s="264"/>
      <c r="C176" s="1056"/>
      <c r="D176" s="1056"/>
      <c r="E176" s="1056"/>
      <c r="F176" s="1056"/>
      <c r="G176" s="1056"/>
      <c r="H176" s="1056"/>
      <c r="I176" s="1056"/>
      <c r="J176" s="1056"/>
      <c r="K176" s="1056"/>
      <c r="L176" s="1056"/>
      <c r="M176" s="274"/>
      <c r="P176" s="264"/>
      <c r="Q176" s="264"/>
      <c r="R176" s="264"/>
      <c r="S176" s="264"/>
      <c r="T176" s="1056"/>
      <c r="U176" s="1056"/>
      <c r="V176" s="1056"/>
      <c r="W176" s="1056"/>
      <c r="X176" s="1056"/>
      <c r="Y176" s="1056"/>
      <c r="Z176" s="1056"/>
      <c r="AA176" s="1056"/>
      <c r="AB176" s="1056"/>
      <c r="AC176" s="1056"/>
      <c r="AD176" s="1056"/>
      <c r="AE176" s="1056"/>
      <c r="AF176" s="264"/>
    </row>
    <row r="177" spans="1:32" s="268" customFormat="1" ht="15" x14ac:dyDescent="0.25">
      <c r="A177" s="264"/>
      <c r="B177" s="264"/>
      <c r="C177" s="1056"/>
      <c r="D177" s="1056"/>
      <c r="E177" s="1056"/>
      <c r="F177" s="1056"/>
      <c r="G177" s="1056"/>
      <c r="H177" s="1056"/>
      <c r="I177" s="1056"/>
      <c r="J177" s="1056"/>
      <c r="K177" s="1056"/>
      <c r="L177" s="1056"/>
      <c r="M177" s="274"/>
      <c r="P177" s="264"/>
      <c r="Q177" s="264"/>
      <c r="R177" s="264"/>
      <c r="S177" s="264"/>
      <c r="T177" s="1056"/>
      <c r="U177" s="1056"/>
      <c r="V177" s="1056"/>
      <c r="W177" s="1056"/>
      <c r="X177" s="1056"/>
      <c r="Y177" s="1056"/>
      <c r="Z177" s="1056"/>
      <c r="AA177" s="1056"/>
      <c r="AB177" s="1056"/>
      <c r="AC177" s="1056"/>
      <c r="AD177" s="1056"/>
      <c r="AE177" s="1056"/>
      <c r="AF177" s="264"/>
    </row>
    <row r="178" spans="1:32" s="268" customFormat="1" ht="15" x14ac:dyDescent="0.25">
      <c r="A178" s="264"/>
      <c r="B178" s="264"/>
      <c r="C178" s="1056"/>
      <c r="D178" s="1056"/>
      <c r="E178" s="1056"/>
      <c r="F178" s="1056"/>
      <c r="G178" s="1056"/>
      <c r="H178" s="1056"/>
      <c r="I178" s="1056"/>
      <c r="J178" s="1056"/>
      <c r="K178" s="1056"/>
      <c r="L178" s="1056"/>
      <c r="M178" s="274"/>
      <c r="P178" s="264"/>
      <c r="Q178" s="264"/>
      <c r="R178" s="264"/>
      <c r="S178" s="264"/>
      <c r="T178" s="1056"/>
      <c r="U178" s="1056"/>
      <c r="V178" s="1056"/>
      <c r="W178" s="1056"/>
      <c r="X178" s="1056"/>
      <c r="Y178" s="1056"/>
      <c r="Z178" s="1056"/>
      <c r="AA178" s="1056"/>
      <c r="AB178" s="1056"/>
      <c r="AC178" s="1056"/>
      <c r="AD178" s="1056"/>
      <c r="AE178" s="1056"/>
      <c r="AF178" s="264"/>
    </row>
    <row r="179" spans="1:32" s="268" customFormat="1" ht="15" x14ac:dyDescent="0.25">
      <c r="A179" s="264"/>
      <c r="B179" s="264"/>
      <c r="C179" s="1056"/>
      <c r="D179" s="1056"/>
      <c r="E179" s="1056"/>
      <c r="F179" s="1056"/>
      <c r="G179" s="1056"/>
      <c r="H179" s="1056"/>
      <c r="I179" s="1056"/>
      <c r="J179" s="1056"/>
      <c r="K179" s="1056"/>
      <c r="L179" s="1056"/>
      <c r="M179" s="274"/>
      <c r="P179" s="264"/>
      <c r="Q179" s="264"/>
      <c r="R179" s="264"/>
      <c r="S179" s="264"/>
      <c r="T179" s="1056"/>
      <c r="U179" s="1056"/>
      <c r="V179" s="1056"/>
      <c r="W179" s="1056"/>
      <c r="X179" s="1056"/>
      <c r="Y179" s="1056"/>
      <c r="Z179" s="1056"/>
      <c r="AA179" s="1056"/>
      <c r="AB179" s="1056"/>
      <c r="AC179" s="1056"/>
      <c r="AD179" s="1056"/>
      <c r="AE179" s="1056"/>
      <c r="AF179" s="264"/>
    </row>
    <row r="180" spans="1:32" s="268" customFormat="1" ht="15" x14ac:dyDescent="0.25">
      <c r="A180" s="264"/>
      <c r="B180" s="264"/>
      <c r="C180" s="1056"/>
      <c r="D180" s="1056"/>
      <c r="E180" s="1056"/>
      <c r="F180" s="1056"/>
      <c r="G180" s="1056"/>
      <c r="H180" s="1056"/>
      <c r="I180" s="1056"/>
      <c r="J180" s="1056"/>
      <c r="K180" s="1056"/>
      <c r="L180" s="1056"/>
      <c r="M180" s="274"/>
      <c r="P180" s="264"/>
      <c r="Q180" s="264"/>
      <c r="R180" s="264"/>
      <c r="S180" s="264"/>
      <c r="T180" s="1056"/>
      <c r="U180" s="1056"/>
      <c r="V180" s="1056"/>
      <c r="W180" s="1056"/>
      <c r="X180" s="1056"/>
      <c r="Y180" s="1056"/>
      <c r="Z180" s="1056"/>
      <c r="AA180" s="1056"/>
      <c r="AB180" s="1056"/>
      <c r="AC180" s="1056"/>
      <c r="AD180" s="1056"/>
      <c r="AE180" s="1056"/>
      <c r="AF180" s="264"/>
    </row>
    <row r="181" spans="1:32" s="268" customFormat="1" ht="15" x14ac:dyDescent="0.25">
      <c r="A181" s="264"/>
      <c r="B181" s="264"/>
      <c r="C181" s="1056"/>
      <c r="D181" s="1056"/>
      <c r="E181" s="1056"/>
      <c r="F181" s="1056"/>
      <c r="G181" s="1056"/>
      <c r="H181" s="1056"/>
      <c r="I181" s="1056"/>
      <c r="J181" s="1056"/>
      <c r="K181" s="1056"/>
      <c r="L181" s="1056"/>
      <c r="M181" s="274"/>
      <c r="P181" s="264"/>
      <c r="Q181" s="264"/>
      <c r="R181" s="264"/>
      <c r="S181" s="264"/>
      <c r="T181" s="1056"/>
      <c r="U181" s="1056"/>
      <c r="V181" s="1056"/>
      <c r="W181" s="1056"/>
      <c r="X181" s="1056"/>
      <c r="Y181" s="1056"/>
      <c r="Z181" s="1056"/>
      <c r="AA181" s="1056"/>
      <c r="AB181" s="1056"/>
      <c r="AC181" s="1056"/>
      <c r="AD181" s="1056"/>
      <c r="AE181" s="1056"/>
      <c r="AF181" s="264"/>
    </row>
    <row r="182" spans="1:32" s="268" customFormat="1" ht="15" x14ac:dyDescent="0.25">
      <c r="A182" s="264"/>
      <c r="B182" s="264"/>
      <c r="C182" s="1056"/>
      <c r="D182" s="1056"/>
      <c r="E182" s="1056"/>
      <c r="F182" s="1056"/>
      <c r="G182" s="1056"/>
      <c r="H182" s="1056"/>
      <c r="I182" s="1056"/>
      <c r="J182" s="1056"/>
      <c r="K182" s="1056"/>
      <c r="L182" s="1056"/>
      <c r="M182" s="274"/>
      <c r="P182" s="264"/>
      <c r="Q182" s="264"/>
      <c r="R182" s="264"/>
      <c r="S182" s="264"/>
      <c r="T182" s="1056"/>
      <c r="U182" s="1056"/>
      <c r="V182" s="1056"/>
      <c r="W182" s="1056"/>
      <c r="X182" s="1056"/>
      <c r="Y182" s="1056"/>
      <c r="Z182" s="1056"/>
      <c r="AA182" s="1056"/>
      <c r="AB182" s="1056"/>
      <c r="AC182" s="1056"/>
      <c r="AD182" s="1056"/>
      <c r="AE182" s="1056"/>
      <c r="AF182" s="264"/>
    </row>
    <row r="183" spans="1:32" s="268" customFormat="1" ht="15" x14ac:dyDescent="0.25">
      <c r="A183" s="264"/>
      <c r="B183" s="264"/>
      <c r="C183" s="1056"/>
      <c r="D183" s="1056"/>
      <c r="E183" s="1056"/>
      <c r="F183" s="1056"/>
      <c r="G183" s="1056"/>
      <c r="H183" s="1056"/>
      <c r="I183" s="1056"/>
      <c r="J183" s="1056"/>
      <c r="K183" s="1056"/>
      <c r="L183" s="1056"/>
      <c r="M183" s="274"/>
      <c r="P183" s="264"/>
      <c r="Q183" s="264"/>
      <c r="R183" s="264"/>
      <c r="S183" s="264"/>
      <c r="T183" s="1056"/>
      <c r="U183" s="1056"/>
      <c r="V183" s="1056"/>
      <c r="W183" s="1056"/>
      <c r="X183" s="1056"/>
      <c r="Y183" s="1056"/>
      <c r="Z183" s="1056"/>
      <c r="AA183" s="1056"/>
      <c r="AB183" s="1056"/>
      <c r="AC183" s="1056"/>
      <c r="AD183" s="1056"/>
      <c r="AE183" s="1056"/>
      <c r="AF183" s="264"/>
    </row>
    <row r="184" spans="1:32" s="268" customFormat="1" ht="15" x14ac:dyDescent="0.25">
      <c r="A184" s="264"/>
      <c r="B184" s="264"/>
      <c r="C184" s="1056"/>
      <c r="D184" s="1056"/>
      <c r="E184" s="1056"/>
      <c r="F184" s="1056"/>
      <c r="G184" s="1056"/>
      <c r="H184" s="1056"/>
      <c r="I184" s="1056"/>
      <c r="J184" s="1056"/>
      <c r="K184" s="1056"/>
      <c r="L184" s="1056"/>
      <c r="M184" s="274"/>
      <c r="P184" s="264"/>
      <c r="Q184" s="264"/>
      <c r="R184" s="264"/>
      <c r="S184" s="264"/>
      <c r="T184" s="1056"/>
      <c r="U184" s="1056"/>
      <c r="V184" s="1056"/>
      <c r="W184" s="1056"/>
      <c r="X184" s="1056"/>
      <c r="Y184" s="1056"/>
      <c r="Z184" s="1056"/>
      <c r="AA184" s="1056"/>
      <c r="AB184" s="1056"/>
      <c r="AC184" s="1056"/>
      <c r="AD184" s="1056"/>
      <c r="AE184" s="1056"/>
      <c r="AF184" s="264"/>
    </row>
    <row r="185" spans="1:32" s="268" customFormat="1" ht="15" x14ac:dyDescent="0.25">
      <c r="A185" s="264"/>
      <c r="B185" s="264"/>
      <c r="C185" s="1056"/>
      <c r="D185" s="1056"/>
      <c r="E185" s="1056"/>
      <c r="F185" s="1056"/>
      <c r="G185" s="1056"/>
      <c r="H185" s="1056"/>
      <c r="I185" s="1056"/>
      <c r="J185" s="1056"/>
      <c r="K185" s="1056"/>
      <c r="L185" s="1056"/>
      <c r="M185" s="274"/>
      <c r="P185" s="264"/>
      <c r="Q185" s="264"/>
      <c r="R185" s="264"/>
      <c r="S185" s="264"/>
      <c r="T185" s="1056"/>
      <c r="U185" s="1056"/>
      <c r="V185" s="1056"/>
      <c r="W185" s="1056"/>
      <c r="X185" s="1056"/>
      <c r="Y185" s="1056"/>
      <c r="Z185" s="1056"/>
      <c r="AA185" s="1056"/>
      <c r="AB185" s="1056"/>
      <c r="AC185" s="1056"/>
      <c r="AD185" s="1056"/>
      <c r="AE185" s="1056"/>
      <c r="AF185" s="264"/>
    </row>
    <row r="186" spans="1:32" s="268" customFormat="1" ht="15" x14ac:dyDescent="0.25">
      <c r="A186" s="264"/>
      <c r="B186" s="264"/>
      <c r="C186" s="1056"/>
      <c r="D186" s="1056"/>
      <c r="E186" s="1056"/>
      <c r="F186" s="1056"/>
      <c r="G186" s="1056"/>
      <c r="H186" s="1056"/>
      <c r="I186" s="1056"/>
      <c r="J186" s="1056"/>
      <c r="K186" s="1056"/>
      <c r="L186" s="1056"/>
      <c r="M186" s="274"/>
      <c r="P186" s="264"/>
      <c r="Q186" s="264"/>
      <c r="R186" s="264"/>
      <c r="S186" s="264"/>
      <c r="T186" s="1056"/>
      <c r="U186" s="1056"/>
      <c r="V186" s="1056"/>
      <c r="W186" s="1056"/>
      <c r="X186" s="1056"/>
      <c r="Y186" s="1056"/>
      <c r="Z186" s="1056"/>
      <c r="AA186" s="1056"/>
      <c r="AB186" s="1056"/>
      <c r="AC186" s="1056"/>
      <c r="AD186" s="1056"/>
      <c r="AE186" s="1056"/>
      <c r="AF186" s="264"/>
    </row>
    <row r="187" spans="1:32" s="268" customFormat="1" ht="15" x14ac:dyDescent="0.25">
      <c r="A187" s="264"/>
      <c r="B187" s="264"/>
      <c r="C187" s="1056"/>
      <c r="D187" s="1056"/>
      <c r="E187" s="1056"/>
      <c r="F187" s="1056"/>
      <c r="G187" s="1056"/>
      <c r="H187" s="1056"/>
      <c r="I187" s="1056"/>
      <c r="J187" s="1056"/>
      <c r="K187" s="1056"/>
      <c r="L187" s="1056"/>
      <c r="M187" s="274"/>
      <c r="P187" s="264"/>
      <c r="Q187" s="264"/>
      <c r="R187" s="264"/>
      <c r="S187" s="264"/>
      <c r="T187" s="1056"/>
      <c r="U187" s="1056"/>
      <c r="V187" s="1056"/>
      <c r="W187" s="1056"/>
      <c r="X187" s="1056"/>
      <c r="Y187" s="1056"/>
      <c r="Z187" s="1056"/>
      <c r="AA187" s="1056"/>
      <c r="AB187" s="1056"/>
      <c r="AC187" s="1056"/>
      <c r="AD187" s="1056"/>
      <c r="AE187" s="1056"/>
      <c r="AF187" s="264"/>
    </row>
    <row r="188" spans="1:32" s="268" customFormat="1" ht="15" x14ac:dyDescent="0.25">
      <c r="A188" s="264"/>
      <c r="B188" s="264"/>
      <c r="C188" s="1056"/>
      <c r="D188" s="1056"/>
      <c r="E188" s="1056"/>
      <c r="F188" s="1056"/>
      <c r="G188" s="1056"/>
      <c r="H188" s="1056"/>
      <c r="I188" s="1056"/>
      <c r="J188" s="1056"/>
      <c r="K188" s="1056"/>
      <c r="L188" s="1056"/>
      <c r="M188" s="274"/>
      <c r="P188" s="264"/>
      <c r="Q188" s="264"/>
      <c r="R188" s="264"/>
      <c r="S188" s="264"/>
      <c r="T188" s="1056"/>
      <c r="U188" s="1056"/>
      <c r="V188" s="1056"/>
      <c r="W188" s="1056"/>
      <c r="X188" s="1056"/>
      <c r="Y188" s="1056"/>
      <c r="Z188" s="1056"/>
      <c r="AA188" s="1056"/>
      <c r="AB188" s="1056"/>
      <c r="AC188" s="1056"/>
      <c r="AD188" s="1056"/>
      <c r="AE188" s="1056"/>
      <c r="AF188" s="264"/>
    </row>
    <row r="189" spans="1:32" s="268" customFormat="1" ht="15" x14ac:dyDescent="0.25">
      <c r="A189" s="264"/>
      <c r="B189" s="264"/>
      <c r="C189" s="1056"/>
      <c r="D189" s="1056"/>
      <c r="E189" s="1056"/>
      <c r="F189" s="1056"/>
      <c r="G189" s="1056"/>
      <c r="H189" s="1056"/>
      <c r="I189" s="1056"/>
      <c r="J189" s="1056"/>
      <c r="K189" s="1056"/>
      <c r="L189" s="1056"/>
      <c r="M189" s="274"/>
      <c r="P189" s="264"/>
      <c r="Q189" s="264"/>
      <c r="R189" s="264"/>
      <c r="S189" s="264"/>
      <c r="T189" s="1056"/>
      <c r="U189" s="1056"/>
      <c r="V189" s="1056"/>
      <c r="W189" s="1056"/>
      <c r="X189" s="1056"/>
      <c r="Y189" s="1056"/>
      <c r="Z189" s="1056"/>
      <c r="AA189" s="1056"/>
      <c r="AB189" s="1056"/>
      <c r="AC189" s="1056"/>
      <c r="AD189" s="1056"/>
      <c r="AE189" s="1056"/>
      <c r="AF189" s="264"/>
    </row>
    <row r="190" spans="1:32" s="268" customFormat="1" ht="15" x14ac:dyDescent="0.25">
      <c r="A190" s="264"/>
      <c r="B190" s="264"/>
      <c r="C190" s="1056"/>
      <c r="D190" s="1056"/>
      <c r="E190" s="1056"/>
      <c r="F190" s="1056"/>
      <c r="G190" s="1056"/>
      <c r="H190" s="1056"/>
      <c r="I190" s="1056"/>
      <c r="J190" s="1056"/>
      <c r="K190" s="1056"/>
      <c r="L190" s="1056"/>
      <c r="M190" s="274"/>
      <c r="P190" s="264"/>
      <c r="Q190" s="264"/>
      <c r="R190" s="264"/>
      <c r="S190" s="264"/>
      <c r="T190" s="1056"/>
      <c r="U190" s="1056"/>
      <c r="V190" s="1056"/>
      <c r="W190" s="1056"/>
      <c r="X190" s="1056"/>
      <c r="Y190" s="1056"/>
      <c r="Z190" s="1056"/>
      <c r="AA190" s="1056"/>
      <c r="AB190" s="1056"/>
      <c r="AC190" s="1056"/>
      <c r="AD190" s="1056"/>
      <c r="AE190" s="1056"/>
      <c r="AF190" s="264"/>
    </row>
    <row r="191" spans="1:32" s="268" customFormat="1" ht="15" x14ac:dyDescent="0.25">
      <c r="A191" s="264"/>
      <c r="B191" s="264"/>
      <c r="C191" s="1056"/>
      <c r="D191" s="1056"/>
      <c r="E191" s="1056"/>
      <c r="F191" s="1056"/>
      <c r="G191" s="1056"/>
      <c r="H191" s="1056"/>
      <c r="I191" s="1056"/>
      <c r="J191" s="1056"/>
      <c r="K191" s="1056"/>
      <c r="L191" s="1056"/>
      <c r="M191" s="274"/>
      <c r="P191" s="264"/>
      <c r="Q191" s="264"/>
      <c r="R191" s="264"/>
      <c r="S191" s="264"/>
      <c r="T191" s="1056"/>
      <c r="U191" s="1056"/>
      <c r="V191" s="1056"/>
      <c r="W191" s="1056"/>
      <c r="X191" s="1056"/>
      <c r="Y191" s="1056"/>
      <c r="Z191" s="1056"/>
      <c r="AA191" s="1056"/>
      <c r="AB191" s="1056"/>
      <c r="AC191" s="1056"/>
      <c r="AD191" s="1056"/>
      <c r="AE191" s="1056"/>
      <c r="AF191" s="264"/>
    </row>
    <row r="192" spans="1:32" s="268" customFormat="1" ht="15" x14ac:dyDescent="0.25">
      <c r="A192" s="264"/>
      <c r="B192" s="264"/>
      <c r="C192" s="1056"/>
      <c r="D192" s="1056"/>
      <c r="E192" s="1056"/>
      <c r="F192" s="1056"/>
      <c r="G192" s="1056"/>
      <c r="H192" s="1056"/>
      <c r="I192" s="1056"/>
      <c r="J192" s="1056"/>
      <c r="K192" s="1056"/>
      <c r="L192" s="1056"/>
      <c r="M192" s="274"/>
      <c r="P192" s="264"/>
      <c r="Q192" s="264"/>
      <c r="R192" s="264"/>
      <c r="S192" s="264"/>
      <c r="T192" s="1056"/>
      <c r="U192" s="1056"/>
      <c r="V192" s="1056"/>
      <c r="W192" s="1056"/>
      <c r="X192" s="1056"/>
      <c r="Y192" s="1056"/>
      <c r="Z192" s="1056"/>
      <c r="AA192" s="1056"/>
      <c r="AB192" s="1056"/>
      <c r="AC192" s="1056"/>
      <c r="AD192" s="1056"/>
      <c r="AE192" s="1056"/>
      <c r="AF192" s="264"/>
    </row>
    <row r="193" spans="1:32" s="268" customFormat="1" ht="15" x14ac:dyDescent="0.25">
      <c r="A193" s="264"/>
      <c r="B193" s="264"/>
      <c r="C193" s="1056"/>
      <c r="D193" s="1056"/>
      <c r="E193" s="1056"/>
      <c r="F193" s="1056"/>
      <c r="G193" s="1056"/>
      <c r="H193" s="1056"/>
      <c r="I193" s="1056"/>
      <c r="J193" s="1056"/>
      <c r="K193" s="1056"/>
      <c r="L193" s="1056"/>
      <c r="M193" s="274"/>
      <c r="P193" s="264"/>
      <c r="Q193" s="264"/>
      <c r="R193" s="264"/>
      <c r="S193" s="264"/>
      <c r="T193" s="1056"/>
      <c r="U193" s="1056"/>
      <c r="V193" s="1056"/>
      <c r="W193" s="1056"/>
      <c r="X193" s="1056"/>
      <c r="Y193" s="1056"/>
      <c r="Z193" s="1056"/>
      <c r="AA193" s="1056"/>
      <c r="AB193" s="1056"/>
      <c r="AC193" s="1056"/>
      <c r="AD193" s="1056"/>
      <c r="AE193" s="1056"/>
      <c r="AF193" s="264"/>
    </row>
    <row r="194" spans="1:32" s="268" customFormat="1" ht="15" x14ac:dyDescent="0.25">
      <c r="A194" s="264"/>
      <c r="B194" s="264"/>
      <c r="C194" s="1056"/>
      <c r="D194" s="1056"/>
      <c r="E194" s="1056"/>
      <c r="F194" s="1056"/>
      <c r="G194" s="1056"/>
      <c r="H194" s="1056"/>
      <c r="I194" s="1056"/>
      <c r="J194" s="1056"/>
      <c r="K194" s="1056"/>
      <c r="L194" s="1056"/>
      <c r="M194" s="274"/>
      <c r="P194" s="264"/>
      <c r="Q194" s="264"/>
      <c r="R194" s="264"/>
      <c r="S194" s="264"/>
      <c r="T194" s="1056"/>
      <c r="U194" s="1056"/>
      <c r="V194" s="1056"/>
      <c r="W194" s="1056"/>
      <c r="X194" s="1056"/>
      <c r="Y194" s="1056"/>
      <c r="Z194" s="1056"/>
      <c r="AA194" s="1056"/>
      <c r="AB194" s="1056"/>
      <c r="AC194" s="1056"/>
      <c r="AD194" s="1056"/>
      <c r="AE194" s="1056"/>
      <c r="AF194" s="264"/>
    </row>
    <row r="195" spans="1:32" s="268" customFormat="1" ht="15" x14ac:dyDescent="0.25">
      <c r="A195" s="264"/>
      <c r="B195" s="264"/>
      <c r="C195" s="1056"/>
      <c r="D195" s="1056"/>
      <c r="E195" s="1056"/>
      <c r="F195" s="1056"/>
      <c r="G195" s="1056"/>
      <c r="H195" s="1056"/>
      <c r="I195" s="1056"/>
      <c r="J195" s="1056"/>
      <c r="K195" s="1056"/>
      <c r="L195" s="1056"/>
      <c r="M195" s="274"/>
      <c r="P195" s="264"/>
      <c r="Q195" s="264"/>
      <c r="R195" s="264"/>
      <c r="S195" s="264"/>
      <c r="T195" s="1056"/>
      <c r="U195" s="1056"/>
      <c r="V195" s="1056"/>
      <c r="W195" s="1056"/>
      <c r="X195" s="1056"/>
      <c r="Y195" s="1056"/>
      <c r="Z195" s="1056"/>
      <c r="AA195" s="1056"/>
      <c r="AB195" s="1056"/>
      <c r="AC195" s="1056"/>
      <c r="AD195" s="1056"/>
      <c r="AE195" s="1056"/>
      <c r="AF195" s="264"/>
    </row>
    <row r="196" spans="1:32" s="268" customFormat="1" ht="15" x14ac:dyDescent="0.25">
      <c r="A196" s="264"/>
      <c r="B196" s="264"/>
      <c r="C196" s="1056"/>
      <c r="D196" s="1056"/>
      <c r="E196" s="1056"/>
      <c r="F196" s="1056"/>
      <c r="G196" s="1056"/>
      <c r="H196" s="1056"/>
      <c r="I196" s="1056"/>
      <c r="J196" s="1056"/>
      <c r="K196" s="1056"/>
      <c r="L196" s="1056"/>
      <c r="M196" s="274"/>
      <c r="P196" s="264"/>
      <c r="Q196" s="264"/>
      <c r="R196" s="264"/>
      <c r="S196" s="264"/>
      <c r="T196" s="1056"/>
      <c r="U196" s="1056"/>
      <c r="V196" s="1056"/>
      <c r="W196" s="1056"/>
      <c r="X196" s="1056"/>
      <c r="Y196" s="1056"/>
      <c r="Z196" s="1056"/>
      <c r="AA196" s="1056"/>
      <c r="AB196" s="1056"/>
      <c r="AC196" s="1056"/>
      <c r="AD196" s="1056"/>
      <c r="AE196" s="1056"/>
      <c r="AF196" s="264"/>
    </row>
    <row r="197" spans="1:32" s="268" customFormat="1" ht="15" x14ac:dyDescent="0.25">
      <c r="A197" s="264"/>
      <c r="B197" s="264"/>
      <c r="C197" s="1056"/>
      <c r="D197" s="1056"/>
      <c r="E197" s="1056"/>
      <c r="F197" s="1056"/>
      <c r="G197" s="1056"/>
      <c r="H197" s="1056"/>
      <c r="I197" s="1056"/>
      <c r="J197" s="1056"/>
      <c r="K197" s="1056"/>
      <c r="L197" s="1056"/>
      <c r="M197" s="274"/>
      <c r="P197" s="264"/>
      <c r="Q197" s="264"/>
      <c r="R197" s="264"/>
      <c r="S197" s="264"/>
      <c r="T197" s="1056"/>
      <c r="U197" s="1056"/>
      <c r="V197" s="1056"/>
      <c r="W197" s="1056"/>
      <c r="X197" s="1056"/>
      <c r="Y197" s="1056"/>
      <c r="Z197" s="1056"/>
      <c r="AA197" s="1056"/>
      <c r="AB197" s="1056"/>
      <c r="AC197" s="1056"/>
      <c r="AD197" s="1056"/>
      <c r="AE197" s="1056"/>
      <c r="AF197" s="264"/>
    </row>
    <row r="198" spans="1:32" s="268" customFormat="1" ht="15" x14ac:dyDescent="0.25">
      <c r="A198" s="264"/>
      <c r="B198" s="264"/>
      <c r="C198" s="1056"/>
      <c r="D198" s="1056"/>
      <c r="E198" s="1056"/>
      <c r="F198" s="1056"/>
      <c r="G198" s="1056"/>
      <c r="H198" s="1056"/>
      <c r="I198" s="1056"/>
      <c r="J198" s="1056"/>
      <c r="K198" s="1056"/>
      <c r="L198" s="1056"/>
      <c r="M198" s="274"/>
      <c r="P198" s="264"/>
      <c r="Q198" s="264"/>
      <c r="R198" s="264"/>
      <c r="S198" s="264"/>
      <c r="T198" s="1056"/>
      <c r="U198" s="1056"/>
      <c r="V198" s="1056"/>
      <c r="W198" s="1056"/>
      <c r="X198" s="1056"/>
      <c r="Y198" s="1056"/>
      <c r="Z198" s="1056"/>
      <c r="AA198" s="1056"/>
      <c r="AB198" s="1056"/>
      <c r="AC198" s="1056"/>
      <c r="AD198" s="1056"/>
      <c r="AE198" s="1056"/>
      <c r="AF198" s="264"/>
    </row>
    <row r="199" spans="1:32" s="268" customFormat="1" ht="15" x14ac:dyDescent="0.25">
      <c r="A199" s="264"/>
      <c r="B199" s="264"/>
      <c r="C199" s="1056"/>
      <c r="D199" s="1056"/>
      <c r="E199" s="1056"/>
      <c r="F199" s="1056"/>
      <c r="G199" s="1056"/>
      <c r="H199" s="1056"/>
      <c r="I199" s="1056"/>
      <c r="J199" s="1056"/>
      <c r="K199" s="1056"/>
      <c r="L199" s="1056"/>
      <c r="M199" s="274"/>
      <c r="P199" s="264"/>
      <c r="Q199" s="264"/>
      <c r="R199" s="264"/>
      <c r="S199" s="264"/>
      <c r="T199" s="1056"/>
      <c r="U199" s="1056"/>
      <c r="V199" s="1056"/>
      <c r="W199" s="1056"/>
      <c r="X199" s="1056"/>
      <c r="Y199" s="1056"/>
      <c r="Z199" s="1056"/>
      <c r="AA199" s="1056"/>
      <c r="AB199" s="1056"/>
      <c r="AC199" s="1056"/>
      <c r="AD199" s="1056"/>
      <c r="AE199" s="1056"/>
      <c r="AF199" s="264"/>
    </row>
    <row r="200" spans="1:32" s="268" customFormat="1" ht="15" x14ac:dyDescent="0.25">
      <c r="A200" s="264"/>
      <c r="B200" s="264"/>
      <c r="C200" s="1056"/>
      <c r="D200" s="1056"/>
      <c r="E200" s="1056"/>
      <c r="F200" s="1056"/>
      <c r="G200" s="1056"/>
      <c r="H200" s="1056"/>
      <c r="I200" s="1056"/>
      <c r="J200" s="1056"/>
      <c r="K200" s="1056"/>
      <c r="L200" s="1056"/>
      <c r="M200" s="274"/>
      <c r="P200" s="264"/>
      <c r="Q200" s="264"/>
      <c r="R200" s="264"/>
      <c r="S200" s="264"/>
      <c r="T200" s="1056"/>
      <c r="U200" s="1056"/>
      <c r="V200" s="1056"/>
      <c r="W200" s="1056"/>
      <c r="X200" s="1056"/>
      <c r="Y200" s="1056"/>
      <c r="Z200" s="1056"/>
      <c r="AA200" s="1056"/>
      <c r="AB200" s="1056"/>
      <c r="AC200" s="1056"/>
      <c r="AD200" s="1056"/>
      <c r="AE200" s="1056"/>
      <c r="AF200" s="264"/>
    </row>
    <row r="201" spans="1:32" s="268" customFormat="1" ht="15" x14ac:dyDescent="0.25">
      <c r="A201" s="264"/>
      <c r="B201" s="264"/>
      <c r="C201" s="1056"/>
      <c r="D201" s="1056"/>
      <c r="E201" s="1056"/>
      <c r="F201" s="1056"/>
      <c r="G201" s="1056"/>
      <c r="H201" s="1056"/>
      <c r="I201" s="1056"/>
      <c r="J201" s="1056"/>
      <c r="K201" s="1056"/>
      <c r="L201" s="1056"/>
      <c r="M201" s="274"/>
      <c r="P201" s="264"/>
      <c r="Q201" s="264"/>
      <c r="R201" s="264"/>
      <c r="S201" s="264"/>
      <c r="T201" s="1056"/>
      <c r="U201" s="1056"/>
      <c r="V201" s="1056"/>
      <c r="W201" s="1056"/>
      <c r="X201" s="1056"/>
      <c r="Y201" s="1056"/>
      <c r="Z201" s="1056"/>
      <c r="AA201" s="1056"/>
      <c r="AB201" s="1056"/>
      <c r="AC201" s="1056"/>
      <c r="AD201" s="1056"/>
      <c r="AE201" s="1056"/>
      <c r="AF201" s="264"/>
    </row>
    <row r="202" spans="1:32" s="268" customFormat="1" ht="15" x14ac:dyDescent="0.25">
      <c r="A202" s="264"/>
      <c r="B202" s="264"/>
      <c r="C202" s="1056"/>
      <c r="D202" s="1056"/>
      <c r="E202" s="1056"/>
      <c r="F202" s="1056"/>
      <c r="G202" s="1056"/>
      <c r="H202" s="1056"/>
      <c r="I202" s="1056"/>
      <c r="J202" s="1056"/>
      <c r="K202" s="1056"/>
      <c r="L202" s="1056"/>
      <c r="M202" s="274"/>
      <c r="P202" s="264"/>
      <c r="Q202" s="264"/>
      <c r="R202" s="264"/>
      <c r="S202" s="264"/>
      <c r="T202" s="1056"/>
      <c r="U202" s="1056"/>
      <c r="V202" s="1056"/>
      <c r="W202" s="1056"/>
      <c r="X202" s="1056"/>
      <c r="Y202" s="1056"/>
      <c r="Z202" s="1056"/>
      <c r="AA202" s="1056"/>
      <c r="AB202" s="1056"/>
      <c r="AC202" s="1056"/>
      <c r="AD202" s="1056"/>
      <c r="AE202" s="1056"/>
      <c r="AF202" s="264"/>
    </row>
    <row r="203" spans="1:32" s="268" customFormat="1" ht="15" x14ac:dyDescent="0.25">
      <c r="A203" s="264"/>
      <c r="B203" s="264"/>
      <c r="C203" s="1056"/>
      <c r="D203" s="1056"/>
      <c r="E203" s="1056"/>
      <c r="F203" s="1056"/>
      <c r="G203" s="1056"/>
      <c r="H203" s="1056"/>
      <c r="I203" s="1056"/>
      <c r="J203" s="1056"/>
      <c r="K203" s="1056"/>
      <c r="L203" s="1056"/>
      <c r="M203" s="274"/>
      <c r="P203" s="264"/>
      <c r="Q203" s="264"/>
      <c r="R203" s="264"/>
      <c r="S203" s="264"/>
      <c r="T203" s="1056"/>
      <c r="U203" s="1056"/>
      <c r="V203" s="1056"/>
      <c r="W203" s="1056"/>
      <c r="X203" s="1056"/>
      <c r="Y203" s="1056"/>
      <c r="Z203" s="1056"/>
      <c r="AA203" s="1056"/>
      <c r="AB203" s="1056"/>
      <c r="AC203" s="1056"/>
      <c r="AD203" s="1056"/>
      <c r="AE203" s="1056"/>
      <c r="AF203" s="264"/>
    </row>
    <row r="204" spans="1:32" s="268" customFormat="1" ht="15" x14ac:dyDescent="0.25">
      <c r="A204" s="264"/>
      <c r="B204" s="264"/>
      <c r="C204" s="1056"/>
      <c r="D204" s="1056"/>
      <c r="E204" s="1056"/>
      <c r="F204" s="1056"/>
      <c r="G204" s="1056"/>
      <c r="H204" s="1056"/>
      <c r="I204" s="1056"/>
      <c r="J204" s="1056"/>
      <c r="K204" s="1056"/>
      <c r="L204" s="1056"/>
      <c r="M204" s="274"/>
      <c r="P204" s="264"/>
      <c r="Q204" s="264"/>
      <c r="R204" s="264"/>
      <c r="S204" s="264"/>
      <c r="T204" s="1056"/>
      <c r="U204" s="1056"/>
      <c r="V204" s="1056"/>
      <c r="W204" s="1056"/>
      <c r="X204" s="1056"/>
      <c r="Y204" s="1056"/>
      <c r="Z204" s="1056"/>
      <c r="AA204" s="1056"/>
      <c r="AB204" s="1056"/>
      <c r="AC204" s="1056"/>
      <c r="AD204" s="1056"/>
      <c r="AE204" s="1056"/>
      <c r="AF204" s="264"/>
    </row>
    <row r="205" spans="1:32" s="268" customFormat="1" ht="15" x14ac:dyDescent="0.25">
      <c r="A205" s="264"/>
      <c r="B205" s="264"/>
      <c r="C205" s="1056"/>
      <c r="D205" s="1056"/>
      <c r="E205" s="1056"/>
      <c r="F205" s="1056"/>
      <c r="G205" s="1056"/>
      <c r="H205" s="1056"/>
      <c r="I205" s="1056"/>
      <c r="J205" s="1056"/>
      <c r="K205" s="1056"/>
      <c r="L205" s="1056"/>
      <c r="M205" s="274"/>
      <c r="P205" s="264"/>
      <c r="Q205" s="264"/>
      <c r="R205" s="264"/>
      <c r="S205" s="264"/>
      <c r="T205" s="1056"/>
      <c r="U205" s="1056"/>
      <c r="V205" s="1056"/>
      <c r="W205" s="1056"/>
      <c r="X205" s="1056"/>
      <c r="Y205" s="1056"/>
      <c r="Z205" s="1056"/>
      <c r="AA205" s="1056"/>
      <c r="AB205" s="1056"/>
      <c r="AC205" s="1056"/>
      <c r="AD205" s="1056"/>
      <c r="AE205" s="1056"/>
      <c r="AF205" s="264"/>
    </row>
    <row r="206" spans="1:32" s="268" customFormat="1" ht="15" x14ac:dyDescent="0.25">
      <c r="A206" s="264"/>
      <c r="B206" s="264"/>
      <c r="C206" s="1056"/>
      <c r="D206" s="1056"/>
      <c r="E206" s="1056"/>
      <c r="F206" s="1056"/>
      <c r="G206" s="1056"/>
      <c r="H206" s="1056"/>
      <c r="I206" s="1056"/>
      <c r="J206" s="1056"/>
      <c r="K206" s="1056"/>
      <c r="L206" s="1056"/>
      <c r="M206" s="274"/>
      <c r="P206" s="264"/>
      <c r="Q206" s="264"/>
      <c r="R206" s="264"/>
      <c r="S206" s="264"/>
      <c r="T206" s="1056"/>
      <c r="U206" s="1056"/>
      <c r="V206" s="1056"/>
      <c r="W206" s="1056"/>
      <c r="X206" s="1056"/>
      <c r="Y206" s="1056"/>
      <c r="Z206" s="1056"/>
      <c r="AA206" s="1056"/>
      <c r="AB206" s="1056"/>
      <c r="AC206" s="1056"/>
      <c r="AD206" s="1056"/>
      <c r="AE206" s="1056"/>
      <c r="AF206" s="264"/>
    </row>
    <row r="207" spans="1:32" s="268" customFormat="1" ht="15" x14ac:dyDescent="0.25">
      <c r="A207" s="264"/>
      <c r="B207" s="264"/>
      <c r="C207" s="1056"/>
      <c r="D207" s="1056"/>
      <c r="E207" s="1056"/>
      <c r="F207" s="1056"/>
      <c r="G207" s="1056"/>
      <c r="H207" s="1056"/>
      <c r="I207" s="1056"/>
      <c r="J207" s="1056"/>
      <c r="K207" s="1056"/>
      <c r="L207" s="1056"/>
      <c r="M207" s="274"/>
      <c r="P207" s="264"/>
      <c r="Q207" s="264"/>
      <c r="R207" s="264"/>
      <c r="S207" s="264"/>
      <c r="T207" s="1056"/>
      <c r="U207" s="1056"/>
      <c r="V207" s="1056"/>
      <c r="W207" s="1056"/>
      <c r="X207" s="1056"/>
      <c r="Y207" s="1056"/>
      <c r="Z207" s="1056"/>
      <c r="AA207" s="1056"/>
      <c r="AB207" s="1056"/>
      <c r="AC207" s="1056"/>
      <c r="AD207" s="1056"/>
      <c r="AE207" s="1056"/>
      <c r="AF207" s="264"/>
    </row>
    <row r="208" spans="1:32" s="268" customFormat="1" ht="15" x14ac:dyDescent="0.25">
      <c r="A208" s="264"/>
      <c r="B208" s="264"/>
      <c r="C208" s="1056"/>
      <c r="D208" s="1056"/>
      <c r="E208" s="1056"/>
      <c r="F208" s="1056"/>
      <c r="G208" s="1056"/>
      <c r="H208" s="1056"/>
      <c r="I208" s="1056"/>
      <c r="J208" s="1056"/>
      <c r="K208" s="1056"/>
      <c r="L208" s="1056"/>
      <c r="M208" s="274"/>
      <c r="P208" s="264"/>
      <c r="Q208" s="264"/>
      <c r="R208" s="264"/>
      <c r="S208" s="264"/>
      <c r="T208" s="1056"/>
      <c r="U208" s="1056"/>
      <c r="V208" s="1056"/>
      <c r="W208" s="1056"/>
      <c r="X208" s="1056"/>
      <c r="Y208" s="1056"/>
      <c r="Z208" s="1056"/>
      <c r="AA208" s="1056"/>
      <c r="AB208" s="1056"/>
      <c r="AC208" s="1056"/>
      <c r="AD208" s="1056"/>
      <c r="AE208" s="1056"/>
      <c r="AF208" s="264"/>
    </row>
    <row r="209" spans="1:32" s="268" customFormat="1" ht="15" x14ac:dyDescent="0.25">
      <c r="A209" s="264"/>
      <c r="B209" s="264"/>
      <c r="C209" s="1056"/>
      <c r="D209" s="1056"/>
      <c r="E209" s="1056"/>
      <c r="F209" s="1056"/>
      <c r="G209" s="1056"/>
      <c r="H209" s="1056"/>
      <c r="I209" s="1056"/>
      <c r="J209" s="1056"/>
      <c r="K209" s="1056"/>
      <c r="L209" s="1056"/>
      <c r="M209" s="274"/>
      <c r="P209" s="264"/>
      <c r="Q209" s="264"/>
      <c r="R209" s="264"/>
      <c r="S209" s="264"/>
      <c r="T209" s="1056"/>
      <c r="U209" s="1056"/>
      <c r="V209" s="1056"/>
      <c r="W209" s="1056"/>
      <c r="X209" s="1056"/>
      <c r="Y209" s="1056"/>
      <c r="Z209" s="1056"/>
      <c r="AA209" s="1056"/>
      <c r="AB209" s="1056"/>
      <c r="AC209" s="1056"/>
      <c r="AD209" s="1056"/>
      <c r="AE209" s="1056"/>
      <c r="AF209" s="264"/>
    </row>
    <row r="210" spans="1:32" s="268" customFormat="1" ht="15" x14ac:dyDescent="0.25">
      <c r="A210" s="264"/>
      <c r="B210" s="264"/>
      <c r="C210" s="1056"/>
      <c r="D210" s="1056"/>
      <c r="E210" s="1056"/>
      <c r="F210" s="1056"/>
      <c r="G210" s="1056"/>
      <c r="H210" s="1056"/>
      <c r="I210" s="1056"/>
      <c r="J210" s="1056"/>
      <c r="K210" s="1056"/>
      <c r="L210" s="1056"/>
      <c r="M210" s="274"/>
      <c r="P210" s="264"/>
      <c r="Q210" s="264"/>
      <c r="R210" s="264"/>
      <c r="S210" s="264"/>
      <c r="T210" s="1056"/>
      <c r="U210" s="1056"/>
      <c r="V210" s="1056"/>
      <c r="W210" s="1056"/>
      <c r="X210" s="1056"/>
      <c r="Y210" s="1056"/>
      <c r="Z210" s="1056"/>
      <c r="AA210" s="1056"/>
      <c r="AB210" s="1056"/>
      <c r="AC210" s="1056"/>
      <c r="AD210" s="1056"/>
      <c r="AE210" s="1056"/>
      <c r="AF210" s="264"/>
    </row>
    <row r="211" spans="1:32" s="268" customFormat="1" ht="15" x14ac:dyDescent="0.25">
      <c r="A211" s="264"/>
      <c r="B211" s="264"/>
      <c r="C211" s="1056"/>
      <c r="D211" s="1056"/>
      <c r="E211" s="1056"/>
      <c r="F211" s="1056"/>
      <c r="G211" s="1056"/>
      <c r="H211" s="1056"/>
      <c r="I211" s="1056"/>
      <c r="J211" s="1056"/>
      <c r="K211" s="1056"/>
      <c r="L211" s="1056"/>
      <c r="M211" s="274"/>
      <c r="P211" s="264"/>
      <c r="Q211" s="264"/>
      <c r="R211" s="264"/>
      <c r="S211" s="264"/>
      <c r="T211" s="1056"/>
      <c r="U211" s="1056"/>
      <c r="V211" s="1056"/>
      <c r="W211" s="1056"/>
      <c r="X211" s="1056"/>
      <c r="Y211" s="1056"/>
      <c r="Z211" s="1056"/>
      <c r="AA211" s="1056"/>
      <c r="AB211" s="1056"/>
      <c r="AC211" s="1056"/>
      <c r="AD211" s="1056"/>
      <c r="AE211" s="1056"/>
      <c r="AF211" s="264"/>
    </row>
    <row r="212" spans="1:32" s="268" customFormat="1" ht="15" x14ac:dyDescent="0.25">
      <c r="A212" s="264"/>
      <c r="B212" s="264"/>
      <c r="C212" s="1056"/>
      <c r="D212" s="1056"/>
      <c r="E212" s="1056"/>
      <c r="F212" s="1056"/>
      <c r="G212" s="1056"/>
      <c r="H212" s="1056"/>
      <c r="I212" s="1056"/>
      <c r="J212" s="1056"/>
      <c r="K212" s="1056"/>
      <c r="L212" s="1056"/>
      <c r="M212" s="274"/>
      <c r="P212" s="264"/>
      <c r="Q212" s="264"/>
      <c r="R212" s="264"/>
      <c r="S212" s="264"/>
      <c r="T212" s="1056"/>
      <c r="U212" s="1056"/>
      <c r="V212" s="1056"/>
      <c r="W212" s="1056"/>
      <c r="X212" s="1056"/>
      <c r="Y212" s="1056"/>
      <c r="Z212" s="1056"/>
      <c r="AA212" s="1056"/>
      <c r="AB212" s="1056"/>
      <c r="AC212" s="1056"/>
      <c r="AD212" s="1056"/>
      <c r="AE212" s="1056"/>
      <c r="AF212" s="264"/>
    </row>
    <row r="213" spans="1:32" s="268" customFormat="1" ht="15" x14ac:dyDescent="0.25">
      <c r="A213" s="264"/>
      <c r="B213" s="264"/>
      <c r="C213" s="1056"/>
      <c r="D213" s="1056"/>
      <c r="E213" s="1056"/>
      <c r="F213" s="1056"/>
      <c r="G213" s="1056"/>
      <c r="H213" s="1056"/>
      <c r="I213" s="1056"/>
      <c r="J213" s="1056"/>
      <c r="K213" s="1056"/>
      <c r="L213" s="1056"/>
      <c r="M213" s="274"/>
      <c r="P213" s="264"/>
      <c r="Q213" s="264"/>
      <c r="R213" s="264"/>
      <c r="S213" s="264"/>
      <c r="T213" s="1056"/>
      <c r="U213" s="1056"/>
      <c r="V213" s="1056"/>
      <c r="W213" s="1056"/>
      <c r="X213" s="1056"/>
      <c r="Y213" s="1056"/>
      <c r="Z213" s="1056"/>
      <c r="AA213" s="1056"/>
      <c r="AB213" s="1056"/>
      <c r="AC213" s="1056"/>
      <c r="AD213" s="1056"/>
      <c r="AE213" s="1056"/>
      <c r="AF213" s="264"/>
    </row>
    <row r="214" spans="1:32" s="268" customFormat="1" ht="15" x14ac:dyDescent="0.25">
      <c r="A214" s="264"/>
      <c r="B214" s="264"/>
      <c r="C214" s="1056"/>
      <c r="D214" s="1056"/>
      <c r="E214" s="1056"/>
      <c r="F214" s="1056"/>
      <c r="G214" s="1056"/>
      <c r="H214" s="1056"/>
      <c r="I214" s="1056"/>
      <c r="J214" s="1056"/>
      <c r="K214" s="1056"/>
      <c r="L214" s="1056"/>
      <c r="M214" s="274"/>
      <c r="P214" s="264"/>
      <c r="Q214" s="264"/>
      <c r="R214" s="264"/>
      <c r="S214" s="264"/>
      <c r="T214" s="1056"/>
      <c r="U214" s="1056"/>
      <c r="V214" s="1056"/>
      <c r="W214" s="1056"/>
      <c r="X214" s="1056"/>
      <c r="Y214" s="1056"/>
      <c r="Z214" s="1056"/>
      <c r="AA214" s="1056"/>
      <c r="AB214" s="1056"/>
      <c r="AC214" s="1056"/>
      <c r="AD214" s="1056"/>
      <c r="AE214" s="1056"/>
      <c r="AF214" s="264"/>
    </row>
    <row r="215" spans="1:32" s="268" customFormat="1" ht="15" x14ac:dyDescent="0.25">
      <c r="A215" s="264"/>
      <c r="B215" s="264"/>
      <c r="C215" s="1056"/>
      <c r="D215" s="1056"/>
      <c r="E215" s="1056"/>
      <c r="F215" s="1056"/>
      <c r="G215" s="1056"/>
      <c r="H215" s="1056"/>
      <c r="I215" s="1056"/>
      <c r="J215" s="1056"/>
      <c r="K215" s="1056"/>
      <c r="L215" s="1056"/>
      <c r="M215" s="274"/>
      <c r="P215" s="264"/>
      <c r="Q215" s="264"/>
      <c r="R215" s="264"/>
      <c r="S215" s="264"/>
      <c r="T215" s="1056"/>
      <c r="U215" s="1056"/>
      <c r="V215" s="1056"/>
      <c r="W215" s="1056"/>
      <c r="X215" s="1056"/>
      <c r="Y215" s="1056"/>
      <c r="Z215" s="1056"/>
      <c r="AA215" s="1056"/>
      <c r="AB215" s="1056"/>
      <c r="AC215" s="1056"/>
      <c r="AD215" s="1056"/>
      <c r="AE215" s="1056"/>
      <c r="AF215" s="264"/>
    </row>
    <row r="216" spans="1:32" s="268" customFormat="1" ht="15" x14ac:dyDescent="0.25">
      <c r="A216" s="264"/>
      <c r="B216" s="264"/>
      <c r="C216" s="1056"/>
      <c r="D216" s="1056"/>
      <c r="E216" s="1056"/>
      <c r="F216" s="1056"/>
      <c r="G216" s="1056"/>
      <c r="H216" s="1056"/>
      <c r="I216" s="1056"/>
      <c r="J216" s="1056"/>
      <c r="K216" s="1056"/>
      <c r="L216" s="1056"/>
      <c r="M216" s="274"/>
      <c r="P216" s="264"/>
      <c r="Q216" s="264"/>
      <c r="R216" s="264"/>
      <c r="S216" s="264"/>
      <c r="T216" s="1056"/>
      <c r="U216" s="1056"/>
      <c r="V216" s="1056"/>
      <c r="W216" s="1056"/>
      <c r="X216" s="1056"/>
      <c r="Y216" s="1056"/>
      <c r="Z216" s="1056"/>
      <c r="AA216" s="1056"/>
      <c r="AB216" s="1056"/>
      <c r="AC216" s="1056"/>
      <c r="AD216" s="1056"/>
      <c r="AE216" s="1056"/>
      <c r="AF216" s="264"/>
    </row>
    <row r="217" spans="1:32" s="268" customFormat="1" ht="15" x14ac:dyDescent="0.25">
      <c r="A217" s="264"/>
      <c r="B217" s="264"/>
      <c r="C217" s="1056"/>
      <c r="D217" s="1056"/>
      <c r="E217" s="1056"/>
      <c r="F217" s="1056"/>
      <c r="G217" s="1056"/>
      <c r="H217" s="1056"/>
      <c r="I217" s="1056"/>
      <c r="J217" s="1056"/>
      <c r="K217" s="1056"/>
      <c r="L217" s="1056"/>
      <c r="M217" s="274"/>
      <c r="P217" s="264"/>
      <c r="Q217" s="264"/>
      <c r="R217" s="264"/>
      <c r="S217" s="264"/>
      <c r="T217" s="1056"/>
      <c r="U217" s="1056"/>
      <c r="V217" s="1056"/>
      <c r="W217" s="1056"/>
      <c r="X217" s="1056"/>
      <c r="Y217" s="1056"/>
      <c r="Z217" s="1056"/>
      <c r="AA217" s="1056"/>
      <c r="AB217" s="1056"/>
      <c r="AC217" s="1056"/>
      <c r="AD217" s="1056"/>
      <c r="AE217" s="1056"/>
      <c r="AF217" s="264"/>
    </row>
    <row r="218" spans="1:32" s="268" customFormat="1" ht="15" x14ac:dyDescent="0.25">
      <c r="A218" s="264"/>
      <c r="B218" s="264"/>
      <c r="C218" s="1056"/>
      <c r="D218" s="1056"/>
      <c r="E218" s="1056"/>
      <c r="F218" s="1056"/>
      <c r="G218" s="1056"/>
      <c r="H218" s="1056"/>
      <c r="I218" s="1056"/>
      <c r="J218" s="1056"/>
      <c r="K218" s="1056"/>
      <c r="L218" s="1056"/>
      <c r="M218" s="274"/>
      <c r="P218" s="264"/>
      <c r="Q218" s="264"/>
      <c r="R218" s="264"/>
      <c r="S218" s="264"/>
      <c r="T218" s="1056"/>
      <c r="U218" s="1056"/>
      <c r="V218" s="1056"/>
      <c r="W218" s="1056"/>
      <c r="X218" s="1056"/>
      <c r="Y218" s="1056"/>
      <c r="Z218" s="1056"/>
      <c r="AA218" s="1056"/>
      <c r="AB218" s="1056"/>
      <c r="AC218" s="1056"/>
      <c r="AD218" s="1056"/>
      <c r="AE218" s="1056"/>
      <c r="AF218" s="264"/>
    </row>
    <row r="219" spans="1:32" s="268" customFormat="1" ht="15" x14ac:dyDescent="0.25">
      <c r="A219" s="264"/>
      <c r="B219" s="264"/>
      <c r="C219" s="1056"/>
      <c r="D219" s="1056"/>
      <c r="E219" s="1056"/>
      <c r="F219" s="1056"/>
      <c r="G219" s="1056"/>
      <c r="H219" s="1056"/>
      <c r="I219" s="1056"/>
      <c r="J219" s="1056"/>
      <c r="K219" s="1056"/>
      <c r="L219" s="1056"/>
      <c r="M219" s="274"/>
      <c r="P219" s="264"/>
      <c r="Q219" s="264"/>
      <c r="R219" s="264"/>
      <c r="S219" s="264"/>
      <c r="T219" s="1056"/>
      <c r="U219" s="1056"/>
      <c r="V219" s="1056"/>
      <c r="W219" s="1056"/>
      <c r="X219" s="1056"/>
      <c r="Y219" s="1056"/>
      <c r="Z219" s="1056"/>
      <c r="AA219" s="1056"/>
      <c r="AB219" s="1056"/>
      <c r="AC219" s="1056"/>
      <c r="AD219" s="1056"/>
      <c r="AE219" s="1056"/>
      <c r="AF219" s="264"/>
    </row>
    <row r="220" spans="1:32" s="268" customFormat="1" ht="15" x14ac:dyDescent="0.25">
      <c r="A220" s="264"/>
      <c r="B220" s="264"/>
      <c r="C220" s="1056"/>
      <c r="D220" s="1056"/>
      <c r="E220" s="1056"/>
      <c r="F220" s="1056"/>
      <c r="G220" s="1056"/>
      <c r="H220" s="1056"/>
      <c r="I220" s="1056"/>
      <c r="J220" s="1056"/>
      <c r="K220" s="1056"/>
      <c r="L220" s="1056"/>
      <c r="M220" s="274"/>
      <c r="P220" s="264"/>
      <c r="Q220" s="264"/>
      <c r="R220" s="264"/>
      <c r="S220" s="264"/>
      <c r="T220" s="1056"/>
      <c r="U220" s="1056"/>
      <c r="V220" s="1056"/>
      <c r="W220" s="1056"/>
      <c r="X220" s="1056"/>
      <c r="Y220" s="1056"/>
      <c r="Z220" s="1056"/>
      <c r="AA220" s="1056"/>
      <c r="AB220" s="1056"/>
      <c r="AC220" s="1056"/>
      <c r="AD220" s="1056"/>
      <c r="AE220" s="1056"/>
      <c r="AF220" s="264"/>
    </row>
    <row r="221" spans="1:32" s="268" customFormat="1" ht="15" x14ac:dyDescent="0.25">
      <c r="A221" s="264"/>
      <c r="B221" s="264"/>
      <c r="C221" s="1056"/>
      <c r="D221" s="1056"/>
      <c r="E221" s="1056"/>
      <c r="F221" s="1056"/>
      <c r="G221" s="1056"/>
      <c r="H221" s="1056"/>
      <c r="I221" s="1056"/>
      <c r="J221" s="1056"/>
      <c r="K221" s="1056"/>
      <c r="L221" s="1056"/>
      <c r="M221" s="274"/>
      <c r="P221" s="264"/>
      <c r="Q221" s="264"/>
      <c r="R221" s="264"/>
      <c r="S221" s="264"/>
      <c r="T221" s="1056"/>
      <c r="U221" s="1056"/>
      <c r="V221" s="1056"/>
      <c r="W221" s="1056"/>
      <c r="X221" s="1056"/>
      <c r="Y221" s="1056"/>
      <c r="Z221" s="1056"/>
      <c r="AA221" s="1056"/>
      <c r="AB221" s="1056"/>
      <c r="AC221" s="1056"/>
      <c r="AD221" s="1056"/>
      <c r="AE221" s="1056"/>
      <c r="AF221" s="264"/>
    </row>
    <row r="222" spans="1:32" s="268" customFormat="1" ht="15" x14ac:dyDescent="0.25">
      <c r="A222" s="264"/>
      <c r="B222" s="264"/>
      <c r="C222" s="1056"/>
      <c r="D222" s="1056"/>
      <c r="E222" s="1056"/>
      <c r="F222" s="1056"/>
      <c r="G222" s="1056"/>
      <c r="H222" s="1056"/>
      <c r="I222" s="1056"/>
      <c r="J222" s="1056"/>
      <c r="K222" s="1056"/>
      <c r="L222" s="1056"/>
      <c r="M222" s="274"/>
      <c r="P222" s="264"/>
      <c r="Q222" s="264"/>
      <c r="R222" s="264"/>
      <c r="S222" s="264"/>
      <c r="T222" s="1056"/>
      <c r="U222" s="1056"/>
      <c r="V222" s="1056"/>
      <c r="W222" s="1056"/>
      <c r="X222" s="1056"/>
      <c r="Y222" s="1056"/>
      <c r="Z222" s="1056"/>
      <c r="AA222" s="1056"/>
      <c r="AB222" s="1056"/>
      <c r="AC222" s="1056"/>
      <c r="AD222" s="1056"/>
      <c r="AE222" s="1056"/>
      <c r="AF222" s="264"/>
    </row>
    <row r="223" spans="1:32" s="268" customFormat="1" ht="15" x14ac:dyDescent="0.25">
      <c r="A223" s="264"/>
      <c r="B223" s="264"/>
      <c r="C223" s="1056"/>
      <c r="D223" s="1056"/>
      <c r="E223" s="1056"/>
      <c r="F223" s="1056"/>
      <c r="G223" s="1056"/>
      <c r="H223" s="1056"/>
      <c r="I223" s="1056"/>
      <c r="J223" s="1056"/>
      <c r="K223" s="1056"/>
      <c r="L223" s="1056"/>
      <c r="M223" s="274"/>
      <c r="P223" s="264"/>
      <c r="Q223" s="264"/>
      <c r="R223" s="264"/>
      <c r="S223" s="264"/>
      <c r="T223" s="1056"/>
      <c r="U223" s="1056"/>
      <c r="V223" s="1056"/>
      <c r="W223" s="1056"/>
      <c r="X223" s="1056"/>
      <c r="Y223" s="1056"/>
      <c r="Z223" s="1056"/>
      <c r="AA223" s="1056"/>
      <c r="AB223" s="1056"/>
      <c r="AC223" s="1056"/>
      <c r="AD223" s="1056"/>
      <c r="AE223" s="1056"/>
      <c r="AF223" s="264"/>
    </row>
    <row r="224" spans="1:32" s="268" customFormat="1" ht="15" x14ac:dyDescent="0.25">
      <c r="A224" s="264"/>
      <c r="B224" s="264"/>
      <c r="C224" s="1056"/>
      <c r="D224" s="1056"/>
      <c r="E224" s="1056"/>
      <c r="F224" s="1056"/>
      <c r="G224" s="1056"/>
      <c r="H224" s="1056"/>
      <c r="I224" s="1056"/>
      <c r="J224" s="1056"/>
      <c r="K224" s="1056"/>
      <c r="L224" s="1056"/>
      <c r="M224" s="274"/>
      <c r="P224" s="264"/>
      <c r="Q224" s="264"/>
      <c r="R224" s="264"/>
      <c r="S224" s="264"/>
      <c r="T224" s="1056"/>
      <c r="U224" s="1056"/>
      <c r="V224" s="1056"/>
      <c r="W224" s="1056"/>
      <c r="X224" s="1056"/>
      <c r="Y224" s="1056"/>
      <c r="Z224" s="1056"/>
      <c r="AA224" s="1056"/>
      <c r="AB224" s="1056"/>
      <c r="AC224" s="1056"/>
      <c r="AD224" s="1056"/>
      <c r="AE224" s="1056"/>
      <c r="AF224" s="264"/>
    </row>
    <row r="225" spans="1:32" s="268" customFormat="1" ht="15" x14ac:dyDescent="0.25">
      <c r="A225" s="264"/>
      <c r="B225" s="264"/>
      <c r="C225" s="1056"/>
      <c r="D225" s="1056"/>
      <c r="E225" s="1056"/>
      <c r="F225" s="1056"/>
      <c r="G225" s="1056"/>
      <c r="H225" s="1056"/>
      <c r="I225" s="1056"/>
      <c r="J225" s="1056"/>
      <c r="K225" s="1056"/>
      <c r="L225" s="1056"/>
      <c r="M225" s="274"/>
      <c r="P225" s="264"/>
      <c r="Q225" s="264"/>
      <c r="R225" s="264"/>
      <c r="S225" s="264"/>
      <c r="T225" s="1056"/>
      <c r="U225" s="1056"/>
      <c r="V225" s="1056"/>
      <c r="W225" s="1056"/>
      <c r="X225" s="1056"/>
      <c r="Y225" s="1056"/>
      <c r="Z225" s="1056"/>
      <c r="AA225" s="1056"/>
      <c r="AB225" s="1056"/>
      <c r="AC225" s="1056"/>
      <c r="AD225" s="1056"/>
      <c r="AE225" s="1056"/>
      <c r="AF225" s="264"/>
    </row>
    <row r="226" spans="1:32" s="268" customFormat="1" ht="15" x14ac:dyDescent="0.25">
      <c r="A226" s="264"/>
      <c r="B226" s="264"/>
      <c r="C226" s="1056"/>
      <c r="D226" s="1056"/>
      <c r="E226" s="1056"/>
      <c r="F226" s="1056"/>
      <c r="G226" s="1056"/>
      <c r="H226" s="1056"/>
      <c r="I226" s="1056"/>
      <c r="J226" s="1056"/>
      <c r="K226" s="1056"/>
      <c r="L226" s="1056"/>
      <c r="M226" s="274"/>
      <c r="P226" s="264"/>
      <c r="Q226" s="264"/>
      <c r="R226" s="264"/>
      <c r="S226" s="264"/>
      <c r="T226" s="1056"/>
      <c r="U226" s="1056"/>
      <c r="V226" s="1056"/>
      <c r="W226" s="1056"/>
      <c r="X226" s="1056"/>
      <c r="Y226" s="1056"/>
      <c r="Z226" s="1056"/>
      <c r="AA226" s="1056"/>
      <c r="AB226" s="1056"/>
      <c r="AC226" s="1056"/>
      <c r="AD226" s="1056"/>
      <c r="AE226" s="1056"/>
      <c r="AF226" s="264"/>
    </row>
    <row r="227" spans="1:32" s="268" customFormat="1" ht="15" x14ac:dyDescent="0.25">
      <c r="A227" s="264"/>
      <c r="B227" s="264"/>
      <c r="C227" s="1056"/>
      <c r="D227" s="1056"/>
      <c r="E227" s="1056"/>
      <c r="F227" s="1056"/>
      <c r="G227" s="1056"/>
      <c r="H227" s="1056"/>
      <c r="I227" s="1056"/>
      <c r="J227" s="1056"/>
      <c r="K227" s="1056"/>
      <c r="L227" s="1056"/>
      <c r="M227" s="274"/>
      <c r="P227" s="264"/>
      <c r="Q227" s="264"/>
      <c r="R227" s="264"/>
      <c r="S227" s="264"/>
      <c r="T227" s="1056"/>
      <c r="U227" s="1056"/>
      <c r="V227" s="1056"/>
      <c r="W227" s="1056"/>
      <c r="X227" s="1056"/>
      <c r="Y227" s="1056"/>
      <c r="Z227" s="1056"/>
      <c r="AA227" s="1056"/>
      <c r="AB227" s="1056"/>
      <c r="AC227" s="1056"/>
      <c r="AD227" s="1056"/>
      <c r="AE227" s="1056"/>
      <c r="AF227" s="264"/>
    </row>
    <row r="228" spans="1:32" s="268" customFormat="1" ht="15" x14ac:dyDescent="0.25">
      <c r="A228" s="264"/>
      <c r="B228" s="264"/>
      <c r="C228" s="1056"/>
      <c r="D228" s="1056"/>
      <c r="E228" s="1056"/>
      <c r="F228" s="1056"/>
      <c r="G228" s="1056"/>
      <c r="H228" s="1056"/>
      <c r="I228" s="1056"/>
      <c r="J228" s="1056"/>
      <c r="K228" s="1056"/>
      <c r="L228" s="1056"/>
      <c r="M228" s="274"/>
      <c r="P228" s="264"/>
      <c r="Q228" s="264"/>
      <c r="R228" s="264"/>
      <c r="S228" s="264"/>
      <c r="T228" s="1056"/>
      <c r="U228" s="1056"/>
      <c r="V228" s="1056"/>
      <c r="W228" s="1056"/>
      <c r="X228" s="1056"/>
      <c r="Y228" s="1056"/>
      <c r="Z228" s="1056"/>
      <c r="AA228" s="1056"/>
      <c r="AB228" s="1056"/>
      <c r="AC228" s="1056"/>
      <c r="AD228" s="1056"/>
      <c r="AE228" s="1056"/>
      <c r="AF228" s="264"/>
    </row>
    <row r="229" spans="1:32" s="268" customFormat="1" ht="15" x14ac:dyDescent="0.25">
      <c r="A229" s="264"/>
      <c r="B229" s="264"/>
      <c r="C229" s="1056"/>
      <c r="D229" s="1056"/>
      <c r="E229" s="1056"/>
      <c r="F229" s="1056"/>
      <c r="G229" s="1056"/>
      <c r="H229" s="1056"/>
      <c r="I229" s="1056"/>
      <c r="J229" s="1056"/>
      <c r="K229" s="1056"/>
      <c r="L229" s="1056"/>
      <c r="M229" s="274"/>
      <c r="P229" s="264"/>
      <c r="Q229" s="264"/>
      <c r="R229" s="264"/>
      <c r="S229" s="264"/>
      <c r="T229" s="1056"/>
      <c r="U229" s="1056"/>
      <c r="V229" s="1056"/>
      <c r="W229" s="1056"/>
      <c r="X229" s="1056"/>
      <c r="Y229" s="1056"/>
      <c r="Z229" s="1056"/>
      <c r="AA229" s="1056"/>
      <c r="AB229" s="1056"/>
      <c r="AC229" s="1056"/>
      <c r="AD229" s="1056"/>
      <c r="AE229" s="1056"/>
      <c r="AF229" s="264"/>
    </row>
    <row r="230" spans="1:32" s="268" customFormat="1" ht="15" x14ac:dyDescent="0.25">
      <c r="A230" s="264"/>
      <c r="B230" s="264"/>
      <c r="C230" s="1056"/>
      <c r="D230" s="1056"/>
      <c r="E230" s="1056"/>
      <c r="F230" s="1056"/>
      <c r="G230" s="1056"/>
      <c r="H230" s="1056"/>
      <c r="I230" s="1056"/>
      <c r="J230" s="1056"/>
      <c r="K230" s="1056"/>
      <c r="L230" s="1056"/>
      <c r="M230" s="274"/>
      <c r="P230" s="264"/>
      <c r="Q230" s="264"/>
      <c r="R230" s="264"/>
      <c r="S230" s="264"/>
      <c r="T230" s="1056"/>
      <c r="U230" s="1056"/>
      <c r="V230" s="1056"/>
      <c r="W230" s="1056"/>
      <c r="X230" s="1056"/>
      <c r="Y230" s="1056"/>
      <c r="Z230" s="1056"/>
      <c r="AA230" s="1056"/>
      <c r="AB230" s="1056"/>
      <c r="AC230" s="1056"/>
      <c r="AD230" s="1056"/>
      <c r="AE230" s="1056"/>
      <c r="AF230" s="264"/>
    </row>
    <row r="231" spans="1:32" s="268" customFormat="1" ht="15" x14ac:dyDescent="0.25">
      <c r="A231" s="264"/>
      <c r="B231" s="264"/>
      <c r="C231" s="1056"/>
      <c r="D231" s="1056"/>
      <c r="E231" s="1056"/>
      <c r="F231" s="1056"/>
      <c r="G231" s="1056"/>
      <c r="H231" s="1056"/>
      <c r="I231" s="1056"/>
      <c r="J231" s="1056"/>
      <c r="K231" s="1056"/>
      <c r="L231" s="1056"/>
      <c r="M231" s="274"/>
      <c r="P231" s="264"/>
      <c r="Q231" s="264"/>
      <c r="R231" s="264"/>
      <c r="S231" s="264"/>
      <c r="T231" s="1056"/>
      <c r="U231" s="1056"/>
      <c r="V231" s="1056"/>
      <c r="W231" s="1056"/>
      <c r="X231" s="1056"/>
      <c r="Y231" s="1056"/>
      <c r="Z231" s="1056"/>
      <c r="AA231" s="1056"/>
      <c r="AB231" s="1056"/>
      <c r="AC231" s="1056"/>
      <c r="AD231" s="1056"/>
      <c r="AE231" s="1056"/>
      <c r="AF231" s="264"/>
    </row>
    <row r="232" spans="1:32" s="268" customFormat="1" ht="15" x14ac:dyDescent="0.25">
      <c r="A232" s="264"/>
      <c r="B232" s="264"/>
      <c r="C232" s="1056"/>
      <c r="D232" s="1056"/>
      <c r="E232" s="1056"/>
      <c r="F232" s="1056"/>
      <c r="G232" s="1056"/>
      <c r="H232" s="1056"/>
      <c r="I232" s="1056"/>
      <c r="J232" s="1056"/>
      <c r="K232" s="1056"/>
      <c r="L232" s="1056"/>
      <c r="M232" s="274"/>
      <c r="P232" s="264"/>
      <c r="Q232" s="264"/>
      <c r="R232" s="264"/>
      <c r="S232" s="264"/>
      <c r="T232" s="1056"/>
      <c r="U232" s="1056"/>
      <c r="V232" s="1056"/>
      <c r="W232" s="1056"/>
      <c r="X232" s="1056"/>
      <c r="Y232" s="1056"/>
      <c r="Z232" s="1056"/>
      <c r="AA232" s="1056"/>
      <c r="AB232" s="1056"/>
      <c r="AC232" s="1056"/>
      <c r="AD232" s="1056"/>
      <c r="AE232" s="1056"/>
      <c r="AF232" s="264"/>
    </row>
    <row r="233" spans="1:32" s="268" customFormat="1" ht="15" x14ac:dyDescent="0.25">
      <c r="A233" s="264"/>
      <c r="B233" s="264"/>
      <c r="C233" s="1056"/>
      <c r="D233" s="1056"/>
      <c r="E233" s="1056"/>
      <c r="F233" s="1056"/>
      <c r="G233" s="1056"/>
      <c r="H233" s="1056"/>
      <c r="I233" s="1056"/>
      <c r="J233" s="1056"/>
      <c r="K233" s="1056"/>
      <c r="L233" s="1056"/>
      <c r="M233" s="274"/>
      <c r="P233" s="264"/>
      <c r="Q233" s="264"/>
      <c r="R233" s="264"/>
      <c r="S233" s="264"/>
      <c r="T233" s="1056"/>
      <c r="U233" s="1056"/>
      <c r="V233" s="1056"/>
      <c r="W233" s="1056"/>
      <c r="X233" s="1056"/>
      <c r="Y233" s="1056"/>
      <c r="Z233" s="1056"/>
      <c r="AA233" s="1056"/>
      <c r="AB233" s="1056"/>
      <c r="AC233" s="1056"/>
      <c r="AD233" s="1056"/>
      <c r="AE233" s="1056"/>
      <c r="AF233" s="264"/>
    </row>
    <row r="234" spans="1:32" s="268" customFormat="1" ht="15" x14ac:dyDescent="0.25">
      <c r="A234" s="264"/>
      <c r="B234" s="264"/>
      <c r="C234" s="1056"/>
      <c r="D234" s="1056"/>
      <c r="E234" s="1056"/>
      <c r="F234" s="1056"/>
      <c r="G234" s="1056"/>
      <c r="H234" s="1056"/>
      <c r="I234" s="1056"/>
      <c r="J234" s="1056"/>
      <c r="K234" s="1056"/>
      <c r="L234" s="1056"/>
      <c r="M234" s="274"/>
      <c r="P234" s="264"/>
      <c r="Q234" s="264"/>
      <c r="R234" s="264"/>
      <c r="S234" s="264"/>
      <c r="T234" s="1056"/>
      <c r="U234" s="1056"/>
      <c r="V234" s="1056"/>
      <c r="W234" s="1056"/>
      <c r="X234" s="1056"/>
      <c r="Y234" s="1056"/>
      <c r="Z234" s="1056"/>
      <c r="AA234" s="1056"/>
      <c r="AB234" s="1056"/>
      <c r="AC234" s="1056"/>
      <c r="AD234" s="1056"/>
      <c r="AE234" s="1056"/>
      <c r="AF234" s="264"/>
    </row>
    <row r="235" spans="1:32" s="268" customFormat="1" ht="15" x14ac:dyDescent="0.25">
      <c r="A235" s="264"/>
      <c r="B235" s="264"/>
      <c r="C235" s="1056"/>
      <c r="D235" s="1056"/>
      <c r="E235" s="1056"/>
      <c r="F235" s="1056"/>
      <c r="G235" s="1056"/>
      <c r="H235" s="1056"/>
      <c r="I235" s="1056"/>
      <c r="J235" s="1056"/>
      <c r="K235" s="1056"/>
      <c r="L235" s="1056"/>
      <c r="M235" s="274"/>
      <c r="P235" s="264"/>
      <c r="Q235" s="264"/>
      <c r="R235" s="264"/>
      <c r="S235" s="264"/>
      <c r="T235" s="1056"/>
      <c r="U235" s="1056"/>
      <c r="V235" s="1056"/>
      <c r="W235" s="1056"/>
      <c r="X235" s="1056"/>
      <c r="Y235" s="1056"/>
      <c r="Z235" s="1056"/>
      <c r="AA235" s="1056"/>
      <c r="AB235" s="1056"/>
      <c r="AC235" s="1056"/>
      <c r="AD235" s="1056"/>
      <c r="AE235" s="1056"/>
      <c r="AF235" s="264"/>
    </row>
    <row r="236" spans="1:32" s="268" customFormat="1" ht="15" x14ac:dyDescent="0.25">
      <c r="A236" s="264"/>
      <c r="B236" s="264"/>
      <c r="C236" s="1056"/>
      <c r="D236" s="1056"/>
      <c r="E236" s="1056"/>
      <c r="F236" s="1056"/>
      <c r="G236" s="1056"/>
      <c r="H236" s="1056"/>
      <c r="I236" s="1056"/>
      <c r="J236" s="1056"/>
      <c r="K236" s="1056"/>
      <c r="L236" s="1056"/>
      <c r="M236" s="274"/>
      <c r="P236" s="264"/>
      <c r="Q236" s="264"/>
      <c r="R236" s="264"/>
      <c r="S236" s="264"/>
      <c r="T236" s="1056"/>
      <c r="U236" s="1056"/>
      <c r="V236" s="1056"/>
      <c r="W236" s="1056"/>
      <c r="X236" s="1056"/>
      <c r="Y236" s="1056"/>
      <c r="Z236" s="1056"/>
      <c r="AA236" s="1056"/>
      <c r="AB236" s="1056"/>
      <c r="AC236" s="1056"/>
      <c r="AD236" s="1056"/>
      <c r="AE236" s="1056"/>
      <c r="AF236" s="264"/>
    </row>
    <row r="237" spans="1:32" s="268" customFormat="1" ht="15" x14ac:dyDescent="0.25">
      <c r="A237" s="264"/>
      <c r="B237" s="264"/>
      <c r="C237" s="1056"/>
      <c r="D237" s="1056"/>
      <c r="E237" s="1056"/>
      <c r="F237" s="1056"/>
      <c r="G237" s="1056"/>
      <c r="H237" s="1056"/>
      <c r="I237" s="1056"/>
      <c r="J237" s="1056"/>
      <c r="K237" s="1056"/>
      <c r="L237" s="1056"/>
      <c r="M237" s="274"/>
      <c r="P237" s="264"/>
      <c r="Q237" s="264"/>
      <c r="R237" s="264"/>
      <c r="S237" s="264"/>
      <c r="T237" s="1056"/>
      <c r="U237" s="1056"/>
      <c r="V237" s="1056"/>
      <c r="W237" s="1056"/>
      <c r="X237" s="1056"/>
      <c r="Y237" s="1056"/>
      <c r="Z237" s="1056"/>
      <c r="AA237" s="1056"/>
      <c r="AB237" s="1056"/>
      <c r="AC237" s="1056"/>
      <c r="AD237" s="1056"/>
      <c r="AE237" s="1056"/>
      <c r="AF237" s="264"/>
    </row>
    <row r="238" spans="1:32" s="268" customFormat="1" ht="15" x14ac:dyDescent="0.25">
      <c r="A238" s="264"/>
      <c r="B238" s="264"/>
      <c r="C238" s="1056"/>
      <c r="D238" s="1056"/>
      <c r="E238" s="1056"/>
      <c r="F238" s="1056"/>
      <c r="G238" s="1056"/>
      <c r="H238" s="1056"/>
      <c r="I238" s="1056"/>
      <c r="J238" s="1056"/>
      <c r="K238" s="1056"/>
      <c r="L238" s="1056"/>
      <c r="M238" s="274"/>
      <c r="P238" s="264"/>
      <c r="Q238" s="264"/>
      <c r="R238" s="264"/>
      <c r="S238" s="264"/>
      <c r="T238" s="1056"/>
      <c r="U238" s="1056"/>
      <c r="V238" s="1056"/>
      <c r="W238" s="1056"/>
      <c r="X238" s="1056"/>
      <c r="Y238" s="1056"/>
      <c r="Z238" s="1056"/>
      <c r="AA238" s="1056"/>
      <c r="AB238" s="1056"/>
      <c r="AC238" s="1056"/>
      <c r="AD238" s="1056"/>
      <c r="AE238" s="1056"/>
      <c r="AF238" s="264"/>
    </row>
    <row r="239" spans="1:32" s="268" customFormat="1" ht="15" x14ac:dyDescent="0.25">
      <c r="A239" s="264"/>
      <c r="B239" s="264"/>
      <c r="C239" s="1056"/>
      <c r="D239" s="1056"/>
      <c r="E239" s="1056"/>
      <c r="F239" s="1056"/>
      <c r="G239" s="1056"/>
      <c r="H239" s="1056"/>
      <c r="I239" s="1056"/>
      <c r="J239" s="1056"/>
      <c r="K239" s="1056"/>
      <c r="L239" s="1056"/>
      <c r="M239" s="274"/>
      <c r="P239" s="264"/>
      <c r="Q239" s="264"/>
      <c r="R239" s="264"/>
      <c r="S239" s="264"/>
      <c r="T239" s="1056"/>
      <c r="U239" s="1056"/>
      <c r="V239" s="1056"/>
      <c r="W239" s="1056"/>
      <c r="X239" s="1056"/>
      <c r="Y239" s="1056"/>
      <c r="Z239" s="1056"/>
      <c r="AA239" s="1056"/>
      <c r="AB239" s="1056"/>
      <c r="AC239" s="1056"/>
      <c r="AD239" s="1056"/>
      <c r="AE239" s="1056"/>
      <c r="AF239" s="264"/>
    </row>
    <row r="240" spans="1:32" s="268" customFormat="1" ht="15" x14ac:dyDescent="0.25">
      <c r="A240" s="264"/>
      <c r="B240" s="264"/>
      <c r="C240" s="1056"/>
      <c r="D240" s="1056"/>
      <c r="E240" s="1056"/>
      <c r="F240" s="1056"/>
      <c r="G240" s="1056"/>
      <c r="H240" s="1056"/>
      <c r="I240" s="1056"/>
      <c r="J240" s="1056"/>
      <c r="K240" s="1056"/>
      <c r="L240" s="1056"/>
      <c r="M240" s="274"/>
      <c r="P240" s="264"/>
      <c r="Q240" s="264"/>
      <c r="R240" s="264"/>
      <c r="S240" s="264"/>
      <c r="T240" s="1056"/>
      <c r="U240" s="1056"/>
      <c r="V240" s="1056"/>
      <c r="W240" s="1056"/>
      <c r="X240" s="1056"/>
      <c r="Y240" s="1056"/>
      <c r="Z240" s="1056"/>
      <c r="AA240" s="1056"/>
      <c r="AB240" s="1056"/>
      <c r="AC240" s="1056"/>
      <c r="AD240" s="1056"/>
      <c r="AE240" s="1056"/>
      <c r="AF240" s="264"/>
    </row>
    <row r="241" spans="1:32" s="268" customFormat="1" ht="15" x14ac:dyDescent="0.25">
      <c r="A241" s="264"/>
      <c r="B241" s="264"/>
      <c r="C241" s="1056"/>
      <c r="D241" s="1056"/>
      <c r="E241" s="1056"/>
      <c r="F241" s="1056"/>
      <c r="G241" s="1056"/>
      <c r="H241" s="1056"/>
      <c r="I241" s="1056"/>
      <c r="J241" s="1056"/>
      <c r="K241" s="1056"/>
      <c r="L241" s="1056"/>
      <c r="M241" s="274"/>
      <c r="P241" s="264"/>
      <c r="Q241" s="264"/>
      <c r="R241" s="264"/>
      <c r="S241" s="264"/>
      <c r="T241" s="1056"/>
      <c r="U241" s="1056"/>
      <c r="V241" s="1056"/>
      <c r="W241" s="1056"/>
      <c r="X241" s="1056"/>
      <c r="Y241" s="1056"/>
      <c r="Z241" s="1056"/>
      <c r="AA241" s="1056"/>
      <c r="AB241" s="1056"/>
      <c r="AC241" s="1056"/>
      <c r="AD241" s="1056"/>
      <c r="AE241" s="1056"/>
      <c r="AF241" s="264"/>
    </row>
    <row r="242" spans="1:32" s="268" customFormat="1" ht="15" x14ac:dyDescent="0.25">
      <c r="A242" s="264"/>
      <c r="B242" s="264"/>
      <c r="C242" s="1056"/>
      <c r="D242" s="1056"/>
      <c r="E242" s="1056"/>
      <c r="F242" s="1056"/>
      <c r="G242" s="1056"/>
      <c r="H242" s="1056"/>
      <c r="I242" s="1056"/>
      <c r="J242" s="1056"/>
      <c r="K242" s="1056"/>
      <c r="L242" s="1056"/>
      <c r="M242" s="274"/>
      <c r="P242" s="264"/>
      <c r="Q242" s="264"/>
      <c r="R242" s="264"/>
      <c r="S242" s="264"/>
      <c r="T242" s="1056"/>
      <c r="U242" s="1056"/>
      <c r="V242" s="1056"/>
      <c r="W242" s="1056"/>
      <c r="X242" s="1056"/>
      <c r="Y242" s="1056"/>
      <c r="Z242" s="1056"/>
      <c r="AA242" s="1056"/>
      <c r="AB242" s="1056"/>
      <c r="AC242" s="1056"/>
      <c r="AD242" s="1056"/>
      <c r="AE242" s="1056"/>
      <c r="AF242" s="264"/>
    </row>
    <row r="243" spans="1:32" s="268" customFormat="1" ht="15" x14ac:dyDescent="0.25">
      <c r="A243" s="264"/>
      <c r="B243" s="264"/>
      <c r="C243" s="1056"/>
      <c r="D243" s="1056"/>
      <c r="E243" s="1056"/>
      <c r="F243" s="1056"/>
      <c r="G243" s="1056"/>
      <c r="H243" s="1056"/>
      <c r="I243" s="1056"/>
      <c r="J243" s="1056"/>
      <c r="K243" s="1056"/>
      <c r="L243" s="1056"/>
      <c r="M243" s="274"/>
      <c r="P243" s="264"/>
      <c r="Q243" s="264"/>
      <c r="R243" s="264"/>
      <c r="S243" s="264"/>
      <c r="T243" s="1056"/>
      <c r="U243" s="1056"/>
      <c r="V243" s="1056"/>
      <c r="W243" s="1056"/>
      <c r="X243" s="1056"/>
      <c r="Y243" s="1056"/>
      <c r="Z243" s="1056"/>
      <c r="AA243" s="1056"/>
      <c r="AB243" s="1056"/>
      <c r="AC243" s="1056"/>
      <c r="AD243" s="1056"/>
      <c r="AE243" s="1056"/>
      <c r="AF243" s="264"/>
    </row>
    <row r="244" spans="1:32" s="268" customFormat="1" ht="15" x14ac:dyDescent="0.25">
      <c r="A244" s="264"/>
      <c r="B244" s="264"/>
      <c r="C244" s="1056"/>
      <c r="D244" s="1056"/>
      <c r="E244" s="1056"/>
      <c r="F244" s="1056"/>
      <c r="G244" s="1056"/>
      <c r="H244" s="1056"/>
      <c r="I244" s="1056"/>
      <c r="J244" s="1056"/>
      <c r="K244" s="1056"/>
      <c r="L244" s="1056"/>
      <c r="M244" s="274"/>
      <c r="P244" s="264"/>
      <c r="Q244" s="264"/>
      <c r="R244" s="264"/>
      <c r="S244" s="264"/>
      <c r="T244" s="1056"/>
      <c r="U244" s="1056"/>
      <c r="V244" s="1056"/>
      <c r="W244" s="1056"/>
      <c r="X244" s="1056"/>
      <c r="Y244" s="1056"/>
      <c r="Z244" s="1056"/>
      <c r="AA244" s="1056"/>
      <c r="AB244" s="1056"/>
      <c r="AC244" s="1056"/>
      <c r="AD244" s="1056"/>
      <c r="AE244" s="1056"/>
      <c r="AF244" s="264"/>
    </row>
    <row r="245" spans="1:32" s="268" customFormat="1" ht="15" x14ac:dyDescent="0.25">
      <c r="A245" s="264"/>
      <c r="B245" s="264"/>
      <c r="C245" s="1056"/>
      <c r="D245" s="1056"/>
      <c r="E245" s="1056"/>
      <c r="F245" s="1056"/>
      <c r="G245" s="1056"/>
      <c r="H245" s="1056"/>
      <c r="I245" s="1056"/>
      <c r="J245" s="1056"/>
      <c r="K245" s="1056"/>
      <c r="L245" s="1056"/>
      <c r="M245" s="274"/>
      <c r="P245" s="264"/>
      <c r="Q245" s="264"/>
      <c r="R245" s="264"/>
      <c r="S245" s="264"/>
      <c r="T245" s="1056"/>
      <c r="U245" s="1056"/>
      <c r="V245" s="1056"/>
      <c r="W245" s="1056"/>
      <c r="X245" s="1056"/>
      <c r="Y245" s="1056"/>
      <c r="Z245" s="1056"/>
      <c r="AA245" s="1056"/>
      <c r="AB245" s="1056"/>
      <c r="AC245" s="1056"/>
      <c r="AD245" s="1056"/>
      <c r="AE245" s="1056"/>
      <c r="AF245" s="264"/>
    </row>
    <row r="246" spans="1:32" s="268" customFormat="1" ht="15" x14ac:dyDescent="0.25">
      <c r="A246" s="264"/>
      <c r="B246" s="264"/>
      <c r="C246" s="1056"/>
      <c r="D246" s="1056"/>
      <c r="E246" s="1056"/>
      <c r="F246" s="1056"/>
      <c r="G246" s="1056"/>
      <c r="H246" s="1056"/>
      <c r="I246" s="1056"/>
      <c r="J246" s="1056"/>
      <c r="K246" s="1056"/>
      <c r="L246" s="1056"/>
      <c r="M246" s="274"/>
      <c r="P246" s="264"/>
      <c r="Q246" s="264"/>
      <c r="R246" s="264"/>
      <c r="S246" s="264"/>
      <c r="T246" s="1056"/>
      <c r="U246" s="1056"/>
      <c r="V246" s="1056"/>
      <c r="W246" s="1056"/>
      <c r="X246" s="1056"/>
      <c r="Y246" s="1056"/>
      <c r="Z246" s="1056"/>
      <c r="AA246" s="1056"/>
      <c r="AB246" s="1056"/>
      <c r="AC246" s="1056"/>
      <c r="AD246" s="1056"/>
      <c r="AE246" s="1056"/>
      <c r="AF246" s="264"/>
    </row>
    <row r="247" spans="1:32" s="268" customFormat="1" ht="15" x14ac:dyDescent="0.25">
      <c r="A247" s="264"/>
      <c r="B247" s="264"/>
      <c r="C247" s="1056"/>
      <c r="D247" s="1056"/>
      <c r="E247" s="1056"/>
      <c r="F247" s="1056"/>
      <c r="G247" s="1056"/>
      <c r="H247" s="1056"/>
      <c r="I247" s="1056"/>
      <c r="J247" s="1056"/>
      <c r="K247" s="1056"/>
      <c r="L247" s="1056"/>
      <c r="M247" s="274"/>
      <c r="P247" s="264"/>
      <c r="Q247" s="264"/>
      <c r="R247" s="264"/>
      <c r="S247" s="264"/>
      <c r="T247" s="1056"/>
      <c r="U247" s="1056"/>
      <c r="V247" s="1056"/>
      <c r="W247" s="1056"/>
      <c r="X247" s="1056"/>
      <c r="Y247" s="1056"/>
      <c r="Z247" s="1056"/>
      <c r="AA247" s="1056"/>
      <c r="AB247" s="1056"/>
      <c r="AC247" s="1056"/>
      <c r="AD247" s="1056"/>
      <c r="AE247" s="1056"/>
      <c r="AF247" s="264"/>
    </row>
    <row r="248" spans="1:32" s="268" customFormat="1" ht="15" x14ac:dyDescent="0.25">
      <c r="A248" s="264"/>
      <c r="B248" s="264"/>
      <c r="C248" s="1056"/>
      <c r="D248" s="1056"/>
      <c r="E248" s="1056"/>
      <c r="F248" s="1056"/>
      <c r="G248" s="1056"/>
      <c r="H248" s="1056"/>
      <c r="I248" s="1056"/>
      <c r="J248" s="1056"/>
      <c r="K248" s="1056"/>
      <c r="L248" s="1056"/>
      <c r="M248" s="274"/>
      <c r="P248" s="264"/>
      <c r="Q248" s="264"/>
      <c r="R248" s="264"/>
      <c r="S248" s="264"/>
      <c r="T248" s="1056"/>
      <c r="U248" s="1056"/>
      <c r="V248" s="1056"/>
      <c r="W248" s="1056"/>
      <c r="X248" s="1056"/>
      <c r="Y248" s="1056"/>
      <c r="Z248" s="1056"/>
      <c r="AA248" s="1056"/>
      <c r="AB248" s="1056"/>
      <c r="AC248" s="1056"/>
      <c r="AD248" s="1056"/>
      <c r="AE248" s="1056"/>
      <c r="AF248" s="264"/>
    </row>
    <row r="249" spans="1:32" s="268" customFormat="1" ht="15" x14ac:dyDescent="0.25">
      <c r="A249" s="264"/>
      <c r="B249" s="264"/>
      <c r="C249" s="1056"/>
      <c r="D249" s="1056"/>
      <c r="E249" s="1056"/>
      <c r="F249" s="1056"/>
      <c r="G249" s="1056"/>
      <c r="H249" s="1056"/>
      <c r="I249" s="1056"/>
      <c r="J249" s="1056"/>
      <c r="K249" s="1056"/>
      <c r="L249" s="1056"/>
      <c r="M249" s="274"/>
      <c r="P249" s="264"/>
      <c r="Q249" s="264"/>
      <c r="R249" s="264"/>
      <c r="S249" s="264"/>
      <c r="T249" s="1056"/>
      <c r="U249" s="1056"/>
      <c r="V249" s="1056"/>
      <c r="W249" s="1056"/>
      <c r="X249" s="1056"/>
      <c r="Y249" s="1056"/>
      <c r="Z249" s="1056"/>
      <c r="AA249" s="1056"/>
      <c r="AB249" s="1056"/>
      <c r="AC249" s="1056"/>
      <c r="AD249" s="1056"/>
      <c r="AE249" s="1056"/>
      <c r="AF249" s="264"/>
    </row>
    <row r="250" spans="1:32" s="268" customFormat="1" ht="15" x14ac:dyDescent="0.25">
      <c r="A250" s="264"/>
      <c r="B250" s="264"/>
      <c r="C250" s="1056"/>
      <c r="D250" s="1056"/>
      <c r="E250" s="1056"/>
      <c r="F250" s="1056"/>
      <c r="G250" s="1056"/>
      <c r="H250" s="1056"/>
      <c r="I250" s="1056"/>
      <c r="J250" s="1056"/>
      <c r="K250" s="1056"/>
      <c r="L250" s="1056"/>
      <c r="M250" s="274"/>
      <c r="P250" s="264"/>
      <c r="Q250" s="264"/>
      <c r="R250" s="264"/>
      <c r="S250" s="264"/>
      <c r="T250" s="1056"/>
      <c r="U250" s="1056"/>
      <c r="V250" s="1056"/>
      <c r="W250" s="1056"/>
      <c r="X250" s="1056"/>
      <c r="Y250" s="1056"/>
      <c r="Z250" s="1056"/>
      <c r="AA250" s="1056"/>
      <c r="AB250" s="1056"/>
      <c r="AC250" s="1056"/>
      <c r="AD250" s="1056"/>
      <c r="AE250" s="1056"/>
      <c r="AF250" s="264"/>
    </row>
    <row r="251" spans="1:32" s="268" customFormat="1" ht="15" x14ac:dyDescent="0.25">
      <c r="A251" s="264"/>
      <c r="B251" s="264"/>
      <c r="C251" s="1056"/>
      <c r="D251" s="1056"/>
      <c r="E251" s="1056"/>
      <c r="F251" s="1056"/>
      <c r="G251" s="1056"/>
      <c r="H251" s="1056"/>
      <c r="I251" s="1056"/>
      <c r="J251" s="1056"/>
      <c r="K251" s="1056"/>
      <c r="L251" s="1056"/>
      <c r="M251" s="274"/>
      <c r="P251" s="264"/>
      <c r="Q251" s="264"/>
      <c r="R251" s="264"/>
      <c r="S251" s="264"/>
      <c r="T251" s="1056"/>
      <c r="U251" s="1056"/>
      <c r="V251" s="1056"/>
      <c r="W251" s="1056"/>
      <c r="X251" s="1056"/>
      <c r="Y251" s="1056"/>
      <c r="Z251" s="1056"/>
      <c r="AA251" s="1056"/>
      <c r="AB251" s="1056"/>
      <c r="AC251" s="1056"/>
      <c r="AD251" s="1056"/>
      <c r="AE251" s="1056"/>
      <c r="AF251" s="264"/>
    </row>
    <row r="252" spans="1:32" s="268" customFormat="1" ht="15" x14ac:dyDescent="0.25">
      <c r="A252" s="264"/>
      <c r="B252" s="264"/>
      <c r="C252" s="1056"/>
      <c r="D252" s="1056"/>
      <c r="E252" s="1056"/>
      <c r="F252" s="1056"/>
      <c r="G252" s="1056"/>
      <c r="H252" s="1056"/>
      <c r="I252" s="1056"/>
      <c r="J252" s="1056"/>
      <c r="K252" s="1056"/>
      <c r="L252" s="1056"/>
      <c r="M252" s="274"/>
      <c r="P252" s="264"/>
      <c r="Q252" s="264"/>
      <c r="R252" s="264"/>
      <c r="S252" s="264"/>
      <c r="T252" s="1056"/>
      <c r="U252" s="1056"/>
      <c r="V252" s="1056"/>
      <c r="W252" s="1056"/>
      <c r="X252" s="1056"/>
      <c r="Y252" s="1056"/>
      <c r="Z252" s="1056"/>
      <c r="AA252" s="1056"/>
      <c r="AB252" s="1056"/>
      <c r="AC252" s="1056"/>
      <c r="AD252" s="1056"/>
      <c r="AE252" s="1056"/>
      <c r="AF252" s="264"/>
    </row>
    <row r="253" spans="1:32" s="268" customFormat="1" ht="15" x14ac:dyDescent="0.25">
      <c r="A253" s="264"/>
      <c r="B253" s="264"/>
      <c r="C253" s="1056"/>
      <c r="D253" s="1056"/>
      <c r="E253" s="1056"/>
      <c r="F253" s="1056"/>
      <c r="G253" s="1056"/>
      <c r="H253" s="1056"/>
      <c r="I253" s="1056"/>
      <c r="J253" s="1056"/>
      <c r="K253" s="1056"/>
      <c r="L253" s="1056"/>
      <c r="M253" s="274"/>
      <c r="P253" s="264"/>
      <c r="Q253" s="264"/>
      <c r="R253" s="264"/>
      <c r="S253" s="264"/>
      <c r="T253" s="1056"/>
      <c r="U253" s="1056"/>
      <c r="V253" s="1056"/>
      <c r="W253" s="1056"/>
      <c r="X253" s="1056"/>
      <c r="Y253" s="1056"/>
      <c r="Z253" s="1056"/>
      <c r="AA253" s="1056"/>
      <c r="AB253" s="1056"/>
      <c r="AC253" s="1056"/>
      <c r="AD253" s="1056"/>
      <c r="AE253" s="1056"/>
      <c r="AF253" s="264"/>
    </row>
    <row r="254" spans="1:32" s="268" customFormat="1" ht="15" x14ac:dyDescent="0.25">
      <c r="A254" s="264"/>
      <c r="B254" s="264"/>
      <c r="C254" s="1056"/>
      <c r="D254" s="1056"/>
      <c r="E254" s="1056"/>
      <c r="F254" s="1056"/>
      <c r="G254" s="1056"/>
      <c r="H254" s="1056"/>
      <c r="I254" s="1056"/>
      <c r="J254" s="1056"/>
      <c r="K254" s="1056"/>
      <c r="L254" s="1056"/>
      <c r="M254" s="274"/>
      <c r="P254" s="264"/>
      <c r="Q254" s="264"/>
      <c r="R254" s="264"/>
      <c r="S254" s="264"/>
      <c r="T254" s="1056"/>
      <c r="U254" s="1056"/>
      <c r="V254" s="1056"/>
      <c r="W254" s="1056"/>
      <c r="X254" s="1056"/>
      <c r="Y254" s="1056"/>
      <c r="Z254" s="1056"/>
      <c r="AA254" s="1056"/>
      <c r="AB254" s="1056"/>
      <c r="AC254" s="1056"/>
      <c r="AD254" s="1056"/>
      <c r="AE254" s="1056"/>
      <c r="AF254" s="264"/>
    </row>
    <row r="255" spans="1:32" s="268" customFormat="1" ht="15" x14ac:dyDescent="0.25">
      <c r="A255" s="264"/>
      <c r="B255" s="264"/>
      <c r="C255" s="1056"/>
      <c r="D255" s="1056"/>
      <c r="E255" s="1056"/>
      <c r="F255" s="1056"/>
      <c r="G255" s="1056"/>
      <c r="H255" s="1056"/>
      <c r="I255" s="1056"/>
      <c r="J255" s="1056"/>
      <c r="K255" s="1056"/>
      <c r="L255" s="1056"/>
      <c r="M255" s="274"/>
      <c r="P255" s="264"/>
      <c r="Q255" s="264"/>
      <c r="R255" s="264"/>
      <c r="S255" s="264"/>
      <c r="T255" s="1056"/>
      <c r="U255" s="1056"/>
      <c r="V255" s="1056"/>
      <c r="W255" s="1056"/>
      <c r="X255" s="1056"/>
      <c r="Y255" s="1056"/>
      <c r="Z255" s="1056"/>
      <c r="AA255" s="1056"/>
      <c r="AB255" s="1056"/>
      <c r="AC255" s="1056"/>
      <c r="AD255" s="1056"/>
      <c r="AE255" s="1056"/>
      <c r="AF255" s="264"/>
    </row>
    <row r="256" spans="1:32" s="268" customFormat="1" ht="15" x14ac:dyDescent="0.25">
      <c r="A256" s="264"/>
      <c r="B256" s="264"/>
      <c r="C256" s="1056"/>
      <c r="D256" s="1056"/>
      <c r="E256" s="1056"/>
      <c r="F256" s="1056"/>
      <c r="G256" s="1056"/>
      <c r="H256" s="1056"/>
      <c r="I256" s="1056"/>
      <c r="J256" s="1056"/>
      <c r="K256" s="1056"/>
      <c r="L256" s="1056"/>
      <c r="M256" s="274"/>
      <c r="P256" s="264"/>
      <c r="Q256" s="264"/>
      <c r="R256" s="264"/>
      <c r="S256" s="264"/>
      <c r="T256" s="1056"/>
      <c r="U256" s="1056"/>
      <c r="V256" s="1056"/>
      <c r="W256" s="1056"/>
      <c r="X256" s="1056"/>
      <c r="Y256" s="1056"/>
      <c r="Z256" s="1056"/>
      <c r="AA256" s="1056"/>
      <c r="AB256" s="1056"/>
      <c r="AC256" s="1056"/>
      <c r="AD256" s="1056"/>
      <c r="AE256" s="1056"/>
      <c r="AF256" s="264"/>
    </row>
    <row r="257" spans="1:32" s="268" customFormat="1" ht="15" x14ac:dyDescent="0.25">
      <c r="A257" s="264"/>
      <c r="B257" s="264"/>
      <c r="C257" s="1056"/>
      <c r="D257" s="1056"/>
      <c r="E257" s="1056"/>
      <c r="F257" s="1056"/>
      <c r="G257" s="1056"/>
      <c r="H257" s="1056"/>
      <c r="I257" s="1056"/>
      <c r="J257" s="1056"/>
      <c r="K257" s="1056"/>
      <c r="L257" s="1056"/>
      <c r="M257" s="274"/>
      <c r="P257" s="264"/>
      <c r="Q257" s="264"/>
      <c r="R257" s="264"/>
      <c r="S257" s="264"/>
      <c r="T257" s="1056"/>
      <c r="U257" s="1056"/>
      <c r="V257" s="1056"/>
      <c r="W257" s="1056"/>
      <c r="X257" s="1056"/>
      <c r="Y257" s="1056"/>
      <c r="Z257" s="1056"/>
      <c r="AA257" s="1056"/>
      <c r="AB257" s="1056"/>
      <c r="AC257" s="1056"/>
      <c r="AD257" s="1056"/>
      <c r="AE257" s="1056"/>
      <c r="AF257" s="264"/>
    </row>
    <row r="258" spans="1:32" s="268" customFormat="1" ht="15" x14ac:dyDescent="0.25">
      <c r="A258" s="264"/>
      <c r="B258" s="264"/>
      <c r="C258" s="1056"/>
      <c r="D258" s="1056"/>
      <c r="E258" s="1056"/>
      <c r="F258" s="1056"/>
      <c r="G258" s="1056"/>
      <c r="H258" s="1056"/>
      <c r="I258" s="1056"/>
      <c r="J258" s="1056"/>
      <c r="K258" s="1056"/>
      <c r="L258" s="1056"/>
      <c r="M258" s="274"/>
      <c r="P258" s="264"/>
      <c r="Q258" s="264"/>
      <c r="R258" s="264"/>
      <c r="S258" s="264"/>
      <c r="T258" s="1056"/>
      <c r="U258" s="1056"/>
      <c r="V258" s="1056"/>
      <c r="W258" s="1056"/>
      <c r="X258" s="1056"/>
      <c r="Y258" s="1056"/>
      <c r="Z258" s="1056"/>
      <c r="AA258" s="1056"/>
      <c r="AB258" s="1056"/>
      <c r="AC258" s="1056"/>
      <c r="AD258" s="1056"/>
      <c r="AE258" s="1056"/>
      <c r="AF258" s="264"/>
    </row>
    <row r="259" spans="1:32" s="268" customFormat="1" ht="15" x14ac:dyDescent="0.25">
      <c r="A259" s="264"/>
      <c r="B259" s="264"/>
      <c r="C259" s="1056"/>
      <c r="D259" s="1056"/>
      <c r="E259" s="1056"/>
      <c r="F259" s="1056"/>
      <c r="G259" s="1056"/>
      <c r="H259" s="1056"/>
      <c r="I259" s="1056"/>
      <c r="J259" s="1056"/>
      <c r="K259" s="1056"/>
      <c r="L259" s="1056"/>
      <c r="M259" s="274"/>
      <c r="P259" s="264"/>
      <c r="Q259" s="264"/>
      <c r="R259" s="264"/>
      <c r="S259" s="264"/>
      <c r="T259" s="1056"/>
      <c r="U259" s="1056"/>
      <c r="V259" s="1056"/>
      <c r="W259" s="1056"/>
      <c r="X259" s="1056"/>
      <c r="Y259" s="1056"/>
      <c r="Z259" s="1056"/>
      <c r="AA259" s="1056"/>
      <c r="AB259" s="1056"/>
      <c r="AC259" s="1056"/>
      <c r="AD259" s="1056"/>
      <c r="AE259" s="1056"/>
      <c r="AF259" s="264"/>
    </row>
    <row r="260" spans="1:32" s="268" customFormat="1" ht="15" x14ac:dyDescent="0.25">
      <c r="A260" s="264"/>
      <c r="B260" s="264"/>
      <c r="C260" s="1056"/>
      <c r="D260" s="1056"/>
      <c r="E260" s="1056"/>
      <c r="F260" s="1056"/>
      <c r="G260" s="1056"/>
      <c r="H260" s="1056"/>
      <c r="I260" s="1056"/>
      <c r="J260" s="1056"/>
      <c r="K260" s="1056"/>
      <c r="L260" s="1056"/>
      <c r="M260" s="274"/>
      <c r="P260" s="264"/>
      <c r="Q260" s="264"/>
      <c r="R260" s="264"/>
      <c r="S260" s="264"/>
      <c r="T260" s="1056"/>
      <c r="U260" s="1056"/>
      <c r="V260" s="1056"/>
      <c r="W260" s="1056"/>
      <c r="X260" s="1056"/>
      <c r="Y260" s="1056"/>
      <c r="Z260" s="1056"/>
      <c r="AA260" s="1056"/>
      <c r="AB260" s="1056"/>
      <c r="AC260" s="1056"/>
      <c r="AD260" s="1056"/>
      <c r="AE260" s="1056"/>
      <c r="AF260" s="264"/>
    </row>
    <row r="261" spans="1:32" s="268" customFormat="1" ht="15" x14ac:dyDescent="0.25">
      <c r="A261" s="264"/>
      <c r="B261" s="264"/>
      <c r="C261" s="1056"/>
      <c r="D261" s="1056"/>
      <c r="E261" s="1056"/>
      <c r="F261" s="1056"/>
      <c r="G261" s="1056"/>
      <c r="H261" s="1056"/>
      <c r="I261" s="1056"/>
      <c r="J261" s="1056"/>
      <c r="K261" s="1056"/>
      <c r="L261" s="1056"/>
      <c r="M261" s="274"/>
      <c r="P261" s="264"/>
      <c r="Q261" s="264"/>
      <c r="R261" s="264"/>
      <c r="S261" s="264"/>
      <c r="T261" s="1056"/>
      <c r="U261" s="1056"/>
      <c r="V261" s="1056"/>
      <c r="W261" s="1056"/>
      <c r="X261" s="1056"/>
      <c r="Y261" s="1056"/>
      <c r="Z261" s="1056"/>
      <c r="AA261" s="1056"/>
      <c r="AB261" s="1056"/>
      <c r="AC261" s="1056"/>
      <c r="AD261" s="1056"/>
      <c r="AE261" s="1056"/>
      <c r="AF261" s="264"/>
    </row>
    <row r="262" spans="1:32" s="268" customFormat="1" ht="15" x14ac:dyDescent="0.25">
      <c r="A262" s="264"/>
      <c r="B262" s="264"/>
      <c r="C262" s="1056"/>
      <c r="D262" s="1056"/>
      <c r="E262" s="1056"/>
      <c r="F262" s="1056"/>
      <c r="G262" s="1056"/>
      <c r="H262" s="1056"/>
      <c r="I262" s="1056"/>
      <c r="J262" s="1056"/>
      <c r="K262" s="1056"/>
      <c r="L262" s="1056"/>
      <c r="M262" s="274"/>
      <c r="P262" s="264"/>
      <c r="Q262" s="264"/>
      <c r="R262" s="264"/>
      <c r="S262" s="264"/>
      <c r="T262" s="1056"/>
      <c r="U262" s="1056"/>
      <c r="V262" s="1056"/>
      <c r="W262" s="1056"/>
      <c r="X262" s="1056"/>
      <c r="Y262" s="1056"/>
      <c r="Z262" s="1056"/>
      <c r="AA262" s="1056"/>
      <c r="AB262" s="1056"/>
      <c r="AC262" s="1056"/>
      <c r="AD262" s="1056"/>
      <c r="AE262" s="1056"/>
      <c r="AF262" s="264"/>
    </row>
    <row r="263" spans="1:32" s="268" customFormat="1" ht="15" x14ac:dyDescent="0.25">
      <c r="A263" s="264"/>
      <c r="B263" s="264"/>
      <c r="C263" s="1056"/>
      <c r="D263" s="1056"/>
      <c r="E263" s="1056"/>
      <c r="F263" s="1056"/>
      <c r="G263" s="1056"/>
      <c r="H263" s="1056"/>
      <c r="I263" s="1056"/>
      <c r="J263" s="1056"/>
      <c r="K263" s="1056"/>
      <c r="L263" s="1056"/>
      <c r="M263" s="274"/>
      <c r="P263" s="264"/>
      <c r="Q263" s="264"/>
      <c r="R263" s="264"/>
      <c r="S263" s="264"/>
      <c r="T263" s="1056"/>
      <c r="U263" s="1056"/>
      <c r="V263" s="1056"/>
      <c r="W263" s="1056"/>
      <c r="X263" s="1056"/>
      <c r="Y263" s="1056"/>
      <c r="Z263" s="1056"/>
      <c r="AA263" s="1056"/>
      <c r="AB263" s="1056"/>
      <c r="AC263" s="1056"/>
      <c r="AD263" s="1056"/>
      <c r="AE263" s="1056"/>
      <c r="AF263" s="264"/>
    </row>
    <row r="264" spans="1:32" s="268" customFormat="1" ht="15" x14ac:dyDescent="0.25">
      <c r="A264" s="264"/>
      <c r="B264" s="264"/>
      <c r="C264" s="1056"/>
      <c r="D264" s="1056"/>
      <c r="E264" s="1056"/>
      <c r="F264" s="1056"/>
      <c r="G264" s="1056"/>
      <c r="H264" s="1056"/>
      <c r="I264" s="1056"/>
      <c r="J264" s="1056"/>
      <c r="K264" s="1056"/>
      <c r="L264" s="1056"/>
      <c r="M264" s="274"/>
      <c r="P264" s="264"/>
      <c r="Q264" s="264"/>
      <c r="R264" s="264"/>
      <c r="S264" s="264"/>
      <c r="T264" s="1056"/>
      <c r="U264" s="1056"/>
      <c r="V264" s="1056"/>
      <c r="W264" s="1056"/>
      <c r="X264" s="1056"/>
      <c r="Y264" s="1056"/>
      <c r="Z264" s="1056"/>
      <c r="AA264" s="1056"/>
      <c r="AB264" s="1056"/>
      <c r="AC264" s="1056"/>
      <c r="AD264" s="1056"/>
      <c r="AE264" s="1056"/>
      <c r="AF264" s="264"/>
    </row>
    <row r="265" spans="1:32" s="268" customFormat="1" ht="15" x14ac:dyDescent="0.25">
      <c r="A265" s="264"/>
      <c r="B265" s="264"/>
      <c r="C265" s="1056"/>
      <c r="D265" s="1056"/>
      <c r="E265" s="1056"/>
      <c r="F265" s="1056"/>
      <c r="G265" s="1056"/>
      <c r="H265" s="1056"/>
      <c r="I265" s="1056"/>
      <c r="J265" s="1056"/>
      <c r="K265" s="1056"/>
      <c r="L265" s="1056"/>
      <c r="M265" s="274"/>
      <c r="P265" s="264"/>
      <c r="Q265" s="264"/>
      <c r="R265" s="264"/>
      <c r="S265" s="264"/>
      <c r="T265" s="1056"/>
      <c r="U265" s="1056"/>
      <c r="V265" s="1056"/>
      <c r="W265" s="1056"/>
      <c r="X265" s="1056"/>
      <c r="Y265" s="1056"/>
      <c r="Z265" s="1056"/>
      <c r="AA265" s="1056"/>
      <c r="AB265" s="1056"/>
      <c r="AC265" s="1056"/>
      <c r="AD265" s="1056"/>
      <c r="AE265" s="1056"/>
      <c r="AF265" s="264"/>
    </row>
    <row r="266" spans="1:32" s="268" customFormat="1" ht="15" x14ac:dyDescent="0.25">
      <c r="A266" s="264"/>
      <c r="B266" s="264"/>
      <c r="C266" s="1056"/>
      <c r="D266" s="1056"/>
      <c r="E266" s="1056"/>
      <c r="F266" s="1056"/>
      <c r="G266" s="1056"/>
      <c r="H266" s="1056"/>
      <c r="I266" s="1056"/>
      <c r="J266" s="1056"/>
      <c r="K266" s="1056"/>
      <c r="L266" s="1056"/>
      <c r="M266" s="274"/>
      <c r="P266" s="264"/>
      <c r="Q266" s="264"/>
      <c r="R266" s="264"/>
      <c r="S266" s="264"/>
      <c r="T266" s="1056"/>
      <c r="U266" s="1056"/>
      <c r="V266" s="1056"/>
      <c r="W266" s="1056"/>
      <c r="X266" s="1056"/>
      <c r="Y266" s="1056"/>
      <c r="Z266" s="1056"/>
      <c r="AA266" s="1056"/>
      <c r="AB266" s="1056"/>
      <c r="AC266" s="1056"/>
      <c r="AD266" s="1056"/>
      <c r="AE266" s="1056"/>
      <c r="AF266" s="264"/>
    </row>
    <row r="267" spans="1:32" s="268" customFormat="1" ht="15" x14ac:dyDescent="0.25">
      <c r="A267" s="264"/>
      <c r="B267" s="264"/>
      <c r="C267" s="1056"/>
      <c r="D267" s="1056"/>
      <c r="E267" s="1056"/>
      <c r="F267" s="1056"/>
      <c r="G267" s="1056"/>
      <c r="H267" s="1056"/>
      <c r="I267" s="1056"/>
      <c r="J267" s="1056"/>
      <c r="K267" s="1056"/>
      <c r="L267" s="1056"/>
      <c r="M267" s="274"/>
      <c r="P267" s="264"/>
      <c r="Q267" s="264"/>
      <c r="R267" s="264"/>
      <c r="S267" s="264"/>
      <c r="T267" s="1056"/>
      <c r="U267" s="1056"/>
      <c r="V267" s="1056"/>
      <c r="W267" s="1056"/>
      <c r="X267" s="1056"/>
      <c r="Y267" s="1056"/>
      <c r="Z267" s="1056"/>
      <c r="AA267" s="1056"/>
      <c r="AB267" s="1056"/>
      <c r="AC267" s="1056"/>
      <c r="AD267" s="1056"/>
      <c r="AE267" s="1056"/>
      <c r="AF267" s="264"/>
    </row>
    <row r="268" spans="1:32" s="268" customFormat="1" ht="15" x14ac:dyDescent="0.25">
      <c r="A268" s="264"/>
      <c r="B268" s="264"/>
      <c r="C268" s="1056"/>
      <c r="D268" s="1056"/>
      <c r="E268" s="1056"/>
      <c r="F268" s="1056"/>
      <c r="G268" s="1056"/>
      <c r="H268" s="1056"/>
      <c r="I268" s="1056"/>
      <c r="J268" s="1056"/>
      <c r="K268" s="1056"/>
      <c r="L268" s="1056"/>
      <c r="M268" s="274"/>
      <c r="P268" s="264"/>
      <c r="Q268" s="264"/>
      <c r="R268" s="264"/>
      <c r="S268" s="264"/>
      <c r="T268" s="1056"/>
      <c r="U268" s="1056"/>
      <c r="V268" s="1056"/>
      <c r="W268" s="1056"/>
      <c r="X268" s="1056"/>
      <c r="Y268" s="1056"/>
      <c r="Z268" s="1056"/>
      <c r="AA268" s="1056"/>
      <c r="AB268" s="1056"/>
      <c r="AC268" s="1056"/>
      <c r="AD268" s="1056"/>
      <c r="AE268" s="1056"/>
      <c r="AF268" s="264"/>
    </row>
    <row r="269" spans="1:32" s="268" customFormat="1" ht="15" x14ac:dyDescent="0.25">
      <c r="A269" s="264"/>
      <c r="B269" s="264"/>
      <c r="C269" s="1056"/>
      <c r="D269" s="1056"/>
      <c r="E269" s="1056"/>
      <c r="F269" s="1056"/>
      <c r="G269" s="1056"/>
      <c r="H269" s="1056"/>
      <c r="I269" s="1056"/>
      <c r="J269" s="1056"/>
      <c r="K269" s="1056"/>
      <c r="L269" s="1056"/>
      <c r="M269" s="274"/>
      <c r="P269" s="264"/>
      <c r="Q269" s="264"/>
      <c r="R269" s="264"/>
      <c r="S269" s="264"/>
      <c r="T269" s="1056"/>
      <c r="U269" s="1056"/>
      <c r="V269" s="1056"/>
      <c r="W269" s="1056"/>
      <c r="X269" s="1056"/>
      <c r="Y269" s="1056"/>
      <c r="Z269" s="1056"/>
      <c r="AA269" s="1056"/>
      <c r="AB269" s="1056"/>
      <c r="AC269" s="1056"/>
      <c r="AD269" s="1056"/>
      <c r="AE269" s="1056"/>
      <c r="AF269" s="264"/>
    </row>
    <row r="270" spans="1:32" s="268" customFormat="1" ht="15" x14ac:dyDescent="0.25">
      <c r="A270" s="264"/>
      <c r="B270" s="264"/>
      <c r="C270" s="1056"/>
      <c r="D270" s="1056"/>
      <c r="E270" s="1056"/>
      <c r="F270" s="1056"/>
      <c r="G270" s="1056"/>
      <c r="H270" s="1056"/>
      <c r="I270" s="1056"/>
      <c r="J270" s="1056"/>
      <c r="K270" s="1056"/>
      <c r="L270" s="1056"/>
      <c r="M270" s="274"/>
      <c r="P270" s="264"/>
      <c r="Q270" s="264"/>
      <c r="R270" s="264"/>
      <c r="S270" s="264"/>
      <c r="T270" s="1056"/>
      <c r="U270" s="1056"/>
      <c r="V270" s="1056"/>
      <c r="W270" s="1056"/>
      <c r="X270" s="1056"/>
      <c r="Y270" s="1056"/>
      <c r="Z270" s="1056"/>
      <c r="AA270" s="1056"/>
      <c r="AB270" s="1056"/>
      <c r="AC270" s="1056"/>
      <c r="AD270" s="1056"/>
      <c r="AE270" s="1056"/>
      <c r="AF270" s="264"/>
    </row>
    <row r="271" spans="1:32" s="268" customFormat="1" ht="15" x14ac:dyDescent="0.25">
      <c r="A271" s="264"/>
      <c r="B271" s="264"/>
      <c r="C271" s="1056"/>
      <c r="D271" s="1056"/>
      <c r="E271" s="1056"/>
      <c r="F271" s="1056"/>
      <c r="G271" s="1056"/>
      <c r="H271" s="1056"/>
      <c r="I271" s="1056"/>
      <c r="J271" s="1056"/>
      <c r="K271" s="1056"/>
      <c r="L271" s="1056"/>
      <c r="M271" s="274"/>
      <c r="P271" s="264"/>
      <c r="Q271" s="264"/>
      <c r="R271" s="264"/>
      <c r="S271" s="264"/>
      <c r="T271" s="1056"/>
      <c r="U271" s="1056"/>
      <c r="V271" s="1056"/>
      <c r="W271" s="1056"/>
      <c r="X271" s="1056"/>
      <c r="Y271" s="1056"/>
      <c r="Z271" s="1056"/>
      <c r="AA271" s="1056"/>
      <c r="AB271" s="1056"/>
      <c r="AC271" s="1056"/>
      <c r="AD271" s="1056"/>
      <c r="AE271" s="1056"/>
      <c r="AF271" s="264"/>
    </row>
    <row r="272" spans="1:32" s="268" customFormat="1" ht="15" x14ac:dyDescent="0.25">
      <c r="A272" s="264"/>
      <c r="B272" s="264"/>
      <c r="C272" s="1056"/>
      <c r="D272" s="1056"/>
      <c r="E272" s="1056"/>
      <c r="F272" s="1056"/>
      <c r="G272" s="1056"/>
      <c r="H272" s="1056"/>
      <c r="I272" s="1056"/>
      <c r="J272" s="1056"/>
      <c r="K272" s="1056"/>
      <c r="L272" s="1056"/>
      <c r="M272" s="274"/>
      <c r="P272" s="264"/>
      <c r="Q272" s="264"/>
      <c r="R272" s="264"/>
      <c r="S272" s="264"/>
      <c r="T272" s="1056"/>
      <c r="U272" s="1056"/>
      <c r="V272" s="1056"/>
      <c r="W272" s="1056"/>
      <c r="X272" s="1056"/>
      <c r="Y272" s="1056"/>
      <c r="Z272" s="1056"/>
      <c r="AA272" s="1056"/>
      <c r="AB272" s="1056"/>
      <c r="AC272" s="1056"/>
      <c r="AD272" s="1056"/>
      <c r="AE272" s="1056"/>
      <c r="AF272" s="264"/>
    </row>
    <row r="273" spans="1:32" s="268" customFormat="1" ht="15" x14ac:dyDescent="0.25">
      <c r="A273" s="264"/>
      <c r="B273" s="264"/>
      <c r="C273" s="1056"/>
      <c r="D273" s="1056"/>
      <c r="E273" s="1056"/>
      <c r="F273" s="1056"/>
      <c r="G273" s="1056"/>
      <c r="H273" s="1056"/>
      <c r="I273" s="1056"/>
      <c r="J273" s="1056"/>
      <c r="K273" s="1056"/>
      <c r="L273" s="1056"/>
      <c r="M273" s="274"/>
      <c r="P273" s="264"/>
      <c r="Q273" s="264"/>
      <c r="R273" s="264"/>
      <c r="S273" s="264"/>
      <c r="T273" s="1056"/>
      <c r="U273" s="1056"/>
      <c r="V273" s="1056"/>
      <c r="W273" s="1056"/>
      <c r="X273" s="1056"/>
      <c r="Y273" s="1056"/>
      <c r="Z273" s="1056"/>
      <c r="AA273" s="1056"/>
      <c r="AB273" s="1056"/>
      <c r="AC273" s="1056"/>
      <c r="AD273" s="1056"/>
      <c r="AE273" s="1056"/>
      <c r="AF273" s="264"/>
    </row>
    <row r="274" spans="1:32" s="268" customFormat="1" ht="15" x14ac:dyDescent="0.25">
      <c r="A274" s="264"/>
      <c r="B274" s="264"/>
      <c r="C274" s="1056"/>
      <c r="D274" s="1056"/>
      <c r="E274" s="1056"/>
      <c r="F274" s="1056"/>
      <c r="G274" s="1056"/>
      <c r="H274" s="1056"/>
      <c r="I274" s="1056"/>
      <c r="J274" s="1056"/>
      <c r="K274" s="1056"/>
      <c r="L274" s="1056"/>
      <c r="M274" s="274"/>
      <c r="P274" s="264"/>
      <c r="Q274" s="264"/>
      <c r="R274" s="264"/>
      <c r="S274" s="264"/>
      <c r="T274" s="1056"/>
      <c r="U274" s="1056"/>
      <c r="V274" s="1056"/>
      <c r="W274" s="1056"/>
      <c r="X274" s="1056"/>
      <c r="Y274" s="1056"/>
      <c r="Z274" s="1056"/>
      <c r="AA274" s="1056"/>
      <c r="AB274" s="1056"/>
      <c r="AC274" s="1056"/>
      <c r="AD274" s="1056"/>
      <c r="AE274" s="1056"/>
      <c r="AF274" s="264"/>
    </row>
    <row r="275" spans="1:32" s="268" customFormat="1" ht="15" x14ac:dyDescent="0.25">
      <c r="A275" s="264"/>
      <c r="B275" s="264"/>
      <c r="C275" s="1056"/>
      <c r="D275" s="1056"/>
      <c r="E275" s="1056"/>
      <c r="F275" s="1056"/>
      <c r="G275" s="1056"/>
      <c r="H275" s="1056"/>
      <c r="I275" s="1056"/>
      <c r="J275" s="1056"/>
      <c r="K275" s="1056"/>
      <c r="L275" s="1056"/>
      <c r="M275" s="274"/>
      <c r="P275" s="264"/>
      <c r="Q275" s="264"/>
      <c r="R275" s="264"/>
      <c r="S275" s="264"/>
      <c r="T275" s="1056"/>
      <c r="U275" s="1056"/>
      <c r="V275" s="1056"/>
      <c r="W275" s="1056"/>
      <c r="X275" s="1056"/>
      <c r="Y275" s="1056"/>
      <c r="Z275" s="1056"/>
      <c r="AA275" s="1056"/>
      <c r="AB275" s="1056"/>
      <c r="AC275" s="1056"/>
      <c r="AD275" s="1056"/>
      <c r="AE275" s="1056"/>
      <c r="AF275" s="264"/>
    </row>
    <row r="276" spans="1:32" s="268" customFormat="1" ht="15" x14ac:dyDescent="0.25">
      <c r="A276" s="264"/>
      <c r="B276" s="264"/>
      <c r="C276" s="1056"/>
      <c r="D276" s="1056"/>
      <c r="E276" s="1056"/>
      <c r="F276" s="1056"/>
      <c r="G276" s="1056"/>
      <c r="H276" s="1056"/>
      <c r="I276" s="1056"/>
      <c r="J276" s="1056"/>
      <c r="K276" s="1056"/>
      <c r="L276" s="1056"/>
      <c r="M276" s="274"/>
      <c r="P276" s="264"/>
      <c r="Q276" s="264"/>
      <c r="R276" s="264"/>
      <c r="S276" s="264"/>
      <c r="T276" s="1056"/>
      <c r="U276" s="1056"/>
      <c r="V276" s="1056"/>
      <c r="W276" s="1056"/>
      <c r="X276" s="1056"/>
      <c r="Y276" s="1056"/>
      <c r="Z276" s="1056"/>
      <c r="AA276" s="1056"/>
      <c r="AB276" s="1056"/>
      <c r="AC276" s="1056"/>
      <c r="AD276" s="1056"/>
      <c r="AE276" s="1056"/>
      <c r="AF276" s="264"/>
    </row>
    <row r="277" spans="1:32" s="268" customFormat="1" ht="15" x14ac:dyDescent="0.25">
      <c r="A277" s="264"/>
      <c r="B277" s="264"/>
      <c r="C277" s="1056"/>
      <c r="D277" s="1056"/>
      <c r="E277" s="1056"/>
      <c r="F277" s="1056"/>
      <c r="G277" s="1056"/>
      <c r="H277" s="1056"/>
      <c r="I277" s="1056"/>
      <c r="J277" s="1056"/>
      <c r="K277" s="1056"/>
      <c r="L277" s="1056"/>
      <c r="M277" s="274"/>
      <c r="P277" s="264"/>
      <c r="Q277" s="264"/>
      <c r="R277" s="264"/>
      <c r="S277" s="264"/>
      <c r="T277" s="1056"/>
      <c r="U277" s="1056"/>
      <c r="V277" s="1056"/>
      <c r="W277" s="1056"/>
      <c r="X277" s="1056"/>
      <c r="Y277" s="1056"/>
      <c r="Z277" s="1056"/>
      <c r="AA277" s="1056"/>
      <c r="AB277" s="1056"/>
      <c r="AC277" s="1056"/>
      <c r="AD277" s="1056"/>
      <c r="AE277" s="1056"/>
      <c r="AF277" s="264"/>
    </row>
    <row r="278" spans="1:32" s="268" customFormat="1" ht="15" x14ac:dyDescent="0.25">
      <c r="A278" s="264"/>
      <c r="B278" s="264"/>
      <c r="C278" s="1056"/>
      <c r="D278" s="1056"/>
      <c r="E278" s="1056"/>
      <c r="F278" s="1056"/>
      <c r="G278" s="1056"/>
      <c r="H278" s="1056"/>
      <c r="I278" s="1056"/>
      <c r="J278" s="1056"/>
      <c r="K278" s="1056"/>
      <c r="L278" s="1056"/>
      <c r="M278" s="274"/>
      <c r="P278" s="264"/>
      <c r="Q278" s="264"/>
      <c r="R278" s="264"/>
      <c r="S278" s="264"/>
      <c r="T278" s="1056"/>
      <c r="U278" s="1056"/>
      <c r="V278" s="1056"/>
      <c r="W278" s="1056"/>
      <c r="X278" s="1056"/>
      <c r="Y278" s="1056"/>
      <c r="Z278" s="1056"/>
      <c r="AA278" s="1056"/>
      <c r="AB278" s="1056"/>
      <c r="AC278" s="1056"/>
      <c r="AD278" s="1056"/>
      <c r="AE278" s="1056"/>
      <c r="AF278" s="264"/>
    </row>
    <row r="279" spans="1:32" s="268" customFormat="1" ht="15" x14ac:dyDescent="0.25">
      <c r="A279" s="264"/>
      <c r="B279" s="264"/>
      <c r="C279" s="1056"/>
      <c r="D279" s="1056"/>
      <c r="E279" s="1056"/>
      <c r="F279" s="1056"/>
      <c r="G279" s="1056"/>
      <c r="H279" s="1056"/>
      <c r="I279" s="1056"/>
      <c r="J279" s="1056"/>
      <c r="K279" s="1056"/>
      <c r="L279" s="1056"/>
      <c r="M279" s="274"/>
      <c r="P279" s="264"/>
      <c r="Q279" s="264"/>
      <c r="R279" s="264"/>
      <c r="S279" s="264"/>
      <c r="T279" s="1056"/>
      <c r="U279" s="1056"/>
      <c r="V279" s="1056"/>
      <c r="W279" s="1056"/>
      <c r="X279" s="1056"/>
      <c r="Y279" s="1056"/>
      <c r="Z279" s="1056"/>
      <c r="AA279" s="1056"/>
      <c r="AB279" s="1056"/>
      <c r="AC279" s="1056"/>
      <c r="AD279" s="1056"/>
      <c r="AE279" s="1056"/>
      <c r="AF279" s="264"/>
    </row>
    <row r="280" spans="1:32" s="268" customFormat="1" ht="15" x14ac:dyDescent="0.25">
      <c r="A280" s="264"/>
      <c r="B280" s="264"/>
      <c r="C280" s="1056"/>
      <c r="D280" s="1056"/>
      <c r="E280" s="1056"/>
      <c r="F280" s="1056"/>
      <c r="G280" s="1056"/>
      <c r="H280" s="1056"/>
      <c r="I280" s="1056"/>
      <c r="J280" s="1056"/>
      <c r="K280" s="1056"/>
      <c r="L280" s="1056"/>
      <c r="M280" s="274"/>
      <c r="P280" s="264"/>
      <c r="Q280" s="264"/>
      <c r="R280" s="264"/>
      <c r="S280" s="264"/>
      <c r="T280" s="1056"/>
      <c r="U280" s="1056"/>
      <c r="V280" s="1056"/>
      <c r="W280" s="1056"/>
      <c r="X280" s="1056"/>
      <c r="Y280" s="1056"/>
      <c r="Z280" s="1056"/>
      <c r="AA280" s="1056"/>
      <c r="AB280" s="1056"/>
      <c r="AC280" s="1056"/>
      <c r="AD280" s="1056"/>
      <c r="AE280" s="1056"/>
      <c r="AF280" s="264"/>
    </row>
    <row r="281" spans="1:32" s="268" customFormat="1" ht="15" x14ac:dyDescent="0.25">
      <c r="A281" s="264"/>
      <c r="B281" s="264"/>
      <c r="C281" s="1056"/>
      <c r="D281" s="1056"/>
      <c r="E281" s="1056"/>
      <c r="F281" s="1056"/>
      <c r="G281" s="1056"/>
      <c r="H281" s="1056"/>
      <c r="I281" s="1056"/>
      <c r="J281" s="1056"/>
      <c r="K281" s="1056"/>
      <c r="L281" s="1056"/>
      <c r="M281" s="274"/>
      <c r="P281" s="264"/>
      <c r="Q281" s="264"/>
      <c r="R281" s="264"/>
      <c r="S281" s="264"/>
      <c r="T281" s="1056"/>
      <c r="U281" s="1056"/>
      <c r="V281" s="1056"/>
      <c r="W281" s="1056"/>
      <c r="X281" s="1056"/>
      <c r="Y281" s="1056"/>
      <c r="Z281" s="1056"/>
      <c r="AA281" s="1056"/>
      <c r="AB281" s="1056"/>
      <c r="AC281" s="1056"/>
      <c r="AD281" s="1056"/>
      <c r="AE281" s="1056"/>
      <c r="AF281" s="264"/>
    </row>
    <row r="282" spans="1:32" s="268" customFormat="1" ht="15" x14ac:dyDescent="0.25">
      <c r="A282" s="264"/>
      <c r="B282" s="264"/>
      <c r="C282" s="1056"/>
      <c r="D282" s="1056"/>
      <c r="E282" s="1056"/>
      <c r="F282" s="1056"/>
      <c r="G282" s="1056"/>
      <c r="H282" s="1056"/>
      <c r="I282" s="1056"/>
      <c r="J282" s="1056"/>
      <c r="K282" s="1056"/>
      <c r="L282" s="1056"/>
      <c r="M282" s="274"/>
      <c r="P282" s="264"/>
      <c r="Q282" s="264"/>
      <c r="R282" s="264"/>
      <c r="S282" s="264"/>
      <c r="T282" s="1056"/>
      <c r="U282" s="1056"/>
      <c r="V282" s="1056"/>
      <c r="W282" s="1056"/>
      <c r="X282" s="1056"/>
      <c r="Y282" s="1056"/>
      <c r="Z282" s="1056"/>
      <c r="AA282" s="1056"/>
      <c r="AB282" s="1056"/>
      <c r="AC282" s="1056"/>
      <c r="AD282" s="1056"/>
      <c r="AE282" s="1056"/>
      <c r="AF282" s="264"/>
    </row>
    <row r="283" spans="1:32" s="268" customFormat="1" ht="15" x14ac:dyDescent="0.25">
      <c r="A283" s="264"/>
      <c r="B283" s="264"/>
      <c r="C283" s="1056"/>
      <c r="D283" s="1056"/>
      <c r="E283" s="1056"/>
      <c r="F283" s="1056"/>
      <c r="G283" s="1056"/>
      <c r="H283" s="1056"/>
      <c r="I283" s="1056"/>
      <c r="J283" s="1056"/>
      <c r="K283" s="1056"/>
      <c r="L283" s="1056"/>
      <c r="M283" s="274"/>
      <c r="P283" s="264"/>
      <c r="Q283" s="264"/>
      <c r="R283" s="264"/>
      <c r="S283" s="264"/>
      <c r="T283" s="1056"/>
      <c r="U283" s="1056"/>
      <c r="V283" s="1056"/>
      <c r="W283" s="1056"/>
      <c r="X283" s="1056"/>
      <c r="Y283" s="1056"/>
      <c r="Z283" s="1056"/>
      <c r="AA283" s="1056"/>
      <c r="AB283" s="1056"/>
      <c r="AC283" s="1056"/>
      <c r="AD283" s="1056"/>
      <c r="AE283" s="1056"/>
      <c r="AF283" s="264"/>
    </row>
    <row r="284" spans="1:32" s="268" customFormat="1" ht="15" x14ac:dyDescent="0.25">
      <c r="A284" s="264"/>
      <c r="B284" s="264"/>
      <c r="C284" s="1056"/>
      <c r="D284" s="1056"/>
      <c r="E284" s="1056"/>
      <c r="F284" s="1056"/>
      <c r="G284" s="1056"/>
      <c r="H284" s="1056"/>
      <c r="I284" s="1056"/>
      <c r="J284" s="1056"/>
      <c r="K284" s="1056"/>
      <c r="L284" s="1056"/>
      <c r="M284" s="274"/>
      <c r="P284" s="264"/>
      <c r="Q284" s="264"/>
      <c r="R284" s="264"/>
      <c r="S284" s="264"/>
      <c r="T284" s="1056"/>
      <c r="U284" s="1056"/>
      <c r="V284" s="1056"/>
      <c r="W284" s="1056"/>
      <c r="X284" s="1056"/>
      <c r="Y284" s="1056"/>
      <c r="Z284" s="1056"/>
      <c r="AA284" s="1056"/>
      <c r="AB284" s="1056"/>
      <c r="AC284" s="1056"/>
      <c r="AD284" s="1056"/>
      <c r="AE284" s="1056"/>
      <c r="AF284" s="264"/>
    </row>
    <row r="285" spans="1:32" s="268" customFormat="1" ht="15" x14ac:dyDescent="0.25">
      <c r="A285" s="264"/>
      <c r="B285" s="264"/>
      <c r="C285" s="1056"/>
      <c r="D285" s="1056"/>
      <c r="E285" s="1056"/>
      <c r="F285" s="1056"/>
      <c r="G285" s="1056"/>
      <c r="H285" s="1056"/>
      <c r="I285" s="1056"/>
      <c r="J285" s="1056"/>
      <c r="K285" s="1056"/>
      <c r="L285" s="1056"/>
      <c r="M285" s="274"/>
      <c r="P285" s="264"/>
      <c r="Q285" s="264"/>
      <c r="R285" s="264"/>
      <c r="S285" s="264"/>
      <c r="T285" s="1056"/>
      <c r="U285" s="1056"/>
      <c r="V285" s="1056"/>
      <c r="W285" s="1056"/>
      <c r="X285" s="1056"/>
      <c r="Y285" s="1056"/>
      <c r="Z285" s="1056"/>
      <c r="AA285" s="1056"/>
      <c r="AB285" s="1056"/>
      <c r="AC285" s="1056"/>
      <c r="AD285" s="1056"/>
      <c r="AE285" s="1056"/>
      <c r="AF285" s="264"/>
    </row>
    <row r="286" spans="1:32" s="268" customFormat="1" ht="15" x14ac:dyDescent="0.25">
      <c r="A286" s="264"/>
      <c r="B286" s="264"/>
      <c r="C286" s="1056"/>
      <c r="D286" s="1056"/>
      <c r="E286" s="1056"/>
      <c r="F286" s="1056"/>
      <c r="G286" s="1056"/>
      <c r="H286" s="1056"/>
      <c r="I286" s="1056"/>
      <c r="J286" s="1056"/>
      <c r="K286" s="1056"/>
      <c r="L286" s="1056"/>
      <c r="M286" s="274"/>
      <c r="P286" s="264"/>
      <c r="Q286" s="264"/>
      <c r="R286" s="264"/>
      <c r="S286" s="264"/>
      <c r="T286" s="1056"/>
      <c r="U286" s="1056"/>
      <c r="V286" s="1056"/>
      <c r="W286" s="1056"/>
      <c r="X286" s="1056"/>
      <c r="Y286" s="1056"/>
      <c r="Z286" s="1056"/>
      <c r="AA286" s="1056"/>
      <c r="AB286" s="1056"/>
      <c r="AC286" s="1056"/>
      <c r="AD286" s="1056"/>
      <c r="AE286" s="1056"/>
      <c r="AF286" s="264"/>
    </row>
    <row r="287" spans="1:32" s="268" customFormat="1" ht="15" x14ac:dyDescent="0.25">
      <c r="A287" s="264"/>
      <c r="B287" s="264"/>
      <c r="C287" s="1056"/>
      <c r="D287" s="1056"/>
      <c r="E287" s="1056"/>
      <c r="F287" s="1056"/>
      <c r="G287" s="1056"/>
      <c r="H287" s="1056"/>
      <c r="I287" s="1056"/>
      <c r="J287" s="1056"/>
      <c r="K287" s="1056"/>
      <c r="L287" s="1056"/>
      <c r="M287" s="274"/>
      <c r="P287" s="264"/>
      <c r="Q287" s="264"/>
      <c r="R287" s="264"/>
      <c r="S287" s="264"/>
      <c r="T287" s="1056"/>
      <c r="U287" s="1056"/>
      <c r="V287" s="1056"/>
      <c r="W287" s="1056"/>
      <c r="X287" s="1056"/>
      <c r="Y287" s="1056"/>
      <c r="Z287" s="1056"/>
      <c r="AA287" s="1056"/>
      <c r="AB287" s="1056"/>
      <c r="AC287" s="1056"/>
      <c r="AD287" s="1056"/>
      <c r="AE287" s="1056"/>
      <c r="AF287" s="264"/>
    </row>
    <row r="288" spans="1:32" s="268" customFormat="1" ht="15" x14ac:dyDescent="0.25">
      <c r="A288" s="264"/>
      <c r="B288" s="264"/>
      <c r="C288" s="1056"/>
      <c r="D288" s="1056"/>
      <c r="E288" s="1056"/>
      <c r="F288" s="1056"/>
      <c r="G288" s="1056"/>
      <c r="H288" s="1056"/>
      <c r="I288" s="1056"/>
      <c r="J288" s="1056"/>
      <c r="K288" s="1056"/>
      <c r="L288" s="1056"/>
      <c r="M288" s="274"/>
      <c r="P288" s="264"/>
      <c r="Q288" s="264"/>
      <c r="R288" s="264"/>
      <c r="S288" s="264"/>
      <c r="T288" s="1056"/>
      <c r="U288" s="1056"/>
      <c r="V288" s="1056"/>
      <c r="W288" s="1056"/>
      <c r="X288" s="1056"/>
      <c r="Y288" s="1056"/>
      <c r="Z288" s="1056"/>
      <c r="AA288" s="1056"/>
      <c r="AB288" s="1056"/>
      <c r="AC288" s="1056"/>
      <c r="AD288" s="1056"/>
      <c r="AE288" s="1056"/>
      <c r="AF288" s="264"/>
    </row>
    <row r="289" spans="1:32" s="268" customFormat="1" ht="15" x14ac:dyDescent="0.25">
      <c r="A289" s="264"/>
      <c r="B289" s="264"/>
      <c r="C289" s="1056"/>
      <c r="D289" s="1056"/>
      <c r="E289" s="1056"/>
      <c r="F289" s="1056"/>
      <c r="G289" s="1056"/>
      <c r="H289" s="1056"/>
      <c r="I289" s="1056"/>
      <c r="J289" s="1056"/>
      <c r="K289" s="1056"/>
      <c r="L289" s="1056"/>
      <c r="M289" s="274"/>
      <c r="P289" s="264"/>
      <c r="Q289" s="264"/>
      <c r="R289" s="264"/>
      <c r="S289" s="264"/>
      <c r="T289" s="1056"/>
      <c r="U289" s="1056"/>
      <c r="V289" s="1056"/>
      <c r="W289" s="1056"/>
      <c r="X289" s="1056"/>
      <c r="Y289" s="1056"/>
      <c r="Z289" s="1056"/>
      <c r="AA289" s="1056"/>
      <c r="AB289" s="1056"/>
      <c r="AC289" s="1056"/>
      <c r="AD289" s="1056"/>
      <c r="AE289" s="1056"/>
      <c r="AF289" s="264"/>
    </row>
    <row r="290" spans="1:32" s="268" customFormat="1" ht="15" x14ac:dyDescent="0.25">
      <c r="A290" s="264"/>
      <c r="B290" s="264"/>
      <c r="C290" s="1056"/>
      <c r="D290" s="1056"/>
      <c r="E290" s="1056"/>
      <c r="F290" s="1056"/>
      <c r="G290" s="1056"/>
      <c r="H290" s="1056"/>
      <c r="I290" s="1056"/>
      <c r="J290" s="1056"/>
      <c r="K290" s="1056"/>
      <c r="L290" s="1056"/>
      <c r="M290" s="274"/>
      <c r="P290" s="264"/>
      <c r="Q290" s="264"/>
      <c r="R290" s="264"/>
      <c r="S290" s="264"/>
      <c r="T290" s="1056"/>
      <c r="U290" s="1056"/>
      <c r="V290" s="1056"/>
      <c r="W290" s="1056"/>
      <c r="X290" s="1056"/>
      <c r="Y290" s="1056"/>
      <c r="Z290" s="1056"/>
      <c r="AA290" s="1056"/>
      <c r="AB290" s="1056"/>
      <c r="AC290" s="1056"/>
      <c r="AD290" s="1056"/>
      <c r="AE290" s="1056"/>
      <c r="AF290" s="264"/>
    </row>
    <row r="291" spans="1:32" s="268" customFormat="1" ht="15" x14ac:dyDescent="0.25">
      <c r="A291" s="264"/>
      <c r="B291" s="264"/>
      <c r="C291" s="1056"/>
      <c r="D291" s="1056"/>
      <c r="E291" s="1056"/>
      <c r="F291" s="1056"/>
      <c r="G291" s="1056"/>
      <c r="H291" s="1056"/>
      <c r="I291" s="1056"/>
      <c r="J291" s="1056"/>
      <c r="K291" s="1056"/>
      <c r="L291" s="1056"/>
      <c r="M291" s="274"/>
      <c r="P291" s="264"/>
      <c r="Q291" s="264"/>
      <c r="R291" s="264"/>
      <c r="S291" s="264"/>
      <c r="T291" s="1056"/>
      <c r="U291" s="1056"/>
      <c r="V291" s="1056"/>
      <c r="W291" s="1056"/>
      <c r="X291" s="1056"/>
      <c r="Y291" s="1056"/>
      <c r="Z291" s="1056"/>
      <c r="AA291" s="1056"/>
      <c r="AB291" s="1056"/>
      <c r="AC291" s="1056"/>
      <c r="AD291" s="1056"/>
      <c r="AE291" s="1056"/>
      <c r="AF291" s="264"/>
    </row>
    <row r="292" spans="1:32" s="268" customFormat="1" ht="15" x14ac:dyDescent="0.25">
      <c r="A292" s="264"/>
      <c r="B292" s="264"/>
      <c r="C292" s="1056"/>
      <c r="D292" s="1056"/>
      <c r="E292" s="1056"/>
      <c r="F292" s="1056"/>
      <c r="G292" s="1056"/>
      <c r="H292" s="1056"/>
      <c r="I292" s="1056"/>
      <c r="J292" s="1056"/>
      <c r="K292" s="1056"/>
      <c r="L292" s="1056"/>
      <c r="M292" s="274"/>
      <c r="P292" s="264"/>
      <c r="Q292" s="264"/>
      <c r="R292" s="264"/>
      <c r="S292" s="264"/>
      <c r="T292" s="1056"/>
      <c r="U292" s="1056"/>
      <c r="V292" s="1056"/>
      <c r="W292" s="1056"/>
      <c r="X292" s="1056"/>
      <c r="Y292" s="1056"/>
      <c r="Z292" s="1056"/>
      <c r="AA292" s="1056"/>
      <c r="AB292" s="1056"/>
      <c r="AC292" s="1056"/>
      <c r="AD292" s="1056"/>
      <c r="AE292" s="1056"/>
      <c r="AF292" s="264"/>
    </row>
    <row r="293" spans="1:32" s="268" customFormat="1" ht="15" x14ac:dyDescent="0.25">
      <c r="A293" s="264"/>
      <c r="B293" s="264"/>
      <c r="C293" s="1056"/>
      <c r="D293" s="1056"/>
      <c r="E293" s="1056"/>
      <c r="F293" s="1056"/>
      <c r="G293" s="1056"/>
      <c r="H293" s="1056"/>
      <c r="I293" s="1056"/>
      <c r="J293" s="1056"/>
      <c r="K293" s="1056"/>
      <c r="L293" s="1056"/>
      <c r="M293" s="274"/>
      <c r="P293" s="264"/>
      <c r="Q293" s="264"/>
      <c r="R293" s="264"/>
      <c r="S293" s="264"/>
      <c r="T293" s="1056"/>
      <c r="U293" s="1056"/>
      <c r="V293" s="1056"/>
      <c r="W293" s="1056"/>
      <c r="X293" s="1056"/>
      <c r="Y293" s="1056"/>
      <c r="Z293" s="1056"/>
      <c r="AA293" s="1056"/>
      <c r="AB293" s="1056"/>
      <c r="AC293" s="1056"/>
      <c r="AD293" s="1056"/>
      <c r="AE293" s="1056"/>
      <c r="AF293" s="264"/>
    </row>
    <row r="294" spans="1:32" s="268" customFormat="1" ht="15" x14ac:dyDescent="0.25">
      <c r="A294" s="264"/>
      <c r="B294" s="264"/>
      <c r="C294" s="1056"/>
      <c r="D294" s="1056"/>
      <c r="E294" s="1056"/>
      <c r="F294" s="1056"/>
      <c r="G294" s="1056"/>
      <c r="H294" s="1056"/>
      <c r="I294" s="1056"/>
      <c r="J294" s="1056"/>
      <c r="K294" s="1056"/>
      <c r="L294" s="1056"/>
      <c r="M294" s="274"/>
      <c r="P294" s="264"/>
      <c r="Q294" s="264"/>
      <c r="R294" s="264"/>
      <c r="S294" s="264"/>
      <c r="T294" s="1056"/>
      <c r="U294" s="1056"/>
      <c r="V294" s="1056"/>
      <c r="W294" s="1056"/>
      <c r="X294" s="1056"/>
      <c r="Y294" s="1056"/>
      <c r="Z294" s="1056"/>
      <c r="AA294" s="1056"/>
      <c r="AB294" s="1056"/>
      <c r="AC294" s="1056"/>
      <c r="AD294" s="1056"/>
      <c r="AE294" s="1056"/>
      <c r="AF294" s="264"/>
    </row>
    <row r="295" spans="1:32" s="268" customFormat="1" ht="15" x14ac:dyDescent="0.25">
      <c r="A295" s="264"/>
      <c r="B295" s="264"/>
      <c r="C295" s="1056"/>
      <c r="D295" s="1056"/>
      <c r="E295" s="1056"/>
      <c r="F295" s="1056"/>
      <c r="G295" s="1056"/>
      <c r="H295" s="1056"/>
      <c r="I295" s="1056"/>
      <c r="J295" s="1056"/>
      <c r="K295" s="1056"/>
      <c r="L295" s="1056"/>
      <c r="M295" s="274"/>
      <c r="P295" s="264"/>
      <c r="Q295" s="264"/>
      <c r="R295" s="264"/>
      <c r="S295" s="264"/>
      <c r="T295" s="1056"/>
      <c r="U295" s="1056"/>
      <c r="V295" s="1056"/>
      <c r="W295" s="1056"/>
      <c r="X295" s="1056"/>
      <c r="Y295" s="1056"/>
      <c r="Z295" s="1056"/>
      <c r="AA295" s="1056"/>
      <c r="AB295" s="1056"/>
      <c r="AC295" s="1056"/>
      <c r="AD295" s="1056"/>
      <c r="AE295" s="1056"/>
      <c r="AF295" s="264"/>
    </row>
    <row r="296" spans="1:32" s="268" customFormat="1" ht="15" x14ac:dyDescent="0.25">
      <c r="A296" s="264"/>
      <c r="B296" s="264"/>
      <c r="C296" s="1056"/>
      <c r="D296" s="1056"/>
      <c r="E296" s="1056"/>
      <c r="F296" s="1056"/>
      <c r="G296" s="1056"/>
      <c r="H296" s="1056"/>
      <c r="I296" s="1056"/>
      <c r="J296" s="1056"/>
      <c r="K296" s="1056"/>
      <c r="L296" s="1056"/>
      <c r="M296" s="274"/>
      <c r="P296" s="264"/>
      <c r="Q296" s="264"/>
      <c r="R296" s="264"/>
      <c r="S296" s="264"/>
      <c r="T296" s="1056"/>
      <c r="U296" s="1056"/>
      <c r="V296" s="1056"/>
      <c r="W296" s="1056"/>
      <c r="X296" s="1056"/>
      <c r="Y296" s="1056"/>
      <c r="Z296" s="1056"/>
      <c r="AA296" s="1056"/>
      <c r="AB296" s="1056"/>
      <c r="AC296" s="1056"/>
      <c r="AD296" s="1056"/>
      <c r="AE296" s="1056"/>
      <c r="AF296" s="264"/>
    </row>
    <row r="297" spans="1:32" s="268" customFormat="1" ht="15" x14ac:dyDescent="0.25">
      <c r="A297" s="264"/>
      <c r="B297" s="264"/>
      <c r="C297" s="1056"/>
      <c r="D297" s="1056"/>
      <c r="E297" s="1056"/>
      <c r="F297" s="1056"/>
      <c r="G297" s="1056"/>
      <c r="H297" s="1056"/>
      <c r="I297" s="1056"/>
      <c r="J297" s="1056"/>
      <c r="K297" s="1056"/>
      <c r="L297" s="1056"/>
      <c r="M297" s="274"/>
      <c r="P297" s="264"/>
      <c r="Q297" s="264"/>
      <c r="R297" s="264"/>
      <c r="S297" s="264"/>
      <c r="T297" s="1056"/>
      <c r="U297" s="1056"/>
      <c r="V297" s="1056"/>
      <c r="W297" s="1056"/>
      <c r="X297" s="1056"/>
      <c r="Y297" s="1056"/>
      <c r="Z297" s="1056"/>
      <c r="AA297" s="1056"/>
      <c r="AB297" s="1056"/>
      <c r="AC297" s="1056"/>
      <c r="AD297" s="1056"/>
      <c r="AE297" s="1056"/>
      <c r="AF297" s="264"/>
    </row>
    <row r="298" spans="1:32" s="268" customFormat="1" ht="15" x14ac:dyDescent="0.25">
      <c r="A298" s="264"/>
      <c r="B298" s="264"/>
      <c r="C298" s="1056"/>
      <c r="D298" s="1056"/>
      <c r="E298" s="1056"/>
      <c r="F298" s="1056"/>
      <c r="G298" s="1056"/>
      <c r="H298" s="1056"/>
      <c r="I298" s="1056"/>
      <c r="J298" s="1056"/>
      <c r="K298" s="1056"/>
      <c r="L298" s="1056"/>
      <c r="M298" s="274"/>
      <c r="P298" s="264"/>
      <c r="Q298" s="264"/>
      <c r="R298" s="264"/>
      <c r="S298" s="264"/>
      <c r="T298" s="1056"/>
      <c r="U298" s="1056"/>
      <c r="V298" s="1056"/>
      <c r="W298" s="1056"/>
      <c r="X298" s="1056"/>
      <c r="Y298" s="1056"/>
      <c r="Z298" s="1056"/>
      <c r="AA298" s="1056"/>
      <c r="AB298" s="1056"/>
      <c r="AC298" s="1056"/>
      <c r="AD298" s="1056"/>
      <c r="AE298" s="1056"/>
      <c r="AF298" s="264"/>
    </row>
    <row r="299" spans="1:32" s="268" customFormat="1" ht="15" x14ac:dyDescent="0.25">
      <c r="A299" s="264"/>
      <c r="B299" s="264"/>
      <c r="C299" s="1056"/>
      <c r="D299" s="1056"/>
      <c r="E299" s="1056"/>
      <c r="F299" s="1056"/>
      <c r="G299" s="1056"/>
      <c r="H299" s="1056"/>
      <c r="I299" s="1056"/>
      <c r="J299" s="1056"/>
      <c r="K299" s="1056"/>
      <c r="L299" s="1056"/>
      <c r="M299" s="274"/>
      <c r="P299" s="264"/>
      <c r="Q299" s="264"/>
      <c r="R299" s="264"/>
      <c r="S299" s="264"/>
      <c r="T299" s="1056"/>
      <c r="U299" s="1056"/>
      <c r="V299" s="1056"/>
      <c r="W299" s="1056"/>
      <c r="X299" s="1056"/>
      <c r="Y299" s="1056"/>
      <c r="Z299" s="1056"/>
      <c r="AA299" s="1056"/>
      <c r="AB299" s="1056"/>
      <c r="AC299" s="1056"/>
      <c r="AD299" s="1056"/>
      <c r="AE299" s="1056"/>
      <c r="AF299" s="264"/>
    </row>
    <row r="300" spans="1:32" s="268" customFormat="1" ht="15" x14ac:dyDescent="0.25">
      <c r="A300" s="264"/>
      <c r="B300" s="264"/>
      <c r="C300" s="1056"/>
      <c r="D300" s="1056"/>
      <c r="E300" s="1056"/>
      <c r="F300" s="1056"/>
      <c r="G300" s="1056"/>
      <c r="H300" s="1056"/>
      <c r="I300" s="1056"/>
      <c r="J300" s="1056"/>
      <c r="K300" s="1056"/>
      <c r="L300" s="1056"/>
      <c r="M300" s="274"/>
      <c r="P300" s="264"/>
      <c r="Q300" s="264"/>
      <c r="R300" s="264"/>
      <c r="S300" s="264"/>
      <c r="T300" s="1056"/>
      <c r="U300" s="1056"/>
      <c r="V300" s="1056"/>
      <c r="W300" s="1056"/>
      <c r="X300" s="1056"/>
      <c r="Y300" s="1056"/>
      <c r="Z300" s="1056"/>
      <c r="AA300" s="1056"/>
      <c r="AB300" s="1056"/>
      <c r="AC300" s="1056"/>
      <c r="AD300" s="1056"/>
      <c r="AE300" s="1056"/>
      <c r="AF300" s="264"/>
    </row>
    <row r="301" spans="1:32" s="268" customFormat="1" ht="15" x14ac:dyDescent="0.25">
      <c r="A301" s="264"/>
      <c r="B301" s="264"/>
      <c r="C301" s="1056"/>
      <c r="D301" s="1056"/>
      <c r="E301" s="1056"/>
      <c r="F301" s="1056"/>
      <c r="G301" s="1056"/>
      <c r="H301" s="1056"/>
      <c r="I301" s="1056"/>
      <c r="J301" s="1056"/>
      <c r="K301" s="1056"/>
      <c r="L301" s="1056"/>
      <c r="M301" s="274"/>
      <c r="P301" s="264"/>
      <c r="Q301" s="264"/>
      <c r="R301" s="264"/>
      <c r="S301" s="264"/>
      <c r="T301" s="1056"/>
      <c r="U301" s="1056"/>
      <c r="V301" s="1056"/>
      <c r="W301" s="1056"/>
      <c r="X301" s="1056"/>
      <c r="Y301" s="1056"/>
      <c r="Z301" s="1056"/>
      <c r="AA301" s="1056"/>
      <c r="AB301" s="1056"/>
      <c r="AC301" s="1056"/>
      <c r="AD301" s="1056"/>
      <c r="AE301" s="1056"/>
      <c r="AF301" s="264"/>
    </row>
    <row r="302" spans="1:32" s="268" customFormat="1" ht="15" x14ac:dyDescent="0.25">
      <c r="A302" s="264"/>
      <c r="B302" s="264"/>
      <c r="C302" s="1056"/>
      <c r="D302" s="1056"/>
      <c r="E302" s="1056"/>
      <c r="F302" s="1056"/>
      <c r="G302" s="1056"/>
      <c r="H302" s="1056"/>
      <c r="I302" s="1056"/>
      <c r="J302" s="1056"/>
      <c r="K302" s="1056"/>
      <c r="L302" s="1056"/>
      <c r="M302" s="274"/>
      <c r="P302" s="264"/>
      <c r="Q302" s="264"/>
      <c r="R302" s="264"/>
      <c r="S302" s="264"/>
      <c r="T302" s="1056"/>
      <c r="U302" s="1056"/>
      <c r="V302" s="1056"/>
      <c r="W302" s="1056"/>
      <c r="X302" s="1056"/>
      <c r="Y302" s="1056"/>
      <c r="Z302" s="1056"/>
      <c r="AA302" s="1056"/>
      <c r="AB302" s="1056"/>
      <c r="AC302" s="1056"/>
      <c r="AD302" s="1056"/>
      <c r="AE302" s="1056"/>
      <c r="AF302" s="264"/>
    </row>
    <row r="303" spans="1:32" s="268" customFormat="1" ht="15" x14ac:dyDescent="0.25">
      <c r="A303" s="264"/>
      <c r="B303" s="264"/>
      <c r="C303" s="1056"/>
      <c r="D303" s="1056"/>
      <c r="E303" s="1056"/>
      <c r="F303" s="1056"/>
      <c r="G303" s="1056"/>
      <c r="H303" s="1056"/>
      <c r="I303" s="1056"/>
      <c r="J303" s="1056"/>
      <c r="K303" s="1056"/>
      <c r="L303" s="1056"/>
      <c r="M303" s="274"/>
      <c r="P303" s="264"/>
      <c r="Q303" s="264"/>
      <c r="R303" s="264"/>
      <c r="S303" s="264"/>
      <c r="T303" s="1056"/>
      <c r="U303" s="1056"/>
      <c r="V303" s="1056"/>
      <c r="W303" s="1056"/>
      <c r="X303" s="1056"/>
      <c r="Y303" s="1056"/>
      <c r="Z303" s="1056"/>
      <c r="AA303" s="1056"/>
      <c r="AB303" s="1056"/>
      <c r="AC303" s="1056"/>
      <c r="AD303" s="1056"/>
      <c r="AE303" s="1056"/>
      <c r="AF303" s="264"/>
    </row>
    <row r="304" spans="1:32" s="268" customFormat="1" ht="15" x14ac:dyDescent="0.25">
      <c r="A304" s="264"/>
      <c r="B304" s="264"/>
      <c r="C304" s="1056"/>
      <c r="D304" s="1056"/>
      <c r="E304" s="1056"/>
      <c r="F304" s="1056"/>
      <c r="G304" s="1056"/>
      <c r="H304" s="1056"/>
      <c r="I304" s="1056"/>
      <c r="J304" s="1056"/>
      <c r="K304" s="1056"/>
      <c r="L304" s="1056"/>
      <c r="M304" s="274"/>
      <c r="P304" s="264"/>
      <c r="Q304" s="264"/>
      <c r="R304" s="264"/>
      <c r="S304" s="264"/>
      <c r="T304" s="1056"/>
      <c r="U304" s="1056"/>
      <c r="V304" s="1056"/>
      <c r="W304" s="1056"/>
      <c r="X304" s="1056"/>
      <c r="Y304" s="1056"/>
      <c r="Z304" s="1056"/>
      <c r="AA304" s="1056"/>
      <c r="AB304" s="1056"/>
      <c r="AC304" s="1056"/>
      <c r="AD304" s="1056"/>
      <c r="AE304" s="1056"/>
      <c r="AF304" s="264"/>
    </row>
    <row r="305" spans="1:32" s="268" customFormat="1" ht="15" x14ac:dyDescent="0.25">
      <c r="A305" s="264"/>
      <c r="B305" s="264"/>
      <c r="C305" s="1056"/>
      <c r="D305" s="1056"/>
      <c r="E305" s="1056"/>
      <c r="F305" s="1056"/>
      <c r="G305" s="1056"/>
      <c r="H305" s="1056"/>
      <c r="I305" s="1056"/>
      <c r="J305" s="1056"/>
      <c r="K305" s="1056"/>
      <c r="L305" s="1056"/>
      <c r="M305" s="274"/>
      <c r="P305" s="264"/>
      <c r="Q305" s="264"/>
      <c r="R305" s="264"/>
      <c r="S305" s="264"/>
      <c r="T305" s="1056"/>
      <c r="U305" s="1056"/>
      <c r="V305" s="1056"/>
      <c r="W305" s="1056"/>
      <c r="X305" s="1056"/>
      <c r="Y305" s="1056"/>
      <c r="Z305" s="1056"/>
      <c r="AA305" s="1056"/>
      <c r="AB305" s="1056"/>
      <c r="AC305" s="1056"/>
      <c r="AD305" s="1056"/>
      <c r="AE305" s="1056"/>
      <c r="AF305" s="264"/>
    </row>
    <row r="306" spans="1:32" s="268" customFormat="1" ht="15" x14ac:dyDescent="0.25">
      <c r="A306" s="264"/>
      <c r="B306" s="264"/>
      <c r="C306" s="1056"/>
      <c r="D306" s="1056"/>
      <c r="E306" s="1056"/>
      <c r="F306" s="1056"/>
      <c r="G306" s="1056"/>
      <c r="H306" s="1056"/>
      <c r="I306" s="1056"/>
      <c r="J306" s="1056"/>
      <c r="K306" s="1056"/>
      <c r="L306" s="1056"/>
      <c r="M306" s="274"/>
      <c r="P306" s="264"/>
      <c r="Q306" s="264"/>
      <c r="R306" s="264"/>
      <c r="S306" s="264"/>
      <c r="T306" s="1056"/>
      <c r="U306" s="1056"/>
      <c r="V306" s="1056"/>
      <c r="W306" s="1056"/>
      <c r="X306" s="1056"/>
      <c r="Y306" s="1056"/>
      <c r="Z306" s="1056"/>
      <c r="AA306" s="1056"/>
      <c r="AB306" s="1056"/>
      <c r="AC306" s="1056"/>
      <c r="AD306" s="1056"/>
      <c r="AE306" s="1056"/>
      <c r="AF306" s="264"/>
    </row>
    <row r="307" spans="1:32" s="268" customFormat="1" ht="15" x14ac:dyDescent="0.25">
      <c r="A307" s="264"/>
      <c r="B307" s="264"/>
      <c r="C307" s="1056"/>
      <c r="D307" s="1056"/>
      <c r="E307" s="1056"/>
      <c r="F307" s="1056"/>
      <c r="G307" s="1056"/>
      <c r="H307" s="1056"/>
      <c r="I307" s="1056"/>
      <c r="J307" s="1056"/>
      <c r="K307" s="1056"/>
      <c r="L307" s="1056"/>
      <c r="M307" s="274"/>
      <c r="P307" s="264"/>
      <c r="Q307" s="264"/>
      <c r="R307" s="264"/>
      <c r="S307" s="264"/>
      <c r="T307" s="1056"/>
      <c r="U307" s="1056"/>
      <c r="V307" s="1056"/>
      <c r="W307" s="1056"/>
      <c r="X307" s="1056"/>
      <c r="Y307" s="1056"/>
      <c r="Z307" s="1056"/>
      <c r="AA307" s="1056"/>
      <c r="AB307" s="1056"/>
      <c r="AC307" s="1056"/>
      <c r="AD307" s="1056"/>
      <c r="AE307" s="1056"/>
      <c r="AF307" s="264"/>
    </row>
    <row r="308" spans="1:32" s="268" customFormat="1" ht="15" x14ac:dyDescent="0.25">
      <c r="A308" s="264"/>
      <c r="B308" s="264"/>
      <c r="C308" s="1056"/>
      <c r="D308" s="1056"/>
      <c r="E308" s="1056"/>
      <c r="F308" s="1056"/>
      <c r="G308" s="1056"/>
      <c r="H308" s="1056"/>
      <c r="I308" s="1056"/>
      <c r="J308" s="1056"/>
      <c r="K308" s="1056"/>
      <c r="L308" s="1056"/>
      <c r="M308" s="274"/>
      <c r="P308" s="264"/>
      <c r="Q308" s="264"/>
      <c r="R308" s="264"/>
      <c r="S308" s="264"/>
      <c r="T308" s="1056"/>
      <c r="U308" s="1056"/>
      <c r="V308" s="1056"/>
      <c r="W308" s="1056"/>
      <c r="X308" s="1056"/>
      <c r="Y308" s="1056"/>
      <c r="Z308" s="1056"/>
      <c r="AA308" s="1056"/>
      <c r="AB308" s="1056"/>
      <c r="AC308" s="1056"/>
      <c r="AD308" s="1056"/>
      <c r="AE308" s="1056"/>
      <c r="AF308" s="264"/>
    </row>
    <row r="309" spans="1:32" s="268" customFormat="1" ht="15" x14ac:dyDescent="0.25">
      <c r="A309" s="264"/>
      <c r="B309" s="264"/>
      <c r="C309" s="1056"/>
      <c r="D309" s="1056"/>
      <c r="E309" s="1056"/>
      <c r="F309" s="1056"/>
      <c r="G309" s="1056"/>
      <c r="H309" s="1056"/>
      <c r="I309" s="1056"/>
      <c r="J309" s="1056"/>
      <c r="K309" s="1056"/>
      <c r="L309" s="1056"/>
      <c r="M309" s="274"/>
      <c r="P309" s="264"/>
      <c r="Q309" s="264"/>
      <c r="R309" s="264"/>
      <c r="S309" s="264"/>
      <c r="T309" s="1056"/>
      <c r="U309" s="1056"/>
      <c r="V309" s="1056"/>
      <c r="W309" s="1056"/>
      <c r="X309" s="1056"/>
      <c r="Y309" s="1056"/>
      <c r="Z309" s="1056"/>
      <c r="AA309" s="1056"/>
      <c r="AB309" s="1056"/>
      <c r="AC309" s="1056"/>
      <c r="AD309" s="1056"/>
      <c r="AE309" s="1056"/>
      <c r="AF309" s="264"/>
    </row>
    <row r="310" spans="1:32" s="268" customFormat="1" ht="15" x14ac:dyDescent="0.25">
      <c r="A310" s="264"/>
      <c r="B310" s="264"/>
      <c r="C310" s="1056"/>
      <c r="D310" s="1056"/>
      <c r="E310" s="1056"/>
      <c r="F310" s="1056"/>
      <c r="G310" s="1056"/>
      <c r="H310" s="1056"/>
      <c r="I310" s="1056"/>
      <c r="J310" s="1056"/>
      <c r="K310" s="1056"/>
      <c r="L310" s="1056"/>
      <c r="M310" s="274"/>
      <c r="P310" s="264"/>
      <c r="Q310" s="264"/>
      <c r="R310" s="264"/>
      <c r="S310" s="264"/>
      <c r="T310" s="1056"/>
      <c r="U310" s="1056"/>
      <c r="V310" s="1056"/>
      <c r="W310" s="1056"/>
      <c r="X310" s="1056"/>
      <c r="Y310" s="1056"/>
      <c r="Z310" s="1056"/>
      <c r="AA310" s="1056"/>
      <c r="AB310" s="1056"/>
      <c r="AC310" s="1056"/>
      <c r="AD310" s="1056"/>
      <c r="AE310" s="1056"/>
      <c r="AF310" s="264"/>
    </row>
    <row r="311" spans="1:32" s="268" customFormat="1" ht="15" x14ac:dyDescent="0.25">
      <c r="A311" s="264"/>
      <c r="B311" s="264"/>
      <c r="C311" s="1056"/>
      <c r="D311" s="1056"/>
      <c r="E311" s="1056"/>
      <c r="F311" s="1056"/>
      <c r="G311" s="1056"/>
      <c r="H311" s="1056"/>
      <c r="I311" s="1056"/>
      <c r="J311" s="1056"/>
      <c r="K311" s="1056"/>
      <c r="L311" s="1056"/>
      <c r="M311" s="274"/>
      <c r="P311" s="264"/>
      <c r="Q311" s="264"/>
      <c r="R311" s="264"/>
      <c r="S311" s="264"/>
      <c r="T311" s="1056"/>
      <c r="U311" s="1056"/>
      <c r="V311" s="1056"/>
      <c r="W311" s="1056"/>
      <c r="X311" s="1056"/>
      <c r="Y311" s="1056"/>
      <c r="Z311" s="1056"/>
      <c r="AA311" s="1056"/>
      <c r="AB311" s="1056"/>
      <c r="AC311" s="1056"/>
      <c r="AD311" s="1056"/>
      <c r="AE311" s="1056"/>
      <c r="AF311" s="264"/>
    </row>
    <row r="312" spans="1:32" s="268" customFormat="1" ht="15" x14ac:dyDescent="0.25">
      <c r="A312" s="264"/>
      <c r="B312" s="264"/>
      <c r="C312" s="1056"/>
      <c r="D312" s="1056"/>
      <c r="E312" s="1056"/>
      <c r="F312" s="1056"/>
      <c r="G312" s="1056"/>
      <c r="H312" s="1056"/>
      <c r="I312" s="1056"/>
      <c r="J312" s="1056"/>
      <c r="K312" s="1056"/>
      <c r="L312" s="1056"/>
      <c r="M312" s="274"/>
      <c r="P312" s="264"/>
      <c r="Q312" s="264"/>
      <c r="R312" s="264"/>
      <c r="S312" s="264"/>
      <c r="T312" s="1056"/>
      <c r="U312" s="1056"/>
      <c r="V312" s="1056"/>
      <c r="W312" s="1056"/>
      <c r="X312" s="1056"/>
      <c r="Y312" s="1056"/>
      <c r="Z312" s="1056"/>
      <c r="AA312" s="1056"/>
      <c r="AB312" s="1056"/>
      <c r="AC312" s="1056"/>
      <c r="AD312" s="1056"/>
      <c r="AE312" s="1056"/>
      <c r="AF312" s="264"/>
    </row>
    <row r="313" spans="1:32" s="268" customFormat="1" ht="15" x14ac:dyDescent="0.25">
      <c r="A313" s="264"/>
      <c r="B313" s="264"/>
      <c r="C313" s="1056"/>
      <c r="D313" s="1056"/>
      <c r="E313" s="1056"/>
      <c r="F313" s="1056"/>
      <c r="G313" s="1056"/>
      <c r="H313" s="1056"/>
      <c r="I313" s="1056"/>
      <c r="J313" s="1056"/>
      <c r="K313" s="1056"/>
      <c r="L313" s="1056"/>
      <c r="M313" s="274"/>
      <c r="P313" s="264"/>
      <c r="Q313" s="264"/>
      <c r="R313" s="264"/>
      <c r="S313" s="264"/>
      <c r="T313" s="1056"/>
      <c r="U313" s="1056"/>
      <c r="V313" s="1056"/>
      <c r="W313" s="1056"/>
      <c r="X313" s="1056"/>
      <c r="Y313" s="1056"/>
      <c r="Z313" s="1056"/>
      <c r="AA313" s="1056"/>
      <c r="AB313" s="1056"/>
      <c r="AC313" s="1056"/>
      <c r="AD313" s="1056"/>
      <c r="AE313" s="1056"/>
      <c r="AF313" s="264"/>
    </row>
    <row r="314" spans="1:32" s="268" customFormat="1" ht="15" x14ac:dyDescent="0.25">
      <c r="A314" s="264"/>
      <c r="B314" s="264"/>
      <c r="C314" s="1056"/>
      <c r="D314" s="1056"/>
      <c r="E314" s="1056"/>
      <c r="F314" s="1056"/>
      <c r="G314" s="1056"/>
      <c r="H314" s="1056"/>
      <c r="I314" s="1056"/>
      <c r="J314" s="1056"/>
      <c r="K314" s="1056"/>
      <c r="L314" s="1056"/>
      <c r="M314" s="274"/>
      <c r="P314" s="264"/>
      <c r="Q314" s="264"/>
      <c r="R314" s="264"/>
      <c r="S314" s="264"/>
      <c r="T314" s="1056"/>
      <c r="U314" s="1056"/>
      <c r="V314" s="1056"/>
      <c r="W314" s="1056"/>
      <c r="X314" s="1056"/>
      <c r="Y314" s="1056"/>
      <c r="Z314" s="1056"/>
      <c r="AA314" s="1056"/>
      <c r="AB314" s="1056"/>
      <c r="AC314" s="1056"/>
      <c r="AD314" s="1056"/>
      <c r="AE314" s="1056"/>
      <c r="AF314" s="264"/>
    </row>
    <row r="315" spans="1:32" s="268" customFormat="1" ht="15" x14ac:dyDescent="0.25">
      <c r="A315" s="264"/>
      <c r="B315" s="264"/>
      <c r="C315" s="1056"/>
      <c r="D315" s="1056"/>
      <c r="E315" s="1056"/>
      <c r="F315" s="1056"/>
      <c r="G315" s="1056"/>
      <c r="H315" s="1056"/>
      <c r="I315" s="1056"/>
      <c r="J315" s="1056"/>
      <c r="K315" s="1056"/>
      <c r="L315" s="1056"/>
      <c r="M315" s="274"/>
      <c r="P315" s="264"/>
      <c r="Q315" s="264"/>
      <c r="R315" s="264"/>
      <c r="S315" s="264"/>
      <c r="T315" s="1056"/>
      <c r="U315" s="1056"/>
      <c r="V315" s="1056"/>
      <c r="W315" s="1056"/>
      <c r="X315" s="1056"/>
      <c r="Y315" s="1056"/>
      <c r="Z315" s="1056"/>
      <c r="AA315" s="1056"/>
      <c r="AB315" s="1056"/>
      <c r="AC315" s="1056"/>
      <c r="AD315" s="1056"/>
      <c r="AE315" s="1056"/>
      <c r="AF315" s="264"/>
    </row>
    <row r="316" spans="1:32" s="268" customFormat="1" ht="15" x14ac:dyDescent="0.25">
      <c r="A316" s="264"/>
      <c r="B316" s="264"/>
      <c r="C316" s="1056"/>
      <c r="D316" s="1056"/>
      <c r="E316" s="1056"/>
      <c r="F316" s="1056"/>
      <c r="G316" s="1056"/>
      <c r="H316" s="1056"/>
      <c r="I316" s="1056"/>
      <c r="J316" s="1056"/>
      <c r="K316" s="1056"/>
      <c r="L316" s="1056"/>
      <c r="M316" s="274"/>
      <c r="P316" s="264"/>
      <c r="Q316" s="264"/>
      <c r="R316" s="264"/>
      <c r="S316" s="264"/>
      <c r="T316" s="1056"/>
      <c r="U316" s="1056"/>
      <c r="V316" s="1056"/>
      <c r="W316" s="1056"/>
      <c r="X316" s="1056"/>
      <c r="Y316" s="1056"/>
      <c r="Z316" s="1056"/>
      <c r="AA316" s="1056"/>
      <c r="AB316" s="1056"/>
      <c r="AC316" s="1056"/>
      <c r="AD316" s="1056"/>
      <c r="AE316" s="1056"/>
      <c r="AF316" s="264"/>
    </row>
    <row r="317" spans="1:32" s="268" customFormat="1" ht="15" x14ac:dyDescent="0.25">
      <c r="A317" s="264"/>
      <c r="B317" s="264"/>
      <c r="C317" s="1056"/>
      <c r="D317" s="1056"/>
      <c r="E317" s="1056"/>
      <c r="F317" s="1056"/>
      <c r="G317" s="1056"/>
      <c r="H317" s="1056"/>
      <c r="I317" s="1056"/>
      <c r="J317" s="1056"/>
      <c r="K317" s="1056"/>
      <c r="L317" s="1056"/>
      <c r="M317" s="274"/>
      <c r="P317" s="264"/>
      <c r="Q317" s="264"/>
      <c r="R317" s="264"/>
      <c r="S317" s="264"/>
      <c r="T317" s="1056"/>
      <c r="U317" s="1056"/>
      <c r="V317" s="1056"/>
      <c r="W317" s="1056"/>
      <c r="X317" s="1056"/>
      <c r="Y317" s="1056"/>
      <c r="Z317" s="1056"/>
      <c r="AA317" s="1056"/>
      <c r="AB317" s="1056"/>
      <c r="AC317" s="1056"/>
      <c r="AD317" s="1056"/>
      <c r="AE317" s="1056"/>
      <c r="AF317" s="264"/>
    </row>
    <row r="318" spans="1:32" s="268" customFormat="1" ht="15" x14ac:dyDescent="0.25">
      <c r="A318" s="264"/>
      <c r="B318" s="264"/>
      <c r="C318" s="1056"/>
      <c r="D318" s="1056"/>
      <c r="E318" s="1056"/>
      <c r="F318" s="1056"/>
      <c r="G318" s="1056"/>
      <c r="H318" s="1056"/>
      <c r="I318" s="1056"/>
      <c r="J318" s="1056"/>
      <c r="K318" s="1056"/>
      <c r="L318" s="1056"/>
      <c r="M318" s="274"/>
      <c r="P318" s="264"/>
      <c r="Q318" s="264"/>
      <c r="R318" s="264"/>
      <c r="S318" s="264"/>
      <c r="T318" s="1056"/>
      <c r="U318" s="1056"/>
      <c r="V318" s="1056"/>
      <c r="W318" s="1056"/>
      <c r="X318" s="1056"/>
      <c r="Y318" s="1056"/>
      <c r="Z318" s="1056"/>
      <c r="AA318" s="1056"/>
      <c r="AB318" s="1056"/>
      <c r="AC318" s="1056"/>
      <c r="AD318" s="1056"/>
      <c r="AE318" s="1056"/>
      <c r="AF318" s="264"/>
    </row>
    <row r="319" spans="1:32" s="268" customFormat="1" ht="15" x14ac:dyDescent="0.25">
      <c r="A319" s="264"/>
      <c r="B319" s="264"/>
      <c r="C319" s="1056"/>
      <c r="D319" s="1056"/>
      <c r="E319" s="1056"/>
      <c r="F319" s="1056"/>
      <c r="G319" s="1056"/>
      <c r="H319" s="1056"/>
      <c r="I319" s="1056"/>
      <c r="J319" s="1056"/>
      <c r="K319" s="1056"/>
      <c r="L319" s="1056"/>
      <c r="M319" s="274"/>
      <c r="P319" s="264"/>
      <c r="Q319" s="264"/>
      <c r="R319" s="264"/>
      <c r="S319" s="264"/>
      <c r="T319" s="1056"/>
      <c r="U319" s="1056"/>
      <c r="V319" s="1056"/>
      <c r="W319" s="1056"/>
      <c r="X319" s="1056"/>
      <c r="Y319" s="1056"/>
      <c r="Z319" s="1056"/>
      <c r="AA319" s="1056"/>
      <c r="AB319" s="1056"/>
      <c r="AC319" s="1056"/>
      <c r="AD319" s="1056"/>
      <c r="AE319" s="1056"/>
      <c r="AF319" s="264"/>
    </row>
    <row r="320" spans="1:32" s="268" customFormat="1" ht="15" x14ac:dyDescent="0.25">
      <c r="A320" s="264"/>
      <c r="B320" s="264"/>
      <c r="C320" s="1056"/>
      <c r="D320" s="1056"/>
      <c r="E320" s="1056"/>
      <c r="F320" s="1056"/>
      <c r="G320" s="1056"/>
      <c r="H320" s="1056"/>
      <c r="I320" s="1056"/>
      <c r="J320" s="1056"/>
      <c r="K320" s="1056"/>
      <c r="L320" s="1056"/>
      <c r="M320" s="274"/>
      <c r="P320" s="264"/>
      <c r="Q320" s="264"/>
      <c r="R320" s="264"/>
      <c r="S320" s="264"/>
      <c r="T320" s="1056"/>
      <c r="U320" s="1056"/>
      <c r="V320" s="1056"/>
      <c r="W320" s="1056"/>
      <c r="X320" s="1056"/>
      <c r="Y320" s="1056"/>
      <c r="Z320" s="1056"/>
      <c r="AA320" s="1056"/>
      <c r="AB320" s="1056"/>
      <c r="AC320" s="1056"/>
      <c r="AD320" s="1056"/>
      <c r="AE320" s="1056"/>
      <c r="AF320" s="264"/>
    </row>
    <row r="321" spans="1:32" s="268" customFormat="1" ht="15" x14ac:dyDescent="0.25">
      <c r="A321" s="264"/>
      <c r="B321" s="264"/>
      <c r="C321" s="1056"/>
      <c r="D321" s="1056"/>
      <c r="E321" s="1056"/>
      <c r="F321" s="1056"/>
      <c r="G321" s="1056"/>
      <c r="H321" s="1056"/>
      <c r="I321" s="1056"/>
      <c r="J321" s="1056"/>
      <c r="K321" s="1056"/>
      <c r="L321" s="1056"/>
      <c r="M321" s="274"/>
      <c r="P321" s="264"/>
      <c r="Q321" s="264"/>
      <c r="R321" s="264"/>
      <c r="S321" s="264"/>
      <c r="T321" s="1056"/>
      <c r="U321" s="1056"/>
      <c r="V321" s="1056"/>
      <c r="W321" s="1056"/>
      <c r="X321" s="1056"/>
      <c r="Y321" s="1056"/>
      <c r="Z321" s="1056"/>
      <c r="AA321" s="1056"/>
      <c r="AB321" s="1056"/>
      <c r="AC321" s="1056"/>
      <c r="AD321" s="1056"/>
      <c r="AE321" s="1056"/>
      <c r="AF321" s="264"/>
    </row>
    <row r="322" spans="1:32" s="268" customFormat="1" ht="15" x14ac:dyDescent="0.25">
      <c r="A322" s="264"/>
      <c r="B322" s="264"/>
      <c r="C322" s="1056"/>
      <c r="D322" s="1056"/>
      <c r="E322" s="1056"/>
      <c r="F322" s="1056"/>
      <c r="G322" s="1056"/>
      <c r="H322" s="1056"/>
      <c r="I322" s="1056"/>
      <c r="J322" s="1056"/>
      <c r="K322" s="1056"/>
      <c r="L322" s="1056"/>
      <c r="M322" s="274"/>
      <c r="P322" s="264"/>
      <c r="Q322" s="264"/>
      <c r="R322" s="264"/>
      <c r="S322" s="264"/>
      <c r="T322" s="1056"/>
      <c r="U322" s="1056"/>
      <c r="V322" s="1056"/>
      <c r="W322" s="1056"/>
      <c r="X322" s="1056"/>
      <c r="Y322" s="1056"/>
      <c r="Z322" s="1056"/>
      <c r="AA322" s="1056"/>
      <c r="AB322" s="1056"/>
      <c r="AC322" s="1056"/>
      <c r="AD322" s="1056"/>
      <c r="AE322" s="1056"/>
      <c r="AF322" s="264"/>
    </row>
    <row r="323" spans="1:32" s="268" customFormat="1" ht="15" x14ac:dyDescent="0.25">
      <c r="A323" s="264"/>
      <c r="B323" s="264"/>
      <c r="C323" s="1056"/>
      <c r="D323" s="1056"/>
      <c r="E323" s="1056"/>
      <c r="F323" s="1056"/>
      <c r="G323" s="1056"/>
      <c r="H323" s="1056"/>
      <c r="I323" s="1056"/>
      <c r="J323" s="1056"/>
      <c r="K323" s="1056"/>
      <c r="L323" s="1056"/>
      <c r="M323" s="274"/>
      <c r="P323" s="264"/>
      <c r="Q323" s="264"/>
      <c r="R323" s="264"/>
      <c r="S323" s="264"/>
      <c r="T323" s="1056"/>
      <c r="U323" s="1056"/>
      <c r="V323" s="1056"/>
      <c r="W323" s="1056"/>
      <c r="X323" s="1056"/>
      <c r="Y323" s="1056"/>
      <c r="Z323" s="1056"/>
      <c r="AA323" s="1056"/>
      <c r="AB323" s="1056"/>
      <c r="AC323" s="1056"/>
      <c r="AD323" s="1056"/>
      <c r="AE323" s="1056"/>
      <c r="AF323" s="264"/>
    </row>
    <row r="324" spans="1:32" s="268" customFormat="1" ht="15" x14ac:dyDescent="0.25">
      <c r="A324" s="264"/>
      <c r="B324" s="264"/>
      <c r="C324" s="1056"/>
      <c r="D324" s="1056"/>
      <c r="E324" s="1056"/>
      <c r="F324" s="1056"/>
      <c r="G324" s="1056"/>
      <c r="H324" s="1056"/>
      <c r="I324" s="1056"/>
      <c r="J324" s="1056"/>
      <c r="K324" s="1056"/>
      <c r="L324" s="1056"/>
      <c r="M324" s="274"/>
      <c r="P324" s="264"/>
      <c r="Q324" s="264"/>
      <c r="R324" s="264"/>
      <c r="S324" s="264"/>
      <c r="T324" s="1056"/>
      <c r="U324" s="1056"/>
      <c r="V324" s="1056"/>
      <c r="W324" s="1056"/>
      <c r="X324" s="1056"/>
      <c r="Y324" s="1056"/>
      <c r="Z324" s="1056"/>
      <c r="AA324" s="1056"/>
      <c r="AB324" s="1056"/>
      <c r="AC324" s="1056"/>
      <c r="AD324" s="1056"/>
      <c r="AE324" s="1056"/>
      <c r="AF324" s="264"/>
    </row>
    <row r="325" spans="1:32" s="268" customFormat="1" ht="15" x14ac:dyDescent="0.25">
      <c r="A325" s="264"/>
      <c r="B325" s="264"/>
      <c r="C325" s="1056"/>
      <c r="D325" s="1056"/>
      <c r="E325" s="1056"/>
      <c r="F325" s="1056"/>
      <c r="G325" s="1056"/>
      <c r="H325" s="1056"/>
      <c r="I325" s="1056"/>
      <c r="J325" s="1056"/>
      <c r="K325" s="1056"/>
      <c r="L325" s="1056"/>
      <c r="M325" s="274"/>
      <c r="P325" s="264"/>
      <c r="Q325" s="264"/>
      <c r="R325" s="264"/>
      <c r="S325" s="264"/>
      <c r="T325" s="1056"/>
      <c r="U325" s="1056"/>
      <c r="V325" s="1056"/>
      <c r="W325" s="1056"/>
      <c r="X325" s="1056"/>
      <c r="Y325" s="1056"/>
      <c r="Z325" s="1056"/>
      <c r="AA325" s="1056"/>
      <c r="AB325" s="1056"/>
      <c r="AC325" s="1056"/>
      <c r="AD325" s="1056"/>
      <c r="AE325" s="1056"/>
      <c r="AF325" s="264"/>
    </row>
    <row r="326" spans="1:32" s="268" customFormat="1" ht="15" x14ac:dyDescent="0.25">
      <c r="A326" s="264"/>
      <c r="B326" s="264"/>
      <c r="C326" s="1056"/>
      <c r="D326" s="1056"/>
      <c r="E326" s="1056"/>
      <c r="F326" s="1056"/>
      <c r="G326" s="1056"/>
      <c r="H326" s="1056"/>
      <c r="I326" s="1056"/>
      <c r="J326" s="1056"/>
      <c r="K326" s="1056"/>
      <c r="L326" s="1056"/>
      <c r="M326" s="274"/>
      <c r="P326" s="264"/>
      <c r="Q326" s="264"/>
      <c r="R326" s="264"/>
      <c r="S326" s="264"/>
      <c r="T326" s="1056"/>
      <c r="U326" s="1056"/>
      <c r="V326" s="1056"/>
      <c r="W326" s="1056"/>
      <c r="X326" s="1056"/>
      <c r="Y326" s="1056"/>
      <c r="Z326" s="1056"/>
      <c r="AA326" s="1056"/>
      <c r="AB326" s="1056"/>
      <c r="AC326" s="1056"/>
      <c r="AD326" s="1056"/>
      <c r="AE326" s="1056"/>
      <c r="AF326" s="264"/>
    </row>
    <row r="327" spans="1:32" s="268" customFormat="1" ht="15" x14ac:dyDescent="0.25">
      <c r="A327" s="264"/>
      <c r="B327" s="264"/>
      <c r="C327" s="1056"/>
      <c r="D327" s="1056"/>
      <c r="E327" s="1056"/>
      <c r="F327" s="1056"/>
      <c r="G327" s="1056"/>
      <c r="H327" s="1056"/>
      <c r="I327" s="1056"/>
      <c r="J327" s="1056"/>
      <c r="K327" s="1056"/>
      <c r="L327" s="1056"/>
      <c r="M327" s="274"/>
      <c r="P327" s="264"/>
      <c r="Q327" s="264"/>
      <c r="R327" s="264"/>
      <c r="S327" s="264"/>
      <c r="T327" s="1056"/>
      <c r="U327" s="1056"/>
      <c r="V327" s="1056"/>
      <c r="W327" s="1056"/>
      <c r="X327" s="1056"/>
      <c r="Y327" s="1056"/>
      <c r="Z327" s="1056"/>
      <c r="AA327" s="1056"/>
      <c r="AB327" s="1056"/>
      <c r="AC327" s="1056"/>
      <c r="AD327" s="1056"/>
      <c r="AE327" s="1056"/>
      <c r="AF327" s="264"/>
    </row>
    <row r="328" spans="1:32" s="268" customFormat="1" ht="15" x14ac:dyDescent="0.25">
      <c r="A328" s="264"/>
      <c r="B328" s="264"/>
      <c r="C328" s="1056"/>
      <c r="D328" s="1056"/>
      <c r="E328" s="1056"/>
      <c r="F328" s="1056"/>
      <c r="G328" s="1056"/>
      <c r="H328" s="1056"/>
      <c r="I328" s="1056"/>
      <c r="J328" s="1056"/>
      <c r="K328" s="1056"/>
      <c r="L328" s="1056"/>
      <c r="M328" s="274"/>
      <c r="P328" s="264"/>
      <c r="Q328" s="264"/>
      <c r="R328" s="264"/>
      <c r="S328" s="264"/>
      <c r="T328" s="1056"/>
      <c r="U328" s="1056"/>
      <c r="V328" s="1056"/>
      <c r="W328" s="1056"/>
      <c r="X328" s="1056"/>
      <c r="Y328" s="1056"/>
      <c r="Z328" s="1056"/>
      <c r="AA328" s="1056"/>
      <c r="AB328" s="1056"/>
      <c r="AC328" s="1056"/>
      <c r="AD328" s="1056"/>
      <c r="AE328" s="1056"/>
      <c r="AF328" s="264"/>
    </row>
    <row r="329" spans="1:32" s="268" customFormat="1" ht="15" x14ac:dyDescent="0.25">
      <c r="A329" s="264"/>
      <c r="B329" s="264"/>
      <c r="C329" s="1056"/>
      <c r="D329" s="1056"/>
      <c r="E329" s="1056"/>
      <c r="F329" s="1056"/>
      <c r="G329" s="1056"/>
      <c r="H329" s="1056"/>
      <c r="I329" s="1056"/>
      <c r="J329" s="1056"/>
      <c r="K329" s="1056"/>
      <c r="L329" s="1056"/>
      <c r="M329" s="274"/>
      <c r="P329" s="264"/>
      <c r="Q329" s="264"/>
      <c r="R329" s="264"/>
      <c r="S329" s="264"/>
      <c r="T329" s="1056"/>
      <c r="U329" s="1056"/>
      <c r="V329" s="1056"/>
      <c r="W329" s="1056"/>
      <c r="X329" s="1056"/>
      <c r="Y329" s="1056"/>
      <c r="Z329" s="1056"/>
      <c r="AA329" s="1056"/>
      <c r="AB329" s="1056"/>
      <c r="AC329" s="1056"/>
      <c r="AD329" s="1056"/>
      <c r="AE329" s="1056"/>
      <c r="AF329" s="264"/>
    </row>
    <row r="330" spans="1:32" s="268" customFormat="1" ht="15" x14ac:dyDescent="0.25">
      <c r="A330" s="264"/>
      <c r="B330" s="264"/>
      <c r="C330" s="1056"/>
      <c r="D330" s="1056"/>
      <c r="E330" s="1056"/>
      <c r="F330" s="1056"/>
      <c r="G330" s="1056"/>
      <c r="H330" s="1056"/>
      <c r="I330" s="1056"/>
      <c r="J330" s="1056"/>
      <c r="K330" s="1056"/>
      <c r="L330" s="1056"/>
      <c r="M330" s="274"/>
      <c r="P330" s="264"/>
      <c r="Q330" s="264"/>
      <c r="R330" s="264"/>
      <c r="S330" s="264"/>
      <c r="T330" s="1056"/>
      <c r="U330" s="1056"/>
      <c r="V330" s="1056"/>
      <c r="W330" s="1056"/>
      <c r="X330" s="1056"/>
      <c r="Y330" s="1056"/>
      <c r="Z330" s="1056"/>
      <c r="AA330" s="1056"/>
      <c r="AB330" s="1056"/>
      <c r="AC330" s="1056"/>
      <c r="AD330" s="1056"/>
      <c r="AE330" s="1056"/>
      <c r="AF330" s="264"/>
    </row>
    <row r="331" spans="1:32" s="268" customFormat="1" ht="15" x14ac:dyDescent="0.25">
      <c r="A331" s="264"/>
      <c r="B331" s="264"/>
      <c r="C331" s="1056"/>
      <c r="D331" s="1056"/>
      <c r="E331" s="1056"/>
      <c r="F331" s="1056"/>
      <c r="G331" s="1056"/>
      <c r="H331" s="1056"/>
      <c r="I331" s="1056"/>
      <c r="J331" s="1056"/>
      <c r="K331" s="1056"/>
      <c r="L331" s="1056"/>
      <c r="M331" s="274"/>
      <c r="P331" s="264"/>
      <c r="Q331" s="264"/>
      <c r="R331" s="264"/>
      <c r="S331" s="264"/>
      <c r="T331" s="1056"/>
      <c r="U331" s="1056"/>
      <c r="V331" s="1056"/>
      <c r="W331" s="1056"/>
      <c r="X331" s="1056"/>
      <c r="Y331" s="1056"/>
      <c r="Z331" s="1056"/>
      <c r="AA331" s="1056"/>
      <c r="AB331" s="1056"/>
      <c r="AC331" s="1056"/>
      <c r="AD331" s="1056"/>
      <c r="AE331" s="1056"/>
      <c r="AF331" s="264"/>
    </row>
    <row r="332" spans="1:32" s="268" customFormat="1" ht="15" x14ac:dyDescent="0.25">
      <c r="A332" s="264"/>
      <c r="B332" s="264"/>
      <c r="C332" s="1056"/>
      <c r="D332" s="1056"/>
      <c r="E332" s="1056"/>
      <c r="F332" s="1056"/>
      <c r="G332" s="1056"/>
      <c r="H332" s="1056"/>
      <c r="I332" s="1056"/>
      <c r="J332" s="1056"/>
      <c r="K332" s="1056"/>
      <c r="L332" s="1056"/>
      <c r="M332" s="274"/>
      <c r="P332" s="264"/>
      <c r="Q332" s="264"/>
      <c r="R332" s="264"/>
      <c r="S332" s="264"/>
      <c r="T332" s="1056"/>
      <c r="U332" s="1056"/>
      <c r="V332" s="1056"/>
      <c r="W332" s="1056"/>
      <c r="X332" s="1056"/>
      <c r="Y332" s="1056"/>
      <c r="Z332" s="1056"/>
      <c r="AA332" s="1056"/>
      <c r="AB332" s="1056"/>
      <c r="AC332" s="1056"/>
      <c r="AD332" s="1056"/>
      <c r="AE332" s="1056"/>
      <c r="AF332" s="264"/>
    </row>
    <row r="333" spans="1:32" s="268" customFormat="1" ht="15" x14ac:dyDescent="0.25">
      <c r="A333" s="264"/>
      <c r="B333" s="264"/>
      <c r="C333" s="1056"/>
      <c r="D333" s="1056"/>
      <c r="E333" s="1056"/>
      <c r="F333" s="1056"/>
      <c r="G333" s="1056"/>
      <c r="H333" s="1056"/>
      <c r="I333" s="1056"/>
      <c r="J333" s="1056"/>
      <c r="K333" s="1056"/>
      <c r="L333" s="1056"/>
      <c r="M333" s="274"/>
      <c r="P333" s="264"/>
      <c r="Q333" s="264"/>
      <c r="R333" s="264"/>
      <c r="S333" s="264"/>
      <c r="T333" s="1056"/>
      <c r="U333" s="1056"/>
      <c r="V333" s="1056"/>
      <c r="W333" s="1056"/>
      <c r="X333" s="1056"/>
      <c r="Y333" s="1056"/>
      <c r="Z333" s="1056"/>
      <c r="AA333" s="1056"/>
      <c r="AB333" s="1056"/>
      <c r="AC333" s="1056"/>
      <c r="AD333" s="1056"/>
      <c r="AE333" s="1056"/>
      <c r="AF333" s="264"/>
    </row>
    <row r="334" spans="1:32" s="268" customFormat="1" ht="15" x14ac:dyDescent="0.25">
      <c r="A334" s="264"/>
      <c r="B334" s="264"/>
      <c r="C334" s="1056"/>
      <c r="D334" s="1056"/>
      <c r="E334" s="1056"/>
      <c r="F334" s="1056"/>
      <c r="G334" s="1056"/>
      <c r="H334" s="1056"/>
      <c r="I334" s="1056"/>
      <c r="J334" s="1056"/>
      <c r="K334" s="1056"/>
      <c r="L334" s="1056"/>
      <c r="M334" s="274"/>
      <c r="P334" s="264"/>
      <c r="Q334" s="264"/>
      <c r="R334" s="264"/>
      <c r="S334" s="264"/>
      <c r="T334" s="1056"/>
      <c r="U334" s="1056"/>
      <c r="V334" s="1056"/>
      <c r="W334" s="1056"/>
      <c r="X334" s="1056"/>
      <c r="Y334" s="1056"/>
      <c r="Z334" s="1056"/>
      <c r="AA334" s="1056"/>
      <c r="AB334" s="1056"/>
      <c r="AC334" s="1056"/>
      <c r="AD334" s="1056"/>
      <c r="AE334" s="1056"/>
      <c r="AF334" s="264"/>
    </row>
    <row r="335" spans="1:32" s="268" customFormat="1" ht="15" x14ac:dyDescent="0.25">
      <c r="A335" s="264"/>
      <c r="B335" s="264"/>
      <c r="C335" s="1056"/>
      <c r="D335" s="1056"/>
      <c r="E335" s="1056"/>
      <c r="F335" s="1056"/>
      <c r="G335" s="1056"/>
      <c r="H335" s="1056"/>
      <c r="I335" s="1056"/>
      <c r="J335" s="1056"/>
      <c r="K335" s="1056"/>
      <c r="L335" s="1056"/>
      <c r="M335" s="274"/>
      <c r="P335" s="264"/>
      <c r="Q335" s="264"/>
      <c r="R335" s="264"/>
      <c r="S335" s="264"/>
      <c r="T335" s="1056"/>
      <c r="U335" s="1056"/>
      <c r="V335" s="1056"/>
      <c r="W335" s="1056"/>
      <c r="X335" s="1056"/>
      <c r="Y335" s="1056"/>
      <c r="Z335" s="1056"/>
      <c r="AA335" s="1056"/>
      <c r="AB335" s="1056"/>
      <c r="AC335" s="1056"/>
      <c r="AD335" s="1056"/>
      <c r="AE335" s="1056"/>
      <c r="AF335" s="264"/>
    </row>
    <row r="336" spans="1:32" s="268" customFormat="1" ht="15" x14ac:dyDescent="0.25">
      <c r="A336" s="264"/>
      <c r="B336" s="264"/>
      <c r="C336" s="1056"/>
      <c r="D336" s="1056"/>
      <c r="E336" s="1056"/>
      <c r="F336" s="1056"/>
      <c r="G336" s="1056"/>
      <c r="H336" s="1056"/>
      <c r="I336" s="1056"/>
      <c r="J336" s="1056"/>
      <c r="K336" s="1056"/>
      <c r="L336" s="1056"/>
      <c r="M336" s="274"/>
      <c r="P336" s="264"/>
      <c r="Q336" s="264"/>
      <c r="R336" s="264"/>
      <c r="S336" s="264"/>
      <c r="T336" s="1056"/>
      <c r="U336" s="1056"/>
      <c r="V336" s="1056"/>
      <c r="W336" s="1056"/>
      <c r="X336" s="1056"/>
      <c r="Y336" s="1056"/>
      <c r="Z336" s="1056"/>
      <c r="AA336" s="1056"/>
      <c r="AB336" s="1056"/>
      <c r="AC336" s="1056"/>
      <c r="AD336" s="1056"/>
      <c r="AE336" s="1056"/>
      <c r="AF336" s="264"/>
    </row>
    <row r="337" spans="1:32" s="268" customFormat="1" ht="15" x14ac:dyDescent="0.25">
      <c r="A337" s="264"/>
      <c r="B337" s="264"/>
      <c r="C337" s="1056"/>
      <c r="D337" s="1056"/>
      <c r="E337" s="1056"/>
      <c r="F337" s="1056"/>
      <c r="G337" s="1056"/>
      <c r="H337" s="1056"/>
      <c r="I337" s="1056"/>
      <c r="J337" s="1056"/>
      <c r="K337" s="1056"/>
      <c r="L337" s="1056"/>
      <c r="M337" s="274"/>
      <c r="P337" s="264"/>
      <c r="Q337" s="264"/>
      <c r="R337" s="264"/>
      <c r="S337" s="264"/>
      <c r="T337" s="1056"/>
      <c r="U337" s="1056"/>
      <c r="V337" s="1056"/>
      <c r="W337" s="1056"/>
      <c r="X337" s="1056"/>
      <c r="Y337" s="1056"/>
      <c r="Z337" s="1056"/>
      <c r="AA337" s="1056"/>
      <c r="AB337" s="1056"/>
      <c r="AC337" s="1056"/>
      <c r="AD337" s="1056"/>
      <c r="AE337" s="1056"/>
      <c r="AF337" s="264"/>
    </row>
    <row r="338" spans="1:32" s="268" customFormat="1" ht="15" x14ac:dyDescent="0.25">
      <c r="A338" s="264"/>
      <c r="B338" s="264"/>
      <c r="C338" s="1056"/>
      <c r="D338" s="1056"/>
      <c r="E338" s="1056"/>
      <c r="F338" s="1056"/>
      <c r="G338" s="1056"/>
      <c r="H338" s="1056"/>
      <c r="I338" s="1056"/>
      <c r="J338" s="1056"/>
      <c r="K338" s="1056"/>
      <c r="L338" s="1056"/>
      <c r="M338" s="274"/>
      <c r="P338" s="264"/>
      <c r="Q338" s="264"/>
      <c r="R338" s="264"/>
      <c r="S338" s="264"/>
      <c r="T338" s="1056"/>
      <c r="U338" s="1056"/>
      <c r="V338" s="1056"/>
      <c r="W338" s="1056"/>
      <c r="X338" s="1056"/>
      <c r="Y338" s="1056"/>
      <c r="Z338" s="1056"/>
      <c r="AA338" s="1056"/>
      <c r="AB338" s="1056"/>
      <c r="AC338" s="1056"/>
      <c r="AD338" s="1056"/>
      <c r="AE338" s="1056"/>
      <c r="AF338" s="264"/>
    </row>
    <row r="339" spans="1:32" s="268" customFormat="1" ht="15" x14ac:dyDescent="0.25">
      <c r="A339" s="264"/>
      <c r="B339" s="264"/>
      <c r="C339" s="1056"/>
      <c r="D339" s="1056"/>
      <c r="E339" s="1056"/>
      <c r="F339" s="1056"/>
      <c r="G339" s="1056"/>
      <c r="H339" s="1056"/>
      <c r="I339" s="1056"/>
      <c r="J339" s="1056"/>
      <c r="K339" s="1056"/>
      <c r="L339" s="1056"/>
      <c r="M339" s="274"/>
      <c r="P339" s="264"/>
      <c r="Q339" s="264"/>
      <c r="R339" s="264"/>
      <c r="S339" s="264"/>
      <c r="T339" s="1056"/>
      <c r="U339" s="1056"/>
      <c r="V339" s="1056"/>
      <c r="W339" s="1056"/>
      <c r="X339" s="1056"/>
      <c r="Y339" s="1056"/>
      <c r="Z339" s="1056"/>
      <c r="AA339" s="1056"/>
      <c r="AB339" s="1056"/>
      <c r="AC339" s="1056"/>
      <c r="AD339" s="1056"/>
      <c r="AE339" s="1056"/>
      <c r="AF339" s="264"/>
    </row>
    <row r="340" spans="1:32" s="268" customFormat="1" ht="15" x14ac:dyDescent="0.25">
      <c r="A340" s="264"/>
      <c r="B340" s="264"/>
      <c r="C340" s="1056"/>
      <c r="D340" s="1056"/>
      <c r="E340" s="1056"/>
      <c r="F340" s="1056"/>
      <c r="G340" s="1056"/>
      <c r="H340" s="1056"/>
      <c r="I340" s="1056"/>
      <c r="J340" s="1056"/>
      <c r="K340" s="1056"/>
      <c r="L340" s="1056"/>
      <c r="M340" s="274"/>
      <c r="P340" s="264"/>
      <c r="Q340" s="264"/>
      <c r="R340" s="264"/>
      <c r="S340" s="264"/>
      <c r="T340" s="1056"/>
      <c r="U340" s="1056"/>
      <c r="V340" s="1056"/>
      <c r="W340" s="1056"/>
      <c r="X340" s="1056"/>
      <c r="Y340" s="1056"/>
      <c r="Z340" s="1056"/>
      <c r="AA340" s="1056"/>
      <c r="AB340" s="1056"/>
      <c r="AC340" s="1056"/>
      <c r="AD340" s="1056"/>
      <c r="AE340" s="1056"/>
      <c r="AF340" s="264"/>
    </row>
    <row r="341" spans="1:32" s="268" customFormat="1" ht="15" x14ac:dyDescent="0.25">
      <c r="A341" s="264"/>
      <c r="B341" s="264"/>
      <c r="C341" s="1056"/>
      <c r="D341" s="1056"/>
      <c r="E341" s="1056"/>
      <c r="F341" s="1056"/>
      <c r="G341" s="1056"/>
      <c r="H341" s="1056"/>
      <c r="I341" s="1056"/>
      <c r="J341" s="1056"/>
      <c r="K341" s="1056"/>
      <c r="L341" s="1056"/>
      <c r="M341" s="274"/>
      <c r="P341" s="264"/>
      <c r="Q341" s="264"/>
      <c r="R341" s="264"/>
      <c r="S341" s="264"/>
      <c r="T341" s="1056"/>
      <c r="U341" s="1056"/>
      <c r="V341" s="1056"/>
      <c r="W341" s="1056"/>
      <c r="X341" s="1056"/>
      <c r="Y341" s="1056"/>
      <c r="Z341" s="1056"/>
      <c r="AA341" s="1056"/>
      <c r="AB341" s="1056"/>
      <c r="AC341" s="1056"/>
      <c r="AD341" s="1056"/>
      <c r="AE341" s="1056"/>
      <c r="AF341" s="264"/>
    </row>
    <row r="342" spans="1:32" s="268" customFormat="1" ht="15" x14ac:dyDescent="0.25">
      <c r="A342" s="264"/>
      <c r="B342" s="264"/>
      <c r="C342" s="1056"/>
      <c r="D342" s="1056"/>
      <c r="E342" s="1056"/>
      <c r="F342" s="1056"/>
      <c r="G342" s="1056"/>
      <c r="H342" s="1056"/>
      <c r="I342" s="1056"/>
      <c r="J342" s="1056"/>
      <c r="K342" s="1056"/>
      <c r="L342" s="1056"/>
      <c r="M342" s="274"/>
      <c r="P342" s="264"/>
      <c r="Q342" s="264"/>
      <c r="R342" s="264"/>
      <c r="S342" s="264"/>
      <c r="T342" s="1056"/>
      <c r="U342" s="1056"/>
      <c r="V342" s="1056"/>
      <c r="W342" s="1056"/>
      <c r="X342" s="1056"/>
      <c r="Y342" s="1056"/>
      <c r="Z342" s="1056"/>
      <c r="AA342" s="1056"/>
      <c r="AB342" s="1056"/>
      <c r="AC342" s="1056"/>
      <c r="AD342" s="1056"/>
      <c r="AE342" s="1056"/>
      <c r="AF342" s="264"/>
    </row>
    <row r="343" spans="1:32" s="268" customFormat="1" ht="15" x14ac:dyDescent="0.25">
      <c r="A343" s="264"/>
      <c r="B343" s="264"/>
      <c r="C343" s="1056"/>
      <c r="D343" s="1056"/>
      <c r="E343" s="1056"/>
      <c r="F343" s="1056"/>
      <c r="G343" s="1056"/>
      <c r="H343" s="1056"/>
      <c r="I343" s="1056"/>
      <c r="J343" s="1056"/>
      <c r="K343" s="1056"/>
      <c r="L343" s="1056"/>
      <c r="M343" s="274"/>
      <c r="P343" s="264"/>
      <c r="Q343" s="264"/>
      <c r="R343" s="264"/>
      <c r="S343" s="264"/>
      <c r="T343" s="1056"/>
      <c r="U343" s="1056"/>
      <c r="V343" s="1056"/>
      <c r="W343" s="1056"/>
      <c r="X343" s="1056"/>
      <c r="Y343" s="1056"/>
      <c r="Z343" s="1056"/>
      <c r="AA343" s="1056"/>
      <c r="AB343" s="1056"/>
      <c r="AC343" s="1056"/>
      <c r="AD343" s="1056"/>
      <c r="AE343" s="1056"/>
      <c r="AF343" s="264"/>
    </row>
    <row r="344" spans="1:32" s="268" customFormat="1" ht="15" x14ac:dyDescent="0.25">
      <c r="A344" s="264"/>
      <c r="B344" s="264"/>
      <c r="C344" s="1056"/>
      <c r="D344" s="1056"/>
      <c r="E344" s="1056"/>
      <c r="F344" s="1056"/>
      <c r="G344" s="1056"/>
      <c r="H344" s="1056"/>
      <c r="I344" s="1056"/>
      <c r="J344" s="1056"/>
      <c r="K344" s="1056"/>
      <c r="L344" s="1056"/>
      <c r="M344" s="274"/>
      <c r="P344" s="264"/>
      <c r="Q344" s="264"/>
      <c r="R344" s="264"/>
      <c r="S344" s="264"/>
      <c r="T344" s="1056"/>
      <c r="U344" s="1056"/>
      <c r="V344" s="1056"/>
      <c r="W344" s="1056"/>
      <c r="X344" s="1056"/>
      <c r="Y344" s="1056"/>
      <c r="Z344" s="1056"/>
      <c r="AA344" s="1056"/>
      <c r="AB344" s="1056"/>
      <c r="AC344" s="1056"/>
      <c r="AD344" s="1056"/>
      <c r="AE344" s="1056"/>
      <c r="AF344" s="264"/>
    </row>
    <row r="345" spans="1:32" s="268" customFormat="1" ht="15" x14ac:dyDescent="0.25">
      <c r="A345" s="264"/>
      <c r="B345" s="264"/>
      <c r="C345" s="1056"/>
      <c r="D345" s="1056"/>
      <c r="E345" s="1056"/>
      <c r="F345" s="1056"/>
      <c r="G345" s="1056"/>
      <c r="H345" s="1056"/>
      <c r="I345" s="1056"/>
      <c r="J345" s="1056"/>
      <c r="K345" s="1056"/>
      <c r="L345" s="1056"/>
      <c r="M345" s="274"/>
      <c r="P345" s="264"/>
      <c r="Q345" s="264"/>
      <c r="R345" s="264"/>
      <c r="S345" s="264"/>
      <c r="T345" s="1056"/>
      <c r="U345" s="1056"/>
      <c r="V345" s="1056"/>
      <c r="W345" s="1056"/>
      <c r="X345" s="1056"/>
      <c r="Y345" s="1056"/>
      <c r="Z345" s="1056"/>
      <c r="AA345" s="1056"/>
      <c r="AB345" s="1056"/>
      <c r="AC345" s="1056"/>
      <c r="AD345" s="1056"/>
      <c r="AE345" s="1056"/>
      <c r="AF345" s="264"/>
    </row>
    <row r="346" spans="1:32" s="268" customFormat="1" ht="15" x14ac:dyDescent="0.25">
      <c r="A346" s="264"/>
      <c r="B346" s="264"/>
      <c r="C346" s="1056"/>
      <c r="D346" s="1056"/>
      <c r="E346" s="1056"/>
      <c r="F346" s="1056"/>
      <c r="G346" s="1056"/>
      <c r="H346" s="1056"/>
      <c r="I346" s="1056"/>
      <c r="J346" s="1056"/>
      <c r="K346" s="1056"/>
      <c r="L346" s="1056"/>
      <c r="M346" s="274"/>
      <c r="P346" s="264"/>
      <c r="Q346" s="264"/>
      <c r="R346" s="264"/>
      <c r="S346" s="264"/>
      <c r="T346" s="1056"/>
      <c r="U346" s="1056"/>
      <c r="V346" s="1056"/>
      <c r="W346" s="1056"/>
      <c r="X346" s="1056"/>
      <c r="Y346" s="1056"/>
      <c r="Z346" s="1056"/>
      <c r="AA346" s="1056"/>
      <c r="AB346" s="1056"/>
      <c r="AC346" s="1056"/>
      <c r="AD346" s="1056"/>
      <c r="AE346" s="1056"/>
      <c r="AF346" s="264"/>
    </row>
    <row r="347" spans="1:32" s="268" customFormat="1" ht="15" x14ac:dyDescent="0.25">
      <c r="A347" s="264"/>
      <c r="B347" s="264"/>
      <c r="C347" s="1056"/>
      <c r="D347" s="1056"/>
      <c r="E347" s="1056"/>
      <c r="F347" s="1056"/>
      <c r="G347" s="1056"/>
      <c r="H347" s="1056"/>
      <c r="I347" s="1056"/>
      <c r="J347" s="1056"/>
      <c r="K347" s="1056"/>
      <c r="L347" s="1056"/>
      <c r="M347" s="274"/>
      <c r="P347" s="264"/>
      <c r="Q347" s="264"/>
      <c r="R347" s="264"/>
      <c r="S347" s="264"/>
      <c r="T347" s="1056"/>
      <c r="U347" s="1056"/>
      <c r="V347" s="1056"/>
      <c r="W347" s="1056"/>
      <c r="X347" s="1056"/>
      <c r="Y347" s="1056"/>
      <c r="Z347" s="1056"/>
      <c r="AA347" s="1056"/>
      <c r="AB347" s="1056"/>
      <c r="AC347" s="1056"/>
      <c r="AD347" s="1056"/>
      <c r="AE347" s="1056"/>
      <c r="AF347" s="264"/>
    </row>
    <row r="348" spans="1:32" s="268" customFormat="1" ht="15" x14ac:dyDescent="0.25">
      <c r="A348" s="264"/>
      <c r="B348" s="264"/>
      <c r="C348" s="1056"/>
      <c r="D348" s="1056"/>
      <c r="E348" s="1056"/>
      <c r="F348" s="1056"/>
      <c r="G348" s="1056"/>
      <c r="H348" s="1056"/>
      <c r="I348" s="1056"/>
      <c r="J348" s="1056"/>
      <c r="K348" s="1056"/>
      <c r="L348" s="1056"/>
      <c r="M348" s="274"/>
      <c r="P348" s="264"/>
      <c r="Q348" s="264"/>
      <c r="R348" s="264"/>
      <c r="S348" s="264"/>
      <c r="T348" s="1056"/>
      <c r="U348" s="1056"/>
      <c r="V348" s="1056"/>
      <c r="W348" s="1056"/>
      <c r="X348" s="1056"/>
      <c r="Y348" s="1056"/>
      <c r="Z348" s="1056"/>
      <c r="AA348" s="1056"/>
      <c r="AB348" s="1056"/>
      <c r="AC348" s="1056"/>
      <c r="AD348" s="1056"/>
      <c r="AE348" s="1056"/>
      <c r="AF348" s="264"/>
    </row>
    <row r="349" spans="1:32" s="268" customFormat="1" ht="15" x14ac:dyDescent="0.25">
      <c r="A349" s="264"/>
      <c r="B349" s="264"/>
      <c r="C349" s="1056"/>
      <c r="D349" s="1056"/>
      <c r="E349" s="1056"/>
      <c r="F349" s="1056"/>
      <c r="G349" s="1056"/>
      <c r="H349" s="1056"/>
      <c r="I349" s="1056"/>
      <c r="J349" s="1056"/>
      <c r="K349" s="1056"/>
      <c r="L349" s="1056"/>
      <c r="M349" s="274"/>
      <c r="P349" s="264"/>
      <c r="Q349" s="264"/>
      <c r="R349" s="264"/>
      <c r="S349" s="264"/>
      <c r="T349" s="1056"/>
      <c r="U349" s="1056"/>
      <c r="V349" s="1056"/>
      <c r="W349" s="1056"/>
      <c r="X349" s="1056"/>
      <c r="Y349" s="1056"/>
      <c r="Z349" s="1056"/>
      <c r="AA349" s="1056"/>
      <c r="AB349" s="1056"/>
      <c r="AC349" s="1056"/>
      <c r="AD349" s="1056"/>
      <c r="AE349" s="1056"/>
      <c r="AF349" s="264"/>
    </row>
    <row r="350" spans="1:32" s="268" customFormat="1" ht="15" x14ac:dyDescent="0.25">
      <c r="A350" s="264"/>
      <c r="B350" s="264"/>
      <c r="C350" s="1056"/>
      <c r="D350" s="1056"/>
      <c r="E350" s="1056"/>
      <c r="F350" s="1056"/>
      <c r="G350" s="1056"/>
      <c r="H350" s="1056"/>
      <c r="I350" s="1056"/>
      <c r="J350" s="1056"/>
      <c r="K350" s="1056"/>
      <c r="L350" s="1056"/>
      <c r="M350" s="274"/>
      <c r="P350" s="264"/>
      <c r="Q350" s="264"/>
      <c r="R350" s="264"/>
      <c r="S350" s="264"/>
      <c r="T350" s="1056"/>
      <c r="U350" s="1056"/>
      <c r="V350" s="1056"/>
      <c r="W350" s="1056"/>
      <c r="X350" s="1056"/>
      <c r="Y350" s="1056"/>
      <c r="Z350" s="1056"/>
      <c r="AA350" s="1056"/>
      <c r="AB350" s="1056"/>
      <c r="AC350" s="1056"/>
      <c r="AD350" s="1056"/>
      <c r="AE350" s="1056"/>
      <c r="AF350" s="264"/>
    </row>
    <row r="351" spans="1:32" s="268" customFormat="1" ht="15" x14ac:dyDescent="0.25">
      <c r="A351" s="264"/>
      <c r="B351" s="264"/>
      <c r="C351" s="1056"/>
      <c r="D351" s="1056"/>
      <c r="E351" s="1056"/>
      <c r="F351" s="1056"/>
      <c r="G351" s="1056"/>
      <c r="H351" s="1056"/>
      <c r="I351" s="1056"/>
      <c r="J351" s="1056"/>
      <c r="K351" s="1056"/>
      <c r="L351" s="1056"/>
      <c r="M351" s="274"/>
      <c r="P351" s="264"/>
      <c r="Q351" s="264"/>
      <c r="R351" s="264"/>
      <c r="S351" s="264"/>
      <c r="T351" s="1056"/>
      <c r="U351" s="1056"/>
      <c r="V351" s="1056"/>
      <c r="W351" s="1056"/>
      <c r="X351" s="1056"/>
      <c r="Y351" s="1056"/>
      <c r="Z351" s="1056"/>
      <c r="AA351" s="1056"/>
      <c r="AB351" s="1056"/>
      <c r="AC351" s="1056"/>
      <c r="AD351" s="1056"/>
      <c r="AE351" s="1056"/>
      <c r="AF351" s="264"/>
    </row>
    <row r="352" spans="1:32" s="268" customFormat="1" ht="15" x14ac:dyDescent="0.25">
      <c r="A352" s="264"/>
      <c r="B352" s="264"/>
      <c r="C352" s="1056"/>
      <c r="D352" s="1056"/>
      <c r="E352" s="1056"/>
      <c r="F352" s="1056"/>
      <c r="G352" s="1056"/>
      <c r="H352" s="1056"/>
      <c r="I352" s="1056"/>
      <c r="J352" s="1056"/>
      <c r="K352" s="1056"/>
      <c r="L352" s="1056"/>
      <c r="M352" s="274"/>
      <c r="P352" s="264"/>
      <c r="Q352" s="264"/>
      <c r="R352" s="264"/>
      <c r="S352" s="264"/>
      <c r="T352" s="1056"/>
      <c r="U352" s="1056"/>
      <c r="V352" s="1056"/>
      <c r="W352" s="1056"/>
      <c r="X352" s="1056"/>
      <c r="Y352" s="1056"/>
      <c r="Z352" s="1056"/>
      <c r="AA352" s="1056"/>
      <c r="AB352" s="1056"/>
      <c r="AC352" s="1056"/>
      <c r="AD352" s="1056"/>
      <c r="AE352" s="1056"/>
      <c r="AF352" s="264"/>
    </row>
    <row r="353" spans="1:32" s="268" customFormat="1" ht="15" x14ac:dyDescent="0.25">
      <c r="A353" s="264"/>
      <c r="B353" s="264"/>
      <c r="C353" s="1056"/>
      <c r="D353" s="1056"/>
      <c r="E353" s="1056"/>
      <c r="F353" s="1056"/>
      <c r="G353" s="1056"/>
      <c r="H353" s="1056"/>
      <c r="I353" s="1056"/>
      <c r="J353" s="1056"/>
      <c r="K353" s="1056"/>
      <c r="L353" s="1056"/>
      <c r="M353" s="274"/>
      <c r="P353" s="264"/>
      <c r="Q353" s="264"/>
      <c r="R353" s="264"/>
      <c r="S353" s="264"/>
      <c r="T353" s="1056"/>
      <c r="U353" s="1056"/>
      <c r="V353" s="1056"/>
      <c r="W353" s="1056"/>
      <c r="X353" s="1056"/>
      <c r="Y353" s="1056"/>
      <c r="Z353" s="1056"/>
      <c r="AA353" s="1056"/>
      <c r="AB353" s="1056"/>
      <c r="AC353" s="1056"/>
      <c r="AD353" s="1056"/>
      <c r="AE353" s="1056"/>
      <c r="AF353" s="264"/>
    </row>
    <row r="354" spans="1:32" s="268" customFormat="1" ht="15" x14ac:dyDescent="0.25">
      <c r="A354" s="264"/>
      <c r="B354" s="264"/>
      <c r="C354" s="1056"/>
      <c r="D354" s="1056"/>
      <c r="E354" s="1056"/>
      <c r="F354" s="1056"/>
      <c r="G354" s="1056"/>
      <c r="H354" s="1056"/>
      <c r="I354" s="1056"/>
      <c r="J354" s="1056"/>
      <c r="K354" s="1056"/>
      <c r="L354" s="1056"/>
      <c r="M354" s="274"/>
      <c r="P354" s="264"/>
      <c r="Q354" s="264"/>
      <c r="R354" s="264"/>
      <c r="S354" s="264"/>
      <c r="T354" s="1056"/>
      <c r="U354" s="1056"/>
      <c r="V354" s="1056"/>
      <c r="W354" s="1056"/>
      <c r="X354" s="1056"/>
      <c r="Y354" s="1056"/>
      <c r="Z354" s="1056"/>
      <c r="AA354" s="1056"/>
      <c r="AB354" s="1056"/>
      <c r="AC354" s="1056"/>
      <c r="AD354" s="1056"/>
      <c r="AE354" s="1056"/>
      <c r="AF354" s="264"/>
    </row>
    <row r="355" spans="1:32" s="268" customFormat="1" ht="15" x14ac:dyDescent="0.25">
      <c r="A355" s="264"/>
      <c r="B355" s="264"/>
      <c r="C355" s="1056"/>
      <c r="D355" s="1056"/>
      <c r="E355" s="1056"/>
      <c r="F355" s="1056"/>
      <c r="G355" s="1056"/>
      <c r="H355" s="1056"/>
      <c r="I355" s="1056"/>
      <c r="J355" s="1056"/>
      <c r="K355" s="1056"/>
      <c r="L355" s="1056"/>
      <c r="M355" s="274"/>
      <c r="P355" s="264"/>
      <c r="Q355" s="264"/>
      <c r="R355" s="264"/>
      <c r="S355" s="264"/>
      <c r="T355" s="1056"/>
      <c r="U355" s="1056"/>
      <c r="V355" s="1056"/>
      <c r="W355" s="1056"/>
      <c r="X355" s="1056"/>
      <c r="Y355" s="1056"/>
      <c r="Z355" s="1056"/>
      <c r="AA355" s="1056"/>
      <c r="AB355" s="1056"/>
      <c r="AC355" s="1056"/>
      <c r="AD355" s="1056"/>
      <c r="AE355" s="1056"/>
      <c r="AF355" s="264"/>
    </row>
    <row r="356" spans="1:32" s="268" customFormat="1" ht="15" x14ac:dyDescent="0.25">
      <c r="A356" s="264"/>
      <c r="B356" s="264"/>
      <c r="C356" s="1056"/>
      <c r="D356" s="1056"/>
      <c r="E356" s="1056"/>
      <c r="F356" s="1056"/>
      <c r="G356" s="1056"/>
      <c r="H356" s="1056"/>
      <c r="I356" s="1056"/>
      <c r="J356" s="1056"/>
      <c r="K356" s="1056"/>
      <c r="L356" s="1056"/>
      <c r="M356" s="274"/>
      <c r="P356" s="264"/>
      <c r="Q356" s="264"/>
      <c r="R356" s="264"/>
      <c r="S356" s="264"/>
      <c r="T356" s="1056"/>
      <c r="U356" s="1056"/>
      <c r="V356" s="1056"/>
      <c r="W356" s="1056"/>
      <c r="X356" s="1056"/>
      <c r="Y356" s="1056"/>
      <c r="Z356" s="1056"/>
      <c r="AA356" s="1056"/>
      <c r="AB356" s="1056"/>
      <c r="AC356" s="1056"/>
      <c r="AD356" s="1056"/>
      <c r="AE356" s="1056"/>
      <c r="AF356" s="264"/>
    </row>
    <row r="357" spans="1:32" s="268" customFormat="1" ht="15" x14ac:dyDescent="0.25">
      <c r="A357" s="264"/>
      <c r="B357" s="264"/>
      <c r="C357" s="1056"/>
      <c r="D357" s="1056"/>
      <c r="E357" s="1056"/>
      <c r="F357" s="1056"/>
      <c r="G357" s="1056"/>
      <c r="H357" s="1056"/>
      <c r="I357" s="1056"/>
      <c r="J357" s="1056"/>
      <c r="K357" s="1056"/>
      <c r="L357" s="1056"/>
      <c r="M357" s="274"/>
      <c r="P357" s="264"/>
      <c r="Q357" s="264"/>
      <c r="R357" s="264"/>
      <c r="S357" s="264"/>
      <c r="T357" s="1056"/>
      <c r="U357" s="1056"/>
      <c r="V357" s="1056"/>
      <c r="W357" s="1056"/>
      <c r="X357" s="1056"/>
      <c r="Y357" s="1056"/>
      <c r="Z357" s="1056"/>
      <c r="AA357" s="1056"/>
      <c r="AB357" s="1056"/>
      <c r="AC357" s="1056"/>
      <c r="AD357" s="1056"/>
      <c r="AE357" s="1056"/>
      <c r="AF357" s="264"/>
    </row>
    <row r="358" spans="1:32" s="268" customFormat="1" ht="15" x14ac:dyDescent="0.25">
      <c r="A358" s="264"/>
      <c r="B358" s="264"/>
      <c r="C358" s="1056"/>
      <c r="D358" s="1056"/>
      <c r="E358" s="1056"/>
      <c r="F358" s="1056"/>
      <c r="G358" s="1056"/>
      <c r="H358" s="1056"/>
      <c r="I358" s="1056"/>
      <c r="J358" s="1056"/>
      <c r="K358" s="1056"/>
      <c r="L358" s="1056"/>
      <c r="M358" s="274"/>
      <c r="P358" s="264"/>
      <c r="Q358" s="264"/>
      <c r="R358" s="264"/>
      <c r="S358" s="264"/>
      <c r="T358" s="1056"/>
      <c r="U358" s="1056"/>
      <c r="V358" s="1056"/>
      <c r="W358" s="1056"/>
      <c r="X358" s="1056"/>
      <c r="Y358" s="1056"/>
      <c r="Z358" s="1056"/>
      <c r="AA358" s="1056"/>
      <c r="AB358" s="1056"/>
      <c r="AC358" s="1056"/>
      <c r="AD358" s="1056"/>
      <c r="AE358" s="1056"/>
      <c r="AF358" s="264"/>
    </row>
    <row r="359" spans="1:32" s="268" customFormat="1" ht="15" x14ac:dyDescent="0.25">
      <c r="A359" s="264"/>
      <c r="B359" s="264"/>
      <c r="C359" s="1056"/>
      <c r="D359" s="1056"/>
      <c r="E359" s="1056"/>
      <c r="F359" s="1056"/>
      <c r="G359" s="1056"/>
      <c r="H359" s="1056"/>
      <c r="I359" s="1056"/>
      <c r="J359" s="1056"/>
      <c r="K359" s="1056"/>
      <c r="L359" s="1056"/>
      <c r="M359" s="274"/>
      <c r="P359" s="264"/>
      <c r="Q359" s="264"/>
      <c r="R359" s="264"/>
      <c r="S359" s="264"/>
      <c r="T359" s="1056"/>
      <c r="U359" s="1056"/>
      <c r="V359" s="1056"/>
      <c r="W359" s="1056"/>
      <c r="X359" s="1056"/>
      <c r="Y359" s="1056"/>
      <c r="Z359" s="1056"/>
      <c r="AA359" s="1056"/>
      <c r="AB359" s="1056"/>
      <c r="AC359" s="1056"/>
      <c r="AD359" s="1056"/>
      <c r="AE359" s="1056"/>
      <c r="AF359" s="264"/>
    </row>
    <row r="360" spans="1:32" s="268" customFormat="1" ht="15" x14ac:dyDescent="0.25">
      <c r="A360" s="264"/>
      <c r="B360" s="264"/>
      <c r="C360" s="1056"/>
      <c r="D360" s="1056"/>
      <c r="E360" s="1056"/>
      <c r="F360" s="1056"/>
      <c r="G360" s="1056"/>
      <c r="H360" s="1056"/>
      <c r="I360" s="1056"/>
      <c r="J360" s="1056"/>
      <c r="K360" s="1056"/>
      <c r="L360" s="1056"/>
      <c r="M360" s="274"/>
      <c r="P360" s="264"/>
      <c r="Q360" s="264"/>
      <c r="R360" s="264"/>
      <c r="S360" s="264"/>
      <c r="T360" s="1056"/>
      <c r="U360" s="1056"/>
      <c r="V360" s="1056"/>
      <c r="W360" s="1056"/>
      <c r="X360" s="1056"/>
      <c r="Y360" s="1056"/>
      <c r="Z360" s="1056"/>
      <c r="AA360" s="1056"/>
      <c r="AB360" s="1056"/>
      <c r="AC360" s="1056"/>
      <c r="AD360" s="1056"/>
      <c r="AE360" s="1056"/>
      <c r="AF360" s="264"/>
    </row>
    <row r="361" spans="1:32" s="268" customFormat="1" ht="15" x14ac:dyDescent="0.25">
      <c r="A361" s="264"/>
      <c r="B361" s="264"/>
      <c r="C361" s="1056"/>
      <c r="D361" s="1056"/>
      <c r="E361" s="1056"/>
      <c r="F361" s="1056"/>
      <c r="G361" s="1056"/>
      <c r="H361" s="1056"/>
      <c r="I361" s="1056"/>
      <c r="J361" s="1056"/>
      <c r="K361" s="1056"/>
      <c r="L361" s="1056"/>
      <c r="M361" s="274"/>
      <c r="P361" s="264"/>
      <c r="Q361" s="264"/>
      <c r="R361" s="264"/>
      <c r="S361" s="264"/>
      <c r="T361" s="1056"/>
      <c r="U361" s="1056"/>
      <c r="V361" s="1056"/>
      <c r="W361" s="1056"/>
      <c r="X361" s="1056"/>
      <c r="Y361" s="1056"/>
      <c r="Z361" s="1056"/>
      <c r="AA361" s="1056"/>
      <c r="AB361" s="1056"/>
      <c r="AC361" s="1056"/>
      <c r="AD361" s="1056"/>
      <c r="AE361" s="1056"/>
      <c r="AF361" s="264"/>
    </row>
    <row r="362" spans="1:32" s="268" customFormat="1" ht="15" x14ac:dyDescent="0.25">
      <c r="A362" s="264"/>
      <c r="B362" s="264"/>
      <c r="C362" s="1056"/>
      <c r="D362" s="1056"/>
      <c r="E362" s="1056"/>
      <c r="F362" s="1056"/>
      <c r="G362" s="1056"/>
      <c r="H362" s="1056"/>
      <c r="I362" s="1056"/>
      <c r="J362" s="1056"/>
      <c r="K362" s="1056"/>
      <c r="L362" s="1056"/>
      <c r="M362" s="274"/>
      <c r="P362" s="264"/>
      <c r="Q362" s="264"/>
      <c r="R362" s="264"/>
      <c r="S362" s="264"/>
      <c r="T362" s="1056"/>
      <c r="U362" s="1056"/>
      <c r="V362" s="1056"/>
      <c r="W362" s="1056"/>
      <c r="X362" s="1056"/>
      <c r="Y362" s="1056"/>
      <c r="Z362" s="1056"/>
      <c r="AA362" s="1056"/>
      <c r="AB362" s="1056"/>
      <c r="AC362" s="1056"/>
      <c r="AD362" s="1056"/>
      <c r="AE362" s="1056"/>
      <c r="AF362" s="264"/>
    </row>
    <row r="363" spans="1:32" s="268" customFormat="1" ht="15" x14ac:dyDescent="0.25">
      <c r="A363" s="264"/>
      <c r="B363" s="264"/>
      <c r="C363" s="1056"/>
      <c r="D363" s="1056"/>
      <c r="E363" s="1056"/>
      <c r="F363" s="1056"/>
      <c r="G363" s="1056"/>
      <c r="H363" s="1056"/>
      <c r="I363" s="1056"/>
      <c r="J363" s="1056"/>
      <c r="K363" s="1056"/>
      <c r="L363" s="1056"/>
      <c r="M363" s="274"/>
      <c r="P363" s="264"/>
      <c r="Q363" s="264"/>
      <c r="R363" s="264"/>
      <c r="S363" s="264"/>
      <c r="T363" s="1056"/>
      <c r="U363" s="1056"/>
      <c r="V363" s="1056"/>
      <c r="W363" s="1056"/>
      <c r="X363" s="1056"/>
      <c r="Y363" s="1056"/>
      <c r="Z363" s="1056"/>
      <c r="AA363" s="1056"/>
      <c r="AB363" s="1056"/>
      <c r="AC363" s="1056"/>
      <c r="AD363" s="1056"/>
      <c r="AE363" s="1056"/>
      <c r="AF363" s="264"/>
    </row>
    <row r="364" spans="1:32" s="268" customFormat="1" ht="15" x14ac:dyDescent="0.25">
      <c r="A364" s="264"/>
      <c r="B364" s="264"/>
      <c r="C364" s="1056"/>
      <c r="D364" s="1056"/>
      <c r="E364" s="1056"/>
      <c r="F364" s="1056"/>
      <c r="G364" s="1056"/>
      <c r="H364" s="1056"/>
      <c r="I364" s="1056"/>
      <c r="J364" s="1056"/>
      <c r="K364" s="1056"/>
      <c r="L364" s="1056"/>
      <c r="M364" s="274"/>
      <c r="P364" s="264"/>
      <c r="Q364" s="264"/>
      <c r="R364" s="264"/>
      <c r="S364" s="264"/>
      <c r="T364" s="1056"/>
      <c r="U364" s="1056"/>
      <c r="V364" s="1056"/>
      <c r="W364" s="1056"/>
      <c r="X364" s="1056"/>
      <c r="Y364" s="1056"/>
      <c r="Z364" s="1056"/>
      <c r="AA364" s="1056"/>
      <c r="AB364" s="1056"/>
      <c r="AC364" s="1056"/>
      <c r="AD364" s="1056"/>
      <c r="AE364" s="1056"/>
      <c r="AF364" s="264"/>
    </row>
    <row r="365" spans="1:32" s="268" customFormat="1" ht="15" x14ac:dyDescent="0.25">
      <c r="A365" s="264"/>
      <c r="B365" s="264"/>
      <c r="C365" s="1056"/>
      <c r="D365" s="1056"/>
      <c r="E365" s="1056"/>
      <c r="F365" s="1056"/>
      <c r="G365" s="1056"/>
      <c r="H365" s="1056"/>
      <c r="I365" s="1056"/>
      <c r="J365" s="1056"/>
      <c r="K365" s="1056"/>
      <c r="L365" s="1056"/>
      <c r="M365" s="274"/>
      <c r="P365" s="264"/>
      <c r="Q365" s="264"/>
      <c r="R365" s="264"/>
      <c r="S365" s="264"/>
      <c r="T365" s="1056"/>
      <c r="U365" s="1056"/>
      <c r="V365" s="1056"/>
      <c r="W365" s="1056"/>
      <c r="X365" s="1056"/>
      <c r="Y365" s="1056"/>
      <c r="Z365" s="1056"/>
      <c r="AA365" s="1056"/>
      <c r="AB365" s="1056"/>
      <c r="AC365" s="1056"/>
      <c r="AD365" s="1056"/>
      <c r="AE365" s="1056"/>
      <c r="AF365" s="264"/>
    </row>
    <row r="366" spans="1:32" s="268" customFormat="1" ht="15" x14ac:dyDescent="0.25">
      <c r="A366" s="264"/>
      <c r="B366" s="264"/>
      <c r="C366" s="1056"/>
      <c r="D366" s="1056"/>
      <c r="E366" s="1056"/>
      <c r="F366" s="1056"/>
      <c r="G366" s="1056"/>
      <c r="H366" s="1056"/>
      <c r="I366" s="1056"/>
      <c r="J366" s="1056"/>
      <c r="K366" s="1056"/>
      <c r="L366" s="1056"/>
      <c r="M366" s="274"/>
      <c r="P366" s="264"/>
      <c r="Q366" s="264"/>
      <c r="R366" s="264"/>
      <c r="S366" s="264"/>
      <c r="T366" s="1056"/>
      <c r="U366" s="1056"/>
      <c r="V366" s="1056"/>
      <c r="W366" s="1056"/>
      <c r="X366" s="1056"/>
      <c r="Y366" s="1056"/>
      <c r="Z366" s="1056"/>
      <c r="AA366" s="1056"/>
      <c r="AB366" s="1056"/>
      <c r="AC366" s="1056"/>
      <c r="AD366" s="1056"/>
      <c r="AE366" s="1056"/>
      <c r="AF366" s="264"/>
    </row>
    <row r="367" spans="1:32" s="268" customFormat="1" ht="15" x14ac:dyDescent="0.25">
      <c r="A367" s="264"/>
      <c r="B367" s="264"/>
      <c r="C367" s="1056"/>
      <c r="D367" s="1056"/>
      <c r="E367" s="1056"/>
      <c r="F367" s="1056"/>
      <c r="G367" s="1056"/>
      <c r="H367" s="1056"/>
      <c r="I367" s="1056"/>
      <c r="J367" s="1056"/>
      <c r="K367" s="1056"/>
      <c r="L367" s="1056"/>
      <c r="M367" s="274"/>
      <c r="P367" s="264"/>
      <c r="Q367" s="264"/>
      <c r="R367" s="264"/>
      <c r="S367" s="264"/>
      <c r="T367" s="1056"/>
      <c r="U367" s="1056"/>
      <c r="V367" s="1056"/>
      <c r="W367" s="1056"/>
      <c r="X367" s="1056"/>
      <c r="Y367" s="1056"/>
      <c r="Z367" s="1056"/>
      <c r="AA367" s="1056"/>
      <c r="AB367" s="1056"/>
      <c r="AC367" s="1056"/>
      <c r="AD367" s="1056"/>
      <c r="AE367" s="1056"/>
      <c r="AF367" s="264"/>
    </row>
    <row r="368" spans="1:32" s="268" customFormat="1" ht="15" x14ac:dyDescent="0.25">
      <c r="A368" s="264"/>
      <c r="B368" s="264"/>
      <c r="C368" s="1056"/>
      <c r="D368" s="1056"/>
      <c r="E368" s="1056"/>
      <c r="F368" s="1056"/>
      <c r="G368" s="1056"/>
      <c r="H368" s="1056"/>
      <c r="I368" s="1056"/>
      <c r="J368" s="1056"/>
      <c r="K368" s="1056"/>
      <c r="L368" s="1056"/>
      <c r="M368" s="274"/>
      <c r="P368" s="264"/>
      <c r="Q368" s="264"/>
      <c r="R368" s="264"/>
      <c r="S368" s="264"/>
      <c r="T368" s="1056"/>
      <c r="U368" s="1056"/>
      <c r="V368" s="1056"/>
      <c r="W368" s="1056"/>
      <c r="X368" s="1056"/>
      <c r="Y368" s="1056"/>
      <c r="Z368" s="1056"/>
      <c r="AA368" s="1056"/>
      <c r="AB368" s="1056"/>
      <c r="AC368" s="1056"/>
      <c r="AD368" s="1056"/>
      <c r="AE368" s="1056"/>
      <c r="AF368" s="264"/>
    </row>
    <row r="369" spans="1:32" s="268" customFormat="1" ht="15" x14ac:dyDescent="0.25">
      <c r="A369" s="264"/>
      <c r="B369" s="264"/>
      <c r="C369" s="1056"/>
      <c r="D369" s="1056"/>
      <c r="E369" s="1056"/>
      <c r="F369" s="1056"/>
      <c r="G369" s="1056"/>
      <c r="H369" s="1056"/>
      <c r="I369" s="1056"/>
      <c r="J369" s="1056"/>
      <c r="K369" s="1056"/>
      <c r="L369" s="1056"/>
      <c r="M369" s="274"/>
      <c r="P369" s="264"/>
      <c r="Q369" s="264"/>
      <c r="R369" s="264"/>
      <c r="S369" s="264"/>
      <c r="T369" s="1056"/>
      <c r="U369" s="1056"/>
      <c r="V369" s="1056"/>
      <c r="W369" s="1056"/>
      <c r="X369" s="1056"/>
      <c r="Y369" s="1056"/>
      <c r="Z369" s="1056"/>
      <c r="AA369" s="1056"/>
      <c r="AB369" s="1056"/>
      <c r="AC369" s="1056"/>
      <c r="AD369" s="1056"/>
      <c r="AE369" s="1056"/>
      <c r="AF369" s="264"/>
    </row>
    <row r="370" spans="1:32" s="268" customFormat="1" ht="15" x14ac:dyDescent="0.25">
      <c r="A370" s="264"/>
      <c r="B370" s="264"/>
      <c r="C370" s="1056"/>
      <c r="D370" s="1056"/>
      <c r="E370" s="1056"/>
      <c r="F370" s="1056"/>
      <c r="G370" s="1056"/>
      <c r="H370" s="1056"/>
      <c r="I370" s="1056"/>
      <c r="J370" s="1056"/>
      <c r="K370" s="1056"/>
      <c r="L370" s="1056"/>
      <c r="M370" s="274"/>
      <c r="P370" s="264"/>
      <c r="Q370" s="264"/>
      <c r="R370" s="264"/>
      <c r="S370" s="264"/>
      <c r="T370" s="1056"/>
      <c r="U370" s="1056"/>
      <c r="V370" s="1056"/>
      <c r="W370" s="1056"/>
      <c r="X370" s="1056"/>
      <c r="Y370" s="1056"/>
      <c r="Z370" s="1056"/>
      <c r="AA370" s="1056"/>
      <c r="AB370" s="1056"/>
      <c r="AC370" s="1056"/>
      <c r="AD370" s="1056"/>
      <c r="AE370" s="1056"/>
      <c r="AF370" s="264"/>
    </row>
    <row r="371" spans="1:32" s="268" customFormat="1" ht="15" x14ac:dyDescent="0.25">
      <c r="A371" s="264"/>
      <c r="B371" s="264"/>
      <c r="C371" s="1056"/>
      <c r="D371" s="1056"/>
      <c r="E371" s="1056"/>
      <c r="F371" s="1056"/>
      <c r="G371" s="1056"/>
      <c r="H371" s="1056"/>
      <c r="I371" s="1056"/>
      <c r="J371" s="1056"/>
      <c r="K371" s="1056"/>
      <c r="L371" s="1056"/>
      <c r="M371" s="274"/>
      <c r="P371" s="264"/>
      <c r="Q371" s="264"/>
      <c r="R371" s="264"/>
      <c r="S371" s="264"/>
      <c r="T371" s="1056"/>
      <c r="U371" s="1056"/>
      <c r="V371" s="1056"/>
      <c r="W371" s="1056"/>
      <c r="X371" s="1056"/>
      <c r="Y371" s="1056"/>
      <c r="Z371" s="1056"/>
      <c r="AA371" s="1056"/>
      <c r="AB371" s="1056"/>
      <c r="AC371" s="1056"/>
      <c r="AD371" s="1056"/>
      <c r="AE371" s="1056"/>
      <c r="AF371" s="264"/>
    </row>
    <row r="372" spans="1:32" s="268" customFormat="1" ht="15" x14ac:dyDescent="0.25">
      <c r="A372" s="264"/>
      <c r="B372" s="264"/>
      <c r="C372" s="1056"/>
      <c r="D372" s="1056"/>
      <c r="E372" s="1056"/>
      <c r="F372" s="1056"/>
      <c r="G372" s="1056"/>
      <c r="H372" s="1056"/>
      <c r="I372" s="1056"/>
      <c r="J372" s="1056"/>
      <c r="K372" s="1056"/>
      <c r="L372" s="1056"/>
      <c r="M372" s="274"/>
      <c r="P372" s="264"/>
      <c r="Q372" s="264"/>
      <c r="R372" s="264"/>
      <c r="S372" s="264"/>
      <c r="T372" s="1056"/>
      <c r="U372" s="1056"/>
      <c r="V372" s="1056"/>
      <c r="W372" s="1056"/>
      <c r="X372" s="1056"/>
      <c r="Y372" s="1056"/>
      <c r="Z372" s="1056"/>
      <c r="AA372" s="1056"/>
      <c r="AB372" s="1056"/>
      <c r="AC372" s="1056"/>
      <c r="AD372" s="1056"/>
      <c r="AE372" s="1056"/>
      <c r="AF372" s="264"/>
    </row>
    <row r="373" spans="1:32" s="268" customFormat="1" ht="15" x14ac:dyDescent="0.25">
      <c r="A373" s="264"/>
      <c r="B373" s="264"/>
      <c r="C373" s="1056"/>
      <c r="D373" s="1056"/>
      <c r="E373" s="1056"/>
      <c r="F373" s="1056"/>
      <c r="G373" s="1056"/>
      <c r="H373" s="1056"/>
      <c r="I373" s="1056"/>
      <c r="J373" s="1056"/>
      <c r="K373" s="1056"/>
      <c r="L373" s="1056"/>
      <c r="M373" s="274"/>
      <c r="P373" s="264"/>
      <c r="Q373" s="264"/>
      <c r="R373" s="264"/>
      <c r="S373" s="264"/>
      <c r="T373" s="1056"/>
      <c r="U373" s="1056"/>
      <c r="V373" s="1056"/>
      <c r="W373" s="1056"/>
      <c r="X373" s="1056"/>
      <c r="Y373" s="1056"/>
      <c r="Z373" s="1056"/>
      <c r="AA373" s="1056"/>
      <c r="AB373" s="1056"/>
      <c r="AC373" s="1056"/>
      <c r="AD373" s="1056"/>
      <c r="AE373" s="1056"/>
      <c r="AF373" s="264"/>
    </row>
    <row r="374" spans="1:32" s="268" customFormat="1" ht="15" x14ac:dyDescent="0.25">
      <c r="A374" s="264"/>
      <c r="B374" s="264"/>
      <c r="C374" s="1056"/>
      <c r="D374" s="1056"/>
      <c r="E374" s="1056"/>
      <c r="F374" s="1056"/>
      <c r="G374" s="1056"/>
      <c r="H374" s="1056"/>
      <c r="I374" s="1056"/>
      <c r="J374" s="1056"/>
      <c r="K374" s="1056"/>
      <c r="L374" s="1056"/>
      <c r="M374" s="274"/>
      <c r="P374" s="264"/>
      <c r="Q374" s="264"/>
      <c r="R374" s="264"/>
      <c r="S374" s="264"/>
      <c r="T374" s="1056"/>
      <c r="U374" s="1056"/>
      <c r="V374" s="1056"/>
      <c r="W374" s="1056"/>
      <c r="X374" s="1056"/>
      <c r="Y374" s="1056"/>
      <c r="Z374" s="1056"/>
      <c r="AA374" s="1056"/>
      <c r="AB374" s="1056"/>
      <c r="AC374" s="1056"/>
      <c r="AD374" s="1056"/>
      <c r="AE374" s="1056"/>
      <c r="AF374" s="264"/>
    </row>
    <row r="375" spans="1:32" s="268" customFormat="1" ht="15" x14ac:dyDescent="0.25">
      <c r="A375" s="264"/>
      <c r="B375" s="264"/>
      <c r="C375" s="1056"/>
      <c r="D375" s="1056"/>
      <c r="E375" s="1056"/>
      <c r="F375" s="1056"/>
      <c r="G375" s="1056"/>
      <c r="H375" s="1056"/>
      <c r="I375" s="1056"/>
      <c r="J375" s="1056"/>
      <c r="K375" s="1056"/>
      <c r="L375" s="1056"/>
      <c r="M375" s="274"/>
      <c r="P375" s="264"/>
      <c r="Q375" s="264"/>
      <c r="R375" s="264"/>
      <c r="S375" s="264"/>
      <c r="T375" s="1056"/>
      <c r="U375" s="1056"/>
      <c r="V375" s="1056"/>
      <c r="W375" s="1056"/>
      <c r="X375" s="1056"/>
      <c r="Y375" s="1056"/>
      <c r="Z375" s="1056"/>
      <c r="AA375" s="1056"/>
      <c r="AB375" s="1056"/>
      <c r="AC375" s="1056"/>
      <c r="AD375" s="1056"/>
      <c r="AE375" s="1056"/>
      <c r="AF375" s="264"/>
    </row>
    <row r="376" spans="1:32" s="268" customFormat="1" ht="15" x14ac:dyDescent="0.25">
      <c r="A376" s="264"/>
      <c r="B376" s="264"/>
      <c r="C376" s="1056"/>
      <c r="D376" s="1056"/>
      <c r="E376" s="1056"/>
      <c r="F376" s="1056"/>
      <c r="G376" s="1056"/>
      <c r="H376" s="1056"/>
      <c r="I376" s="1056"/>
      <c r="J376" s="1056"/>
      <c r="K376" s="1056"/>
      <c r="L376" s="1056"/>
      <c r="M376" s="274"/>
      <c r="P376" s="264"/>
      <c r="Q376" s="264"/>
      <c r="R376" s="264"/>
      <c r="S376" s="264"/>
      <c r="T376" s="1056"/>
      <c r="U376" s="1056"/>
      <c r="V376" s="1056"/>
      <c r="W376" s="1056"/>
      <c r="X376" s="1056"/>
      <c r="Y376" s="1056"/>
      <c r="Z376" s="1056"/>
      <c r="AA376" s="1056"/>
      <c r="AB376" s="1056"/>
      <c r="AC376" s="1056"/>
      <c r="AD376" s="1056"/>
      <c r="AE376" s="1056"/>
      <c r="AF376" s="264"/>
    </row>
    <row r="377" spans="1:32" s="268" customFormat="1" ht="15" x14ac:dyDescent="0.25">
      <c r="A377" s="264"/>
      <c r="B377" s="264"/>
      <c r="C377" s="1056"/>
      <c r="D377" s="1056"/>
      <c r="E377" s="1056"/>
      <c r="F377" s="1056"/>
      <c r="G377" s="1056"/>
      <c r="H377" s="1056"/>
      <c r="I377" s="1056"/>
      <c r="J377" s="1056"/>
      <c r="K377" s="1056"/>
      <c r="L377" s="1056"/>
      <c r="M377" s="274"/>
      <c r="P377" s="264"/>
      <c r="Q377" s="264"/>
      <c r="R377" s="264"/>
      <c r="S377" s="264"/>
      <c r="T377" s="1056"/>
      <c r="U377" s="1056"/>
      <c r="V377" s="1056"/>
      <c r="W377" s="1056"/>
      <c r="X377" s="1056"/>
      <c r="Y377" s="1056"/>
      <c r="Z377" s="1056"/>
      <c r="AA377" s="1056"/>
      <c r="AB377" s="1056"/>
      <c r="AC377" s="1056"/>
      <c r="AD377" s="1056"/>
      <c r="AE377" s="1056"/>
      <c r="AF377" s="264"/>
    </row>
    <row r="378" spans="1:32" s="268" customFormat="1" ht="15" x14ac:dyDescent="0.25">
      <c r="A378" s="264"/>
      <c r="B378" s="264"/>
      <c r="C378" s="1056"/>
      <c r="D378" s="1056"/>
      <c r="E378" s="1056"/>
      <c r="F378" s="1056"/>
      <c r="G378" s="1056"/>
      <c r="H378" s="1056"/>
      <c r="I378" s="1056"/>
      <c r="J378" s="1056"/>
      <c r="K378" s="1056"/>
      <c r="L378" s="1056"/>
      <c r="M378" s="274"/>
      <c r="P378" s="264"/>
      <c r="Q378" s="264"/>
      <c r="R378" s="264"/>
      <c r="S378" s="264"/>
      <c r="T378" s="1056"/>
      <c r="U378" s="1056"/>
      <c r="V378" s="1056"/>
      <c r="W378" s="1056"/>
      <c r="X378" s="1056"/>
      <c r="Y378" s="1056"/>
      <c r="Z378" s="1056"/>
      <c r="AA378" s="1056"/>
      <c r="AB378" s="1056"/>
      <c r="AC378" s="1056"/>
      <c r="AD378" s="1056"/>
      <c r="AE378" s="1056"/>
      <c r="AF378" s="264"/>
    </row>
    <row r="379" spans="1:32" s="268" customFormat="1" ht="15" x14ac:dyDescent="0.25">
      <c r="A379" s="264"/>
      <c r="B379" s="264"/>
      <c r="C379" s="1056"/>
      <c r="D379" s="1056"/>
      <c r="E379" s="1056"/>
      <c r="F379" s="1056"/>
      <c r="G379" s="1056"/>
      <c r="H379" s="1056"/>
      <c r="I379" s="1056"/>
      <c r="J379" s="1056"/>
      <c r="K379" s="1056"/>
      <c r="L379" s="1056"/>
      <c r="M379" s="274"/>
      <c r="P379" s="264"/>
      <c r="Q379" s="264"/>
      <c r="R379" s="264"/>
      <c r="S379" s="264"/>
      <c r="T379" s="1056"/>
      <c r="U379" s="1056"/>
      <c r="V379" s="1056"/>
      <c r="W379" s="1056"/>
      <c r="X379" s="1056"/>
      <c r="Y379" s="1056"/>
      <c r="Z379" s="1056"/>
      <c r="AA379" s="1056"/>
      <c r="AB379" s="1056"/>
      <c r="AC379" s="1056"/>
      <c r="AD379" s="1056"/>
      <c r="AE379" s="1056"/>
      <c r="AF379" s="264"/>
    </row>
    <row r="380" spans="1:32" s="268" customFormat="1" ht="15" x14ac:dyDescent="0.25">
      <c r="A380" s="264"/>
      <c r="B380" s="264"/>
      <c r="C380" s="1056"/>
      <c r="D380" s="1056"/>
      <c r="E380" s="1056"/>
      <c r="F380" s="1056"/>
      <c r="G380" s="1056"/>
      <c r="H380" s="1056"/>
      <c r="I380" s="1056"/>
      <c r="J380" s="1056"/>
      <c r="K380" s="1056"/>
      <c r="L380" s="1056"/>
      <c r="M380" s="274"/>
      <c r="P380" s="264"/>
      <c r="Q380" s="264"/>
      <c r="R380" s="264"/>
      <c r="S380" s="264"/>
      <c r="T380" s="1056"/>
      <c r="U380" s="1056"/>
      <c r="V380" s="1056"/>
      <c r="W380" s="1056"/>
      <c r="X380" s="1056"/>
      <c r="Y380" s="1056"/>
      <c r="Z380" s="1056"/>
      <c r="AA380" s="1056"/>
      <c r="AB380" s="1056"/>
      <c r="AC380" s="1056"/>
      <c r="AD380" s="1056"/>
      <c r="AE380" s="1056"/>
      <c r="AF380" s="264"/>
    </row>
    <row r="381" spans="1:32" s="268" customFormat="1" ht="15" x14ac:dyDescent="0.25">
      <c r="A381" s="264"/>
      <c r="B381" s="264"/>
      <c r="C381" s="1056"/>
      <c r="D381" s="1056"/>
      <c r="E381" s="1056"/>
      <c r="F381" s="1056"/>
      <c r="G381" s="1056"/>
      <c r="H381" s="1056"/>
      <c r="I381" s="1056"/>
      <c r="J381" s="1056"/>
      <c r="K381" s="1056"/>
      <c r="L381" s="1056"/>
      <c r="M381" s="274"/>
      <c r="P381" s="264"/>
      <c r="Q381" s="264"/>
      <c r="R381" s="264"/>
      <c r="S381" s="264"/>
      <c r="T381" s="1056"/>
      <c r="U381" s="1056"/>
      <c r="V381" s="1056"/>
      <c r="W381" s="1056"/>
      <c r="X381" s="1056"/>
      <c r="Y381" s="1056"/>
      <c r="Z381" s="1056"/>
      <c r="AA381" s="1056"/>
      <c r="AB381" s="1056"/>
      <c r="AC381" s="1056"/>
      <c r="AD381" s="1056"/>
      <c r="AE381" s="1056"/>
      <c r="AF381" s="264"/>
    </row>
    <row r="382" spans="1:32" s="268" customFormat="1" ht="15" x14ac:dyDescent="0.25">
      <c r="A382" s="264"/>
      <c r="B382" s="264"/>
      <c r="C382" s="1056"/>
      <c r="D382" s="1056"/>
      <c r="E382" s="1056"/>
      <c r="F382" s="1056"/>
      <c r="G382" s="1056"/>
      <c r="H382" s="1056"/>
      <c r="I382" s="1056"/>
      <c r="J382" s="1056"/>
      <c r="K382" s="1056"/>
      <c r="L382" s="1056"/>
      <c r="M382" s="274"/>
      <c r="P382" s="264"/>
      <c r="Q382" s="264"/>
      <c r="R382" s="264"/>
      <c r="S382" s="264"/>
      <c r="T382" s="1056"/>
      <c r="U382" s="1056"/>
      <c r="V382" s="1056"/>
      <c r="W382" s="1056"/>
      <c r="X382" s="1056"/>
      <c r="Y382" s="1056"/>
      <c r="Z382" s="1056"/>
      <c r="AA382" s="1056"/>
      <c r="AB382" s="1056"/>
      <c r="AC382" s="1056"/>
      <c r="AD382" s="1056"/>
      <c r="AE382" s="1056"/>
      <c r="AF382" s="264"/>
    </row>
    <row r="383" spans="1:32" s="268" customFormat="1" ht="15" x14ac:dyDescent="0.25">
      <c r="A383" s="264"/>
      <c r="B383" s="264"/>
      <c r="C383" s="1056"/>
      <c r="D383" s="1056"/>
      <c r="E383" s="1056"/>
      <c r="F383" s="1056"/>
      <c r="G383" s="1056"/>
      <c r="H383" s="1056"/>
      <c r="I383" s="1056"/>
      <c r="J383" s="1056"/>
      <c r="K383" s="1056"/>
      <c r="L383" s="1056"/>
      <c r="M383" s="274"/>
      <c r="P383" s="264"/>
      <c r="Q383" s="264"/>
      <c r="R383" s="264"/>
      <c r="S383" s="264"/>
      <c r="T383" s="1056"/>
      <c r="U383" s="1056"/>
      <c r="V383" s="1056"/>
      <c r="W383" s="1056"/>
      <c r="X383" s="1056"/>
      <c r="Y383" s="1056"/>
      <c r="Z383" s="1056"/>
      <c r="AA383" s="1056"/>
      <c r="AB383" s="1056"/>
      <c r="AC383" s="1056"/>
      <c r="AD383" s="1056"/>
      <c r="AE383" s="1056"/>
      <c r="AF383" s="264"/>
    </row>
    <row r="384" spans="1:32" s="268" customFormat="1" ht="15" x14ac:dyDescent="0.25">
      <c r="A384" s="264"/>
      <c r="B384" s="264"/>
      <c r="C384" s="1056"/>
      <c r="D384" s="1056"/>
      <c r="E384" s="1056"/>
      <c r="F384" s="1056"/>
      <c r="G384" s="1056"/>
      <c r="H384" s="1056"/>
      <c r="I384" s="1056"/>
      <c r="J384" s="1056"/>
      <c r="K384" s="1056"/>
      <c r="L384" s="1056"/>
      <c r="M384" s="274"/>
      <c r="P384" s="264"/>
      <c r="Q384" s="264"/>
      <c r="R384" s="264"/>
      <c r="S384" s="264"/>
      <c r="T384" s="1056"/>
      <c r="U384" s="1056"/>
      <c r="V384" s="1056"/>
      <c r="W384" s="1056"/>
      <c r="X384" s="1056"/>
      <c r="Y384" s="1056"/>
      <c r="Z384" s="1056"/>
      <c r="AA384" s="1056"/>
      <c r="AB384" s="1056"/>
      <c r="AC384" s="1056"/>
      <c r="AD384" s="1056"/>
      <c r="AE384" s="1056"/>
      <c r="AF384" s="264"/>
    </row>
    <row r="385" spans="1:32" s="268" customFormat="1" ht="15" x14ac:dyDescent="0.25">
      <c r="A385" s="264"/>
      <c r="B385" s="264"/>
      <c r="C385" s="1056"/>
      <c r="D385" s="1056"/>
      <c r="E385" s="1056"/>
      <c r="F385" s="1056"/>
      <c r="G385" s="1056"/>
      <c r="H385" s="1056"/>
      <c r="I385" s="1056"/>
      <c r="J385" s="1056"/>
      <c r="K385" s="1056"/>
      <c r="L385" s="1056"/>
      <c r="M385" s="274"/>
      <c r="P385" s="264"/>
      <c r="Q385" s="264"/>
      <c r="R385" s="264"/>
      <c r="S385" s="264"/>
      <c r="T385" s="1056"/>
      <c r="U385" s="1056"/>
      <c r="V385" s="1056"/>
      <c r="W385" s="1056"/>
      <c r="X385" s="1056"/>
      <c r="Y385" s="1056"/>
      <c r="Z385" s="1056"/>
      <c r="AA385" s="1056"/>
      <c r="AB385" s="1056"/>
      <c r="AC385" s="1056"/>
      <c r="AD385" s="1056"/>
      <c r="AE385" s="1056"/>
      <c r="AF385" s="264"/>
    </row>
    <row r="386" spans="1:32" s="268" customFormat="1" ht="15" x14ac:dyDescent="0.25">
      <c r="A386" s="264"/>
      <c r="B386" s="264"/>
      <c r="C386" s="1056"/>
      <c r="D386" s="1056"/>
      <c r="E386" s="1056"/>
      <c r="F386" s="1056"/>
      <c r="G386" s="1056"/>
      <c r="H386" s="1056"/>
      <c r="I386" s="1056"/>
      <c r="J386" s="1056"/>
      <c r="K386" s="1056"/>
      <c r="L386" s="1056"/>
      <c r="M386" s="274"/>
      <c r="P386" s="264"/>
      <c r="Q386" s="264"/>
      <c r="R386" s="264"/>
      <c r="S386" s="264"/>
      <c r="T386" s="1056"/>
      <c r="U386" s="1056"/>
      <c r="V386" s="1056"/>
      <c r="W386" s="1056"/>
      <c r="X386" s="1056"/>
      <c r="Y386" s="1056"/>
      <c r="Z386" s="1056"/>
      <c r="AA386" s="1056"/>
      <c r="AB386" s="1056"/>
      <c r="AC386" s="1056"/>
      <c r="AD386" s="1056"/>
      <c r="AE386" s="1056"/>
      <c r="AF386" s="264"/>
    </row>
    <row r="387" spans="1:32" s="268" customFormat="1" ht="15" x14ac:dyDescent="0.25">
      <c r="A387" s="264"/>
      <c r="B387" s="264"/>
      <c r="C387" s="1056"/>
      <c r="D387" s="1056"/>
      <c r="E387" s="1056"/>
      <c r="F387" s="1056"/>
      <c r="G387" s="1056"/>
      <c r="H387" s="1056"/>
      <c r="I387" s="1056"/>
      <c r="J387" s="1056"/>
      <c r="K387" s="1056"/>
      <c r="L387" s="1056"/>
      <c r="M387" s="274"/>
      <c r="P387" s="264"/>
      <c r="Q387" s="264"/>
      <c r="R387" s="264"/>
      <c r="S387" s="264"/>
      <c r="T387" s="1056"/>
      <c r="U387" s="1056"/>
      <c r="V387" s="1056"/>
      <c r="W387" s="1056"/>
      <c r="X387" s="1056"/>
      <c r="Y387" s="1056"/>
      <c r="Z387" s="1056"/>
      <c r="AA387" s="1056"/>
      <c r="AB387" s="1056"/>
      <c r="AC387" s="1056"/>
      <c r="AD387" s="1056"/>
      <c r="AE387" s="1056"/>
      <c r="AF387" s="264"/>
    </row>
    <row r="388" spans="1:32" s="268" customFormat="1" ht="15" x14ac:dyDescent="0.25">
      <c r="A388" s="264"/>
      <c r="B388" s="264"/>
      <c r="C388" s="1056"/>
      <c r="D388" s="1056"/>
      <c r="E388" s="1056"/>
      <c r="F388" s="1056"/>
      <c r="G388" s="1056"/>
      <c r="H388" s="1056"/>
      <c r="I388" s="1056"/>
      <c r="J388" s="1056"/>
      <c r="K388" s="1056"/>
      <c r="L388" s="1056"/>
      <c r="M388" s="274"/>
      <c r="P388" s="264"/>
      <c r="Q388" s="264"/>
      <c r="R388" s="264"/>
      <c r="S388" s="264"/>
      <c r="T388" s="1056"/>
      <c r="U388" s="1056"/>
      <c r="V388" s="1056"/>
      <c r="W388" s="1056"/>
      <c r="X388" s="1056"/>
      <c r="Y388" s="1056"/>
      <c r="Z388" s="1056"/>
      <c r="AA388" s="1056"/>
      <c r="AB388" s="1056"/>
      <c r="AC388" s="1056"/>
      <c r="AD388" s="1056"/>
      <c r="AE388" s="1056"/>
      <c r="AF388" s="264"/>
    </row>
    <row r="389" spans="1:32" s="268" customFormat="1" ht="15" x14ac:dyDescent="0.25">
      <c r="A389" s="264"/>
      <c r="B389" s="264"/>
      <c r="C389" s="1056"/>
      <c r="D389" s="1056"/>
      <c r="E389" s="1056"/>
      <c r="F389" s="1056"/>
      <c r="G389" s="1056"/>
      <c r="H389" s="1056"/>
      <c r="I389" s="1056"/>
      <c r="J389" s="1056"/>
      <c r="K389" s="1056"/>
      <c r="L389" s="1056"/>
      <c r="M389" s="274"/>
      <c r="P389" s="264"/>
      <c r="Q389" s="264"/>
      <c r="R389" s="264"/>
      <c r="S389" s="264"/>
      <c r="T389" s="1056"/>
      <c r="U389" s="1056"/>
      <c r="V389" s="1056"/>
      <c r="W389" s="1056"/>
      <c r="X389" s="1056"/>
      <c r="Y389" s="1056"/>
      <c r="Z389" s="1056"/>
      <c r="AA389" s="1056"/>
      <c r="AB389" s="1056"/>
      <c r="AC389" s="1056"/>
      <c r="AD389" s="1056"/>
      <c r="AE389" s="1056"/>
      <c r="AF389" s="264"/>
    </row>
    <row r="390" spans="1:32" s="268" customFormat="1" ht="15" x14ac:dyDescent="0.25">
      <c r="A390" s="264"/>
      <c r="B390" s="264"/>
      <c r="C390" s="1056"/>
      <c r="D390" s="1056"/>
      <c r="E390" s="1056"/>
      <c r="F390" s="1056"/>
      <c r="G390" s="1056"/>
      <c r="H390" s="1056"/>
      <c r="I390" s="1056"/>
      <c r="J390" s="1056"/>
      <c r="K390" s="1056"/>
      <c r="L390" s="1056"/>
      <c r="M390" s="274"/>
      <c r="P390" s="264"/>
      <c r="Q390" s="264"/>
      <c r="R390" s="264"/>
      <c r="S390" s="264"/>
      <c r="T390" s="1056"/>
      <c r="U390" s="1056"/>
      <c r="V390" s="1056"/>
      <c r="W390" s="1056"/>
      <c r="X390" s="1056"/>
      <c r="Y390" s="1056"/>
      <c r="Z390" s="1056"/>
      <c r="AA390" s="1056"/>
      <c r="AB390" s="1056"/>
      <c r="AC390" s="1056"/>
      <c r="AD390" s="1056"/>
      <c r="AE390" s="1056"/>
      <c r="AF390" s="264"/>
    </row>
    <row r="391" spans="1:32" s="268" customFormat="1" ht="15" x14ac:dyDescent="0.25">
      <c r="A391" s="264"/>
      <c r="B391" s="264"/>
      <c r="C391" s="1056"/>
      <c r="D391" s="1056"/>
      <c r="E391" s="1056"/>
      <c r="F391" s="1056"/>
      <c r="G391" s="1056"/>
      <c r="H391" s="1056"/>
      <c r="I391" s="1056"/>
      <c r="J391" s="1056"/>
      <c r="K391" s="1056"/>
      <c r="L391" s="1056"/>
      <c r="M391" s="274"/>
      <c r="P391" s="264"/>
      <c r="Q391" s="264"/>
      <c r="R391" s="264"/>
      <c r="S391" s="264"/>
      <c r="T391" s="1056"/>
      <c r="U391" s="1056"/>
      <c r="V391" s="1056"/>
      <c r="W391" s="1056"/>
      <c r="X391" s="1056"/>
      <c r="Y391" s="1056"/>
      <c r="Z391" s="1056"/>
      <c r="AA391" s="1056"/>
      <c r="AB391" s="1056"/>
      <c r="AC391" s="1056"/>
      <c r="AD391" s="1056"/>
      <c r="AE391" s="1056"/>
      <c r="AF391" s="264"/>
    </row>
    <row r="392" spans="1:32" s="268" customFormat="1" ht="15" x14ac:dyDescent="0.25">
      <c r="A392" s="264"/>
      <c r="B392" s="264"/>
      <c r="C392" s="1056"/>
      <c r="D392" s="1056"/>
      <c r="E392" s="1056"/>
      <c r="F392" s="1056"/>
      <c r="G392" s="1056"/>
      <c r="H392" s="1056"/>
      <c r="I392" s="1056"/>
      <c r="J392" s="1056"/>
      <c r="K392" s="1056"/>
      <c r="L392" s="1056"/>
      <c r="M392" s="274"/>
      <c r="P392" s="264"/>
      <c r="Q392" s="264"/>
      <c r="R392" s="264"/>
      <c r="S392" s="264"/>
      <c r="T392" s="1056"/>
      <c r="U392" s="1056"/>
      <c r="V392" s="1056"/>
      <c r="W392" s="1056"/>
      <c r="X392" s="1056"/>
      <c r="Y392" s="1056"/>
      <c r="Z392" s="1056"/>
      <c r="AA392" s="1056"/>
      <c r="AB392" s="1056"/>
      <c r="AC392" s="1056"/>
      <c r="AD392" s="1056"/>
      <c r="AE392" s="1056"/>
      <c r="AF392" s="264"/>
    </row>
    <row r="393" spans="1:32" s="268" customFormat="1" ht="15" x14ac:dyDescent="0.25">
      <c r="A393" s="264"/>
      <c r="B393" s="264"/>
      <c r="C393" s="1056"/>
      <c r="D393" s="1056"/>
      <c r="E393" s="1056"/>
      <c r="F393" s="1056"/>
      <c r="G393" s="1056"/>
      <c r="H393" s="1056"/>
      <c r="I393" s="1056"/>
      <c r="J393" s="1056"/>
      <c r="K393" s="1056"/>
      <c r="L393" s="1056"/>
      <c r="M393" s="274"/>
      <c r="P393" s="264"/>
      <c r="Q393" s="264"/>
      <c r="R393" s="264"/>
      <c r="S393" s="264"/>
      <c r="T393" s="1056"/>
      <c r="U393" s="1056"/>
      <c r="V393" s="1056"/>
      <c r="W393" s="1056"/>
      <c r="X393" s="1056"/>
      <c r="Y393" s="1056"/>
      <c r="Z393" s="1056"/>
      <c r="AA393" s="1056"/>
      <c r="AB393" s="1056"/>
      <c r="AC393" s="1056"/>
      <c r="AD393" s="1056"/>
      <c r="AE393" s="1056"/>
      <c r="AF393" s="264"/>
    </row>
    <row r="394" spans="1:32" s="268" customFormat="1" ht="15" x14ac:dyDescent="0.25">
      <c r="A394" s="264"/>
      <c r="B394" s="264"/>
      <c r="C394" s="1056"/>
      <c r="D394" s="1056"/>
      <c r="E394" s="1056"/>
      <c r="F394" s="1056"/>
      <c r="G394" s="1056"/>
      <c r="H394" s="1056"/>
      <c r="I394" s="1056"/>
      <c r="J394" s="1056"/>
      <c r="K394" s="1056"/>
      <c r="L394" s="1056"/>
      <c r="M394" s="274"/>
      <c r="P394" s="264"/>
      <c r="Q394" s="264"/>
      <c r="R394" s="264"/>
      <c r="S394" s="264"/>
      <c r="T394" s="1056"/>
      <c r="U394" s="1056"/>
      <c r="V394" s="1056"/>
      <c r="W394" s="1056"/>
      <c r="X394" s="1056"/>
      <c r="Y394" s="1056"/>
      <c r="Z394" s="1056"/>
      <c r="AA394" s="1056"/>
      <c r="AB394" s="1056"/>
      <c r="AC394" s="1056"/>
      <c r="AD394" s="1056"/>
      <c r="AE394" s="1056"/>
      <c r="AF394" s="264"/>
    </row>
    <row r="395" spans="1:32" s="268" customFormat="1" ht="15" x14ac:dyDescent="0.25">
      <c r="A395" s="264"/>
      <c r="B395" s="264"/>
      <c r="C395" s="1056"/>
      <c r="D395" s="1056"/>
      <c r="E395" s="1056"/>
      <c r="F395" s="1056"/>
      <c r="G395" s="1056"/>
      <c r="H395" s="1056"/>
      <c r="I395" s="1056"/>
      <c r="J395" s="1056"/>
      <c r="K395" s="1056"/>
      <c r="L395" s="1056"/>
      <c r="M395" s="274"/>
      <c r="P395" s="264"/>
      <c r="Q395" s="264"/>
      <c r="R395" s="264"/>
      <c r="S395" s="264"/>
      <c r="T395" s="1056"/>
      <c r="U395" s="1056"/>
      <c r="V395" s="1056"/>
      <c r="W395" s="1056"/>
      <c r="X395" s="1056"/>
      <c r="Y395" s="1056"/>
      <c r="Z395" s="1056"/>
      <c r="AA395" s="1056"/>
      <c r="AB395" s="1056"/>
      <c r="AC395" s="1056"/>
      <c r="AD395" s="1056"/>
      <c r="AE395" s="1056"/>
      <c r="AF395" s="264"/>
    </row>
    <row r="396" spans="1:32" s="268" customFormat="1" ht="15" x14ac:dyDescent="0.25">
      <c r="A396" s="264"/>
      <c r="B396" s="264"/>
      <c r="C396" s="1056"/>
      <c r="D396" s="1056"/>
      <c r="E396" s="1056"/>
      <c r="F396" s="1056"/>
      <c r="G396" s="1056"/>
      <c r="H396" s="1056"/>
      <c r="I396" s="1056"/>
      <c r="J396" s="1056"/>
      <c r="K396" s="1056"/>
      <c r="L396" s="1056"/>
      <c r="M396" s="274"/>
      <c r="P396" s="264"/>
      <c r="Q396" s="264"/>
      <c r="R396" s="264"/>
      <c r="S396" s="264"/>
      <c r="T396" s="1056"/>
      <c r="U396" s="1056"/>
      <c r="V396" s="1056"/>
      <c r="W396" s="1056"/>
      <c r="X396" s="1056"/>
      <c r="Y396" s="1056"/>
      <c r="Z396" s="1056"/>
      <c r="AA396" s="1056"/>
      <c r="AB396" s="1056"/>
      <c r="AC396" s="1056"/>
      <c r="AD396" s="1056"/>
      <c r="AE396" s="1056"/>
      <c r="AF396" s="264"/>
    </row>
    <row r="397" spans="1:32" s="268" customFormat="1" ht="15" x14ac:dyDescent="0.25">
      <c r="A397" s="264"/>
      <c r="B397" s="264"/>
      <c r="C397" s="1056"/>
      <c r="D397" s="1056"/>
      <c r="E397" s="1056"/>
      <c r="F397" s="1056"/>
      <c r="G397" s="1056"/>
      <c r="H397" s="1056"/>
      <c r="I397" s="1056"/>
      <c r="J397" s="1056"/>
      <c r="K397" s="1056"/>
      <c r="L397" s="1056"/>
      <c r="M397" s="274"/>
      <c r="P397" s="264"/>
      <c r="Q397" s="264"/>
      <c r="R397" s="264"/>
      <c r="S397" s="264"/>
      <c r="T397" s="1056"/>
      <c r="U397" s="1056"/>
      <c r="V397" s="1056"/>
      <c r="W397" s="1056"/>
      <c r="X397" s="1056"/>
      <c r="Y397" s="1056"/>
      <c r="Z397" s="1056"/>
      <c r="AA397" s="1056"/>
      <c r="AB397" s="1056"/>
      <c r="AC397" s="1056"/>
      <c r="AD397" s="1056"/>
      <c r="AE397" s="1056"/>
      <c r="AF397" s="264"/>
    </row>
    <row r="398" spans="1:32" s="268" customFormat="1" ht="15" x14ac:dyDescent="0.25">
      <c r="A398" s="264"/>
      <c r="B398" s="264"/>
      <c r="C398" s="1056"/>
      <c r="D398" s="1056"/>
      <c r="E398" s="1056"/>
      <c r="F398" s="1056"/>
      <c r="G398" s="1056"/>
      <c r="H398" s="1056"/>
      <c r="I398" s="1056"/>
      <c r="J398" s="1056"/>
      <c r="K398" s="1056"/>
      <c r="L398" s="1056"/>
      <c r="M398" s="274"/>
      <c r="P398" s="264"/>
      <c r="Q398" s="264"/>
      <c r="R398" s="264"/>
      <c r="S398" s="264"/>
      <c r="T398" s="1056"/>
      <c r="U398" s="1056"/>
      <c r="V398" s="1056"/>
      <c r="W398" s="1056"/>
      <c r="X398" s="1056"/>
      <c r="Y398" s="1056"/>
      <c r="Z398" s="1056"/>
      <c r="AA398" s="1056"/>
      <c r="AB398" s="1056"/>
      <c r="AC398" s="1056"/>
      <c r="AD398" s="1056"/>
      <c r="AE398" s="1056"/>
      <c r="AF398" s="264"/>
    </row>
    <row r="399" spans="1:32" s="268" customFormat="1" ht="15" x14ac:dyDescent="0.25">
      <c r="A399" s="264"/>
      <c r="B399" s="264"/>
      <c r="C399" s="1056"/>
      <c r="D399" s="1056"/>
      <c r="E399" s="1056"/>
      <c r="F399" s="1056"/>
      <c r="G399" s="1056"/>
      <c r="H399" s="1056"/>
      <c r="I399" s="1056"/>
      <c r="J399" s="1056"/>
      <c r="K399" s="1056"/>
      <c r="L399" s="1056"/>
      <c r="M399" s="274"/>
      <c r="P399" s="264"/>
      <c r="Q399" s="264"/>
      <c r="R399" s="264"/>
      <c r="S399" s="264"/>
      <c r="T399" s="1056"/>
      <c r="U399" s="1056"/>
      <c r="V399" s="1056"/>
      <c r="W399" s="1056"/>
      <c r="X399" s="1056"/>
      <c r="Y399" s="1056"/>
      <c r="Z399" s="1056"/>
      <c r="AA399" s="1056"/>
      <c r="AB399" s="1056"/>
      <c r="AC399" s="1056"/>
      <c r="AD399" s="1056"/>
      <c r="AE399" s="1056"/>
      <c r="AF399" s="264"/>
    </row>
    <row r="400" spans="1:32" s="268" customFormat="1" ht="15" x14ac:dyDescent="0.25">
      <c r="A400" s="264"/>
      <c r="B400" s="264"/>
      <c r="C400" s="1056"/>
      <c r="D400" s="1056"/>
      <c r="E400" s="1056"/>
      <c r="F400" s="1056"/>
      <c r="G400" s="1056"/>
      <c r="H400" s="1056"/>
      <c r="I400" s="1056"/>
      <c r="J400" s="1056"/>
      <c r="K400" s="1056"/>
      <c r="L400" s="1056"/>
      <c r="M400" s="274"/>
      <c r="P400" s="264"/>
      <c r="Q400" s="264"/>
      <c r="R400" s="264"/>
      <c r="S400" s="264"/>
      <c r="T400" s="1056"/>
      <c r="U400" s="1056"/>
      <c r="V400" s="1056"/>
      <c r="W400" s="1056"/>
      <c r="X400" s="1056"/>
      <c r="Y400" s="1056"/>
      <c r="Z400" s="1056"/>
      <c r="AA400" s="1056"/>
      <c r="AB400" s="1056"/>
      <c r="AC400" s="1056"/>
      <c r="AD400" s="1056"/>
      <c r="AE400" s="1056"/>
      <c r="AF400" s="264"/>
    </row>
    <row r="401" spans="1:32" s="268" customFormat="1" ht="15" x14ac:dyDescent="0.25">
      <c r="A401" s="264"/>
      <c r="B401" s="264"/>
      <c r="C401" s="1056"/>
      <c r="D401" s="1056"/>
      <c r="E401" s="1056"/>
      <c r="F401" s="1056"/>
      <c r="G401" s="1056"/>
      <c r="H401" s="1056"/>
      <c r="I401" s="1056"/>
      <c r="J401" s="1056"/>
      <c r="K401" s="1056"/>
      <c r="L401" s="1056"/>
      <c r="M401" s="274"/>
      <c r="P401" s="264"/>
      <c r="Q401" s="264"/>
      <c r="R401" s="264"/>
      <c r="S401" s="264"/>
      <c r="T401" s="1056"/>
      <c r="U401" s="1056"/>
      <c r="V401" s="1056"/>
      <c r="W401" s="1056"/>
      <c r="X401" s="1056"/>
      <c r="Y401" s="1056"/>
      <c r="Z401" s="1056"/>
      <c r="AA401" s="1056"/>
      <c r="AB401" s="1056"/>
      <c r="AC401" s="1056"/>
      <c r="AD401" s="1056"/>
      <c r="AE401" s="1056"/>
      <c r="AF401" s="264"/>
    </row>
    <row r="402" spans="1:32" s="268" customFormat="1" ht="15" x14ac:dyDescent="0.25">
      <c r="A402" s="264"/>
      <c r="B402" s="264"/>
      <c r="C402" s="1056"/>
      <c r="D402" s="1056"/>
      <c r="E402" s="1056"/>
      <c r="F402" s="1056"/>
      <c r="G402" s="1056"/>
      <c r="H402" s="1056"/>
      <c r="I402" s="1056"/>
      <c r="J402" s="1056"/>
      <c r="K402" s="1056"/>
      <c r="L402" s="1056"/>
      <c r="M402" s="274"/>
      <c r="P402" s="264"/>
      <c r="Q402" s="264"/>
      <c r="R402" s="264"/>
      <c r="S402" s="264"/>
      <c r="T402" s="1056"/>
      <c r="U402" s="1056"/>
      <c r="V402" s="1056"/>
      <c r="W402" s="1056"/>
      <c r="X402" s="1056"/>
      <c r="Y402" s="1056"/>
      <c r="Z402" s="1056"/>
      <c r="AA402" s="1056"/>
      <c r="AB402" s="1056"/>
      <c r="AC402" s="1056"/>
      <c r="AD402" s="1056"/>
      <c r="AE402" s="1056"/>
      <c r="AF402" s="264"/>
    </row>
    <row r="403" spans="1:32" s="268" customFormat="1" ht="15" x14ac:dyDescent="0.25">
      <c r="A403" s="264"/>
      <c r="B403" s="264"/>
      <c r="C403" s="1056"/>
      <c r="D403" s="1056"/>
      <c r="E403" s="1056"/>
      <c r="F403" s="1056"/>
      <c r="G403" s="1056"/>
      <c r="H403" s="1056"/>
      <c r="I403" s="1056"/>
      <c r="J403" s="1056"/>
      <c r="K403" s="1056"/>
      <c r="L403" s="1056"/>
      <c r="M403" s="274"/>
      <c r="P403" s="264"/>
      <c r="Q403" s="264"/>
      <c r="R403" s="264"/>
      <c r="S403" s="264"/>
      <c r="T403" s="1056"/>
      <c r="U403" s="1056"/>
      <c r="V403" s="1056"/>
      <c r="W403" s="1056"/>
      <c r="X403" s="1056"/>
      <c r="Y403" s="1056"/>
      <c r="Z403" s="1056"/>
      <c r="AA403" s="1056"/>
      <c r="AB403" s="1056"/>
      <c r="AC403" s="1056"/>
      <c r="AD403" s="1056"/>
      <c r="AE403" s="1056"/>
      <c r="AF403" s="264"/>
    </row>
    <row r="404" spans="1:32" s="268" customFormat="1" ht="15" x14ac:dyDescent="0.25">
      <c r="A404" s="264"/>
      <c r="B404" s="264"/>
      <c r="C404" s="1056"/>
      <c r="D404" s="1056"/>
      <c r="E404" s="1056"/>
      <c r="F404" s="1056"/>
      <c r="G404" s="1056"/>
      <c r="H404" s="1056"/>
      <c r="I404" s="1056"/>
      <c r="J404" s="1056"/>
      <c r="K404" s="1056"/>
      <c r="L404" s="1056"/>
      <c r="M404" s="274"/>
      <c r="P404" s="264"/>
      <c r="Q404" s="264"/>
      <c r="R404" s="264"/>
      <c r="S404" s="264"/>
      <c r="T404" s="1056"/>
      <c r="U404" s="1056"/>
      <c r="V404" s="1056"/>
      <c r="W404" s="1056"/>
      <c r="X404" s="1056"/>
      <c r="Y404" s="1056"/>
      <c r="Z404" s="1056"/>
      <c r="AA404" s="1056"/>
      <c r="AB404" s="1056"/>
      <c r="AC404" s="1056"/>
      <c r="AD404" s="1056"/>
      <c r="AE404" s="1056"/>
      <c r="AF404" s="264"/>
    </row>
    <row r="405" spans="1:32" s="268" customFormat="1" ht="15" x14ac:dyDescent="0.25">
      <c r="A405" s="264"/>
      <c r="B405" s="264"/>
      <c r="C405" s="1056"/>
      <c r="D405" s="1056"/>
      <c r="E405" s="1056"/>
      <c r="F405" s="1056"/>
      <c r="G405" s="1056"/>
      <c r="H405" s="1056"/>
      <c r="I405" s="1056"/>
      <c r="J405" s="1056"/>
      <c r="K405" s="1056"/>
      <c r="L405" s="1056"/>
      <c r="M405" s="274"/>
      <c r="P405" s="264"/>
      <c r="Q405" s="264"/>
      <c r="R405" s="264"/>
      <c r="S405" s="264"/>
      <c r="T405" s="1056"/>
      <c r="U405" s="1056"/>
      <c r="V405" s="1056"/>
      <c r="W405" s="1056"/>
      <c r="X405" s="1056"/>
      <c r="Y405" s="1056"/>
      <c r="Z405" s="1056"/>
      <c r="AA405" s="1056"/>
      <c r="AB405" s="1056"/>
      <c r="AC405" s="1056"/>
      <c r="AD405" s="1056"/>
      <c r="AE405" s="1056"/>
      <c r="AF405" s="264"/>
    </row>
    <row r="406" spans="1:32" s="268" customFormat="1" ht="15" x14ac:dyDescent="0.25">
      <c r="A406" s="264"/>
      <c r="B406" s="264"/>
      <c r="C406" s="1056"/>
      <c r="D406" s="1056"/>
      <c r="E406" s="1056"/>
      <c r="F406" s="1056"/>
      <c r="G406" s="1056"/>
      <c r="H406" s="1056"/>
      <c r="I406" s="1056"/>
      <c r="J406" s="1056"/>
      <c r="K406" s="1056"/>
      <c r="L406" s="1056"/>
      <c r="M406" s="274"/>
      <c r="P406" s="264"/>
      <c r="Q406" s="264"/>
      <c r="R406" s="264"/>
      <c r="S406" s="264"/>
      <c r="T406" s="1056"/>
      <c r="U406" s="1056"/>
      <c r="V406" s="1056"/>
      <c r="W406" s="1056"/>
      <c r="X406" s="1056"/>
      <c r="Y406" s="1056"/>
      <c r="Z406" s="1056"/>
      <c r="AA406" s="1056"/>
      <c r="AB406" s="1056"/>
      <c r="AC406" s="1056"/>
      <c r="AD406" s="1056"/>
      <c r="AE406" s="1056"/>
      <c r="AF406" s="264"/>
    </row>
    <row r="407" spans="1:32" s="268" customFormat="1" ht="15" x14ac:dyDescent="0.25">
      <c r="A407" s="264"/>
      <c r="B407" s="264"/>
      <c r="C407" s="1056"/>
      <c r="D407" s="1056"/>
      <c r="E407" s="1056"/>
      <c r="F407" s="1056"/>
      <c r="G407" s="1056"/>
      <c r="H407" s="1056"/>
      <c r="I407" s="1056"/>
      <c r="J407" s="1056"/>
      <c r="K407" s="1056"/>
      <c r="L407" s="1056"/>
      <c r="M407" s="274"/>
      <c r="P407" s="264"/>
      <c r="Q407" s="264"/>
      <c r="R407" s="264"/>
      <c r="S407" s="264"/>
      <c r="T407" s="1056"/>
      <c r="U407" s="1056"/>
      <c r="V407" s="1056"/>
      <c r="W407" s="1056"/>
      <c r="X407" s="1056"/>
      <c r="Y407" s="1056"/>
      <c r="Z407" s="1056"/>
      <c r="AA407" s="1056"/>
      <c r="AB407" s="1056"/>
      <c r="AC407" s="1056"/>
      <c r="AD407" s="1056"/>
      <c r="AE407" s="1056"/>
      <c r="AF407" s="264"/>
    </row>
    <row r="408" spans="1:32" s="268" customFormat="1" ht="15" x14ac:dyDescent="0.25">
      <c r="A408" s="264"/>
      <c r="B408" s="264"/>
      <c r="C408" s="1056"/>
      <c r="D408" s="1056"/>
      <c r="E408" s="1056"/>
      <c r="F408" s="1056"/>
      <c r="G408" s="1056"/>
      <c r="H408" s="1056"/>
      <c r="I408" s="1056"/>
      <c r="J408" s="1056"/>
      <c r="K408" s="1056"/>
      <c r="L408" s="1056"/>
      <c r="M408" s="274"/>
      <c r="P408" s="264"/>
      <c r="Q408" s="264"/>
      <c r="R408" s="264"/>
      <c r="S408" s="264"/>
      <c r="T408" s="1056"/>
      <c r="U408" s="1056"/>
      <c r="V408" s="1056"/>
      <c r="W408" s="1056"/>
      <c r="X408" s="1056"/>
      <c r="Y408" s="1056"/>
      <c r="Z408" s="1056"/>
      <c r="AA408" s="1056"/>
      <c r="AB408" s="1056"/>
      <c r="AC408" s="1056"/>
      <c r="AD408" s="1056"/>
      <c r="AE408" s="1056"/>
      <c r="AF408" s="264"/>
    </row>
    <row r="409" spans="1:32" s="268" customFormat="1" ht="15" x14ac:dyDescent="0.25">
      <c r="A409" s="264"/>
      <c r="B409" s="264"/>
      <c r="C409" s="1056"/>
      <c r="D409" s="1056"/>
      <c r="E409" s="1056"/>
      <c r="F409" s="1056"/>
      <c r="G409" s="1056"/>
      <c r="H409" s="1056"/>
      <c r="I409" s="1056"/>
      <c r="J409" s="1056"/>
      <c r="K409" s="1056"/>
      <c r="L409" s="1056"/>
      <c r="M409" s="274"/>
      <c r="P409" s="264"/>
      <c r="Q409" s="264"/>
      <c r="R409" s="264"/>
      <c r="S409" s="264"/>
      <c r="T409" s="1056"/>
      <c r="U409" s="1056"/>
      <c r="V409" s="1056"/>
      <c r="W409" s="1056"/>
      <c r="X409" s="1056"/>
      <c r="Y409" s="1056"/>
      <c r="Z409" s="1056"/>
      <c r="AA409" s="1056"/>
      <c r="AB409" s="1056"/>
      <c r="AC409" s="1056"/>
      <c r="AD409" s="1056"/>
      <c r="AE409" s="1056"/>
      <c r="AF409" s="264"/>
    </row>
    <row r="410" spans="1:32" s="268" customFormat="1" ht="15" x14ac:dyDescent="0.25">
      <c r="A410" s="264"/>
      <c r="B410" s="264"/>
      <c r="C410" s="1056"/>
      <c r="D410" s="1056"/>
      <c r="E410" s="1056"/>
      <c r="F410" s="1056"/>
      <c r="G410" s="1056"/>
      <c r="H410" s="1056"/>
      <c r="I410" s="1056"/>
      <c r="J410" s="1056"/>
      <c r="K410" s="1056"/>
      <c r="L410" s="1056"/>
      <c r="M410" s="274"/>
      <c r="P410" s="264"/>
      <c r="Q410" s="264"/>
      <c r="R410" s="264"/>
      <c r="S410" s="264"/>
      <c r="T410" s="1056"/>
      <c r="U410" s="1056"/>
      <c r="V410" s="1056"/>
      <c r="W410" s="1056"/>
      <c r="X410" s="1056"/>
      <c r="Y410" s="1056"/>
      <c r="Z410" s="1056"/>
      <c r="AA410" s="1056"/>
      <c r="AB410" s="1056"/>
      <c r="AC410" s="1056"/>
      <c r="AD410" s="1056"/>
      <c r="AE410" s="1056"/>
      <c r="AF410" s="264"/>
    </row>
    <row r="411" spans="1:32" s="268" customFormat="1" ht="15" x14ac:dyDescent="0.25">
      <c r="A411" s="264"/>
      <c r="B411" s="264"/>
      <c r="C411" s="1056"/>
      <c r="D411" s="1056"/>
      <c r="E411" s="1056"/>
      <c r="F411" s="1056"/>
      <c r="G411" s="1056"/>
      <c r="H411" s="1056"/>
      <c r="I411" s="1056"/>
      <c r="J411" s="1056"/>
      <c r="K411" s="1056"/>
      <c r="L411" s="1056"/>
      <c r="M411" s="274"/>
      <c r="P411" s="264"/>
      <c r="Q411" s="264"/>
      <c r="R411" s="264"/>
      <c r="S411" s="264"/>
      <c r="T411" s="1056"/>
      <c r="U411" s="1056"/>
      <c r="V411" s="1056"/>
      <c r="W411" s="1056"/>
      <c r="X411" s="1056"/>
      <c r="Y411" s="1056"/>
      <c r="Z411" s="1056"/>
      <c r="AA411" s="1056"/>
      <c r="AB411" s="1056"/>
      <c r="AC411" s="1056"/>
      <c r="AD411" s="1056"/>
      <c r="AE411" s="1056"/>
      <c r="AF411" s="264"/>
    </row>
    <row r="412" spans="1:32" s="268" customFormat="1" ht="15" x14ac:dyDescent="0.25">
      <c r="A412" s="264"/>
      <c r="B412" s="264"/>
      <c r="C412" s="1056"/>
      <c r="D412" s="1056"/>
      <c r="E412" s="1056"/>
      <c r="F412" s="1056"/>
      <c r="G412" s="1056"/>
      <c r="H412" s="1056"/>
      <c r="I412" s="1056"/>
      <c r="J412" s="1056"/>
      <c r="K412" s="1056"/>
      <c r="L412" s="1056"/>
      <c r="M412" s="274"/>
      <c r="P412" s="264"/>
      <c r="Q412" s="264"/>
      <c r="R412" s="264"/>
      <c r="S412" s="264"/>
      <c r="T412" s="1056"/>
      <c r="U412" s="1056"/>
      <c r="V412" s="1056"/>
      <c r="W412" s="1056"/>
      <c r="X412" s="1056"/>
      <c r="Y412" s="1056"/>
      <c r="Z412" s="1056"/>
      <c r="AA412" s="1056"/>
      <c r="AB412" s="1056"/>
      <c r="AC412" s="1056"/>
      <c r="AD412" s="1056"/>
      <c r="AE412" s="1056"/>
      <c r="AF412" s="264"/>
    </row>
    <row r="413" spans="1:32" s="268" customFormat="1" ht="15" x14ac:dyDescent="0.25">
      <c r="A413" s="264"/>
      <c r="B413" s="264"/>
      <c r="C413" s="1056"/>
      <c r="D413" s="1056"/>
      <c r="E413" s="1056"/>
      <c r="F413" s="1056"/>
      <c r="G413" s="1056"/>
      <c r="H413" s="1056"/>
      <c r="I413" s="1056"/>
      <c r="J413" s="1056"/>
      <c r="K413" s="1056"/>
      <c r="L413" s="1056"/>
      <c r="M413" s="274"/>
      <c r="P413" s="264"/>
      <c r="Q413" s="264"/>
      <c r="R413" s="264"/>
      <c r="S413" s="264"/>
      <c r="T413" s="1056"/>
      <c r="U413" s="1056"/>
      <c r="V413" s="1056"/>
      <c r="W413" s="1056"/>
      <c r="X413" s="1056"/>
      <c r="Y413" s="1056"/>
      <c r="Z413" s="1056"/>
      <c r="AA413" s="1056"/>
      <c r="AB413" s="1056"/>
      <c r="AC413" s="1056"/>
      <c r="AD413" s="1056"/>
      <c r="AE413" s="1056"/>
      <c r="AF413" s="264"/>
    </row>
    <row r="414" spans="1:32" s="268" customFormat="1" ht="15" x14ac:dyDescent="0.25">
      <c r="A414" s="264"/>
      <c r="B414" s="264"/>
      <c r="C414" s="1056"/>
      <c r="D414" s="1056"/>
      <c r="E414" s="1056"/>
      <c r="F414" s="1056"/>
      <c r="G414" s="1056"/>
      <c r="H414" s="1056"/>
      <c r="I414" s="1056"/>
      <c r="J414" s="1056"/>
      <c r="K414" s="1056"/>
      <c r="L414" s="1056"/>
      <c r="M414" s="274"/>
      <c r="P414" s="264"/>
      <c r="Q414" s="264"/>
      <c r="R414" s="264"/>
      <c r="S414" s="264"/>
      <c r="T414" s="1056"/>
      <c r="U414" s="1056"/>
      <c r="V414" s="1056"/>
      <c r="W414" s="1056"/>
      <c r="X414" s="1056"/>
      <c r="Y414" s="1056"/>
      <c r="Z414" s="1056"/>
      <c r="AA414" s="1056"/>
      <c r="AB414" s="1056"/>
      <c r="AC414" s="1056"/>
      <c r="AD414" s="1056"/>
      <c r="AE414" s="1056"/>
      <c r="AF414" s="264"/>
    </row>
    <row r="415" spans="1:32" s="268" customFormat="1" ht="15" x14ac:dyDescent="0.25">
      <c r="A415" s="264"/>
      <c r="B415" s="264"/>
      <c r="C415" s="1056"/>
      <c r="D415" s="1056"/>
      <c r="E415" s="1056"/>
      <c r="F415" s="1056"/>
      <c r="G415" s="1056"/>
      <c r="H415" s="1056"/>
      <c r="I415" s="1056"/>
      <c r="J415" s="1056"/>
      <c r="K415" s="1056"/>
      <c r="L415" s="1056"/>
      <c r="M415" s="274"/>
      <c r="P415" s="264"/>
      <c r="Q415" s="264"/>
      <c r="R415" s="264"/>
      <c r="S415" s="264"/>
      <c r="T415" s="1056"/>
      <c r="U415" s="1056"/>
      <c r="V415" s="1056"/>
      <c r="W415" s="1056"/>
      <c r="X415" s="1056"/>
      <c r="Y415" s="1056"/>
      <c r="Z415" s="1056"/>
      <c r="AA415" s="1056"/>
      <c r="AB415" s="1056"/>
      <c r="AC415" s="1056"/>
      <c r="AD415" s="1056"/>
      <c r="AE415" s="1056"/>
      <c r="AF415" s="264"/>
    </row>
    <row r="416" spans="1:32" s="268" customFormat="1" ht="15" x14ac:dyDescent="0.25">
      <c r="A416" s="264"/>
      <c r="B416" s="264"/>
      <c r="C416" s="1056"/>
      <c r="D416" s="1056"/>
      <c r="E416" s="1056"/>
      <c r="F416" s="1056"/>
      <c r="G416" s="1056"/>
      <c r="H416" s="1056"/>
      <c r="I416" s="1056"/>
      <c r="J416" s="1056"/>
      <c r="K416" s="1056"/>
      <c r="L416" s="1056"/>
      <c r="M416" s="274"/>
      <c r="P416" s="264"/>
      <c r="Q416" s="264"/>
      <c r="R416" s="264"/>
      <c r="S416" s="264"/>
      <c r="T416" s="1056"/>
      <c r="U416" s="1056"/>
      <c r="V416" s="1056"/>
      <c r="W416" s="1056"/>
      <c r="X416" s="1056"/>
      <c r="Y416" s="1056"/>
      <c r="Z416" s="1056"/>
      <c r="AA416" s="1056"/>
      <c r="AB416" s="1056"/>
      <c r="AC416" s="1056"/>
      <c r="AD416" s="1056"/>
      <c r="AE416" s="1056"/>
      <c r="AF416" s="264"/>
    </row>
    <row r="417" spans="1:32" s="268" customFormat="1" ht="15" x14ac:dyDescent="0.25">
      <c r="A417" s="264"/>
      <c r="B417" s="264"/>
      <c r="C417" s="1056"/>
      <c r="D417" s="1056"/>
      <c r="E417" s="1056"/>
      <c r="F417" s="1056"/>
      <c r="G417" s="1056"/>
      <c r="H417" s="1056"/>
      <c r="I417" s="1056"/>
      <c r="J417" s="1056"/>
      <c r="K417" s="1056"/>
      <c r="L417" s="1056"/>
      <c r="M417" s="274"/>
      <c r="P417" s="264"/>
      <c r="Q417" s="264"/>
      <c r="R417" s="264"/>
      <c r="S417" s="264"/>
      <c r="T417" s="1056"/>
      <c r="U417" s="1056"/>
      <c r="V417" s="1056"/>
      <c r="W417" s="1056"/>
      <c r="X417" s="1056"/>
      <c r="Y417" s="1056"/>
      <c r="Z417" s="1056"/>
      <c r="AA417" s="1056"/>
      <c r="AB417" s="1056"/>
      <c r="AC417" s="1056"/>
      <c r="AD417" s="1056"/>
      <c r="AE417" s="1056"/>
      <c r="AF417" s="264"/>
    </row>
    <row r="418" spans="1:32" s="268" customFormat="1" ht="15" x14ac:dyDescent="0.25">
      <c r="A418" s="264"/>
      <c r="B418" s="264"/>
      <c r="C418" s="1056"/>
      <c r="D418" s="1056"/>
      <c r="E418" s="1056"/>
      <c r="F418" s="1056"/>
      <c r="G418" s="1056"/>
      <c r="H418" s="1056"/>
      <c r="I418" s="1056"/>
      <c r="J418" s="1056"/>
      <c r="K418" s="1056"/>
      <c r="L418" s="1056"/>
      <c r="M418" s="274"/>
      <c r="P418" s="264"/>
      <c r="Q418" s="264"/>
      <c r="R418" s="264"/>
      <c r="S418" s="264"/>
      <c r="T418" s="1056"/>
      <c r="U418" s="1056"/>
      <c r="V418" s="1056"/>
      <c r="W418" s="1056"/>
      <c r="X418" s="1056"/>
      <c r="Y418" s="1056"/>
      <c r="Z418" s="1056"/>
      <c r="AA418" s="1056"/>
      <c r="AB418" s="1056"/>
      <c r="AC418" s="1056"/>
      <c r="AD418" s="1056"/>
      <c r="AE418" s="1056"/>
      <c r="AF418" s="264"/>
    </row>
    <row r="419" spans="1:32" s="268" customFormat="1" ht="15" x14ac:dyDescent="0.25">
      <c r="A419" s="264"/>
      <c r="B419" s="264"/>
      <c r="C419" s="1056"/>
      <c r="D419" s="1056"/>
      <c r="E419" s="1056"/>
      <c r="F419" s="1056"/>
      <c r="G419" s="1056"/>
      <c r="H419" s="1056"/>
      <c r="I419" s="1056"/>
      <c r="J419" s="1056"/>
      <c r="K419" s="1056"/>
      <c r="L419" s="1056"/>
      <c r="M419" s="274"/>
      <c r="P419" s="264"/>
      <c r="Q419" s="264"/>
      <c r="R419" s="264"/>
      <c r="S419" s="264"/>
      <c r="T419" s="1056"/>
      <c r="U419" s="1056"/>
      <c r="V419" s="1056"/>
      <c r="W419" s="1056"/>
      <c r="X419" s="1056"/>
      <c r="Y419" s="1056"/>
      <c r="Z419" s="1056"/>
      <c r="AA419" s="1056"/>
      <c r="AB419" s="1056"/>
      <c r="AC419" s="1056"/>
      <c r="AD419" s="1056"/>
      <c r="AE419" s="1056"/>
      <c r="AF419" s="264"/>
    </row>
    <row r="420" spans="1:32" s="268" customFormat="1" ht="15" x14ac:dyDescent="0.25">
      <c r="A420" s="264"/>
      <c r="B420" s="264"/>
      <c r="C420" s="1056"/>
      <c r="D420" s="1056"/>
      <c r="E420" s="1056"/>
      <c r="F420" s="1056"/>
      <c r="G420" s="1056"/>
      <c r="H420" s="1056"/>
      <c r="I420" s="1056"/>
      <c r="J420" s="1056"/>
      <c r="K420" s="1056"/>
      <c r="L420" s="1056"/>
      <c r="M420" s="274"/>
      <c r="P420" s="264"/>
      <c r="Q420" s="264"/>
      <c r="R420" s="264"/>
      <c r="S420" s="264"/>
      <c r="T420" s="1056"/>
      <c r="U420" s="1056"/>
      <c r="V420" s="1056"/>
      <c r="W420" s="1056"/>
      <c r="X420" s="1056"/>
      <c r="Y420" s="1056"/>
      <c r="Z420" s="1056"/>
      <c r="AA420" s="1056"/>
      <c r="AB420" s="1056"/>
      <c r="AC420" s="1056"/>
      <c r="AD420" s="1056"/>
      <c r="AE420" s="1056"/>
      <c r="AF420" s="264"/>
    </row>
    <row r="421" spans="1:32" s="268" customFormat="1" ht="15" x14ac:dyDescent="0.25">
      <c r="A421" s="264"/>
      <c r="B421" s="264"/>
      <c r="C421" s="1056"/>
      <c r="D421" s="1056"/>
      <c r="E421" s="1056"/>
      <c r="F421" s="1056"/>
      <c r="G421" s="1056"/>
      <c r="H421" s="1056"/>
      <c r="I421" s="1056"/>
      <c r="J421" s="1056"/>
      <c r="K421" s="1056"/>
      <c r="L421" s="1056"/>
      <c r="M421" s="274"/>
      <c r="P421" s="264"/>
      <c r="Q421" s="264"/>
      <c r="R421" s="264"/>
      <c r="S421" s="264"/>
      <c r="T421" s="1056"/>
      <c r="U421" s="1056"/>
      <c r="V421" s="1056"/>
      <c r="W421" s="1056"/>
      <c r="X421" s="1056"/>
      <c r="Y421" s="1056"/>
      <c r="Z421" s="1056"/>
      <c r="AA421" s="1056"/>
      <c r="AB421" s="1056"/>
      <c r="AC421" s="1056"/>
      <c r="AD421" s="1056"/>
      <c r="AE421" s="1056"/>
      <c r="AF421" s="264"/>
    </row>
    <row r="422" spans="1:32" s="268" customFormat="1" ht="15" x14ac:dyDescent="0.25">
      <c r="A422" s="264"/>
      <c r="B422" s="264"/>
      <c r="C422" s="1056"/>
      <c r="D422" s="1056"/>
      <c r="E422" s="1056"/>
      <c r="F422" s="1056"/>
      <c r="G422" s="1056"/>
      <c r="H422" s="1056"/>
      <c r="I422" s="1056"/>
      <c r="J422" s="1056"/>
      <c r="K422" s="1056"/>
      <c r="L422" s="1056"/>
      <c r="M422" s="274"/>
      <c r="P422" s="264"/>
      <c r="Q422" s="264"/>
      <c r="R422" s="264"/>
      <c r="S422" s="264"/>
      <c r="T422" s="1056"/>
      <c r="U422" s="1056"/>
      <c r="V422" s="1056"/>
      <c r="W422" s="1056"/>
      <c r="X422" s="1056"/>
      <c r="Y422" s="1056"/>
      <c r="Z422" s="1056"/>
      <c r="AA422" s="1056"/>
      <c r="AB422" s="1056"/>
      <c r="AC422" s="1056"/>
      <c r="AD422" s="1056"/>
      <c r="AE422" s="1056"/>
      <c r="AF422" s="264"/>
    </row>
    <row r="423" spans="1:32" s="268" customFormat="1" ht="15" x14ac:dyDescent="0.25">
      <c r="A423" s="264"/>
      <c r="B423" s="264"/>
      <c r="C423" s="1056"/>
      <c r="D423" s="1056"/>
      <c r="E423" s="1056"/>
      <c r="F423" s="1056"/>
      <c r="G423" s="1056"/>
      <c r="H423" s="1056"/>
      <c r="I423" s="1056"/>
      <c r="J423" s="1056"/>
      <c r="K423" s="1056"/>
      <c r="L423" s="1056"/>
      <c r="M423" s="274"/>
      <c r="P423" s="264"/>
      <c r="Q423" s="264"/>
      <c r="R423" s="264"/>
      <c r="S423" s="264"/>
      <c r="T423" s="1056"/>
      <c r="U423" s="1056"/>
      <c r="V423" s="1056"/>
      <c r="W423" s="1056"/>
      <c r="X423" s="1056"/>
      <c r="Y423" s="1056"/>
      <c r="Z423" s="1056"/>
      <c r="AA423" s="1056"/>
      <c r="AB423" s="1056"/>
      <c r="AC423" s="1056"/>
      <c r="AD423" s="1056"/>
      <c r="AE423" s="1056"/>
      <c r="AF423" s="264"/>
    </row>
    <row r="424" spans="1:32" s="268" customFormat="1" ht="15" x14ac:dyDescent="0.25">
      <c r="A424" s="264"/>
      <c r="B424" s="264"/>
      <c r="C424" s="1056"/>
      <c r="D424" s="1056"/>
      <c r="E424" s="1056"/>
      <c r="F424" s="1056"/>
      <c r="G424" s="1056"/>
      <c r="H424" s="1056"/>
      <c r="I424" s="1056"/>
      <c r="J424" s="1056"/>
      <c r="K424" s="1056"/>
      <c r="L424" s="1056"/>
      <c r="M424" s="274"/>
      <c r="P424" s="264"/>
      <c r="Q424" s="264"/>
      <c r="R424" s="264"/>
      <c r="S424" s="264"/>
      <c r="T424" s="1056"/>
      <c r="U424" s="1056"/>
      <c r="V424" s="1056"/>
      <c r="W424" s="1056"/>
      <c r="X424" s="1056"/>
      <c r="Y424" s="1056"/>
      <c r="Z424" s="1056"/>
      <c r="AA424" s="1056"/>
      <c r="AB424" s="1056"/>
      <c r="AC424" s="1056"/>
      <c r="AD424" s="1056"/>
      <c r="AE424" s="1056"/>
      <c r="AF424" s="264"/>
    </row>
    <row r="425" spans="1:32" s="268" customFormat="1" ht="15" x14ac:dyDescent="0.25">
      <c r="A425" s="264"/>
      <c r="B425" s="264"/>
      <c r="C425" s="1056"/>
      <c r="D425" s="1056"/>
      <c r="E425" s="1056"/>
      <c r="F425" s="1056"/>
      <c r="G425" s="1056"/>
      <c r="H425" s="1056"/>
      <c r="I425" s="1056"/>
      <c r="J425" s="1056"/>
      <c r="K425" s="1056"/>
      <c r="L425" s="1056"/>
      <c r="M425" s="274"/>
      <c r="P425" s="264"/>
      <c r="Q425" s="264"/>
      <c r="R425" s="264"/>
      <c r="S425" s="264"/>
      <c r="T425" s="1056"/>
      <c r="U425" s="1056"/>
      <c r="V425" s="1056"/>
      <c r="W425" s="1056"/>
      <c r="X425" s="1056"/>
      <c r="Y425" s="1056"/>
      <c r="Z425" s="1056"/>
      <c r="AA425" s="1056"/>
      <c r="AB425" s="1056"/>
      <c r="AC425" s="1056"/>
      <c r="AD425" s="1056"/>
      <c r="AE425" s="1056"/>
      <c r="AF425" s="264"/>
    </row>
    <row r="426" spans="1:32" s="268" customFormat="1" ht="15" x14ac:dyDescent="0.25">
      <c r="A426" s="264"/>
      <c r="B426" s="264"/>
      <c r="C426" s="1056"/>
      <c r="D426" s="1056"/>
      <c r="E426" s="1056"/>
      <c r="F426" s="1056"/>
      <c r="G426" s="1056"/>
      <c r="H426" s="1056"/>
      <c r="I426" s="1056"/>
      <c r="J426" s="1056"/>
      <c r="K426" s="1056"/>
      <c r="L426" s="1056"/>
      <c r="M426" s="274"/>
      <c r="P426" s="264"/>
      <c r="Q426" s="264"/>
      <c r="R426" s="264"/>
      <c r="S426" s="264"/>
      <c r="T426" s="1056"/>
      <c r="U426" s="1056"/>
      <c r="V426" s="1056"/>
      <c r="W426" s="1056"/>
      <c r="X426" s="1056"/>
      <c r="Y426" s="1056"/>
      <c r="Z426" s="1056"/>
      <c r="AA426" s="1056"/>
      <c r="AB426" s="1056"/>
      <c r="AC426" s="1056"/>
      <c r="AD426" s="1056"/>
      <c r="AE426" s="1056"/>
      <c r="AF426" s="264"/>
    </row>
    <row r="427" spans="1:32" s="268" customFormat="1" ht="15" x14ac:dyDescent="0.25">
      <c r="A427" s="264"/>
      <c r="B427" s="264"/>
      <c r="C427" s="1056"/>
      <c r="D427" s="1056"/>
      <c r="E427" s="1056"/>
      <c r="F427" s="1056"/>
      <c r="G427" s="1056"/>
      <c r="H427" s="1056"/>
      <c r="I427" s="1056"/>
      <c r="J427" s="1056"/>
      <c r="K427" s="1056"/>
      <c r="L427" s="1056"/>
      <c r="M427" s="274"/>
      <c r="P427" s="264"/>
      <c r="Q427" s="264"/>
      <c r="R427" s="264"/>
      <c r="S427" s="264"/>
      <c r="T427" s="1056"/>
      <c r="U427" s="1056"/>
      <c r="V427" s="1056"/>
      <c r="W427" s="1056"/>
      <c r="X427" s="1056"/>
      <c r="Y427" s="1056"/>
      <c r="Z427" s="1056"/>
      <c r="AA427" s="1056"/>
      <c r="AB427" s="1056"/>
      <c r="AC427" s="1056"/>
      <c r="AD427" s="1056"/>
      <c r="AE427" s="1056"/>
      <c r="AF427" s="264"/>
    </row>
    <row r="428" spans="1:32" s="268" customFormat="1" ht="15" x14ac:dyDescent="0.25">
      <c r="A428" s="264"/>
      <c r="B428" s="264"/>
      <c r="C428" s="1056"/>
      <c r="D428" s="1056"/>
      <c r="E428" s="1056"/>
      <c r="F428" s="1056"/>
      <c r="G428" s="1056"/>
      <c r="H428" s="1056"/>
      <c r="I428" s="1056"/>
      <c r="J428" s="1056"/>
      <c r="K428" s="1056"/>
      <c r="L428" s="1056"/>
      <c r="M428" s="274"/>
      <c r="P428" s="264"/>
      <c r="Q428" s="264"/>
      <c r="R428" s="264"/>
      <c r="S428" s="264"/>
      <c r="T428" s="1056"/>
      <c r="U428" s="1056"/>
      <c r="V428" s="1056"/>
      <c r="W428" s="1056"/>
      <c r="X428" s="1056"/>
      <c r="Y428" s="1056"/>
      <c r="Z428" s="1056"/>
      <c r="AA428" s="1056"/>
      <c r="AB428" s="1056"/>
      <c r="AC428" s="1056"/>
      <c r="AD428" s="1056"/>
      <c r="AE428" s="1056"/>
      <c r="AF428" s="264"/>
    </row>
    <row r="429" spans="1:32" s="268" customFormat="1" ht="15" x14ac:dyDescent="0.25">
      <c r="A429" s="264"/>
      <c r="B429" s="264"/>
      <c r="C429" s="1056"/>
      <c r="D429" s="1056"/>
      <c r="E429" s="1056"/>
      <c r="F429" s="1056"/>
      <c r="G429" s="1056"/>
      <c r="H429" s="1056"/>
      <c r="I429" s="1056"/>
      <c r="J429" s="1056"/>
      <c r="K429" s="1056"/>
      <c r="L429" s="1056"/>
      <c r="M429" s="274"/>
      <c r="P429" s="264"/>
      <c r="Q429" s="264"/>
      <c r="R429" s="264"/>
      <c r="S429" s="264"/>
      <c r="T429" s="1056"/>
      <c r="U429" s="1056"/>
      <c r="V429" s="1056"/>
      <c r="W429" s="1056"/>
      <c r="X429" s="1056"/>
      <c r="Y429" s="1056"/>
      <c r="Z429" s="1056"/>
      <c r="AA429" s="1056"/>
      <c r="AB429" s="1056"/>
      <c r="AC429" s="1056"/>
      <c r="AD429" s="1056"/>
      <c r="AE429" s="1056"/>
      <c r="AF429" s="264"/>
    </row>
    <row r="430" spans="1:32" s="268" customFormat="1" ht="15" x14ac:dyDescent="0.25">
      <c r="A430" s="264"/>
      <c r="B430" s="264"/>
      <c r="C430" s="1056"/>
      <c r="D430" s="1056"/>
      <c r="E430" s="1056"/>
      <c r="F430" s="1056"/>
      <c r="G430" s="1056"/>
      <c r="H430" s="1056"/>
      <c r="I430" s="1056"/>
      <c r="J430" s="1056"/>
      <c r="K430" s="1056"/>
      <c r="L430" s="1056"/>
      <c r="M430" s="274"/>
      <c r="P430" s="264"/>
      <c r="Q430" s="264"/>
      <c r="R430" s="264"/>
      <c r="S430" s="264"/>
      <c r="T430" s="1056"/>
      <c r="U430" s="1056"/>
      <c r="V430" s="1056"/>
      <c r="W430" s="1056"/>
      <c r="X430" s="1056"/>
      <c r="Y430" s="1056"/>
      <c r="Z430" s="1056"/>
      <c r="AA430" s="1056"/>
      <c r="AB430" s="1056"/>
      <c r="AC430" s="1056"/>
      <c r="AD430" s="1056"/>
      <c r="AE430" s="1056"/>
      <c r="AF430" s="264"/>
    </row>
    <row r="431" spans="1:32" s="268" customFormat="1" ht="15" x14ac:dyDescent="0.25">
      <c r="A431" s="264"/>
      <c r="B431" s="264"/>
      <c r="C431" s="1056"/>
      <c r="D431" s="1056"/>
      <c r="E431" s="1056"/>
      <c r="F431" s="1056"/>
      <c r="G431" s="1056"/>
      <c r="H431" s="1056"/>
      <c r="I431" s="1056"/>
      <c r="J431" s="1056"/>
      <c r="K431" s="1056"/>
      <c r="L431" s="1056"/>
      <c r="M431" s="274"/>
      <c r="P431" s="264"/>
      <c r="Q431" s="264"/>
      <c r="R431" s="264"/>
      <c r="S431" s="264"/>
      <c r="T431" s="1056"/>
      <c r="U431" s="1056"/>
      <c r="V431" s="1056"/>
      <c r="W431" s="1056"/>
      <c r="X431" s="1056"/>
      <c r="Y431" s="1056"/>
      <c r="Z431" s="1056"/>
      <c r="AA431" s="1056"/>
      <c r="AB431" s="1056"/>
      <c r="AC431" s="1056"/>
      <c r="AD431" s="1056"/>
      <c r="AE431" s="1056"/>
      <c r="AF431" s="264"/>
    </row>
    <row r="432" spans="1:32" s="268" customFormat="1" ht="15" x14ac:dyDescent="0.25">
      <c r="A432" s="264"/>
      <c r="B432" s="264"/>
      <c r="C432" s="1056"/>
      <c r="D432" s="1056"/>
      <c r="E432" s="1056"/>
      <c r="F432" s="1056"/>
      <c r="G432" s="1056"/>
      <c r="H432" s="1056"/>
      <c r="I432" s="1056"/>
      <c r="J432" s="1056"/>
      <c r="K432" s="1056"/>
      <c r="L432" s="1056"/>
      <c r="M432" s="274"/>
      <c r="P432" s="264"/>
      <c r="Q432" s="264"/>
      <c r="R432" s="264"/>
      <c r="S432" s="264"/>
      <c r="T432" s="1056"/>
      <c r="U432" s="1056"/>
      <c r="V432" s="1056"/>
      <c r="W432" s="1056"/>
      <c r="X432" s="1056"/>
      <c r="Y432" s="1056"/>
      <c r="Z432" s="1056"/>
      <c r="AA432" s="1056"/>
      <c r="AB432" s="1056"/>
      <c r="AC432" s="1056"/>
      <c r="AD432" s="1056"/>
      <c r="AE432" s="1056"/>
      <c r="AF432" s="264"/>
    </row>
    <row r="433" spans="1:32" s="268" customFormat="1" ht="15" x14ac:dyDescent="0.25">
      <c r="A433" s="264"/>
      <c r="B433" s="264"/>
      <c r="C433" s="1056"/>
      <c r="D433" s="1056"/>
      <c r="E433" s="1056"/>
      <c r="F433" s="1056"/>
      <c r="G433" s="1056"/>
      <c r="H433" s="1056"/>
      <c r="I433" s="1056"/>
      <c r="J433" s="1056"/>
      <c r="K433" s="1056"/>
      <c r="L433" s="1056"/>
      <c r="M433" s="274"/>
      <c r="P433" s="264"/>
      <c r="Q433" s="264"/>
      <c r="R433" s="264"/>
      <c r="S433" s="264"/>
      <c r="T433" s="1056"/>
      <c r="U433" s="1056"/>
      <c r="V433" s="1056"/>
      <c r="W433" s="1056"/>
      <c r="X433" s="1056"/>
      <c r="Y433" s="1056"/>
      <c r="Z433" s="1056"/>
      <c r="AA433" s="1056"/>
      <c r="AB433" s="1056"/>
      <c r="AC433" s="1056"/>
      <c r="AD433" s="1056"/>
      <c r="AE433" s="1056"/>
      <c r="AF433" s="264"/>
    </row>
    <row r="434" spans="1:32" s="268" customFormat="1" ht="15" x14ac:dyDescent="0.25">
      <c r="A434" s="264"/>
      <c r="B434" s="264"/>
      <c r="C434" s="1056"/>
      <c r="D434" s="1056"/>
      <c r="E434" s="1056"/>
      <c r="F434" s="1056"/>
      <c r="G434" s="1056"/>
      <c r="H434" s="1056"/>
      <c r="I434" s="1056"/>
      <c r="J434" s="1056"/>
      <c r="K434" s="1056"/>
      <c r="L434" s="1056"/>
      <c r="M434" s="274"/>
      <c r="P434" s="264"/>
      <c r="Q434" s="264"/>
      <c r="R434" s="264"/>
      <c r="S434" s="264"/>
      <c r="T434" s="1056"/>
      <c r="U434" s="1056"/>
      <c r="V434" s="1056"/>
      <c r="W434" s="1056"/>
      <c r="X434" s="1056"/>
      <c r="Y434" s="1056"/>
      <c r="Z434" s="1056"/>
      <c r="AA434" s="1056"/>
      <c r="AB434" s="1056"/>
      <c r="AC434" s="1056"/>
      <c r="AD434" s="1056"/>
      <c r="AE434" s="1056"/>
      <c r="AF434" s="264"/>
    </row>
    <row r="435" spans="1:32" s="268" customFormat="1" ht="15" x14ac:dyDescent="0.25">
      <c r="A435" s="264"/>
      <c r="B435" s="264"/>
      <c r="C435" s="1056"/>
      <c r="D435" s="1056"/>
      <c r="E435" s="1056"/>
      <c r="F435" s="1056"/>
      <c r="G435" s="1056"/>
      <c r="H435" s="1056"/>
      <c r="I435" s="1056"/>
      <c r="J435" s="1056"/>
      <c r="K435" s="1056"/>
      <c r="L435" s="1056"/>
      <c r="M435" s="274"/>
      <c r="P435" s="264"/>
      <c r="Q435" s="264"/>
      <c r="R435" s="264"/>
      <c r="S435" s="264"/>
      <c r="T435" s="1056"/>
      <c r="U435" s="1056"/>
      <c r="V435" s="1056"/>
      <c r="W435" s="1056"/>
      <c r="X435" s="1056"/>
      <c r="Y435" s="1056"/>
      <c r="Z435" s="1056"/>
      <c r="AA435" s="1056"/>
      <c r="AB435" s="1056"/>
      <c r="AC435" s="1056"/>
      <c r="AD435" s="1056"/>
      <c r="AE435" s="1056"/>
      <c r="AF435" s="264"/>
    </row>
    <row r="436" spans="1:32" s="268" customFormat="1" ht="15" x14ac:dyDescent="0.25">
      <c r="A436" s="264"/>
      <c r="B436" s="264"/>
      <c r="C436" s="1056"/>
      <c r="D436" s="1056"/>
      <c r="E436" s="1056"/>
      <c r="F436" s="1056"/>
      <c r="G436" s="1056"/>
      <c r="H436" s="1056"/>
      <c r="I436" s="1056"/>
      <c r="J436" s="1056"/>
      <c r="K436" s="1056"/>
      <c r="L436" s="1056"/>
      <c r="M436" s="274"/>
      <c r="P436" s="264"/>
      <c r="Q436" s="264"/>
      <c r="R436" s="264"/>
      <c r="S436" s="264"/>
      <c r="T436" s="1056"/>
      <c r="U436" s="1056"/>
      <c r="V436" s="1056"/>
      <c r="W436" s="1056"/>
      <c r="X436" s="1056"/>
      <c r="Y436" s="1056"/>
      <c r="Z436" s="1056"/>
      <c r="AA436" s="1056"/>
      <c r="AB436" s="1056"/>
      <c r="AC436" s="1056"/>
      <c r="AD436" s="1056"/>
      <c r="AE436" s="1056"/>
      <c r="AF436" s="264"/>
    </row>
    <row r="437" spans="1:32" s="268" customFormat="1" ht="15" x14ac:dyDescent="0.25">
      <c r="A437" s="264"/>
      <c r="B437" s="264"/>
      <c r="C437" s="1056"/>
      <c r="D437" s="1056"/>
      <c r="E437" s="1056"/>
      <c r="F437" s="1056"/>
      <c r="G437" s="1056"/>
      <c r="H437" s="1056"/>
      <c r="I437" s="1056"/>
      <c r="J437" s="1056"/>
      <c r="K437" s="1056"/>
      <c r="L437" s="1056"/>
      <c r="M437" s="274"/>
      <c r="P437" s="264"/>
      <c r="Q437" s="264"/>
      <c r="R437" s="264"/>
      <c r="S437" s="264"/>
      <c r="T437" s="1056"/>
      <c r="U437" s="1056"/>
      <c r="V437" s="1056"/>
      <c r="W437" s="1056"/>
      <c r="X437" s="1056"/>
      <c r="Y437" s="1056"/>
      <c r="Z437" s="1056"/>
      <c r="AA437" s="1056"/>
      <c r="AB437" s="1056"/>
      <c r="AC437" s="1056"/>
      <c r="AD437" s="1056"/>
      <c r="AE437" s="1056"/>
      <c r="AF437" s="264"/>
    </row>
    <row r="438" spans="1:32" s="268" customFormat="1" ht="15" x14ac:dyDescent="0.25">
      <c r="A438" s="264"/>
      <c r="B438" s="264"/>
      <c r="C438" s="1056"/>
      <c r="D438" s="1056"/>
      <c r="E438" s="1056"/>
      <c r="F438" s="1056"/>
      <c r="G438" s="1056"/>
      <c r="H438" s="1056"/>
      <c r="I438" s="1056"/>
      <c r="J438" s="1056"/>
      <c r="K438" s="1056"/>
      <c r="L438" s="1056"/>
      <c r="M438" s="274"/>
      <c r="P438" s="264"/>
      <c r="Q438" s="264"/>
      <c r="R438" s="264"/>
      <c r="S438" s="264"/>
      <c r="T438" s="1056"/>
      <c r="U438" s="1056"/>
      <c r="V438" s="1056"/>
      <c r="W438" s="1056"/>
      <c r="X438" s="1056"/>
      <c r="Y438" s="1056"/>
      <c r="Z438" s="1056"/>
      <c r="AA438" s="1056"/>
      <c r="AB438" s="1056"/>
      <c r="AC438" s="1056"/>
      <c r="AD438" s="1056"/>
      <c r="AE438" s="1056"/>
      <c r="AF438" s="264"/>
    </row>
    <row r="439" spans="1:32" s="268" customFormat="1" ht="15" x14ac:dyDescent="0.25">
      <c r="A439" s="264"/>
      <c r="B439" s="264"/>
      <c r="C439" s="1056"/>
      <c r="D439" s="1056"/>
      <c r="E439" s="1056"/>
      <c r="F439" s="1056"/>
      <c r="G439" s="1056"/>
      <c r="H439" s="1056"/>
      <c r="I439" s="1056"/>
      <c r="J439" s="1056"/>
      <c r="K439" s="1056"/>
      <c r="L439" s="1056"/>
      <c r="M439" s="274"/>
      <c r="P439" s="264"/>
      <c r="Q439" s="264"/>
      <c r="R439" s="264"/>
      <c r="S439" s="264"/>
      <c r="T439" s="1056"/>
      <c r="U439" s="1056"/>
      <c r="V439" s="1056"/>
      <c r="W439" s="1056"/>
      <c r="X439" s="1056"/>
      <c r="Y439" s="1056"/>
      <c r="Z439" s="1056"/>
      <c r="AA439" s="1056"/>
      <c r="AB439" s="1056"/>
      <c r="AC439" s="1056"/>
      <c r="AD439" s="1056"/>
      <c r="AE439" s="1056"/>
      <c r="AF439" s="264"/>
    </row>
    <row r="440" spans="1:32" s="268" customFormat="1" ht="15" x14ac:dyDescent="0.25">
      <c r="A440" s="264"/>
      <c r="B440" s="264"/>
      <c r="C440" s="1056"/>
      <c r="D440" s="1056"/>
      <c r="E440" s="1056"/>
      <c r="F440" s="1056"/>
      <c r="G440" s="1056"/>
      <c r="H440" s="1056"/>
      <c r="I440" s="1056"/>
      <c r="J440" s="1056"/>
      <c r="K440" s="1056"/>
      <c r="L440" s="1056"/>
      <c r="M440" s="274"/>
      <c r="P440" s="264"/>
      <c r="Q440" s="264"/>
      <c r="R440" s="264"/>
      <c r="S440" s="264"/>
      <c r="T440" s="1056"/>
      <c r="U440" s="1056"/>
      <c r="V440" s="1056"/>
      <c r="W440" s="1056"/>
      <c r="X440" s="1056"/>
      <c r="Y440" s="1056"/>
      <c r="Z440" s="1056"/>
      <c r="AA440" s="1056"/>
      <c r="AB440" s="1056"/>
      <c r="AC440" s="1056"/>
      <c r="AD440" s="1056"/>
      <c r="AE440" s="1056"/>
      <c r="AF440" s="264"/>
    </row>
    <row r="441" spans="1:32" s="268" customFormat="1" ht="15" x14ac:dyDescent="0.25">
      <c r="A441" s="264"/>
      <c r="B441" s="264"/>
      <c r="C441" s="1056"/>
      <c r="D441" s="1056"/>
      <c r="E441" s="1056"/>
      <c r="F441" s="1056"/>
      <c r="G441" s="1056"/>
      <c r="H441" s="1056"/>
      <c r="I441" s="1056"/>
      <c r="J441" s="1056"/>
      <c r="K441" s="1056"/>
      <c r="L441" s="1056"/>
      <c r="M441" s="274"/>
      <c r="P441" s="264"/>
      <c r="Q441" s="264"/>
      <c r="R441" s="264"/>
      <c r="S441" s="264"/>
      <c r="T441" s="1056"/>
      <c r="U441" s="1056"/>
      <c r="V441" s="1056"/>
      <c r="W441" s="1056"/>
      <c r="X441" s="1056"/>
      <c r="Y441" s="1056"/>
      <c r="Z441" s="1056"/>
      <c r="AA441" s="1056"/>
      <c r="AB441" s="1056"/>
      <c r="AC441" s="1056"/>
      <c r="AD441" s="1056"/>
      <c r="AE441" s="1056"/>
      <c r="AF441" s="264"/>
    </row>
    <row r="442" spans="1:32" s="268" customFormat="1" ht="15" x14ac:dyDescent="0.25">
      <c r="A442" s="264"/>
      <c r="B442" s="264"/>
      <c r="C442" s="1056"/>
      <c r="D442" s="1056"/>
      <c r="E442" s="1056"/>
      <c r="F442" s="1056"/>
      <c r="G442" s="1056"/>
      <c r="H442" s="1056"/>
      <c r="I442" s="1056"/>
      <c r="J442" s="1056"/>
      <c r="K442" s="1056"/>
      <c r="L442" s="1056"/>
      <c r="M442" s="274"/>
      <c r="P442" s="264"/>
      <c r="Q442" s="264"/>
      <c r="R442" s="264"/>
      <c r="S442" s="264"/>
      <c r="T442" s="1056"/>
      <c r="U442" s="1056"/>
      <c r="V442" s="1056"/>
      <c r="W442" s="1056"/>
      <c r="X442" s="1056"/>
      <c r="Y442" s="1056"/>
      <c r="Z442" s="1056"/>
      <c r="AA442" s="1056"/>
      <c r="AB442" s="1056"/>
      <c r="AC442" s="1056"/>
      <c r="AD442" s="1056"/>
      <c r="AE442" s="1056"/>
      <c r="AF442" s="264"/>
    </row>
    <row r="443" spans="1:32" s="268" customFormat="1" ht="15" x14ac:dyDescent="0.25">
      <c r="A443" s="264"/>
      <c r="B443" s="264"/>
      <c r="C443" s="1056"/>
      <c r="D443" s="1056"/>
      <c r="E443" s="1056"/>
      <c r="F443" s="1056"/>
      <c r="G443" s="1056"/>
      <c r="H443" s="1056"/>
      <c r="I443" s="1056"/>
      <c r="J443" s="1056"/>
      <c r="K443" s="1056"/>
      <c r="L443" s="1056"/>
      <c r="M443" s="274"/>
      <c r="P443" s="264"/>
      <c r="Q443" s="264"/>
      <c r="R443" s="264"/>
      <c r="S443" s="264"/>
      <c r="T443" s="1056"/>
      <c r="U443" s="1056"/>
      <c r="V443" s="1056"/>
      <c r="W443" s="1056"/>
      <c r="X443" s="1056"/>
      <c r="Y443" s="1056"/>
      <c r="Z443" s="1056"/>
      <c r="AA443" s="1056"/>
      <c r="AB443" s="1056"/>
      <c r="AC443" s="1056"/>
      <c r="AD443" s="1056"/>
      <c r="AE443" s="1056"/>
      <c r="AF443" s="264"/>
    </row>
    <row r="444" spans="1:32" s="268" customFormat="1" ht="15" x14ac:dyDescent="0.25">
      <c r="A444" s="264"/>
      <c r="B444" s="264"/>
      <c r="C444" s="1056"/>
      <c r="D444" s="1056"/>
      <c r="E444" s="1056"/>
      <c r="F444" s="1056"/>
      <c r="G444" s="1056"/>
      <c r="H444" s="1056"/>
      <c r="I444" s="1056"/>
      <c r="J444" s="1056"/>
      <c r="K444" s="1056"/>
      <c r="L444" s="1056"/>
      <c r="M444" s="274"/>
      <c r="P444" s="264"/>
      <c r="Q444" s="264"/>
      <c r="R444" s="264"/>
      <c r="S444" s="264"/>
      <c r="T444" s="1056"/>
      <c r="U444" s="1056"/>
      <c r="V444" s="1056"/>
      <c r="W444" s="1056"/>
      <c r="X444" s="1056"/>
      <c r="Y444" s="1056"/>
      <c r="Z444" s="1056"/>
      <c r="AA444" s="1056"/>
      <c r="AB444" s="1056"/>
      <c r="AC444" s="1056"/>
      <c r="AD444" s="1056"/>
      <c r="AE444" s="1056"/>
      <c r="AF444" s="264"/>
    </row>
    <row r="445" spans="1:32" s="268" customFormat="1" ht="15" x14ac:dyDescent="0.25">
      <c r="A445" s="264"/>
      <c r="B445" s="264"/>
      <c r="C445" s="1056"/>
      <c r="D445" s="1056"/>
      <c r="E445" s="1056"/>
      <c r="F445" s="1056"/>
      <c r="G445" s="1056"/>
      <c r="H445" s="1056"/>
      <c r="I445" s="1056"/>
      <c r="J445" s="1056"/>
      <c r="K445" s="1056"/>
      <c r="L445" s="1056"/>
      <c r="M445" s="274"/>
      <c r="P445" s="264"/>
      <c r="Q445" s="264"/>
      <c r="R445" s="264"/>
      <c r="S445" s="264"/>
      <c r="T445" s="1056"/>
      <c r="U445" s="1056"/>
      <c r="V445" s="1056"/>
      <c r="W445" s="1056"/>
      <c r="X445" s="1056"/>
      <c r="Y445" s="1056"/>
      <c r="Z445" s="1056"/>
      <c r="AA445" s="1056"/>
      <c r="AB445" s="1056"/>
      <c r="AC445" s="1056"/>
      <c r="AD445" s="1056"/>
      <c r="AE445" s="1056"/>
      <c r="AF445" s="264"/>
    </row>
    <row r="446" spans="1:32" s="268" customFormat="1" ht="15" x14ac:dyDescent="0.25">
      <c r="A446" s="264"/>
      <c r="B446" s="264"/>
      <c r="C446" s="1056"/>
      <c r="D446" s="1056"/>
      <c r="E446" s="1056"/>
      <c r="F446" s="1056"/>
      <c r="G446" s="1056"/>
      <c r="H446" s="1056"/>
      <c r="I446" s="1056"/>
      <c r="J446" s="1056"/>
      <c r="K446" s="1056"/>
      <c r="L446" s="1056"/>
      <c r="M446" s="274"/>
      <c r="P446" s="264"/>
      <c r="Q446" s="264"/>
      <c r="R446" s="264"/>
      <c r="S446" s="264"/>
      <c r="T446" s="1056"/>
      <c r="U446" s="1056"/>
      <c r="V446" s="1056"/>
      <c r="W446" s="1056"/>
      <c r="X446" s="1056"/>
      <c r="Y446" s="1056"/>
      <c r="Z446" s="1056"/>
      <c r="AA446" s="1056"/>
      <c r="AB446" s="1056"/>
      <c r="AC446" s="1056"/>
      <c r="AD446" s="1056"/>
      <c r="AE446" s="1056"/>
      <c r="AF446" s="264"/>
    </row>
    <row r="447" spans="1:32" s="268" customFormat="1" ht="15" x14ac:dyDescent="0.25">
      <c r="A447" s="264"/>
      <c r="B447" s="264"/>
      <c r="C447" s="1056"/>
      <c r="D447" s="1056"/>
      <c r="E447" s="1056"/>
      <c r="F447" s="1056"/>
      <c r="G447" s="1056"/>
      <c r="H447" s="1056"/>
      <c r="I447" s="1056"/>
      <c r="J447" s="1056"/>
      <c r="K447" s="1056"/>
      <c r="L447" s="1056"/>
      <c r="M447" s="274"/>
      <c r="P447" s="264"/>
      <c r="Q447" s="264"/>
      <c r="R447" s="264"/>
      <c r="S447" s="264"/>
      <c r="T447" s="1056"/>
      <c r="U447" s="1056"/>
      <c r="V447" s="1056"/>
      <c r="W447" s="1056"/>
      <c r="X447" s="1056"/>
      <c r="Y447" s="1056"/>
      <c r="Z447" s="1056"/>
      <c r="AA447" s="1056"/>
      <c r="AB447" s="1056"/>
      <c r="AC447" s="1056"/>
      <c r="AD447" s="1056"/>
      <c r="AE447" s="1056"/>
      <c r="AF447" s="264"/>
    </row>
    <row r="448" spans="1:32" s="268" customFormat="1" ht="15" x14ac:dyDescent="0.25">
      <c r="A448" s="264"/>
      <c r="B448" s="264"/>
      <c r="C448" s="1056"/>
      <c r="D448" s="1056"/>
      <c r="E448" s="1056"/>
      <c r="F448" s="1056"/>
      <c r="G448" s="1056"/>
      <c r="H448" s="1056"/>
      <c r="I448" s="1056"/>
      <c r="J448" s="1056"/>
      <c r="K448" s="1056"/>
      <c r="L448" s="1056"/>
      <c r="M448" s="274"/>
      <c r="P448" s="264"/>
      <c r="Q448" s="264"/>
      <c r="R448" s="264"/>
      <c r="S448" s="264"/>
      <c r="T448" s="1056"/>
      <c r="U448" s="1056"/>
      <c r="V448" s="1056"/>
      <c r="W448" s="1056"/>
      <c r="X448" s="1056"/>
      <c r="Y448" s="1056"/>
      <c r="Z448" s="1056"/>
      <c r="AA448" s="1056"/>
      <c r="AB448" s="1056"/>
      <c r="AC448" s="1056"/>
      <c r="AD448" s="1056"/>
      <c r="AE448" s="1056"/>
      <c r="AF448" s="264"/>
    </row>
    <row r="449" spans="1:32" s="268" customFormat="1" ht="15" x14ac:dyDescent="0.25">
      <c r="A449" s="264"/>
      <c r="B449" s="264"/>
      <c r="C449" s="1056"/>
      <c r="D449" s="1056"/>
      <c r="E449" s="1056"/>
      <c r="F449" s="1056"/>
      <c r="G449" s="1056"/>
      <c r="H449" s="1056"/>
      <c r="I449" s="1056"/>
      <c r="J449" s="1056"/>
      <c r="K449" s="1056"/>
      <c r="L449" s="1056"/>
      <c r="M449" s="274"/>
      <c r="P449" s="264"/>
      <c r="Q449" s="264"/>
      <c r="R449" s="264"/>
      <c r="S449" s="264"/>
      <c r="T449" s="1056"/>
      <c r="U449" s="1056"/>
      <c r="V449" s="1056"/>
      <c r="W449" s="1056"/>
      <c r="X449" s="1056"/>
      <c r="Y449" s="1056"/>
      <c r="Z449" s="1056"/>
      <c r="AA449" s="1056"/>
      <c r="AB449" s="1056"/>
      <c r="AC449" s="1056"/>
      <c r="AD449" s="1056"/>
      <c r="AE449" s="1056"/>
      <c r="AF449" s="264"/>
    </row>
    <row r="450" spans="1:32" s="268" customFormat="1" ht="15" x14ac:dyDescent="0.25">
      <c r="A450" s="264"/>
      <c r="B450" s="264"/>
      <c r="C450" s="1056"/>
      <c r="D450" s="1056"/>
      <c r="E450" s="1056"/>
      <c r="F450" s="1056"/>
      <c r="G450" s="1056"/>
      <c r="H450" s="1056"/>
      <c r="I450" s="1056"/>
      <c r="J450" s="1056"/>
      <c r="K450" s="1056"/>
      <c r="L450" s="1056"/>
      <c r="M450" s="274"/>
      <c r="P450" s="264"/>
      <c r="Q450" s="264"/>
      <c r="R450" s="264"/>
      <c r="S450" s="264"/>
      <c r="T450" s="1056"/>
      <c r="U450" s="1056"/>
      <c r="V450" s="1056"/>
      <c r="W450" s="1056"/>
      <c r="X450" s="1056"/>
      <c r="Y450" s="1056"/>
      <c r="Z450" s="1056"/>
      <c r="AA450" s="1056"/>
      <c r="AB450" s="1056"/>
      <c r="AC450" s="1056"/>
      <c r="AD450" s="1056"/>
      <c r="AE450" s="1056"/>
      <c r="AF450" s="264"/>
    </row>
    <row r="451" spans="1:32" s="268" customFormat="1" ht="15" x14ac:dyDescent="0.25">
      <c r="A451" s="264"/>
      <c r="B451" s="264"/>
      <c r="C451" s="1056"/>
      <c r="D451" s="1056"/>
      <c r="E451" s="1056"/>
      <c r="F451" s="1056"/>
      <c r="G451" s="1056"/>
      <c r="H451" s="1056"/>
      <c r="I451" s="1056"/>
      <c r="J451" s="1056"/>
      <c r="K451" s="1056"/>
      <c r="L451" s="1056"/>
      <c r="M451" s="274"/>
      <c r="P451" s="264"/>
      <c r="Q451" s="264"/>
      <c r="R451" s="264"/>
      <c r="S451" s="264"/>
      <c r="T451" s="1056"/>
      <c r="U451" s="1056"/>
      <c r="V451" s="1056"/>
      <c r="W451" s="1056"/>
      <c r="X451" s="1056"/>
      <c r="Y451" s="1056"/>
      <c r="Z451" s="1056"/>
      <c r="AA451" s="1056"/>
      <c r="AB451" s="1056"/>
      <c r="AC451" s="1056"/>
      <c r="AD451" s="1056"/>
      <c r="AE451" s="1056"/>
      <c r="AF451" s="264"/>
    </row>
    <row r="452" spans="1:32" s="268" customFormat="1" ht="15" x14ac:dyDescent="0.25">
      <c r="A452" s="264"/>
      <c r="B452" s="264"/>
      <c r="C452" s="1056"/>
      <c r="D452" s="1056"/>
      <c r="E452" s="1056"/>
      <c r="F452" s="1056"/>
      <c r="G452" s="1056"/>
      <c r="H452" s="1056"/>
      <c r="I452" s="1056"/>
      <c r="J452" s="1056"/>
      <c r="K452" s="1056"/>
      <c r="L452" s="1056"/>
      <c r="M452" s="274"/>
      <c r="P452" s="264"/>
      <c r="Q452" s="264"/>
      <c r="R452" s="264"/>
      <c r="S452" s="264"/>
      <c r="T452" s="1056"/>
      <c r="U452" s="1056"/>
      <c r="V452" s="1056"/>
      <c r="W452" s="1056"/>
      <c r="X452" s="1056"/>
      <c r="Y452" s="1056"/>
      <c r="Z452" s="1056"/>
      <c r="AA452" s="1056"/>
      <c r="AB452" s="1056"/>
      <c r="AC452" s="1056"/>
      <c r="AD452" s="1056"/>
      <c r="AE452" s="1056"/>
      <c r="AF452" s="264"/>
    </row>
    <row r="453" spans="1:32" s="268" customFormat="1" ht="15" x14ac:dyDescent="0.25">
      <c r="A453" s="264"/>
      <c r="B453" s="264"/>
      <c r="C453" s="1056"/>
      <c r="D453" s="1056"/>
      <c r="E453" s="1056"/>
      <c r="F453" s="1056"/>
      <c r="G453" s="1056"/>
      <c r="H453" s="1056"/>
      <c r="I453" s="1056"/>
      <c r="J453" s="1056"/>
      <c r="K453" s="1056"/>
      <c r="L453" s="1056"/>
      <c r="M453" s="274"/>
      <c r="P453" s="264"/>
      <c r="Q453" s="264"/>
      <c r="R453" s="264"/>
      <c r="S453" s="264"/>
      <c r="T453" s="1056"/>
      <c r="U453" s="1056"/>
      <c r="V453" s="1056"/>
      <c r="W453" s="1056"/>
      <c r="X453" s="1056"/>
      <c r="Y453" s="1056"/>
      <c r="Z453" s="1056"/>
      <c r="AA453" s="1056"/>
      <c r="AB453" s="1056"/>
      <c r="AC453" s="1056"/>
      <c r="AD453" s="1056"/>
      <c r="AE453" s="1056"/>
      <c r="AF453" s="264"/>
    </row>
    <row r="454" spans="1:32" s="268" customFormat="1" ht="15" x14ac:dyDescent="0.25">
      <c r="A454" s="264"/>
      <c r="B454" s="264"/>
      <c r="C454" s="1056"/>
      <c r="D454" s="1056"/>
      <c r="E454" s="1056"/>
      <c r="F454" s="1056"/>
      <c r="G454" s="1056"/>
      <c r="H454" s="1056"/>
      <c r="I454" s="1056"/>
      <c r="J454" s="1056"/>
      <c r="K454" s="1056"/>
      <c r="L454" s="1056"/>
      <c r="M454" s="274"/>
      <c r="P454" s="264"/>
      <c r="Q454" s="264"/>
      <c r="R454" s="264"/>
      <c r="S454" s="264"/>
      <c r="T454" s="1056"/>
      <c r="U454" s="1056"/>
      <c r="V454" s="1056"/>
      <c r="W454" s="1056"/>
      <c r="X454" s="1056"/>
      <c r="Y454" s="1056"/>
      <c r="Z454" s="1056"/>
      <c r="AA454" s="1056"/>
      <c r="AB454" s="1056"/>
      <c r="AC454" s="1056"/>
      <c r="AD454" s="1056"/>
      <c r="AE454" s="1056"/>
      <c r="AF454" s="264"/>
    </row>
    <row r="455" spans="1:32" s="268" customFormat="1" ht="15" x14ac:dyDescent="0.25">
      <c r="A455" s="264"/>
      <c r="B455" s="264"/>
      <c r="C455" s="1056"/>
      <c r="D455" s="1056"/>
      <c r="E455" s="1056"/>
      <c r="F455" s="1056"/>
      <c r="G455" s="1056"/>
      <c r="H455" s="1056"/>
      <c r="I455" s="1056"/>
      <c r="J455" s="1056"/>
      <c r="K455" s="1056"/>
      <c r="L455" s="1056"/>
      <c r="M455" s="274"/>
      <c r="P455" s="264"/>
      <c r="Q455" s="264"/>
      <c r="R455" s="264"/>
      <c r="S455" s="264"/>
      <c r="T455" s="1056"/>
      <c r="U455" s="1056"/>
      <c r="V455" s="1056"/>
      <c r="W455" s="1056"/>
      <c r="X455" s="1056"/>
      <c r="Y455" s="1056"/>
      <c r="Z455" s="1056"/>
      <c r="AA455" s="1056"/>
      <c r="AB455" s="1056"/>
      <c r="AC455" s="1056"/>
      <c r="AD455" s="1056"/>
      <c r="AE455" s="1056"/>
      <c r="AF455" s="264"/>
    </row>
    <row r="456" spans="1:32" s="268" customFormat="1" ht="15" x14ac:dyDescent="0.25">
      <c r="A456" s="264"/>
      <c r="B456" s="264"/>
      <c r="C456" s="1056"/>
      <c r="D456" s="1056"/>
      <c r="E456" s="1056"/>
      <c r="F456" s="1056"/>
      <c r="G456" s="1056"/>
      <c r="H456" s="1056"/>
      <c r="I456" s="1056"/>
      <c r="J456" s="1056"/>
      <c r="K456" s="1056"/>
      <c r="L456" s="1056"/>
      <c r="M456" s="274"/>
      <c r="P456" s="264"/>
      <c r="Q456" s="264"/>
      <c r="R456" s="264"/>
      <c r="S456" s="264"/>
      <c r="T456" s="1056"/>
      <c r="U456" s="1056"/>
      <c r="V456" s="1056"/>
      <c r="W456" s="1056"/>
      <c r="X456" s="1056"/>
      <c r="Y456" s="1056"/>
      <c r="Z456" s="1056"/>
      <c r="AA456" s="1056"/>
      <c r="AB456" s="1056"/>
      <c r="AC456" s="1056"/>
      <c r="AD456" s="1056"/>
      <c r="AE456" s="1056"/>
      <c r="AF456" s="264"/>
    </row>
    <row r="457" spans="1:32" s="268" customFormat="1" ht="15" x14ac:dyDescent="0.25">
      <c r="A457" s="264"/>
      <c r="B457" s="264"/>
      <c r="C457" s="1056"/>
      <c r="D457" s="1056"/>
      <c r="E457" s="1056"/>
      <c r="F457" s="1056"/>
      <c r="G457" s="1056"/>
      <c r="H457" s="1056"/>
      <c r="I457" s="1056"/>
      <c r="J457" s="1056"/>
      <c r="K457" s="1056"/>
      <c r="L457" s="1056"/>
      <c r="M457" s="274"/>
      <c r="P457" s="264"/>
      <c r="Q457" s="264"/>
      <c r="R457" s="264"/>
      <c r="S457" s="264"/>
      <c r="T457" s="1056"/>
      <c r="U457" s="1056"/>
      <c r="V457" s="1056"/>
      <c r="W457" s="1056"/>
      <c r="X457" s="1056"/>
      <c r="Y457" s="1056"/>
      <c r="Z457" s="1056"/>
      <c r="AA457" s="1056"/>
      <c r="AB457" s="1056"/>
      <c r="AC457" s="1056"/>
      <c r="AD457" s="1056"/>
      <c r="AE457" s="1056"/>
      <c r="AF457" s="264"/>
    </row>
    <row r="458" spans="1:32" s="268" customFormat="1" ht="15" x14ac:dyDescent="0.25">
      <c r="A458" s="264"/>
      <c r="B458" s="264"/>
      <c r="C458" s="1056"/>
      <c r="D458" s="1056"/>
      <c r="E458" s="1056"/>
      <c r="F458" s="1056"/>
      <c r="G458" s="1056"/>
      <c r="H458" s="1056"/>
      <c r="I458" s="1056"/>
      <c r="J458" s="1056"/>
      <c r="K458" s="1056"/>
      <c r="L458" s="1056"/>
      <c r="M458" s="274"/>
      <c r="P458" s="264"/>
      <c r="Q458" s="264"/>
      <c r="R458" s="264"/>
      <c r="S458" s="264"/>
      <c r="T458" s="1056"/>
      <c r="U458" s="1056"/>
      <c r="V458" s="1056"/>
      <c r="W458" s="1056"/>
      <c r="X458" s="1056"/>
      <c r="Y458" s="1056"/>
      <c r="Z458" s="1056"/>
      <c r="AA458" s="1056"/>
      <c r="AB458" s="1056"/>
      <c r="AC458" s="1056"/>
      <c r="AD458" s="1056"/>
      <c r="AE458" s="1056"/>
      <c r="AF458" s="264"/>
    </row>
    <row r="459" spans="1:32" s="268" customFormat="1" ht="15" x14ac:dyDescent="0.25">
      <c r="A459" s="264"/>
      <c r="B459" s="264"/>
      <c r="C459" s="1056"/>
      <c r="D459" s="1056"/>
      <c r="E459" s="1056"/>
      <c r="F459" s="1056"/>
      <c r="G459" s="1056"/>
      <c r="H459" s="1056"/>
      <c r="I459" s="1056"/>
      <c r="J459" s="1056"/>
      <c r="K459" s="1056"/>
      <c r="L459" s="1056"/>
      <c r="M459" s="274"/>
      <c r="P459" s="264"/>
      <c r="Q459" s="264"/>
      <c r="R459" s="264"/>
      <c r="S459" s="264"/>
      <c r="T459" s="1056"/>
      <c r="U459" s="1056"/>
      <c r="V459" s="1056"/>
      <c r="W459" s="1056"/>
      <c r="X459" s="1056"/>
      <c r="Y459" s="1056"/>
      <c r="Z459" s="1056"/>
      <c r="AA459" s="1056"/>
      <c r="AB459" s="1056"/>
      <c r="AC459" s="1056"/>
      <c r="AD459" s="1056"/>
      <c r="AE459" s="1056"/>
      <c r="AF459" s="264"/>
    </row>
    <row r="460" spans="1:32" s="268" customFormat="1" ht="15" x14ac:dyDescent="0.25">
      <c r="A460" s="264"/>
      <c r="B460" s="264"/>
      <c r="C460" s="1056"/>
      <c r="D460" s="1056"/>
      <c r="E460" s="1056"/>
      <c r="F460" s="1056"/>
      <c r="G460" s="1056"/>
      <c r="H460" s="1056"/>
      <c r="I460" s="1056"/>
      <c r="J460" s="1056"/>
      <c r="K460" s="1056"/>
      <c r="L460" s="1056"/>
      <c r="M460" s="274"/>
      <c r="P460" s="264"/>
      <c r="Q460" s="264"/>
      <c r="R460" s="264"/>
      <c r="S460" s="264"/>
      <c r="T460" s="1056"/>
      <c r="U460" s="1056"/>
      <c r="V460" s="1056"/>
      <c r="W460" s="1056"/>
      <c r="X460" s="1056"/>
      <c r="Y460" s="1056"/>
      <c r="Z460" s="1056"/>
      <c r="AA460" s="1056"/>
      <c r="AB460" s="1056"/>
      <c r="AC460" s="1056"/>
      <c r="AD460" s="1056"/>
      <c r="AE460" s="1056"/>
      <c r="AF460" s="264"/>
    </row>
    <row r="461" spans="1:32" s="268" customFormat="1" ht="15" x14ac:dyDescent="0.25">
      <c r="A461" s="264"/>
      <c r="B461" s="264"/>
      <c r="C461" s="1056"/>
      <c r="D461" s="1056"/>
      <c r="E461" s="1056"/>
      <c r="F461" s="1056"/>
      <c r="G461" s="1056"/>
      <c r="H461" s="1056"/>
      <c r="I461" s="1056"/>
      <c r="J461" s="1056"/>
      <c r="K461" s="1056"/>
      <c r="L461" s="1056"/>
      <c r="M461" s="274"/>
      <c r="P461" s="264"/>
      <c r="Q461" s="264"/>
      <c r="R461" s="264"/>
      <c r="S461" s="264"/>
      <c r="T461" s="1056"/>
      <c r="U461" s="1056"/>
      <c r="V461" s="1056"/>
      <c r="W461" s="1056"/>
      <c r="X461" s="1056"/>
      <c r="Y461" s="1056"/>
      <c r="Z461" s="1056"/>
      <c r="AA461" s="1056"/>
      <c r="AB461" s="1056"/>
      <c r="AC461" s="1056"/>
      <c r="AD461" s="1056"/>
      <c r="AE461" s="1056"/>
      <c r="AF461" s="264"/>
    </row>
    <row r="462" spans="1:32" s="268" customFormat="1" ht="15" x14ac:dyDescent="0.25">
      <c r="A462" s="264"/>
      <c r="B462" s="264"/>
      <c r="C462" s="1056"/>
      <c r="D462" s="1056"/>
      <c r="E462" s="1056"/>
      <c r="F462" s="1056"/>
      <c r="G462" s="1056"/>
      <c r="H462" s="1056"/>
      <c r="I462" s="1056"/>
      <c r="J462" s="1056"/>
      <c r="K462" s="1056"/>
      <c r="L462" s="1056"/>
      <c r="M462" s="274"/>
      <c r="P462" s="264"/>
      <c r="Q462" s="264"/>
      <c r="R462" s="264"/>
      <c r="S462" s="264"/>
      <c r="T462" s="1056"/>
      <c r="U462" s="1056"/>
      <c r="V462" s="1056"/>
      <c r="W462" s="1056"/>
      <c r="X462" s="1056"/>
      <c r="Y462" s="1056"/>
      <c r="Z462" s="1056"/>
      <c r="AA462" s="1056"/>
      <c r="AB462" s="1056"/>
      <c r="AC462" s="1056"/>
      <c r="AD462" s="1056"/>
      <c r="AE462" s="1056"/>
      <c r="AF462" s="264"/>
    </row>
    <row r="463" spans="1:32" s="268" customFormat="1" ht="15" x14ac:dyDescent="0.25">
      <c r="A463" s="264"/>
      <c r="B463" s="264"/>
      <c r="C463" s="1056"/>
      <c r="D463" s="1056"/>
      <c r="E463" s="1056"/>
      <c r="F463" s="1056"/>
      <c r="G463" s="1056"/>
      <c r="H463" s="1056"/>
      <c r="I463" s="1056"/>
      <c r="J463" s="1056"/>
      <c r="K463" s="1056"/>
      <c r="L463" s="1056"/>
      <c r="M463" s="274"/>
      <c r="P463" s="264"/>
      <c r="Q463" s="264"/>
      <c r="R463" s="264"/>
      <c r="S463" s="264"/>
      <c r="T463" s="1056"/>
      <c r="U463" s="1056"/>
      <c r="V463" s="1056"/>
      <c r="W463" s="1056"/>
      <c r="X463" s="1056"/>
      <c r="Y463" s="1056"/>
      <c r="Z463" s="1056"/>
      <c r="AA463" s="1056"/>
      <c r="AB463" s="1056"/>
      <c r="AC463" s="1056"/>
      <c r="AD463" s="1056"/>
      <c r="AE463" s="1056"/>
      <c r="AF463" s="264"/>
    </row>
    <row r="464" spans="1:32" s="268" customFormat="1" ht="15" x14ac:dyDescent="0.25">
      <c r="A464" s="264"/>
      <c r="B464" s="264"/>
      <c r="C464" s="1056"/>
      <c r="D464" s="1056"/>
      <c r="E464" s="1056"/>
      <c r="F464" s="1056"/>
      <c r="G464" s="1056"/>
      <c r="H464" s="1056"/>
      <c r="I464" s="1056"/>
      <c r="J464" s="1056"/>
      <c r="K464" s="1056"/>
      <c r="L464" s="1056"/>
      <c r="M464" s="274"/>
      <c r="P464" s="264"/>
      <c r="Q464" s="264"/>
      <c r="R464" s="264"/>
      <c r="S464" s="264"/>
      <c r="T464" s="1056"/>
      <c r="U464" s="1056"/>
      <c r="V464" s="1056"/>
      <c r="W464" s="1056"/>
      <c r="X464" s="1056"/>
      <c r="Y464" s="1056"/>
      <c r="Z464" s="1056"/>
      <c r="AA464" s="1056"/>
      <c r="AB464" s="1056"/>
      <c r="AC464" s="1056"/>
      <c r="AD464" s="1056"/>
      <c r="AE464" s="1056"/>
      <c r="AF464" s="264"/>
    </row>
    <row r="465" spans="1:32" s="268" customFormat="1" ht="15" x14ac:dyDescent="0.25">
      <c r="A465" s="264"/>
      <c r="B465" s="264"/>
      <c r="C465" s="1056"/>
      <c r="D465" s="1056"/>
      <c r="E465" s="1056"/>
      <c r="F465" s="1056"/>
      <c r="G465" s="1056"/>
      <c r="H465" s="1056"/>
      <c r="I465" s="1056"/>
      <c r="J465" s="1056"/>
      <c r="K465" s="1056"/>
      <c r="L465" s="1056"/>
      <c r="M465" s="274"/>
      <c r="P465" s="264"/>
      <c r="Q465" s="264"/>
      <c r="R465" s="264"/>
      <c r="S465" s="264"/>
      <c r="T465" s="1056"/>
      <c r="U465" s="1056"/>
      <c r="V465" s="1056"/>
      <c r="W465" s="1056"/>
      <c r="X465" s="1056"/>
      <c r="Y465" s="1056"/>
      <c r="Z465" s="1056"/>
      <c r="AA465" s="1056"/>
      <c r="AB465" s="1056"/>
      <c r="AC465" s="1056"/>
      <c r="AD465" s="1056"/>
      <c r="AE465" s="1056"/>
      <c r="AF465" s="264"/>
    </row>
    <row r="466" spans="1:32" s="268" customFormat="1" ht="15" x14ac:dyDescent="0.25">
      <c r="A466" s="264"/>
      <c r="B466" s="264"/>
      <c r="C466" s="1056"/>
      <c r="D466" s="1056"/>
      <c r="E466" s="1056"/>
      <c r="F466" s="1056"/>
      <c r="G466" s="1056"/>
      <c r="H466" s="1056"/>
      <c r="I466" s="1056"/>
      <c r="J466" s="1056"/>
      <c r="K466" s="1056"/>
      <c r="L466" s="1056"/>
      <c r="M466" s="274"/>
      <c r="P466" s="264"/>
      <c r="Q466" s="264"/>
      <c r="R466" s="264"/>
      <c r="S466" s="264"/>
      <c r="T466" s="1056"/>
      <c r="U466" s="1056"/>
      <c r="V466" s="1056"/>
      <c r="W466" s="1056"/>
      <c r="X466" s="1056"/>
      <c r="Y466" s="1056"/>
      <c r="Z466" s="1056"/>
      <c r="AA466" s="1056"/>
      <c r="AB466" s="1056"/>
      <c r="AC466" s="1056"/>
      <c r="AD466" s="1056"/>
      <c r="AE466" s="1056"/>
      <c r="AF466" s="264"/>
    </row>
    <row r="467" spans="1:32" s="268" customFormat="1" ht="15" x14ac:dyDescent="0.25">
      <c r="A467" s="264"/>
      <c r="B467" s="264"/>
      <c r="C467" s="1056"/>
      <c r="D467" s="1056"/>
      <c r="E467" s="1056"/>
      <c r="F467" s="1056"/>
      <c r="G467" s="1056"/>
      <c r="H467" s="1056"/>
      <c r="I467" s="1056"/>
      <c r="J467" s="1056"/>
      <c r="K467" s="1056"/>
      <c r="L467" s="1056"/>
      <c r="M467" s="274"/>
      <c r="P467" s="264"/>
      <c r="Q467" s="264"/>
      <c r="R467" s="264"/>
      <c r="S467" s="264"/>
      <c r="T467" s="1056"/>
      <c r="U467" s="1056"/>
      <c r="V467" s="1056"/>
      <c r="W467" s="1056"/>
      <c r="X467" s="1056"/>
      <c r="Y467" s="1056"/>
      <c r="Z467" s="1056"/>
      <c r="AA467" s="1056"/>
      <c r="AB467" s="1056"/>
      <c r="AC467" s="1056"/>
      <c r="AD467" s="1056"/>
      <c r="AE467" s="1056"/>
      <c r="AF467" s="264"/>
    </row>
    <row r="468" spans="1:32" s="268" customFormat="1" ht="15" x14ac:dyDescent="0.25">
      <c r="A468" s="264"/>
      <c r="B468" s="264"/>
      <c r="C468" s="1056"/>
      <c r="D468" s="1056"/>
      <c r="E468" s="1056"/>
      <c r="F468" s="1056"/>
      <c r="G468" s="1056"/>
      <c r="H468" s="1056"/>
      <c r="I468" s="1056"/>
      <c r="J468" s="1056"/>
      <c r="K468" s="1056"/>
      <c r="L468" s="1056"/>
      <c r="M468" s="274"/>
      <c r="P468" s="264"/>
      <c r="Q468" s="264"/>
      <c r="R468" s="264"/>
      <c r="S468" s="264"/>
      <c r="T468" s="1056"/>
      <c r="U468" s="1056"/>
      <c r="V468" s="1056"/>
      <c r="W468" s="1056"/>
      <c r="X468" s="1056"/>
      <c r="Y468" s="1056"/>
      <c r="Z468" s="1056"/>
      <c r="AA468" s="1056"/>
      <c r="AB468" s="1056"/>
      <c r="AC468" s="1056"/>
      <c r="AD468" s="1056"/>
      <c r="AE468" s="1056"/>
      <c r="AF468" s="264"/>
    </row>
    <row r="469" spans="1:32" s="268" customFormat="1" ht="15" x14ac:dyDescent="0.25">
      <c r="A469" s="264"/>
      <c r="B469" s="264"/>
      <c r="C469" s="1056"/>
      <c r="D469" s="1056"/>
      <c r="E469" s="1056"/>
      <c r="F469" s="1056"/>
      <c r="G469" s="1056"/>
      <c r="H469" s="1056"/>
      <c r="I469" s="1056"/>
      <c r="J469" s="1056"/>
      <c r="K469" s="1056"/>
      <c r="L469" s="1056"/>
      <c r="M469" s="274"/>
      <c r="P469" s="264"/>
      <c r="Q469" s="264"/>
      <c r="R469" s="264"/>
      <c r="S469" s="264"/>
      <c r="T469" s="1056"/>
      <c r="U469" s="1056"/>
      <c r="V469" s="1056"/>
      <c r="W469" s="1056"/>
      <c r="X469" s="1056"/>
      <c r="Y469" s="1056"/>
      <c r="Z469" s="1056"/>
      <c r="AA469" s="1056"/>
      <c r="AB469" s="1056"/>
      <c r="AC469" s="1056"/>
      <c r="AD469" s="1056"/>
      <c r="AE469" s="1056"/>
      <c r="AF469" s="264"/>
    </row>
    <row r="470" spans="1:32" s="268" customFormat="1" ht="15" x14ac:dyDescent="0.25">
      <c r="A470" s="264"/>
      <c r="B470" s="264"/>
      <c r="C470" s="1056"/>
      <c r="D470" s="1056"/>
      <c r="E470" s="1056"/>
      <c r="F470" s="1056"/>
      <c r="G470" s="1056"/>
      <c r="H470" s="1056"/>
      <c r="I470" s="1056"/>
      <c r="J470" s="1056"/>
      <c r="K470" s="1056"/>
      <c r="L470" s="1056"/>
      <c r="M470" s="274"/>
      <c r="P470" s="264"/>
      <c r="Q470" s="264"/>
      <c r="R470" s="264"/>
      <c r="S470" s="264"/>
      <c r="T470" s="1056"/>
      <c r="U470" s="1056"/>
      <c r="V470" s="1056"/>
      <c r="W470" s="1056"/>
      <c r="X470" s="1056"/>
      <c r="Y470" s="1056"/>
      <c r="Z470" s="1056"/>
      <c r="AA470" s="1056"/>
      <c r="AB470" s="1056"/>
      <c r="AC470" s="1056"/>
      <c r="AD470" s="1056"/>
      <c r="AE470" s="1056"/>
      <c r="AF470" s="264"/>
    </row>
    <row r="471" spans="1:32" s="268" customFormat="1" ht="15" x14ac:dyDescent="0.25">
      <c r="A471" s="264"/>
      <c r="B471" s="264"/>
      <c r="C471" s="1056"/>
      <c r="D471" s="1056"/>
      <c r="E471" s="1056"/>
      <c r="F471" s="1056"/>
      <c r="G471" s="1056"/>
      <c r="H471" s="1056"/>
      <c r="I471" s="1056"/>
      <c r="J471" s="1056"/>
      <c r="K471" s="1056"/>
      <c r="L471" s="1056"/>
      <c r="M471" s="274"/>
      <c r="P471" s="264"/>
      <c r="Q471" s="264"/>
      <c r="R471" s="264"/>
      <c r="S471" s="264"/>
      <c r="T471" s="1056"/>
      <c r="U471" s="1056"/>
      <c r="V471" s="1056"/>
      <c r="W471" s="1056"/>
      <c r="X471" s="1056"/>
      <c r="Y471" s="1056"/>
      <c r="Z471" s="1056"/>
      <c r="AA471" s="1056"/>
      <c r="AB471" s="1056"/>
      <c r="AC471" s="1056"/>
      <c r="AD471" s="1056"/>
      <c r="AE471" s="1056"/>
      <c r="AF471" s="264"/>
    </row>
    <row r="472" spans="1:32" s="268" customFormat="1" ht="15" x14ac:dyDescent="0.25">
      <c r="A472" s="264"/>
      <c r="B472" s="264"/>
      <c r="C472" s="1056"/>
      <c r="D472" s="1056"/>
      <c r="E472" s="1056"/>
      <c r="F472" s="1056"/>
      <c r="G472" s="1056"/>
      <c r="H472" s="1056"/>
      <c r="I472" s="1056"/>
      <c r="J472" s="1056"/>
      <c r="K472" s="1056"/>
      <c r="L472" s="1056"/>
      <c r="M472" s="274"/>
      <c r="P472" s="264"/>
      <c r="Q472" s="264"/>
      <c r="R472" s="264"/>
      <c r="S472" s="264"/>
      <c r="T472" s="1056"/>
      <c r="U472" s="1056"/>
      <c r="V472" s="1056"/>
      <c r="W472" s="1056"/>
      <c r="X472" s="1056"/>
      <c r="Y472" s="1056"/>
      <c r="Z472" s="1056"/>
      <c r="AA472" s="1056"/>
      <c r="AB472" s="1056"/>
      <c r="AC472" s="1056"/>
      <c r="AD472" s="1056"/>
      <c r="AE472" s="1056"/>
      <c r="AF472" s="264"/>
    </row>
    <row r="473" spans="1:32" s="268" customFormat="1" ht="15" x14ac:dyDescent="0.25">
      <c r="A473" s="264"/>
      <c r="B473" s="264"/>
      <c r="C473" s="1056"/>
      <c r="D473" s="1056"/>
      <c r="E473" s="1056"/>
      <c r="F473" s="1056"/>
      <c r="G473" s="1056"/>
      <c r="H473" s="1056"/>
      <c r="I473" s="1056"/>
      <c r="J473" s="1056"/>
      <c r="K473" s="1056"/>
      <c r="L473" s="1056"/>
      <c r="M473" s="274"/>
      <c r="P473" s="264"/>
      <c r="Q473" s="264"/>
      <c r="R473" s="264"/>
      <c r="S473" s="264"/>
      <c r="T473" s="1056"/>
      <c r="U473" s="1056"/>
      <c r="V473" s="1056"/>
      <c r="W473" s="1056"/>
      <c r="X473" s="1056"/>
      <c r="Y473" s="1056"/>
      <c r="Z473" s="1056"/>
      <c r="AA473" s="1056"/>
      <c r="AB473" s="1056"/>
      <c r="AC473" s="1056"/>
      <c r="AD473" s="1056"/>
      <c r="AE473" s="1056"/>
      <c r="AF473" s="264"/>
    </row>
    <row r="474" spans="1:32" s="268" customFormat="1" ht="15" x14ac:dyDescent="0.25">
      <c r="A474" s="264"/>
      <c r="B474" s="264"/>
      <c r="C474" s="1056"/>
      <c r="D474" s="1056"/>
      <c r="E474" s="1056"/>
      <c r="F474" s="1056"/>
      <c r="G474" s="1056"/>
      <c r="H474" s="1056"/>
      <c r="I474" s="1056"/>
      <c r="J474" s="1056"/>
      <c r="K474" s="1056"/>
      <c r="L474" s="1056"/>
      <c r="M474" s="274"/>
      <c r="P474" s="264"/>
      <c r="Q474" s="264"/>
      <c r="R474" s="264"/>
      <c r="S474" s="264"/>
      <c r="T474" s="1056"/>
      <c r="U474" s="1056"/>
      <c r="V474" s="1056"/>
      <c r="W474" s="1056"/>
      <c r="X474" s="1056"/>
      <c r="Y474" s="1056"/>
      <c r="Z474" s="1056"/>
      <c r="AA474" s="1056"/>
      <c r="AB474" s="1056"/>
      <c r="AC474" s="1056"/>
      <c r="AD474" s="1056"/>
      <c r="AE474" s="1056"/>
      <c r="AF474" s="264"/>
    </row>
    <row r="475" spans="1:32" s="268" customFormat="1" ht="15" x14ac:dyDescent="0.25">
      <c r="A475" s="264"/>
      <c r="B475" s="264"/>
      <c r="C475" s="1056"/>
      <c r="D475" s="1056"/>
      <c r="E475" s="1056"/>
      <c r="F475" s="1056"/>
      <c r="G475" s="1056"/>
      <c r="H475" s="1056"/>
      <c r="I475" s="1056"/>
      <c r="J475" s="1056"/>
      <c r="K475" s="1056"/>
      <c r="L475" s="1056"/>
      <c r="M475" s="274"/>
      <c r="P475" s="264"/>
      <c r="Q475" s="264"/>
      <c r="R475" s="264"/>
      <c r="S475" s="264"/>
      <c r="T475" s="1056"/>
      <c r="U475" s="1056"/>
      <c r="V475" s="1056"/>
      <c r="W475" s="1056"/>
      <c r="X475" s="1056"/>
      <c r="Y475" s="1056"/>
      <c r="Z475" s="1056"/>
      <c r="AA475" s="1056"/>
      <c r="AB475" s="1056"/>
      <c r="AC475" s="1056"/>
      <c r="AD475" s="1056"/>
      <c r="AE475" s="1056"/>
      <c r="AF475" s="264"/>
    </row>
    <row r="476" spans="1:32" s="268" customFormat="1" ht="15" x14ac:dyDescent="0.25">
      <c r="A476" s="264"/>
      <c r="B476" s="264"/>
      <c r="C476" s="1056"/>
      <c r="D476" s="1056"/>
      <c r="E476" s="1056"/>
      <c r="F476" s="1056"/>
      <c r="G476" s="1056"/>
      <c r="H476" s="1056"/>
      <c r="I476" s="1056"/>
      <c r="J476" s="1056"/>
      <c r="K476" s="1056"/>
      <c r="L476" s="1056"/>
      <c r="M476" s="274"/>
      <c r="P476" s="264"/>
      <c r="Q476" s="264"/>
      <c r="R476" s="264"/>
      <c r="S476" s="264"/>
      <c r="T476" s="1056"/>
      <c r="U476" s="1056"/>
      <c r="V476" s="1056"/>
      <c r="W476" s="1056"/>
      <c r="X476" s="1056"/>
      <c r="Y476" s="1056"/>
      <c r="Z476" s="1056"/>
      <c r="AA476" s="1056"/>
      <c r="AB476" s="1056"/>
      <c r="AC476" s="1056"/>
      <c r="AD476" s="1056"/>
      <c r="AE476" s="1056"/>
      <c r="AF476" s="264"/>
    </row>
    <row r="477" spans="1:32" s="268" customFormat="1" ht="15" x14ac:dyDescent="0.25">
      <c r="A477" s="264"/>
      <c r="B477" s="264"/>
      <c r="C477" s="1056"/>
      <c r="D477" s="1056"/>
      <c r="E477" s="1056"/>
      <c r="F477" s="1056"/>
      <c r="G477" s="1056"/>
      <c r="H477" s="1056"/>
      <c r="I477" s="1056"/>
      <c r="J477" s="1056"/>
      <c r="K477" s="1056"/>
      <c r="L477" s="1056"/>
      <c r="M477" s="274"/>
      <c r="P477" s="264"/>
      <c r="Q477" s="264"/>
      <c r="R477" s="264"/>
      <c r="S477" s="264"/>
      <c r="T477" s="1056"/>
      <c r="U477" s="1056"/>
      <c r="V477" s="1056"/>
      <c r="W477" s="1056"/>
      <c r="X477" s="1056"/>
      <c r="Y477" s="1056"/>
      <c r="Z477" s="1056"/>
      <c r="AA477" s="1056"/>
      <c r="AB477" s="1056"/>
      <c r="AC477" s="1056"/>
      <c r="AD477" s="1056"/>
      <c r="AE477" s="1056"/>
      <c r="AF477" s="264"/>
    </row>
    <row r="478" spans="1:32" s="268" customFormat="1" ht="15" x14ac:dyDescent="0.25">
      <c r="A478" s="264"/>
      <c r="B478" s="264"/>
      <c r="C478" s="1056"/>
      <c r="D478" s="1056"/>
      <c r="E478" s="1056"/>
      <c r="F478" s="1056"/>
      <c r="G478" s="1056"/>
      <c r="H478" s="1056"/>
      <c r="I478" s="1056"/>
      <c r="J478" s="1056"/>
      <c r="K478" s="1056"/>
      <c r="L478" s="1056"/>
      <c r="M478" s="274"/>
      <c r="P478" s="264"/>
      <c r="Q478" s="264"/>
      <c r="R478" s="264"/>
      <c r="S478" s="264"/>
      <c r="T478" s="1056"/>
      <c r="U478" s="1056"/>
      <c r="V478" s="1056"/>
      <c r="W478" s="1056"/>
      <c r="X478" s="1056"/>
      <c r="Y478" s="1056"/>
      <c r="Z478" s="1056"/>
      <c r="AA478" s="1056"/>
      <c r="AB478" s="1056"/>
      <c r="AC478" s="1056"/>
      <c r="AD478" s="1056"/>
      <c r="AE478" s="1056"/>
      <c r="AF478" s="264"/>
    </row>
    <row r="479" spans="1:32" s="268" customFormat="1" ht="15" x14ac:dyDescent="0.25">
      <c r="A479" s="264"/>
      <c r="B479" s="264"/>
      <c r="C479" s="1056"/>
      <c r="D479" s="1056"/>
      <c r="E479" s="1056"/>
      <c r="F479" s="1056"/>
      <c r="G479" s="1056"/>
      <c r="H479" s="1056"/>
      <c r="I479" s="1056"/>
      <c r="J479" s="1056"/>
      <c r="K479" s="1056"/>
      <c r="L479" s="1056"/>
      <c r="M479" s="274"/>
      <c r="P479" s="264"/>
      <c r="Q479" s="264"/>
      <c r="R479" s="264"/>
      <c r="S479" s="264"/>
      <c r="T479" s="1056"/>
      <c r="U479" s="1056"/>
      <c r="V479" s="1056"/>
      <c r="W479" s="1056"/>
      <c r="X479" s="1056"/>
      <c r="Y479" s="1056"/>
      <c r="Z479" s="1056"/>
      <c r="AA479" s="1056"/>
      <c r="AB479" s="1056"/>
      <c r="AC479" s="1056"/>
      <c r="AD479" s="1056"/>
      <c r="AE479" s="1056"/>
      <c r="AF479" s="264"/>
    </row>
    <row r="480" spans="1:32" s="268" customFormat="1" ht="15" x14ac:dyDescent="0.25">
      <c r="A480" s="264"/>
      <c r="B480" s="264"/>
      <c r="C480" s="1056"/>
      <c r="D480" s="1056"/>
      <c r="E480" s="1056"/>
      <c r="F480" s="1056"/>
      <c r="G480" s="1056"/>
      <c r="H480" s="1056"/>
      <c r="I480" s="1056"/>
      <c r="J480" s="1056"/>
      <c r="K480" s="1056"/>
      <c r="L480" s="1056"/>
      <c r="M480" s="274"/>
      <c r="P480" s="264"/>
      <c r="Q480" s="264"/>
      <c r="R480" s="264"/>
      <c r="S480" s="264"/>
      <c r="T480" s="1056"/>
      <c r="U480" s="1056"/>
      <c r="V480" s="1056"/>
      <c r="W480" s="1056"/>
      <c r="X480" s="1056"/>
      <c r="Y480" s="1056"/>
      <c r="Z480" s="1056"/>
      <c r="AA480" s="1056"/>
      <c r="AB480" s="1056"/>
      <c r="AC480" s="1056"/>
      <c r="AD480" s="1056"/>
      <c r="AE480" s="1056"/>
      <c r="AF480" s="264"/>
    </row>
    <row r="481" spans="1:32" s="268" customFormat="1" ht="15" x14ac:dyDescent="0.25">
      <c r="A481" s="264"/>
      <c r="B481" s="264"/>
      <c r="C481" s="1056"/>
      <c r="D481" s="1056"/>
      <c r="E481" s="1056"/>
      <c r="F481" s="1056"/>
      <c r="G481" s="1056"/>
      <c r="H481" s="1056"/>
      <c r="I481" s="1056"/>
      <c r="J481" s="1056"/>
      <c r="K481" s="1056"/>
      <c r="L481" s="1056"/>
      <c r="M481" s="274"/>
      <c r="P481" s="264"/>
      <c r="Q481" s="264"/>
      <c r="R481" s="264"/>
      <c r="S481" s="264"/>
      <c r="T481" s="1056"/>
      <c r="U481" s="1056"/>
      <c r="V481" s="1056"/>
      <c r="W481" s="1056"/>
      <c r="X481" s="1056"/>
      <c r="Y481" s="1056"/>
      <c r="Z481" s="1056"/>
      <c r="AA481" s="1056"/>
      <c r="AB481" s="1056"/>
      <c r="AC481" s="1056"/>
      <c r="AD481" s="1056"/>
      <c r="AE481" s="1056"/>
      <c r="AF481" s="264"/>
    </row>
    <row r="482" spans="1:32" s="268" customFormat="1" ht="15" x14ac:dyDescent="0.25">
      <c r="A482" s="264"/>
      <c r="B482" s="264"/>
      <c r="C482" s="1056"/>
      <c r="D482" s="1056"/>
      <c r="E482" s="1056"/>
      <c r="F482" s="1056"/>
      <c r="G482" s="1056"/>
      <c r="H482" s="1056"/>
      <c r="I482" s="1056"/>
      <c r="J482" s="1056"/>
      <c r="K482" s="1056"/>
      <c r="L482" s="1056"/>
      <c r="M482" s="274"/>
      <c r="P482" s="264"/>
      <c r="Q482" s="264"/>
      <c r="R482" s="264"/>
      <c r="S482" s="264"/>
      <c r="T482" s="1056"/>
      <c r="U482" s="1056"/>
      <c r="V482" s="1056"/>
      <c r="W482" s="1056"/>
      <c r="X482" s="1056"/>
      <c r="Y482" s="1056"/>
      <c r="Z482" s="1056"/>
      <c r="AA482" s="1056"/>
      <c r="AB482" s="1056"/>
      <c r="AC482" s="1056"/>
      <c r="AD482" s="1056"/>
      <c r="AE482" s="1056"/>
      <c r="AF482" s="264"/>
    </row>
    <row r="483" spans="1:32" s="268" customFormat="1" ht="15" x14ac:dyDescent="0.25">
      <c r="A483" s="264"/>
      <c r="B483" s="264"/>
      <c r="C483" s="1056"/>
      <c r="D483" s="1056"/>
      <c r="E483" s="1056"/>
      <c r="F483" s="1056"/>
      <c r="G483" s="1056"/>
      <c r="H483" s="1056"/>
      <c r="I483" s="1056"/>
      <c r="J483" s="1056"/>
      <c r="K483" s="1056"/>
      <c r="L483" s="1056"/>
      <c r="M483" s="274"/>
      <c r="P483" s="264"/>
      <c r="Q483" s="264"/>
      <c r="R483" s="264"/>
      <c r="S483" s="264"/>
      <c r="T483" s="1056"/>
      <c r="U483" s="1056"/>
      <c r="V483" s="1056"/>
      <c r="W483" s="1056"/>
      <c r="X483" s="1056"/>
      <c r="Y483" s="1056"/>
      <c r="Z483" s="1056"/>
      <c r="AA483" s="1056"/>
      <c r="AB483" s="1056"/>
      <c r="AC483" s="1056"/>
      <c r="AD483" s="1056"/>
      <c r="AE483" s="1056"/>
      <c r="AF483" s="264"/>
    </row>
    <row r="484" spans="1:32" s="268" customFormat="1" ht="15" x14ac:dyDescent="0.25">
      <c r="A484" s="264"/>
      <c r="B484" s="264"/>
      <c r="C484" s="1056"/>
      <c r="D484" s="1056"/>
      <c r="E484" s="1056"/>
      <c r="F484" s="1056"/>
      <c r="G484" s="1056"/>
      <c r="H484" s="1056"/>
      <c r="I484" s="1056"/>
      <c r="J484" s="1056"/>
      <c r="K484" s="1056"/>
      <c r="L484" s="1056"/>
      <c r="M484" s="274"/>
      <c r="P484" s="264"/>
      <c r="Q484" s="264"/>
      <c r="R484" s="264"/>
      <c r="S484" s="264"/>
      <c r="T484" s="1056"/>
      <c r="U484" s="1056"/>
      <c r="V484" s="1056"/>
      <c r="W484" s="1056"/>
      <c r="X484" s="1056"/>
      <c r="Y484" s="1056"/>
      <c r="Z484" s="1056"/>
      <c r="AA484" s="1056"/>
      <c r="AB484" s="1056"/>
      <c r="AC484" s="1056"/>
      <c r="AD484" s="1056"/>
      <c r="AE484" s="1056"/>
      <c r="AF484" s="264"/>
    </row>
    <row r="485" spans="1:32" s="268" customFormat="1" ht="15" x14ac:dyDescent="0.25">
      <c r="A485" s="264"/>
      <c r="B485" s="264"/>
      <c r="C485" s="1056"/>
      <c r="D485" s="1056"/>
      <c r="E485" s="1056"/>
      <c r="F485" s="1056"/>
      <c r="G485" s="1056"/>
      <c r="H485" s="1056"/>
      <c r="I485" s="1056"/>
      <c r="J485" s="1056"/>
      <c r="K485" s="1056"/>
      <c r="L485" s="1056"/>
      <c r="M485" s="274"/>
      <c r="P485" s="264"/>
      <c r="Q485" s="264"/>
      <c r="R485" s="264"/>
      <c r="S485" s="264"/>
      <c r="T485" s="1056"/>
      <c r="U485" s="1056"/>
      <c r="V485" s="1056"/>
      <c r="W485" s="1056"/>
      <c r="X485" s="1056"/>
      <c r="Y485" s="1056"/>
      <c r="Z485" s="1056"/>
      <c r="AA485" s="1056"/>
      <c r="AB485" s="1056"/>
      <c r="AC485" s="1056"/>
      <c r="AD485" s="1056"/>
      <c r="AE485" s="1056"/>
      <c r="AF485" s="264"/>
    </row>
    <row r="486" spans="1:32" s="268" customFormat="1" ht="15" x14ac:dyDescent="0.25">
      <c r="A486" s="264"/>
      <c r="B486" s="264"/>
      <c r="C486" s="1056"/>
      <c r="D486" s="1056"/>
      <c r="E486" s="1056"/>
      <c r="F486" s="1056"/>
      <c r="G486" s="1056"/>
      <c r="H486" s="1056"/>
      <c r="I486" s="1056"/>
      <c r="J486" s="1056"/>
      <c r="K486" s="1056"/>
      <c r="L486" s="1056"/>
      <c r="M486" s="274"/>
      <c r="P486" s="264"/>
      <c r="Q486" s="264"/>
      <c r="R486" s="264"/>
      <c r="S486" s="264"/>
      <c r="T486" s="1056"/>
      <c r="U486" s="1056"/>
      <c r="V486" s="1056"/>
      <c r="W486" s="1056"/>
      <c r="X486" s="1056"/>
      <c r="Y486" s="1056"/>
      <c r="Z486" s="1056"/>
      <c r="AA486" s="1056"/>
      <c r="AB486" s="1056"/>
      <c r="AC486" s="1056"/>
      <c r="AD486" s="1056"/>
      <c r="AE486" s="1056"/>
      <c r="AF486" s="264"/>
    </row>
    <row r="487" spans="1:32" s="268" customFormat="1" ht="15" x14ac:dyDescent="0.25">
      <c r="A487" s="264"/>
      <c r="B487" s="264"/>
      <c r="C487" s="1056"/>
      <c r="D487" s="1056"/>
      <c r="E487" s="1056"/>
      <c r="F487" s="1056"/>
      <c r="G487" s="1056"/>
      <c r="H487" s="1056"/>
      <c r="I487" s="1056"/>
      <c r="J487" s="1056"/>
      <c r="K487" s="1056"/>
      <c r="L487" s="1056"/>
      <c r="M487" s="274"/>
      <c r="P487" s="264"/>
      <c r="Q487" s="264"/>
      <c r="R487" s="264"/>
      <c r="S487" s="264"/>
      <c r="T487" s="1056"/>
      <c r="U487" s="1056"/>
      <c r="V487" s="1056"/>
      <c r="W487" s="1056"/>
      <c r="X487" s="1056"/>
      <c r="Y487" s="1056"/>
      <c r="Z487" s="1056"/>
      <c r="AA487" s="1056"/>
      <c r="AB487" s="1056"/>
      <c r="AC487" s="1056"/>
      <c r="AD487" s="1056"/>
      <c r="AE487" s="1056"/>
      <c r="AF487" s="264"/>
    </row>
    <row r="488" spans="1:32" s="268" customFormat="1" ht="15" x14ac:dyDescent="0.25">
      <c r="A488" s="264"/>
      <c r="B488" s="264"/>
      <c r="C488" s="1056"/>
      <c r="D488" s="1056"/>
      <c r="E488" s="1056"/>
      <c r="F488" s="1056"/>
      <c r="G488" s="1056"/>
      <c r="H488" s="1056"/>
      <c r="I488" s="1056"/>
      <c r="J488" s="1056"/>
      <c r="K488" s="1056"/>
      <c r="L488" s="1056"/>
      <c r="M488" s="274"/>
      <c r="P488" s="264"/>
      <c r="Q488" s="264"/>
      <c r="R488" s="264"/>
      <c r="S488" s="264"/>
      <c r="T488" s="1056"/>
      <c r="U488" s="1056"/>
      <c r="V488" s="1056"/>
      <c r="W488" s="1056"/>
      <c r="X488" s="1056"/>
      <c r="Y488" s="1056"/>
      <c r="Z488" s="1056"/>
      <c r="AA488" s="1056"/>
      <c r="AB488" s="1056"/>
      <c r="AC488" s="1056"/>
      <c r="AD488" s="1056"/>
      <c r="AE488" s="1056"/>
      <c r="AF488" s="264"/>
    </row>
    <row r="489" spans="1:32" s="268" customFormat="1" ht="15" x14ac:dyDescent="0.25">
      <c r="A489" s="264"/>
      <c r="B489" s="264"/>
      <c r="C489" s="1056"/>
      <c r="D489" s="1056"/>
      <c r="E489" s="1056"/>
      <c r="F489" s="1056"/>
      <c r="G489" s="1056"/>
      <c r="H489" s="1056"/>
      <c r="I489" s="1056"/>
      <c r="J489" s="1056"/>
      <c r="K489" s="1056"/>
      <c r="L489" s="1056"/>
      <c r="M489" s="274"/>
      <c r="P489" s="264"/>
      <c r="Q489" s="264"/>
      <c r="R489" s="264"/>
      <c r="S489" s="264"/>
      <c r="T489" s="1056"/>
      <c r="U489" s="1056"/>
      <c r="V489" s="1056"/>
      <c r="W489" s="1056"/>
      <c r="X489" s="1056"/>
      <c r="Y489" s="1056"/>
      <c r="Z489" s="1056"/>
      <c r="AA489" s="1056"/>
      <c r="AB489" s="1056"/>
      <c r="AC489" s="1056"/>
      <c r="AD489" s="1056"/>
      <c r="AE489" s="1056"/>
      <c r="AF489" s="264"/>
    </row>
    <row r="490" spans="1:32" s="268" customFormat="1" ht="15" x14ac:dyDescent="0.25">
      <c r="A490" s="264"/>
      <c r="B490" s="264"/>
      <c r="C490" s="1056"/>
      <c r="D490" s="1056"/>
      <c r="E490" s="1056"/>
      <c r="F490" s="1056"/>
      <c r="G490" s="1056"/>
      <c r="H490" s="1056"/>
      <c r="I490" s="1056"/>
      <c r="J490" s="1056"/>
      <c r="K490" s="1056"/>
      <c r="L490" s="1056"/>
      <c r="M490" s="274"/>
      <c r="P490" s="264"/>
      <c r="Q490" s="264"/>
      <c r="R490" s="264"/>
      <c r="S490" s="264"/>
      <c r="T490" s="1056"/>
      <c r="U490" s="1056"/>
      <c r="V490" s="1056"/>
      <c r="W490" s="1056"/>
      <c r="X490" s="1056"/>
      <c r="Y490" s="1056"/>
      <c r="Z490" s="1056"/>
      <c r="AA490" s="1056"/>
      <c r="AB490" s="1056"/>
      <c r="AC490" s="1056"/>
      <c r="AD490" s="1056"/>
      <c r="AE490" s="1056"/>
      <c r="AF490" s="264"/>
    </row>
    <row r="491" spans="1:32" s="268" customFormat="1" ht="15" x14ac:dyDescent="0.25">
      <c r="A491" s="264"/>
      <c r="B491" s="264"/>
      <c r="C491" s="1056"/>
      <c r="D491" s="1056"/>
      <c r="E491" s="1056"/>
      <c r="F491" s="1056"/>
      <c r="G491" s="1056"/>
      <c r="H491" s="1056"/>
      <c r="I491" s="1056"/>
      <c r="J491" s="1056"/>
      <c r="K491" s="1056"/>
      <c r="L491" s="1056"/>
      <c r="M491" s="274"/>
      <c r="P491" s="264"/>
      <c r="Q491" s="264"/>
      <c r="R491" s="264"/>
      <c r="S491" s="264"/>
      <c r="T491" s="1056"/>
      <c r="U491" s="1056"/>
      <c r="V491" s="1056"/>
      <c r="W491" s="1056"/>
      <c r="X491" s="1056"/>
      <c r="Y491" s="1056"/>
      <c r="Z491" s="1056"/>
      <c r="AA491" s="1056"/>
      <c r="AB491" s="1056"/>
      <c r="AC491" s="1056"/>
      <c r="AD491" s="1056"/>
      <c r="AE491" s="1056"/>
      <c r="AF491" s="264"/>
    </row>
    <row r="492" spans="1:32" s="268" customFormat="1" ht="15" x14ac:dyDescent="0.25">
      <c r="A492" s="264"/>
      <c r="B492" s="264"/>
      <c r="C492" s="1056"/>
      <c r="D492" s="1056"/>
      <c r="E492" s="1056"/>
      <c r="F492" s="1056"/>
      <c r="G492" s="1056"/>
      <c r="H492" s="1056"/>
      <c r="I492" s="1056"/>
      <c r="J492" s="1056"/>
      <c r="K492" s="1056"/>
      <c r="L492" s="1056"/>
      <c r="M492" s="274"/>
      <c r="P492" s="264"/>
      <c r="Q492" s="264"/>
      <c r="R492" s="264"/>
      <c r="S492" s="264"/>
      <c r="T492" s="1056"/>
      <c r="U492" s="1056"/>
      <c r="V492" s="1056"/>
      <c r="W492" s="1056"/>
      <c r="X492" s="1056"/>
      <c r="Y492" s="1056"/>
      <c r="Z492" s="1056"/>
      <c r="AA492" s="1056"/>
      <c r="AB492" s="1056"/>
      <c r="AC492" s="1056"/>
      <c r="AD492" s="1056"/>
      <c r="AE492" s="1056"/>
      <c r="AF492" s="264"/>
    </row>
    <row r="493" spans="1:32" s="268" customFormat="1" ht="15" x14ac:dyDescent="0.25">
      <c r="A493" s="264"/>
      <c r="B493" s="264"/>
      <c r="C493" s="1056"/>
      <c r="D493" s="1056"/>
      <c r="E493" s="1056"/>
      <c r="F493" s="1056"/>
      <c r="G493" s="1056"/>
      <c r="H493" s="1056"/>
      <c r="I493" s="1056"/>
      <c r="J493" s="1056"/>
      <c r="K493" s="1056"/>
      <c r="L493" s="1056"/>
      <c r="M493" s="274"/>
      <c r="P493" s="264"/>
      <c r="Q493" s="264"/>
      <c r="R493" s="264"/>
      <c r="S493" s="264"/>
      <c r="T493" s="1056"/>
      <c r="U493" s="1056"/>
      <c r="V493" s="1056"/>
      <c r="W493" s="1056"/>
      <c r="X493" s="1056"/>
      <c r="Y493" s="1056"/>
      <c r="Z493" s="1056"/>
      <c r="AA493" s="1056"/>
      <c r="AB493" s="1056"/>
      <c r="AC493" s="1056"/>
      <c r="AD493" s="1056"/>
      <c r="AE493" s="1056"/>
      <c r="AF493" s="264"/>
    </row>
    <row r="494" spans="1:32" s="268" customFormat="1" ht="15" x14ac:dyDescent="0.25">
      <c r="A494" s="264"/>
      <c r="B494" s="264"/>
      <c r="C494" s="1056"/>
      <c r="D494" s="1056"/>
      <c r="E494" s="1056"/>
      <c r="F494" s="1056"/>
      <c r="G494" s="1056"/>
      <c r="H494" s="1056"/>
      <c r="I494" s="1056"/>
      <c r="J494" s="1056"/>
      <c r="K494" s="1056"/>
      <c r="L494" s="1056"/>
      <c r="M494" s="274"/>
      <c r="P494" s="264"/>
      <c r="Q494" s="264"/>
      <c r="R494" s="264"/>
      <c r="S494" s="264"/>
      <c r="T494" s="1056"/>
      <c r="U494" s="1056"/>
      <c r="V494" s="1056"/>
      <c r="W494" s="1056"/>
      <c r="X494" s="1056"/>
      <c r="Y494" s="1056"/>
      <c r="Z494" s="1056"/>
      <c r="AA494" s="1056"/>
      <c r="AB494" s="1056"/>
      <c r="AC494" s="1056"/>
      <c r="AD494" s="1056"/>
      <c r="AE494" s="1056"/>
      <c r="AF494" s="264"/>
    </row>
    <row r="495" spans="1:32" s="268" customFormat="1" ht="15" x14ac:dyDescent="0.25">
      <c r="A495" s="264"/>
      <c r="B495" s="264"/>
      <c r="C495" s="1056"/>
      <c r="D495" s="1056"/>
      <c r="E495" s="1056"/>
      <c r="F495" s="1056"/>
      <c r="G495" s="1056"/>
      <c r="H495" s="1056"/>
      <c r="I495" s="1056"/>
      <c r="J495" s="1056"/>
      <c r="K495" s="1056"/>
      <c r="L495" s="1056"/>
      <c r="M495" s="274"/>
      <c r="P495" s="264"/>
      <c r="Q495" s="264"/>
      <c r="R495" s="264"/>
      <c r="S495" s="264"/>
      <c r="T495" s="1056"/>
      <c r="U495" s="1056"/>
      <c r="V495" s="1056"/>
      <c r="W495" s="1056"/>
      <c r="X495" s="1056"/>
      <c r="Y495" s="1056"/>
      <c r="Z495" s="1056"/>
      <c r="AA495" s="1056"/>
      <c r="AB495" s="1056"/>
      <c r="AC495" s="1056"/>
      <c r="AD495" s="1056"/>
      <c r="AE495" s="1056"/>
      <c r="AF495" s="264"/>
    </row>
    <row r="496" spans="1:32" s="268" customFormat="1" ht="15" x14ac:dyDescent="0.25">
      <c r="A496" s="264"/>
      <c r="B496" s="264"/>
      <c r="C496" s="1056"/>
      <c r="D496" s="1056"/>
      <c r="E496" s="1056"/>
      <c r="F496" s="1056"/>
      <c r="G496" s="1056"/>
      <c r="H496" s="1056"/>
      <c r="I496" s="1056"/>
      <c r="J496" s="1056"/>
      <c r="K496" s="1056"/>
      <c r="L496" s="1056"/>
      <c r="M496" s="274"/>
      <c r="P496" s="264"/>
      <c r="Q496" s="264"/>
      <c r="R496" s="264"/>
      <c r="S496" s="264"/>
      <c r="T496" s="1056"/>
      <c r="U496" s="1056"/>
      <c r="V496" s="1056"/>
      <c r="W496" s="1056"/>
      <c r="X496" s="1056"/>
      <c r="Y496" s="1056"/>
      <c r="Z496" s="1056"/>
      <c r="AA496" s="1056"/>
      <c r="AB496" s="1056"/>
      <c r="AC496" s="1056"/>
      <c r="AD496" s="1056"/>
      <c r="AE496" s="1056"/>
      <c r="AF496" s="264"/>
    </row>
    <row r="497" spans="1:32" s="268" customFormat="1" ht="15" x14ac:dyDescent="0.25">
      <c r="A497" s="264"/>
      <c r="B497" s="264"/>
      <c r="C497" s="1056"/>
      <c r="D497" s="1056"/>
      <c r="E497" s="1056"/>
      <c r="F497" s="1056"/>
      <c r="G497" s="1056"/>
      <c r="H497" s="1056"/>
      <c r="I497" s="1056"/>
      <c r="J497" s="1056"/>
      <c r="K497" s="1056"/>
      <c r="L497" s="1056"/>
      <c r="M497" s="274"/>
      <c r="P497" s="264"/>
      <c r="Q497" s="264"/>
      <c r="R497" s="264"/>
      <c r="S497" s="264"/>
      <c r="T497" s="1056"/>
      <c r="U497" s="1056"/>
      <c r="V497" s="1056"/>
      <c r="W497" s="1056"/>
      <c r="X497" s="1056"/>
      <c r="Y497" s="1056"/>
      <c r="Z497" s="1056"/>
      <c r="AA497" s="1056"/>
      <c r="AB497" s="1056"/>
      <c r="AC497" s="1056"/>
      <c r="AD497" s="1056"/>
      <c r="AE497" s="1056"/>
      <c r="AF497" s="264"/>
    </row>
    <row r="498" spans="1:32" s="268" customFormat="1" ht="15" x14ac:dyDescent="0.25">
      <c r="A498" s="264"/>
      <c r="B498" s="264"/>
      <c r="C498" s="1056"/>
      <c r="D498" s="1056"/>
      <c r="E498" s="1056"/>
      <c r="F498" s="1056"/>
      <c r="G498" s="1056"/>
      <c r="H498" s="1056"/>
      <c r="I498" s="1056"/>
      <c r="J498" s="1056"/>
      <c r="K498" s="1056"/>
      <c r="L498" s="1056"/>
      <c r="M498" s="274"/>
      <c r="P498" s="264"/>
      <c r="Q498" s="264"/>
      <c r="R498" s="264"/>
      <c r="S498" s="264"/>
      <c r="T498" s="1056"/>
      <c r="U498" s="1056"/>
      <c r="V498" s="1056"/>
      <c r="W498" s="1056"/>
      <c r="X498" s="1056"/>
      <c r="Y498" s="1056"/>
      <c r="Z498" s="1056"/>
      <c r="AA498" s="1056"/>
      <c r="AB498" s="1056"/>
      <c r="AC498" s="1056"/>
      <c r="AD498" s="1056"/>
      <c r="AE498" s="1056"/>
      <c r="AF498" s="264"/>
    </row>
    <row r="499" spans="1:32" s="268" customFormat="1" ht="15" x14ac:dyDescent="0.25">
      <c r="A499" s="264"/>
      <c r="B499" s="264"/>
      <c r="C499" s="1056"/>
      <c r="D499" s="1056"/>
      <c r="E499" s="1056"/>
      <c r="F499" s="1056"/>
      <c r="G499" s="1056"/>
      <c r="H499" s="1056"/>
      <c r="I499" s="1056"/>
      <c r="J499" s="1056"/>
      <c r="K499" s="1056"/>
      <c r="L499" s="1056"/>
      <c r="M499" s="274"/>
      <c r="P499" s="264"/>
      <c r="Q499" s="264"/>
      <c r="R499" s="264"/>
      <c r="S499" s="264"/>
      <c r="T499" s="1056"/>
      <c r="U499" s="1056"/>
      <c r="V499" s="1056"/>
      <c r="W499" s="1056"/>
      <c r="X499" s="1056"/>
      <c r="Y499" s="1056"/>
      <c r="Z499" s="1056"/>
      <c r="AA499" s="1056"/>
      <c r="AB499" s="1056"/>
      <c r="AC499" s="1056"/>
      <c r="AD499" s="1056"/>
      <c r="AE499" s="1056"/>
      <c r="AF499" s="264"/>
    </row>
    <row r="500" spans="1:32" s="268" customFormat="1" ht="15" x14ac:dyDescent="0.25">
      <c r="A500" s="264"/>
      <c r="B500" s="264"/>
      <c r="C500" s="1056"/>
      <c r="D500" s="1056"/>
      <c r="E500" s="1056"/>
      <c r="F500" s="1056"/>
      <c r="G500" s="1056"/>
      <c r="H500" s="1056"/>
      <c r="I500" s="1056"/>
      <c r="J500" s="1056"/>
      <c r="K500" s="1056"/>
      <c r="L500" s="1056"/>
      <c r="M500" s="274"/>
      <c r="P500" s="264"/>
      <c r="Q500" s="264"/>
      <c r="R500" s="264"/>
      <c r="S500" s="264"/>
      <c r="T500" s="1056"/>
      <c r="U500" s="1056"/>
      <c r="V500" s="1056"/>
      <c r="W500" s="1056"/>
      <c r="X500" s="1056"/>
      <c r="Y500" s="1056"/>
      <c r="Z500" s="1056"/>
      <c r="AA500" s="1056"/>
      <c r="AB500" s="1056"/>
      <c r="AC500" s="1056"/>
      <c r="AD500" s="1056"/>
      <c r="AE500" s="1056"/>
      <c r="AF500" s="264"/>
    </row>
    <row r="501" spans="1:32" s="268" customFormat="1" ht="15" x14ac:dyDescent="0.25">
      <c r="A501" s="264"/>
      <c r="B501" s="264"/>
      <c r="C501" s="1056"/>
      <c r="D501" s="1056"/>
      <c r="E501" s="1056"/>
      <c r="F501" s="1056"/>
      <c r="G501" s="1056"/>
      <c r="H501" s="1056"/>
      <c r="I501" s="1056"/>
      <c r="J501" s="1056"/>
      <c r="K501" s="1056"/>
      <c r="L501" s="1056"/>
      <c r="M501" s="274"/>
      <c r="P501" s="264"/>
      <c r="Q501" s="264"/>
      <c r="R501" s="264"/>
      <c r="S501" s="264"/>
      <c r="T501" s="1056"/>
      <c r="U501" s="1056"/>
      <c r="V501" s="1056"/>
      <c r="W501" s="1056"/>
      <c r="X501" s="1056"/>
      <c r="Y501" s="1056"/>
      <c r="Z501" s="1056"/>
      <c r="AA501" s="1056"/>
      <c r="AB501" s="1056"/>
      <c r="AC501" s="1056"/>
      <c r="AD501" s="1056"/>
      <c r="AE501" s="1056"/>
      <c r="AF501" s="264"/>
    </row>
    <row r="502" spans="1:32" s="268" customFormat="1" ht="15" x14ac:dyDescent="0.25">
      <c r="A502" s="264"/>
      <c r="B502" s="264"/>
      <c r="C502" s="1056"/>
      <c r="D502" s="1056"/>
      <c r="E502" s="1056"/>
      <c r="F502" s="1056"/>
      <c r="G502" s="1056"/>
      <c r="H502" s="1056"/>
      <c r="I502" s="1056"/>
      <c r="J502" s="1056"/>
      <c r="K502" s="1056"/>
      <c r="L502" s="1056"/>
      <c r="M502" s="274"/>
      <c r="P502" s="264"/>
      <c r="Q502" s="264"/>
      <c r="R502" s="264"/>
      <c r="S502" s="264"/>
      <c r="T502" s="1056"/>
      <c r="U502" s="1056"/>
      <c r="V502" s="1056"/>
      <c r="W502" s="1056"/>
      <c r="X502" s="1056"/>
      <c r="Y502" s="1056"/>
      <c r="Z502" s="1056"/>
      <c r="AA502" s="1056"/>
      <c r="AB502" s="1056"/>
      <c r="AC502" s="1056"/>
      <c r="AD502" s="1056"/>
      <c r="AE502" s="1056"/>
      <c r="AF502" s="264"/>
    </row>
    <row r="503" spans="1:32" s="268" customFormat="1" ht="15" x14ac:dyDescent="0.25">
      <c r="A503" s="264"/>
      <c r="B503" s="264"/>
      <c r="C503" s="1056"/>
      <c r="D503" s="1056"/>
      <c r="E503" s="1056"/>
      <c r="F503" s="1056"/>
      <c r="G503" s="1056"/>
      <c r="H503" s="1056"/>
      <c r="I503" s="1056"/>
      <c r="J503" s="1056"/>
      <c r="K503" s="1056"/>
      <c r="L503" s="1056"/>
      <c r="M503" s="274"/>
      <c r="P503" s="264"/>
      <c r="Q503" s="264"/>
      <c r="R503" s="264"/>
      <c r="S503" s="264"/>
      <c r="T503" s="1056"/>
      <c r="U503" s="1056"/>
      <c r="V503" s="1056"/>
      <c r="W503" s="1056"/>
      <c r="X503" s="1056"/>
      <c r="Y503" s="1056"/>
      <c r="Z503" s="1056"/>
      <c r="AA503" s="1056"/>
      <c r="AB503" s="1056"/>
      <c r="AC503" s="1056"/>
      <c r="AD503" s="1056"/>
      <c r="AE503" s="1056"/>
      <c r="AF503" s="264"/>
    </row>
    <row r="504" spans="1:32" s="268" customFormat="1" ht="15" x14ac:dyDescent="0.25">
      <c r="A504" s="264"/>
      <c r="B504" s="264"/>
      <c r="C504" s="1056"/>
      <c r="D504" s="1056"/>
      <c r="E504" s="1056"/>
      <c r="F504" s="1056"/>
      <c r="G504" s="1056"/>
      <c r="H504" s="1056"/>
      <c r="I504" s="1056"/>
      <c r="J504" s="1056"/>
      <c r="K504" s="1056"/>
      <c r="L504" s="1056"/>
      <c r="M504" s="274"/>
      <c r="P504" s="264"/>
      <c r="Q504" s="264"/>
      <c r="R504" s="264"/>
      <c r="S504" s="264"/>
      <c r="T504" s="1056"/>
      <c r="U504" s="1056"/>
      <c r="V504" s="1056"/>
      <c r="W504" s="1056"/>
      <c r="X504" s="1056"/>
      <c r="Y504" s="1056"/>
      <c r="Z504" s="1056"/>
      <c r="AA504" s="1056"/>
      <c r="AB504" s="1056"/>
      <c r="AC504" s="1056"/>
      <c r="AD504" s="1056"/>
      <c r="AE504" s="1056"/>
      <c r="AF504" s="264"/>
    </row>
    <row r="505" spans="1:32" s="268" customFormat="1" ht="15" x14ac:dyDescent="0.25">
      <c r="A505" s="264"/>
      <c r="B505" s="264"/>
      <c r="C505" s="1056"/>
      <c r="D505" s="1056"/>
      <c r="E505" s="1056"/>
      <c r="F505" s="1056"/>
      <c r="G505" s="1056"/>
      <c r="H505" s="1056"/>
      <c r="I505" s="1056"/>
      <c r="J505" s="1056"/>
      <c r="K505" s="1056"/>
      <c r="L505" s="1056"/>
      <c r="M505" s="274"/>
      <c r="P505" s="264"/>
      <c r="Q505" s="264"/>
      <c r="R505" s="264"/>
      <c r="S505" s="264"/>
      <c r="T505" s="1056"/>
      <c r="U505" s="1056"/>
      <c r="V505" s="1056"/>
      <c r="W505" s="1056"/>
      <c r="X505" s="1056"/>
      <c r="Y505" s="1056"/>
      <c r="Z505" s="1056"/>
      <c r="AA505" s="1056"/>
      <c r="AB505" s="1056"/>
      <c r="AC505" s="1056"/>
      <c r="AD505" s="1056"/>
      <c r="AE505" s="1056"/>
      <c r="AF505" s="264"/>
    </row>
    <row r="506" spans="1:32" s="268" customFormat="1" ht="15" x14ac:dyDescent="0.25">
      <c r="A506" s="264"/>
      <c r="B506" s="264"/>
      <c r="C506" s="1056"/>
      <c r="D506" s="1056"/>
      <c r="E506" s="1056"/>
      <c r="F506" s="1056"/>
      <c r="G506" s="1056"/>
      <c r="H506" s="1056"/>
      <c r="I506" s="1056"/>
      <c r="J506" s="1056"/>
      <c r="K506" s="1056"/>
      <c r="L506" s="1056"/>
      <c r="M506" s="274"/>
      <c r="P506" s="264"/>
      <c r="Q506" s="264"/>
      <c r="R506" s="264"/>
      <c r="S506" s="264"/>
      <c r="T506" s="1056"/>
      <c r="U506" s="1056"/>
      <c r="V506" s="1056"/>
      <c r="W506" s="1056"/>
      <c r="X506" s="1056"/>
      <c r="Y506" s="1056"/>
      <c r="Z506" s="1056"/>
      <c r="AA506" s="1056"/>
      <c r="AB506" s="1056"/>
      <c r="AC506" s="1056"/>
      <c r="AD506" s="1056"/>
      <c r="AE506" s="1056"/>
      <c r="AF506" s="264"/>
    </row>
    <row r="507" spans="1:32" s="268" customFormat="1" ht="15" x14ac:dyDescent="0.25">
      <c r="A507" s="264"/>
      <c r="B507" s="264"/>
      <c r="C507" s="1056"/>
      <c r="D507" s="1056"/>
      <c r="E507" s="1056"/>
      <c r="F507" s="1056"/>
      <c r="G507" s="1056"/>
      <c r="H507" s="1056"/>
      <c r="I507" s="1056"/>
      <c r="J507" s="1056"/>
      <c r="K507" s="1056"/>
      <c r="L507" s="1056"/>
      <c r="M507" s="274"/>
      <c r="P507" s="264"/>
      <c r="Q507" s="264"/>
      <c r="R507" s="264"/>
      <c r="S507" s="264"/>
      <c r="T507" s="1056"/>
      <c r="U507" s="1056"/>
      <c r="V507" s="1056"/>
      <c r="W507" s="1056"/>
      <c r="X507" s="1056"/>
      <c r="Y507" s="1056"/>
      <c r="Z507" s="1056"/>
      <c r="AA507" s="1056"/>
      <c r="AB507" s="1056"/>
      <c r="AC507" s="1056"/>
      <c r="AD507" s="1056"/>
      <c r="AE507" s="1056"/>
      <c r="AF507" s="264"/>
    </row>
    <row r="508" spans="1:32" s="268" customFormat="1" ht="15" x14ac:dyDescent="0.25">
      <c r="A508" s="264"/>
      <c r="B508" s="264"/>
      <c r="C508" s="1056"/>
      <c r="D508" s="1056"/>
      <c r="E508" s="1056"/>
      <c r="F508" s="1056"/>
      <c r="G508" s="1056"/>
      <c r="H508" s="1056"/>
      <c r="I508" s="1056"/>
      <c r="J508" s="1056"/>
      <c r="K508" s="1056"/>
      <c r="L508" s="1056"/>
      <c r="M508" s="274"/>
      <c r="P508" s="264"/>
      <c r="Q508" s="264"/>
      <c r="R508" s="264"/>
      <c r="S508" s="264"/>
      <c r="T508" s="1056"/>
      <c r="U508" s="1056"/>
      <c r="V508" s="1056"/>
      <c r="W508" s="1056"/>
      <c r="X508" s="1056"/>
      <c r="Y508" s="1056"/>
      <c r="Z508" s="1056"/>
      <c r="AA508" s="1056"/>
      <c r="AB508" s="1056"/>
      <c r="AC508" s="1056"/>
      <c r="AD508" s="1056"/>
      <c r="AE508" s="1056"/>
      <c r="AF508" s="264"/>
    </row>
    <row r="509" spans="1:32" s="268" customFormat="1" ht="15" x14ac:dyDescent="0.25">
      <c r="A509" s="264"/>
      <c r="B509" s="264"/>
      <c r="C509" s="1056"/>
      <c r="D509" s="1056"/>
      <c r="E509" s="1056"/>
      <c r="F509" s="1056"/>
      <c r="G509" s="1056"/>
      <c r="H509" s="1056"/>
      <c r="I509" s="1056"/>
      <c r="J509" s="1056"/>
      <c r="K509" s="1056"/>
      <c r="L509" s="1056"/>
      <c r="M509" s="274"/>
      <c r="P509" s="264"/>
      <c r="Q509" s="264"/>
      <c r="R509" s="264"/>
      <c r="S509" s="264"/>
      <c r="T509" s="1056"/>
      <c r="U509" s="1056"/>
      <c r="V509" s="1056"/>
      <c r="W509" s="1056"/>
      <c r="X509" s="1056"/>
      <c r="Y509" s="1056"/>
      <c r="Z509" s="1056"/>
      <c r="AA509" s="1056"/>
      <c r="AB509" s="1056"/>
      <c r="AC509" s="1056"/>
      <c r="AD509" s="1056"/>
      <c r="AE509" s="1056"/>
      <c r="AF509" s="264"/>
    </row>
    <row r="510" spans="1:32" s="268" customFormat="1" ht="15" x14ac:dyDescent="0.25">
      <c r="A510" s="264"/>
      <c r="B510" s="264"/>
      <c r="C510" s="1056"/>
      <c r="D510" s="1056"/>
      <c r="E510" s="1056"/>
      <c r="F510" s="1056"/>
      <c r="G510" s="1056"/>
      <c r="H510" s="1056"/>
      <c r="I510" s="1056"/>
      <c r="J510" s="1056"/>
      <c r="K510" s="1056"/>
      <c r="L510" s="1056"/>
      <c r="M510" s="274"/>
      <c r="P510" s="264"/>
      <c r="Q510" s="264"/>
      <c r="R510" s="264"/>
      <c r="S510" s="264"/>
      <c r="T510" s="1056"/>
      <c r="U510" s="1056"/>
      <c r="V510" s="1056"/>
      <c r="W510" s="1056"/>
      <c r="X510" s="1056"/>
      <c r="Y510" s="1056"/>
      <c r="Z510" s="1056"/>
      <c r="AA510" s="1056"/>
      <c r="AB510" s="1056"/>
      <c r="AC510" s="1056"/>
      <c r="AD510" s="1056"/>
      <c r="AE510" s="1056"/>
      <c r="AF510" s="264"/>
    </row>
    <row r="511" spans="1:32" s="268" customFormat="1" ht="15" x14ac:dyDescent="0.25">
      <c r="A511" s="264"/>
      <c r="B511" s="264"/>
      <c r="C511" s="1056"/>
      <c r="D511" s="1056"/>
      <c r="E511" s="1056"/>
      <c r="F511" s="1056"/>
      <c r="G511" s="1056"/>
      <c r="H511" s="1056"/>
      <c r="I511" s="1056"/>
      <c r="J511" s="1056"/>
      <c r="K511" s="1056"/>
      <c r="L511" s="1056"/>
      <c r="M511" s="274"/>
      <c r="P511" s="264"/>
      <c r="Q511" s="264"/>
      <c r="R511" s="264"/>
      <c r="S511" s="264"/>
      <c r="T511" s="1056"/>
      <c r="U511" s="1056"/>
      <c r="V511" s="1056"/>
      <c r="W511" s="1056"/>
      <c r="X511" s="1056"/>
      <c r="Y511" s="1056"/>
      <c r="Z511" s="1056"/>
      <c r="AA511" s="1056"/>
      <c r="AB511" s="1056"/>
      <c r="AC511" s="1056"/>
      <c r="AD511" s="1056"/>
      <c r="AE511" s="1056"/>
      <c r="AF511" s="264"/>
    </row>
    <row r="512" spans="1:32" s="268" customFormat="1" ht="15" x14ac:dyDescent="0.25">
      <c r="A512" s="264"/>
      <c r="B512" s="264"/>
      <c r="C512" s="1056"/>
      <c r="D512" s="1056"/>
      <c r="E512" s="1056"/>
      <c r="F512" s="1056"/>
      <c r="G512" s="1056"/>
      <c r="H512" s="1056"/>
      <c r="I512" s="1056"/>
      <c r="J512" s="1056"/>
      <c r="K512" s="1056"/>
      <c r="L512" s="1056"/>
      <c r="M512" s="274"/>
      <c r="P512" s="264"/>
      <c r="Q512" s="264"/>
      <c r="R512" s="264"/>
      <c r="S512" s="264"/>
      <c r="T512" s="1056"/>
      <c r="U512" s="1056"/>
      <c r="V512" s="1056"/>
      <c r="W512" s="1056"/>
      <c r="X512" s="1056"/>
      <c r="Y512" s="1056"/>
      <c r="Z512" s="1056"/>
      <c r="AA512" s="1056"/>
      <c r="AB512" s="1056"/>
      <c r="AC512" s="1056"/>
      <c r="AD512" s="1056"/>
      <c r="AE512" s="1056"/>
      <c r="AF512" s="264"/>
    </row>
    <row r="513" spans="1:32" s="268" customFormat="1" ht="15" x14ac:dyDescent="0.25">
      <c r="A513" s="264"/>
      <c r="B513" s="264"/>
      <c r="C513" s="1056"/>
      <c r="D513" s="1056"/>
      <c r="E513" s="1056"/>
      <c r="F513" s="1056"/>
      <c r="G513" s="1056"/>
      <c r="H513" s="1056"/>
      <c r="I513" s="1056"/>
      <c r="J513" s="1056"/>
      <c r="K513" s="1056"/>
      <c r="L513" s="1056"/>
      <c r="M513" s="274"/>
      <c r="P513" s="264"/>
      <c r="Q513" s="264"/>
      <c r="R513" s="264"/>
      <c r="S513" s="264"/>
      <c r="T513" s="1056"/>
      <c r="U513" s="1056"/>
      <c r="V513" s="1056"/>
      <c r="W513" s="1056"/>
      <c r="X513" s="1056"/>
      <c r="Y513" s="1056"/>
      <c r="Z513" s="1056"/>
      <c r="AA513" s="1056"/>
      <c r="AB513" s="1056"/>
      <c r="AC513" s="1056"/>
      <c r="AD513" s="1056"/>
      <c r="AE513" s="1056"/>
      <c r="AF513" s="264"/>
    </row>
    <row r="514" spans="1:32" s="268" customFormat="1" ht="15" x14ac:dyDescent="0.25">
      <c r="A514" s="264"/>
      <c r="B514" s="264"/>
      <c r="C514" s="1056"/>
      <c r="D514" s="1056"/>
      <c r="E514" s="1056"/>
      <c r="F514" s="1056"/>
      <c r="G514" s="1056"/>
      <c r="H514" s="1056"/>
      <c r="I514" s="1056"/>
      <c r="J514" s="1056"/>
      <c r="K514" s="1056"/>
      <c r="L514" s="1056"/>
      <c r="M514" s="274"/>
      <c r="P514" s="264"/>
      <c r="Q514" s="264"/>
      <c r="R514" s="264"/>
      <c r="S514" s="264"/>
      <c r="T514" s="1056"/>
      <c r="U514" s="1056"/>
      <c r="V514" s="1056"/>
      <c r="W514" s="1056"/>
      <c r="X514" s="1056"/>
      <c r="Y514" s="1056"/>
      <c r="Z514" s="1056"/>
      <c r="AA514" s="1056"/>
      <c r="AB514" s="1056"/>
      <c r="AC514" s="1056"/>
      <c r="AD514" s="1056"/>
      <c r="AE514" s="1056"/>
      <c r="AF514" s="264"/>
    </row>
    <row r="515" spans="1:32" s="268" customFormat="1" ht="15" x14ac:dyDescent="0.25">
      <c r="A515" s="264"/>
      <c r="B515" s="264"/>
      <c r="C515" s="1056"/>
      <c r="D515" s="1056"/>
      <c r="E515" s="1056"/>
      <c r="F515" s="1056"/>
      <c r="G515" s="1056"/>
      <c r="H515" s="1056"/>
      <c r="I515" s="1056"/>
      <c r="J515" s="1056"/>
      <c r="K515" s="1056"/>
      <c r="L515" s="1056"/>
      <c r="M515" s="274"/>
      <c r="P515" s="264"/>
      <c r="Q515" s="264"/>
      <c r="R515" s="264"/>
      <c r="S515" s="264"/>
      <c r="T515" s="1056"/>
      <c r="U515" s="1056"/>
      <c r="V515" s="1056"/>
      <c r="W515" s="1056"/>
      <c r="X515" s="1056"/>
      <c r="Y515" s="1056"/>
      <c r="Z515" s="1056"/>
      <c r="AA515" s="1056"/>
      <c r="AB515" s="1056"/>
      <c r="AC515" s="1056"/>
      <c r="AD515" s="1056"/>
      <c r="AE515" s="1056"/>
      <c r="AF515" s="264"/>
    </row>
    <row r="516" spans="1:32" s="268" customFormat="1" ht="15" x14ac:dyDescent="0.25">
      <c r="A516" s="264"/>
      <c r="B516" s="264"/>
      <c r="C516" s="1056"/>
      <c r="D516" s="1056"/>
      <c r="E516" s="1056"/>
      <c r="F516" s="1056"/>
      <c r="G516" s="1056"/>
      <c r="H516" s="1056"/>
      <c r="I516" s="1056"/>
      <c r="J516" s="1056"/>
      <c r="K516" s="1056"/>
      <c r="L516" s="1056"/>
      <c r="M516" s="274"/>
      <c r="P516" s="264"/>
      <c r="Q516" s="264"/>
      <c r="R516" s="264"/>
      <c r="S516" s="264"/>
      <c r="T516" s="1056"/>
      <c r="U516" s="1056"/>
      <c r="V516" s="1056"/>
      <c r="W516" s="1056"/>
      <c r="X516" s="1056"/>
      <c r="Y516" s="1056"/>
      <c r="Z516" s="1056"/>
      <c r="AA516" s="1056"/>
      <c r="AB516" s="1056"/>
      <c r="AC516" s="1056"/>
      <c r="AD516" s="1056"/>
      <c r="AE516" s="1056"/>
      <c r="AF516" s="264"/>
    </row>
    <row r="517" spans="1:32" s="268" customFormat="1" ht="15" x14ac:dyDescent="0.25">
      <c r="A517" s="264"/>
      <c r="B517" s="264"/>
      <c r="C517" s="1056"/>
      <c r="D517" s="1056"/>
      <c r="E517" s="1056"/>
      <c r="F517" s="1056"/>
      <c r="G517" s="1056"/>
      <c r="H517" s="1056"/>
      <c r="I517" s="1056"/>
      <c r="J517" s="1056"/>
      <c r="K517" s="1056"/>
      <c r="L517" s="1056"/>
      <c r="M517" s="274"/>
      <c r="P517" s="264"/>
      <c r="Q517" s="264"/>
      <c r="R517" s="264"/>
      <c r="S517" s="264"/>
      <c r="T517" s="1056"/>
      <c r="U517" s="1056"/>
      <c r="V517" s="1056"/>
      <c r="W517" s="1056"/>
      <c r="X517" s="1056"/>
      <c r="Y517" s="1056"/>
      <c r="Z517" s="1056"/>
      <c r="AA517" s="1056"/>
      <c r="AB517" s="1056"/>
      <c r="AC517" s="1056"/>
      <c r="AD517" s="1056"/>
      <c r="AE517" s="1056"/>
      <c r="AF517" s="264"/>
    </row>
    <row r="518" spans="1:32" s="268" customFormat="1" ht="15" x14ac:dyDescent="0.25">
      <c r="A518" s="264"/>
      <c r="B518" s="264"/>
      <c r="C518" s="1056"/>
      <c r="D518" s="1056"/>
      <c r="E518" s="1056"/>
      <c r="F518" s="1056"/>
      <c r="G518" s="1056"/>
      <c r="H518" s="1056"/>
      <c r="I518" s="1056"/>
      <c r="J518" s="1056"/>
      <c r="K518" s="1056"/>
      <c r="L518" s="1056"/>
      <c r="M518" s="274"/>
      <c r="P518" s="264"/>
      <c r="Q518" s="264"/>
      <c r="R518" s="264"/>
      <c r="S518" s="264"/>
      <c r="T518" s="1056"/>
      <c r="U518" s="1056"/>
      <c r="V518" s="1056"/>
      <c r="W518" s="1056"/>
      <c r="X518" s="1056"/>
      <c r="Y518" s="1056"/>
      <c r="Z518" s="1056"/>
      <c r="AA518" s="1056"/>
      <c r="AB518" s="1056"/>
      <c r="AC518" s="1056"/>
      <c r="AD518" s="1056"/>
      <c r="AE518" s="1056"/>
      <c r="AF518" s="264"/>
    </row>
    <row r="519" spans="1:32" s="268" customFormat="1" ht="15" x14ac:dyDescent="0.25">
      <c r="A519" s="264"/>
      <c r="B519" s="264"/>
      <c r="C519" s="1056"/>
      <c r="D519" s="1056"/>
      <c r="E519" s="1056"/>
      <c r="F519" s="1056"/>
      <c r="G519" s="1056"/>
      <c r="H519" s="1056"/>
      <c r="I519" s="1056"/>
      <c r="J519" s="1056"/>
      <c r="K519" s="1056"/>
      <c r="L519" s="1056"/>
      <c r="M519" s="274"/>
      <c r="P519" s="264"/>
      <c r="Q519" s="264"/>
      <c r="R519" s="264"/>
      <c r="S519" s="264"/>
      <c r="T519" s="1056"/>
      <c r="U519" s="1056"/>
      <c r="V519" s="1056"/>
      <c r="W519" s="1056"/>
      <c r="X519" s="1056"/>
      <c r="Y519" s="1056"/>
      <c r="Z519" s="1056"/>
      <c r="AA519" s="1056"/>
      <c r="AB519" s="1056"/>
      <c r="AC519" s="1056"/>
      <c r="AD519" s="1056"/>
      <c r="AE519" s="1056"/>
      <c r="AF519" s="264"/>
    </row>
    <row r="520" spans="1:32" s="268" customFormat="1" ht="15" x14ac:dyDescent="0.25">
      <c r="A520" s="264"/>
      <c r="B520" s="264"/>
      <c r="C520" s="1056"/>
      <c r="D520" s="1056"/>
      <c r="E520" s="1056"/>
      <c r="F520" s="1056"/>
      <c r="G520" s="1056"/>
      <c r="H520" s="1056"/>
      <c r="I520" s="1056"/>
      <c r="J520" s="1056"/>
      <c r="K520" s="1056"/>
      <c r="L520" s="1056"/>
      <c r="M520" s="274"/>
      <c r="P520" s="264"/>
      <c r="Q520" s="264"/>
      <c r="R520" s="264"/>
      <c r="S520" s="264"/>
      <c r="T520" s="1056"/>
      <c r="U520" s="1056"/>
      <c r="V520" s="1056"/>
      <c r="W520" s="1056"/>
      <c r="X520" s="1056"/>
      <c r="Y520" s="1056"/>
      <c r="Z520" s="1056"/>
      <c r="AA520" s="1056"/>
      <c r="AB520" s="1056"/>
      <c r="AC520" s="1056"/>
      <c r="AD520" s="1056"/>
      <c r="AE520" s="1056"/>
      <c r="AF520" s="264"/>
    </row>
    <row r="521" spans="1:32" s="268" customFormat="1" ht="15" x14ac:dyDescent="0.25">
      <c r="A521" s="264"/>
      <c r="B521" s="264"/>
      <c r="C521" s="1056"/>
      <c r="D521" s="1056"/>
      <c r="E521" s="1056"/>
      <c r="F521" s="1056"/>
      <c r="G521" s="1056"/>
      <c r="H521" s="1056"/>
      <c r="I521" s="1056"/>
      <c r="J521" s="1056"/>
      <c r="K521" s="1056"/>
      <c r="L521" s="1056"/>
      <c r="M521" s="274"/>
      <c r="P521" s="264"/>
      <c r="Q521" s="264"/>
      <c r="R521" s="264"/>
      <c r="S521" s="264"/>
      <c r="T521" s="1056"/>
      <c r="U521" s="1056"/>
      <c r="V521" s="1056"/>
      <c r="W521" s="1056"/>
      <c r="X521" s="1056"/>
      <c r="Y521" s="1056"/>
      <c r="Z521" s="1056"/>
      <c r="AA521" s="1056"/>
      <c r="AB521" s="1056"/>
      <c r="AC521" s="1056"/>
      <c r="AD521" s="1056"/>
      <c r="AE521" s="1056"/>
      <c r="AF521" s="264"/>
    </row>
    <row r="522" spans="1:32" s="268" customFormat="1" ht="15" x14ac:dyDescent="0.25">
      <c r="A522" s="264"/>
      <c r="B522" s="264"/>
      <c r="C522" s="1056"/>
      <c r="D522" s="1056"/>
      <c r="E522" s="1056"/>
      <c r="F522" s="1056"/>
      <c r="G522" s="1056"/>
      <c r="H522" s="1056"/>
      <c r="I522" s="1056"/>
      <c r="J522" s="1056"/>
      <c r="K522" s="1056"/>
      <c r="L522" s="1056"/>
      <c r="M522" s="274"/>
      <c r="P522" s="264"/>
      <c r="Q522" s="264"/>
      <c r="R522" s="264"/>
      <c r="S522" s="264"/>
      <c r="T522" s="1056"/>
      <c r="U522" s="1056"/>
      <c r="V522" s="1056"/>
      <c r="W522" s="1056"/>
      <c r="X522" s="1056"/>
      <c r="Y522" s="1056"/>
      <c r="Z522" s="1056"/>
      <c r="AA522" s="1056"/>
      <c r="AB522" s="1056"/>
      <c r="AC522" s="1056"/>
      <c r="AD522" s="1056"/>
      <c r="AE522" s="1056"/>
      <c r="AF522" s="264"/>
    </row>
    <row r="523" spans="1:32" s="268" customFormat="1" ht="15" x14ac:dyDescent="0.25">
      <c r="A523" s="264"/>
      <c r="B523" s="264"/>
      <c r="C523" s="1056"/>
      <c r="D523" s="1056"/>
      <c r="E523" s="1056"/>
      <c r="F523" s="1056"/>
      <c r="G523" s="1056"/>
      <c r="H523" s="1056"/>
      <c r="I523" s="1056"/>
      <c r="J523" s="1056"/>
      <c r="K523" s="1056"/>
      <c r="L523" s="1056"/>
      <c r="M523" s="274"/>
      <c r="P523" s="264"/>
      <c r="Q523" s="264"/>
      <c r="R523" s="264"/>
      <c r="S523" s="264"/>
      <c r="T523" s="1056"/>
      <c r="U523" s="1056"/>
      <c r="V523" s="1056"/>
      <c r="W523" s="1056"/>
      <c r="X523" s="1056"/>
      <c r="Y523" s="1056"/>
      <c r="Z523" s="1056"/>
      <c r="AA523" s="1056"/>
      <c r="AB523" s="1056"/>
      <c r="AC523" s="1056"/>
      <c r="AD523" s="1056"/>
      <c r="AE523" s="1056"/>
      <c r="AF523" s="264"/>
    </row>
    <row r="524" spans="1:32" s="268" customFormat="1" ht="15" x14ac:dyDescent="0.25">
      <c r="A524" s="264"/>
      <c r="B524" s="264"/>
      <c r="C524" s="1056"/>
      <c r="D524" s="1056"/>
      <c r="E524" s="1056"/>
      <c r="F524" s="1056"/>
      <c r="G524" s="1056"/>
      <c r="H524" s="1056"/>
      <c r="I524" s="1056"/>
      <c r="J524" s="1056"/>
      <c r="K524" s="1056"/>
      <c r="L524" s="1056"/>
      <c r="M524" s="274"/>
      <c r="P524" s="264"/>
      <c r="Q524" s="264"/>
      <c r="R524" s="264"/>
      <c r="S524" s="264"/>
      <c r="T524" s="1056"/>
      <c r="U524" s="1056"/>
      <c r="V524" s="1056"/>
      <c r="W524" s="1056"/>
      <c r="X524" s="1056"/>
      <c r="Y524" s="1056"/>
      <c r="Z524" s="1056"/>
      <c r="AA524" s="1056"/>
      <c r="AB524" s="1056"/>
      <c r="AC524" s="1056"/>
      <c r="AD524" s="1056"/>
      <c r="AE524" s="1056"/>
      <c r="AF524" s="264"/>
    </row>
    <row r="525" spans="1:32" s="268" customFormat="1" ht="15" x14ac:dyDescent="0.25">
      <c r="A525" s="264"/>
      <c r="B525" s="264"/>
      <c r="C525" s="1056"/>
      <c r="D525" s="1056"/>
      <c r="E525" s="1056"/>
      <c r="F525" s="1056"/>
      <c r="G525" s="1056"/>
      <c r="H525" s="1056"/>
      <c r="I525" s="1056"/>
      <c r="J525" s="1056"/>
      <c r="K525" s="1056"/>
      <c r="L525" s="1056"/>
      <c r="M525" s="274"/>
      <c r="P525" s="264"/>
      <c r="Q525" s="264"/>
      <c r="R525" s="264"/>
      <c r="S525" s="264"/>
      <c r="T525" s="1056"/>
      <c r="U525" s="1056"/>
      <c r="V525" s="1056"/>
      <c r="W525" s="1056"/>
      <c r="X525" s="1056"/>
      <c r="Y525" s="1056"/>
      <c r="Z525" s="1056"/>
      <c r="AA525" s="1056"/>
      <c r="AB525" s="1056"/>
      <c r="AC525" s="1056"/>
      <c r="AD525" s="1056"/>
      <c r="AE525" s="1056"/>
      <c r="AF525" s="264"/>
    </row>
    <row r="526" spans="1:32" s="268" customFormat="1" ht="15" x14ac:dyDescent="0.25">
      <c r="A526" s="264"/>
      <c r="B526" s="264"/>
      <c r="C526" s="1056"/>
      <c r="D526" s="1056"/>
      <c r="E526" s="1056"/>
      <c r="F526" s="1056"/>
      <c r="G526" s="1056"/>
      <c r="H526" s="1056"/>
      <c r="I526" s="1056"/>
      <c r="J526" s="1056"/>
      <c r="K526" s="1056"/>
      <c r="L526" s="1056"/>
      <c r="M526" s="274"/>
      <c r="P526" s="264"/>
      <c r="Q526" s="264"/>
      <c r="R526" s="264"/>
      <c r="S526" s="264"/>
      <c r="T526" s="1056"/>
      <c r="U526" s="1056"/>
      <c r="V526" s="1056"/>
      <c r="W526" s="1056"/>
      <c r="X526" s="1056"/>
      <c r="Y526" s="1056"/>
      <c r="Z526" s="1056"/>
      <c r="AA526" s="1056"/>
      <c r="AB526" s="1056"/>
      <c r="AC526" s="1056"/>
      <c r="AD526" s="1056"/>
      <c r="AE526" s="1056"/>
      <c r="AF526" s="264"/>
    </row>
    <row r="527" spans="1:32" s="268" customFormat="1" ht="15" x14ac:dyDescent="0.25">
      <c r="A527" s="264"/>
      <c r="B527" s="264"/>
      <c r="C527" s="1056"/>
      <c r="D527" s="1056"/>
      <c r="E527" s="1056"/>
      <c r="F527" s="1056"/>
      <c r="G527" s="1056"/>
      <c r="H527" s="1056"/>
      <c r="I527" s="1056"/>
      <c r="J527" s="1056"/>
      <c r="K527" s="1056"/>
      <c r="L527" s="1056"/>
      <c r="M527" s="274"/>
      <c r="P527" s="264"/>
      <c r="Q527" s="264"/>
      <c r="R527" s="264"/>
      <c r="S527" s="264"/>
      <c r="T527" s="1056"/>
      <c r="U527" s="1056"/>
      <c r="V527" s="1056"/>
      <c r="W527" s="1056"/>
      <c r="X527" s="1056"/>
      <c r="Y527" s="1056"/>
      <c r="Z527" s="1056"/>
      <c r="AA527" s="1056"/>
      <c r="AB527" s="1056"/>
      <c r="AC527" s="1056"/>
      <c r="AD527" s="1056"/>
      <c r="AE527" s="1056"/>
      <c r="AF527" s="264"/>
    </row>
    <row r="528" spans="1:32" s="268" customFormat="1" ht="15" x14ac:dyDescent="0.25">
      <c r="A528" s="264"/>
      <c r="B528" s="264"/>
      <c r="C528" s="1056"/>
      <c r="D528" s="1056"/>
      <c r="E528" s="1056"/>
      <c r="F528" s="1056"/>
      <c r="G528" s="1056"/>
      <c r="H528" s="1056"/>
      <c r="I528" s="1056"/>
      <c r="J528" s="1056"/>
      <c r="K528" s="1056"/>
      <c r="L528" s="1056"/>
      <c r="M528" s="274"/>
      <c r="P528" s="264"/>
      <c r="Q528" s="264"/>
      <c r="R528" s="264"/>
      <c r="S528" s="264"/>
      <c r="T528" s="1056"/>
      <c r="U528" s="1056"/>
      <c r="V528" s="1056"/>
      <c r="W528" s="1056"/>
      <c r="X528" s="1056"/>
      <c r="Y528" s="1056"/>
      <c r="Z528" s="1056"/>
      <c r="AA528" s="1056"/>
      <c r="AB528" s="1056"/>
      <c r="AC528" s="1056"/>
      <c r="AD528" s="1056"/>
      <c r="AE528" s="1056"/>
      <c r="AF528" s="264"/>
    </row>
    <row r="529" spans="1:32" s="268" customFormat="1" ht="15" x14ac:dyDescent="0.25">
      <c r="A529" s="264"/>
      <c r="B529" s="264"/>
      <c r="C529" s="1056"/>
      <c r="D529" s="1056"/>
      <c r="E529" s="1056"/>
      <c r="F529" s="1056"/>
      <c r="G529" s="1056"/>
      <c r="H529" s="1056"/>
      <c r="I529" s="1056"/>
      <c r="J529" s="1056"/>
      <c r="K529" s="1056"/>
      <c r="L529" s="1056"/>
      <c r="M529" s="274"/>
      <c r="P529" s="264"/>
      <c r="Q529" s="264"/>
      <c r="R529" s="264"/>
      <c r="S529" s="264"/>
      <c r="T529" s="1056"/>
      <c r="U529" s="1056"/>
      <c r="V529" s="1056"/>
      <c r="W529" s="1056"/>
      <c r="X529" s="1056"/>
      <c r="Y529" s="1056"/>
      <c r="Z529" s="1056"/>
      <c r="AA529" s="1056"/>
      <c r="AB529" s="1056"/>
      <c r="AC529" s="1056"/>
      <c r="AD529" s="1056"/>
      <c r="AE529" s="1056"/>
      <c r="AF529" s="264"/>
    </row>
    <row r="530" spans="1:32" s="268" customFormat="1" ht="15" x14ac:dyDescent="0.25">
      <c r="A530" s="264"/>
      <c r="B530" s="264"/>
      <c r="C530" s="1056"/>
      <c r="D530" s="1056"/>
      <c r="E530" s="1056"/>
      <c r="F530" s="1056"/>
      <c r="G530" s="1056"/>
      <c r="H530" s="1056"/>
      <c r="I530" s="1056"/>
      <c r="J530" s="1056"/>
      <c r="K530" s="1056"/>
      <c r="L530" s="1056"/>
      <c r="M530" s="274"/>
      <c r="P530" s="264"/>
      <c r="Q530" s="264"/>
      <c r="R530" s="264"/>
      <c r="S530" s="264"/>
      <c r="T530" s="1056"/>
      <c r="U530" s="1056"/>
      <c r="V530" s="1056"/>
      <c r="W530" s="1056"/>
      <c r="X530" s="1056"/>
      <c r="Y530" s="1056"/>
      <c r="Z530" s="1056"/>
      <c r="AA530" s="1056"/>
      <c r="AB530" s="1056"/>
      <c r="AC530" s="1056"/>
      <c r="AD530" s="1056"/>
      <c r="AE530" s="1056"/>
      <c r="AF530" s="264"/>
    </row>
    <row r="531" spans="1:32" s="268" customFormat="1" ht="15" x14ac:dyDescent="0.25">
      <c r="A531" s="264"/>
      <c r="B531" s="264"/>
      <c r="C531" s="1056"/>
      <c r="D531" s="1056"/>
      <c r="E531" s="1056"/>
      <c r="F531" s="1056"/>
      <c r="G531" s="1056"/>
      <c r="H531" s="1056"/>
      <c r="I531" s="1056"/>
      <c r="J531" s="1056"/>
      <c r="K531" s="1056"/>
      <c r="L531" s="1056"/>
      <c r="M531" s="274"/>
      <c r="P531" s="264"/>
      <c r="Q531" s="264"/>
      <c r="R531" s="264"/>
      <c r="S531" s="264"/>
      <c r="T531" s="1056"/>
      <c r="U531" s="1056"/>
      <c r="V531" s="1056"/>
      <c r="W531" s="1056"/>
      <c r="X531" s="1056"/>
      <c r="Y531" s="1056"/>
      <c r="Z531" s="1056"/>
      <c r="AA531" s="1056"/>
      <c r="AB531" s="1056"/>
      <c r="AC531" s="1056"/>
      <c r="AD531" s="1056"/>
      <c r="AE531" s="1056"/>
      <c r="AF531" s="264"/>
    </row>
    <row r="532" spans="1:32" s="268" customFormat="1" ht="15" x14ac:dyDescent="0.25">
      <c r="A532" s="264"/>
      <c r="B532" s="264"/>
      <c r="C532" s="1056"/>
      <c r="D532" s="1056"/>
      <c r="E532" s="1056"/>
      <c r="F532" s="1056"/>
      <c r="G532" s="1056"/>
      <c r="H532" s="1056"/>
      <c r="I532" s="1056"/>
      <c r="J532" s="1056"/>
      <c r="K532" s="1056"/>
      <c r="L532" s="1056"/>
      <c r="M532" s="274"/>
      <c r="P532" s="264"/>
      <c r="Q532" s="264"/>
      <c r="R532" s="264"/>
      <c r="S532" s="264"/>
      <c r="T532" s="1056"/>
      <c r="U532" s="1056"/>
      <c r="V532" s="1056"/>
      <c r="W532" s="1056"/>
      <c r="X532" s="1056"/>
      <c r="Y532" s="1056"/>
      <c r="Z532" s="1056"/>
      <c r="AA532" s="1056"/>
      <c r="AB532" s="1056"/>
      <c r="AC532" s="1056"/>
      <c r="AD532" s="1056"/>
      <c r="AE532" s="1056"/>
      <c r="AF532" s="264"/>
    </row>
    <row r="533" spans="1:32" s="268" customFormat="1" ht="15" x14ac:dyDescent="0.25">
      <c r="A533" s="264"/>
      <c r="B533" s="264"/>
      <c r="C533" s="1056"/>
      <c r="D533" s="1056"/>
      <c r="E533" s="1056"/>
      <c r="F533" s="1056"/>
      <c r="G533" s="1056"/>
      <c r="H533" s="1056"/>
      <c r="I533" s="1056"/>
      <c r="J533" s="1056"/>
      <c r="K533" s="1056"/>
      <c r="L533" s="1056"/>
      <c r="M533" s="274"/>
      <c r="P533" s="264"/>
      <c r="Q533" s="264"/>
      <c r="R533" s="264"/>
      <c r="S533" s="264"/>
      <c r="T533" s="1056"/>
      <c r="U533" s="1056"/>
      <c r="V533" s="1056"/>
      <c r="W533" s="1056"/>
      <c r="X533" s="1056"/>
      <c r="Y533" s="1056"/>
      <c r="Z533" s="1056"/>
      <c r="AA533" s="1056"/>
      <c r="AB533" s="1056"/>
      <c r="AC533" s="1056"/>
      <c r="AD533" s="1056"/>
      <c r="AE533" s="1056"/>
      <c r="AF533" s="264"/>
    </row>
    <row r="534" spans="1:32" s="268" customFormat="1" ht="15" x14ac:dyDescent="0.25">
      <c r="A534" s="264"/>
      <c r="B534" s="264"/>
      <c r="C534" s="1056"/>
      <c r="D534" s="1056"/>
      <c r="E534" s="1056"/>
      <c r="F534" s="1056"/>
      <c r="G534" s="1056"/>
      <c r="H534" s="1056"/>
      <c r="I534" s="1056"/>
      <c r="J534" s="1056"/>
      <c r="K534" s="1056"/>
      <c r="L534" s="1056"/>
      <c r="M534" s="274"/>
      <c r="P534" s="264"/>
      <c r="Q534" s="264"/>
      <c r="R534" s="264"/>
      <c r="S534" s="264"/>
      <c r="T534" s="1056"/>
      <c r="U534" s="1056"/>
      <c r="V534" s="1056"/>
      <c r="W534" s="1056"/>
      <c r="X534" s="1056"/>
      <c r="Y534" s="1056"/>
      <c r="Z534" s="1056"/>
      <c r="AA534" s="1056"/>
      <c r="AB534" s="1056"/>
      <c r="AC534" s="1056"/>
      <c r="AD534" s="1056"/>
      <c r="AE534" s="1056"/>
      <c r="AF534" s="264"/>
    </row>
    <row r="535" spans="1:32" s="268" customFormat="1" ht="15" x14ac:dyDescent="0.25">
      <c r="A535" s="264"/>
      <c r="B535" s="264"/>
      <c r="C535" s="1056"/>
      <c r="D535" s="1056"/>
      <c r="E535" s="1056"/>
      <c r="F535" s="1056"/>
      <c r="G535" s="1056"/>
      <c r="H535" s="1056"/>
      <c r="I535" s="1056"/>
      <c r="J535" s="1056"/>
      <c r="K535" s="1056"/>
      <c r="L535" s="1056"/>
      <c r="M535" s="274"/>
      <c r="P535" s="264"/>
      <c r="Q535" s="264"/>
      <c r="R535" s="264"/>
      <c r="S535" s="264"/>
      <c r="T535" s="1056"/>
      <c r="U535" s="1056"/>
      <c r="V535" s="1056"/>
      <c r="W535" s="1056"/>
      <c r="X535" s="1056"/>
      <c r="Y535" s="1056"/>
      <c r="Z535" s="1056"/>
      <c r="AA535" s="1056"/>
      <c r="AB535" s="1056"/>
      <c r="AC535" s="1056"/>
      <c r="AD535" s="1056"/>
      <c r="AE535" s="1056"/>
      <c r="AF535" s="264"/>
    </row>
    <row r="536" spans="1:32" s="268" customFormat="1" ht="15" x14ac:dyDescent="0.25">
      <c r="A536" s="264"/>
      <c r="B536" s="264"/>
      <c r="C536" s="1056"/>
      <c r="D536" s="1056"/>
      <c r="E536" s="1056"/>
      <c r="F536" s="1056"/>
      <c r="G536" s="1056"/>
      <c r="H536" s="1056"/>
      <c r="I536" s="1056"/>
      <c r="J536" s="1056"/>
      <c r="K536" s="1056"/>
      <c r="L536" s="1056"/>
      <c r="M536" s="274"/>
      <c r="P536" s="264"/>
      <c r="Q536" s="264"/>
      <c r="R536" s="264"/>
      <c r="S536" s="264"/>
      <c r="T536" s="1056"/>
      <c r="U536" s="1056"/>
      <c r="V536" s="1056"/>
      <c r="W536" s="1056"/>
      <c r="X536" s="1056"/>
      <c r="Y536" s="1056"/>
      <c r="Z536" s="1056"/>
      <c r="AA536" s="1056"/>
      <c r="AB536" s="1056"/>
      <c r="AC536" s="1056"/>
      <c r="AD536" s="1056"/>
      <c r="AE536" s="1056"/>
      <c r="AF536" s="264"/>
    </row>
    <row r="537" spans="1:32" s="268" customFormat="1" ht="15" x14ac:dyDescent="0.25">
      <c r="A537" s="264"/>
      <c r="B537" s="264"/>
      <c r="C537" s="1056"/>
      <c r="D537" s="1056"/>
      <c r="E537" s="1056"/>
      <c r="F537" s="1056"/>
      <c r="G537" s="1056"/>
      <c r="H537" s="1056"/>
      <c r="I537" s="1056"/>
      <c r="J537" s="1056"/>
      <c r="K537" s="1056"/>
      <c r="L537" s="1056"/>
      <c r="M537" s="274"/>
      <c r="P537" s="264"/>
      <c r="Q537" s="264"/>
      <c r="R537" s="264"/>
      <c r="S537" s="264"/>
      <c r="T537" s="1056"/>
      <c r="U537" s="1056"/>
      <c r="V537" s="1056"/>
      <c r="W537" s="1056"/>
      <c r="X537" s="1056"/>
      <c r="Y537" s="1056"/>
      <c r="Z537" s="1056"/>
      <c r="AA537" s="1056"/>
      <c r="AB537" s="1056"/>
      <c r="AC537" s="1056"/>
      <c r="AD537" s="1056"/>
      <c r="AE537" s="1056"/>
      <c r="AF537" s="264"/>
    </row>
    <row r="538" spans="1:32" s="268" customFormat="1" ht="15" x14ac:dyDescent="0.25">
      <c r="A538" s="264"/>
      <c r="B538" s="264"/>
      <c r="C538" s="1056"/>
      <c r="D538" s="1056"/>
      <c r="E538" s="1056"/>
      <c r="F538" s="1056"/>
      <c r="G538" s="1056"/>
      <c r="H538" s="1056"/>
      <c r="I538" s="1056"/>
      <c r="J538" s="1056"/>
      <c r="K538" s="1056"/>
      <c r="L538" s="1056"/>
      <c r="M538" s="274"/>
      <c r="P538" s="264"/>
      <c r="Q538" s="264"/>
      <c r="R538" s="264"/>
      <c r="S538" s="264"/>
      <c r="T538" s="1056"/>
      <c r="U538" s="1056"/>
      <c r="V538" s="1056"/>
      <c r="W538" s="1056"/>
      <c r="X538" s="1056"/>
      <c r="Y538" s="1056"/>
      <c r="Z538" s="1056"/>
      <c r="AA538" s="1056"/>
      <c r="AB538" s="1056"/>
      <c r="AC538" s="1056"/>
      <c r="AD538" s="1056"/>
      <c r="AE538" s="1056"/>
      <c r="AF538" s="264"/>
    </row>
    <row r="539" spans="1:32" s="268" customFormat="1" ht="15" x14ac:dyDescent="0.25">
      <c r="A539" s="264"/>
      <c r="B539" s="264"/>
      <c r="C539" s="1056"/>
      <c r="D539" s="1056"/>
      <c r="E539" s="1056"/>
      <c r="F539" s="1056"/>
      <c r="G539" s="1056"/>
      <c r="H539" s="1056"/>
      <c r="I539" s="1056"/>
      <c r="J539" s="1056"/>
      <c r="K539" s="1056"/>
      <c r="L539" s="1056"/>
      <c r="M539" s="274"/>
      <c r="P539" s="264"/>
      <c r="Q539" s="264"/>
      <c r="R539" s="264"/>
      <c r="S539" s="264"/>
      <c r="T539" s="1056"/>
      <c r="U539" s="1056"/>
      <c r="V539" s="1056"/>
      <c r="W539" s="1056"/>
      <c r="X539" s="1056"/>
      <c r="Y539" s="1056"/>
      <c r="Z539" s="1056"/>
      <c r="AA539" s="1056"/>
      <c r="AB539" s="1056"/>
      <c r="AC539" s="1056"/>
      <c r="AD539" s="1056"/>
      <c r="AE539" s="1056"/>
      <c r="AF539" s="264"/>
    </row>
    <row r="540" spans="1:32" s="268" customFormat="1" ht="15" x14ac:dyDescent="0.25">
      <c r="A540" s="264"/>
      <c r="B540" s="264"/>
      <c r="C540" s="1056"/>
      <c r="D540" s="1056"/>
      <c r="E540" s="1056"/>
      <c r="F540" s="1056"/>
      <c r="G540" s="1056"/>
      <c r="H540" s="1056"/>
      <c r="I540" s="1056"/>
      <c r="J540" s="1056"/>
      <c r="K540" s="1056"/>
      <c r="L540" s="1056"/>
      <c r="M540" s="274"/>
      <c r="P540" s="264"/>
      <c r="Q540" s="264"/>
      <c r="R540" s="264"/>
      <c r="S540" s="264"/>
      <c r="T540" s="1056"/>
      <c r="U540" s="1056"/>
      <c r="V540" s="1056"/>
      <c r="W540" s="1056"/>
      <c r="X540" s="1056"/>
      <c r="Y540" s="1056"/>
      <c r="Z540" s="1056"/>
      <c r="AA540" s="1056"/>
      <c r="AB540" s="1056"/>
      <c r="AC540" s="1056"/>
      <c r="AD540" s="1056"/>
      <c r="AE540" s="1056"/>
      <c r="AF540" s="264"/>
    </row>
    <row r="541" spans="1:32" s="268" customFormat="1" ht="15" x14ac:dyDescent="0.25">
      <c r="A541" s="264"/>
      <c r="B541" s="264"/>
      <c r="C541" s="1056"/>
      <c r="D541" s="1056"/>
      <c r="E541" s="1056"/>
      <c r="F541" s="1056"/>
      <c r="G541" s="1056"/>
      <c r="H541" s="1056"/>
      <c r="I541" s="1056"/>
      <c r="J541" s="1056"/>
      <c r="K541" s="1056"/>
      <c r="L541" s="1056"/>
      <c r="M541" s="274"/>
      <c r="P541" s="264"/>
      <c r="Q541" s="264"/>
      <c r="R541" s="264"/>
      <c r="S541" s="264"/>
      <c r="T541" s="1056"/>
      <c r="U541" s="1056"/>
      <c r="V541" s="1056"/>
      <c r="W541" s="1056"/>
      <c r="X541" s="1056"/>
      <c r="Y541" s="1056"/>
      <c r="Z541" s="1056"/>
      <c r="AA541" s="1056"/>
      <c r="AB541" s="1056"/>
      <c r="AC541" s="1056"/>
      <c r="AD541" s="1056"/>
      <c r="AE541" s="1056"/>
      <c r="AF541" s="264"/>
    </row>
    <row r="542" spans="1:32" s="268" customFormat="1" ht="15" x14ac:dyDescent="0.25">
      <c r="A542" s="264"/>
      <c r="B542" s="264"/>
      <c r="C542" s="1056"/>
      <c r="D542" s="1056"/>
      <c r="E542" s="1056"/>
      <c r="F542" s="1056"/>
      <c r="G542" s="1056"/>
      <c r="H542" s="1056"/>
      <c r="I542" s="1056"/>
      <c r="J542" s="1056"/>
      <c r="K542" s="1056"/>
      <c r="L542" s="1056"/>
      <c r="M542" s="274"/>
      <c r="P542" s="264"/>
      <c r="Q542" s="264"/>
      <c r="R542" s="264"/>
      <c r="S542" s="264"/>
      <c r="T542" s="1056"/>
      <c r="U542" s="1056"/>
      <c r="V542" s="1056"/>
      <c r="W542" s="1056"/>
      <c r="X542" s="1056"/>
      <c r="Y542" s="1056"/>
      <c r="Z542" s="1056"/>
      <c r="AA542" s="1056"/>
      <c r="AB542" s="1056"/>
      <c r="AC542" s="1056"/>
      <c r="AD542" s="1056"/>
      <c r="AE542" s="1056"/>
      <c r="AF542" s="264"/>
    </row>
    <row r="543" spans="1:32" s="268" customFormat="1" ht="15" x14ac:dyDescent="0.25">
      <c r="A543" s="264"/>
      <c r="B543" s="264"/>
      <c r="C543" s="1056"/>
      <c r="D543" s="1056"/>
      <c r="E543" s="1056"/>
      <c r="F543" s="1056"/>
      <c r="G543" s="1056"/>
      <c r="H543" s="1056"/>
      <c r="I543" s="1056"/>
      <c r="J543" s="1056"/>
      <c r="K543" s="1056"/>
      <c r="L543" s="1056"/>
      <c r="M543" s="274"/>
      <c r="P543" s="264"/>
      <c r="Q543" s="264"/>
      <c r="R543" s="264"/>
      <c r="S543" s="264"/>
      <c r="T543" s="1056"/>
      <c r="U543" s="1056"/>
      <c r="V543" s="1056"/>
      <c r="W543" s="1056"/>
      <c r="X543" s="1056"/>
      <c r="Y543" s="1056"/>
      <c r="Z543" s="1056"/>
      <c r="AA543" s="1056"/>
      <c r="AB543" s="1056"/>
      <c r="AC543" s="1056"/>
      <c r="AD543" s="1056"/>
      <c r="AE543" s="1056"/>
      <c r="AF543" s="264"/>
    </row>
    <row r="544" spans="1:32" s="268" customFormat="1" ht="15" x14ac:dyDescent="0.25">
      <c r="A544" s="264"/>
      <c r="B544" s="264"/>
      <c r="C544" s="1056"/>
      <c r="D544" s="1056"/>
      <c r="E544" s="1056"/>
      <c r="F544" s="1056"/>
      <c r="G544" s="1056"/>
      <c r="H544" s="1056"/>
      <c r="I544" s="1056"/>
      <c r="J544" s="1056"/>
      <c r="K544" s="1056"/>
      <c r="L544" s="1056"/>
      <c r="M544" s="274"/>
      <c r="P544" s="264"/>
      <c r="Q544" s="264"/>
      <c r="R544" s="264"/>
      <c r="S544" s="264"/>
      <c r="T544" s="1056"/>
      <c r="U544" s="1056"/>
      <c r="V544" s="1056"/>
      <c r="W544" s="1056"/>
      <c r="X544" s="1056"/>
      <c r="Y544" s="1056"/>
      <c r="Z544" s="1056"/>
      <c r="AA544" s="1056"/>
      <c r="AB544" s="1056"/>
      <c r="AC544" s="1056"/>
      <c r="AD544" s="1056"/>
      <c r="AE544" s="1056"/>
      <c r="AF544" s="264"/>
    </row>
    <row r="545" spans="1:32" s="268" customFormat="1" ht="15" x14ac:dyDescent="0.25">
      <c r="A545" s="264"/>
      <c r="B545" s="264"/>
      <c r="C545" s="1056"/>
      <c r="D545" s="1056"/>
      <c r="E545" s="1056"/>
      <c r="F545" s="1056"/>
      <c r="G545" s="1056"/>
      <c r="H545" s="1056"/>
      <c r="I545" s="1056"/>
      <c r="J545" s="1056"/>
      <c r="K545" s="1056"/>
      <c r="L545" s="1056"/>
      <c r="M545" s="274"/>
      <c r="P545" s="264"/>
      <c r="Q545" s="264"/>
      <c r="R545" s="264"/>
      <c r="S545" s="264"/>
      <c r="T545" s="1056"/>
      <c r="U545" s="1056"/>
      <c r="V545" s="1056"/>
      <c r="W545" s="1056"/>
      <c r="X545" s="1056"/>
      <c r="Y545" s="1056"/>
      <c r="Z545" s="1056"/>
      <c r="AA545" s="1056"/>
      <c r="AB545" s="1056"/>
      <c r="AC545" s="1056"/>
      <c r="AD545" s="1056"/>
      <c r="AE545" s="1056"/>
      <c r="AF545" s="264"/>
    </row>
    <row r="546" spans="1:32" s="268" customFormat="1" ht="15" x14ac:dyDescent="0.25">
      <c r="A546" s="264"/>
      <c r="B546" s="264"/>
      <c r="C546" s="1056"/>
      <c r="D546" s="1056"/>
      <c r="E546" s="1056"/>
      <c r="F546" s="1056"/>
      <c r="G546" s="1056"/>
      <c r="H546" s="1056"/>
      <c r="I546" s="1056"/>
      <c r="J546" s="1056"/>
      <c r="K546" s="1056"/>
      <c r="L546" s="1056"/>
      <c r="M546" s="274"/>
      <c r="P546" s="264"/>
      <c r="Q546" s="264"/>
      <c r="R546" s="264"/>
      <c r="S546" s="264"/>
      <c r="T546" s="1056"/>
      <c r="U546" s="1056"/>
      <c r="V546" s="1056"/>
      <c r="W546" s="1056"/>
      <c r="X546" s="1056"/>
      <c r="Y546" s="1056"/>
      <c r="Z546" s="1056"/>
      <c r="AA546" s="1056"/>
      <c r="AB546" s="1056"/>
      <c r="AC546" s="1056"/>
      <c r="AD546" s="1056"/>
      <c r="AE546" s="1056"/>
      <c r="AF546" s="264"/>
    </row>
    <row r="547" spans="1:32" s="268" customFormat="1" ht="15" x14ac:dyDescent="0.25">
      <c r="A547" s="264"/>
      <c r="B547" s="264"/>
      <c r="C547" s="1056"/>
      <c r="D547" s="1056"/>
      <c r="E547" s="1056"/>
      <c r="F547" s="1056"/>
      <c r="G547" s="1056"/>
      <c r="H547" s="1056"/>
      <c r="I547" s="1056"/>
      <c r="J547" s="1056"/>
      <c r="K547" s="1056"/>
      <c r="L547" s="1056"/>
      <c r="M547" s="274"/>
      <c r="P547" s="264"/>
      <c r="Q547" s="264"/>
      <c r="R547" s="264"/>
      <c r="S547" s="264"/>
      <c r="T547" s="1056"/>
      <c r="U547" s="1056"/>
      <c r="V547" s="1056"/>
      <c r="W547" s="1056"/>
      <c r="X547" s="1056"/>
      <c r="Y547" s="1056"/>
      <c r="Z547" s="1056"/>
      <c r="AA547" s="1056"/>
      <c r="AB547" s="1056"/>
      <c r="AC547" s="1056"/>
      <c r="AD547" s="1056"/>
      <c r="AE547" s="1056"/>
      <c r="AF547" s="264"/>
    </row>
    <row r="548" spans="1:32" s="268" customFormat="1" ht="15" x14ac:dyDescent="0.25">
      <c r="A548" s="264"/>
      <c r="B548" s="264"/>
      <c r="C548" s="1056"/>
      <c r="D548" s="1056"/>
      <c r="E548" s="1056"/>
      <c r="F548" s="1056"/>
      <c r="G548" s="1056"/>
      <c r="H548" s="1056"/>
      <c r="I548" s="1056"/>
      <c r="J548" s="1056"/>
      <c r="K548" s="1056"/>
      <c r="L548" s="1056"/>
      <c r="M548" s="274"/>
      <c r="P548" s="264"/>
      <c r="Q548" s="264"/>
      <c r="R548" s="264"/>
      <c r="S548" s="264"/>
      <c r="T548" s="1056"/>
      <c r="U548" s="1056"/>
      <c r="V548" s="1056"/>
      <c r="W548" s="1056"/>
      <c r="X548" s="1056"/>
      <c r="Y548" s="1056"/>
      <c r="Z548" s="1056"/>
      <c r="AA548" s="1056"/>
      <c r="AB548" s="1056"/>
      <c r="AC548" s="1056"/>
      <c r="AD548" s="1056"/>
      <c r="AE548" s="1056"/>
      <c r="AF548" s="264"/>
    </row>
    <row r="549" spans="1:32" s="268" customFormat="1" ht="15" x14ac:dyDescent="0.25">
      <c r="A549" s="264"/>
      <c r="B549" s="264"/>
      <c r="C549" s="1056"/>
      <c r="D549" s="1056"/>
      <c r="E549" s="1056"/>
      <c r="F549" s="1056"/>
      <c r="G549" s="1056"/>
      <c r="H549" s="1056"/>
      <c r="I549" s="1056"/>
      <c r="J549" s="1056"/>
      <c r="K549" s="1056"/>
      <c r="L549" s="1056"/>
      <c r="M549" s="274"/>
      <c r="P549" s="264"/>
      <c r="Q549" s="264"/>
      <c r="R549" s="264"/>
      <c r="S549" s="264"/>
      <c r="T549" s="1056"/>
      <c r="U549" s="1056"/>
      <c r="V549" s="1056"/>
      <c r="W549" s="1056"/>
      <c r="X549" s="1056"/>
      <c r="Y549" s="1056"/>
      <c r="Z549" s="1056"/>
      <c r="AA549" s="1056"/>
      <c r="AB549" s="1056"/>
      <c r="AC549" s="1056"/>
      <c r="AD549" s="1056"/>
      <c r="AE549" s="1056"/>
      <c r="AF549" s="264"/>
    </row>
    <row r="550" spans="1:32" s="268" customFormat="1" ht="15" x14ac:dyDescent="0.25">
      <c r="A550" s="264"/>
      <c r="B550" s="264"/>
      <c r="C550" s="1056"/>
      <c r="D550" s="1056"/>
      <c r="E550" s="1056"/>
      <c r="F550" s="1056"/>
      <c r="G550" s="1056"/>
      <c r="H550" s="1056"/>
      <c r="I550" s="1056"/>
      <c r="J550" s="1056"/>
      <c r="K550" s="1056"/>
      <c r="L550" s="1056"/>
      <c r="M550" s="274"/>
      <c r="P550" s="264"/>
      <c r="Q550" s="264"/>
      <c r="R550" s="264"/>
      <c r="S550" s="264"/>
      <c r="T550" s="1056"/>
      <c r="U550" s="1056"/>
      <c r="V550" s="1056"/>
      <c r="W550" s="1056"/>
      <c r="X550" s="1056"/>
      <c r="Y550" s="1056"/>
      <c r="Z550" s="1056"/>
      <c r="AA550" s="1056"/>
      <c r="AB550" s="1056"/>
      <c r="AC550" s="1056"/>
      <c r="AD550" s="1056"/>
      <c r="AE550" s="1056"/>
      <c r="AF550" s="264"/>
    </row>
    <row r="551" spans="1:32" s="268" customFormat="1" ht="15" x14ac:dyDescent="0.25">
      <c r="A551" s="264"/>
      <c r="B551" s="264"/>
      <c r="C551" s="1056"/>
      <c r="D551" s="1056"/>
      <c r="E551" s="1056"/>
      <c r="F551" s="1056"/>
      <c r="G551" s="1056"/>
      <c r="H551" s="1056"/>
      <c r="I551" s="1056"/>
      <c r="J551" s="1056"/>
      <c r="K551" s="1056"/>
      <c r="L551" s="1056"/>
      <c r="M551" s="274"/>
      <c r="P551" s="264"/>
      <c r="Q551" s="264"/>
      <c r="R551" s="264"/>
      <c r="S551" s="264"/>
      <c r="T551" s="1056"/>
      <c r="U551" s="1056"/>
      <c r="V551" s="1056"/>
      <c r="W551" s="1056"/>
      <c r="X551" s="1056"/>
      <c r="Y551" s="1056"/>
      <c r="Z551" s="1056"/>
      <c r="AA551" s="1056"/>
      <c r="AB551" s="1056"/>
      <c r="AC551" s="1056"/>
      <c r="AD551" s="1056"/>
      <c r="AE551" s="1056"/>
      <c r="AF551" s="264"/>
    </row>
    <row r="552" spans="1:32" s="268" customFormat="1" ht="15" x14ac:dyDescent="0.25">
      <c r="A552" s="264"/>
      <c r="B552" s="264"/>
      <c r="C552" s="1056"/>
      <c r="D552" s="1056"/>
      <c r="E552" s="1056"/>
      <c r="F552" s="1056"/>
      <c r="G552" s="1056"/>
      <c r="H552" s="1056"/>
      <c r="I552" s="1056"/>
      <c r="J552" s="1056"/>
      <c r="K552" s="1056"/>
      <c r="L552" s="1056"/>
      <c r="M552" s="274"/>
      <c r="P552" s="264"/>
      <c r="Q552" s="264"/>
      <c r="R552" s="264"/>
      <c r="S552" s="264"/>
      <c r="T552" s="1056"/>
      <c r="U552" s="1056"/>
      <c r="V552" s="1056"/>
      <c r="W552" s="1056"/>
      <c r="X552" s="1056"/>
      <c r="Y552" s="1056"/>
      <c r="Z552" s="1056"/>
      <c r="AA552" s="1056"/>
      <c r="AB552" s="1056"/>
      <c r="AC552" s="1056"/>
      <c r="AD552" s="1056"/>
      <c r="AE552" s="1056"/>
      <c r="AF552" s="264"/>
    </row>
    <row r="553" spans="1:32" s="268" customFormat="1" ht="15" x14ac:dyDescent="0.25">
      <c r="A553" s="264"/>
      <c r="B553" s="264"/>
      <c r="C553" s="1056"/>
      <c r="D553" s="1056"/>
      <c r="E553" s="1056"/>
      <c r="F553" s="1056"/>
      <c r="G553" s="1056"/>
      <c r="H553" s="1056"/>
      <c r="I553" s="1056"/>
      <c r="J553" s="1056"/>
      <c r="K553" s="1056"/>
      <c r="L553" s="1056"/>
      <c r="M553" s="274"/>
      <c r="P553" s="264"/>
      <c r="Q553" s="264"/>
      <c r="R553" s="264"/>
      <c r="S553" s="264"/>
      <c r="T553" s="1056"/>
      <c r="U553" s="1056"/>
      <c r="V553" s="1056"/>
      <c r="W553" s="1056"/>
      <c r="X553" s="1056"/>
      <c r="Y553" s="1056"/>
      <c r="Z553" s="1056"/>
      <c r="AA553" s="1056"/>
      <c r="AB553" s="1056"/>
      <c r="AC553" s="1056"/>
      <c r="AD553" s="1056"/>
      <c r="AE553" s="1056"/>
      <c r="AF553" s="264"/>
    </row>
    <row r="554" spans="1:32" s="268" customFormat="1" ht="15" x14ac:dyDescent="0.25">
      <c r="A554" s="264"/>
      <c r="B554" s="264"/>
      <c r="C554" s="1056"/>
      <c r="D554" s="1056"/>
      <c r="E554" s="1056"/>
      <c r="F554" s="1056"/>
      <c r="G554" s="1056"/>
      <c r="H554" s="1056"/>
      <c r="I554" s="1056"/>
      <c r="J554" s="1056"/>
      <c r="K554" s="1056"/>
      <c r="L554" s="1056"/>
      <c r="M554" s="274"/>
      <c r="P554" s="264"/>
      <c r="Q554" s="264"/>
      <c r="R554" s="264"/>
      <c r="S554" s="264"/>
      <c r="T554" s="1056"/>
      <c r="U554" s="1056"/>
      <c r="V554" s="1056"/>
      <c r="W554" s="1056"/>
      <c r="X554" s="1056"/>
      <c r="Y554" s="1056"/>
      <c r="Z554" s="1056"/>
      <c r="AA554" s="1056"/>
      <c r="AB554" s="1056"/>
      <c r="AC554" s="1056"/>
      <c r="AD554" s="1056"/>
      <c r="AE554" s="1056"/>
      <c r="AF554" s="264"/>
    </row>
    <row r="555" spans="1:32" s="268" customFormat="1" ht="15" x14ac:dyDescent="0.25">
      <c r="A555" s="264"/>
      <c r="B555" s="264"/>
      <c r="C555" s="1056"/>
      <c r="D555" s="1056"/>
      <c r="E555" s="1056"/>
      <c r="F555" s="1056"/>
      <c r="G555" s="1056"/>
      <c r="H555" s="1056"/>
      <c r="I555" s="1056"/>
      <c r="J555" s="1056"/>
      <c r="K555" s="1056"/>
      <c r="L555" s="1056"/>
      <c r="M555" s="274"/>
      <c r="P555" s="264"/>
      <c r="Q555" s="264"/>
      <c r="R555" s="264"/>
      <c r="S555" s="264"/>
      <c r="T555" s="1056"/>
      <c r="U555" s="1056"/>
      <c r="V555" s="1056"/>
      <c r="W555" s="1056"/>
      <c r="X555" s="1056"/>
      <c r="Y555" s="1056"/>
      <c r="Z555" s="1056"/>
      <c r="AA555" s="1056"/>
      <c r="AB555" s="1056"/>
      <c r="AC555" s="1056"/>
      <c r="AD555" s="1056"/>
      <c r="AE555" s="1056"/>
      <c r="AF555" s="264"/>
    </row>
    <row r="556" spans="1:32" s="268" customFormat="1" ht="15" x14ac:dyDescent="0.25">
      <c r="A556" s="264"/>
      <c r="B556" s="264"/>
      <c r="C556" s="1056"/>
      <c r="D556" s="1056"/>
      <c r="E556" s="1056"/>
      <c r="F556" s="1056"/>
      <c r="G556" s="1056"/>
      <c r="H556" s="1056"/>
      <c r="I556" s="1056"/>
      <c r="J556" s="1056"/>
      <c r="K556" s="1056"/>
      <c r="L556" s="1056"/>
      <c r="M556" s="274"/>
      <c r="P556" s="264"/>
      <c r="Q556" s="264"/>
      <c r="R556" s="264"/>
      <c r="S556" s="264"/>
      <c r="T556" s="1056"/>
      <c r="U556" s="1056"/>
      <c r="V556" s="1056"/>
      <c r="W556" s="1056"/>
      <c r="X556" s="1056"/>
      <c r="Y556" s="1056"/>
      <c r="Z556" s="1056"/>
      <c r="AA556" s="1056"/>
      <c r="AB556" s="1056"/>
      <c r="AC556" s="1056"/>
      <c r="AD556" s="1056"/>
      <c r="AE556" s="1056"/>
      <c r="AF556" s="264"/>
    </row>
    <row r="557" spans="1:32" s="268" customFormat="1" ht="15" x14ac:dyDescent="0.25">
      <c r="A557" s="264"/>
      <c r="B557" s="264"/>
      <c r="C557" s="1056"/>
      <c r="D557" s="1056"/>
      <c r="E557" s="1056"/>
      <c r="F557" s="1056"/>
      <c r="G557" s="1056"/>
      <c r="H557" s="1056"/>
      <c r="I557" s="1056"/>
      <c r="J557" s="1056"/>
      <c r="K557" s="1056"/>
      <c r="L557" s="1056"/>
      <c r="M557" s="274"/>
      <c r="P557" s="264"/>
      <c r="Q557" s="264"/>
      <c r="R557" s="264"/>
      <c r="S557" s="264"/>
      <c r="T557" s="1056"/>
      <c r="U557" s="1056"/>
      <c r="V557" s="1056"/>
      <c r="W557" s="1056"/>
      <c r="X557" s="1056"/>
      <c r="Y557" s="1056"/>
      <c r="Z557" s="1056"/>
      <c r="AA557" s="1056"/>
      <c r="AB557" s="1056"/>
      <c r="AC557" s="1056"/>
      <c r="AD557" s="1056"/>
      <c r="AE557" s="1056"/>
      <c r="AF557" s="264"/>
    </row>
    <row r="558" spans="1:32" s="268" customFormat="1" ht="15" x14ac:dyDescent="0.25">
      <c r="A558" s="264"/>
      <c r="B558" s="264"/>
      <c r="C558" s="1056"/>
      <c r="D558" s="1056"/>
      <c r="E558" s="1056"/>
      <c r="F558" s="1056"/>
      <c r="G558" s="1056"/>
      <c r="H558" s="1056"/>
      <c r="I558" s="1056"/>
      <c r="J558" s="1056"/>
      <c r="K558" s="1056"/>
      <c r="L558" s="1056"/>
      <c r="M558" s="274"/>
      <c r="P558" s="264"/>
      <c r="Q558" s="264"/>
      <c r="R558" s="264"/>
      <c r="S558" s="264"/>
      <c r="T558" s="1056"/>
      <c r="U558" s="1056"/>
      <c r="V558" s="1056"/>
      <c r="W558" s="1056"/>
      <c r="X558" s="1056"/>
      <c r="Y558" s="1056"/>
      <c r="Z558" s="1056"/>
      <c r="AA558" s="1056"/>
      <c r="AB558" s="1056"/>
      <c r="AC558" s="1056"/>
      <c r="AD558" s="1056"/>
      <c r="AE558" s="1056"/>
      <c r="AF558" s="264"/>
    </row>
    <row r="559" spans="1:32" s="268" customFormat="1" ht="15" x14ac:dyDescent="0.25">
      <c r="A559" s="264"/>
      <c r="B559" s="264"/>
      <c r="C559" s="1056"/>
      <c r="D559" s="1056"/>
      <c r="E559" s="1056"/>
      <c r="F559" s="1056"/>
      <c r="G559" s="1056"/>
      <c r="H559" s="1056"/>
      <c r="I559" s="1056"/>
      <c r="J559" s="1056"/>
      <c r="K559" s="1056"/>
      <c r="L559" s="1056"/>
      <c r="M559" s="274"/>
      <c r="P559" s="264"/>
      <c r="Q559" s="264"/>
      <c r="R559" s="264"/>
      <c r="S559" s="264"/>
      <c r="T559" s="1056"/>
      <c r="U559" s="1056"/>
      <c r="V559" s="1056"/>
      <c r="W559" s="1056"/>
      <c r="X559" s="1056"/>
      <c r="Y559" s="1056"/>
      <c r="Z559" s="1056"/>
      <c r="AA559" s="1056"/>
      <c r="AB559" s="1056"/>
      <c r="AC559" s="1056"/>
      <c r="AD559" s="1056"/>
      <c r="AE559" s="1056"/>
      <c r="AF559" s="264"/>
    </row>
    <row r="560" spans="1:32" s="268" customFormat="1" ht="15" x14ac:dyDescent="0.25">
      <c r="A560" s="264"/>
      <c r="B560" s="264"/>
      <c r="C560" s="1056"/>
      <c r="D560" s="1056"/>
      <c r="E560" s="1056"/>
      <c r="F560" s="1056"/>
      <c r="G560" s="1056"/>
      <c r="H560" s="1056"/>
      <c r="I560" s="1056"/>
      <c r="J560" s="1056"/>
      <c r="K560" s="1056"/>
      <c r="L560" s="1056"/>
      <c r="M560" s="274"/>
      <c r="P560" s="264"/>
      <c r="Q560" s="264"/>
      <c r="R560" s="264"/>
      <c r="S560" s="264"/>
      <c r="T560" s="1056"/>
      <c r="U560" s="1056"/>
      <c r="V560" s="1056"/>
      <c r="W560" s="1056"/>
      <c r="X560" s="1056"/>
      <c r="Y560" s="1056"/>
      <c r="Z560" s="1056"/>
      <c r="AA560" s="1056"/>
      <c r="AB560" s="1056"/>
      <c r="AC560" s="1056"/>
      <c r="AD560" s="1056"/>
      <c r="AE560" s="1056"/>
      <c r="AF560" s="264"/>
    </row>
    <row r="561" spans="1:32" s="268" customFormat="1" ht="15" x14ac:dyDescent="0.25">
      <c r="A561" s="264"/>
      <c r="B561" s="264"/>
      <c r="C561" s="1056"/>
      <c r="D561" s="1056"/>
      <c r="E561" s="1056"/>
      <c r="F561" s="1056"/>
      <c r="G561" s="1056"/>
      <c r="H561" s="1056"/>
      <c r="I561" s="1056"/>
      <c r="J561" s="1056"/>
      <c r="K561" s="1056"/>
      <c r="L561" s="1056"/>
      <c r="M561" s="274"/>
      <c r="P561" s="264"/>
      <c r="Q561" s="264"/>
      <c r="R561" s="264"/>
      <c r="S561" s="264"/>
      <c r="T561" s="1056"/>
      <c r="U561" s="1056"/>
      <c r="V561" s="1056"/>
      <c r="W561" s="1056"/>
      <c r="X561" s="1056"/>
      <c r="Y561" s="1056"/>
      <c r="Z561" s="1056"/>
      <c r="AA561" s="1056"/>
      <c r="AB561" s="1056"/>
      <c r="AC561" s="1056"/>
      <c r="AD561" s="1056"/>
      <c r="AE561" s="1056"/>
      <c r="AF561" s="264"/>
    </row>
    <row r="562" spans="1:32" s="268" customFormat="1" ht="15" x14ac:dyDescent="0.25">
      <c r="A562" s="264"/>
      <c r="B562" s="264"/>
      <c r="C562" s="1056"/>
      <c r="D562" s="1056"/>
      <c r="E562" s="1056"/>
      <c r="F562" s="1056"/>
      <c r="G562" s="1056"/>
      <c r="H562" s="1056"/>
      <c r="I562" s="1056"/>
      <c r="J562" s="1056"/>
      <c r="K562" s="1056"/>
      <c r="L562" s="1056"/>
      <c r="M562" s="274"/>
      <c r="P562" s="264"/>
      <c r="Q562" s="264"/>
      <c r="R562" s="264"/>
      <c r="S562" s="264"/>
      <c r="T562" s="1056"/>
      <c r="U562" s="1056"/>
      <c r="V562" s="1056"/>
      <c r="W562" s="1056"/>
      <c r="X562" s="1056"/>
      <c r="Y562" s="1056"/>
      <c r="Z562" s="1056"/>
      <c r="AA562" s="1056"/>
      <c r="AB562" s="1056"/>
      <c r="AC562" s="1056"/>
      <c r="AD562" s="1056"/>
      <c r="AE562" s="1056"/>
      <c r="AF562" s="264"/>
    </row>
    <row r="563" spans="1:32" s="268" customFormat="1" ht="15" x14ac:dyDescent="0.25">
      <c r="A563" s="264"/>
      <c r="B563" s="264"/>
      <c r="C563" s="1056"/>
      <c r="D563" s="1056"/>
      <c r="E563" s="1056"/>
      <c r="F563" s="1056"/>
      <c r="G563" s="1056"/>
      <c r="H563" s="1056"/>
      <c r="I563" s="1056"/>
      <c r="J563" s="1056"/>
      <c r="K563" s="1056"/>
      <c r="L563" s="1056"/>
      <c r="M563" s="274"/>
      <c r="P563" s="264"/>
      <c r="Q563" s="264"/>
      <c r="R563" s="264"/>
      <c r="S563" s="264"/>
      <c r="T563" s="1056"/>
      <c r="U563" s="1056"/>
      <c r="V563" s="1056"/>
      <c r="W563" s="1056"/>
      <c r="X563" s="1056"/>
      <c r="Y563" s="1056"/>
      <c r="Z563" s="1056"/>
      <c r="AA563" s="1056"/>
      <c r="AB563" s="1056"/>
      <c r="AC563" s="1056"/>
      <c r="AD563" s="1056"/>
      <c r="AE563" s="1056"/>
      <c r="AF563" s="264"/>
    </row>
    <row r="564" spans="1:32" s="268" customFormat="1" ht="15" x14ac:dyDescent="0.25">
      <c r="A564" s="264"/>
      <c r="B564" s="264"/>
      <c r="C564" s="1056"/>
      <c r="D564" s="1056"/>
      <c r="E564" s="1056"/>
      <c r="F564" s="1056"/>
      <c r="G564" s="1056"/>
      <c r="H564" s="1056"/>
      <c r="I564" s="1056"/>
      <c r="J564" s="1056"/>
      <c r="K564" s="1056"/>
      <c r="L564" s="1056"/>
      <c r="M564" s="274"/>
      <c r="P564" s="264"/>
      <c r="Q564" s="264"/>
      <c r="R564" s="264"/>
      <c r="S564" s="264"/>
      <c r="T564" s="1056"/>
      <c r="U564" s="1056"/>
      <c r="V564" s="1056"/>
      <c r="W564" s="1056"/>
      <c r="X564" s="1056"/>
      <c r="Y564" s="1056"/>
      <c r="Z564" s="1056"/>
      <c r="AA564" s="1056"/>
      <c r="AB564" s="1056"/>
      <c r="AC564" s="1056"/>
      <c r="AD564" s="1056"/>
      <c r="AE564" s="1056"/>
      <c r="AF564" s="264"/>
    </row>
    <row r="565" spans="1:32" s="268" customFormat="1" ht="15" x14ac:dyDescent="0.25">
      <c r="A565" s="264"/>
      <c r="B565" s="264"/>
      <c r="C565" s="1056"/>
      <c r="D565" s="1056"/>
      <c r="E565" s="1056"/>
      <c r="F565" s="1056"/>
      <c r="G565" s="1056"/>
      <c r="H565" s="1056"/>
      <c r="I565" s="1056"/>
      <c r="J565" s="1056"/>
      <c r="K565" s="1056"/>
      <c r="L565" s="1056"/>
      <c r="M565" s="274"/>
      <c r="P565" s="264"/>
      <c r="Q565" s="264"/>
      <c r="R565" s="264"/>
      <c r="S565" s="264"/>
      <c r="T565" s="1056"/>
      <c r="U565" s="1056"/>
      <c r="V565" s="1056"/>
      <c r="W565" s="1056"/>
      <c r="X565" s="1056"/>
      <c r="Y565" s="1056"/>
      <c r="Z565" s="1056"/>
      <c r="AA565" s="1056"/>
      <c r="AB565" s="1056"/>
      <c r="AC565" s="1056"/>
      <c r="AD565" s="1056"/>
      <c r="AE565" s="1056"/>
      <c r="AF565" s="264"/>
    </row>
    <row r="566" spans="1:32" s="268" customFormat="1" ht="15" x14ac:dyDescent="0.25">
      <c r="A566" s="264"/>
      <c r="B566" s="264"/>
      <c r="C566" s="1056"/>
      <c r="D566" s="1056"/>
      <c r="E566" s="1056"/>
      <c r="F566" s="1056"/>
      <c r="G566" s="1056"/>
      <c r="H566" s="1056"/>
      <c r="I566" s="1056"/>
      <c r="J566" s="1056"/>
      <c r="K566" s="1056"/>
      <c r="L566" s="1056"/>
      <c r="M566" s="274"/>
      <c r="P566" s="264"/>
      <c r="Q566" s="264"/>
      <c r="R566" s="264"/>
      <c r="S566" s="264"/>
      <c r="T566" s="1056"/>
      <c r="U566" s="1056"/>
      <c r="V566" s="1056"/>
      <c r="W566" s="1056"/>
      <c r="X566" s="1056"/>
      <c r="Y566" s="1056"/>
      <c r="Z566" s="1056"/>
      <c r="AA566" s="1056"/>
      <c r="AB566" s="1056"/>
      <c r="AC566" s="1056"/>
      <c r="AD566" s="1056"/>
      <c r="AE566" s="1056"/>
      <c r="AF566" s="264"/>
    </row>
    <row r="567" spans="1:32" s="268" customFormat="1" ht="15" x14ac:dyDescent="0.25">
      <c r="A567" s="264"/>
      <c r="B567" s="264"/>
      <c r="C567" s="1056"/>
      <c r="D567" s="1056"/>
      <c r="E567" s="1056"/>
      <c r="F567" s="1056"/>
      <c r="G567" s="1056"/>
      <c r="H567" s="1056"/>
      <c r="I567" s="1056"/>
      <c r="J567" s="1056"/>
      <c r="K567" s="1056"/>
      <c r="L567" s="1056"/>
      <c r="M567" s="274"/>
      <c r="P567" s="264"/>
      <c r="Q567" s="264"/>
      <c r="R567" s="264"/>
      <c r="S567" s="264"/>
      <c r="T567" s="1056"/>
      <c r="U567" s="1056"/>
      <c r="V567" s="1056"/>
      <c r="W567" s="1056"/>
      <c r="X567" s="1056"/>
      <c r="Y567" s="1056"/>
      <c r="Z567" s="1056"/>
      <c r="AA567" s="1056"/>
      <c r="AB567" s="1056"/>
      <c r="AC567" s="1056"/>
      <c r="AD567" s="1056"/>
      <c r="AE567" s="1056"/>
      <c r="AF567" s="264"/>
    </row>
    <row r="568" spans="1:32" s="268" customFormat="1" ht="15" x14ac:dyDescent="0.25">
      <c r="A568" s="264"/>
      <c r="B568" s="264"/>
      <c r="C568" s="1056"/>
      <c r="D568" s="1056"/>
      <c r="E568" s="1056"/>
      <c r="F568" s="1056"/>
      <c r="G568" s="1056"/>
      <c r="H568" s="1056"/>
      <c r="I568" s="1056"/>
      <c r="J568" s="1056"/>
      <c r="K568" s="1056"/>
      <c r="L568" s="1056"/>
      <c r="M568" s="274"/>
      <c r="P568" s="264"/>
      <c r="Q568" s="264"/>
      <c r="R568" s="264"/>
      <c r="S568" s="264"/>
      <c r="T568" s="1056"/>
      <c r="U568" s="1056"/>
      <c r="V568" s="1056"/>
      <c r="W568" s="1056"/>
      <c r="X568" s="1056"/>
      <c r="Y568" s="1056"/>
      <c r="Z568" s="1056"/>
      <c r="AA568" s="1056"/>
      <c r="AB568" s="1056"/>
      <c r="AC568" s="1056"/>
      <c r="AD568" s="1056"/>
      <c r="AE568" s="1056"/>
      <c r="AF568" s="264"/>
    </row>
    <row r="569" spans="1:32" s="268" customFormat="1" ht="15" x14ac:dyDescent="0.25">
      <c r="A569" s="264"/>
      <c r="B569" s="264"/>
      <c r="C569" s="1056"/>
      <c r="D569" s="1056"/>
      <c r="E569" s="1056"/>
      <c r="F569" s="1056"/>
      <c r="G569" s="1056"/>
      <c r="H569" s="1056"/>
      <c r="I569" s="1056"/>
      <c r="J569" s="1056"/>
      <c r="K569" s="1056"/>
      <c r="L569" s="1056"/>
      <c r="M569" s="274"/>
      <c r="P569" s="264"/>
      <c r="Q569" s="264"/>
      <c r="R569" s="264"/>
      <c r="S569" s="264"/>
      <c r="T569" s="1056"/>
      <c r="U569" s="1056"/>
      <c r="V569" s="1056"/>
      <c r="W569" s="1056"/>
      <c r="X569" s="1056"/>
      <c r="Y569" s="1056"/>
      <c r="Z569" s="1056"/>
      <c r="AA569" s="1056"/>
      <c r="AB569" s="1056"/>
      <c r="AC569" s="1056"/>
      <c r="AD569" s="1056"/>
      <c r="AE569" s="1056"/>
      <c r="AF569" s="264"/>
    </row>
    <row r="570" spans="1:32" s="268" customFormat="1" ht="15" x14ac:dyDescent="0.25">
      <c r="A570" s="264"/>
      <c r="B570" s="264"/>
      <c r="C570" s="1056"/>
      <c r="D570" s="1056"/>
      <c r="E570" s="1056"/>
      <c r="F570" s="1056"/>
      <c r="G570" s="1056"/>
      <c r="H570" s="1056"/>
      <c r="I570" s="1056"/>
      <c r="J570" s="1056"/>
      <c r="K570" s="1056"/>
      <c r="L570" s="1056"/>
      <c r="M570" s="274"/>
      <c r="P570" s="264"/>
      <c r="Q570" s="264"/>
      <c r="R570" s="264"/>
      <c r="S570" s="264"/>
      <c r="T570" s="1056"/>
      <c r="U570" s="1056"/>
      <c r="V570" s="1056"/>
      <c r="W570" s="1056"/>
      <c r="X570" s="1056"/>
      <c r="Y570" s="1056"/>
      <c r="Z570" s="1056"/>
      <c r="AA570" s="1056"/>
      <c r="AB570" s="1056"/>
      <c r="AC570" s="1056"/>
      <c r="AD570" s="1056"/>
      <c r="AE570" s="1056"/>
      <c r="AF570" s="264"/>
    </row>
    <row r="571" spans="1:32" s="268" customFormat="1" ht="15" x14ac:dyDescent="0.25">
      <c r="A571" s="264"/>
      <c r="B571" s="264"/>
      <c r="C571" s="1056"/>
      <c r="D571" s="1056"/>
      <c r="E571" s="1056"/>
      <c r="F571" s="1056"/>
      <c r="G571" s="1056"/>
      <c r="H571" s="1056"/>
      <c r="I571" s="1056"/>
      <c r="J571" s="1056"/>
      <c r="K571" s="1056"/>
      <c r="L571" s="1056"/>
      <c r="M571" s="274"/>
      <c r="P571" s="264"/>
      <c r="Q571" s="264"/>
      <c r="R571" s="264"/>
      <c r="S571" s="264"/>
      <c r="T571" s="1056"/>
      <c r="U571" s="1056"/>
      <c r="V571" s="1056"/>
      <c r="W571" s="1056"/>
      <c r="X571" s="1056"/>
      <c r="Y571" s="1056"/>
      <c r="Z571" s="1056"/>
      <c r="AA571" s="1056"/>
      <c r="AB571" s="1056"/>
      <c r="AC571" s="1056"/>
      <c r="AD571" s="1056"/>
      <c r="AE571" s="1056"/>
      <c r="AF571" s="264"/>
    </row>
    <row r="572" spans="1:32" s="268" customFormat="1" ht="15" x14ac:dyDescent="0.25">
      <c r="A572" s="264"/>
      <c r="B572" s="264"/>
      <c r="C572" s="1056"/>
      <c r="D572" s="1056"/>
      <c r="E572" s="1056"/>
      <c r="F572" s="1056"/>
      <c r="G572" s="1056"/>
      <c r="H572" s="1056"/>
      <c r="I572" s="1056"/>
      <c r="J572" s="1056"/>
      <c r="K572" s="1056"/>
      <c r="L572" s="1056"/>
      <c r="M572" s="274"/>
      <c r="P572" s="264"/>
      <c r="Q572" s="264"/>
      <c r="R572" s="264"/>
      <c r="S572" s="264"/>
      <c r="T572" s="1056"/>
      <c r="U572" s="1056"/>
      <c r="V572" s="1056"/>
      <c r="W572" s="1056"/>
      <c r="X572" s="1056"/>
      <c r="Y572" s="1056"/>
      <c r="Z572" s="1056"/>
      <c r="AA572" s="1056"/>
      <c r="AB572" s="1056"/>
      <c r="AC572" s="1056"/>
      <c r="AD572" s="1056"/>
      <c r="AE572" s="1056"/>
      <c r="AF572" s="264"/>
    </row>
    <row r="573" spans="1:32" s="268" customFormat="1" ht="15" x14ac:dyDescent="0.25">
      <c r="A573" s="264"/>
      <c r="B573" s="264"/>
      <c r="C573" s="1056"/>
      <c r="D573" s="1056"/>
      <c r="E573" s="1056"/>
      <c r="F573" s="1056"/>
      <c r="G573" s="1056"/>
      <c r="H573" s="1056"/>
      <c r="I573" s="1056"/>
      <c r="J573" s="1056"/>
      <c r="K573" s="1056"/>
      <c r="L573" s="1056"/>
      <c r="M573" s="274"/>
      <c r="P573" s="264"/>
      <c r="Q573" s="264"/>
      <c r="R573" s="264"/>
      <c r="S573" s="264"/>
      <c r="T573" s="1056"/>
      <c r="U573" s="1056"/>
      <c r="V573" s="1056"/>
      <c r="W573" s="1056"/>
      <c r="X573" s="1056"/>
      <c r="Y573" s="1056"/>
      <c r="Z573" s="1056"/>
      <c r="AA573" s="1056"/>
      <c r="AB573" s="1056"/>
      <c r="AC573" s="1056"/>
      <c r="AD573" s="1056"/>
      <c r="AE573" s="1056"/>
      <c r="AF573" s="264"/>
    </row>
    <row r="574" spans="1:32" s="268" customFormat="1" ht="15" x14ac:dyDescent="0.25">
      <c r="A574" s="264"/>
      <c r="B574" s="264"/>
      <c r="C574" s="1056"/>
      <c r="D574" s="1056"/>
      <c r="E574" s="1056"/>
      <c r="F574" s="1056"/>
      <c r="G574" s="1056"/>
      <c r="H574" s="1056"/>
      <c r="I574" s="1056"/>
      <c r="J574" s="1056"/>
      <c r="K574" s="1056"/>
      <c r="L574" s="1056"/>
      <c r="M574" s="274"/>
      <c r="P574" s="264"/>
      <c r="Q574" s="264"/>
      <c r="R574" s="264"/>
      <c r="S574" s="264"/>
      <c r="T574" s="1056"/>
      <c r="U574" s="1056"/>
      <c r="V574" s="1056"/>
      <c r="W574" s="1056"/>
      <c r="X574" s="1056"/>
      <c r="Y574" s="1056"/>
      <c r="Z574" s="1056"/>
      <c r="AA574" s="1056"/>
      <c r="AB574" s="1056"/>
      <c r="AC574" s="1056"/>
      <c r="AD574" s="1056"/>
      <c r="AE574" s="1056"/>
      <c r="AF574" s="264"/>
    </row>
    <row r="575" spans="1:32" s="268" customFormat="1" ht="15" x14ac:dyDescent="0.25">
      <c r="A575" s="264"/>
      <c r="B575" s="264"/>
      <c r="C575" s="1056"/>
      <c r="D575" s="1056"/>
      <c r="E575" s="1056"/>
      <c r="F575" s="1056"/>
      <c r="G575" s="1056"/>
      <c r="H575" s="1056"/>
      <c r="I575" s="1056"/>
      <c r="J575" s="1056"/>
      <c r="K575" s="1056"/>
      <c r="L575" s="1056"/>
      <c r="M575" s="274"/>
      <c r="P575" s="264"/>
      <c r="Q575" s="264"/>
      <c r="R575" s="264"/>
      <c r="S575" s="264"/>
      <c r="T575" s="1056"/>
      <c r="U575" s="1056"/>
      <c r="V575" s="1056"/>
      <c r="W575" s="1056"/>
      <c r="X575" s="1056"/>
      <c r="Y575" s="1056"/>
      <c r="Z575" s="1056"/>
      <c r="AA575" s="1056"/>
      <c r="AB575" s="1056"/>
      <c r="AC575" s="1056"/>
      <c r="AD575" s="1056"/>
      <c r="AE575" s="1056"/>
      <c r="AF575" s="264"/>
    </row>
    <row r="576" spans="1:32" s="268" customFormat="1" ht="15" x14ac:dyDescent="0.25">
      <c r="A576" s="264"/>
      <c r="B576" s="264"/>
      <c r="C576" s="1056"/>
      <c r="D576" s="1056"/>
      <c r="E576" s="1056"/>
      <c r="F576" s="1056"/>
      <c r="G576" s="1056"/>
      <c r="H576" s="1056"/>
      <c r="I576" s="1056"/>
      <c r="J576" s="1056"/>
      <c r="K576" s="1056"/>
      <c r="L576" s="1056"/>
      <c r="M576" s="274"/>
      <c r="P576" s="264"/>
      <c r="Q576" s="264"/>
      <c r="R576" s="264"/>
      <c r="S576" s="264"/>
      <c r="T576" s="1056"/>
      <c r="U576" s="1056"/>
      <c r="V576" s="1056"/>
      <c r="W576" s="1056"/>
      <c r="X576" s="1056"/>
      <c r="Y576" s="1056"/>
      <c r="Z576" s="1056"/>
      <c r="AA576" s="1056"/>
      <c r="AB576" s="1056"/>
      <c r="AC576" s="1056"/>
      <c r="AD576" s="1056"/>
      <c r="AE576" s="1056"/>
      <c r="AF576" s="264"/>
    </row>
    <row r="577" spans="1:32" s="268" customFormat="1" ht="15" x14ac:dyDescent="0.25">
      <c r="A577" s="264"/>
      <c r="B577" s="264"/>
      <c r="C577" s="1056"/>
      <c r="D577" s="1056"/>
      <c r="E577" s="1056"/>
      <c r="F577" s="1056"/>
      <c r="G577" s="1056"/>
      <c r="H577" s="1056"/>
      <c r="I577" s="1056"/>
      <c r="J577" s="1056"/>
      <c r="K577" s="1056"/>
      <c r="L577" s="1056"/>
      <c r="M577" s="274"/>
      <c r="P577" s="264"/>
      <c r="Q577" s="264"/>
      <c r="R577" s="264"/>
      <c r="S577" s="264"/>
      <c r="T577" s="1056"/>
      <c r="U577" s="1056"/>
      <c r="V577" s="1056"/>
      <c r="W577" s="1056"/>
      <c r="X577" s="1056"/>
      <c r="Y577" s="1056"/>
      <c r="Z577" s="1056"/>
      <c r="AA577" s="1056"/>
      <c r="AB577" s="1056"/>
      <c r="AC577" s="1056"/>
      <c r="AD577" s="1056"/>
      <c r="AE577" s="1056"/>
      <c r="AF577" s="264"/>
    </row>
    <row r="578" spans="1:32" s="268" customFormat="1" ht="15" x14ac:dyDescent="0.25">
      <c r="A578" s="264"/>
      <c r="B578" s="264"/>
      <c r="C578" s="1056"/>
      <c r="D578" s="1056"/>
      <c r="E578" s="1056"/>
      <c r="F578" s="1056"/>
      <c r="G578" s="1056"/>
      <c r="H578" s="1056"/>
      <c r="I578" s="1056"/>
      <c r="J578" s="1056"/>
      <c r="K578" s="1056"/>
      <c r="L578" s="1056"/>
      <c r="M578" s="274"/>
      <c r="P578" s="264"/>
      <c r="Q578" s="264"/>
      <c r="R578" s="264"/>
      <c r="S578" s="264"/>
      <c r="T578" s="1056"/>
      <c r="U578" s="1056"/>
      <c r="V578" s="1056"/>
      <c r="W578" s="1056"/>
      <c r="X578" s="1056"/>
      <c r="Y578" s="1056"/>
      <c r="Z578" s="1056"/>
      <c r="AA578" s="1056"/>
      <c r="AB578" s="1056"/>
      <c r="AC578" s="1056"/>
      <c r="AD578" s="1056"/>
      <c r="AE578" s="1056"/>
      <c r="AF578" s="264"/>
    </row>
    <row r="579" spans="1:32" s="268" customFormat="1" ht="15" x14ac:dyDescent="0.25">
      <c r="A579" s="264"/>
      <c r="B579" s="264"/>
      <c r="C579" s="1056"/>
      <c r="D579" s="1056"/>
      <c r="E579" s="1056"/>
      <c r="F579" s="1056"/>
      <c r="G579" s="1056"/>
      <c r="H579" s="1056"/>
      <c r="I579" s="1056"/>
      <c r="J579" s="1056"/>
      <c r="K579" s="1056"/>
      <c r="L579" s="1056"/>
      <c r="M579" s="274"/>
      <c r="P579" s="264"/>
      <c r="Q579" s="264"/>
      <c r="R579" s="264"/>
      <c r="S579" s="264"/>
      <c r="T579" s="1056"/>
      <c r="U579" s="1056"/>
      <c r="V579" s="1056"/>
      <c r="W579" s="1056"/>
      <c r="X579" s="1056"/>
      <c r="Y579" s="1056"/>
      <c r="Z579" s="1056"/>
      <c r="AA579" s="1056"/>
      <c r="AB579" s="1056"/>
      <c r="AC579" s="1056"/>
      <c r="AD579" s="1056"/>
      <c r="AE579" s="1056"/>
      <c r="AF579" s="264"/>
    </row>
    <row r="580" spans="1:32" s="268" customFormat="1" ht="15" x14ac:dyDescent="0.25">
      <c r="A580" s="264"/>
      <c r="B580" s="264"/>
      <c r="C580" s="1056"/>
      <c r="D580" s="1056"/>
      <c r="E580" s="1056"/>
      <c r="F580" s="1056"/>
      <c r="G580" s="1056"/>
      <c r="H580" s="1056"/>
      <c r="I580" s="1056"/>
      <c r="J580" s="1056"/>
      <c r="K580" s="1056"/>
      <c r="L580" s="1056"/>
      <c r="M580" s="274"/>
      <c r="P580" s="264"/>
      <c r="Q580" s="264"/>
      <c r="R580" s="264"/>
      <c r="S580" s="264"/>
      <c r="T580" s="1056"/>
      <c r="U580" s="1056"/>
      <c r="V580" s="1056"/>
      <c r="W580" s="1056"/>
      <c r="X580" s="1056"/>
      <c r="Y580" s="1056"/>
      <c r="Z580" s="1056"/>
      <c r="AA580" s="1056"/>
      <c r="AB580" s="1056"/>
      <c r="AC580" s="1056"/>
      <c r="AD580" s="1056"/>
      <c r="AE580" s="1056"/>
      <c r="AF580" s="264"/>
    </row>
    <row r="581" spans="1:32" s="268" customFormat="1" ht="15" x14ac:dyDescent="0.25">
      <c r="A581" s="264"/>
      <c r="B581" s="264"/>
      <c r="C581" s="1056"/>
      <c r="D581" s="1056"/>
      <c r="E581" s="1056"/>
      <c r="F581" s="1056"/>
      <c r="G581" s="1056"/>
      <c r="H581" s="1056"/>
      <c r="I581" s="1056"/>
      <c r="J581" s="1056"/>
      <c r="K581" s="1056"/>
      <c r="L581" s="1056"/>
      <c r="M581" s="274"/>
      <c r="P581" s="264"/>
      <c r="Q581" s="264"/>
      <c r="R581" s="264"/>
      <c r="S581" s="264"/>
      <c r="T581" s="1056"/>
      <c r="U581" s="1056"/>
      <c r="V581" s="1056"/>
      <c r="W581" s="1056"/>
      <c r="X581" s="1056"/>
      <c r="Y581" s="1056"/>
      <c r="Z581" s="1056"/>
      <c r="AA581" s="1056"/>
      <c r="AB581" s="1056"/>
      <c r="AC581" s="1056"/>
      <c r="AD581" s="1056"/>
      <c r="AE581" s="1056"/>
      <c r="AF581" s="264"/>
    </row>
    <row r="582" spans="1:32" s="268" customFormat="1" ht="15" x14ac:dyDescent="0.25">
      <c r="A582" s="264"/>
      <c r="B582" s="264"/>
      <c r="C582" s="1056"/>
      <c r="D582" s="1056"/>
      <c r="E582" s="1056"/>
      <c r="F582" s="1056"/>
      <c r="G582" s="1056"/>
      <c r="H582" s="1056"/>
      <c r="I582" s="1056"/>
      <c r="J582" s="1056"/>
      <c r="K582" s="1056"/>
      <c r="L582" s="1056"/>
      <c r="M582" s="274"/>
      <c r="P582" s="264"/>
      <c r="Q582" s="264"/>
      <c r="R582" s="264"/>
      <c r="S582" s="264"/>
      <c r="T582" s="1056"/>
      <c r="U582" s="1056"/>
      <c r="V582" s="1056"/>
      <c r="W582" s="1056"/>
      <c r="X582" s="1056"/>
      <c r="Y582" s="1056"/>
      <c r="Z582" s="1056"/>
      <c r="AA582" s="1056"/>
      <c r="AB582" s="1056"/>
      <c r="AC582" s="1056"/>
      <c r="AD582" s="1056"/>
      <c r="AE582" s="1056"/>
      <c r="AF582" s="264"/>
    </row>
    <row r="583" spans="1:32" s="268" customFormat="1" ht="15" x14ac:dyDescent="0.25">
      <c r="A583" s="264"/>
      <c r="B583" s="264"/>
      <c r="C583" s="1056"/>
      <c r="D583" s="1056"/>
      <c r="E583" s="1056"/>
      <c r="F583" s="1056"/>
      <c r="G583" s="1056"/>
      <c r="H583" s="1056"/>
      <c r="I583" s="1056"/>
      <c r="J583" s="1056"/>
      <c r="K583" s="1056"/>
      <c r="L583" s="1056"/>
      <c r="M583" s="274"/>
      <c r="P583" s="264"/>
      <c r="Q583" s="264"/>
      <c r="R583" s="264"/>
      <c r="S583" s="264"/>
      <c r="T583" s="1056"/>
      <c r="U583" s="1056"/>
      <c r="V583" s="1056"/>
      <c r="W583" s="1056"/>
      <c r="X583" s="1056"/>
      <c r="Y583" s="1056"/>
      <c r="Z583" s="1056"/>
      <c r="AA583" s="1056"/>
      <c r="AB583" s="1056"/>
      <c r="AC583" s="1056"/>
      <c r="AD583" s="1056"/>
      <c r="AE583" s="1056"/>
      <c r="AF583" s="264"/>
    </row>
    <row r="584" spans="1:32" s="268" customFormat="1" ht="15" x14ac:dyDescent="0.25">
      <c r="A584" s="264"/>
      <c r="B584" s="264"/>
      <c r="C584" s="1056"/>
      <c r="D584" s="1056"/>
      <c r="E584" s="1056"/>
      <c r="F584" s="1056"/>
      <c r="G584" s="1056"/>
      <c r="H584" s="1056"/>
      <c r="I584" s="1056"/>
      <c r="J584" s="1056"/>
      <c r="K584" s="1056"/>
      <c r="L584" s="1056"/>
      <c r="M584" s="274"/>
      <c r="P584" s="264"/>
      <c r="Q584" s="264"/>
      <c r="R584" s="264"/>
      <c r="S584" s="264"/>
      <c r="T584" s="1056"/>
      <c r="U584" s="1056"/>
      <c r="V584" s="1056"/>
      <c r="W584" s="1056"/>
      <c r="X584" s="1056"/>
      <c r="Y584" s="1056"/>
      <c r="Z584" s="1056"/>
      <c r="AA584" s="1056"/>
      <c r="AB584" s="1056"/>
      <c r="AC584" s="1056"/>
      <c r="AD584" s="1056"/>
      <c r="AE584" s="1056"/>
      <c r="AF584" s="264"/>
    </row>
    <row r="585" spans="1:32" s="268" customFormat="1" ht="15" x14ac:dyDescent="0.25">
      <c r="A585" s="264"/>
      <c r="B585" s="264"/>
      <c r="C585" s="1056"/>
      <c r="D585" s="1056"/>
      <c r="E585" s="1056"/>
      <c r="F585" s="1056"/>
      <c r="G585" s="1056"/>
      <c r="H585" s="1056"/>
      <c r="I585" s="1056"/>
      <c r="J585" s="1056"/>
      <c r="K585" s="1056"/>
      <c r="L585" s="1056"/>
      <c r="M585" s="274"/>
      <c r="P585" s="264"/>
      <c r="Q585" s="264"/>
      <c r="R585" s="264"/>
      <c r="S585" s="264"/>
      <c r="T585" s="1056"/>
      <c r="U585" s="1056"/>
      <c r="V585" s="1056"/>
      <c r="W585" s="1056"/>
      <c r="X585" s="1056"/>
      <c r="Y585" s="1056"/>
      <c r="Z585" s="1056"/>
      <c r="AA585" s="1056"/>
      <c r="AB585" s="1056"/>
      <c r="AC585" s="1056"/>
      <c r="AD585" s="1056"/>
      <c r="AE585" s="1056"/>
      <c r="AF585" s="264"/>
    </row>
    <row r="586" spans="1:32" s="268" customFormat="1" ht="15" x14ac:dyDescent="0.25">
      <c r="A586" s="264"/>
      <c r="B586" s="264"/>
      <c r="C586" s="1056"/>
      <c r="D586" s="1056"/>
      <c r="E586" s="1056"/>
      <c r="F586" s="1056"/>
      <c r="G586" s="1056"/>
      <c r="H586" s="1056"/>
      <c r="I586" s="1056"/>
      <c r="J586" s="1056"/>
      <c r="K586" s="1056"/>
      <c r="L586" s="1056"/>
      <c r="M586" s="274"/>
      <c r="P586" s="264"/>
      <c r="Q586" s="264"/>
      <c r="R586" s="264"/>
      <c r="S586" s="264"/>
      <c r="T586" s="1056"/>
      <c r="U586" s="1056"/>
      <c r="V586" s="1056"/>
      <c r="W586" s="1056"/>
      <c r="X586" s="1056"/>
      <c r="Y586" s="1056"/>
      <c r="Z586" s="1056"/>
      <c r="AA586" s="1056"/>
      <c r="AB586" s="1056"/>
      <c r="AC586" s="1056"/>
      <c r="AD586" s="1056"/>
      <c r="AE586" s="1056"/>
      <c r="AF586" s="264"/>
    </row>
    <row r="587" spans="1:32" s="268" customFormat="1" ht="15" x14ac:dyDescent="0.25">
      <c r="A587" s="264"/>
      <c r="B587" s="264"/>
      <c r="C587" s="1056"/>
      <c r="D587" s="1056"/>
      <c r="E587" s="1056"/>
      <c r="F587" s="1056"/>
      <c r="G587" s="1056"/>
      <c r="H587" s="1056"/>
      <c r="I587" s="1056"/>
      <c r="J587" s="1056"/>
      <c r="K587" s="1056"/>
      <c r="L587" s="1056"/>
      <c r="M587" s="274"/>
      <c r="P587" s="264"/>
      <c r="Q587" s="264"/>
      <c r="R587" s="264"/>
      <c r="S587" s="264"/>
      <c r="T587" s="1056"/>
      <c r="U587" s="1056"/>
      <c r="V587" s="1056"/>
      <c r="W587" s="1056"/>
      <c r="X587" s="1056"/>
      <c r="Y587" s="1056"/>
      <c r="Z587" s="1056"/>
      <c r="AA587" s="1056"/>
      <c r="AB587" s="1056"/>
      <c r="AC587" s="1056"/>
      <c r="AD587" s="1056"/>
      <c r="AE587" s="1056"/>
      <c r="AF587" s="264"/>
    </row>
    <row r="588" spans="1:32" s="268" customFormat="1" ht="15" x14ac:dyDescent="0.25">
      <c r="A588" s="264"/>
      <c r="B588" s="264"/>
      <c r="C588" s="1056"/>
      <c r="D588" s="1056"/>
      <c r="E588" s="1056"/>
      <c r="F588" s="1056"/>
      <c r="G588" s="1056"/>
      <c r="H588" s="1056"/>
      <c r="I588" s="1056"/>
      <c r="J588" s="1056"/>
      <c r="K588" s="1056"/>
      <c r="L588" s="1056"/>
      <c r="M588" s="274"/>
      <c r="P588" s="264"/>
      <c r="Q588" s="264"/>
      <c r="R588" s="264"/>
      <c r="S588" s="264"/>
      <c r="T588" s="1056"/>
      <c r="U588" s="1056"/>
      <c r="V588" s="1056"/>
      <c r="W588" s="1056"/>
      <c r="X588" s="1056"/>
      <c r="Y588" s="1056"/>
      <c r="Z588" s="1056"/>
      <c r="AA588" s="1056"/>
      <c r="AB588" s="1056"/>
      <c r="AC588" s="1056"/>
      <c r="AD588" s="1056"/>
      <c r="AE588" s="1056"/>
      <c r="AF588" s="264"/>
    </row>
    <row r="589" spans="1:32" s="268" customFormat="1" ht="15" x14ac:dyDescent="0.25">
      <c r="A589" s="264"/>
      <c r="B589" s="264"/>
      <c r="C589" s="1056"/>
      <c r="D589" s="1056"/>
      <c r="E589" s="1056"/>
      <c r="F589" s="1056"/>
      <c r="G589" s="1056"/>
      <c r="H589" s="1056"/>
      <c r="I589" s="1056"/>
      <c r="J589" s="1056"/>
      <c r="K589" s="1056"/>
      <c r="L589" s="1056"/>
      <c r="M589" s="274"/>
      <c r="P589" s="264"/>
      <c r="Q589" s="264"/>
      <c r="R589" s="264"/>
      <c r="S589" s="264"/>
      <c r="T589" s="1056"/>
      <c r="U589" s="1056"/>
      <c r="V589" s="1056"/>
      <c r="W589" s="1056"/>
      <c r="X589" s="1056"/>
      <c r="Y589" s="1056"/>
      <c r="Z589" s="1056"/>
      <c r="AA589" s="1056"/>
      <c r="AB589" s="1056"/>
      <c r="AC589" s="1056"/>
      <c r="AD589" s="1056"/>
      <c r="AE589" s="1056"/>
      <c r="AF589" s="264"/>
    </row>
    <row r="590" spans="1:32" s="268" customFormat="1" ht="15" x14ac:dyDescent="0.25">
      <c r="A590" s="264"/>
      <c r="B590" s="264"/>
      <c r="C590" s="1056"/>
      <c r="D590" s="1056"/>
      <c r="E590" s="1056"/>
      <c r="F590" s="1056"/>
      <c r="G590" s="1056"/>
      <c r="H590" s="1056"/>
      <c r="I590" s="1056"/>
      <c r="J590" s="1056"/>
      <c r="K590" s="1056"/>
      <c r="L590" s="1056"/>
      <c r="M590" s="274"/>
      <c r="P590" s="264"/>
      <c r="Q590" s="264"/>
      <c r="R590" s="264"/>
      <c r="S590" s="264"/>
      <c r="T590" s="1056"/>
      <c r="U590" s="1056"/>
      <c r="V590" s="1056"/>
      <c r="W590" s="1056"/>
      <c r="X590" s="1056"/>
      <c r="Y590" s="1056"/>
      <c r="Z590" s="1056"/>
      <c r="AA590" s="1056"/>
      <c r="AB590" s="1056"/>
      <c r="AC590" s="1056"/>
      <c r="AD590" s="1056"/>
      <c r="AE590" s="1056"/>
      <c r="AF590" s="264"/>
    </row>
    <row r="591" spans="1:32" s="268" customFormat="1" ht="15" x14ac:dyDescent="0.25">
      <c r="A591" s="264"/>
      <c r="B591" s="264"/>
      <c r="C591" s="1056"/>
      <c r="D591" s="1056"/>
      <c r="E591" s="1056"/>
      <c r="F591" s="1056"/>
      <c r="G591" s="1056"/>
      <c r="H591" s="1056"/>
      <c r="I591" s="1056"/>
      <c r="J591" s="1056"/>
      <c r="K591" s="1056"/>
      <c r="L591" s="1056"/>
      <c r="M591" s="274"/>
      <c r="P591" s="264"/>
      <c r="Q591" s="264"/>
      <c r="R591" s="264"/>
      <c r="S591" s="264"/>
      <c r="T591" s="1056"/>
      <c r="U591" s="1056"/>
      <c r="V591" s="1056"/>
      <c r="W591" s="1056"/>
      <c r="X591" s="1056"/>
      <c r="Y591" s="1056"/>
      <c r="Z591" s="1056"/>
      <c r="AA591" s="1056"/>
      <c r="AB591" s="1056"/>
      <c r="AC591" s="1056"/>
      <c r="AD591" s="1056"/>
      <c r="AE591" s="1056"/>
      <c r="AF591" s="264"/>
    </row>
    <row r="592" spans="1:32" s="268" customFormat="1" ht="15" x14ac:dyDescent="0.25">
      <c r="A592" s="264"/>
      <c r="B592" s="264"/>
      <c r="C592" s="1056"/>
      <c r="D592" s="1056"/>
      <c r="E592" s="1056"/>
      <c r="F592" s="1056"/>
      <c r="G592" s="1056"/>
      <c r="H592" s="1056"/>
      <c r="I592" s="1056"/>
      <c r="J592" s="1056"/>
      <c r="K592" s="1056"/>
      <c r="L592" s="1056"/>
      <c r="M592" s="274"/>
      <c r="P592" s="264"/>
      <c r="Q592" s="264"/>
      <c r="R592" s="264"/>
      <c r="S592" s="264"/>
      <c r="T592" s="1056"/>
      <c r="U592" s="1056"/>
      <c r="V592" s="1056"/>
      <c r="W592" s="1056"/>
      <c r="X592" s="1056"/>
      <c r="Y592" s="1056"/>
      <c r="Z592" s="1056"/>
      <c r="AA592" s="1056"/>
      <c r="AB592" s="1056"/>
      <c r="AC592" s="1056"/>
      <c r="AD592" s="1056"/>
      <c r="AE592" s="1056"/>
      <c r="AF592" s="264"/>
    </row>
    <row r="593" spans="1:32" s="268" customFormat="1" ht="15" x14ac:dyDescent="0.25">
      <c r="A593" s="264"/>
      <c r="B593" s="264"/>
      <c r="C593" s="1056"/>
      <c r="D593" s="1056"/>
      <c r="E593" s="1056"/>
      <c r="F593" s="1056"/>
      <c r="G593" s="1056"/>
      <c r="H593" s="1056"/>
      <c r="I593" s="1056"/>
      <c r="J593" s="1056"/>
      <c r="K593" s="1056"/>
      <c r="L593" s="1056"/>
      <c r="M593" s="274"/>
      <c r="P593" s="264"/>
      <c r="Q593" s="264"/>
      <c r="R593" s="264"/>
      <c r="S593" s="264"/>
      <c r="T593" s="1056"/>
      <c r="U593" s="1056"/>
      <c r="V593" s="1056"/>
      <c r="W593" s="1056"/>
      <c r="X593" s="1056"/>
      <c r="Y593" s="1056"/>
      <c r="Z593" s="1056"/>
      <c r="AA593" s="1056"/>
      <c r="AB593" s="1056"/>
      <c r="AC593" s="1056"/>
      <c r="AD593" s="1056"/>
      <c r="AE593" s="1056"/>
      <c r="AF593" s="264"/>
    </row>
    <row r="594" spans="1:32" s="268" customFormat="1" ht="15" x14ac:dyDescent="0.25">
      <c r="A594" s="264"/>
      <c r="B594" s="264"/>
      <c r="C594" s="1056"/>
      <c r="D594" s="1056"/>
      <c r="E594" s="1056"/>
      <c r="F594" s="1056"/>
      <c r="G594" s="1056"/>
      <c r="H594" s="1056"/>
      <c r="I594" s="1056"/>
      <c r="J594" s="1056"/>
      <c r="K594" s="1056"/>
      <c r="L594" s="1056"/>
      <c r="M594" s="274"/>
      <c r="P594" s="264"/>
      <c r="Q594" s="264"/>
      <c r="R594" s="264"/>
      <c r="S594" s="264"/>
      <c r="T594" s="1056"/>
      <c r="U594" s="1056"/>
      <c r="V594" s="1056"/>
      <c r="W594" s="1056"/>
      <c r="X594" s="1056"/>
      <c r="Y594" s="1056"/>
      <c r="Z594" s="1056"/>
      <c r="AA594" s="1056"/>
      <c r="AB594" s="1056"/>
      <c r="AC594" s="1056"/>
      <c r="AD594" s="1056"/>
      <c r="AE594" s="1056"/>
      <c r="AF594" s="264"/>
    </row>
    <row r="595" spans="1:32" s="268" customFormat="1" ht="15" x14ac:dyDescent="0.25">
      <c r="A595" s="264"/>
      <c r="B595" s="264"/>
      <c r="C595" s="1056"/>
      <c r="D595" s="1056"/>
      <c r="E595" s="1056"/>
      <c r="F595" s="1056"/>
      <c r="G595" s="1056"/>
      <c r="H595" s="1056"/>
      <c r="I595" s="1056"/>
      <c r="J595" s="1056"/>
      <c r="K595" s="1056"/>
      <c r="L595" s="1056"/>
      <c r="M595" s="274"/>
      <c r="P595" s="264"/>
      <c r="Q595" s="264"/>
      <c r="R595" s="264"/>
      <c r="S595" s="264"/>
      <c r="T595" s="1056"/>
      <c r="U595" s="1056"/>
      <c r="V595" s="1056"/>
      <c r="W595" s="1056"/>
      <c r="X595" s="1056"/>
      <c r="Y595" s="1056"/>
      <c r="Z595" s="1056"/>
      <c r="AA595" s="1056"/>
      <c r="AB595" s="1056"/>
      <c r="AC595" s="1056"/>
      <c r="AD595" s="1056"/>
      <c r="AE595" s="1056"/>
      <c r="AF595" s="264"/>
    </row>
    <row r="596" spans="1:32" s="268" customFormat="1" ht="15" x14ac:dyDescent="0.25">
      <c r="A596" s="264"/>
      <c r="B596" s="264"/>
      <c r="C596" s="1056"/>
      <c r="D596" s="1056"/>
      <c r="E596" s="1056"/>
      <c r="F596" s="1056"/>
      <c r="G596" s="1056"/>
      <c r="H596" s="1056"/>
      <c r="I596" s="1056"/>
      <c r="J596" s="1056"/>
      <c r="K596" s="1056"/>
      <c r="L596" s="1056"/>
      <c r="M596" s="274"/>
      <c r="P596" s="264"/>
      <c r="Q596" s="264"/>
      <c r="R596" s="264"/>
      <c r="S596" s="264"/>
      <c r="T596" s="1056"/>
      <c r="U596" s="1056"/>
      <c r="V596" s="1056"/>
      <c r="W596" s="1056"/>
      <c r="X596" s="1056"/>
      <c r="Y596" s="1056"/>
      <c r="Z596" s="1056"/>
      <c r="AA596" s="1056"/>
      <c r="AB596" s="1056"/>
      <c r="AC596" s="1056"/>
      <c r="AD596" s="1056"/>
      <c r="AE596" s="1056"/>
      <c r="AF596" s="264"/>
    </row>
    <row r="597" spans="1:32" s="268" customFormat="1" ht="15" x14ac:dyDescent="0.25">
      <c r="A597" s="264"/>
      <c r="B597" s="264"/>
      <c r="C597" s="1056"/>
      <c r="D597" s="1056"/>
      <c r="E597" s="1056"/>
      <c r="F597" s="1056"/>
      <c r="G597" s="1056"/>
      <c r="H597" s="1056"/>
      <c r="I597" s="1056"/>
      <c r="J597" s="1056"/>
      <c r="K597" s="1056"/>
      <c r="L597" s="1056"/>
      <c r="M597" s="274"/>
      <c r="P597" s="264"/>
      <c r="Q597" s="264"/>
      <c r="R597" s="264"/>
      <c r="S597" s="264"/>
      <c r="T597" s="1056"/>
      <c r="U597" s="1056"/>
      <c r="V597" s="1056"/>
      <c r="W597" s="1056"/>
      <c r="X597" s="1056"/>
      <c r="Y597" s="1056"/>
      <c r="Z597" s="1056"/>
      <c r="AA597" s="1056"/>
      <c r="AB597" s="1056"/>
      <c r="AC597" s="1056"/>
      <c r="AD597" s="1056"/>
      <c r="AE597" s="1056"/>
      <c r="AF597" s="264"/>
    </row>
    <row r="598" spans="1:32" s="268" customFormat="1" ht="15" x14ac:dyDescent="0.25">
      <c r="A598" s="264"/>
      <c r="B598" s="264"/>
      <c r="C598" s="1056"/>
      <c r="D598" s="1056"/>
      <c r="E598" s="1056"/>
      <c r="F598" s="1056"/>
      <c r="G598" s="1056"/>
      <c r="H598" s="1056"/>
      <c r="I598" s="1056"/>
      <c r="J598" s="1056"/>
      <c r="K598" s="1056"/>
      <c r="L598" s="1056"/>
      <c r="M598" s="274"/>
      <c r="P598" s="264"/>
      <c r="Q598" s="264"/>
      <c r="R598" s="264"/>
      <c r="S598" s="264"/>
      <c r="T598" s="1056"/>
      <c r="U598" s="1056"/>
      <c r="V598" s="1056"/>
      <c r="W598" s="1056"/>
      <c r="X598" s="1056"/>
      <c r="Y598" s="1056"/>
      <c r="Z598" s="1056"/>
      <c r="AA598" s="1056"/>
      <c r="AB598" s="1056"/>
      <c r="AC598" s="1056"/>
      <c r="AD598" s="1056"/>
      <c r="AE598" s="1056"/>
      <c r="AF598" s="264"/>
    </row>
    <row r="599" spans="1:32" s="268" customFormat="1" ht="15" x14ac:dyDescent="0.25">
      <c r="A599" s="264"/>
      <c r="B599" s="264"/>
      <c r="C599" s="1056"/>
      <c r="D599" s="1056"/>
      <c r="E599" s="1056"/>
      <c r="F599" s="1056"/>
      <c r="G599" s="1056"/>
      <c r="H599" s="1056"/>
      <c r="I599" s="1056"/>
      <c r="J599" s="1056"/>
      <c r="K599" s="1056"/>
      <c r="L599" s="1056"/>
      <c r="M599" s="274"/>
      <c r="P599" s="264"/>
      <c r="Q599" s="264"/>
      <c r="R599" s="264"/>
      <c r="S599" s="264"/>
      <c r="T599" s="1056"/>
      <c r="U599" s="1056"/>
      <c r="V599" s="1056"/>
      <c r="W599" s="1056"/>
      <c r="X599" s="1056"/>
      <c r="Y599" s="1056"/>
      <c r="Z599" s="1056"/>
      <c r="AA599" s="1056"/>
      <c r="AB599" s="1056"/>
      <c r="AC599" s="1056"/>
      <c r="AD599" s="1056"/>
      <c r="AE599" s="1056"/>
      <c r="AF599" s="264"/>
    </row>
    <row r="600" spans="1:32" s="268" customFormat="1" ht="15" x14ac:dyDescent="0.25">
      <c r="A600" s="264"/>
      <c r="B600" s="264"/>
      <c r="C600" s="1056"/>
      <c r="D600" s="1056"/>
      <c r="E600" s="1056"/>
      <c r="F600" s="1056"/>
      <c r="G600" s="1056"/>
      <c r="H600" s="1056"/>
      <c r="I600" s="1056"/>
      <c r="J600" s="1056"/>
      <c r="K600" s="1056"/>
      <c r="L600" s="1056"/>
      <c r="M600" s="274"/>
      <c r="P600" s="264"/>
      <c r="Q600" s="264"/>
      <c r="R600" s="264"/>
      <c r="S600" s="264"/>
      <c r="T600" s="1056"/>
      <c r="U600" s="1056"/>
      <c r="V600" s="1056"/>
      <c r="W600" s="1056"/>
      <c r="X600" s="1056"/>
      <c r="Y600" s="1056"/>
      <c r="Z600" s="1056"/>
      <c r="AA600" s="1056"/>
      <c r="AB600" s="1056"/>
      <c r="AC600" s="1056"/>
      <c r="AD600" s="1056"/>
      <c r="AE600" s="1056"/>
      <c r="AF600" s="264"/>
    </row>
    <row r="601" spans="1:32" s="268" customFormat="1" ht="15" x14ac:dyDescent="0.25">
      <c r="A601" s="264"/>
      <c r="B601" s="264"/>
      <c r="C601" s="1056"/>
      <c r="D601" s="1056"/>
      <c r="E601" s="1056"/>
      <c r="F601" s="1056"/>
      <c r="G601" s="1056"/>
      <c r="H601" s="1056"/>
      <c r="I601" s="1056"/>
      <c r="J601" s="1056"/>
      <c r="K601" s="1056"/>
      <c r="L601" s="1056"/>
      <c r="M601" s="274"/>
      <c r="P601" s="264"/>
      <c r="Q601" s="264"/>
      <c r="R601" s="264"/>
      <c r="S601" s="264"/>
      <c r="T601" s="1056"/>
      <c r="U601" s="1056"/>
      <c r="V601" s="1056"/>
      <c r="W601" s="1056"/>
      <c r="X601" s="1056"/>
      <c r="Y601" s="1056"/>
      <c r="Z601" s="1056"/>
      <c r="AA601" s="1056"/>
      <c r="AB601" s="1056"/>
      <c r="AC601" s="1056"/>
      <c r="AD601" s="1056"/>
      <c r="AE601" s="1056"/>
      <c r="AF601" s="264"/>
    </row>
    <row r="602" spans="1:32" s="268" customFormat="1" ht="15" x14ac:dyDescent="0.25">
      <c r="A602" s="264"/>
      <c r="B602" s="264"/>
      <c r="C602" s="1056"/>
      <c r="D602" s="1056"/>
      <c r="E602" s="1056"/>
      <c r="F602" s="1056"/>
      <c r="G602" s="1056"/>
      <c r="H602" s="1056"/>
      <c r="I602" s="1056"/>
      <c r="J602" s="1056"/>
      <c r="K602" s="1056"/>
      <c r="L602" s="1056"/>
      <c r="M602" s="274"/>
      <c r="P602" s="264"/>
      <c r="Q602" s="264"/>
      <c r="R602" s="264"/>
      <c r="S602" s="264"/>
      <c r="T602" s="1056"/>
      <c r="U602" s="1056"/>
      <c r="V602" s="1056"/>
      <c r="W602" s="1056"/>
      <c r="X602" s="1056"/>
      <c r="Y602" s="1056"/>
      <c r="Z602" s="1056"/>
      <c r="AA602" s="1056"/>
      <c r="AB602" s="1056"/>
      <c r="AC602" s="1056"/>
      <c r="AD602" s="1056"/>
      <c r="AE602" s="1056"/>
      <c r="AF602" s="264"/>
    </row>
    <row r="603" spans="1:32" s="268" customFormat="1" ht="15" x14ac:dyDescent="0.25">
      <c r="A603" s="264"/>
      <c r="B603" s="264"/>
      <c r="C603" s="1056"/>
      <c r="D603" s="1056"/>
      <c r="E603" s="1056"/>
      <c r="F603" s="1056"/>
      <c r="G603" s="1056"/>
      <c r="H603" s="1056"/>
      <c r="I603" s="1056"/>
      <c r="J603" s="1056"/>
      <c r="K603" s="1056"/>
      <c r="L603" s="1056"/>
      <c r="M603" s="274"/>
      <c r="P603" s="264"/>
      <c r="Q603" s="264"/>
      <c r="R603" s="264"/>
      <c r="S603" s="264"/>
      <c r="T603" s="1056"/>
      <c r="U603" s="1056"/>
      <c r="V603" s="1056"/>
      <c r="W603" s="1056"/>
      <c r="X603" s="1056"/>
      <c r="Y603" s="1056"/>
      <c r="Z603" s="1056"/>
      <c r="AA603" s="1056"/>
      <c r="AB603" s="1056"/>
      <c r="AC603" s="1056"/>
      <c r="AD603" s="1056"/>
      <c r="AE603" s="1056"/>
      <c r="AF603" s="264"/>
    </row>
    <row r="604" spans="1:32" s="268" customFormat="1" ht="15" x14ac:dyDescent="0.25">
      <c r="A604" s="264"/>
      <c r="B604" s="264"/>
      <c r="C604" s="1056"/>
      <c r="D604" s="1056"/>
      <c r="E604" s="1056"/>
      <c r="F604" s="1056"/>
      <c r="G604" s="1056"/>
      <c r="H604" s="1056"/>
      <c r="I604" s="1056"/>
      <c r="J604" s="1056"/>
      <c r="K604" s="1056"/>
      <c r="L604" s="1056"/>
      <c r="M604" s="274"/>
      <c r="P604" s="264"/>
      <c r="Q604" s="264"/>
      <c r="R604" s="264"/>
      <c r="S604" s="264"/>
      <c r="T604" s="1056"/>
      <c r="U604" s="1056"/>
      <c r="V604" s="1056"/>
      <c r="W604" s="1056"/>
      <c r="X604" s="1056"/>
      <c r="Y604" s="1056"/>
      <c r="Z604" s="1056"/>
      <c r="AA604" s="1056"/>
      <c r="AB604" s="1056"/>
      <c r="AC604" s="1056"/>
      <c r="AD604" s="1056"/>
      <c r="AE604" s="1056"/>
      <c r="AF604" s="264"/>
    </row>
    <row r="605" spans="1:32" s="268" customFormat="1" ht="15" x14ac:dyDescent="0.25">
      <c r="A605" s="264"/>
      <c r="B605" s="264"/>
      <c r="C605" s="1056"/>
      <c r="D605" s="1056"/>
      <c r="E605" s="1056"/>
      <c r="F605" s="1056"/>
      <c r="G605" s="1056"/>
      <c r="H605" s="1056"/>
      <c r="I605" s="1056"/>
      <c r="J605" s="1056"/>
      <c r="K605" s="1056"/>
      <c r="L605" s="1056"/>
      <c r="M605" s="274"/>
      <c r="P605" s="264"/>
      <c r="Q605" s="264"/>
      <c r="R605" s="264"/>
      <c r="S605" s="264"/>
      <c r="T605" s="1056"/>
      <c r="U605" s="1056"/>
      <c r="V605" s="1056"/>
      <c r="W605" s="1056"/>
      <c r="X605" s="1056"/>
      <c r="Y605" s="1056"/>
      <c r="Z605" s="1056"/>
      <c r="AA605" s="1056"/>
      <c r="AB605" s="1056"/>
      <c r="AC605" s="1056"/>
      <c r="AD605" s="1056"/>
      <c r="AE605" s="1056"/>
      <c r="AF605" s="264"/>
    </row>
    <row r="606" spans="1:32" s="268" customFormat="1" ht="15" x14ac:dyDescent="0.25">
      <c r="A606" s="264"/>
      <c r="B606" s="264"/>
      <c r="C606" s="1056"/>
      <c r="D606" s="1056"/>
      <c r="E606" s="1056"/>
      <c r="F606" s="1056"/>
      <c r="G606" s="1056"/>
      <c r="H606" s="1056"/>
      <c r="I606" s="1056"/>
      <c r="J606" s="1056"/>
      <c r="K606" s="1056"/>
      <c r="L606" s="1056"/>
      <c r="M606" s="274"/>
      <c r="P606" s="264"/>
      <c r="Q606" s="264"/>
      <c r="R606" s="264"/>
      <c r="S606" s="264"/>
      <c r="T606" s="1056"/>
      <c r="U606" s="1056"/>
      <c r="V606" s="1056"/>
      <c r="W606" s="1056"/>
      <c r="X606" s="1056"/>
      <c r="Y606" s="1056"/>
      <c r="Z606" s="1056"/>
      <c r="AA606" s="1056"/>
      <c r="AB606" s="1056"/>
      <c r="AC606" s="1056"/>
      <c r="AD606" s="1056"/>
      <c r="AE606" s="1056"/>
      <c r="AF606" s="264"/>
    </row>
    <row r="607" spans="1:32" s="268" customFormat="1" ht="15" x14ac:dyDescent="0.25">
      <c r="A607" s="264"/>
      <c r="B607" s="264"/>
      <c r="C607" s="1056"/>
      <c r="D607" s="1056"/>
      <c r="E607" s="1056"/>
      <c r="F607" s="1056"/>
      <c r="G607" s="1056"/>
      <c r="H607" s="1056"/>
      <c r="I607" s="1056"/>
      <c r="J607" s="1056"/>
      <c r="K607" s="1056"/>
      <c r="L607" s="1056"/>
      <c r="M607" s="274"/>
      <c r="P607" s="264"/>
      <c r="Q607" s="264"/>
      <c r="R607" s="264"/>
      <c r="S607" s="264"/>
      <c r="T607" s="1056"/>
      <c r="U607" s="1056"/>
      <c r="V607" s="1056"/>
      <c r="W607" s="1056"/>
      <c r="X607" s="1056"/>
      <c r="Y607" s="1056"/>
      <c r="Z607" s="1056"/>
      <c r="AA607" s="1056"/>
      <c r="AB607" s="1056"/>
      <c r="AC607" s="1056"/>
      <c r="AD607" s="1056"/>
      <c r="AE607" s="1056"/>
      <c r="AF607" s="264"/>
    </row>
    <row r="608" spans="1:32" s="268" customFormat="1" ht="15" x14ac:dyDescent="0.25">
      <c r="A608" s="264"/>
      <c r="B608" s="264"/>
      <c r="C608" s="1056"/>
      <c r="D608" s="1056"/>
      <c r="E608" s="1056"/>
      <c r="F608" s="1056"/>
      <c r="G608" s="1056"/>
      <c r="H608" s="1056"/>
      <c r="I608" s="1056"/>
      <c r="J608" s="1056"/>
      <c r="K608" s="1056"/>
      <c r="L608" s="1056"/>
      <c r="M608" s="274"/>
      <c r="P608" s="264"/>
      <c r="Q608" s="264"/>
      <c r="R608" s="264"/>
      <c r="S608" s="264"/>
      <c r="T608" s="1056"/>
      <c r="U608" s="1056"/>
      <c r="V608" s="1056"/>
      <c r="W608" s="1056"/>
      <c r="X608" s="1056"/>
      <c r="Y608" s="1056"/>
      <c r="Z608" s="1056"/>
      <c r="AA608" s="1056"/>
      <c r="AB608" s="1056"/>
      <c r="AC608" s="1056"/>
      <c r="AD608" s="1056"/>
      <c r="AE608" s="1056"/>
      <c r="AF608" s="264"/>
    </row>
    <row r="609" spans="1:32" s="268" customFormat="1" ht="15" x14ac:dyDescent="0.25">
      <c r="A609" s="264"/>
      <c r="B609" s="264"/>
      <c r="C609" s="1056"/>
      <c r="D609" s="1056"/>
      <c r="E609" s="1056"/>
      <c r="F609" s="1056"/>
      <c r="G609" s="1056"/>
      <c r="H609" s="1056"/>
      <c r="I609" s="1056"/>
      <c r="J609" s="1056"/>
      <c r="K609" s="1056"/>
      <c r="L609" s="1056"/>
      <c r="M609" s="274"/>
      <c r="P609" s="264"/>
      <c r="Q609" s="264"/>
      <c r="R609" s="264"/>
      <c r="S609" s="264"/>
      <c r="T609" s="1056"/>
      <c r="U609" s="1056"/>
      <c r="V609" s="1056"/>
      <c r="W609" s="1056"/>
      <c r="X609" s="1056"/>
      <c r="Y609" s="1056"/>
      <c r="Z609" s="1056"/>
      <c r="AA609" s="1056"/>
      <c r="AB609" s="1056"/>
      <c r="AC609" s="1056"/>
      <c r="AD609" s="1056"/>
      <c r="AE609" s="1056"/>
      <c r="AF609" s="264"/>
    </row>
    <row r="610" spans="1:32" s="268" customFormat="1" ht="15" x14ac:dyDescent="0.25">
      <c r="A610" s="264"/>
      <c r="B610" s="264"/>
      <c r="C610" s="1056"/>
      <c r="D610" s="1056"/>
      <c r="E610" s="1056"/>
      <c r="F610" s="1056"/>
      <c r="G610" s="1056"/>
      <c r="H610" s="1056"/>
      <c r="I610" s="1056"/>
      <c r="J610" s="1056"/>
      <c r="K610" s="1056"/>
      <c r="L610" s="1056"/>
      <c r="M610" s="274"/>
      <c r="P610" s="264"/>
      <c r="Q610" s="264"/>
      <c r="R610" s="264"/>
      <c r="S610" s="264"/>
      <c r="T610" s="1056"/>
      <c r="U610" s="1056"/>
      <c r="V610" s="1056"/>
      <c r="W610" s="1056"/>
      <c r="X610" s="1056"/>
      <c r="Y610" s="1056"/>
      <c r="Z610" s="1056"/>
      <c r="AA610" s="1056"/>
      <c r="AB610" s="1056"/>
      <c r="AC610" s="1056"/>
      <c r="AD610" s="1056"/>
      <c r="AE610" s="1056"/>
      <c r="AF610" s="264"/>
    </row>
    <row r="611" spans="1:32" s="268" customFormat="1" ht="15" x14ac:dyDescent="0.25">
      <c r="A611" s="264"/>
      <c r="B611" s="264"/>
      <c r="C611" s="1056"/>
      <c r="D611" s="1056"/>
      <c r="E611" s="1056"/>
      <c r="F611" s="1056"/>
      <c r="G611" s="1056"/>
      <c r="H611" s="1056"/>
      <c r="I611" s="1056"/>
      <c r="J611" s="1056"/>
      <c r="K611" s="1056"/>
      <c r="L611" s="1056"/>
      <c r="M611" s="274"/>
      <c r="P611" s="264"/>
      <c r="Q611" s="264"/>
      <c r="R611" s="264"/>
      <c r="S611" s="264"/>
      <c r="T611" s="1056"/>
      <c r="U611" s="1056"/>
      <c r="V611" s="1056"/>
      <c r="W611" s="1056"/>
      <c r="X611" s="1056"/>
      <c r="Y611" s="1056"/>
      <c r="Z611" s="1056"/>
      <c r="AA611" s="1056"/>
      <c r="AB611" s="1056"/>
      <c r="AC611" s="1056"/>
      <c r="AD611" s="1056"/>
      <c r="AE611" s="1056"/>
      <c r="AF611" s="264"/>
    </row>
    <row r="612" spans="1:32" s="268" customFormat="1" ht="15" x14ac:dyDescent="0.25">
      <c r="A612" s="264"/>
      <c r="B612" s="264"/>
      <c r="C612" s="1056"/>
      <c r="D612" s="1056"/>
      <c r="E612" s="1056"/>
      <c r="F612" s="1056"/>
      <c r="G612" s="1056"/>
      <c r="H612" s="1056"/>
      <c r="I612" s="1056"/>
      <c r="J612" s="1056"/>
      <c r="K612" s="1056"/>
      <c r="L612" s="1056"/>
      <c r="M612" s="274"/>
      <c r="P612" s="264"/>
      <c r="Q612" s="264"/>
      <c r="R612" s="264"/>
      <c r="S612" s="264"/>
      <c r="T612" s="1056"/>
      <c r="U612" s="1056"/>
      <c r="V612" s="1056"/>
      <c r="W612" s="1056"/>
      <c r="X612" s="1056"/>
      <c r="Y612" s="1056"/>
      <c r="Z612" s="1056"/>
      <c r="AA612" s="1056"/>
      <c r="AB612" s="1056"/>
      <c r="AC612" s="1056"/>
      <c r="AD612" s="1056"/>
      <c r="AE612" s="1056"/>
      <c r="AF612" s="264"/>
    </row>
    <row r="613" spans="1:32" s="268" customFormat="1" ht="15" x14ac:dyDescent="0.25">
      <c r="A613" s="264"/>
      <c r="B613" s="264"/>
      <c r="C613" s="1056"/>
      <c r="D613" s="1056"/>
      <c r="E613" s="1056"/>
      <c r="F613" s="1056"/>
      <c r="G613" s="1056"/>
      <c r="H613" s="1056"/>
      <c r="I613" s="1056"/>
      <c r="J613" s="1056"/>
      <c r="K613" s="1056"/>
      <c r="L613" s="1056"/>
      <c r="M613" s="274"/>
      <c r="P613" s="264"/>
      <c r="Q613" s="264"/>
      <c r="R613" s="264"/>
      <c r="S613" s="264"/>
      <c r="T613" s="1056"/>
      <c r="U613" s="1056"/>
      <c r="V613" s="1056"/>
      <c r="W613" s="1056"/>
      <c r="X613" s="1056"/>
      <c r="Y613" s="1056"/>
      <c r="Z613" s="1056"/>
      <c r="AA613" s="1056"/>
      <c r="AB613" s="1056"/>
      <c r="AC613" s="1056"/>
      <c r="AD613" s="1056"/>
      <c r="AE613" s="1056"/>
      <c r="AF613" s="264"/>
    </row>
    <row r="614" spans="1:32" s="268" customFormat="1" ht="15" x14ac:dyDescent="0.25">
      <c r="A614" s="264"/>
      <c r="B614" s="264"/>
      <c r="C614" s="1056"/>
      <c r="D614" s="1056"/>
      <c r="E614" s="1056"/>
      <c r="F614" s="1056"/>
      <c r="G614" s="1056"/>
      <c r="H614" s="1056"/>
      <c r="I614" s="1056"/>
      <c r="J614" s="1056"/>
      <c r="K614" s="1056"/>
      <c r="L614" s="1056"/>
      <c r="M614" s="274"/>
      <c r="P614" s="264"/>
      <c r="Q614" s="264"/>
      <c r="R614" s="264"/>
      <c r="S614" s="264"/>
      <c r="T614" s="1056"/>
      <c r="U614" s="1056"/>
      <c r="V614" s="1056"/>
      <c r="W614" s="1056"/>
      <c r="X614" s="1056"/>
      <c r="Y614" s="1056"/>
      <c r="Z614" s="1056"/>
      <c r="AA614" s="1056"/>
      <c r="AB614" s="1056"/>
      <c r="AC614" s="1056"/>
      <c r="AD614" s="1056"/>
      <c r="AE614" s="1056"/>
      <c r="AF614" s="264"/>
    </row>
    <row r="615" spans="1:32" s="268" customFormat="1" ht="15" x14ac:dyDescent="0.25">
      <c r="A615" s="264"/>
      <c r="B615" s="264"/>
      <c r="C615" s="1056"/>
      <c r="D615" s="1056"/>
      <c r="E615" s="1056"/>
      <c r="F615" s="1056"/>
      <c r="G615" s="1056"/>
      <c r="H615" s="1056"/>
      <c r="I615" s="1056"/>
      <c r="J615" s="1056"/>
      <c r="K615" s="1056"/>
      <c r="L615" s="1056"/>
      <c r="M615" s="274"/>
      <c r="P615" s="264"/>
      <c r="Q615" s="264"/>
      <c r="R615" s="264"/>
      <c r="S615" s="264"/>
      <c r="T615" s="1056"/>
      <c r="U615" s="1056"/>
      <c r="V615" s="1056"/>
      <c r="W615" s="1056"/>
      <c r="X615" s="1056"/>
      <c r="Y615" s="1056"/>
      <c r="Z615" s="1056"/>
      <c r="AA615" s="1056"/>
      <c r="AB615" s="1056"/>
      <c r="AC615" s="1056"/>
      <c r="AD615" s="1056"/>
      <c r="AE615" s="1056"/>
      <c r="AF615" s="264"/>
    </row>
    <row r="616" spans="1:32" s="268" customFormat="1" ht="15" x14ac:dyDescent="0.25">
      <c r="A616" s="264"/>
      <c r="B616" s="264"/>
      <c r="C616" s="1056"/>
      <c r="D616" s="1056"/>
      <c r="E616" s="1056"/>
      <c r="F616" s="1056"/>
      <c r="G616" s="1056"/>
      <c r="H616" s="1056"/>
      <c r="I616" s="1056"/>
      <c r="J616" s="1056"/>
      <c r="K616" s="1056"/>
      <c r="L616" s="1056"/>
      <c r="M616" s="274"/>
      <c r="P616" s="264"/>
      <c r="Q616" s="264"/>
      <c r="R616" s="264"/>
      <c r="S616" s="264"/>
      <c r="T616" s="1056"/>
      <c r="U616" s="1056"/>
      <c r="V616" s="1056"/>
      <c r="W616" s="1056"/>
      <c r="X616" s="1056"/>
      <c r="Y616" s="1056"/>
      <c r="Z616" s="1056"/>
      <c r="AA616" s="1056"/>
      <c r="AB616" s="1056"/>
      <c r="AC616" s="1056"/>
      <c r="AD616" s="1056"/>
      <c r="AE616" s="1056"/>
      <c r="AF616" s="264"/>
    </row>
    <row r="617" spans="1:32" s="268" customFormat="1" ht="15" x14ac:dyDescent="0.25">
      <c r="A617" s="264"/>
      <c r="B617" s="264"/>
      <c r="C617" s="1056"/>
      <c r="D617" s="1056"/>
      <c r="E617" s="1056"/>
      <c r="F617" s="1056"/>
      <c r="G617" s="1056"/>
      <c r="H617" s="1056"/>
      <c r="I617" s="1056"/>
      <c r="J617" s="1056"/>
      <c r="K617" s="1056"/>
      <c r="L617" s="1056"/>
      <c r="M617" s="274"/>
      <c r="P617" s="264"/>
      <c r="Q617" s="264"/>
      <c r="R617" s="264"/>
      <c r="S617" s="264"/>
      <c r="T617" s="1056"/>
      <c r="U617" s="1056"/>
      <c r="V617" s="1056"/>
      <c r="W617" s="1056"/>
      <c r="X617" s="1056"/>
      <c r="Y617" s="1056"/>
      <c r="Z617" s="1056"/>
      <c r="AA617" s="1056"/>
      <c r="AB617" s="1056"/>
      <c r="AC617" s="1056"/>
      <c r="AD617" s="1056"/>
      <c r="AE617" s="1056"/>
      <c r="AF617" s="264"/>
    </row>
    <row r="618" spans="1:32" s="268" customFormat="1" ht="15" x14ac:dyDescent="0.25">
      <c r="A618" s="264"/>
      <c r="B618" s="264"/>
      <c r="C618" s="1056"/>
      <c r="D618" s="1056"/>
      <c r="E618" s="1056"/>
      <c r="F618" s="1056"/>
      <c r="G618" s="1056"/>
      <c r="H618" s="1056"/>
      <c r="I618" s="1056"/>
      <c r="J618" s="1056"/>
      <c r="K618" s="1056"/>
      <c r="L618" s="1056"/>
      <c r="M618" s="274"/>
      <c r="P618" s="264"/>
      <c r="Q618" s="264"/>
      <c r="R618" s="264"/>
      <c r="S618" s="264"/>
      <c r="T618" s="1056"/>
      <c r="U618" s="1056"/>
      <c r="V618" s="1056"/>
      <c r="W618" s="1056"/>
      <c r="X618" s="1056"/>
      <c r="Y618" s="1056"/>
      <c r="Z618" s="1056"/>
      <c r="AA618" s="1056"/>
      <c r="AB618" s="1056"/>
      <c r="AC618" s="1056"/>
      <c r="AD618" s="1056"/>
      <c r="AE618" s="1056"/>
      <c r="AF618" s="264"/>
    </row>
    <row r="619" spans="1:32" s="268" customFormat="1" ht="15" x14ac:dyDescent="0.25">
      <c r="A619" s="264"/>
      <c r="B619" s="264"/>
      <c r="C619" s="1056"/>
      <c r="D619" s="1056"/>
      <c r="E619" s="1056"/>
      <c r="F619" s="1056"/>
      <c r="G619" s="1056"/>
      <c r="H619" s="1056"/>
      <c r="I619" s="1056"/>
      <c r="J619" s="1056"/>
      <c r="K619" s="1056"/>
      <c r="L619" s="1056"/>
      <c r="M619" s="274"/>
      <c r="P619" s="264"/>
      <c r="Q619" s="264"/>
      <c r="R619" s="264"/>
      <c r="S619" s="264"/>
      <c r="T619" s="1056"/>
      <c r="U619" s="1056"/>
      <c r="V619" s="1056"/>
      <c r="W619" s="1056"/>
      <c r="X619" s="1056"/>
      <c r="Y619" s="1056"/>
      <c r="Z619" s="1056"/>
      <c r="AA619" s="1056"/>
      <c r="AB619" s="1056"/>
      <c r="AC619" s="1056"/>
      <c r="AD619" s="1056"/>
      <c r="AE619" s="1056"/>
      <c r="AF619" s="264"/>
    </row>
    <row r="620" spans="1:32" s="268" customFormat="1" ht="15" x14ac:dyDescent="0.25">
      <c r="A620" s="264"/>
      <c r="B620" s="264"/>
      <c r="C620" s="1056"/>
      <c r="D620" s="1056"/>
      <c r="E620" s="1056"/>
      <c r="F620" s="1056"/>
      <c r="G620" s="1056"/>
      <c r="H620" s="1056"/>
      <c r="I620" s="1056"/>
      <c r="J620" s="1056"/>
      <c r="K620" s="1056"/>
      <c r="L620" s="1056"/>
      <c r="M620" s="274"/>
      <c r="P620" s="264"/>
      <c r="Q620" s="264"/>
      <c r="R620" s="264"/>
      <c r="S620" s="264"/>
      <c r="T620" s="1056"/>
      <c r="U620" s="1056"/>
      <c r="V620" s="1056"/>
      <c r="W620" s="1056"/>
      <c r="X620" s="1056"/>
      <c r="Y620" s="1056"/>
      <c r="Z620" s="1056"/>
      <c r="AA620" s="1056"/>
      <c r="AB620" s="1056"/>
      <c r="AC620" s="1056"/>
      <c r="AD620" s="1056"/>
      <c r="AE620" s="1056"/>
      <c r="AF620" s="264"/>
    </row>
    <row r="621" spans="1:32" s="268" customFormat="1" ht="15" x14ac:dyDescent="0.25">
      <c r="A621" s="264"/>
      <c r="B621" s="264"/>
      <c r="C621" s="1056"/>
      <c r="D621" s="1056"/>
      <c r="E621" s="1056"/>
      <c r="F621" s="1056"/>
      <c r="G621" s="1056"/>
      <c r="H621" s="1056"/>
      <c r="I621" s="1056"/>
      <c r="J621" s="1056"/>
      <c r="K621" s="1056"/>
      <c r="L621" s="1056"/>
      <c r="M621" s="274"/>
      <c r="P621" s="264"/>
      <c r="Q621" s="264"/>
      <c r="R621" s="264"/>
      <c r="S621" s="264"/>
      <c r="T621" s="1056"/>
      <c r="U621" s="1056"/>
      <c r="V621" s="1056"/>
      <c r="W621" s="1056"/>
      <c r="X621" s="1056"/>
      <c r="Y621" s="1056"/>
      <c r="Z621" s="1056"/>
      <c r="AA621" s="1056"/>
      <c r="AB621" s="1056"/>
      <c r="AC621" s="1056"/>
      <c r="AD621" s="1056"/>
      <c r="AE621" s="1056"/>
      <c r="AF621" s="264"/>
    </row>
    <row r="622" spans="1:32" s="268" customFormat="1" ht="15" x14ac:dyDescent="0.25">
      <c r="A622" s="264"/>
      <c r="B622" s="264"/>
      <c r="C622" s="1056"/>
      <c r="D622" s="1056"/>
      <c r="E622" s="1056"/>
      <c r="F622" s="1056"/>
      <c r="G622" s="1056"/>
      <c r="H622" s="1056"/>
      <c r="I622" s="1056"/>
      <c r="J622" s="1056"/>
      <c r="K622" s="1056"/>
      <c r="L622" s="1056"/>
      <c r="M622" s="274"/>
      <c r="P622" s="264"/>
      <c r="Q622" s="264"/>
      <c r="R622" s="264"/>
      <c r="S622" s="264"/>
      <c r="T622" s="1056"/>
      <c r="U622" s="1056"/>
      <c r="V622" s="1056"/>
      <c r="W622" s="1056"/>
      <c r="X622" s="1056"/>
      <c r="Y622" s="1056"/>
      <c r="Z622" s="1056"/>
      <c r="AA622" s="1056"/>
      <c r="AB622" s="1056"/>
      <c r="AC622" s="1056"/>
      <c r="AD622" s="1056"/>
      <c r="AE622" s="1056"/>
      <c r="AF622" s="264"/>
    </row>
    <row r="623" spans="1:32" s="268" customFormat="1" ht="15" x14ac:dyDescent="0.25">
      <c r="A623" s="264"/>
      <c r="B623" s="264"/>
      <c r="C623" s="1056"/>
      <c r="D623" s="1056"/>
      <c r="E623" s="1056"/>
      <c r="F623" s="1056"/>
      <c r="G623" s="1056"/>
      <c r="H623" s="1056"/>
      <c r="I623" s="1056"/>
      <c r="J623" s="1056"/>
      <c r="K623" s="1056"/>
      <c r="L623" s="1056"/>
      <c r="M623" s="274"/>
      <c r="P623" s="264"/>
      <c r="Q623" s="264"/>
      <c r="R623" s="264"/>
      <c r="S623" s="264"/>
      <c r="T623" s="1056"/>
      <c r="U623" s="1056"/>
      <c r="V623" s="1056"/>
      <c r="W623" s="1056"/>
      <c r="X623" s="1056"/>
      <c r="Y623" s="1056"/>
      <c r="Z623" s="1056"/>
      <c r="AA623" s="1056"/>
      <c r="AB623" s="1056"/>
      <c r="AC623" s="1056"/>
      <c r="AD623" s="1056"/>
      <c r="AE623" s="1056"/>
      <c r="AF623" s="264"/>
    </row>
    <row r="624" spans="1:32" s="268" customFormat="1" ht="15" x14ac:dyDescent="0.25">
      <c r="A624" s="264"/>
      <c r="B624" s="264"/>
      <c r="C624" s="1056"/>
      <c r="D624" s="1056"/>
      <c r="E624" s="1056"/>
      <c r="F624" s="1056"/>
      <c r="G624" s="1056"/>
      <c r="H624" s="1056"/>
      <c r="I624" s="1056"/>
      <c r="J624" s="1056"/>
      <c r="K624" s="1056"/>
      <c r="L624" s="1056"/>
      <c r="M624" s="274"/>
      <c r="P624" s="264"/>
      <c r="Q624" s="264"/>
      <c r="R624" s="264"/>
      <c r="S624" s="264"/>
      <c r="T624" s="1056"/>
      <c r="U624" s="1056"/>
      <c r="V624" s="1056"/>
      <c r="W624" s="1056"/>
      <c r="X624" s="1056"/>
      <c r="Y624" s="1056"/>
      <c r="Z624" s="1056"/>
      <c r="AA624" s="1056"/>
      <c r="AB624" s="1056"/>
      <c r="AC624" s="1056"/>
      <c r="AD624" s="1056"/>
      <c r="AE624" s="1056"/>
      <c r="AF624" s="264"/>
    </row>
    <row r="625" spans="1:32" s="268" customFormat="1" ht="15" x14ac:dyDescent="0.25">
      <c r="A625" s="264"/>
      <c r="B625" s="264"/>
      <c r="C625" s="1056"/>
      <c r="D625" s="1056"/>
      <c r="E625" s="1056"/>
      <c r="F625" s="1056"/>
      <c r="G625" s="1056"/>
      <c r="H625" s="1056"/>
      <c r="I625" s="1056"/>
      <c r="J625" s="1056"/>
      <c r="K625" s="1056"/>
      <c r="L625" s="1056"/>
      <c r="M625" s="274"/>
      <c r="P625" s="264"/>
      <c r="Q625" s="264"/>
      <c r="R625" s="264"/>
      <c r="S625" s="264"/>
      <c r="T625" s="1056"/>
      <c r="U625" s="1056"/>
      <c r="V625" s="1056"/>
      <c r="W625" s="1056"/>
      <c r="X625" s="1056"/>
      <c r="Y625" s="1056"/>
      <c r="Z625" s="1056"/>
      <c r="AA625" s="1056"/>
      <c r="AB625" s="1056"/>
      <c r="AC625" s="1056"/>
      <c r="AD625" s="1056"/>
      <c r="AE625" s="1056"/>
      <c r="AF625" s="264"/>
    </row>
    <row r="626" spans="1:32" s="268" customFormat="1" ht="15" x14ac:dyDescent="0.25">
      <c r="A626" s="264"/>
      <c r="B626" s="264"/>
      <c r="C626" s="1056"/>
      <c r="D626" s="1056"/>
      <c r="E626" s="1056"/>
      <c r="F626" s="1056"/>
      <c r="G626" s="1056"/>
      <c r="H626" s="1056"/>
      <c r="I626" s="1056"/>
      <c r="J626" s="1056"/>
      <c r="K626" s="1056"/>
      <c r="L626" s="1056"/>
      <c r="M626" s="274"/>
      <c r="P626" s="264"/>
      <c r="Q626" s="264"/>
      <c r="R626" s="264"/>
      <c r="S626" s="264"/>
      <c r="T626" s="1056"/>
      <c r="U626" s="1056"/>
      <c r="V626" s="1056"/>
      <c r="W626" s="1056"/>
      <c r="X626" s="1056"/>
      <c r="Y626" s="1056"/>
      <c r="Z626" s="1056"/>
      <c r="AA626" s="1056"/>
      <c r="AB626" s="1056"/>
      <c r="AC626" s="1056"/>
      <c r="AD626" s="1056"/>
      <c r="AE626" s="1056"/>
      <c r="AF626" s="264"/>
    </row>
    <row r="627" spans="1:32" s="268" customFormat="1" ht="15" x14ac:dyDescent="0.25">
      <c r="A627" s="264"/>
      <c r="B627" s="264"/>
      <c r="C627" s="1056"/>
      <c r="D627" s="1056"/>
      <c r="E627" s="1056"/>
      <c r="F627" s="1056"/>
      <c r="G627" s="1056"/>
      <c r="H627" s="1056"/>
      <c r="I627" s="1056"/>
      <c r="J627" s="1056"/>
      <c r="K627" s="1056"/>
      <c r="L627" s="1056"/>
      <c r="M627" s="274"/>
      <c r="P627" s="264"/>
      <c r="Q627" s="264"/>
      <c r="R627" s="264"/>
      <c r="S627" s="264"/>
      <c r="T627" s="1056"/>
      <c r="U627" s="1056"/>
      <c r="V627" s="1056"/>
      <c r="W627" s="1056"/>
      <c r="X627" s="1056"/>
      <c r="Y627" s="1056"/>
      <c r="Z627" s="1056"/>
      <c r="AA627" s="1056"/>
      <c r="AB627" s="1056"/>
      <c r="AC627" s="1056"/>
      <c r="AD627" s="1056"/>
      <c r="AE627" s="1056"/>
      <c r="AF627" s="264"/>
    </row>
    <row r="628" spans="1:32" s="268" customFormat="1" ht="15" x14ac:dyDescent="0.25">
      <c r="A628" s="264"/>
      <c r="B628" s="264"/>
      <c r="C628" s="1056"/>
      <c r="D628" s="1056"/>
      <c r="E628" s="1056"/>
      <c r="F628" s="1056"/>
      <c r="G628" s="1056"/>
      <c r="H628" s="1056"/>
      <c r="I628" s="1056"/>
      <c r="J628" s="1056"/>
      <c r="K628" s="1056"/>
      <c r="L628" s="1056"/>
      <c r="M628" s="274"/>
      <c r="P628" s="264"/>
      <c r="Q628" s="264"/>
      <c r="R628" s="264"/>
      <c r="S628" s="264"/>
      <c r="T628" s="1056"/>
      <c r="U628" s="1056"/>
      <c r="V628" s="1056"/>
      <c r="W628" s="1056"/>
      <c r="X628" s="1056"/>
      <c r="Y628" s="1056"/>
      <c r="Z628" s="1056"/>
      <c r="AA628" s="1056"/>
      <c r="AB628" s="1056"/>
      <c r="AC628" s="1056"/>
      <c r="AD628" s="1056"/>
      <c r="AE628" s="1056"/>
      <c r="AF628" s="264"/>
    </row>
    <row r="629" spans="1:32" s="268" customFormat="1" ht="15" x14ac:dyDescent="0.25">
      <c r="A629" s="264"/>
      <c r="B629" s="264"/>
      <c r="C629" s="1056"/>
      <c r="D629" s="1056"/>
      <c r="E629" s="1056"/>
      <c r="F629" s="1056"/>
      <c r="G629" s="1056"/>
      <c r="H629" s="1056"/>
      <c r="I629" s="1056"/>
      <c r="J629" s="1056"/>
      <c r="K629" s="1056"/>
      <c r="L629" s="1056"/>
      <c r="M629" s="274"/>
      <c r="P629" s="264"/>
      <c r="Q629" s="264"/>
      <c r="R629" s="264"/>
      <c r="S629" s="264"/>
      <c r="T629" s="1056"/>
      <c r="U629" s="1056"/>
      <c r="V629" s="1056"/>
      <c r="W629" s="1056"/>
      <c r="X629" s="1056"/>
      <c r="Y629" s="1056"/>
      <c r="Z629" s="1056"/>
      <c r="AA629" s="1056"/>
      <c r="AB629" s="1056"/>
      <c r="AC629" s="1056"/>
      <c r="AD629" s="1056"/>
      <c r="AE629" s="1056"/>
      <c r="AF629" s="264"/>
    </row>
    <row r="630" spans="1:32" s="268" customFormat="1" ht="15" x14ac:dyDescent="0.25">
      <c r="A630" s="264"/>
      <c r="B630" s="264"/>
      <c r="C630" s="1056"/>
      <c r="D630" s="1056"/>
      <c r="E630" s="1056"/>
      <c r="F630" s="1056"/>
      <c r="G630" s="1056"/>
      <c r="H630" s="1056"/>
      <c r="I630" s="1056"/>
      <c r="J630" s="1056"/>
      <c r="K630" s="1056"/>
      <c r="L630" s="1056"/>
      <c r="M630" s="274"/>
      <c r="P630" s="264"/>
      <c r="Q630" s="264"/>
      <c r="R630" s="264"/>
      <c r="S630" s="264"/>
      <c r="T630" s="1056"/>
      <c r="U630" s="1056"/>
      <c r="V630" s="1056"/>
      <c r="W630" s="1056"/>
      <c r="X630" s="1056"/>
      <c r="Y630" s="1056"/>
      <c r="Z630" s="1056"/>
      <c r="AA630" s="1056"/>
      <c r="AB630" s="1056"/>
      <c r="AC630" s="1056"/>
      <c r="AD630" s="1056"/>
      <c r="AE630" s="1056"/>
      <c r="AF630" s="264"/>
    </row>
    <row r="631" spans="1:32" s="268" customFormat="1" ht="15" x14ac:dyDescent="0.25">
      <c r="A631" s="264"/>
      <c r="B631" s="264"/>
      <c r="C631" s="1056"/>
      <c r="D631" s="1056"/>
      <c r="E631" s="1056"/>
      <c r="F631" s="1056"/>
      <c r="G631" s="1056"/>
      <c r="H631" s="1056"/>
      <c r="I631" s="1056"/>
      <c r="J631" s="1056"/>
      <c r="K631" s="1056"/>
      <c r="L631" s="1056"/>
      <c r="M631" s="274"/>
      <c r="P631" s="264"/>
      <c r="Q631" s="264"/>
      <c r="R631" s="264"/>
      <c r="S631" s="264"/>
      <c r="T631" s="1056"/>
      <c r="U631" s="1056"/>
      <c r="V631" s="1056"/>
      <c r="W631" s="1056"/>
      <c r="X631" s="1056"/>
      <c r="Y631" s="1056"/>
      <c r="Z631" s="1056"/>
      <c r="AA631" s="1056"/>
      <c r="AB631" s="1056"/>
      <c r="AC631" s="1056"/>
      <c r="AD631" s="1056"/>
      <c r="AE631" s="1056"/>
      <c r="AF631" s="264"/>
    </row>
    <row r="632" spans="1:32" s="268" customFormat="1" ht="15" x14ac:dyDescent="0.25">
      <c r="A632" s="264"/>
      <c r="B632" s="264"/>
      <c r="C632" s="1056"/>
      <c r="D632" s="1056"/>
      <c r="E632" s="1056"/>
      <c r="F632" s="1056"/>
      <c r="G632" s="1056"/>
      <c r="H632" s="1056"/>
      <c r="I632" s="1056"/>
      <c r="J632" s="1056"/>
      <c r="K632" s="1056"/>
      <c r="L632" s="1056"/>
      <c r="M632" s="274"/>
      <c r="P632" s="264"/>
      <c r="Q632" s="264"/>
      <c r="R632" s="264"/>
      <c r="S632" s="264"/>
      <c r="T632" s="1056"/>
      <c r="U632" s="1056"/>
      <c r="V632" s="1056"/>
      <c r="W632" s="1056"/>
      <c r="X632" s="1056"/>
      <c r="Y632" s="1056"/>
      <c r="Z632" s="1056"/>
      <c r="AA632" s="1056"/>
      <c r="AB632" s="1056"/>
      <c r="AC632" s="1056"/>
      <c r="AD632" s="1056"/>
      <c r="AE632" s="1056"/>
      <c r="AF632" s="264"/>
    </row>
    <row r="633" spans="1:32" s="268" customFormat="1" ht="15" x14ac:dyDescent="0.25">
      <c r="A633" s="264"/>
      <c r="B633" s="264"/>
      <c r="C633" s="1056"/>
      <c r="D633" s="1056"/>
      <c r="E633" s="1056"/>
      <c r="F633" s="1056"/>
      <c r="G633" s="1056"/>
      <c r="H633" s="1056"/>
      <c r="I633" s="1056"/>
      <c r="J633" s="1056"/>
      <c r="K633" s="1056"/>
      <c r="L633" s="1056"/>
      <c r="M633" s="274"/>
      <c r="P633" s="264"/>
      <c r="Q633" s="264"/>
      <c r="R633" s="264"/>
      <c r="S633" s="264"/>
      <c r="T633" s="1056"/>
      <c r="U633" s="1056"/>
      <c r="V633" s="1056"/>
      <c r="W633" s="1056"/>
      <c r="X633" s="1056"/>
      <c r="Y633" s="1056"/>
      <c r="Z633" s="1056"/>
      <c r="AA633" s="1056"/>
      <c r="AB633" s="1056"/>
      <c r="AC633" s="1056"/>
      <c r="AD633" s="1056"/>
      <c r="AE633" s="1056"/>
      <c r="AF633" s="264"/>
    </row>
    <row r="634" spans="1:32" s="268" customFormat="1" ht="15" x14ac:dyDescent="0.25">
      <c r="A634" s="264"/>
      <c r="B634" s="264"/>
      <c r="C634" s="1056"/>
      <c r="D634" s="1056"/>
      <c r="E634" s="1056"/>
      <c r="F634" s="1056"/>
      <c r="G634" s="1056"/>
      <c r="H634" s="1056"/>
      <c r="I634" s="1056"/>
      <c r="J634" s="1056"/>
      <c r="K634" s="1056"/>
      <c r="L634" s="1056"/>
      <c r="M634" s="274"/>
      <c r="P634" s="264"/>
      <c r="Q634" s="264"/>
      <c r="R634" s="264"/>
      <c r="S634" s="264"/>
      <c r="T634" s="1056"/>
      <c r="U634" s="1056"/>
      <c r="V634" s="1056"/>
      <c r="W634" s="1056"/>
      <c r="X634" s="1056"/>
      <c r="Y634" s="1056"/>
      <c r="Z634" s="1056"/>
      <c r="AA634" s="1056"/>
      <c r="AB634" s="1056"/>
      <c r="AC634" s="1056"/>
      <c r="AD634" s="1056"/>
      <c r="AE634" s="1056"/>
      <c r="AF634" s="264"/>
    </row>
    <row r="635" spans="1:32" s="268" customFormat="1" ht="15" x14ac:dyDescent="0.25">
      <c r="A635" s="264"/>
      <c r="B635" s="264"/>
      <c r="C635" s="1056"/>
      <c r="D635" s="1056"/>
      <c r="E635" s="1056"/>
      <c r="F635" s="1056"/>
      <c r="G635" s="1056"/>
      <c r="H635" s="1056"/>
      <c r="I635" s="1056"/>
      <c r="J635" s="1056"/>
      <c r="K635" s="1056"/>
      <c r="L635" s="1056"/>
      <c r="M635" s="274"/>
      <c r="P635" s="264"/>
      <c r="Q635" s="264"/>
      <c r="R635" s="264"/>
      <c r="S635" s="264"/>
      <c r="T635" s="1056"/>
      <c r="U635" s="1056"/>
      <c r="V635" s="1056"/>
      <c r="W635" s="1056"/>
      <c r="X635" s="1056"/>
      <c r="Y635" s="1056"/>
      <c r="Z635" s="1056"/>
      <c r="AA635" s="1056"/>
      <c r="AB635" s="1056"/>
      <c r="AC635" s="1056"/>
      <c r="AD635" s="1056"/>
      <c r="AE635" s="1056"/>
      <c r="AF635" s="264"/>
    </row>
    <row r="636" spans="1:32" s="268" customFormat="1" ht="15" x14ac:dyDescent="0.25">
      <c r="A636" s="264"/>
      <c r="B636" s="264"/>
      <c r="C636" s="1056"/>
      <c r="D636" s="1056"/>
      <c r="E636" s="1056"/>
      <c r="F636" s="1056"/>
      <c r="G636" s="1056"/>
      <c r="H636" s="1056"/>
      <c r="I636" s="1056"/>
      <c r="J636" s="1056"/>
      <c r="K636" s="1056"/>
      <c r="L636" s="1056"/>
      <c r="M636" s="274"/>
      <c r="P636" s="264"/>
      <c r="Q636" s="264"/>
      <c r="R636" s="264"/>
      <c r="S636" s="264"/>
      <c r="T636" s="1056"/>
      <c r="U636" s="1056"/>
      <c r="V636" s="1056"/>
      <c r="W636" s="1056"/>
      <c r="X636" s="1056"/>
      <c r="Y636" s="1056"/>
      <c r="Z636" s="1056"/>
      <c r="AA636" s="1056"/>
      <c r="AB636" s="1056"/>
      <c r="AC636" s="1056"/>
      <c r="AD636" s="1056"/>
      <c r="AE636" s="1056"/>
      <c r="AF636" s="264"/>
    </row>
    <row r="637" spans="1:32" s="268" customFormat="1" ht="15" x14ac:dyDescent="0.25">
      <c r="A637" s="264"/>
      <c r="B637" s="264"/>
      <c r="C637" s="1056"/>
      <c r="D637" s="1056"/>
      <c r="E637" s="1056"/>
      <c r="F637" s="1056"/>
      <c r="G637" s="1056"/>
      <c r="H637" s="1056"/>
      <c r="I637" s="1056"/>
      <c r="J637" s="1056"/>
      <c r="K637" s="1056"/>
      <c r="L637" s="1056"/>
      <c r="M637" s="274"/>
      <c r="P637" s="264"/>
      <c r="Q637" s="264"/>
      <c r="R637" s="264"/>
      <c r="S637" s="264"/>
      <c r="T637" s="1056"/>
      <c r="U637" s="1056"/>
      <c r="V637" s="1056"/>
      <c r="W637" s="1056"/>
      <c r="X637" s="1056"/>
      <c r="Y637" s="1056"/>
      <c r="Z637" s="1056"/>
      <c r="AA637" s="1056"/>
      <c r="AB637" s="1056"/>
      <c r="AC637" s="1056"/>
      <c r="AD637" s="1056"/>
      <c r="AE637" s="1056"/>
      <c r="AF637" s="264"/>
    </row>
    <row r="638" spans="1:32" s="268" customFormat="1" ht="15" x14ac:dyDescent="0.25">
      <c r="A638" s="264"/>
      <c r="B638" s="264"/>
      <c r="C638" s="1056"/>
      <c r="D638" s="1056"/>
      <c r="E638" s="1056"/>
      <c r="F638" s="1056"/>
      <c r="G638" s="1056"/>
      <c r="H638" s="1056"/>
      <c r="I638" s="1056"/>
      <c r="J638" s="1056"/>
      <c r="K638" s="1056"/>
      <c r="L638" s="1056"/>
      <c r="M638" s="274"/>
      <c r="P638" s="264"/>
      <c r="Q638" s="264"/>
      <c r="R638" s="264"/>
      <c r="S638" s="264"/>
      <c r="T638" s="1056"/>
      <c r="U638" s="1056"/>
      <c r="V638" s="1056"/>
      <c r="W638" s="1056"/>
      <c r="X638" s="1056"/>
      <c r="Y638" s="1056"/>
      <c r="Z638" s="1056"/>
      <c r="AA638" s="1056"/>
      <c r="AB638" s="1056"/>
      <c r="AC638" s="1056"/>
      <c r="AD638" s="1056"/>
      <c r="AE638" s="1056"/>
      <c r="AF638" s="264"/>
    </row>
    <row r="639" spans="1:32" s="268" customFormat="1" ht="15" x14ac:dyDescent="0.25">
      <c r="A639" s="264"/>
      <c r="B639" s="264"/>
      <c r="C639" s="1056"/>
      <c r="D639" s="1056"/>
      <c r="E639" s="1056"/>
      <c r="F639" s="1056"/>
      <c r="G639" s="1056"/>
      <c r="H639" s="1056"/>
      <c r="I639" s="1056"/>
      <c r="J639" s="1056"/>
      <c r="K639" s="1056"/>
      <c r="L639" s="1056"/>
      <c r="M639" s="274"/>
      <c r="P639" s="264"/>
      <c r="Q639" s="264"/>
      <c r="R639" s="264"/>
      <c r="S639" s="264"/>
      <c r="T639" s="1056"/>
      <c r="U639" s="1056"/>
      <c r="V639" s="1056"/>
      <c r="W639" s="1056"/>
      <c r="X639" s="1056"/>
      <c r="Y639" s="1056"/>
      <c r="Z639" s="1056"/>
      <c r="AA639" s="1056"/>
      <c r="AB639" s="1056"/>
      <c r="AC639" s="1056"/>
      <c r="AD639" s="1056"/>
      <c r="AE639" s="1056"/>
      <c r="AF639" s="264"/>
    </row>
    <row r="640" spans="1:32" s="268" customFormat="1" ht="15" x14ac:dyDescent="0.25">
      <c r="A640" s="264"/>
      <c r="B640" s="264"/>
      <c r="C640" s="1056"/>
      <c r="D640" s="1056"/>
      <c r="E640" s="1056"/>
      <c r="F640" s="1056"/>
      <c r="G640" s="1056"/>
      <c r="H640" s="1056"/>
      <c r="I640" s="1056"/>
      <c r="J640" s="1056"/>
      <c r="K640" s="1056"/>
      <c r="L640" s="1056"/>
      <c r="M640" s="274"/>
      <c r="P640" s="264"/>
      <c r="Q640" s="264"/>
      <c r="R640" s="264"/>
      <c r="S640" s="264"/>
      <c r="T640" s="1056"/>
      <c r="U640" s="1056"/>
      <c r="V640" s="1056"/>
      <c r="W640" s="1056"/>
      <c r="X640" s="1056"/>
      <c r="Y640" s="1056"/>
      <c r="Z640" s="1056"/>
      <c r="AA640" s="1056"/>
      <c r="AB640" s="1056"/>
      <c r="AC640" s="1056"/>
      <c r="AD640" s="1056"/>
      <c r="AE640" s="1056"/>
      <c r="AF640" s="264"/>
    </row>
    <row r="641" spans="1:32" s="268" customFormat="1" ht="15" x14ac:dyDescent="0.25">
      <c r="A641" s="264"/>
      <c r="B641" s="264"/>
      <c r="C641" s="1056"/>
      <c r="D641" s="1056"/>
      <c r="E641" s="1056"/>
      <c r="F641" s="1056"/>
      <c r="G641" s="1056"/>
      <c r="H641" s="1056"/>
      <c r="I641" s="1056"/>
      <c r="J641" s="1056"/>
      <c r="K641" s="1056"/>
      <c r="L641" s="1056"/>
      <c r="M641" s="274"/>
      <c r="P641" s="264"/>
      <c r="Q641" s="264"/>
      <c r="R641" s="264"/>
      <c r="S641" s="264"/>
      <c r="T641" s="1056"/>
      <c r="U641" s="1056"/>
      <c r="V641" s="1056"/>
      <c r="W641" s="1056"/>
      <c r="X641" s="1056"/>
      <c r="Y641" s="1056"/>
      <c r="Z641" s="1056"/>
      <c r="AA641" s="1056"/>
      <c r="AB641" s="1056"/>
      <c r="AC641" s="1056"/>
      <c r="AD641" s="1056"/>
      <c r="AE641" s="1056"/>
      <c r="AF641" s="264"/>
    </row>
    <row r="642" spans="1:32" s="268" customFormat="1" ht="15" x14ac:dyDescent="0.25">
      <c r="A642" s="264"/>
      <c r="B642" s="264"/>
      <c r="C642" s="1056"/>
      <c r="D642" s="1056"/>
      <c r="E642" s="1056"/>
      <c r="F642" s="1056"/>
      <c r="G642" s="1056"/>
      <c r="H642" s="1056"/>
      <c r="I642" s="1056"/>
      <c r="J642" s="1056"/>
      <c r="K642" s="1056"/>
      <c r="L642" s="1056"/>
      <c r="M642" s="274"/>
      <c r="P642" s="264"/>
      <c r="Q642" s="264"/>
      <c r="R642" s="264"/>
      <c r="S642" s="264"/>
      <c r="T642" s="1056"/>
      <c r="U642" s="1056"/>
      <c r="V642" s="1056"/>
      <c r="W642" s="1056"/>
      <c r="X642" s="1056"/>
      <c r="Y642" s="1056"/>
      <c r="Z642" s="1056"/>
      <c r="AA642" s="1056"/>
      <c r="AB642" s="1056"/>
      <c r="AC642" s="1056"/>
      <c r="AD642" s="1056"/>
      <c r="AE642" s="1056"/>
      <c r="AF642" s="264"/>
    </row>
    <row r="643" spans="1:32" s="268" customFormat="1" ht="15" x14ac:dyDescent="0.25">
      <c r="A643" s="264"/>
      <c r="B643" s="264"/>
      <c r="C643" s="1056"/>
      <c r="D643" s="1056"/>
      <c r="E643" s="1056"/>
      <c r="F643" s="1056"/>
      <c r="G643" s="1056"/>
      <c r="H643" s="1056"/>
      <c r="I643" s="1056"/>
      <c r="J643" s="1056"/>
      <c r="K643" s="1056"/>
      <c r="L643" s="1056"/>
      <c r="M643" s="274"/>
      <c r="P643" s="264"/>
      <c r="Q643" s="264"/>
      <c r="R643" s="264"/>
      <c r="S643" s="264"/>
      <c r="T643" s="1056"/>
      <c r="U643" s="1056"/>
      <c r="V643" s="1056"/>
      <c r="W643" s="1056"/>
      <c r="X643" s="1056"/>
      <c r="Y643" s="1056"/>
      <c r="Z643" s="1056"/>
      <c r="AA643" s="1056"/>
      <c r="AB643" s="1056"/>
      <c r="AC643" s="1056"/>
      <c r="AD643" s="1056"/>
      <c r="AE643" s="1056"/>
      <c r="AF643" s="264"/>
    </row>
    <row r="644" spans="1:32" s="268" customFormat="1" ht="15" x14ac:dyDescent="0.25">
      <c r="A644" s="264"/>
      <c r="B644" s="264"/>
      <c r="C644" s="1056"/>
      <c r="D644" s="1056"/>
      <c r="E644" s="1056"/>
      <c r="F644" s="1056"/>
      <c r="G644" s="1056"/>
      <c r="H644" s="1056"/>
      <c r="I644" s="1056"/>
      <c r="J644" s="1056"/>
      <c r="K644" s="1056"/>
      <c r="L644" s="1056"/>
      <c r="M644" s="274"/>
      <c r="P644" s="264"/>
      <c r="Q644" s="264"/>
      <c r="R644" s="264"/>
      <c r="S644" s="264"/>
      <c r="T644" s="1056"/>
      <c r="U644" s="1056"/>
      <c r="V644" s="1056"/>
      <c r="W644" s="1056"/>
      <c r="X644" s="1056"/>
      <c r="Y644" s="1056"/>
      <c r="Z644" s="1056"/>
      <c r="AA644" s="1056"/>
      <c r="AB644" s="1056"/>
      <c r="AC644" s="1056"/>
      <c r="AD644" s="1056"/>
      <c r="AE644" s="1056"/>
      <c r="AF644" s="264"/>
    </row>
    <row r="645" spans="1:32" s="268" customFormat="1" ht="15" x14ac:dyDescent="0.25">
      <c r="A645" s="264"/>
      <c r="B645" s="264"/>
      <c r="C645" s="1056"/>
      <c r="D645" s="1056"/>
      <c r="E645" s="1056"/>
      <c r="F645" s="1056"/>
      <c r="G645" s="1056"/>
      <c r="H645" s="1056"/>
      <c r="I645" s="1056"/>
      <c r="J645" s="1056"/>
      <c r="K645" s="1056"/>
      <c r="L645" s="1056"/>
      <c r="M645" s="274"/>
      <c r="P645" s="264"/>
      <c r="Q645" s="264"/>
      <c r="R645" s="264"/>
      <c r="S645" s="264"/>
      <c r="T645" s="1056"/>
      <c r="U645" s="1056"/>
      <c r="V645" s="1056"/>
      <c r="W645" s="1056"/>
      <c r="X645" s="1056"/>
      <c r="Y645" s="1056"/>
      <c r="Z645" s="1056"/>
      <c r="AA645" s="1056"/>
      <c r="AB645" s="1056"/>
      <c r="AC645" s="1056"/>
      <c r="AD645" s="1056"/>
      <c r="AE645" s="1056"/>
      <c r="AF645" s="264"/>
    </row>
    <row r="646" spans="1:32" s="268" customFormat="1" ht="15" x14ac:dyDescent="0.25">
      <c r="A646" s="264"/>
      <c r="B646" s="264"/>
      <c r="C646" s="1056"/>
      <c r="D646" s="1056"/>
      <c r="E646" s="1056"/>
      <c r="F646" s="1056"/>
      <c r="G646" s="1056"/>
      <c r="H646" s="1056"/>
      <c r="I646" s="1056"/>
      <c r="J646" s="1056"/>
      <c r="K646" s="1056"/>
      <c r="L646" s="1056"/>
      <c r="M646" s="274"/>
      <c r="P646" s="264"/>
      <c r="Q646" s="264"/>
      <c r="R646" s="264"/>
      <c r="S646" s="264"/>
      <c r="T646" s="1056"/>
      <c r="U646" s="1056"/>
      <c r="V646" s="1056"/>
      <c r="W646" s="1056"/>
      <c r="X646" s="1056"/>
      <c r="Y646" s="1056"/>
      <c r="Z646" s="1056"/>
      <c r="AA646" s="1056"/>
      <c r="AB646" s="1056"/>
      <c r="AC646" s="1056"/>
      <c r="AD646" s="1056"/>
      <c r="AE646" s="1056"/>
      <c r="AF646" s="264"/>
    </row>
    <row r="647" spans="1:32" s="268" customFormat="1" ht="15" x14ac:dyDescent="0.25">
      <c r="A647" s="264"/>
      <c r="B647" s="264"/>
      <c r="C647" s="1056"/>
      <c r="D647" s="1056"/>
      <c r="E647" s="1056"/>
      <c r="F647" s="1056"/>
      <c r="G647" s="1056"/>
      <c r="H647" s="1056"/>
      <c r="I647" s="1056"/>
      <c r="J647" s="1056"/>
      <c r="K647" s="1056"/>
      <c r="L647" s="1056"/>
      <c r="M647" s="274"/>
      <c r="P647" s="264"/>
      <c r="Q647" s="264"/>
      <c r="R647" s="264"/>
      <c r="S647" s="264"/>
      <c r="T647" s="1056"/>
      <c r="U647" s="1056"/>
      <c r="V647" s="1056"/>
      <c r="W647" s="1056"/>
      <c r="X647" s="1056"/>
      <c r="Y647" s="1056"/>
      <c r="Z647" s="1056"/>
      <c r="AA647" s="1056"/>
      <c r="AB647" s="1056"/>
      <c r="AC647" s="1056"/>
      <c r="AD647" s="1056"/>
      <c r="AE647" s="1056"/>
      <c r="AF647" s="264"/>
    </row>
    <row r="648" spans="1:32" s="268" customFormat="1" ht="15" x14ac:dyDescent="0.25">
      <c r="A648" s="264"/>
      <c r="B648" s="264"/>
      <c r="C648" s="1056"/>
      <c r="D648" s="1056"/>
      <c r="E648" s="1056"/>
      <c r="F648" s="1056"/>
      <c r="G648" s="1056"/>
      <c r="H648" s="1056"/>
      <c r="I648" s="1056"/>
      <c r="J648" s="1056"/>
      <c r="K648" s="1056"/>
      <c r="L648" s="1056"/>
      <c r="M648" s="274"/>
      <c r="P648" s="264"/>
      <c r="Q648" s="264"/>
      <c r="R648" s="264"/>
      <c r="S648" s="264"/>
      <c r="T648" s="1056"/>
      <c r="U648" s="1056"/>
      <c r="V648" s="1056"/>
      <c r="W648" s="1056"/>
      <c r="X648" s="1056"/>
      <c r="Y648" s="1056"/>
      <c r="Z648" s="1056"/>
      <c r="AA648" s="1056"/>
      <c r="AB648" s="1056"/>
      <c r="AC648" s="1056"/>
      <c r="AD648" s="1056"/>
      <c r="AE648" s="1056"/>
      <c r="AF648" s="264"/>
    </row>
    <row r="649" spans="1:32" s="268" customFormat="1" ht="15" x14ac:dyDescent="0.25">
      <c r="A649" s="264"/>
      <c r="B649" s="264"/>
      <c r="C649" s="1056"/>
      <c r="D649" s="1056"/>
      <c r="E649" s="1056"/>
      <c r="F649" s="1056"/>
      <c r="G649" s="1056"/>
      <c r="H649" s="1056"/>
      <c r="I649" s="1056"/>
      <c r="J649" s="1056"/>
      <c r="K649" s="1056"/>
      <c r="L649" s="1056"/>
      <c r="M649" s="274"/>
      <c r="P649" s="264"/>
      <c r="Q649" s="264"/>
      <c r="R649" s="264"/>
      <c r="S649" s="264"/>
      <c r="T649" s="1056"/>
      <c r="U649" s="1056"/>
      <c r="V649" s="1056"/>
      <c r="W649" s="1056"/>
      <c r="X649" s="1056"/>
      <c r="Y649" s="1056"/>
      <c r="Z649" s="1056"/>
      <c r="AA649" s="1056"/>
      <c r="AB649" s="1056"/>
      <c r="AC649" s="1056"/>
      <c r="AD649" s="1056"/>
      <c r="AE649" s="1056"/>
      <c r="AF649" s="264"/>
    </row>
    <row r="650" spans="1:32" s="268" customFormat="1" ht="15" x14ac:dyDescent="0.25">
      <c r="A650" s="264"/>
      <c r="B650" s="264"/>
      <c r="C650" s="1056"/>
      <c r="D650" s="1056"/>
      <c r="E650" s="1056"/>
      <c r="F650" s="1056"/>
      <c r="G650" s="1056"/>
      <c r="H650" s="1056"/>
      <c r="I650" s="1056"/>
      <c r="J650" s="1056"/>
      <c r="K650" s="1056"/>
      <c r="L650" s="1056"/>
      <c r="M650" s="274"/>
      <c r="P650" s="264"/>
      <c r="Q650" s="264"/>
      <c r="R650" s="264"/>
      <c r="S650" s="264"/>
      <c r="T650" s="1056"/>
      <c r="U650" s="1056"/>
      <c r="V650" s="1056"/>
      <c r="W650" s="1056"/>
      <c r="X650" s="1056"/>
      <c r="Y650" s="1056"/>
      <c r="Z650" s="1056"/>
      <c r="AA650" s="1056"/>
      <c r="AB650" s="1056"/>
      <c r="AC650" s="1056"/>
      <c r="AD650" s="1056"/>
      <c r="AE650" s="1056"/>
      <c r="AF650" s="264"/>
    </row>
    <row r="651" spans="1:32" s="268" customFormat="1" ht="15" x14ac:dyDescent="0.25">
      <c r="A651" s="264"/>
      <c r="B651" s="264"/>
      <c r="C651" s="1056"/>
      <c r="D651" s="1056"/>
      <c r="E651" s="1056"/>
      <c r="F651" s="1056"/>
      <c r="G651" s="1056"/>
      <c r="H651" s="1056"/>
      <c r="I651" s="1056"/>
      <c r="J651" s="1056"/>
      <c r="K651" s="1056"/>
      <c r="L651" s="1056"/>
      <c r="M651" s="274"/>
      <c r="P651" s="264"/>
      <c r="Q651" s="264"/>
      <c r="R651" s="264"/>
      <c r="S651" s="264"/>
      <c r="T651" s="1056"/>
      <c r="U651" s="1056"/>
      <c r="V651" s="1056"/>
      <c r="W651" s="1056"/>
      <c r="X651" s="1056"/>
      <c r="Y651" s="1056"/>
      <c r="Z651" s="1056"/>
      <c r="AA651" s="1056"/>
      <c r="AB651" s="1056"/>
      <c r="AC651" s="1056"/>
      <c r="AD651" s="1056"/>
      <c r="AE651" s="1056"/>
      <c r="AF651" s="264"/>
    </row>
    <row r="652" spans="1:32" s="268" customFormat="1" ht="15" x14ac:dyDescent="0.25">
      <c r="A652" s="264"/>
      <c r="B652" s="264"/>
      <c r="C652" s="1056"/>
      <c r="D652" s="1056"/>
      <c r="E652" s="1056"/>
      <c r="F652" s="1056"/>
      <c r="G652" s="1056"/>
      <c r="H652" s="1056"/>
      <c r="I652" s="1056"/>
      <c r="J652" s="1056"/>
      <c r="K652" s="1056"/>
      <c r="L652" s="1056"/>
      <c r="M652" s="274"/>
      <c r="P652" s="264"/>
      <c r="Q652" s="264"/>
      <c r="R652" s="264"/>
      <c r="S652" s="264"/>
      <c r="T652" s="1056"/>
      <c r="U652" s="1056"/>
      <c r="V652" s="1056"/>
      <c r="W652" s="1056"/>
      <c r="X652" s="1056"/>
      <c r="Y652" s="1056"/>
      <c r="Z652" s="1056"/>
      <c r="AA652" s="1056"/>
      <c r="AB652" s="1056"/>
      <c r="AC652" s="1056"/>
      <c r="AD652" s="1056"/>
      <c r="AE652" s="1056"/>
      <c r="AF652" s="264"/>
    </row>
    <row r="653" spans="1:32" s="268" customFormat="1" ht="15" x14ac:dyDescent="0.25">
      <c r="A653" s="264"/>
      <c r="B653" s="264"/>
      <c r="C653" s="1056"/>
      <c r="D653" s="1056"/>
      <c r="E653" s="1056"/>
      <c r="F653" s="1056"/>
      <c r="G653" s="1056"/>
      <c r="H653" s="1056"/>
      <c r="I653" s="1056"/>
      <c r="J653" s="1056"/>
      <c r="K653" s="1056"/>
      <c r="L653" s="1056"/>
      <c r="M653" s="274"/>
      <c r="P653" s="264"/>
      <c r="Q653" s="264"/>
      <c r="R653" s="264"/>
      <c r="S653" s="264"/>
      <c r="T653" s="1056"/>
      <c r="U653" s="1056"/>
      <c r="V653" s="1056"/>
      <c r="W653" s="1056"/>
      <c r="X653" s="1056"/>
      <c r="Y653" s="1056"/>
      <c r="Z653" s="1056"/>
      <c r="AA653" s="1056"/>
      <c r="AB653" s="1056"/>
      <c r="AC653" s="1056"/>
      <c r="AD653" s="1056"/>
      <c r="AE653" s="1056"/>
      <c r="AF653" s="264"/>
    </row>
    <row r="654" spans="1:32" s="268" customFormat="1" ht="15" x14ac:dyDescent="0.25">
      <c r="A654" s="264"/>
      <c r="B654" s="264"/>
      <c r="C654" s="1056"/>
      <c r="D654" s="1056"/>
      <c r="E654" s="1056"/>
      <c r="F654" s="1056"/>
      <c r="G654" s="1056"/>
      <c r="H654" s="1056"/>
      <c r="I654" s="1056"/>
      <c r="J654" s="1056"/>
      <c r="K654" s="1056"/>
      <c r="L654" s="1056"/>
      <c r="M654" s="274"/>
      <c r="P654" s="264"/>
      <c r="Q654" s="264"/>
      <c r="R654" s="264"/>
      <c r="S654" s="264"/>
      <c r="T654" s="1056"/>
      <c r="U654" s="1056"/>
      <c r="V654" s="1056"/>
      <c r="W654" s="1056"/>
      <c r="X654" s="1056"/>
      <c r="Y654" s="1056"/>
      <c r="Z654" s="1056"/>
      <c r="AA654" s="1056"/>
      <c r="AB654" s="1056"/>
      <c r="AC654" s="1056"/>
      <c r="AD654" s="1056"/>
      <c r="AE654" s="1056"/>
      <c r="AF654" s="264"/>
    </row>
    <row r="655" spans="1:32" s="268" customFormat="1" ht="15" x14ac:dyDescent="0.25">
      <c r="A655" s="264"/>
      <c r="B655" s="264"/>
      <c r="C655" s="1056"/>
      <c r="D655" s="1056"/>
      <c r="E655" s="1056"/>
      <c r="F655" s="1056"/>
      <c r="G655" s="1056"/>
      <c r="H655" s="1056"/>
      <c r="I655" s="1056"/>
      <c r="J655" s="1056"/>
      <c r="K655" s="1056"/>
      <c r="L655" s="1056"/>
      <c r="M655" s="274"/>
      <c r="P655" s="264"/>
      <c r="Q655" s="264"/>
      <c r="R655" s="264"/>
      <c r="S655" s="264"/>
      <c r="T655" s="1056"/>
      <c r="U655" s="1056"/>
      <c r="V655" s="1056"/>
      <c r="W655" s="1056"/>
      <c r="X655" s="1056"/>
      <c r="Y655" s="1056"/>
      <c r="Z655" s="1056"/>
      <c r="AA655" s="1056"/>
      <c r="AB655" s="1056"/>
      <c r="AC655" s="1056"/>
      <c r="AD655" s="1056"/>
      <c r="AE655" s="1056"/>
      <c r="AF655" s="264"/>
    </row>
    <row r="656" spans="1:32" s="268" customFormat="1" ht="15" x14ac:dyDescent="0.25">
      <c r="A656" s="264"/>
      <c r="B656" s="264"/>
      <c r="C656" s="1056"/>
      <c r="D656" s="1056"/>
      <c r="E656" s="1056"/>
      <c r="F656" s="1056"/>
      <c r="G656" s="1056"/>
      <c r="H656" s="1056"/>
      <c r="I656" s="1056"/>
      <c r="J656" s="1056"/>
      <c r="K656" s="1056"/>
      <c r="L656" s="1056"/>
      <c r="M656" s="274"/>
      <c r="P656" s="264"/>
      <c r="Q656" s="264"/>
      <c r="R656" s="264"/>
      <c r="S656" s="264"/>
      <c r="T656" s="1056"/>
      <c r="U656" s="1056"/>
      <c r="V656" s="1056"/>
      <c r="W656" s="1056"/>
      <c r="X656" s="1056"/>
      <c r="Y656" s="1056"/>
      <c r="Z656" s="1056"/>
      <c r="AA656" s="1056"/>
      <c r="AB656" s="1056"/>
      <c r="AC656" s="1056"/>
      <c r="AD656" s="1056"/>
      <c r="AE656" s="1056"/>
      <c r="AF656" s="264"/>
    </row>
    <row r="657" spans="1:32" s="268" customFormat="1" ht="15" x14ac:dyDescent="0.25">
      <c r="A657" s="264"/>
      <c r="B657" s="264"/>
      <c r="C657" s="1056"/>
      <c r="D657" s="1056"/>
      <c r="E657" s="1056"/>
      <c r="F657" s="1056"/>
      <c r="G657" s="1056"/>
      <c r="H657" s="1056"/>
      <c r="I657" s="1056"/>
      <c r="J657" s="1056"/>
      <c r="K657" s="1056"/>
      <c r="L657" s="1056"/>
      <c r="M657" s="274"/>
      <c r="P657" s="264"/>
      <c r="Q657" s="264"/>
      <c r="R657" s="264"/>
      <c r="S657" s="264"/>
      <c r="T657" s="1056"/>
      <c r="U657" s="1056"/>
      <c r="V657" s="1056"/>
      <c r="W657" s="1056"/>
      <c r="X657" s="1056"/>
      <c r="Y657" s="1056"/>
      <c r="Z657" s="1056"/>
      <c r="AA657" s="1056"/>
      <c r="AB657" s="1056"/>
      <c r="AC657" s="1056"/>
      <c r="AD657" s="1056"/>
      <c r="AE657" s="1056"/>
      <c r="AF657" s="264"/>
    </row>
    <row r="658" spans="1:32" s="268" customFormat="1" ht="15" x14ac:dyDescent="0.25">
      <c r="A658" s="264"/>
      <c r="B658" s="264"/>
      <c r="C658" s="1056"/>
      <c r="D658" s="1056"/>
      <c r="E658" s="1056"/>
      <c r="F658" s="1056"/>
      <c r="G658" s="1056"/>
      <c r="H658" s="1056"/>
      <c r="I658" s="1056"/>
      <c r="J658" s="1056"/>
      <c r="K658" s="1056"/>
      <c r="L658" s="1056"/>
      <c r="M658" s="274"/>
      <c r="P658" s="264"/>
      <c r="Q658" s="264"/>
      <c r="R658" s="264"/>
      <c r="S658" s="264"/>
      <c r="T658" s="1056"/>
      <c r="U658" s="1056"/>
      <c r="V658" s="1056"/>
      <c r="W658" s="1056"/>
      <c r="X658" s="1056"/>
      <c r="Y658" s="1056"/>
      <c r="Z658" s="1056"/>
      <c r="AA658" s="1056"/>
      <c r="AB658" s="1056"/>
      <c r="AC658" s="1056"/>
      <c r="AD658" s="1056"/>
      <c r="AE658" s="1056"/>
      <c r="AF658" s="264"/>
    </row>
    <row r="659" spans="1:32" s="268" customFormat="1" ht="15" x14ac:dyDescent="0.25">
      <c r="A659" s="264"/>
      <c r="B659" s="264"/>
      <c r="C659" s="1056"/>
      <c r="D659" s="1056"/>
      <c r="E659" s="1056"/>
      <c r="F659" s="1056"/>
      <c r="G659" s="1056"/>
      <c r="H659" s="1056"/>
      <c r="I659" s="1056"/>
      <c r="J659" s="1056"/>
      <c r="K659" s="1056"/>
      <c r="L659" s="1056"/>
      <c r="M659" s="274"/>
      <c r="P659" s="264"/>
      <c r="Q659" s="264"/>
      <c r="R659" s="264"/>
      <c r="S659" s="264"/>
      <c r="T659" s="1056"/>
      <c r="U659" s="1056"/>
      <c r="V659" s="1056"/>
      <c r="W659" s="1056"/>
      <c r="X659" s="1056"/>
      <c r="Y659" s="1056"/>
      <c r="Z659" s="1056"/>
      <c r="AA659" s="1056"/>
      <c r="AB659" s="1056"/>
      <c r="AC659" s="1056"/>
      <c r="AD659" s="1056"/>
      <c r="AE659" s="1056"/>
      <c r="AF659" s="264"/>
    </row>
    <row r="660" spans="1:32" s="268" customFormat="1" ht="15" x14ac:dyDescent="0.25">
      <c r="A660" s="264"/>
      <c r="B660" s="264"/>
      <c r="C660" s="1056"/>
      <c r="D660" s="1056"/>
      <c r="E660" s="1056"/>
      <c r="F660" s="1056"/>
      <c r="G660" s="1056"/>
      <c r="H660" s="1056"/>
      <c r="I660" s="1056"/>
      <c r="J660" s="1056"/>
      <c r="K660" s="1056"/>
      <c r="L660" s="1056"/>
      <c r="M660" s="274"/>
      <c r="P660" s="264"/>
      <c r="Q660" s="264"/>
      <c r="R660" s="264"/>
      <c r="S660" s="264"/>
      <c r="T660" s="1056"/>
      <c r="U660" s="1056"/>
      <c r="V660" s="1056"/>
      <c r="W660" s="1056"/>
      <c r="X660" s="1056"/>
      <c r="Y660" s="1056"/>
      <c r="Z660" s="1056"/>
      <c r="AA660" s="1056"/>
      <c r="AB660" s="1056"/>
      <c r="AC660" s="1056"/>
      <c r="AD660" s="1056"/>
      <c r="AE660" s="1056"/>
      <c r="AF660" s="264"/>
    </row>
    <row r="661" spans="1:32" s="268" customFormat="1" ht="15" x14ac:dyDescent="0.25">
      <c r="A661" s="264"/>
      <c r="B661" s="264"/>
      <c r="C661" s="1056"/>
      <c r="D661" s="1056"/>
      <c r="E661" s="1056"/>
      <c r="F661" s="1056"/>
      <c r="G661" s="1056"/>
      <c r="H661" s="1056"/>
      <c r="I661" s="1056"/>
      <c r="J661" s="1056"/>
      <c r="K661" s="1056"/>
      <c r="L661" s="1056"/>
      <c r="M661" s="274"/>
      <c r="P661" s="264"/>
      <c r="Q661" s="264"/>
      <c r="R661" s="264"/>
      <c r="S661" s="264"/>
      <c r="T661" s="1056"/>
      <c r="U661" s="1056"/>
      <c r="V661" s="1056"/>
      <c r="W661" s="1056"/>
      <c r="X661" s="1056"/>
      <c r="Y661" s="1056"/>
      <c r="Z661" s="1056"/>
      <c r="AA661" s="1056"/>
      <c r="AB661" s="1056"/>
      <c r="AC661" s="1056"/>
      <c r="AD661" s="1056"/>
      <c r="AE661" s="1056"/>
      <c r="AF661" s="264"/>
    </row>
    <row r="662" spans="1:32" s="268" customFormat="1" ht="15" x14ac:dyDescent="0.25">
      <c r="A662" s="264"/>
      <c r="B662" s="264"/>
      <c r="C662" s="1056"/>
      <c r="D662" s="1056"/>
      <c r="E662" s="1056"/>
      <c r="F662" s="1056"/>
      <c r="G662" s="1056"/>
      <c r="H662" s="1056"/>
      <c r="I662" s="1056"/>
      <c r="J662" s="1056"/>
      <c r="K662" s="1056"/>
      <c r="L662" s="1056"/>
      <c r="M662" s="274"/>
      <c r="P662" s="264"/>
      <c r="Q662" s="264"/>
      <c r="R662" s="264"/>
      <c r="S662" s="264"/>
      <c r="T662" s="1056"/>
      <c r="U662" s="1056"/>
      <c r="V662" s="1056"/>
      <c r="W662" s="1056"/>
      <c r="X662" s="1056"/>
      <c r="Y662" s="1056"/>
      <c r="Z662" s="1056"/>
      <c r="AA662" s="1056"/>
      <c r="AB662" s="1056"/>
      <c r="AC662" s="1056"/>
      <c r="AD662" s="1056"/>
      <c r="AE662" s="1056"/>
      <c r="AF662" s="264"/>
    </row>
    <row r="663" spans="1:32" s="268" customFormat="1" ht="15" x14ac:dyDescent="0.25">
      <c r="A663" s="264"/>
      <c r="B663" s="264"/>
      <c r="C663" s="1056"/>
      <c r="D663" s="1056"/>
      <c r="E663" s="1056"/>
      <c r="F663" s="1056"/>
      <c r="G663" s="1056"/>
      <c r="H663" s="1056"/>
      <c r="I663" s="1056"/>
      <c r="J663" s="1056"/>
      <c r="K663" s="1056"/>
      <c r="L663" s="1056"/>
      <c r="M663" s="274"/>
      <c r="P663" s="264"/>
      <c r="Q663" s="264"/>
      <c r="R663" s="264"/>
      <c r="S663" s="264"/>
      <c r="T663" s="1056"/>
      <c r="U663" s="1056"/>
      <c r="V663" s="1056"/>
      <c r="W663" s="1056"/>
      <c r="X663" s="1056"/>
      <c r="Y663" s="1056"/>
      <c r="Z663" s="1056"/>
      <c r="AA663" s="1056"/>
      <c r="AB663" s="1056"/>
      <c r="AC663" s="1056"/>
      <c r="AD663" s="1056"/>
      <c r="AE663" s="1056"/>
      <c r="AF663" s="264"/>
    </row>
    <row r="664" spans="1:32" s="268" customFormat="1" ht="15" x14ac:dyDescent="0.25">
      <c r="A664" s="264"/>
      <c r="B664" s="264"/>
      <c r="C664" s="1056"/>
      <c r="D664" s="1056"/>
      <c r="E664" s="1056"/>
      <c r="F664" s="1056"/>
      <c r="G664" s="1056"/>
      <c r="H664" s="1056"/>
      <c r="I664" s="1056"/>
      <c r="J664" s="1056"/>
      <c r="K664" s="1056"/>
      <c r="L664" s="1056"/>
      <c r="M664" s="274"/>
      <c r="P664" s="264"/>
      <c r="Q664" s="264"/>
      <c r="R664" s="264"/>
      <c r="S664" s="264"/>
      <c r="T664" s="1056"/>
      <c r="U664" s="1056"/>
      <c r="V664" s="1056"/>
      <c r="W664" s="1056"/>
      <c r="X664" s="1056"/>
      <c r="Y664" s="1056"/>
      <c r="Z664" s="1056"/>
      <c r="AA664" s="1056"/>
      <c r="AB664" s="1056"/>
      <c r="AC664" s="1056"/>
      <c r="AD664" s="1056"/>
      <c r="AE664" s="1056"/>
      <c r="AF664" s="264"/>
    </row>
    <row r="665" spans="1:32" s="268" customFormat="1" ht="15" x14ac:dyDescent="0.25">
      <c r="A665" s="264"/>
      <c r="B665" s="264"/>
      <c r="C665" s="1056"/>
      <c r="D665" s="1056"/>
      <c r="E665" s="1056"/>
      <c r="F665" s="1056"/>
      <c r="G665" s="1056"/>
      <c r="H665" s="1056"/>
      <c r="I665" s="1056"/>
      <c r="J665" s="1056"/>
      <c r="K665" s="1056"/>
      <c r="L665" s="1056"/>
      <c r="M665" s="274"/>
      <c r="P665" s="264"/>
      <c r="Q665" s="264"/>
      <c r="R665" s="264"/>
      <c r="S665" s="264"/>
      <c r="T665" s="1056"/>
      <c r="U665" s="1056"/>
      <c r="V665" s="1056"/>
      <c r="W665" s="1056"/>
      <c r="X665" s="1056"/>
      <c r="Y665" s="1056"/>
      <c r="Z665" s="1056"/>
      <c r="AA665" s="1056"/>
      <c r="AB665" s="1056"/>
      <c r="AC665" s="1056"/>
      <c r="AD665" s="1056"/>
      <c r="AE665" s="1056"/>
      <c r="AF665" s="264"/>
    </row>
    <row r="666" spans="1:32" s="268" customFormat="1" ht="15" x14ac:dyDescent="0.25">
      <c r="A666" s="264"/>
      <c r="B666" s="264"/>
      <c r="C666" s="1056"/>
      <c r="D666" s="1056"/>
      <c r="E666" s="1056"/>
      <c r="F666" s="1056"/>
      <c r="G666" s="1056"/>
      <c r="H666" s="1056"/>
      <c r="I666" s="1056"/>
      <c r="J666" s="1056"/>
      <c r="K666" s="1056"/>
      <c r="L666" s="1056"/>
      <c r="M666" s="274"/>
      <c r="P666" s="264"/>
      <c r="Q666" s="264"/>
      <c r="R666" s="264"/>
      <c r="S666" s="264"/>
      <c r="T666" s="1056"/>
      <c r="U666" s="1056"/>
      <c r="V666" s="1056"/>
      <c r="W666" s="1056"/>
      <c r="X666" s="1056"/>
      <c r="Y666" s="1056"/>
      <c r="Z666" s="1056"/>
      <c r="AA666" s="1056"/>
      <c r="AB666" s="1056"/>
      <c r="AC666" s="1056"/>
      <c r="AD666" s="1056"/>
      <c r="AE666" s="1056"/>
      <c r="AF666" s="264"/>
    </row>
    <row r="667" spans="1:32" s="268" customFormat="1" ht="15" x14ac:dyDescent="0.25">
      <c r="A667" s="264"/>
      <c r="B667" s="264"/>
      <c r="C667" s="1056"/>
      <c r="D667" s="1056"/>
      <c r="E667" s="1056"/>
      <c r="F667" s="1056"/>
      <c r="G667" s="1056"/>
      <c r="H667" s="1056"/>
      <c r="I667" s="1056"/>
      <c r="J667" s="1056"/>
      <c r="K667" s="1056"/>
      <c r="L667" s="1056"/>
      <c r="M667" s="274"/>
      <c r="P667" s="264"/>
      <c r="Q667" s="264"/>
      <c r="R667" s="264"/>
      <c r="S667" s="264"/>
      <c r="T667" s="1056"/>
      <c r="U667" s="1056"/>
      <c r="V667" s="1056"/>
      <c r="W667" s="1056"/>
      <c r="X667" s="1056"/>
      <c r="Y667" s="1056"/>
      <c r="Z667" s="1056"/>
      <c r="AA667" s="1056"/>
      <c r="AB667" s="1056"/>
      <c r="AC667" s="1056"/>
      <c r="AD667" s="1056"/>
      <c r="AE667" s="1056"/>
      <c r="AF667" s="264"/>
    </row>
    <row r="668" spans="1:32" s="268" customFormat="1" ht="15" x14ac:dyDescent="0.25">
      <c r="A668" s="264"/>
      <c r="B668" s="264"/>
      <c r="C668" s="1056"/>
      <c r="D668" s="1056"/>
      <c r="E668" s="1056"/>
      <c r="F668" s="1056"/>
      <c r="G668" s="1056"/>
      <c r="H668" s="1056"/>
      <c r="I668" s="1056"/>
      <c r="J668" s="1056"/>
      <c r="K668" s="1056"/>
      <c r="L668" s="1056"/>
      <c r="M668" s="274"/>
      <c r="P668" s="264"/>
      <c r="Q668" s="264"/>
      <c r="R668" s="264"/>
      <c r="S668" s="264"/>
      <c r="T668" s="1056"/>
      <c r="U668" s="1056"/>
      <c r="V668" s="1056"/>
      <c r="W668" s="1056"/>
      <c r="X668" s="1056"/>
      <c r="Y668" s="1056"/>
      <c r="Z668" s="1056"/>
      <c r="AA668" s="1056"/>
      <c r="AB668" s="1056"/>
      <c r="AC668" s="1056"/>
      <c r="AD668" s="1056"/>
      <c r="AE668" s="1056"/>
      <c r="AF668" s="264"/>
    </row>
    <row r="669" spans="1:32" s="268" customFormat="1" ht="15" x14ac:dyDescent="0.25">
      <c r="A669" s="264"/>
      <c r="B669" s="264"/>
      <c r="C669" s="1056"/>
      <c r="D669" s="1056"/>
      <c r="E669" s="1056"/>
      <c r="F669" s="1056"/>
      <c r="G669" s="1056"/>
      <c r="H669" s="1056"/>
      <c r="I669" s="1056"/>
      <c r="J669" s="1056"/>
      <c r="K669" s="1056"/>
      <c r="L669" s="1056"/>
      <c r="M669" s="274"/>
      <c r="P669" s="264"/>
      <c r="Q669" s="264"/>
      <c r="R669" s="264"/>
      <c r="S669" s="264"/>
      <c r="T669" s="1056"/>
      <c r="U669" s="1056"/>
      <c r="V669" s="1056"/>
      <c r="W669" s="1056"/>
      <c r="X669" s="1056"/>
      <c r="Y669" s="1056"/>
      <c r="Z669" s="1056"/>
      <c r="AA669" s="1056"/>
      <c r="AB669" s="1056"/>
      <c r="AC669" s="1056"/>
      <c r="AD669" s="1056"/>
      <c r="AE669" s="1056"/>
      <c r="AF669" s="264"/>
    </row>
    <row r="670" spans="1:32" s="268" customFormat="1" ht="15" x14ac:dyDescent="0.25">
      <c r="A670" s="264"/>
      <c r="B670" s="264"/>
      <c r="C670" s="1056"/>
      <c r="D670" s="1056"/>
      <c r="E670" s="1056"/>
      <c r="F670" s="1056"/>
      <c r="G670" s="1056"/>
      <c r="H670" s="1056"/>
      <c r="I670" s="1056"/>
      <c r="J670" s="1056"/>
      <c r="K670" s="1056"/>
      <c r="L670" s="1056"/>
      <c r="M670" s="274"/>
      <c r="P670" s="264"/>
      <c r="Q670" s="264"/>
      <c r="R670" s="264"/>
      <c r="S670" s="264"/>
      <c r="T670" s="1056"/>
      <c r="U670" s="1056"/>
      <c r="V670" s="1056"/>
      <c r="W670" s="1056"/>
      <c r="X670" s="1056"/>
      <c r="Y670" s="1056"/>
      <c r="Z670" s="1056"/>
      <c r="AA670" s="1056"/>
      <c r="AB670" s="1056"/>
      <c r="AC670" s="1056"/>
      <c r="AD670" s="1056"/>
      <c r="AE670" s="1056"/>
      <c r="AF670" s="264"/>
    </row>
    <row r="671" spans="1:32" s="268" customFormat="1" ht="15" x14ac:dyDescent="0.25">
      <c r="A671" s="264"/>
      <c r="B671" s="264"/>
      <c r="C671" s="1056"/>
      <c r="D671" s="1056"/>
      <c r="E671" s="1056"/>
      <c r="F671" s="1056"/>
      <c r="G671" s="1056"/>
      <c r="H671" s="1056"/>
      <c r="I671" s="1056"/>
      <c r="J671" s="1056"/>
      <c r="K671" s="1056"/>
      <c r="L671" s="1056"/>
      <c r="M671" s="274"/>
      <c r="P671" s="264"/>
      <c r="Q671" s="264"/>
      <c r="R671" s="264"/>
      <c r="S671" s="264"/>
      <c r="T671" s="1056"/>
      <c r="U671" s="1056"/>
      <c r="V671" s="1056"/>
      <c r="W671" s="1056"/>
      <c r="X671" s="1056"/>
      <c r="Y671" s="1056"/>
      <c r="Z671" s="1056"/>
      <c r="AA671" s="1056"/>
      <c r="AB671" s="1056"/>
      <c r="AC671" s="1056"/>
      <c r="AD671" s="1056"/>
      <c r="AE671" s="1056"/>
      <c r="AF671" s="264"/>
    </row>
    <row r="672" spans="1:32" s="268" customFormat="1" ht="15" x14ac:dyDescent="0.25">
      <c r="A672" s="264"/>
      <c r="B672" s="264"/>
      <c r="C672" s="1056"/>
      <c r="D672" s="1056"/>
      <c r="E672" s="1056"/>
      <c r="F672" s="1056"/>
      <c r="G672" s="1056"/>
      <c r="H672" s="1056"/>
      <c r="I672" s="1056"/>
      <c r="J672" s="1056"/>
      <c r="K672" s="1056"/>
      <c r="L672" s="1056"/>
      <c r="M672" s="274"/>
      <c r="P672" s="264"/>
      <c r="Q672" s="264"/>
      <c r="R672" s="264"/>
      <c r="S672" s="264"/>
      <c r="T672" s="1056"/>
      <c r="U672" s="1056"/>
      <c r="V672" s="1056"/>
      <c r="W672" s="1056"/>
      <c r="X672" s="1056"/>
      <c r="Y672" s="1056"/>
      <c r="Z672" s="1056"/>
      <c r="AA672" s="1056"/>
      <c r="AB672" s="1056"/>
      <c r="AC672" s="1056"/>
      <c r="AD672" s="1056"/>
      <c r="AE672" s="1056"/>
      <c r="AF672" s="264"/>
    </row>
    <row r="673" spans="1:32" s="268" customFormat="1" ht="15" x14ac:dyDescent="0.25">
      <c r="A673" s="264"/>
      <c r="B673" s="264"/>
      <c r="C673" s="1056"/>
      <c r="D673" s="1056"/>
      <c r="E673" s="1056"/>
      <c r="F673" s="1056"/>
      <c r="G673" s="1056"/>
      <c r="H673" s="1056"/>
      <c r="I673" s="1056"/>
      <c r="J673" s="1056"/>
      <c r="K673" s="1056"/>
      <c r="L673" s="1056"/>
      <c r="M673" s="274"/>
      <c r="P673" s="264"/>
      <c r="Q673" s="264"/>
      <c r="R673" s="264"/>
      <c r="S673" s="264"/>
      <c r="T673" s="1056"/>
      <c r="U673" s="1056"/>
      <c r="V673" s="1056"/>
      <c r="W673" s="1056"/>
      <c r="X673" s="1056"/>
      <c r="Y673" s="1056"/>
      <c r="Z673" s="1056"/>
      <c r="AA673" s="1056"/>
      <c r="AB673" s="1056"/>
      <c r="AC673" s="1056"/>
      <c r="AD673" s="1056"/>
      <c r="AE673" s="1056"/>
      <c r="AF673" s="264"/>
    </row>
    <row r="674" spans="1:32" s="268" customFormat="1" ht="15" x14ac:dyDescent="0.25">
      <c r="A674" s="264"/>
      <c r="B674" s="264"/>
      <c r="C674" s="1056"/>
      <c r="D674" s="1056"/>
      <c r="E674" s="1056"/>
      <c r="F674" s="1056"/>
      <c r="G674" s="1056"/>
      <c r="H674" s="1056"/>
      <c r="I674" s="1056"/>
      <c r="J674" s="1056"/>
      <c r="K674" s="1056"/>
      <c r="L674" s="1056"/>
      <c r="M674" s="274"/>
      <c r="P674" s="264"/>
      <c r="Q674" s="264"/>
      <c r="R674" s="264"/>
      <c r="S674" s="264"/>
      <c r="T674" s="1056"/>
      <c r="U674" s="1056"/>
      <c r="V674" s="1056"/>
      <c r="W674" s="1056"/>
      <c r="X674" s="1056"/>
      <c r="Y674" s="1056"/>
      <c r="Z674" s="1056"/>
      <c r="AA674" s="1056"/>
      <c r="AB674" s="1056"/>
      <c r="AC674" s="1056"/>
      <c r="AD674" s="1056"/>
      <c r="AE674" s="1056"/>
      <c r="AF674" s="264"/>
    </row>
    <row r="675" spans="1:32" s="268" customFormat="1" ht="15" x14ac:dyDescent="0.25">
      <c r="A675" s="264"/>
      <c r="B675" s="264"/>
      <c r="C675" s="1056"/>
      <c r="D675" s="1056"/>
      <c r="E675" s="1056"/>
      <c r="F675" s="1056"/>
      <c r="G675" s="1056"/>
      <c r="H675" s="1056"/>
      <c r="I675" s="1056"/>
      <c r="J675" s="1056"/>
      <c r="K675" s="1056"/>
      <c r="L675" s="1056"/>
      <c r="M675" s="274"/>
      <c r="P675" s="264"/>
      <c r="Q675" s="264"/>
      <c r="R675" s="264"/>
      <c r="S675" s="264"/>
      <c r="T675" s="1056"/>
      <c r="U675" s="1056"/>
      <c r="V675" s="1056"/>
      <c r="W675" s="1056"/>
      <c r="X675" s="1056"/>
      <c r="Y675" s="1056"/>
      <c r="Z675" s="1056"/>
      <c r="AA675" s="1056"/>
      <c r="AB675" s="1056"/>
      <c r="AC675" s="1056"/>
      <c r="AD675" s="1056"/>
      <c r="AE675" s="1056"/>
      <c r="AF675" s="264"/>
    </row>
    <row r="676" spans="1:32" s="268" customFormat="1" ht="15" x14ac:dyDescent="0.25">
      <c r="A676" s="264"/>
      <c r="B676" s="264"/>
      <c r="C676" s="1056"/>
      <c r="D676" s="1056"/>
      <c r="E676" s="1056"/>
      <c r="F676" s="1056"/>
      <c r="G676" s="1056"/>
      <c r="H676" s="1056"/>
      <c r="I676" s="1056"/>
      <c r="J676" s="1056"/>
      <c r="K676" s="1056"/>
      <c r="L676" s="1056"/>
      <c r="M676" s="274"/>
      <c r="P676" s="264"/>
      <c r="Q676" s="264"/>
      <c r="R676" s="264"/>
      <c r="S676" s="264"/>
      <c r="T676" s="1056"/>
      <c r="U676" s="1056"/>
      <c r="V676" s="1056"/>
      <c r="W676" s="1056"/>
      <c r="X676" s="1056"/>
      <c r="Y676" s="1056"/>
      <c r="Z676" s="1056"/>
      <c r="AA676" s="1056"/>
      <c r="AB676" s="1056"/>
      <c r="AC676" s="1056"/>
      <c r="AD676" s="1056"/>
      <c r="AE676" s="1056"/>
      <c r="AF676" s="264"/>
    </row>
    <row r="677" spans="1:32" s="268" customFormat="1" ht="15" x14ac:dyDescent="0.25">
      <c r="A677" s="264"/>
      <c r="B677" s="264"/>
      <c r="C677" s="1056"/>
      <c r="D677" s="1056"/>
      <c r="E677" s="1056"/>
      <c r="F677" s="1056"/>
      <c r="G677" s="1056"/>
      <c r="H677" s="1056"/>
      <c r="I677" s="1056"/>
      <c r="J677" s="1056"/>
      <c r="K677" s="1056"/>
      <c r="L677" s="1056"/>
      <c r="M677" s="274"/>
      <c r="P677" s="264"/>
      <c r="Q677" s="264"/>
      <c r="R677" s="264"/>
      <c r="S677" s="264"/>
      <c r="T677" s="1056"/>
      <c r="U677" s="1056"/>
      <c r="V677" s="1056"/>
      <c r="W677" s="1056"/>
      <c r="X677" s="1056"/>
      <c r="Y677" s="1056"/>
      <c r="Z677" s="1056"/>
      <c r="AA677" s="1056"/>
      <c r="AB677" s="1056"/>
      <c r="AC677" s="1056"/>
      <c r="AD677" s="1056"/>
      <c r="AE677" s="1056"/>
      <c r="AF677" s="264"/>
    </row>
    <row r="678" spans="1:32" s="268" customFormat="1" ht="15" x14ac:dyDescent="0.25">
      <c r="A678" s="264"/>
      <c r="B678" s="264"/>
      <c r="C678" s="1056"/>
      <c r="D678" s="1056"/>
      <c r="E678" s="1056"/>
      <c r="F678" s="1056"/>
      <c r="G678" s="1056"/>
      <c r="H678" s="1056"/>
      <c r="I678" s="1056"/>
      <c r="J678" s="1056"/>
      <c r="K678" s="1056"/>
      <c r="L678" s="1056"/>
      <c r="M678" s="274"/>
      <c r="P678" s="264"/>
      <c r="Q678" s="264"/>
      <c r="R678" s="264"/>
      <c r="S678" s="264"/>
      <c r="T678" s="1056"/>
      <c r="U678" s="1056"/>
      <c r="V678" s="1056"/>
      <c r="W678" s="1056"/>
      <c r="X678" s="1056"/>
      <c r="Y678" s="1056"/>
      <c r="Z678" s="1056"/>
      <c r="AA678" s="1056"/>
      <c r="AB678" s="1056"/>
      <c r="AC678" s="1056"/>
      <c r="AD678" s="1056"/>
      <c r="AE678" s="1056"/>
      <c r="AF678" s="264"/>
    </row>
    <row r="679" spans="1:32" s="268" customFormat="1" ht="15" x14ac:dyDescent="0.25">
      <c r="A679" s="264"/>
      <c r="B679" s="264"/>
      <c r="C679" s="1056"/>
      <c r="D679" s="1056"/>
      <c r="E679" s="1056"/>
      <c r="F679" s="1056"/>
      <c r="G679" s="1056"/>
      <c r="H679" s="1056"/>
      <c r="I679" s="1056"/>
      <c r="J679" s="1056"/>
      <c r="K679" s="1056"/>
      <c r="L679" s="1056"/>
      <c r="M679" s="274"/>
      <c r="P679" s="264"/>
      <c r="Q679" s="264"/>
      <c r="R679" s="264"/>
      <c r="S679" s="264"/>
      <c r="T679" s="1056"/>
      <c r="U679" s="1056"/>
      <c r="V679" s="1056"/>
      <c r="W679" s="1056"/>
      <c r="X679" s="1056"/>
      <c r="Y679" s="1056"/>
      <c r="Z679" s="1056"/>
      <c r="AA679" s="1056"/>
      <c r="AB679" s="1056"/>
      <c r="AC679" s="1056"/>
      <c r="AD679" s="1056"/>
      <c r="AE679" s="1056"/>
      <c r="AF679" s="264"/>
    </row>
    <row r="680" spans="1:32" s="268" customFormat="1" ht="15" x14ac:dyDescent="0.25">
      <c r="A680" s="264"/>
      <c r="B680" s="264"/>
      <c r="C680" s="1056"/>
      <c r="D680" s="1056"/>
      <c r="E680" s="1056"/>
      <c r="F680" s="1056"/>
      <c r="G680" s="1056"/>
      <c r="H680" s="1056"/>
      <c r="I680" s="1056"/>
      <c r="J680" s="1056"/>
      <c r="K680" s="1056"/>
      <c r="L680" s="1056"/>
      <c r="M680" s="274"/>
      <c r="P680" s="264"/>
      <c r="Q680" s="264"/>
      <c r="R680" s="264"/>
      <c r="S680" s="264"/>
      <c r="T680" s="1056"/>
      <c r="U680" s="1056"/>
      <c r="V680" s="1056"/>
      <c r="W680" s="1056"/>
      <c r="X680" s="1056"/>
      <c r="Y680" s="1056"/>
      <c r="Z680" s="1056"/>
      <c r="AA680" s="1056"/>
      <c r="AB680" s="1056"/>
      <c r="AC680" s="1056"/>
      <c r="AD680" s="1056"/>
      <c r="AE680" s="1056"/>
      <c r="AF680" s="264"/>
    </row>
    <row r="681" spans="1:32" s="268" customFormat="1" ht="15" x14ac:dyDescent="0.25">
      <c r="A681" s="264"/>
      <c r="B681" s="264"/>
      <c r="C681" s="1056"/>
      <c r="D681" s="1056"/>
      <c r="E681" s="1056"/>
      <c r="F681" s="1056"/>
      <c r="G681" s="1056"/>
      <c r="H681" s="1056"/>
      <c r="I681" s="1056"/>
      <c r="J681" s="1056"/>
      <c r="K681" s="1056"/>
      <c r="L681" s="1056"/>
      <c r="M681" s="274"/>
      <c r="P681" s="264"/>
      <c r="Q681" s="264"/>
      <c r="R681" s="264"/>
      <c r="S681" s="264"/>
      <c r="T681" s="1056"/>
      <c r="U681" s="1056"/>
      <c r="V681" s="1056"/>
      <c r="W681" s="1056"/>
      <c r="X681" s="1056"/>
      <c r="Y681" s="1056"/>
      <c r="Z681" s="1056"/>
      <c r="AA681" s="1056"/>
      <c r="AB681" s="1056"/>
      <c r="AC681" s="1056"/>
      <c r="AD681" s="1056"/>
      <c r="AE681" s="1056"/>
      <c r="AF681" s="264"/>
    </row>
    <row r="682" spans="1:32" s="268" customFormat="1" ht="15" x14ac:dyDescent="0.25">
      <c r="A682" s="264"/>
      <c r="B682" s="264"/>
      <c r="C682" s="1056"/>
      <c r="D682" s="1056"/>
      <c r="E682" s="1056"/>
      <c r="F682" s="1056"/>
      <c r="G682" s="1056"/>
      <c r="H682" s="1056"/>
      <c r="I682" s="1056"/>
      <c r="J682" s="1056"/>
      <c r="K682" s="1056"/>
      <c r="L682" s="1056"/>
      <c r="M682" s="274"/>
      <c r="P682" s="264"/>
      <c r="Q682" s="264"/>
      <c r="R682" s="264"/>
      <c r="S682" s="264"/>
      <c r="T682" s="1056"/>
      <c r="U682" s="1056"/>
      <c r="V682" s="1056"/>
      <c r="W682" s="1056"/>
      <c r="X682" s="1056"/>
      <c r="Y682" s="1056"/>
      <c r="Z682" s="1056"/>
      <c r="AA682" s="1056"/>
      <c r="AB682" s="1056"/>
      <c r="AC682" s="1056"/>
      <c r="AD682" s="1056"/>
      <c r="AE682" s="1056"/>
      <c r="AF682" s="264"/>
    </row>
    <row r="683" spans="1:32" s="268" customFormat="1" ht="15" x14ac:dyDescent="0.25">
      <c r="A683" s="264"/>
      <c r="B683" s="264"/>
      <c r="C683" s="1056"/>
      <c r="D683" s="1056"/>
      <c r="E683" s="1056"/>
      <c r="F683" s="1056"/>
      <c r="G683" s="1056"/>
      <c r="H683" s="1056"/>
      <c r="I683" s="1056"/>
      <c r="J683" s="1056"/>
      <c r="K683" s="1056"/>
      <c r="L683" s="1056"/>
      <c r="M683" s="274"/>
      <c r="P683" s="264"/>
      <c r="Q683" s="264"/>
      <c r="R683" s="264"/>
      <c r="S683" s="264"/>
      <c r="T683" s="1056"/>
      <c r="U683" s="1056"/>
      <c r="V683" s="1056"/>
      <c r="W683" s="1056"/>
      <c r="X683" s="1056"/>
      <c r="Y683" s="1056"/>
      <c r="Z683" s="1056"/>
      <c r="AA683" s="1056"/>
      <c r="AB683" s="1056"/>
      <c r="AC683" s="1056"/>
      <c r="AD683" s="1056"/>
      <c r="AE683" s="1056"/>
      <c r="AF683" s="264"/>
    </row>
    <row r="684" spans="1:32" s="268" customFormat="1" ht="15" x14ac:dyDescent="0.25">
      <c r="A684" s="264"/>
      <c r="B684" s="264"/>
      <c r="C684" s="1056"/>
      <c r="D684" s="1056"/>
      <c r="E684" s="1056"/>
      <c r="F684" s="1056"/>
      <c r="G684" s="1056"/>
      <c r="H684" s="1056"/>
      <c r="I684" s="1056"/>
      <c r="J684" s="1056"/>
      <c r="K684" s="1056"/>
      <c r="L684" s="1056"/>
      <c r="M684" s="274"/>
      <c r="P684" s="264"/>
      <c r="Q684" s="264"/>
      <c r="R684" s="264"/>
      <c r="S684" s="264"/>
      <c r="T684" s="1056"/>
      <c r="U684" s="1056"/>
      <c r="V684" s="1056"/>
      <c r="W684" s="1056"/>
      <c r="X684" s="1056"/>
      <c r="Y684" s="1056"/>
      <c r="Z684" s="1056"/>
      <c r="AA684" s="1056"/>
      <c r="AB684" s="1056"/>
      <c r="AC684" s="1056"/>
      <c r="AD684" s="1056"/>
      <c r="AE684" s="1056"/>
      <c r="AF684" s="264"/>
    </row>
    <row r="685" spans="1:32" s="268" customFormat="1" ht="15" x14ac:dyDescent="0.25">
      <c r="A685" s="264"/>
      <c r="B685" s="264"/>
      <c r="C685" s="1056"/>
      <c r="D685" s="1056"/>
      <c r="E685" s="1056"/>
      <c r="F685" s="1056"/>
      <c r="G685" s="1056"/>
      <c r="H685" s="1056"/>
      <c r="I685" s="1056"/>
      <c r="J685" s="1056"/>
      <c r="K685" s="1056"/>
      <c r="L685" s="1056"/>
      <c r="M685" s="274"/>
      <c r="P685" s="264"/>
      <c r="Q685" s="264"/>
      <c r="R685" s="264"/>
      <c r="S685" s="264"/>
      <c r="T685" s="1056"/>
      <c r="U685" s="1056"/>
      <c r="V685" s="1056"/>
      <c r="W685" s="1056"/>
      <c r="X685" s="1056"/>
      <c r="Y685" s="1056"/>
      <c r="Z685" s="1056"/>
      <c r="AA685" s="1056"/>
      <c r="AB685" s="1056"/>
      <c r="AC685" s="1056"/>
      <c r="AD685" s="1056"/>
      <c r="AE685" s="1056"/>
      <c r="AF685" s="264"/>
    </row>
    <row r="686" spans="1:32" s="268" customFormat="1" ht="15" x14ac:dyDescent="0.25">
      <c r="A686" s="264"/>
      <c r="B686" s="264"/>
      <c r="C686" s="1056"/>
      <c r="D686" s="1056"/>
      <c r="E686" s="1056"/>
      <c r="F686" s="1056"/>
      <c r="G686" s="1056"/>
      <c r="H686" s="1056"/>
      <c r="I686" s="1056"/>
      <c r="J686" s="1056"/>
      <c r="K686" s="1056"/>
      <c r="L686" s="1056"/>
      <c r="M686" s="274"/>
      <c r="P686" s="264"/>
      <c r="Q686" s="264"/>
      <c r="R686" s="264"/>
      <c r="S686" s="264"/>
      <c r="T686" s="1056"/>
      <c r="U686" s="1056"/>
      <c r="V686" s="1056"/>
      <c r="W686" s="1056"/>
      <c r="X686" s="1056"/>
      <c r="Y686" s="1056"/>
      <c r="Z686" s="1056"/>
      <c r="AA686" s="1056"/>
      <c r="AB686" s="1056"/>
      <c r="AC686" s="1056"/>
      <c r="AD686" s="1056"/>
      <c r="AE686" s="1056"/>
      <c r="AF686" s="264"/>
    </row>
    <row r="687" spans="1:32" s="268" customFormat="1" ht="15" x14ac:dyDescent="0.25">
      <c r="A687" s="264"/>
      <c r="B687" s="264"/>
      <c r="C687" s="1056"/>
      <c r="D687" s="1056"/>
      <c r="E687" s="1056"/>
      <c r="F687" s="1056"/>
      <c r="G687" s="1056"/>
      <c r="H687" s="1056"/>
      <c r="I687" s="1056"/>
      <c r="J687" s="1056"/>
      <c r="K687" s="1056"/>
      <c r="L687" s="1056"/>
      <c r="M687" s="274"/>
      <c r="P687" s="264"/>
      <c r="Q687" s="264"/>
      <c r="R687" s="264"/>
      <c r="S687" s="264"/>
      <c r="T687" s="1056"/>
      <c r="U687" s="1056"/>
      <c r="V687" s="1056"/>
      <c r="W687" s="1056"/>
      <c r="X687" s="1056"/>
      <c r="Y687" s="1056"/>
      <c r="Z687" s="1056"/>
      <c r="AA687" s="1056"/>
      <c r="AB687" s="1056"/>
      <c r="AC687" s="1056"/>
      <c r="AD687" s="1056"/>
      <c r="AE687" s="1056"/>
      <c r="AF687" s="264"/>
    </row>
    <row r="688" spans="1:32" s="268" customFormat="1" ht="15" x14ac:dyDescent="0.25">
      <c r="A688" s="264"/>
      <c r="B688" s="264"/>
      <c r="C688" s="1056"/>
      <c r="D688" s="1056"/>
      <c r="E688" s="1056"/>
      <c r="F688" s="1056"/>
      <c r="G688" s="1056"/>
      <c r="H688" s="1056"/>
      <c r="I688" s="1056"/>
      <c r="J688" s="1056"/>
      <c r="K688" s="1056"/>
      <c r="L688" s="1056"/>
      <c r="M688" s="274"/>
      <c r="P688" s="264"/>
      <c r="Q688" s="264"/>
      <c r="R688" s="264"/>
      <c r="S688" s="264"/>
      <c r="T688" s="1056"/>
      <c r="U688" s="1056"/>
      <c r="V688" s="1056"/>
      <c r="W688" s="1056"/>
      <c r="X688" s="1056"/>
      <c r="Y688" s="1056"/>
      <c r="Z688" s="1056"/>
      <c r="AA688" s="1056"/>
      <c r="AB688" s="1056"/>
      <c r="AC688" s="1056"/>
      <c r="AD688" s="1056"/>
      <c r="AE688" s="1056"/>
      <c r="AF688" s="264"/>
    </row>
    <row r="689" spans="1:32" s="268" customFormat="1" ht="15" x14ac:dyDescent="0.25">
      <c r="A689" s="264"/>
      <c r="B689" s="264"/>
      <c r="C689" s="1056"/>
      <c r="D689" s="1056"/>
      <c r="E689" s="1056"/>
      <c r="F689" s="1056"/>
      <c r="G689" s="1056"/>
      <c r="H689" s="1056"/>
      <c r="I689" s="1056"/>
      <c r="J689" s="1056"/>
      <c r="K689" s="1056"/>
      <c r="L689" s="1056"/>
      <c r="M689" s="274"/>
      <c r="P689" s="264"/>
      <c r="Q689" s="264"/>
      <c r="R689" s="264"/>
      <c r="S689" s="264"/>
      <c r="T689" s="1056"/>
      <c r="U689" s="1056"/>
      <c r="V689" s="1056"/>
      <c r="W689" s="1056"/>
      <c r="X689" s="1056"/>
      <c r="Y689" s="1056"/>
      <c r="Z689" s="1056"/>
      <c r="AA689" s="1056"/>
      <c r="AB689" s="1056"/>
      <c r="AC689" s="1056"/>
      <c r="AD689" s="1056"/>
      <c r="AE689" s="1056"/>
      <c r="AF689" s="264"/>
    </row>
    <row r="690" spans="1:32" s="268" customFormat="1" ht="15" x14ac:dyDescent="0.25">
      <c r="A690" s="264"/>
      <c r="B690" s="264"/>
      <c r="C690" s="1056"/>
      <c r="D690" s="1056"/>
      <c r="E690" s="1056"/>
      <c r="F690" s="1056"/>
      <c r="G690" s="1056"/>
      <c r="H690" s="1056"/>
      <c r="I690" s="1056"/>
      <c r="J690" s="1056"/>
      <c r="K690" s="1056"/>
      <c r="L690" s="1056"/>
      <c r="M690" s="274"/>
      <c r="P690" s="264"/>
      <c r="Q690" s="264"/>
      <c r="R690" s="264"/>
      <c r="S690" s="264"/>
      <c r="T690" s="1056"/>
      <c r="U690" s="1056"/>
      <c r="V690" s="1056"/>
      <c r="W690" s="1056"/>
      <c r="X690" s="1056"/>
      <c r="Y690" s="1056"/>
      <c r="Z690" s="1056"/>
      <c r="AA690" s="1056"/>
      <c r="AB690" s="1056"/>
      <c r="AC690" s="1056"/>
      <c r="AD690" s="1056"/>
      <c r="AE690" s="1056"/>
      <c r="AF690" s="264"/>
    </row>
    <row r="691" spans="1:32" s="268" customFormat="1" ht="15" x14ac:dyDescent="0.25">
      <c r="A691" s="264"/>
      <c r="B691" s="264"/>
      <c r="C691" s="1056"/>
      <c r="D691" s="1056"/>
      <c r="E691" s="1056"/>
      <c r="F691" s="1056"/>
      <c r="G691" s="1056"/>
      <c r="H691" s="1056"/>
      <c r="I691" s="1056"/>
      <c r="J691" s="1056"/>
      <c r="K691" s="1056"/>
      <c r="L691" s="1056"/>
      <c r="M691" s="274"/>
      <c r="P691" s="264"/>
      <c r="Q691" s="264"/>
      <c r="R691" s="264"/>
      <c r="S691" s="264"/>
      <c r="T691" s="1056"/>
      <c r="U691" s="1056"/>
      <c r="V691" s="1056"/>
      <c r="W691" s="1056"/>
      <c r="X691" s="1056"/>
      <c r="Y691" s="1056"/>
      <c r="Z691" s="1056"/>
      <c r="AA691" s="1056"/>
      <c r="AB691" s="1056"/>
      <c r="AC691" s="1056"/>
      <c r="AD691" s="1056"/>
      <c r="AE691" s="1056"/>
      <c r="AF691" s="264"/>
    </row>
    <row r="692" spans="1:32" s="268" customFormat="1" ht="15" x14ac:dyDescent="0.25">
      <c r="A692" s="264"/>
      <c r="B692" s="264"/>
      <c r="C692" s="1056"/>
      <c r="D692" s="1056"/>
      <c r="E692" s="1056"/>
      <c r="F692" s="1056"/>
      <c r="G692" s="1056"/>
      <c r="H692" s="1056"/>
      <c r="I692" s="1056"/>
      <c r="J692" s="1056"/>
      <c r="K692" s="1056"/>
      <c r="L692" s="1056"/>
      <c r="M692" s="274"/>
      <c r="P692" s="264"/>
      <c r="Q692" s="264"/>
      <c r="R692" s="264"/>
      <c r="S692" s="264"/>
      <c r="T692" s="1056"/>
      <c r="U692" s="1056"/>
      <c r="V692" s="1056"/>
      <c r="W692" s="1056"/>
      <c r="X692" s="1056"/>
      <c r="Y692" s="1056"/>
      <c r="Z692" s="1056"/>
      <c r="AA692" s="1056"/>
      <c r="AB692" s="1056"/>
      <c r="AC692" s="1056"/>
      <c r="AD692" s="1056"/>
      <c r="AE692" s="1056"/>
      <c r="AF692" s="264"/>
    </row>
    <row r="693" spans="1:32" s="268" customFormat="1" ht="15" x14ac:dyDescent="0.25">
      <c r="A693" s="264"/>
      <c r="B693" s="264"/>
      <c r="C693" s="1056"/>
      <c r="D693" s="1056"/>
      <c r="E693" s="1056"/>
      <c r="F693" s="1056"/>
      <c r="G693" s="1056"/>
      <c r="H693" s="1056"/>
      <c r="I693" s="1056"/>
      <c r="J693" s="1056"/>
      <c r="K693" s="1056"/>
      <c r="L693" s="1056"/>
      <c r="M693" s="274"/>
      <c r="P693" s="264"/>
      <c r="Q693" s="264"/>
      <c r="R693" s="264"/>
      <c r="S693" s="264"/>
      <c r="T693" s="1056"/>
      <c r="U693" s="1056"/>
      <c r="V693" s="1056"/>
      <c r="W693" s="1056"/>
      <c r="X693" s="1056"/>
      <c r="Y693" s="1056"/>
      <c r="Z693" s="1056"/>
      <c r="AA693" s="1056"/>
      <c r="AB693" s="1056"/>
      <c r="AC693" s="1056"/>
      <c r="AD693" s="1056"/>
      <c r="AE693" s="1056"/>
      <c r="AF693" s="264"/>
    </row>
    <row r="694" spans="1:32" s="268" customFormat="1" ht="15" x14ac:dyDescent="0.25">
      <c r="A694" s="264"/>
      <c r="B694" s="264"/>
      <c r="C694" s="1056"/>
      <c r="D694" s="1056"/>
      <c r="E694" s="1056"/>
      <c r="F694" s="1056"/>
      <c r="G694" s="1056"/>
      <c r="H694" s="1056"/>
      <c r="I694" s="1056"/>
      <c r="J694" s="1056"/>
      <c r="K694" s="1056"/>
      <c r="L694" s="1056"/>
      <c r="M694" s="274"/>
      <c r="P694" s="264"/>
      <c r="Q694" s="264"/>
      <c r="R694" s="264"/>
      <c r="S694" s="264"/>
      <c r="T694" s="1056"/>
      <c r="U694" s="1056"/>
      <c r="V694" s="1056"/>
      <c r="W694" s="1056"/>
      <c r="X694" s="1056"/>
      <c r="Y694" s="1056"/>
      <c r="Z694" s="1056"/>
      <c r="AA694" s="1056"/>
      <c r="AB694" s="1056"/>
      <c r="AC694" s="1056"/>
      <c r="AD694" s="1056"/>
      <c r="AE694" s="1056"/>
      <c r="AF694" s="264"/>
    </row>
    <row r="695" spans="1:32" s="268" customFormat="1" ht="15" x14ac:dyDescent="0.25">
      <c r="A695" s="264"/>
      <c r="B695" s="264"/>
      <c r="C695" s="1056"/>
      <c r="D695" s="1056"/>
      <c r="E695" s="1056"/>
      <c r="F695" s="1056"/>
      <c r="G695" s="1056"/>
      <c r="H695" s="1056"/>
      <c r="I695" s="1056"/>
      <c r="J695" s="1056"/>
      <c r="K695" s="1056"/>
      <c r="L695" s="1056"/>
      <c r="M695" s="274"/>
      <c r="P695" s="264"/>
      <c r="Q695" s="264"/>
      <c r="R695" s="264"/>
      <c r="S695" s="264"/>
      <c r="T695" s="1056"/>
      <c r="U695" s="1056"/>
      <c r="V695" s="1056"/>
      <c r="W695" s="1056"/>
      <c r="X695" s="1056"/>
      <c r="Y695" s="1056"/>
      <c r="Z695" s="1056"/>
      <c r="AA695" s="1056"/>
      <c r="AB695" s="1056"/>
      <c r="AC695" s="1056"/>
      <c r="AD695" s="1056"/>
      <c r="AE695" s="1056"/>
      <c r="AF695" s="264"/>
    </row>
    <row r="696" spans="1:32" s="268" customFormat="1" ht="15" x14ac:dyDescent="0.25">
      <c r="A696" s="264"/>
      <c r="B696" s="264"/>
      <c r="C696" s="1056"/>
      <c r="D696" s="1056"/>
      <c r="E696" s="1056"/>
      <c r="F696" s="1056"/>
      <c r="G696" s="1056"/>
      <c r="H696" s="1056"/>
      <c r="I696" s="1056"/>
      <c r="J696" s="1056"/>
      <c r="K696" s="1056"/>
      <c r="L696" s="1056"/>
      <c r="M696" s="274"/>
      <c r="P696" s="264"/>
      <c r="Q696" s="264"/>
      <c r="R696" s="264"/>
      <c r="S696" s="264"/>
      <c r="T696" s="1056"/>
      <c r="U696" s="1056"/>
      <c r="V696" s="1056"/>
      <c r="W696" s="1056"/>
      <c r="X696" s="1056"/>
      <c r="Y696" s="1056"/>
      <c r="Z696" s="1056"/>
      <c r="AA696" s="1056"/>
      <c r="AB696" s="1056"/>
      <c r="AC696" s="1056"/>
      <c r="AD696" s="1056"/>
      <c r="AE696" s="1056"/>
      <c r="AF696" s="264"/>
    </row>
    <row r="697" spans="1:32" s="268" customFormat="1" ht="15" x14ac:dyDescent="0.25">
      <c r="A697" s="264"/>
      <c r="B697" s="264"/>
      <c r="C697" s="1056"/>
      <c r="D697" s="1056"/>
      <c r="E697" s="1056"/>
      <c r="F697" s="1056"/>
      <c r="G697" s="1056"/>
      <c r="H697" s="1056"/>
      <c r="I697" s="1056"/>
      <c r="J697" s="1056"/>
      <c r="K697" s="1056"/>
      <c r="L697" s="1056"/>
      <c r="M697" s="274"/>
      <c r="P697" s="264"/>
      <c r="Q697" s="264"/>
      <c r="R697" s="264"/>
      <c r="S697" s="264"/>
      <c r="T697" s="1056"/>
      <c r="U697" s="1056"/>
      <c r="V697" s="1056"/>
      <c r="W697" s="1056"/>
      <c r="X697" s="1056"/>
      <c r="Y697" s="1056"/>
      <c r="Z697" s="1056"/>
      <c r="AA697" s="1056"/>
      <c r="AB697" s="1056"/>
      <c r="AC697" s="1056"/>
      <c r="AD697" s="1056"/>
      <c r="AE697" s="1056"/>
      <c r="AF697" s="264"/>
    </row>
    <row r="698" spans="1:32" s="268" customFormat="1" ht="15" x14ac:dyDescent="0.25">
      <c r="A698" s="264"/>
      <c r="B698" s="264"/>
      <c r="C698" s="1056"/>
      <c r="D698" s="1056"/>
      <c r="E698" s="1056"/>
      <c r="F698" s="1056"/>
      <c r="G698" s="1056"/>
      <c r="H698" s="1056"/>
      <c r="I698" s="1056"/>
      <c r="J698" s="1056"/>
      <c r="K698" s="1056"/>
      <c r="L698" s="1056"/>
      <c r="M698" s="274"/>
      <c r="P698" s="264"/>
      <c r="Q698" s="264"/>
      <c r="R698" s="264"/>
      <c r="S698" s="264"/>
      <c r="T698" s="1056"/>
      <c r="U698" s="1056"/>
      <c r="V698" s="1056"/>
      <c r="W698" s="1056"/>
      <c r="X698" s="1056"/>
      <c r="Y698" s="1056"/>
      <c r="Z698" s="1056"/>
      <c r="AA698" s="1056"/>
      <c r="AB698" s="1056"/>
      <c r="AC698" s="1056"/>
      <c r="AD698" s="1056"/>
      <c r="AE698" s="1056"/>
      <c r="AF698" s="264"/>
    </row>
    <row r="699" spans="1:32" s="268" customFormat="1" ht="15" x14ac:dyDescent="0.25">
      <c r="A699" s="264"/>
      <c r="B699" s="264"/>
      <c r="C699" s="1056"/>
      <c r="D699" s="1056"/>
      <c r="E699" s="1056"/>
      <c r="F699" s="1056"/>
      <c r="G699" s="1056"/>
      <c r="H699" s="1056"/>
      <c r="I699" s="1056"/>
      <c r="J699" s="1056"/>
      <c r="K699" s="1056"/>
      <c r="L699" s="1056"/>
      <c r="M699" s="274"/>
      <c r="P699" s="264"/>
      <c r="Q699" s="264"/>
      <c r="R699" s="264"/>
      <c r="S699" s="264"/>
      <c r="T699" s="1056"/>
      <c r="U699" s="1056"/>
      <c r="V699" s="1056"/>
      <c r="W699" s="1056"/>
      <c r="X699" s="1056"/>
      <c r="Y699" s="1056"/>
      <c r="Z699" s="1056"/>
      <c r="AA699" s="1056"/>
      <c r="AB699" s="1056"/>
      <c r="AC699" s="1056"/>
      <c r="AD699" s="1056"/>
      <c r="AE699" s="1056"/>
      <c r="AF699" s="264"/>
    </row>
    <row r="700" spans="1:32" s="268" customFormat="1" ht="15" x14ac:dyDescent="0.25">
      <c r="A700" s="264"/>
      <c r="B700" s="264"/>
      <c r="C700" s="1056"/>
      <c r="D700" s="1056"/>
      <c r="E700" s="1056"/>
      <c r="F700" s="1056"/>
      <c r="G700" s="1056"/>
      <c r="H700" s="1056"/>
      <c r="I700" s="1056"/>
      <c r="J700" s="1056"/>
      <c r="K700" s="1056"/>
      <c r="L700" s="1056"/>
      <c r="M700" s="274"/>
      <c r="P700" s="264"/>
      <c r="Q700" s="264"/>
      <c r="R700" s="264"/>
      <c r="S700" s="264"/>
      <c r="T700" s="1056"/>
      <c r="U700" s="1056"/>
      <c r="V700" s="1056"/>
      <c r="W700" s="1056"/>
      <c r="X700" s="1056"/>
      <c r="Y700" s="1056"/>
      <c r="Z700" s="1056"/>
      <c r="AA700" s="1056"/>
      <c r="AB700" s="1056"/>
      <c r="AC700" s="1056"/>
      <c r="AD700" s="1056"/>
      <c r="AE700" s="1056"/>
      <c r="AF700" s="264"/>
    </row>
    <row r="701" spans="1:32" s="268" customFormat="1" ht="15" x14ac:dyDescent="0.25">
      <c r="A701" s="264"/>
      <c r="B701" s="264"/>
      <c r="C701" s="1056"/>
      <c r="D701" s="1056"/>
      <c r="E701" s="1056"/>
      <c r="F701" s="1056"/>
      <c r="G701" s="1056"/>
      <c r="H701" s="1056"/>
      <c r="I701" s="1056"/>
      <c r="J701" s="1056"/>
      <c r="K701" s="1056"/>
      <c r="L701" s="1056"/>
      <c r="M701" s="274"/>
      <c r="P701" s="264"/>
      <c r="Q701" s="264"/>
      <c r="R701" s="264"/>
      <c r="S701" s="264"/>
      <c r="T701" s="1056"/>
      <c r="U701" s="1056"/>
      <c r="V701" s="1056"/>
      <c r="W701" s="1056"/>
      <c r="X701" s="1056"/>
      <c r="Y701" s="1056"/>
      <c r="Z701" s="1056"/>
      <c r="AA701" s="1056"/>
      <c r="AB701" s="1056"/>
      <c r="AC701" s="1056"/>
      <c r="AD701" s="1056"/>
      <c r="AE701" s="1056"/>
      <c r="AF701" s="264"/>
    </row>
    <row r="702" spans="1:32" s="268" customFormat="1" ht="15" x14ac:dyDescent="0.25">
      <c r="A702" s="264"/>
      <c r="B702" s="264"/>
      <c r="C702" s="1056"/>
      <c r="D702" s="1056"/>
      <c r="E702" s="1056"/>
      <c r="F702" s="1056"/>
      <c r="G702" s="1056"/>
      <c r="H702" s="1056"/>
      <c r="I702" s="1056"/>
      <c r="J702" s="1056"/>
      <c r="K702" s="1056"/>
      <c r="L702" s="1056"/>
      <c r="M702" s="274"/>
      <c r="P702" s="264"/>
      <c r="Q702" s="264"/>
      <c r="R702" s="264"/>
      <c r="S702" s="264"/>
      <c r="T702" s="1056"/>
      <c r="U702" s="1056"/>
      <c r="V702" s="1056"/>
      <c r="W702" s="1056"/>
      <c r="X702" s="1056"/>
      <c r="Y702" s="1056"/>
      <c r="Z702" s="1056"/>
      <c r="AA702" s="1056"/>
      <c r="AB702" s="1056"/>
      <c r="AC702" s="1056"/>
      <c r="AD702" s="1056"/>
      <c r="AE702" s="1056"/>
      <c r="AF702" s="264"/>
    </row>
    <row r="703" spans="1:32" s="268" customFormat="1" ht="15" x14ac:dyDescent="0.25">
      <c r="A703" s="264"/>
      <c r="B703" s="264"/>
      <c r="C703" s="1056"/>
      <c r="D703" s="1056"/>
      <c r="E703" s="1056"/>
      <c r="F703" s="1056"/>
      <c r="G703" s="1056"/>
      <c r="H703" s="1056"/>
      <c r="I703" s="1056"/>
      <c r="J703" s="1056"/>
      <c r="K703" s="1056"/>
      <c r="L703" s="1056"/>
      <c r="M703" s="274"/>
      <c r="P703" s="264"/>
      <c r="Q703" s="264"/>
      <c r="R703" s="264"/>
      <c r="S703" s="264"/>
      <c r="T703" s="1056"/>
      <c r="U703" s="1056"/>
      <c r="V703" s="1056"/>
      <c r="W703" s="1056"/>
      <c r="X703" s="1056"/>
      <c r="Y703" s="1056"/>
      <c r="Z703" s="1056"/>
      <c r="AA703" s="1056"/>
      <c r="AB703" s="1056"/>
      <c r="AC703" s="1056"/>
      <c r="AD703" s="1056"/>
      <c r="AE703" s="1056"/>
      <c r="AF703" s="264"/>
    </row>
    <row r="704" spans="1:32" s="268" customFormat="1" ht="15" x14ac:dyDescent="0.25">
      <c r="A704" s="264"/>
      <c r="B704" s="264"/>
      <c r="C704" s="1056"/>
      <c r="D704" s="1056"/>
      <c r="E704" s="1056"/>
      <c r="F704" s="1056"/>
      <c r="G704" s="1056"/>
      <c r="H704" s="1056"/>
      <c r="I704" s="1056"/>
      <c r="J704" s="1056"/>
      <c r="K704" s="1056"/>
      <c r="L704" s="1056"/>
      <c r="M704" s="274"/>
      <c r="P704" s="264"/>
      <c r="Q704" s="264"/>
      <c r="R704" s="264"/>
      <c r="S704" s="264"/>
      <c r="T704" s="1056"/>
      <c r="U704" s="1056"/>
      <c r="V704" s="1056"/>
      <c r="W704" s="1056"/>
      <c r="X704" s="1056"/>
      <c r="Y704" s="1056"/>
      <c r="Z704" s="1056"/>
      <c r="AA704" s="1056"/>
      <c r="AB704" s="1056"/>
      <c r="AC704" s="1056"/>
      <c r="AD704" s="1056"/>
      <c r="AE704" s="1056"/>
      <c r="AF704" s="264"/>
    </row>
    <row r="705" spans="1:32" s="268" customFormat="1" ht="15" x14ac:dyDescent="0.25">
      <c r="A705" s="264"/>
      <c r="B705" s="264"/>
      <c r="C705" s="1056"/>
      <c r="D705" s="1056"/>
      <c r="E705" s="1056"/>
      <c r="F705" s="1056"/>
      <c r="G705" s="1056"/>
      <c r="H705" s="1056"/>
      <c r="I705" s="1056"/>
      <c r="J705" s="1056"/>
      <c r="K705" s="1056"/>
      <c r="L705" s="1056"/>
      <c r="M705" s="274"/>
      <c r="P705" s="264"/>
      <c r="Q705" s="264"/>
      <c r="R705" s="264"/>
      <c r="S705" s="264"/>
      <c r="T705" s="1056"/>
      <c r="U705" s="1056"/>
      <c r="V705" s="1056"/>
      <c r="W705" s="1056"/>
      <c r="X705" s="1056"/>
      <c r="Y705" s="1056"/>
      <c r="Z705" s="1056"/>
      <c r="AA705" s="1056"/>
      <c r="AB705" s="1056"/>
      <c r="AC705" s="1056"/>
      <c r="AD705" s="1056"/>
      <c r="AE705" s="1056"/>
      <c r="AF705" s="264"/>
    </row>
    <row r="706" spans="1:32" s="268" customFormat="1" ht="15" x14ac:dyDescent="0.25">
      <c r="A706" s="264"/>
      <c r="B706" s="264"/>
      <c r="C706" s="1056"/>
      <c r="D706" s="1056"/>
      <c r="E706" s="1056"/>
      <c r="F706" s="1056"/>
      <c r="G706" s="1056"/>
      <c r="H706" s="1056"/>
      <c r="I706" s="1056"/>
      <c r="J706" s="1056"/>
      <c r="K706" s="1056"/>
      <c r="L706" s="1056"/>
      <c r="M706" s="274"/>
      <c r="P706" s="264"/>
      <c r="Q706" s="264"/>
      <c r="R706" s="264"/>
      <c r="S706" s="264"/>
      <c r="T706" s="1056"/>
      <c r="U706" s="1056"/>
      <c r="V706" s="1056"/>
      <c r="W706" s="1056"/>
      <c r="X706" s="1056"/>
      <c r="Y706" s="1056"/>
      <c r="Z706" s="1056"/>
      <c r="AA706" s="1056"/>
      <c r="AB706" s="1056"/>
      <c r="AC706" s="1056"/>
      <c r="AD706" s="1056"/>
      <c r="AE706" s="1056"/>
      <c r="AF706" s="264"/>
    </row>
    <row r="707" spans="1:32" s="268" customFormat="1" ht="15" x14ac:dyDescent="0.25">
      <c r="A707" s="264"/>
      <c r="B707" s="264"/>
      <c r="C707" s="1056"/>
      <c r="D707" s="1056"/>
      <c r="E707" s="1056"/>
      <c r="F707" s="1056"/>
      <c r="G707" s="1056"/>
      <c r="H707" s="1056"/>
      <c r="I707" s="1056"/>
      <c r="J707" s="1056"/>
      <c r="K707" s="1056"/>
      <c r="L707" s="1056"/>
      <c r="M707" s="274"/>
      <c r="P707" s="264"/>
      <c r="Q707" s="264"/>
      <c r="R707" s="264"/>
      <c r="S707" s="264"/>
      <c r="T707" s="1056"/>
      <c r="U707" s="1056"/>
      <c r="V707" s="1056"/>
      <c r="W707" s="1056"/>
      <c r="X707" s="1056"/>
      <c r="Y707" s="1056"/>
      <c r="Z707" s="1056"/>
      <c r="AA707" s="1056"/>
      <c r="AB707" s="1056"/>
      <c r="AC707" s="1056"/>
      <c r="AD707" s="1056"/>
      <c r="AE707" s="1056"/>
      <c r="AF707" s="264"/>
    </row>
    <row r="708" spans="1:32" s="268" customFormat="1" ht="15" x14ac:dyDescent="0.25">
      <c r="A708" s="264"/>
      <c r="B708" s="264"/>
      <c r="C708" s="1056"/>
      <c r="D708" s="1056"/>
      <c r="E708" s="1056"/>
      <c r="F708" s="1056"/>
      <c r="G708" s="1056"/>
      <c r="H708" s="1056"/>
      <c r="I708" s="1056"/>
      <c r="J708" s="1056"/>
      <c r="K708" s="1056"/>
      <c r="L708" s="1056"/>
      <c r="M708" s="274"/>
      <c r="P708" s="264"/>
      <c r="Q708" s="264"/>
      <c r="R708" s="264"/>
      <c r="S708" s="264"/>
      <c r="T708" s="1056"/>
      <c r="U708" s="1056"/>
      <c r="V708" s="1056"/>
      <c r="W708" s="1056"/>
      <c r="X708" s="1056"/>
      <c r="Y708" s="1056"/>
      <c r="Z708" s="1056"/>
      <c r="AA708" s="1056"/>
      <c r="AB708" s="1056"/>
      <c r="AC708" s="1056"/>
      <c r="AD708" s="1056"/>
      <c r="AE708" s="1056"/>
      <c r="AF708" s="264"/>
    </row>
    <row r="709" spans="1:32" s="268" customFormat="1" ht="15" x14ac:dyDescent="0.25">
      <c r="A709" s="264"/>
      <c r="B709" s="264"/>
      <c r="C709" s="1056"/>
      <c r="D709" s="1056"/>
      <c r="E709" s="1056"/>
      <c r="F709" s="1056"/>
      <c r="G709" s="1056"/>
      <c r="H709" s="1056"/>
      <c r="I709" s="1056"/>
      <c r="J709" s="1056"/>
      <c r="K709" s="1056"/>
      <c r="L709" s="1056"/>
      <c r="M709" s="274"/>
      <c r="P709" s="264"/>
      <c r="Q709" s="264"/>
      <c r="R709" s="264"/>
      <c r="S709" s="264"/>
      <c r="T709" s="1056"/>
      <c r="U709" s="1056"/>
      <c r="V709" s="1056"/>
      <c r="W709" s="1056"/>
      <c r="X709" s="1056"/>
      <c r="Y709" s="1056"/>
      <c r="Z709" s="1056"/>
      <c r="AA709" s="1056"/>
      <c r="AB709" s="1056"/>
      <c r="AC709" s="1056"/>
      <c r="AD709" s="1056"/>
      <c r="AE709" s="1056"/>
      <c r="AF709" s="264"/>
    </row>
    <row r="710" spans="1:32" s="268" customFormat="1" ht="15" x14ac:dyDescent="0.25">
      <c r="A710" s="264"/>
      <c r="B710" s="264"/>
      <c r="C710" s="1056"/>
      <c r="D710" s="1056"/>
      <c r="E710" s="1056"/>
      <c r="F710" s="1056"/>
      <c r="G710" s="1056"/>
      <c r="H710" s="1056"/>
      <c r="I710" s="1056"/>
      <c r="J710" s="1056"/>
      <c r="K710" s="1056"/>
      <c r="L710" s="1056"/>
      <c r="M710" s="274"/>
      <c r="P710" s="264"/>
      <c r="Q710" s="264"/>
      <c r="R710" s="264"/>
      <c r="S710" s="264"/>
      <c r="T710" s="1056"/>
      <c r="U710" s="1056"/>
      <c r="V710" s="1056"/>
      <c r="W710" s="1056"/>
      <c r="X710" s="1056"/>
      <c r="Y710" s="1056"/>
      <c r="Z710" s="1056"/>
      <c r="AA710" s="1056"/>
      <c r="AB710" s="1056"/>
      <c r="AC710" s="1056"/>
      <c r="AD710" s="1056"/>
      <c r="AE710" s="1056"/>
      <c r="AF710" s="264"/>
    </row>
    <row r="711" spans="1:32" s="268" customFormat="1" ht="15" x14ac:dyDescent="0.25">
      <c r="A711" s="264"/>
      <c r="B711" s="264"/>
      <c r="C711" s="1056"/>
      <c r="D711" s="1056"/>
      <c r="E711" s="1056"/>
      <c r="F711" s="1056"/>
      <c r="G711" s="1056"/>
      <c r="H711" s="1056"/>
      <c r="I711" s="1056"/>
      <c r="J711" s="1056"/>
      <c r="K711" s="1056"/>
      <c r="L711" s="1056"/>
      <c r="M711" s="274"/>
      <c r="P711" s="264"/>
      <c r="Q711" s="264"/>
      <c r="R711" s="264"/>
      <c r="S711" s="264"/>
      <c r="T711" s="1056"/>
      <c r="U711" s="1056"/>
      <c r="V711" s="1056"/>
      <c r="W711" s="1056"/>
      <c r="X711" s="1056"/>
      <c r="Y711" s="1056"/>
      <c r="Z711" s="1056"/>
      <c r="AA711" s="1056"/>
      <c r="AB711" s="1056"/>
      <c r="AC711" s="1056"/>
      <c r="AD711" s="1056"/>
      <c r="AE711" s="1056"/>
      <c r="AF711" s="264"/>
    </row>
    <row r="712" spans="1:32" s="268" customFormat="1" ht="15" x14ac:dyDescent="0.25">
      <c r="A712" s="264"/>
      <c r="B712" s="264"/>
      <c r="C712" s="1056"/>
      <c r="D712" s="1056"/>
      <c r="E712" s="1056"/>
      <c r="F712" s="1056"/>
      <c r="G712" s="1056"/>
      <c r="H712" s="1056"/>
      <c r="I712" s="1056"/>
      <c r="J712" s="1056"/>
      <c r="K712" s="1056"/>
      <c r="L712" s="1056"/>
      <c r="M712" s="274"/>
      <c r="P712" s="264"/>
      <c r="Q712" s="264"/>
      <c r="R712" s="264"/>
      <c r="S712" s="264"/>
      <c r="T712" s="1056"/>
      <c r="U712" s="1056"/>
      <c r="V712" s="1056"/>
      <c r="W712" s="1056"/>
      <c r="X712" s="1056"/>
      <c r="Y712" s="1056"/>
      <c r="Z712" s="1056"/>
      <c r="AA712" s="1056"/>
      <c r="AB712" s="1056"/>
      <c r="AC712" s="1056"/>
      <c r="AD712" s="1056"/>
      <c r="AE712" s="1056"/>
      <c r="AF712" s="264"/>
    </row>
    <row r="713" spans="1:32" s="268" customFormat="1" ht="15" x14ac:dyDescent="0.25">
      <c r="A713" s="264"/>
      <c r="B713" s="264"/>
      <c r="C713" s="1056"/>
      <c r="D713" s="1056"/>
      <c r="E713" s="1056"/>
      <c r="F713" s="1056"/>
      <c r="G713" s="1056"/>
      <c r="H713" s="1056"/>
      <c r="I713" s="1056"/>
      <c r="J713" s="1056"/>
      <c r="K713" s="1056"/>
      <c r="L713" s="1056"/>
      <c r="M713" s="274"/>
      <c r="P713" s="264"/>
      <c r="Q713" s="264"/>
      <c r="R713" s="264"/>
      <c r="S713" s="264"/>
      <c r="T713" s="1056"/>
      <c r="U713" s="1056"/>
      <c r="V713" s="1056"/>
      <c r="W713" s="1056"/>
      <c r="X713" s="1056"/>
      <c r="Y713" s="1056"/>
      <c r="Z713" s="1056"/>
      <c r="AA713" s="1056"/>
      <c r="AB713" s="1056"/>
      <c r="AC713" s="1056"/>
      <c r="AD713" s="1056"/>
      <c r="AE713" s="1056"/>
      <c r="AF713" s="264"/>
    </row>
    <row r="714" spans="1:32" s="268" customFormat="1" ht="15" x14ac:dyDescent="0.25">
      <c r="A714" s="264"/>
      <c r="B714" s="264"/>
      <c r="C714" s="1056"/>
      <c r="D714" s="1056"/>
      <c r="E714" s="1056"/>
      <c r="F714" s="1056"/>
      <c r="G714" s="1056"/>
      <c r="H714" s="1056"/>
      <c r="I714" s="1056"/>
      <c r="J714" s="1056"/>
      <c r="K714" s="1056"/>
      <c r="L714" s="1056"/>
      <c r="M714" s="274"/>
      <c r="P714" s="264"/>
      <c r="Q714" s="264"/>
      <c r="R714" s="264"/>
      <c r="S714" s="264"/>
      <c r="T714" s="1056"/>
      <c r="U714" s="1056"/>
      <c r="V714" s="1056"/>
      <c r="W714" s="1056"/>
      <c r="X714" s="1056"/>
      <c r="Y714" s="1056"/>
      <c r="Z714" s="1056"/>
      <c r="AA714" s="1056"/>
      <c r="AB714" s="1056"/>
      <c r="AC714" s="1056"/>
      <c r="AD714" s="1056"/>
      <c r="AE714" s="1056"/>
      <c r="AF714" s="264"/>
    </row>
    <row r="715" spans="1:32" s="268" customFormat="1" ht="15" x14ac:dyDescent="0.25">
      <c r="A715" s="264"/>
      <c r="B715" s="264"/>
      <c r="C715" s="1056"/>
      <c r="D715" s="1056"/>
      <c r="E715" s="1056"/>
      <c r="F715" s="1056"/>
      <c r="G715" s="1056"/>
      <c r="H715" s="1056"/>
      <c r="I715" s="1056"/>
      <c r="J715" s="1056"/>
      <c r="K715" s="1056"/>
      <c r="L715" s="1056"/>
      <c r="M715" s="274"/>
      <c r="P715" s="264"/>
      <c r="Q715" s="264"/>
      <c r="R715" s="264"/>
      <c r="S715" s="264"/>
      <c r="T715" s="1056"/>
      <c r="U715" s="1056"/>
      <c r="V715" s="1056"/>
      <c r="W715" s="1056"/>
      <c r="X715" s="1056"/>
      <c r="Y715" s="1056"/>
      <c r="Z715" s="1056"/>
      <c r="AA715" s="1056"/>
      <c r="AB715" s="1056"/>
      <c r="AC715" s="1056"/>
      <c r="AD715" s="1056"/>
      <c r="AE715" s="1056"/>
      <c r="AF715" s="264"/>
    </row>
    <row r="716" spans="1:32" s="268" customFormat="1" ht="15" x14ac:dyDescent="0.25">
      <c r="A716" s="264"/>
      <c r="B716" s="264"/>
      <c r="C716" s="1056"/>
      <c r="D716" s="1056"/>
      <c r="E716" s="1056"/>
      <c r="F716" s="1056"/>
      <c r="G716" s="1056"/>
      <c r="H716" s="1056"/>
      <c r="I716" s="1056"/>
      <c r="J716" s="1056"/>
      <c r="K716" s="1056"/>
      <c r="L716" s="1056"/>
      <c r="M716" s="274"/>
      <c r="P716" s="264"/>
      <c r="Q716" s="264"/>
      <c r="R716" s="264"/>
      <c r="S716" s="264"/>
      <c r="T716" s="1056"/>
      <c r="U716" s="1056"/>
      <c r="V716" s="1056"/>
      <c r="W716" s="1056"/>
      <c r="X716" s="1056"/>
      <c r="Y716" s="1056"/>
      <c r="Z716" s="1056"/>
      <c r="AA716" s="1056"/>
      <c r="AB716" s="1056"/>
      <c r="AC716" s="1056"/>
      <c r="AD716" s="1056"/>
      <c r="AE716" s="1056"/>
      <c r="AF716" s="264"/>
    </row>
    <row r="717" spans="1:32" s="268" customFormat="1" ht="15" x14ac:dyDescent="0.25">
      <c r="A717" s="264"/>
      <c r="B717" s="264"/>
      <c r="C717" s="1056"/>
      <c r="D717" s="1056"/>
      <c r="E717" s="1056"/>
      <c r="F717" s="1056"/>
      <c r="G717" s="1056"/>
      <c r="H717" s="1056"/>
      <c r="I717" s="1056"/>
      <c r="J717" s="1056"/>
      <c r="K717" s="1056"/>
      <c r="L717" s="1056"/>
      <c r="M717" s="274"/>
      <c r="P717" s="264"/>
      <c r="Q717" s="264"/>
      <c r="R717" s="264"/>
      <c r="S717" s="264"/>
      <c r="T717" s="1056"/>
      <c r="U717" s="1056"/>
      <c r="V717" s="1056"/>
      <c r="W717" s="1056"/>
      <c r="X717" s="1056"/>
      <c r="Y717" s="1056"/>
      <c r="Z717" s="1056"/>
      <c r="AA717" s="1056"/>
      <c r="AB717" s="1056"/>
      <c r="AC717" s="1056"/>
      <c r="AD717" s="1056"/>
      <c r="AE717" s="1056"/>
      <c r="AF717" s="264"/>
    </row>
    <row r="718" spans="1:32" s="268" customFormat="1" ht="15" x14ac:dyDescent="0.25">
      <c r="A718" s="264"/>
      <c r="B718" s="264"/>
      <c r="C718" s="1056"/>
      <c r="D718" s="1056"/>
      <c r="E718" s="1056"/>
      <c r="F718" s="1056"/>
      <c r="G718" s="1056"/>
      <c r="H718" s="1056"/>
      <c r="I718" s="1056"/>
      <c r="J718" s="1056"/>
      <c r="K718" s="1056"/>
      <c r="L718" s="1056"/>
      <c r="M718" s="274"/>
      <c r="P718" s="264"/>
      <c r="Q718" s="264"/>
      <c r="R718" s="264"/>
      <c r="S718" s="264"/>
      <c r="T718" s="1056"/>
      <c r="U718" s="1056"/>
      <c r="V718" s="1056"/>
      <c r="W718" s="1056"/>
      <c r="X718" s="1056"/>
      <c r="Y718" s="1056"/>
      <c r="Z718" s="1056"/>
      <c r="AA718" s="1056"/>
      <c r="AB718" s="1056"/>
      <c r="AC718" s="1056"/>
      <c r="AD718" s="1056"/>
      <c r="AE718" s="1056"/>
      <c r="AF718" s="264"/>
    </row>
    <row r="719" spans="1:32" s="268" customFormat="1" ht="15" x14ac:dyDescent="0.25">
      <c r="A719" s="264"/>
      <c r="B719" s="264"/>
      <c r="C719" s="1056"/>
      <c r="D719" s="1056"/>
      <c r="E719" s="1056"/>
      <c r="F719" s="1056"/>
      <c r="G719" s="1056"/>
      <c r="H719" s="1056"/>
      <c r="I719" s="1056"/>
      <c r="J719" s="1056"/>
      <c r="K719" s="1056"/>
      <c r="L719" s="1056"/>
      <c r="M719" s="274"/>
      <c r="P719" s="264"/>
      <c r="Q719" s="264"/>
      <c r="R719" s="264"/>
      <c r="S719" s="264"/>
      <c r="T719" s="1056"/>
      <c r="U719" s="1056"/>
      <c r="V719" s="1056"/>
      <c r="W719" s="1056"/>
      <c r="X719" s="1056"/>
      <c r="Y719" s="1056"/>
      <c r="Z719" s="1056"/>
      <c r="AA719" s="1056"/>
      <c r="AB719" s="1056"/>
      <c r="AC719" s="1056"/>
      <c r="AD719" s="1056"/>
      <c r="AE719" s="1056"/>
      <c r="AF719" s="264"/>
    </row>
    <row r="720" spans="1:32" s="268" customFormat="1" ht="15" x14ac:dyDescent="0.25">
      <c r="A720" s="264"/>
      <c r="B720" s="264"/>
      <c r="C720" s="1056"/>
      <c r="D720" s="1056"/>
      <c r="E720" s="1056"/>
      <c r="F720" s="1056"/>
      <c r="G720" s="1056"/>
      <c r="H720" s="1056"/>
      <c r="I720" s="1056"/>
      <c r="J720" s="1056"/>
      <c r="K720" s="1056"/>
      <c r="L720" s="1056"/>
      <c r="M720" s="274"/>
      <c r="P720" s="264"/>
      <c r="Q720" s="264"/>
      <c r="R720" s="264"/>
      <c r="S720" s="264"/>
      <c r="T720" s="1056"/>
      <c r="U720" s="1056"/>
      <c r="V720" s="1056"/>
      <c r="W720" s="1056"/>
      <c r="X720" s="1056"/>
      <c r="Y720" s="1056"/>
      <c r="Z720" s="1056"/>
      <c r="AA720" s="1056"/>
      <c r="AB720" s="1056"/>
      <c r="AC720" s="1056"/>
      <c r="AD720" s="1056"/>
      <c r="AE720" s="1056"/>
      <c r="AF720" s="264"/>
    </row>
    <row r="721" spans="1:32" s="268" customFormat="1" ht="15" x14ac:dyDescent="0.25">
      <c r="A721" s="264"/>
      <c r="B721" s="264"/>
      <c r="C721" s="1056"/>
      <c r="D721" s="1056"/>
      <c r="E721" s="1056"/>
      <c r="F721" s="1056"/>
      <c r="G721" s="1056"/>
      <c r="H721" s="1056"/>
      <c r="I721" s="1056"/>
      <c r="J721" s="1056"/>
      <c r="K721" s="1056"/>
      <c r="L721" s="1056"/>
      <c r="M721" s="274"/>
      <c r="P721" s="264"/>
      <c r="Q721" s="264"/>
      <c r="R721" s="264"/>
      <c r="S721" s="264"/>
      <c r="T721" s="1056"/>
      <c r="U721" s="1056"/>
      <c r="V721" s="1056"/>
      <c r="W721" s="1056"/>
      <c r="X721" s="1056"/>
      <c r="Y721" s="1056"/>
      <c r="Z721" s="1056"/>
      <c r="AA721" s="1056"/>
      <c r="AB721" s="1056"/>
      <c r="AC721" s="1056"/>
      <c r="AD721" s="1056"/>
      <c r="AE721" s="1056"/>
      <c r="AF721" s="264"/>
    </row>
    <row r="722" spans="1:32" s="268" customFormat="1" ht="15" x14ac:dyDescent="0.25">
      <c r="A722" s="264"/>
      <c r="B722" s="264"/>
      <c r="C722" s="1056"/>
      <c r="D722" s="1056"/>
      <c r="E722" s="1056"/>
      <c r="F722" s="1056"/>
      <c r="G722" s="1056"/>
      <c r="H722" s="1056"/>
      <c r="I722" s="1056"/>
      <c r="J722" s="1056"/>
      <c r="K722" s="1056"/>
      <c r="L722" s="1056"/>
      <c r="M722" s="274"/>
      <c r="P722" s="264"/>
      <c r="Q722" s="264"/>
      <c r="R722" s="264"/>
      <c r="S722" s="264"/>
      <c r="T722" s="1056"/>
      <c r="U722" s="1056"/>
      <c r="V722" s="1056"/>
      <c r="W722" s="1056"/>
      <c r="X722" s="1056"/>
      <c r="Y722" s="1056"/>
      <c r="Z722" s="1056"/>
      <c r="AA722" s="1056"/>
      <c r="AB722" s="1056"/>
      <c r="AC722" s="1056"/>
      <c r="AD722" s="1056"/>
      <c r="AE722" s="1056"/>
      <c r="AF722" s="264"/>
    </row>
    <row r="723" spans="1:32" s="268" customFormat="1" ht="15" x14ac:dyDescent="0.25">
      <c r="A723" s="264"/>
      <c r="B723" s="264"/>
      <c r="C723" s="1056"/>
      <c r="D723" s="1056"/>
      <c r="E723" s="1056"/>
      <c r="F723" s="1056"/>
      <c r="G723" s="1056"/>
      <c r="H723" s="1056"/>
      <c r="I723" s="1056"/>
      <c r="J723" s="1056"/>
      <c r="K723" s="1056"/>
      <c r="L723" s="1056"/>
      <c r="M723" s="274"/>
      <c r="P723" s="264"/>
      <c r="Q723" s="264"/>
      <c r="R723" s="264"/>
      <c r="S723" s="264"/>
      <c r="T723" s="1056"/>
      <c r="U723" s="1056"/>
      <c r="V723" s="1056"/>
      <c r="W723" s="1056"/>
      <c r="X723" s="1056"/>
      <c r="Y723" s="1056"/>
      <c r="Z723" s="1056"/>
      <c r="AA723" s="1056"/>
      <c r="AB723" s="1056"/>
      <c r="AC723" s="1056"/>
      <c r="AD723" s="1056"/>
      <c r="AE723" s="1056"/>
      <c r="AF723" s="264"/>
    </row>
    <row r="724" spans="1:32" s="268" customFormat="1" ht="15" x14ac:dyDescent="0.25">
      <c r="A724" s="264"/>
      <c r="B724" s="264"/>
      <c r="C724" s="1056"/>
      <c r="D724" s="1056"/>
      <c r="E724" s="1056"/>
      <c r="F724" s="1056"/>
      <c r="G724" s="1056"/>
      <c r="H724" s="1056"/>
      <c r="I724" s="1056"/>
      <c r="J724" s="1056"/>
      <c r="K724" s="1056"/>
      <c r="L724" s="1056"/>
      <c r="M724" s="274"/>
      <c r="P724" s="264"/>
      <c r="Q724" s="264"/>
      <c r="R724" s="264"/>
      <c r="S724" s="264"/>
      <c r="T724" s="1056"/>
      <c r="U724" s="1056"/>
      <c r="V724" s="1056"/>
      <c r="W724" s="1056"/>
      <c r="X724" s="1056"/>
      <c r="Y724" s="1056"/>
      <c r="Z724" s="1056"/>
      <c r="AA724" s="1056"/>
      <c r="AB724" s="1056"/>
      <c r="AC724" s="1056"/>
      <c r="AD724" s="1056"/>
      <c r="AE724" s="1056"/>
      <c r="AF724" s="264"/>
    </row>
    <row r="725" spans="1:32" s="268" customFormat="1" ht="15" x14ac:dyDescent="0.25">
      <c r="A725" s="264"/>
      <c r="B725" s="264"/>
      <c r="C725" s="1056"/>
      <c r="D725" s="1056"/>
      <c r="E725" s="1056"/>
      <c r="F725" s="1056"/>
      <c r="G725" s="1056"/>
      <c r="H725" s="1056"/>
      <c r="I725" s="1056"/>
      <c r="J725" s="1056"/>
      <c r="K725" s="1056"/>
      <c r="L725" s="1056"/>
      <c r="M725" s="274"/>
      <c r="P725" s="264"/>
      <c r="Q725" s="264"/>
      <c r="R725" s="264"/>
      <c r="S725" s="264"/>
      <c r="T725" s="1056"/>
      <c r="U725" s="1056"/>
      <c r="V725" s="1056"/>
      <c r="W725" s="1056"/>
      <c r="X725" s="1056"/>
      <c r="Y725" s="1056"/>
      <c r="Z725" s="1056"/>
      <c r="AA725" s="1056"/>
      <c r="AB725" s="1056"/>
      <c r="AC725" s="1056"/>
      <c r="AD725" s="1056"/>
      <c r="AE725" s="1056"/>
      <c r="AF725" s="264"/>
    </row>
    <row r="726" spans="1:32" s="268" customFormat="1" ht="15" x14ac:dyDescent="0.25">
      <c r="A726" s="264"/>
      <c r="B726" s="264"/>
      <c r="C726" s="1056"/>
      <c r="D726" s="1056"/>
      <c r="E726" s="1056"/>
      <c r="F726" s="1056"/>
      <c r="G726" s="1056"/>
      <c r="H726" s="1056"/>
      <c r="I726" s="1056"/>
      <c r="J726" s="1056"/>
      <c r="K726" s="1056"/>
      <c r="L726" s="1056"/>
      <c r="M726" s="274"/>
      <c r="P726" s="264"/>
      <c r="Q726" s="264"/>
      <c r="R726" s="264"/>
      <c r="S726" s="264"/>
      <c r="T726" s="1056"/>
      <c r="U726" s="1056"/>
      <c r="V726" s="1056"/>
      <c r="W726" s="1056"/>
      <c r="X726" s="1056"/>
      <c r="Y726" s="1056"/>
      <c r="Z726" s="1056"/>
      <c r="AA726" s="1056"/>
      <c r="AB726" s="1056"/>
      <c r="AC726" s="1056"/>
      <c r="AD726" s="1056"/>
      <c r="AE726" s="1056"/>
      <c r="AF726" s="264"/>
    </row>
    <row r="727" spans="1:32" s="268" customFormat="1" ht="15" x14ac:dyDescent="0.25">
      <c r="A727" s="264"/>
      <c r="B727" s="264"/>
      <c r="C727" s="1056"/>
      <c r="D727" s="1056"/>
      <c r="E727" s="1056"/>
      <c r="F727" s="1056"/>
      <c r="G727" s="1056"/>
      <c r="H727" s="1056"/>
      <c r="I727" s="1056"/>
      <c r="J727" s="1056"/>
      <c r="K727" s="1056"/>
      <c r="L727" s="1056"/>
      <c r="M727" s="274"/>
      <c r="P727" s="264"/>
      <c r="Q727" s="264"/>
      <c r="R727" s="264"/>
      <c r="S727" s="264"/>
      <c r="T727" s="1056"/>
      <c r="U727" s="1056"/>
      <c r="V727" s="1056"/>
      <c r="W727" s="1056"/>
      <c r="X727" s="1056"/>
      <c r="Y727" s="1056"/>
      <c r="Z727" s="1056"/>
      <c r="AA727" s="1056"/>
      <c r="AB727" s="1056"/>
      <c r="AC727" s="1056"/>
      <c r="AD727" s="1056"/>
      <c r="AE727" s="1056"/>
      <c r="AF727" s="264"/>
    </row>
    <row r="728" spans="1:32" s="268" customFormat="1" ht="15" x14ac:dyDescent="0.25">
      <c r="A728" s="264"/>
      <c r="B728" s="264"/>
      <c r="C728" s="1056"/>
      <c r="D728" s="1056"/>
      <c r="E728" s="1056"/>
      <c r="F728" s="1056"/>
      <c r="G728" s="1056"/>
      <c r="H728" s="1056"/>
      <c r="I728" s="1056"/>
      <c r="J728" s="1056"/>
      <c r="K728" s="1056"/>
      <c r="L728" s="1056"/>
      <c r="M728" s="274"/>
      <c r="P728" s="264"/>
      <c r="Q728" s="264"/>
      <c r="R728" s="264"/>
      <c r="S728" s="264"/>
      <c r="T728" s="1056"/>
      <c r="U728" s="1056"/>
      <c r="V728" s="1056"/>
      <c r="W728" s="1056"/>
      <c r="X728" s="1056"/>
      <c r="Y728" s="1056"/>
      <c r="Z728" s="1056"/>
      <c r="AA728" s="1056"/>
      <c r="AB728" s="1056"/>
      <c r="AC728" s="1056"/>
      <c r="AD728" s="1056"/>
      <c r="AE728" s="1056"/>
      <c r="AF728" s="264"/>
    </row>
    <row r="729" spans="1:32" s="268" customFormat="1" ht="15" x14ac:dyDescent="0.25">
      <c r="A729" s="264"/>
      <c r="B729" s="264"/>
      <c r="C729" s="1056"/>
      <c r="D729" s="1056"/>
      <c r="E729" s="1056"/>
      <c r="F729" s="1056"/>
      <c r="G729" s="1056"/>
      <c r="H729" s="1056"/>
      <c r="I729" s="1056"/>
      <c r="J729" s="1056"/>
      <c r="K729" s="1056"/>
      <c r="L729" s="1056"/>
      <c r="M729" s="274"/>
      <c r="P729" s="264"/>
      <c r="Q729" s="264"/>
      <c r="R729" s="264"/>
      <c r="S729" s="264"/>
      <c r="T729" s="1056"/>
      <c r="U729" s="1056"/>
      <c r="V729" s="1056"/>
      <c r="W729" s="1056"/>
      <c r="X729" s="1056"/>
      <c r="Y729" s="1056"/>
      <c r="Z729" s="1056"/>
      <c r="AA729" s="1056"/>
      <c r="AB729" s="1056"/>
      <c r="AC729" s="1056"/>
      <c r="AD729" s="1056"/>
      <c r="AE729" s="1056"/>
      <c r="AF729" s="264"/>
    </row>
    <row r="730" spans="1:32" s="268" customFormat="1" ht="15" x14ac:dyDescent="0.25">
      <c r="A730" s="264"/>
      <c r="B730" s="264"/>
      <c r="C730" s="1056"/>
      <c r="D730" s="1056"/>
      <c r="E730" s="1056"/>
      <c r="F730" s="1056"/>
      <c r="G730" s="1056"/>
      <c r="H730" s="1056"/>
      <c r="I730" s="1056"/>
      <c r="J730" s="1056"/>
      <c r="K730" s="1056"/>
      <c r="L730" s="1056"/>
      <c r="M730" s="274"/>
      <c r="P730" s="264"/>
      <c r="Q730" s="264"/>
      <c r="R730" s="264"/>
      <c r="S730" s="264"/>
      <c r="T730" s="1056"/>
      <c r="U730" s="1056"/>
      <c r="V730" s="1056"/>
      <c r="W730" s="1056"/>
      <c r="X730" s="1056"/>
      <c r="Y730" s="1056"/>
      <c r="Z730" s="1056"/>
      <c r="AA730" s="1056"/>
      <c r="AB730" s="1056"/>
      <c r="AC730" s="1056"/>
      <c r="AD730" s="1056"/>
      <c r="AE730" s="1056"/>
      <c r="AF730" s="264"/>
    </row>
    <row r="731" spans="1:32" s="268" customFormat="1" ht="15" x14ac:dyDescent="0.25">
      <c r="A731" s="264"/>
      <c r="B731" s="264"/>
      <c r="C731" s="1056"/>
      <c r="D731" s="1056"/>
      <c r="E731" s="1056"/>
      <c r="F731" s="1056"/>
      <c r="G731" s="1056"/>
      <c r="H731" s="1056"/>
      <c r="I731" s="1056"/>
      <c r="J731" s="1056"/>
      <c r="K731" s="1056"/>
      <c r="L731" s="1056"/>
      <c r="M731" s="274"/>
      <c r="P731" s="264"/>
      <c r="Q731" s="264"/>
      <c r="R731" s="264"/>
      <c r="S731" s="264"/>
      <c r="T731" s="1056"/>
      <c r="U731" s="1056"/>
      <c r="V731" s="1056"/>
      <c r="W731" s="1056"/>
      <c r="X731" s="1056"/>
      <c r="Y731" s="1056"/>
      <c r="Z731" s="1056"/>
      <c r="AA731" s="1056"/>
      <c r="AB731" s="1056"/>
      <c r="AC731" s="1056"/>
      <c r="AD731" s="1056"/>
      <c r="AE731" s="1056"/>
      <c r="AF731" s="264"/>
    </row>
    <row r="732" spans="1:32" s="268" customFormat="1" ht="15" x14ac:dyDescent="0.25">
      <c r="A732" s="264"/>
      <c r="B732" s="264"/>
      <c r="C732" s="1056"/>
      <c r="D732" s="1056"/>
      <c r="E732" s="1056"/>
      <c r="F732" s="1056"/>
      <c r="G732" s="1056"/>
      <c r="H732" s="1056"/>
      <c r="I732" s="1056"/>
      <c r="J732" s="1056"/>
      <c r="K732" s="1056"/>
      <c r="L732" s="1056"/>
      <c r="M732" s="274"/>
      <c r="P732" s="264"/>
      <c r="Q732" s="264"/>
      <c r="R732" s="264"/>
      <c r="S732" s="264"/>
      <c r="T732" s="1056"/>
      <c r="U732" s="1056"/>
      <c r="V732" s="1056"/>
      <c r="W732" s="1056"/>
      <c r="X732" s="1056"/>
      <c r="Y732" s="1056"/>
      <c r="Z732" s="1056"/>
      <c r="AA732" s="1056"/>
      <c r="AB732" s="1056"/>
      <c r="AC732" s="1056"/>
      <c r="AD732" s="1056"/>
      <c r="AE732" s="1056"/>
      <c r="AF732" s="264"/>
    </row>
    <row r="733" spans="1:32" s="268" customFormat="1" ht="15" x14ac:dyDescent="0.25">
      <c r="A733" s="264"/>
      <c r="B733" s="264"/>
      <c r="C733" s="1056"/>
      <c r="D733" s="1056"/>
      <c r="E733" s="1056"/>
      <c r="F733" s="1056"/>
      <c r="G733" s="1056"/>
      <c r="H733" s="1056"/>
      <c r="I733" s="1056"/>
      <c r="J733" s="1056"/>
      <c r="K733" s="1056"/>
      <c r="L733" s="1056"/>
      <c r="M733" s="274"/>
      <c r="P733" s="264"/>
      <c r="Q733" s="264"/>
      <c r="R733" s="264"/>
      <c r="S733" s="264"/>
      <c r="T733" s="1056"/>
      <c r="U733" s="1056"/>
      <c r="V733" s="1056"/>
      <c r="W733" s="1056"/>
      <c r="X733" s="1056"/>
      <c r="Y733" s="1056"/>
      <c r="Z733" s="1056"/>
      <c r="AA733" s="1056"/>
      <c r="AB733" s="1056"/>
      <c r="AC733" s="1056"/>
      <c r="AD733" s="1056"/>
      <c r="AE733" s="1056"/>
      <c r="AF733" s="264"/>
    </row>
    <row r="734" spans="1:32" s="268" customFormat="1" ht="15" x14ac:dyDescent="0.25">
      <c r="A734" s="264"/>
      <c r="B734" s="264"/>
      <c r="C734" s="1056"/>
      <c r="D734" s="1056"/>
      <c r="E734" s="1056"/>
      <c r="F734" s="1056"/>
      <c r="G734" s="1056"/>
      <c r="H734" s="1056"/>
      <c r="I734" s="1056"/>
      <c r="J734" s="1056"/>
      <c r="K734" s="1056"/>
      <c r="L734" s="1056"/>
      <c r="M734" s="274"/>
      <c r="P734" s="264"/>
      <c r="Q734" s="264"/>
      <c r="R734" s="264"/>
      <c r="S734" s="264"/>
      <c r="T734" s="1056"/>
      <c r="U734" s="1056"/>
      <c r="V734" s="1056"/>
      <c r="W734" s="1056"/>
      <c r="X734" s="1056"/>
      <c r="Y734" s="1056"/>
      <c r="Z734" s="1056"/>
      <c r="AA734" s="1056"/>
      <c r="AB734" s="1056"/>
      <c r="AC734" s="1056"/>
      <c r="AD734" s="1056"/>
      <c r="AE734" s="1056"/>
      <c r="AF734" s="264"/>
    </row>
    <row r="735" spans="1:32" s="268" customFormat="1" ht="15" x14ac:dyDescent="0.25">
      <c r="A735" s="264"/>
      <c r="B735" s="264"/>
      <c r="C735" s="1056"/>
      <c r="D735" s="1056"/>
      <c r="E735" s="1056"/>
      <c r="F735" s="1056"/>
      <c r="G735" s="1056"/>
      <c r="H735" s="1056"/>
      <c r="I735" s="1056"/>
      <c r="J735" s="1056"/>
      <c r="K735" s="1056"/>
      <c r="L735" s="1056"/>
      <c r="M735" s="274"/>
      <c r="P735" s="264"/>
      <c r="Q735" s="264"/>
      <c r="R735" s="264"/>
      <c r="S735" s="264"/>
      <c r="T735" s="1056"/>
      <c r="U735" s="1056"/>
      <c r="V735" s="1056"/>
      <c r="W735" s="1056"/>
      <c r="X735" s="1056"/>
      <c r="Y735" s="1056"/>
      <c r="Z735" s="1056"/>
      <c r="AA735" s="1056"/>
      <c r="AB735" s="1056"/>
      <c r="AC735" s="1056"/>
      <c r="AD735" s="1056"/>
      <c r="AE735" s="1056"/>
      <c r="AF735" s="264"/>
    </row>
    <row r="736" spans="1:32" s="268" customFormat="1" ht="15" x14ac:dyDescent="0.25">
      <c r="A736" s="264"/>
      <c r="B736" s="264"/>
      <c r="C736" s="1056"/>
      <c r="D736" s="1056"/>
      <c r="E736" s="1056"/>
      <c r="F736" s="1056"/>
      <c r="G736" s="1056"/>
      <c r="H736" s="1056"/>
      <c r="I736" s="1056"/>
      <c r="J736" s="1056"/>
      <c r="K736" s="1056"/>
      <c r="L736" s="1056"/>
      <c r="M736" s="274"/>
      <c r="P736" s="264"/>
      <c r="Q736" s="264"/>
      <c r="R736" s="264"/>
      <c r="S736" s="264"/>
      <c r="T736" s="1056"/>
      <c r="U736" s="1056"/>
      <c r="V736" s="1056"/>
      <c r="W736" s="1056"/>
      <c r="X736" s="1056"/>
      <c r="Y736" s="1056"/>
      <c r="Z736" s="1056"/>
      <c r="AA736" s="1056"/>
      <c r="AB736" s="1056"/>
      <c r="AC736" s="1056"/>
      <c r="AD736" s="1056"/>
      <c r="AE736" s="1056"/>
      <c r="AF736" s="264"/>
    </row>
    <row r="737" spans="1:32" s="268" customFormat="1" ht="15" x14ac:dyDescent="0.25">
      <c r="A737" s="264"/>
      <c r="B737" s="264"/>
      <c r="C737" s="1056"/>
      <c r="D737" s="1056"/>
      <c r="E737" s="1056"/>
      <c r="F737" s="1056"/>
      <c r="G737" s="1056"/>
      <c r="H737" s="1056"/>
      <c r="I737" s="1056"/>
      <c r="J737" s="1056"/>
      <c r="K737" s="1056"/>
      <c r="L737" s="1056"/>
      <c r="M737" s="274"/>
      <c r="P737" s="264"/>
      <c r="Q737" s="264"/>
      <c r="R737" s="264"/>
      <c r="S737" s="264"/>
      <c r="T737" s="1056"/>
      <c r="U737" s="1056"/>
      <c r="V737" s="1056"/>
      <c r="W737" s="1056"/>
      <c r="X737" s="1056"/>
      <c r="Y737" s="1056"/>
      <c r="Z737" s="1056"/>
      <c r="AA737" s="1056"/>
      <c r="AB737" s="1056"/>
      <c r="AC737" s="1056"/>
      <c r="AD737" s="1056"/>
      <c r="AE737" s="1056"/>
      <c r="AF737" s="264"/>
    </row>
    <row r="738" spans="1:32" s="268" customFormat="1" ht="15" x14ac:dyDescent="0.25">
      <c r="A738" s="264"/>
      <c r="B738" s="264"/>
      <c r="C738" s="1056"/>
      <c r="D738" s="1056"/>
      <c r="E738" s="1056"/>
      <c r="F738" s="1056"/>
      <c r="G738" s="1056"/>
      <c r="H738" s="1056"/>
      <c r="I738" s="1056"/>
      <c r="J738" s="1056"/>
      <c r="K738" s="1056"/>
      <c r="L738" s="1056"/>
      <c r="M738" s="274"/>
      <c r="P738" s="264"/>
      <c r="Q738" s="264"/>
      <c r="R738" s="264"/>
      <c r="S738" s="264"/>
      <c r="T738" s="1056"/>
      <c r="U738" s="1056"/>
      <c r="V738" s="1056"/>
      <c r="W738" s="1056"/>
      <c r="X738" s="1056"/>
      <c r="Y738" s="1056"/>
      <c r="Z738" s="1056"/>
      <c r="AA738" s="1056"/>
      <c r="AB738" s="1056"/>
      <c r="AC738" s="1056"/>
      <c r="AD738" s="1056"/>
      <c r="AE738" s="1056"/>
      <c r="AF738" s="264"/>
    </row>
    <row r="739" spans="1:32" s="268" customFormat="1" ht="15" x14ac:dyDescent="0.25">
      <c r="A739" s="264"/>
      <c r="B739" s="264"/>
      <c r="C739" s="1056"/>
      <c r="D739" s="1056"/>
      <c r="E739" s="1056"/>
      <c r="F739" s="1056"/>
      <c r="G739" s="1056"/>
      <c r="H739" s="1056"/>
      <c r="I739" s="1056"/>
      <c r="J739" s="1056"/>
      <c r="K739" s="1056"/>
      <c r="L739" s="1056"/>
      <c r="M739" s="274"/>
      <c r="P739" s="264"/>
      <c r="Q739" s="264"/>
      <c r="R739" s="264"/>
      <c r="S739" s="264"/>
      <c r="T739" s="1056"/>
      <c r="U739" s="1056"/>
      <c r="V739" s="1056"/>
      <c r="W739" s="1056"/>
      <c r="X739" s="1056"/>
      <c r="Y739" s="1056"/>
      <c r="Z739" s="1056"/>
      <c r="AA739" s="1056"/>
      <c r="AB739" s="1056"/>
      <c r="AC739" s="1056"/>
      <c r="AD739" s="1056"/>
      <c r="AE739" s="1056"/>
      <c r="AF739" s="264"/>
    </row>
    <row r="740" spans="1:32" s="268" customFormat="1" ht="15" x14ac:dyDescent="0.25">
      <c r="A740" s="264"/>
      <c r="B740" s="264"/>
      <c r="C740" s="1056"/>
      <c r="D740" s="1056"/>
      <c r="E740" s="1056"/>
      <c r="F740" s="1056"/>
      <c r="G740" s="1056"/>
      <c r="H740" s="1056"/>
      <c r="I740" s="1056"/>
      <c r="J740" s="1056"/>
      <c r="K740" s="1056"/>
      <c r="L740" s="1056"/>
      <c r="M740" s="274"/>
      <c r="P740" s="264"/>
      <c r="Q740" s="264"/>
      <c r="R740" s="264"/>
      <c r="S740" s="264"/>
      <c r="T740" s="1056"/>
      <c r="U740" s="1056"/>
      <c r="V740" s="1056"/>
      <c r="W740" s="1056"/>
      <c r="X740" s="1056"/>
      <c r="Y740" s="1056"/>
      <c r="Z740" s="1056"/>
      <c r="AA740" s="1056"/>
      <c r="AB740" s="1056"/>
      <c r="AC740" s="1056"/>
      <c r="AD740" s="1056"/>
      <c r="AE740" s="1056"/>
      <c r="AF740" s="264"/>
    </row>
    <row r="741" spans="1:32" s="268" customFormat="1" ht="15" x14ac:dyDescent="0.25">
      <c r="A741" s="264"/>
      <c r="B741" s="264"/>
      <c r="C741" s="1056"/>
      <c r="D741" s="1056"/>
      <c r="E741" s="1056"/>
      <c r="F741" s="1056"/>
      <c r="G741" s="1056"/>
      <c r="H741" s="1056"/>
      <c r="I741" s="1056"/>
      <c r="J741" s="1056"/>
      <c r="K741" s="1056"/>
      <c r="L741" s="1056"/>
      <c r="M741" s="274"/>
      <c r="P741" s="264"/>
      <c r="Q741" s="264"/>
      <c r="R741" s="264"/>
      <c r="S741" s="264"/>
      <c r="T741" s="1056"/>
      <c r="U741" s="1056"/>
      <c r="V741" s="1056"/>
      <c r="W741" s="1056"/>
      <c r="X741" s="1056"/>
      <c r="Y741" s="1056"/>
      <c r="Z741" s="1056"/>
      <c r="AA741" s="1056"/>
      <c r="AB741" s="1056"/>
      <c r="AC741" s="1056"/>
      <c r="AD741" s="1056"/>
      <c r="AE741" s="1056"/>
      <c r="AF741" s="264"/>
    </row>
    <row r="742" spans="1:32" s="268" customFormat="1" ht="15" x14ac:dyDescent="0.25">
      <c r="A742" s="264"/>
      <c r="B742" s="264"/>
      <c r="C742" s="1056"/>
      <c r="D742" s="1056"/>
      <c r="E742" s="1056"/>
      <c r="F742" s="1056"/>
      <c r="G742" s="1056"/>
      <c r="H742" s="1056"/>
      <c r="I742" s="1056"/>
      <c r="J742" s="1056"/>
      <c r="K742" s="1056"/>
      <c r="L742" s="1056"/>
      <c r="M742" s="274"/>
      <c r="P742" s="264"/>
      <c r="Q742" s="264"/>
      <c r="R742" s="264"/>
      <c r="S742" s="264"/>
      <c r="T742" s="1056"/>
      <c r="U742" s="1056"/>
      <c r="V742" s="1056"/>
      <c r="W742" s="1056"/>
      <c r="X742" s="1056"/>
      <c r="Y742" s="1056"/>
      <c r="Z742" s="1056"/>
      <c r="AA742" s="1056"/>
      <c r="AB742" s="1056"/>
      <c r="AC742" s="1056"/>
      <c r="AD742" s="1056"/>
      <c r="AE742" s="1056"/>
      <c r="AF742" s="264"/>
    </row>
    <row r="743" spans="1:32" s="268" customFormat="1" ht="15" x14ac:dyDescent="0.25">
      <c r="A743" s="264"/>
      <c r="B743" s="264"/>
      <c r="C743" s="1056"/>
      <c r="D743" s="1056"/>
      <c r="E743" s="1056"/>
      <c r="F743" s="1056"/>
      <c r="G743" s="1056"/>
      <c r="H743" s="1056"/>
      <c r="I743" s="1056"/>
      <c r="J743" s="1056"/>
      <c r="K743" s="1056"/>
      <c r="L743" s="1056"/>
      <c r="M743" s="274"/>
      <c r="P743" s="264"/>
      <c r="Q743" s="264"/>
      <c r="R743" s="264"/>
      <c r="S743" s="264"/>
      <c r="T743" s="1056"/>
      <c r="U743" s="1056"/>
      <c r="V743" s="1056"/>
      <c r="W743" s="1056"/>
      <c r="X743" s="1056"/>
      <c r="Y743" s="1056"/>
      <c r="Z743" s="1056"/>
      <c r="AA743" s="1056"/>
      <c r="AB743" s="1056"/>
      <c r="AC743" s="1056"/>
      <c r="AD743" s="1056"/>
      <c r="AE743" s="1056"/>
      <c r="AF743" s="264"/>
    </row>
    <row r="744" spans="1:32" s="268" customFormat="1" ht="15" x14ac:dyDescent="0.25">
      <c r="A744" s="264"/>
      <c r="B744" s="264"/>
      <c r="C744" s="1056"/>
      <c r="D744" s="1056"/>
      <c r="E744" s="1056"/>
      <c r="F744" s="1056"/>
      <c r="G744" s="1056"/>
      <c r="H744" s="1056"/>
      <c r="I744" s="1056"/>
      <c r="J744" s="1056"/>
      <c r="K744" s="1056"/>
      <c r="L744" s="1056"/>
      <c r="M744" s="274"/>
      <c r="P744" s="264"/>
      <c r="Q744" s="264"/>
      <c r="R744" s="264"/>
      <c r="S744" s="264"/>
      <c r="T744" s="1056"/>
      <c r="U744" s="1056"/>
      <c r="V744" s="1056"/>
      <c r="W744" s="1056"/>
      <c r="X744" s="1056"/>
      <c r="Y744" s="1056"/>
      <c r="Z744" s="1056"/>
      <c r="AA744" s="1056"/>
      <c r="AB744" s="1056"/>
      <c r="AC744" s="1056"/>
      <c r="AD744" s="1056"/>
      <c r="AE744" s="1056"/>
      <c r="AF744" s="264"/>
    </row>
    <row r="745" spans="1:32" s="268" customFormat="1" ht="15" x14ac:dyDescent="0.25">
      <c r="A745" s="264"/>
      <c r="B745" s="264"/>
      <c r="C745" s="1056"/>
      <c r="D745" s="1056"/>
      <c r="E745" s="1056"/>
      <c r="F745" s="1056"/>
      <c r="G745" s="1056"/>
      <c r="H745" s="1056"/>
      <c r="I745" s="1056"/>
      <c r="J745" s="1056"/>
      <c r="K745" s="1056"/>
      <c r="L745" s="1056"/>
      <c r="M745" s="274"/>
      <c r="P745" s="264"/>
      <c r="Q745" s="264"/>
      <c r="R745" s="264"/>
      <c r="S745" s="264"/>
      <c r="T745" s="1056"/>
      <c r="U745" s="1056"/>
      <c r="V745" s="1056"/>
      <c r="W745" s="1056"/>
      <c r="X745" s="1056"/>
      <c r="Y745" s="1056"/>
      <c r="Z745" s="1056"/>
      <c r="AA745" s="1056"/>
      <c r="AB745" s="1056"/>
      <c r="AC745" s="1056"/>
      <c r="AD745" s="1056"/>
      <c r="AE745" s="1056"/>
      <c r="AF745" s="264"/>
    </row>
    <row r="746" spans="1:32" s="268" customFormat="1" ht="15" x14ac:dyDescent="0.25">
      <c r="A746" s="264"/>
      <c r="B746" s="264"/>
      <c r="C746" s="1056"/>
      <c r="D746" s="1056"/>
      <c r="E746" s="1056"/>
      <c r="F746" s="1056"/>
      <c r="G746" s="1056"/>
      <c r="H746" s="1056"/>
      <c r="I746" s="1056"/>
      <c r="J746" s="1056"/>
      <c r="K746" s="1056"/>
      <c r="L746" s="1056"/>
      <c r="M746" s="274"/>
      <c r="P746" s="264"/>
      <c r="Q746" s="264"/>
      <c r="R746" s="264"/>
      <c r="S746" s="264"/>
      <c r="T746" s="1056"/>
      <c r="U746" s="1056"/>
      <c r="V746" s="1056"/>
      <c r="W746" s="1056"/>
      <c r="X746" s="1056"/>
      <c r="Y746" s="1056"/>
      <c r="Z746" s="1056"/>
      <c r="AA746" s="1056"/>
      <c r="AB746" s="1056"/>
      <c r="AC746" s="1056"/>
      <c r="AD746" s="1056"/>
      <c r="AE746" s="1056"/>
      <c r="AF746" s="264"/>
    </row>
    <row r="747" spans="1:32" s="268" customFormat="1" ht="15" x14ac:dyDescent="0.25">
      <c r="A747" s="264"/>
      <c r="B747" s="264"/>
      <c r="C747" s="1056"/>
      <c r="D747" s="1056"/>
      <c r="E747" s="1056"/>
      <c r="F747" s="1056"/>
      <c r="G747" s="1056"/>
      <c r="H747" s="1056"/>
      <c r="I747" s="1056"/>
      <c r="J747" s="1056"/>
      <c r="K747" s="1056"/>
      <c r="L747" s="1056"/>
      <c r="M747" s="274"/>
      <c r="P747" s="264"/>
      <c r="Q747" s="264"/>
      <c r="R747" s="264"/>
      <c r="S747" s="264"/>
      <c r="T747" s="1056"/>
      <c r="U747" s="1056"/>
      <c r="V747" s="1056"/>
      <c r="W747" s="1056"/>
      <c r="X747" s="1056"/>
      <c r="Y747" s="1056"/>
      <c r="Z747" s="1056"/>
      <c r="AA747" s="1056"/>
      <c r="AB747" s="1056"/>
      <c r="AC747" s="1056"/>
      <c r="AD747" s="1056"/>
      <c r="AE747" s="1056"/>
      <c r="AF747" s="264"/>
    </row>
    <row r="748" spans="1:32" s="268" customFormat="1" ht="15" x14ac:dyDescent="0.25">
      <c r="A748" s="264"/>
      <c r="B748" s="264"/>
      <c r="C748" s="1056"/>
      <c r="D748" s="1056"/>
      <c r="E748" s="1056"/>
      <c r="F748" s="1056"/>
      <c r="G748" s="1056"/>
      <c r="H748" s="1056"/>
      <c r="I748" s="1056"/>
      <c r="J748" s="1056"/>
      <c r="K748" s="1056"/>
      <c r="L748" s="1056"/>
      <c r="M748" s="274"/>
      <c r="P748" s="264"/>
      <c r="Q748" s="264"/>
      <c r="R748" s="264"/>
      <c r="S748" s="264"/>
      <c r="T748" s="1056"/>
      <c r="U748" s="1056"/>
      <c r="V748" s="1056"/>
      <c r="W748" s="1056"/>
      <c r="X748" s="1056"/>
      <c r="Y748" s="1056"/>
      <c r="Z748" s="1056"/>
      <c r="AA748" s="1056"/>
      <c r="AB748" s="1056"/>
      <c r="AC748" s="1056"/>
      <c r="AD748" s="1056"/>
      <c r="AE748" s="1056"/>
      <c r="AF748" s="264"/>
    </row>
    <row r="749" spans="1:32" s="268" customFormat="1" ht="15" x14ac:dyDescent="0.25">
      <c r="A749" s="264"/>
      <c r="B749" s="264"/>
      <c r="C749" s="1056"/>
      <c r="D749" s="1056"/>
      <c r="E749" s="1056"/>
      <c r="F749" s="1056"/>
      <c r="G749" s="1056"/>
      <c r="H749" s="1056"/>
      <c r="I749" s="1056"/>
      <c r="J749" s="1056"/>
      <c r="K749" s="1056"/>
      <c r="L749" s="1056"/>
      <c r="M749" s="274"/>
      <c r="P749" s="264"/>
      <c r="Q749" s="264"/>
      <c r="R749" s="264"/>
      <c r="S749" s="264"/>
      <c r="T749" s="1056"/>
      <c r="U749" s="1056"/>
      <c r="V749" s="1056"/>
      <c r="W749" s="1056"/>
      <c r="X749" s="1056"/>
      <c r="Y749" s="1056"/>
      <c r="Z749" s="1056"/>
      <c r="AA749" s="1056"/>
      <c r="AB749" s="1056"/>
      <c r="AC749" s="1056"/>
      <c r="AD749" s="1056"/>
      <c r="AE749" s="1056"/>
      <c r="AF749" s="264"/>
    </row>
    <row r="750" spans="1:32" s="268" customFormat="1" ht="15" x14ac:dyDescent="0.25">
      <c r="A750" s="264"/>
      <c r="B750" s="264"/>
      <c r="C750" s="1056"/>
      <c r="D750" s="1056"/>
      <c r="E750" s="1056"/>
      <c r="F750" s="1056"/>
      <c r="G750" s="1056"/>
      <c r="H750" s="1056"/>
      <c r="I750" s="1056"/>
      <c r="J750" s="1056"/>
      <c r="K750" s="1056"/>
      <c r="L750" s="1056"/>
      <c r="M750" s="274"/>
      <c r="P750" s="264"/>
      <c r="Q750" s="264"/>
      <c r="R750" s="264"/>
      <c r="S750" s="264"/>
      <c r="T750" s="1056"/>
      <c r="U750" s="1056"/>
      <c r="V750" s="1056"/>
      <c r="W750" s="1056"/>
      <c r="X750" s="1056"/>
      <c r="Y750" s="1056"/>
      <c r="Z750" s="1056"/>
      <c r="AA750" s="1056"/>
      <c r="AB750" s="1056"/>
      <c r="AC750" s="1056"/>
      <c r="AD750" s="1056"/>
      <c r="AE750" s="1056"/>
      <c r="AF750" s="264"/>
    </row>
    <row r="751" spans="1:32" s="268" customFormat="1" ht="15" x14ac:dyDescent="0.25">
      <c r="A751" s="264"/>
      <c r="B751" s="264"/>
      <c r="C751" s="1056"/>
      <c r="D751" s="1056"/>
      <c r="E751" s="1056"/>
      <c r="F751" s="1056"/>
      <c r="G751" s="1056"/>
      <c r="H751" s="1056"/>
      <c r="I751" s="1056"/>
      <c r="J751" s="1056"/>
      <c r="K751" s="1056"/>
      <c r="L751" s="1056"/>
      <c r="M751" s="274"/>
      <c r="P751" s="264"/>
      <c r="Q751" s="264"/>
      <c r="R751" s="264"/>
      <c r="S751" s="264"/>
      <c r="T751" s="1056"/>
      <c r="U751" s="1056"/>
      <c r="V751" s="1056"/>
      <c r="W751" s="1056"/>
      <c r="X751" s="1056"/>
      <c r="Y751" s="1056"/>
      <c r="Z751" s="1056"/>
      <c r="AA751" s="1056"/>
      <c r="AB751" s="1056"/>
      <c r="AC751" s="1056"/>
      <c r="AD751" s="1056"/>
      <c r="AE751" s="1056"/>
      <c r="AF751" s="264"/>
    </row>
    <row r="752" spans="1:32" s="268" customFormat="1" ht="15" x14ac:dyDescent="0.25">
      <c r="A752" s="264"/>
      <c r="B752" s="264"/>
      <c r="C752" s="1056"/>
      <c r="D752" s="1056"/>
      <c r="E752" s="1056"/>
      <c r="F752" s="1056"/>
      <c r="G752" s="1056"/>
      <c r="H752" s="1056"/>
      <c r="I752" s="1056"/>
      <c r="J752" s="1056"/>
      <c r="K752" s="1056"/>
      <c r="L752" s="1056"/>
      <c r="M752" s="274"/>
      <c r="P752" s="264"/>
      <c r="Q752" s="264"/>
      <c r="R752" s="264"/>
      <c r="S752" s="264"/>
      <c r="T752" s="1056"/>
      <c r="U752" s="1056"/>
      <c r="V752" s="1056"/>
      <c r="W752" s="1056"/>
      <c r="X752" s="1056"/>
      <c r="Y752" s="1056"/>
      <c r="Z752" s="1056"/>
      <c r="AA752" s="1056"/>
      <c r="AB752" s="1056"/>
      <c r="AC752" s="1056"/>
      <c r="AD752" s="1056"/>
      <c r="AE752" s="1056"/>
      <c r="AF752" s="264"/>
    </row>
    <row r="753" spans="1:32" s="268" customFormat="1" ht="15" x14ac:dyDescent="0.25">
      <c r="A753" s="264"/>
      <c r="B753" s="264"/>
      <c r="C753" s="1056"/>
      <c r="D753" s="1056"/>
      <c r="E753" s="1056"/>
      <c r="F753" s="1056"/>
      <c r="G753" s="1056"/>
      <c r="H753" s="1056"/>
      <c r="I753" s="1056"/>
      <c r="J753" s="1056"/>
      <c r="K753" s="1056"/>
      <c r="L753" s="1056"/>
      <c r="M753" s="274"/>
      <c r="P753" s="264"/>
      <c r="Q753" s="264"/>
      <c r="R753" s="264"/>
      <c r="S753" s="264"/>
      <c r="T753" s="1056"/>
      <c r="U753" s="1056"/>
      <c r="V753" s="1056"/>
      <c r="W753" s="1056"/>
      <c r="X753" s="1056"/>
      <c r="Y753" s="1056"/>
      <c r="Z753" s="1056"/>
      <c r="AA753" s="1056"/>
      <c r="AB753" s="1056"/>
      <c r="AC753" s="1056"/>
      <c r="AD753" s="1056"/>
      <c r="AE753" s="1056"/>
      <c r="AF753" s="264"/>
    </row>
    <row r="754" spans="1:32" s="268" customFormat="1" ht="15" x14ac:dyDescent="0.25">
      <c r="A754" s="264"/>
      <c r="B754" s="264"/>
      <c r="C754" s="1056"/>
      <c r="D754" s="1056"/>
      <c r="E754" s="1056"/>
      <c r="F754" s="1056"/>
      <c r="G754" s="1056"/>
      <c r="H754" s="1056"/>
      <c r="I754" s="1056"/>
      <c r="J754" s="1056"/>
      <c r="K754" s="1056"/>
      <c r="L754" s="1056"/>
      <c r="M754" s="274"/>
      <c r="P754" s="264"/>
      <c r="Q754" s="264"/>
      <c r="R754" s="264"/>
      <c r="S754" s="264"/>
      <c r="T754" s="1056"/>
      <c r="U754" s="1056"/>
      <c r="V754" s="1056"/>
      <c r="W754" s="1056"/>
      <c r="X754" s="1056"/>
      <c r="Y754" s="1056"/>
      <c r="Z754" s="1056"/>
      <c r="AA754" s="1056"/>
      <c r="AB754" s="1056"/>
      <c r="AC754" s="1056"/>
      <c r="AD754" s="1056"/>
      <c r="AE754" s="1056"/>
      <c r="AF754" s="264"/>
    </row>
    <row r="755" spans="1:32" s="268" customFormat="1" ht="15" x14ac:dyDescent="0.25">
      <c r="A755" s="264"/>
      <c r="B755" s="264"/>
      <c r="C755" s="1056"/>
      <c r="D755" s="1056"/>
      <c r="E755" s="1056"/>
      <c r="F755" s="1056"/>
      <c r="G755" s="1056"/>
      <c r="H755" s="1056"/>
      <c r="I755" s="1056"/>
      <c r="J755" s="1056"/>
      <c r="K755" s="1056"/>
      <c r="L755" s="1056"/>
      <c r="M755" s="274"/>
      <c r="P755" s="264"/>
      <c r="Q755" s="264"/>
      <c r="R755" s="264"/>
      <c r="S755" s="264"/>
      <c r="T755" s="1056"/>
      <c r="U755" s="1056"/>
      <c r="V755" s="1056"/>
      <c r="W755" s="1056"/>
      <c r="X755" s="1056"/>
      <c r="Y755" s="1056"/>
      <c r="Z755" s="1056"/>
      <c r="AA755" s="1056"/>
      <c r="AB755" s="1056"/>
      <c r="AC755" s="1056"/>
      <c r="AD755" s="1056"/>
      <c r="AE755" s="1056"/>
      <c r="AF755" s="264"/>
    </row>
    <row r="756" spans="1:32" s="268" customFormat="1" ht="15" x14ac:dyDescent="0.25">
      <c r="A756" s="264"/>
      <c r="B756" s="264"/>
      <c r="C756" s="1056"/>
      <c r="D756" s="1056"/>
      <c r="E756" s="1056"/>
      <c r="F756" s="1056"/>
      <c r="G756" s="1056"/>
      <c r="H756" s="1056"/>
      <c r="I756" s="1056"/>
      <c r="J756" s="1056"/>
      <c r="K756" s="1056"/>
      <c r="L756" s="1056"/>
      <c r="M756" s="274"/>
      <c r="P756" s="264"/>
      <c r="Q756" s="264"/>
      <c r="R756" s="264"/>
      <c r="S756" s="264"/>
      <c r="T756" s="1056"/>
      <c r="U756" s="1056"/>
      <c r="V756" s="1056"/>
      <c r="W756" s="1056"/>
      <c r="X756" s="1056"/>
      <c r="Y756" s="1056"/>
      <c r="Z756" s="1056"/>
      <c r="AA756" s="1056"/>
      <c r="AB756" s="1056"/>
      <c r="AC756" s="1056"/>
      <c r="AD756" s="1056"/>
      <c r="AE756" s="1056"/>
      <c r="AF756" s="264"/>
    </row>
    <row r="757" spans="1:32" s="268" customFormat="1" ht="15" x14ac:dyDescent="0.25">
      <c r="A757" s="264"/>
      <c r="B757" s="264"/>
      <c r="C757" s="1056"/>
      <c r="D757" s="1056"/>
      <c r="E757" s="1056"/>
      <c r="F757" s="1056"/>
      <c r="G757" s="1056"/>
      <c r="H757" s="1056"/>
      <c r="I757" s="1056"/>
      <c r="J757" s="1056"/>
      <c r="K757" s="1056"/>
      <c r="L757" s="1056"/>
      <c r="M757" s="274"/>
      <c r="P757" s="264"/>
      <c r="Q757" s="264"/>
      <c r="R757" s="264"/>
      <c r="S757" s="264"/>
      <c r="T757" s="1056"/>
      <c r="U757" s="1056"/>
      <c r="V757" s="1056"/>
      <c r="W757" s="1056"/>
      <c r="X757" s="1056"/>
      <c r="Y757" s="1056"/>
      <c r="Z757" s="1056"/>
      <c r="AA757" s="1056"/>
      <c r="AB757" s="1056"/>
      <c r="AC757" s="1056"/>
      <c r="AD757" s="1056"/>
      <c r="AE757" s="1056"/>
      <c r="AF757" s="264"/>
    </row>
    <row r="758" spans="1:32" s="268" customFormat="1" ht="15" x14ac:dyDescent="0.25">
      <c r="A758" s="264"/>
      <c r="B758" s="264"/>
      <c r="C758" s="1056"/>
      <c r="D758" s="1056"/>
      <c r="E758" s="1056"/>
      <c r="F758" s="1056"/>
      <c r="G758" s="1056"/>
      <c r="H758" s="1056"/>
      <c r="I758" s="1056"/>
      <c r="J758" s="1056"/>
      <c r="K758" s="1056"/>
      <c r="L758" s="1056"/>
      <c r="M758" s="274"/>
      <c r="P758" s="264"/>
      <c r="Q758" s="264"/>
      <c r="R758" s="264"/>
      <c r="S758" s="264"/>
      <c r="T758" s="1056"/>
      <c r="U758" s="1056"/>
      <c r="V758" s="1056"/>
      <c r="W758" s="1056"/>
      <c r="X758" s="1056"/>
      <c r="Y758" s="1056"/>
      <c r="Z758" s="1056"/>
      <c r="AA758" s="1056"/>
      <c r="AB758" s="1056"/>
      <c r="AC758" s="1056"/>
      <c r="AD758" s="1056"/>
      <c r="AE758" s="1056"/>
      <c r="AF758" s="264"/>
    </row>
    <row r="759" spans="1:32" s="268" customFormat="1" ht="15" x14ac:dyDescent="0.25">
      <c r="A759" s="264"/>
      <c r="B759" s="264"/>
      <c r="C759" s="1056"/>
      <c r="D759" s="1056"/>
      <c r="E759" s="1056"/>
      <c r="F759" s="1056"/>
      <c r="G759" s="1056"/>
      <c r="H759" s="1056"/>
      <c r="I759" s="1056"/>
      <c r="J759" s="1056"/>
      <c r="K759" s="1056"/>
      <c r="L759" s="1056"/>
      <c r="M759" s="274"/>
      <c r="P759" s="264"/>
      <c r="Q759" s="264"/>
      <c r="R759" s="264"/>
      <c r="S759" s="264"/>
      <c r="T759" s="1056"/>
      <c r="U759" s="1056"/>
      <c r="V759" s="1056"/>
      <c r="W759" s="1056"/>
      <c r="X759" s="1056"/>
      <c r="Y759" s="1056"/>
      <c r="Z759" s="1056"/>
      <c r="AA759" s="1056"/>
      <c r="AB759" s="1056"/>
      <c r="AC759" s="1056"/>
      <c r="AD759" s="1056"/>
      <c r="AE759" s="1056"/>
      <c r="AF759" s="264"/>
    </row>
    <row r="760" spans="1:32" s="268" customFormat="1" ht="15" x14ac:dyDescent="0.25">
      <c r="A760" s="264"/>
      <c r="B760" s="264"/>
      <c r="C760" s="1056"/>
      <c r="D760" s="1056"/>
      <c r="E760" s="1056"/>
      <c r="F760" s="1056"/>
      <c r="G760" s="1056"/>
      <c r="H760" s="1056"/>
      <c r="I760" s="1056"/>
      <c r="J760" s="1056"/>
      <c r="K760" s="1056"/>
      <c r="L760" s="1056"/>
      <c r="M760" s="274"/>
      <c r="P760" s="264"/>
      <c r="Q760" s="264"/>
      <c r="R760" s="264"/>
      <c r="S760" s="264"/>
      <c r="T760" s="1056"/>
      <c r="U760" s="1056"/>
      <c r="V760" s="1056"/>
      <c r="W760" s="1056"/>
      <c r="X760" s="1056"/>
      <c r="Y760" s="1056"/>
      <c r="Z760" s="1056"/>
      <c r="AA760" s="1056"/>
      <c r="AB760" s="1056"/>
      <c r="AC760" s="1056"/>
      <c r="AD760" s="1056"/>
      <c r="AE760" s="1056"/>
      <c r="AF760" s="264"/>
    </row>
    <row r="761" spans="1:32" s="268" customFormat="1" ht="15" x14ac:dyDescent="0.25">
      <c r="A761" s="264"/>
      <c r="B761" s="264"/>
      <c r="C761" s="1056"/>
      <c r="D761" s="1056"/>
      <c r="E761" s="1056"/>
      <c r="F761" s="1056"/>
      <c r="G761" s="1056"/>
      <c r="H761" s="1056"/>
      <c r="I761" s="1056"/>
      <c r="J761" s="1056"/>
      <c r="K761" s="1056"/>
      <c r="L761" s="1056"/>
      <c r="M761" s="274"/>
      <c r="P761" s="264"/>
      <c r="Q761" s="264"/>
      <c r="R761" s="264"/>
      <c r="S761" s="264"/>
      <c r="T761" s="1056"/>
      <c r="U761" s="1056"/>
      <c r="V761" s="1056"/>
      <c r="W761" s="1056"/>
      <c r="X761" s="1056"/>
      <c r="Y761" s="1056"/>
      <c r="Z761" s="1056"/>
      <c r="AA761" s="1056"/>
      <c r="AB761" s="1056"/>
      <c r="AC761" s="1056"/>
      <c r="AD761" s="1056"/>
      <c r="AE761" s="1056"/>
      <c r="AF761" s="264"/>
    </row>
    <row r="762" spans="1:32" s="268" customFormat="1" ht="15" x14ac:dyDescent="0.25">
      <c r="A762" s="264"/>
      <c r="B762" s="264"/>
      <c r="C762" s="1056"/>
      <c r="D762" s="1056"/>
      <c r="E762" s="1056"/>
      <c r="F762" s="1056"/>
      <c r="G762" s="1056"/>
      <c r="H762" s="1056"/>
      <c r="I762" s="1056"/>
      <c r="J762" s="1056"/>
      <c r="K762" s="1056"/>
      <c r="L762" s="1056"/>
      <c r="M762" s="274"/>
      <c r="P762" s="264"/>
      <c r="Q762" s="264"/>
      <c r="R762" s="264"/>
      <c r="S762" s="264"/>
      <c r="T762" s="1056"/>
      <c r="U762" s="1056"/>
      <c r="V762" s="1056"/>
      <c r="W762" s="1056"/>
      <c r="X762" s="1056"/>
      <c r="Y762" s="1056"/>
      <c r="Z762" s="1056"/>
      <c r="AA762" s="1056"/>
      <c r="AB762" s="1056"/>
      <c r="AC762" s="1056"/>
      <c r="AD762" s="1056"/>
      <c r="AE762" s="1056"/>
      <c r="AF762" s="264"/>
    </row>
    <row r="763" spans="1:32" s="268" customFormat="1" ht="15" x14ac:dyDescent="0.25">
      <c r="A763" s="264"/>
      <c r="B763" s="264"/>
      <c r="C763" s="1056"/>
      <c r="D763" s="1056"/>
      <c r="E763" s="1056"/>
      <c r="F763" s="1056"/>
      <c r="G763" s="1056"/>
      <c r="H763" s="1056"/>
      <c r="I763" s="1056"/>
      <c r="J763" s="1056"/>
      <c r="K763" s="1056"/>
      <c r="L763" s="1056"/>
      <c r="M763" s="274"/>
      <c r="P763" s="264"/>
      <c r="Q763" s="264"/>
      <c r="R763" s="264"/>
      <c r="S763" s="264"/>
      <c r="T763" s="1056"/>
      <c r="U763" s="1056"/>
      <c r="V763" s="1056"/>
      <c r="W763" s="1056"/>
      <c r="X763" s="1056"/>
      <c r="Y763" s="1056"/>
      <c r="Z763" s="1056"/>
      <c r="AA763" s="1056"/>
      <c r="AB763" s="1056"/>
      <c r="AC763" s="1056"/>
      <c r="AD763" s="1056"/>
      <c r="AE763" s="1056"/>
      <c r="AF763" s="264"/>
    </row>
    <row r="764" spans="1:32" s="268" customFormat="1" ht="15" x14ac:dyDescent="0.25">
      <c r="A764" s="264"/>
      <c r="B764" s="264"/>
      <c r="C764" s="1056"/>
      <c r="D764" s="1056"/>
      <c r="E764" s="1056"/>
      <c r="F764" s="1056"/>
      <c r="G764" s="1056"/>
      <c r="H764" s="1056"/>
      <c r="I764" s="1056"/>
      <c r="J764" s="1056"/>
      <c r="K764" s="1056"/>
      <c r="L764" s="1056"/>
      <c r="M764" s="274"/>
      <c r="P764" s="264"/>
      <c r="Q764" s="264"/>
      <c r="R764" s="264"/>
      <c r="S764" s="264"/>
      <c r="T764" s="1056"/>
      <c r="U764" s="1056"/>
      <c r="V764" s="1056"/>
      <c r="W764" s="1056"/>
      <c r="X764" s="1056"/>
      <c r="Y764" s="1056"/>
      <c r="Z764" s="1056"/>
      <c r="AA764" s="1056"/>
      <c r="AB764" s="1056"/>
      <c r="AC764" s="1056"/>
      <c r="AD764" s="1056"/>
      <c r="AE764" s="1056"/>
      <c r="AF764" s="264"/>
    </row>
    <row r="765" spans="1:32" s="268" customFormat="1" ht="15" x14ac:dyDescent="0.25">
      <c r="A765" s="264"/>
      <c r="B765" s="264"/>
      <c r="C765" s="1056"/>
      <c r="D765" s="1056"/>
      <c r="E765" s="1056"/>
      <c r="F765" s="1056"/>
      <c r="G765" s="1056"/>
      <c r="H765" s="1056"/>
      <c r="I765" s="1056"/>
      <c r="J765" s="1056"/>
      <c r="K765" s="1056"/>
      <c r="L765" s="1056"/>
      <c r="M765" s="274"/>
      <c r="P765" s="264"/>
      <c r="Q765" s="264"/>
      <c r="R765" s="264"/>
      <c r="S765" s="264"/>
      <c r="T765" s="1056"/>
      <c r="U765" s="1056"/>
      <c r="V765" s="1056"/>
      <c r="W765" s="1056"/>
      <c r="X765" s="1056"/>
      <c r="Y765" s="1056"/>
      <c r="Z765" s="1056"/>
      <c r="AA765" s="1056"/>
      <c r="AB765" s="1056"/>
      <c r="AC765" s="1056"/>
      <c r="AD765" s="1056"/>
      <c r="AE765" s="1056"/>
      <c r="AF765" s="264"/>
    </row>
    <row r="766" spans="1:32" s="268" customFormat="1" ht="15" x14ac:dyDescent="0.25">
      <c r="A766" s="264"/>
      <c r="B766" s="264"/>
      <c r="C766" s="1056"/>
      <c r="D766" s="1056"/>
      <c r="E766" s="1056"/>
      <c r="F766" s="1056"/>
      <c r="G766" s="1056"/>
      <c r="H766" s="1056"/>
      <c r="I766" s="1056"/>
      <c r="J766" s="1056"/>
      <c r="K766" s="1056"/>
      <c r="L766" s="1056"/>
      <c r="M766" s="274"/>
      <c r="P766" s="264"/>
      <c r="Q766" s="264"/>
      <c r="R766" s="264"/>
      <c r="S766" s="264"/>
      <c r="T766" s="1056"/>
      <c r="U766" s="1056"/>
      <c r="V766" s="1056"/>
      <c r="W766" s="1056"/>
      <c r="X766" s="1056"/>
      <c r="Y766" s="1056"/>
      <c r="Z766" s="1056"/>
      <c r="AA766" s="1056"/>
      <c r="AB766" s="1056"/>
      <c r="AC766" s="1056"/>
      <c r="AD766" s="1056"/>
      <c r="AE766" s="1056"/>
      <c r="AF766" s="264"/>
    </row>
    <row r="767" spans="1:32" s="268" customFormat="1" ht="15" x14ac:dyDescent="0.25">
      <c r="A767" s="264"/>
      <c r="B767" s="264"/>
      <c r="C767" s="1056"/>
      <c r="D767" s="1056"/>
      <c r="E767" s="1056"/>
      <c r="F767" s="1056"/>
      <c r="G767" s="1056"/>
      <c r="H767" s="1056"/>
      <c r="I767" s="1056"/>
      <c r="J767" s="1056"/>
      <c r="K767" s="1056"/>
      <c r="L767" s="1056"/>
      <c r="M767" s="274"/>
      <c r="P767" s="264"/>
      <c r="Q767" s="264"/>
      <c r="R767" s="264"/>
      <c r="S767" s="264"/>
      <c r="T767" s="1056"/>
      <c r="U767" s="1056"/>
      <c r="V767" s="1056"/>
      <c r="W767" s="1056"/>
      <c r="X767" s="1056"/>
      <c r="Y767" s="1056"/>
      <c r="Z767" s="1056"/>
      <c r="AA767" s="1056"/>
      <c r="AB767" s="1056"/>
      <c r="AC767" s="1056"/>
      <c r="AD767" s="1056"/>
      <c r="AE767" s="1056"/>
      <c r="AF767" s="264"/>
    </row>
    <row r="768" spans="1:32" s="268" customFormat="1" ht="15" x14ac:dyDescent="0.25">
      <c r="A768" s="264"/>
      <c r="B768" s="264"/>
      <c r="C768" s="1056"/>
      <c r="D768" s="1056"/>
      <c r="E768" s="1056"/>
      <c r="F768" s="1056"/>
      <c r="G768" s="1056"/>
      <c r="H768" s="1056"/>
      <c r="I768" s="1056"/>
      <c r="J768" s="1056"/>
      <c r="K768" s="1056"/>
      <c r="L768" s="1056"/>
      <c r="M768" s="274"/>
      <c r="P768" s="264"/>
      <c r="Q768" s="264"/>
      <c r="R768" s="264"/>
      <c r="S768" s="264"/>
      <c r="T768" s="1056"/>
      <c r="U768" s="1056"/>
      <c r="V768" s="1056"/>
      <c r="W768" s="1056"/>
      <c r="X768" s="1056"/>
      <c r="Y768" s="1056"/>
      <c r="Z768" s="1056"/>
      <c r="AA768" s="1056"/>
      <c r="AB768" s="1056"/>
      <c r="AC768" s="1056"/>
      <c r="AD768" s="1056"/>
      <c r="AE768" s="1056"/>
      <c r="AF768" s="264"/>
    </row>
    <row r="769" spans="1:32" s="268" customFormat="1" ht="15" x14ac:dyDescent="0.25">
      <c r="A769" s="264"/>
      <c r="B769" s="264"/>
      <c r="C769" s="1056"/>
      <c r="D769" s="1056"/>
      <c r="E769" s="1056"/>
      <c r="F769" s="1056"/>
      <c r="G769" s="1056"/>
      <c r="H769" s="1056"/>
      <c r="I769" s="1056"/>
      <c r="J769" s="1056"/>
      <c r="K769" s="1056"/>
      <c r="L769" s="1056"/>
      <c r="M769" s="274"/>
      <c r="P769" s="264"/>
      <c r="Q769" s="264"/>
      <c r="R769" s="264"/>
      <c r="S769" s="264"/>
      <c r="T769" s="1056"/>
      <c r="U769" s="1056"/>
      <c r="V769" s="1056"/>
      <c r="W769" s="1056"/>
      <c r="X769" s="1056"/>
      <c r="Y769" s="1056"/>
      <c r="Z769" s="1056"/>
      <c r="AA769" s="1056"/>
      <c r="AB769" s="1056"/>
      <c r="AC769" s="1056"/>
      <c r="AD769" s="1056"/>
      <c r="AE769" s="1056"/>
      <c r="AF769" s="264"/>
    </row>
    <row r="770" spans="1:32" s="268" customFormat="1" ht="15" x14ac:dyDescent="0.25">
      <c r="A770" s="264"/>
      <c r="B770" s="264"/>
      <c r="C770" s="1056"/>
      <c r="D770" s="1056"/>
      <c r="E770" s="1056"/>
      <c r="F770" s="1056"/>
      <c r="G770" s="1056"/>
      <c r="H770" s="1056"/>
      <c r="I770" s="1056"/>
      <c r="J770" s="1056"/>
      <c r="K770" s="1056"/>
      <c r="L770" s="1056"/>
      <c r="M770" s="274"/>
      <c r="P770" s="264"/>
      <c r="Q770" s="264"/>
      <c r="R770" s="264"/>
      <c r="S770" s="264"/>
      <c r="T770" s="1056"/>
      <c r="U770" s="1056"/>
      <c r="V770" s="1056"/>
      <c r="W770" s="1056"/>
      <c r="X770" s="1056"/>
      <c r="Y770" s="1056"/>
      <c r="Z770" s="1056"/>
      <c r="AA770" s="1056"/>
      <c r="AB770" s="1056"/>
      <c r="AC770" s="1056"/>
      <c r="AD770" s="1056"/>
      <c r="AE770" s="1056"/>
      <c r="AF770" s="264"/>
    </row>
    <row r="771" spans="1:32" s="268" customFormat="1" ht="15" x14ac:dyDescent="0.25">
      <c r="A771" s="264"/>
      <c r="B771" s="264"/>
      <c r="C771" s="1056"/>
      <c r="D771" s="1056"/>
      <c r="E771" s="1056"/>
      <c r="F771" s="1056"/>
      <c r="G771" s="1056"/>
      <c r="H771" s="1056"/>
      <c r="I771" s="1056"/>
      <c r="J771" s="1056"/>
      <c r="K771" s="1056"/>
      <c r="L771" s="1056"/>
      <c r="M771" s="274"/>
      <c r="P771" s="264"/>
      <c r="Q771" s="264"/>
      <c r="R771" s="264"/>
      <c r="S771" s="264"/>
      <c r="T771" s="1056"/>
      <c r="U771" s="1056"/>
      <c r="V771" s="1056"/>
      <c r="W771" s="1056"/>
      <c r="X771" s="1056"/>
      <c r="Y771" s="1056"/>
      <c r="Z771" s="1056"/>
      <c r="AA771" s="1056"/>
      <c r="AB771" s="1056"/>
      <c r="AC771" s="1056"/>
      <c r="AD771" s="1056"/>
      <c r="AE771" s="1056"/>
      <c r="AF771" s="264"/>
    </row>
    <row r="772" spans="1:32" s="268" customFormat="1" ht="15" x14ac:dyDescent="0.25">
      <c r="A772" s="264"/>
      <c r="B772" s="264"/>
      <c r="C772" s="1056"/>
      <c r="D772" s="1056"/>
      <c r="E772" s="1056"/>
      <c r="F772" s="1056"/>
      <c r="G772" s="1056"/>
      <c r="H772" s="1056"/>
      <c r="I772" s="1056"/>
      <c r="J772" s="1056"/>
      <c r="K772" s="1056"/>
      <c r="L772" s="1056"/>
      <c r="M772" s="274"/>
      <c r="P772" s="264"/>
      <c r="Q772" s="264"/>
      <c r="R772" s="264"/>
      <c r="S772" s="264"/>
      <c r="T772" s="1056"/>
      <c r="U772" s="1056"/>
      <c r="V772" s="1056"/>
      <c r="W772" s="1056"/>
      <c r="X772" s="1056"/>
      <c r="Y772" s="1056"/>
      <c r="Z772" s="1056"/>
      <c r="AA772" s="1056"/>
      <c r="AB772" s="1056"/>
      <c r="AC772" s="1056"/>
      <c r="AD772" s="1056"/>
      <c r="AE772" s="1056"/>
      <c r="AF772" s="264"/>
    </row>
    <row r="773" spans="1:32" s="268" customFormat="1" ht="15" x14ac:dyDescent="0.25">
      <c r="A773" s="264"/>
      <c r="B773" s="264"/>
      <c r="C773" s="1056"/>
      <c r="D773" s="1056"/>
      <c r="E773" s="1056"/>
      <c r="F773" s="1056"/>
      <c r="G773" s="1056"/>
      <c r="H773" s="1056"/>
      <c r="I773" s="1056"/>
      <c r="J773" s="1056"/>
      <c r="K773" s="1056"/>
      <c r="L773" s="1056"/>
      <c r="M773" s="274"/>
      <c r="P773" s="264"/>
      <c r="Q773" s="264"/>
      <c r="R773" s="264"/>
      <c r="S773" s="264"/>
      <c r="T773" s="1056"/>
      <c r="U773" s="1056"/>
      <c r="V773" s="1056"/>
      <c r="W773" s="1056"/>
      <c r="X773" s="1056"/>
      <c r="Y773" s="1056"/>
      <c r="Z773" s="1056"/>
      <c r="AA773" s="1056"/>
      <c r="AB773" s="1056"/>
      <c r="AC773" s="1056"/>
      <c r="AD773" s="1056"/>
      <c r="AE773" s="1056"/>
      <c r="AF773" s="264"/>
    </row>
    <row r="774" spans="1:32" s="268" customFormat="1" ht="15" x14ac:dyDescent="0.25">
      <c r="A774" s="264"/>
      <c r="B774" s="264"/>
      <c r="C774" s="1056"/>
      <c r="D774" s="1056"/>
      <c r="E774" s="1056"/>
      <c r="F774" s="1056"/>
      <c r="G774" s="1056"/>
      <c r="H774" s="1056"/>
      <c r="I774" s="1056"/>
      <c r="J774" s="1056"/>
      <c r="K774" s="1056"/>
      <c r="L774" s="1056"/>
      <c r="M774" s="274"/>
      <c r="P774" s="264"/>
      <c r="Q774" s="264"/>
      <c r="R774" s="264"/>
      <c r="S774" s="264"/>
      <c r="T774" s="1056"/>
      <c r="U774" s="1056"/>
      <c r="V774" s="1056"/>
      <c r="W774" s="1056"/>
      <c r="X774" s="1056"/>
      <c r="Y774" s="1056"/>
      <c r="Z774" s="1056"/>
      <c r="AA774" s="1056"/>
      <c r="AB774" s="1056"/>
      <c r="AC774" s="1056"/>
      <c r="AD774" s="1056"/>
      <c r="AE774" s="1056"/>
      <c r="AF774" s="264"/>
    </row>
    <row r="775" spans="1:32" s="268" customFormat="1" ht="15" x14ac:dyDescent="0.25">
      <c r="A775" s="264"/>
      <c r="B775" s="264"/>
      <c r="C775" s="1056"/>
      <c r="D775" s="1056"/>
      <c r="E775" s="1056"/>
      <c r="F775" s="1056"/>
      <c r="G775" s="1056"/>
      <c r="H775" s="1056"/>
      <c r="I775" s="1056"/>
      <c r="J775" s="1056"/>
      <c r="K775" s="1056"/>
      <c r="L775" s="1056"/>
      <c r="M775" s="274"/>
      <c r="P775" s="264"/>
      <c r="Q775" s="264"/>
      <c r="R775" s="264"/>
      <c r="S775" s="264"/>
      <c r="T775" s="1056"/>
      <c r="U775" s="1056"/>
      <c r="V775" s="1056"/>
      <c r="W775" s="1056"/>
      <c r="X775" s="1056"/>
      <c r="Y775" s="1056"/>
      <c r="Z775" s="1056"/>
      <c r="AA775" s="1056"/>
      <c r="AB775" s="1056"/>
      <c r="AC775" s="1056"/>
      <c r="AD775" s="1056"/>
      <c r="AE775" s="1056"/>
      <c r="AF775" s="264"/>
    </row>
    <row r="776" spans="1:32" s="268" customFormat="1" ht="15" x14ac:dyDescent="0.25">
      <c r="A776" s="264"/>
      <c r="B776" s="264"/>
      <c r="C776" s="1056"/>
      <c r="D776" s="1056"/>
      <c r="E776" s="1056"/>
      <c r="F776" s="1056"/>
      <c r="G776" s="1056"/>
      <c r="H776" s="1056"/>
      <c r="I776" s="1056"/>
      <c r="J776" s="1056"/>
      <c r="K776" s="1056"/>
      <c r="L776" s="1056"/>
      <c r="M776" s="274"/>
      <c r="P776" s="264"/>
      <c r="Q776" s="264"/>
      <c r="R776" s="264"/>
      <c r="S776" s="264"/>
      <c r="T776" s="1056"/>
      <c r="U776" s="1056"/>
      <c r="V776" s="1056"/>
      <c r="W776" s="1056"/>
      <c r="X776" s="1056"/>
      <c r="Y776" s="1056"/>
      <c r="Z776" s="1056"/>
      <c r="AA776" s="1056"/>
      <c r="AB776" s="1056"/>
      <c r="AC776" s="1056"/>
      <c r="AD776" s="1056"/>
      <c r="AE776" s="1056"/>
      <c r="AF776" s="264"/>
    </row>
    <row r="777" spans="1:32" s="268" customFormat="1" ht="15" x14ac:dyDescent="0.25">
      <c r="A777" s="264"/>
      <c r="B777" s="264"/>
      <c r="C777" s="1056"/>
      <c r="D777" s="1056"/>
      <c r="E777" s="1056"/>
      <c r="F777" s="1056"/>
      <c r="G777" s="1056"/>
      <c r="H777" s="1056"/>
      <c r="I777" s="1056"/>
      <c r="J777" s="1056"/>
      <c r="K777" s="1056"/>
      <c r="L777" s="1056"/>
      <c r="M777" s="274"/>
      <c r="P777" s="264"/>
      <c r="Q777" s="264"/>
      <c r="R777" s="264"/>
      <c r="S777" s="264"/>
      <c r="T777" s="1056"/>
      <c r="U777" s="1056"/>
      <c r="V777" s="1056"/>
      <c r="W777" s="1056"/>
      <c r="X777" s="1056"/>
      <c r="Y777" s="1056"/>
      <c r="Z777" s="1056"/>
      <c r="AA777" s="1056"/>
      <c r="AB777" s="1056"/>
      <c r="AC777" s="1056"/>
      <c r="AD777" s="1056"/>
      <c r="AE777" s="1056"/>
      <c r="AF777" s="264"/>
    </row>
    <row r="778" spans="1:32" s="268" customFormat="1" ht="15" x14ac:dyDescent="0.25">
      <c r="A778" s="264"/>
      <c r="B778" s="264"/>
      <c r="C778" s="1056"/>
      <c r="D778" s="1056"/>
      <c r="E778" s="1056"/>
      <c r="F778" s="1056"/>
      <c r="G778" s="1056"/>
      <c r="H778" s="1056"/>
      <c r="I778" s="1056"/>
      <c r="J778" s="1056"/>
      <c r="K778" s="1056"/>
      <c r="L778" s="1056"/>
      <c r="M778" s="274"/>
      <c r="P778" s="264"/>
      <c r="Q778" s="264"/>
      <c r="R778" s="264"/>
      <c r="S778" s="264"/>
      <c r="T778" s="1056"/>
      <c r="U778" s="1056"/>
      <c r="V778" s="1056"/>
      <c r="W778" s="1056"/>
      <c r="X778" s="1056"/>
      <c r="Y778" s="1056"/>
      <c r="Z778" s="1056"/>
      <c r="AA778" s="1056"/>
      <c r="AB778" s="1056"/>
      <c r="AC778" s="1056"/>
      <c r="AD778" s="1056"/>
      <c r="AE778" s="1056"/>
      <c r="AF778" s="264"/>
    </row>
    <row r="779" spans="1:32" s="268" customFormat="1" ht="15" x14ac:dyDescent="0.25">
      <c r="A779" s="264"/>
      <c r="B779" s="264"/>
      <c r="C779" s="1056"/>
      <c r="D779" s="1056"/>
      <c r="E779" s="1056"/>
      <c r="F779" s="1056"/>
      <c r="G779" s="1056"/>
      <c r="H779" s="1056"/>
      <c r="I779" s="1056"/>
      <c r="J779" s="1056"/>
      <c r="K779" s="1056"/>
      <c r="L779" s="1056"/>
      <c r="M779" s="274"/>
      <c r="P779" s="264"/>
      <c r="Q779" s="264"/>
      <c r="R779" s="264"/>
      <c r="S779" s="264"/>
      <c r="T779" s="1056"/>
      <c r="U779" s="1056"/>
      <c r="V779" s="1056"/>
      <c r="W779" s="1056"/>
      <c r="X779" s="1056"/>
      <c r="Y779" s="1056"/>
      <c r="Z779" s="1056"/>
      <c r="AA779" s="1056"/>
      <c r="AB779" s="1056"/>
      <c r="AC779" s="1056"/>
      <c r="AD779" s="1056"/>
      <c r="AE779" s="1056"/>
      <c r="AF779" s="264"/>
    </row>
    <row r="780" spans="1:32" s="268" customFormat="1" ht="15" x14ac:dyDescent="0.25">
      <c r="A780" s="264"/>
      <c r="B780" s="264"/>
      <c r="C780" s="1056"/>
      <c r="D780" s="1056"/>
      <c r="E780" s="1056"/>
      <c r="F780" s="1056"/>
      <c r="G780" s="1056"/>
      <c r="H780" s="1056"/>
      <c r="I780" s="1056"/>
      <c r="J780" s="1056"/>
      <c r="K780" s="1056"/>
      <c r="L780" s="1056"/>
      <c r="M780" s="274"/>
      <c r="P780" s="264"/>
      <c r="Q780" s="264"/>
      <c r="R780" s="264"/>
      <c r="S780" s="264"/>
      <c r="T780" s="1056"/>
      <c r="U780" s="1056"/>
      <c r="V780" s="1056"/>
      <c r="W780" s="1056"/>
      <c r="X780" s="1056"/>
      <c r="Y780" s="1056"/>
      <c r="Z780" s="1056"/>
      <c r="AA780" s="1056"/>
      <c r="AB780" s="1056"/>
      <c r="AC780" s="1056"/>
      <c r="AD780" s="1056"/>
      <c r="AE780" s="1056"/>
      <c r="AF780" s="264"/>
    </row>
    <row r="781" spans="1:32" s="268" customFormat="1" ht="15" x14ac:dyDescent="0.25">
      <c r="A781" s="264"/>
      <c r="B781" s="264"/>
      <c r="C781" s="1056"/>
      <c r="D781" s="1056"/>
      <c r="E781" s="1056"/>
      <c r="F781" s="1056"/>
      <c r="G781" s="1056"/>
      <c r="H781" s="1056"/>
      <c r="I781" s="1056"/>
      <c r="J781" s="1056"/>
      <c r="K781" s="1056"/>
      <c r="L781" s="1056"/>
      <c r="M781" s="274"/>
      <c r="P781" s="264"/>
      <c r="Q781" s="264"/>
      <c r="R781" s="264"/>
      <c r="S781" s="264"/>
      <c r="T781" s="1056"/>
      <c r="U781" s="1056"/>
      <c r="V781" s="1056"/>
      <c r="W781" s="1056"/>
      <c r="X781" s="1056"/>
      <c r="Y781" s="1056"/>
      <c r="Z781" s="1056"/>
      <c r="AA781" s="1056"/>
      <c r="AB781" s="1056"/>
      <c r="AC781" s="1056"/>
      <c r="AD781" s="1056"/>
      <c r="AE781" s="1056"/>
      <c r="AF781" s="264"/>
    </row>
    <row r="782" spans="1:32" s="268" customFormat="1" ht="15" x14ac:dyDescent="0.25">
      <c r="A782" s="264"/>
      <c r="B782" s="264"/>
      <c r="C782" s="1056"/>
      <c r="D782" s="1056"/>
      <c r="E782" s="1056"/>
      <c r="F782" s="1056"/>
      <c r="G782" s="1056"/>
      <c r="H782" s="1056"/>
      <c r="I782" s="1056"/>
      <c r="J782" s="1056"/>
      <c r="K782" s="1056"/>
      <c r="L782" s="1056"/>
      <c r="M782" s="274"/>
      <c r="P782" s="264"/>
      <c r="Q782" s="264"/>
      <c r="R782" s="264"/>
      <c r="S782" s="264"/>
      <c r="T782" s="1056"/>
      <c r="U782" s="1056"/>
      <c r="V782" s="1056"/>
      <c r="W782" s="1056"/>
      <c r="X782" s="1056"/>
      <c r="Y782" s="1056"/>
      <c r="Z782" s="1056"/>
      <c r="AA782" s="1056"/>
      <c r="AB782" s="1056"/>
      <c r="AC782" s="1056"/>
      <c r="AD782" s="1056"/>
      <c r="AE782" s="1056"/>
      <c r="AF782" s="264"/>
    </row>
    <row r="783" spans="1:32" s="268" customFormat="1" ht="15" x14ac:dyDescent="0.25">
      <c r="A783" s="264"/>
      <c r="B783" s="264"/>
      <c r="C783" s="1056"/>
      <c r="D783" s="1056"/>
      <c r="E783" s="1056"/>
      <c r="F783" s="1056"/>
      <c r="G783" s="1056"/>
      <c r="H783" s="1056"/>
      <c r="I783" s="1056"/>
      <c r="J783" s="1056"/>
      <c r="K783" s="1056"/>
      <c r="L783" s="1056"/>
      <c r="M783" s="274"/>
      <c r="P783" s="264"/>
      <c r="Q783" s="264"/>
      <c r="R783" s="264"/>
      <c r="S783" s="264"/>
      <c r="T783" s="1056"/>
      <c r="U783" s="1056"/>
      <c r="V783" s="1056"/>
      <c r="W783" s="1056"/>
      <c r="X783" s="1056"/>
      <c r="Y783" s="1056"/>
      <c r="Z783" s="1056"/>
      <c r="AA783" s="1056"/>
      <c r="AB783" s="1056"/>
      <c r="AC783" s="1056"/>
      <c r="AD783" s="1056"/>
      <c r="AE783" s="1056"/>
      <c r="AF783" s="264"/>
    </row>
    <row r="784" spans="1:32" s="268" customFormat="1" ht="15" x14ac:dyDescent="0.25">
      <c r="A784" s="264"/>
      <c r="B784" s="264"/>
      <c r="C784" s="1056"/>
      <c r="D784" s="1056"/>
      <c r="E784" s="1056"/>
      <c r="F784" s="1056"/>
      <c r="G784" s="1056"/>
      <c r="H784" s="1056"/>
      <c r="I784" s="1056"/>
      <c r="J784" s="1056"/>
      <c r="K784" s="1056"/>
      <c r="L784" s="1056"/>
      <c r="M784" s="274"/>
      <c r="P784" s="264"/>
      <c r="Q784" s="264"/>
      <c r="R784" s="264"/>
      <c r="S784" s="264"/>
      <c r="T784" s="1056"/>
      <c r="U784" s="1056"/>
      <c r="V784" s="1056"/>
      <c r="W784" s="1056"/>
      <c r="X784" s="1056"/>
      <c r="Y784" s="1056"/>
      <c r="Z784" s="1056"/>
      <c r="AA784" s="1056"/>
      <c r="AB784" s="1056"/>
      <c r="AC784" s="1056"/>
      <c r="AD784" s="1056"/>
      <c r="AE784" s="1056"/>
      <c r="AF784" s="264"/>
    </row>
    <row r="785" spans="1:32" s="268" customFormat="1" ht="15" x14ac:dyDescent="0.25">
      <c r="A785" s="264"/>
      <c r="B785" s="264"/>
      <c r="C785" s="1056"/>
      <c r="D785" s="1056"/>
      <c r="E785" s="1056"/>
      <c r="F785" s="1056"/>
      <c r="G785" s="1056"/>
      <c r="H785" s="1056"/>
      <c r="I785" s="1056"/>
      <c r="J785" s="1056"/>
      <c r="K785" s="1056"/>
      <c r="L785" s="1056"/>
      <c r="M785" s="274"/>
      <c r="P785" s="264"/>
      <c r="Q785" s="264"/>
      <c r="R785" s="264"/>
      <c r="S785" s="264"/>
      <c r="T785" s="1056"/>
      <c r="U785" s="1056"/>
      <c r="V785" s="1056"/>
      <c r="W785" s="1056"/>
      <c r="X785" s="1056"/>
      <c r="Y785" s="1056"/>
      <c r="Z785" s="1056"/>
      <c r="AA785" s="1056"/>
      <c r="AB785" s="1056"/>
      <c r="AC785" s="1056"/>
      <c r="AD785" s="1056"/>
      <c r="AE785" s="1056"/>
      <c r="AF785" s="264"/>
    </row>
    <row r="786" spans="1:32" s="268" customFormat="1" ht="15" x14ac:dyDescent="0.25">
      <c r="A786" s="264"/>
      <c r="B786" s="264"/>
      <c r="C786" s="1056"/>
      <c r="D786" s="1056"/>
      <c r="E786" s="1056"/>
      <c r="F786" s="1056"/>
      <c r="G786" s="1056"/>
      <c r="H786" s="1056"/>
      <c r="I786" s="1056"/>
      <c r="J786" s="1056"/>
      <c r="K786" s="1056"/>
      <c r="L786" s="1056"/>
      <c r="M786" s="274"/>
      <c r="P786" s="264"/>
      <c r="Q786" s="264"/>
      <c r="R786" s="264"/>
      <c r="S786" s="264"/>
      <c r="T786" s="1056"/>
      <c r="U786" s="1056"/>
      <c r="V786" s="1056"/>
      <c r="W786" s="1056"/>
      <c r="X786" s="1056"/>
      <c r="Y786" s="1056"/>
      <c r="Z786" s="1056"/>
      <c r="AA786" s="1056"/>
      <c r="AB786" s="1056"/>
      <c r="AC786" s="1056"/>
      <c r="AD786" s="1056"/>
      <c r="AE786" s="1056"/>
      <c r="AF786" s="264"/>
    </row>
    <row r="787" spans="1:32" s="268" customFormat="1" ht="15" x14ac:dyDescent="0.25">
      <c r="A787" s="264"/>
      <c r="B787" s="264"/>
      <c r="C787" s="1056"/>
      <c r="D787" s="1056"/>
      <c r="E787" s="1056"/>
      <c r="F787" s="1056"/>
      <c r="G787" s="1056"/>
      <c r="H787" s="1056"/>
      <c r="I787" s="1056"/>
      <c r="J787" s="1056"/>
      <c r="K787" s="1056"/>
      <c r="L787" s="1056"/>
      <c r="M787" s="274"/>
      <c r="P787" s="264"/>
      <c r="Q787" s="264"/>
      <c r="R787" s="264"/>
      <c r="S787" s="264"/>
      <c r="T787" s="1056"/>
      <c r="U787" s="1056"/>
      <c r="V787" s="1056"/>
      <c r="W787" s="1056"/>
      <c r="X787" s="1056"/>
      <c r="Y787" s="1056"/>
      <c r="Z787" s="1056"/>
      <c r="AA787" s="1056"/>
      <c r="AB787" s="1056"/>
      <c r="AC787" s="1056"/>
      <c r="AD787" s="1056"/>
      <c r="AE787" s="1056"/>
      <c r="AF787" s="264"/>
    </row>
    <row r="788" spans="1:32" s="268" customFormat="1" ht="15" x14ac:dyDescent="0.25">
      <c r="A788" s="264"/>
      <c r="B788" s="264"/>
      <c r="C788" s="1056"/>
      <c r="D788" s="1056"/>
      <c r="E788" s="1056"/>
      <c r="F788" s="1056"/>
      <c r="G788" s="1056"/>
      <c r="H788" s="1056"/>
      <c r="I788" s="1056"/>
      <c r="J788" s="1056"/>
      <c r="K788" s="1056"/>
      <c r="L788" s="1056"/>
      <c r="M788" s="274"/>
      <c r="P788" s="264"/>
      <c r="Q788" s="264"/>
      <c r="R788" s="264"/>
      <c r="S788" s="264"/>
      <c r="T788" s="1056"/>
      <c r="U788" s="1056"/>
      <c r="V788" s="1056"/>
      <c r="W788" s="1056"/>
      <c r="X788" s="1056"/>
      <c r="Y788" s="1056"/>
      <c r="Z788" s="1056"/>
      <c r="AA788" s="1056"/>
      <c r="AB788" s="1056"/>
      <c r="AC788" s="1056"/>
      <c r="AD788" s="1056"/>
      <c r="AE788" s="1056"/>
      <c r="AF788" s="264"/>
    </row>
    <row r="789" spans="1:32" s="268" customFormat="1" ht="15" x14ac:dyDescent="0.25">
      <c r="A789" s="264"/>
      <c r="B789" s="264"/>
      <c r="C789" s="1056"/>
      <c r="D789" s="1056"/>
      <c r="E789" s="1056"/>
      <c r="F789" s="1056"/>
      <c r="G789" s="1056"/>
      <c r="H789" s="1056"/>
      <c r="I789" s="1056"/>
      <c r="J789" s="1056"/>
      <c r="K789" s="1056"/>
      <c r="L789" s="1056"/>
      <c r="M789" s="274"/>
      <c r="P789" s="264"/>
      <c r="Q789" s="264"/>
      <c r="R789" s="264"/>
      <c r="S789" s="264"/>
      <c r="T789" s="1056"/>
      <c r="U789" s="1056"/>
      <c r="V789" s="1056"/>
      <c r="W789" s="1056"/>
      <c r="X789" s="1056"/>
      <c r="Y789" s="1056"/>
      <c r="Z789" s="1056"/>
      <c r="AA789" s="1056"/>
      <c r="AB789" s="1056"/>
      <c r="AC789" s="1056"/>
      <c r="AD789" s="1056"/>
      <c r="AE789" s="1056"/>
      <c r="AF789" s="264"/>
    </row>
    <row r="790" spans="1:32" s="268" customFormat="1" ht="15" x14ac:dyDescent="0.25">
      <c r="A790" s="264"/>
      <c r="B790" s="264"/>
      <c r="C790" s="1056"/>
      <c r="D790" s="1056"/>
      <c r="E790" s="1056"/>
      <c r="F790" s="1056"/>
      <c r="G790" s="1056"/>
      <c r="H790" s="1056"/>
      <c r="I790" s="1056"/>
      <c r="J790" s="1056"/>
      <c r="K790" s="1056"/>
      <c r="L790" s="1056"/>
      <c r="M790" s="274"/>
      <c r="P790" s="264"/>
      <c r="Q790" s="264"/>
      <c r="R790" s="264"/>
      <c r="S790" s="264"/>
      <c r="T790" s="1056"/>
      <c r="U790" s="1056"/>
      <c r="V790" s="1056"/>
      <c r="W790" s="1056"/>
      <c r="X790" s="1056"/>
      <c r="Y790" s="1056"/>
      <c r="Z790" s="1056"/>
      <c r="AA790" s="1056"/>
      <c r="AB790" s="1056"/>
      <c r="AC790" s="1056"/>
      <c r="AD790" s="1056"/>
      <c r="AE790" s="1056"/>
      <c r="AF790" s="264"/>
    </row>
    <row r="791" spans="1:32" s="268" customFormat="1" ht="15" x14ac:dyDescent="0.25">
      <c r="A791" s="264"/>
      <c r="B791" s="264"/>
      <c r="C791" s="1056"/>
      <c r="D791" s="1056"/>
      <c r="E791" s="1056"/>
      <c r="F791" s="1056"/>
      <c r="G791" s="1056"/>
      <c r="H791" s="1056"/>
      <c r="I791" s="1056"/>
      <c r="J791" s="1056"/>
      <c r="K791" s="1056"/>
      <c r="L791" s="1056"/>
      <c r="M791" s="274"/>
      <c r="P791" s="264"/>
      <c r="Q791" s="264"/>
      <c r="R791" s="264"/>
      <c r="S791" s="264"/>
      <c r="T791" s="1056"/>
      <c r="U791" s="1056"/>
      <c r="V791" s="1056"/>
      <c r="W791" s="1056"/>
      <c r="X791" s="1056"/>
      <c r="Y791" s="1056"/>
      <c r="Z791" s="1056"/>
      <c r="AA791" s="1056"/>
      <c r="AB791" s="1056"/>
      <c r="AC791" s="1056"/>
      <c r="AD791" s="1056"/>
      <c r="AE791" s="1056"/>
      <c r="AF791" s="264"/>
    </row>
    <row r="792" spans="1:32" s="268" customFormat="1" ht="15" x14ac:dyDescent="0.25">
      <c r="A792" s="264"/>
      <c r="B792" s="264"/>
      <c r="C792" s="1056"/>
      <c r="D792" s="1056"/>
      <c r="E792" s="1056"/>
      <c r="F792" s="1056"/>
      <c r="G792" s="1056"/>
      <c r="H792" s="1056"/>
      <c r="I792" s="1056"/>
      <c r="J792" s="1056"/>
      <c r="K792" s="1056"/>
      <c r="L792" s="1056"/>
      <c r="M792" s="274"/>
      <c r="P792" s="264"/>
      <c r="Q792" s="264"/>
      <c r="R792" s="264"/>
      <c r="S792" s="264"/>
      <c r="T792" s="1056"/>
      <c r="U792" s="1056"/>
      <c r="V792" s="1056"/>
      <c r="W792" s="1056"/>
      <c r="X792" s="1056"/>
      <c r="Y792" s="1056"/>
      <c r="Z792" s="1056"/>
      <c r="AA792" s="1056"/>
      <c r="AB792" s="1056"/>
      <c r="AC792" s="1056"/>
      <c r="AD792" s="1056"/>
      <c r="AE792" s="1056"/>
      <c r="AF792" s="264"/>
    </row>
    <row r="793" spans="1:32" s="268" customFormat="1" ht="15" x14ac:dyDescent="0.25">
      <c r="A793" s="264"/>
      <c r="B793" s="264"/>
      <c r="C793" s="1056"/>
      <c r="D793" s="1056"/>
      <c r="E793" s="1056"/>
      <c r="F793" s="1056"/>
      <c r="G793" s="1056"/>
      <c r="H793" s="1056"/>
      <c r="I793" s="1056"/>
      <c r="J793" s="1056"/>
      <c r="K793" s="1056"/>
      <c r="L793" s="1056"/>
      <c r="M793" s="274"/>
      <c r="P793" s="264"/>
      <c r="Q793" s="264"/>
      <c r="R793" s="264"/>
      <c r="S793" s="264"/>
      <c r="T793" s="1056"/>
      <c r="U793" s="1056"/>
      <c r="V793" s="1056"/>
      <c r="W793" s="1056"/>
      <c r="X793" s="1056"/>
      <c r="Y793" s="1056"/>
      <c r="Z793" s="1056"/>
      <c r="AA793" s="1056"/>
      <c r="AB793" s="1056"/>
      <c r="AC793" s="1056"/>
      <c r="AD793" s="1056"/>
      <c r="AE793" s="1056"/>
      <c r="AF793" s="264"/>
    </row>
    <row r="794" spans="1:32" s="268" customFormat="1" ht="15" x14ac:dyDescent="0.25">
      <c r="A794" s="264"/>
      <c r="B794" s="264"/>
      <c r="C794" s="1056"/>
      <c r="D794" s="1056"/>
      <c r="E794" s="1056"/>
      <c r="F794" s="1056"/>
      <c r="G794" s="1056"/>
      <c r="H794" s="1056"/>
      <c r="I794" s="1056"/>
      <c r="J794" s="1056"/>
      <c r="K794" s="1056"/>
      <c r="L794" s="1056"/>
      <c r="M794" s="274"/>
      <c r="P794" s="264"/>
      <c r="Q794" s="264"/>
      <c r="R794" s="264"/>
      <c r="S794" s="264"/>
      <c r="T794" s="1056"/>
      <c r="U794" s="1056"/>
      <c r="V794" s="1056"/>
      <c r="W794" s="1056"/>
      <c r="X794" s="1056"/>
      <c r="Y794" s="1056"/>
      <c r="Z794" s="1056"/>
      <c r="AA794" s="1056"/>
      <c r="AB794" s="1056"/>
      <c r="AC794" s="1056"/>
      <c r="AD794" s="1056"/>
      <c r="AE794" s="1056"/>
      <c r="AF794" s="264"/>
    </row>
    <row r="795" spans="1:32" s="268" customFormat="1" ht="15" x14ac:dyDescent="0.25">
      <c r="A795" s="264"/>
      <c r="B795" s="264"/>
      <c r="C795" s="1056"/>
      <c r="D795" s="1056"/>
      <c r="E795" s="1056"/>
      <c r="F795" s="1056"/>
      <c r="G795" s="1056"/>
      <c r="H795" s="1056"/>
      <c r="I795" s="1056"/>
      <c r="J795" s="1056"/>
      <c r="K795" s="1056"/>
      <c r="L795" s="1056"/>
      <c r="M795" s="274"/>
      <c r="P795" s="264"/>
      <c r="Q795" s="264"/>
      <c r="R795" s="264"/>
      <c r="S795" s="264"/>
      <c r="T795" s="1056"/>
      <c r="U795" s="1056"/>
      <c r="V795" s="1056"/>
      <c r="W795" s="1056"/>
      <c r="X795" s="1056"/>
      <c r="Y795" s="1056"/>
      <c r="Z795" s="1056"/>
      <c r="AA795" s="1056"/>
      <c r="AB795" s="1056"/>
      <c r="AC795" s="1056"/>
      <c r="AD795" s="1056"/>
      <c r="AE795" s="1056"/>
      <c r="AF795" s="264"/>
    </row>
    <row r="796" spans="1:32" s="268" customFormat="1" ht="15" x14ac:dyDescent="0.25">
      <c r="A796" s="264"/>
      <c r="B796" s="264"/>
      <c r="C796" s="1056"/>
      <c r="D796" s="1056"/>
      <c r="E796" s="1056"/>
      <c r="F796" s="1056"/>
      <c r="G796" s="1056"/>
      <c r="H796" s="1056"/>
      <c r="I796" s="1056"/>
      <c r="J796" s="1056"/>
      <c r="K796" s="1056"/>
      <c r="L796" s="1056"/>
      <c r="M796" s="274"/>
      <c r="P796" s="264"/>
      <c r="Q796" s="264"/>
      <c r="R796" s="264"/>
      <c r="S796" s="264"/>
      <c r="T796" s="1056"/>
      <c r="U796" s="1056"/>
      <c r="V796" s="1056"/>
      <c r="W796" s="1056"/>
      <c r="X796" s="1056"/>
      <c r="Y796" s="1056"/>
      <c r="Z796" s="1056"/>
      <c r="AA796" s="1056"/>
      <c r="AB796" s="1056"/>
      <c r="AC796" s="1056"/>
      <c r="AD796" s="1056"/>
      <c r="AE796" s="1056"/>
      <c r="AF796" s="264"/>
    </row>
    <row r="797" spans="1:32" s="268" customFormat="1" ht="15" x14ac:dyDescent="0.25">
      <c r="A797" s="264"/>
      <c r="B797" s="264"/>
      <c r="C797" s="1056"/>
      <c r="D797" s="1056"/>
      <c r="E797" s="1056"/>
      <c r="F797" s="1056"/>
      <c r="G797" s="1056"/>
      <c r="H797" s="1056"/>
      <c r="I797" s="1056"/>
      <c r="J797" s="1056"/>
      <c r="K797" s="1056"/>
      <c r="L797" s="1056"/>
      <c r="M797" s="274"/>
      <c r="P797" s="264"/>
      <c r="Q797" s="264"/>
      <c r="R797" s="264"/>
      <c r="S797" s="264"/>
      <c r="T797" s="1056"/>
      <c r="U797" s="1056"/>
      <c r="V797" s="1056"/>
      <c r="W797" s="1056"/>
      <c r="X797" s="1056"/>
      <c r="Y797" s="1056"/>
      <c r="Z797" s="1056"/>
      <c r="AA797" s="1056"/>
      <c r="AB797" s="1056"/>
      <c r="AC797" s="1056"/>
      <c r="AD797" s="1056"/>
      <c r="AE797" s="1056"/>
      <c r="AF797" s="264"/>
    </row>
    <row r="798" spans="1:32" s="268" customFormat="1" ht="15" x14ac:dyDescent="0.25">
      <c r="A798" s="264"/>
      <c r="B798" s="264"/>
      <c r="C798" s="1056"/>
      <c r="D798" s="1056"/>
      <c r="E798" s="1056"/>
      <c r="F798" s="1056"/>
      <c r="G798" s="1056"/>
      <c r="H798" s="1056"/>
      <c r="I798" s="1056"/>
      <c r="J798" s="1056"/>
      <c r="K798" s="1056"/>
      <c r="L798" s="1056"/>
      <c r="M798" s="274"/>
      <c r="P798" s="264"/>
      <c r="Q798" s="264"/>
      <c r="R798" s="264"/>
      <c r="S798" s="264"/>
      <c r="T798" s="1056"/>
      <c r="U798" s="1056"/>
      <c r="V798" s="1056"/>
      <c r="W798" s="1056"/>
      <c r="X798" s="1056"/>
      <c r="Y798" s="1056"/>
      <c r="Z798" s="1056"/>
      <c r="AA798" s="1056"/>
      <c r="AB798" s="1056"/>
      <c r="AC798" s="1056"/>
      <c r="AD798" s="1056"/>
      <c r="AE798" s="1056"/>
      <c r="AF798" s="264"/>
    </row>
    <row r="799" spans="1:32" s="268" customFormat="1" ht="15" x14ac:dyDescent="0.25">
      <c r="A799" s="264"/>
      <c r="B799" s="264"/>
      <c r="C799" s="1056"/>
      <c r="D799" s="1056"/>
      <c r="E799" s="1056"/>
      <c r="F799" s="1056"/>
      <c r="G799" s="1056"/>
      <c r="H799" s="1056"/>
      <c r="I799" s="1056"/>
      <c r="J799" s="1056"/>
      <c r="K799" s="1056"/>
      <c r="L799" s="1056"/>
      <c r="M799" s="274"/>
      <c r="P799" s="264"/>
      <c r="Q799" s="264"/>
      <c r="R799" s="264"/>
      <c r="S799" s="264"/>
      <c r="T799" s="1056"/>
      <c r="U799" s="1056"/>
      <c r="V799" s="1056"/>
      <c r="W799" s="1056"/>
      <c r="X799" s="1056"/>
      <c r="Y799" s="1056"/>
      <c r="Z799" s="1056"/>
      <c r="AA799" s="1056"/>
      <c r="AB799" s="1056"/>
      <c r="AC799" s="1056"/>
      <c r="AD799" s="1056"/>
      <c r="AE799" s="1056"/>
      <c r="AF799" s="264"/>
    </row>
    <row r="800" spans="1:32" s="268" customFormat="1" ht="15" x14ac:dyDescent="0.25">
      <c r="A800" s="264"/>
      <c r="B800" s="264"/>
      <c r="C800" s="1056"/>
      <c r="D800" s="1056"/>
      <c r="E800" s="1056"/>
      <c r="F800" s="1056"/>
      <c r="G800" s="1056"/>
      <c r="H800" s="1056"/>
      <c r="I800" s="1056"/>
      <c r="J800" s="1056"/>
      <c r="K800" s="1056"/>
      <c r="L800" s="1056"/>
      <c r="M800" s="274"/>
      <c r="P800" s="264"/>
      <c r="Q800" s="264"/>
      <c r="R800" s="264"/>
      <c r="S800" s="264"/>
      <c r="T800" s="1056"/>
      <c r="U800" s="1056"/>
      <c r="V800" s="1056"/>
      <c r="W800" s="1056"/>
      <c r="X800" s="1056"/>
      <c r="Y800" s="1056"/>
      <c r="Z800" s="1056"/>
      <c r="AA800" s="1056"/>
      <c r="AB800" s="1056"/>
      <c r="AC800" s="1056"/>
      <c r="AD800" s="1056"/>
      <c r="AE800" s="1056"/>
      <c r="AF800" s="264"/>
    </row>
    <row r="801" spans="1:32" s="268" customFormat="1" ht="15" x14ac:dyDescent="0.25">
      <c r="A801" s="264"/>
      <c r="B801" s="264"/>
      <c r="C801" s="1056"/>
      <c r="D801" s="1056"/>
      <c r="E801" s="1056"/>
      <c r="F801" s="1056"/>
      <c r="G801" s="1056"/>
      <c r="H801" s="1056"/>
      <c r="I801" s="1056"/>
      <c r="J801" s="1056"/>
      <c r="K801" s="1056"/>
      <c r="L801" s="1056"/>
      <c r="M801" s="274"/>
      <c r="P801" s="264"/>
      <c r="Q801" s="264"/>
      <c r="R801" s="264"/>
      <c r="S801" s="264"/>
      <c r="T801" s="1056"/>
      <c r="U801" s="1056"/>
      <c r="V801" s="1056"/>
      <c r="W801" s="1056"/>
      <c r="X801" s="1056"/>
      <c r="Y801" s="1056"/>
      <c r="Z801" s="1056"/>
      <c r="AA801" s="1056"/>
      <c r="AB801" s="1056"/>
      <c r="AC801" s="1056"/>
      <c r="AD801" s="1056"/>
      <c r="AE801" s="1056"/>
      <c r="AF801" s="264"/>
    </row>
    <row r="802" spans="1:32" s="268" customFormat="1" ht="15" x14ac:dyDescent="0.25">
      <c r="A802" s="264"/>
      <c r="B802" s="264"/>
      <c r="C802" s="1056"/>
      <c r="D802" s="1056"/>
      <c r="E802" s="1056"/>
      <c r="F802" s="1056"/>
      <c r="G802" s="1056"/>
      <c r="H802" s="1056"/>
      <c r="I802" s="1056"/>
      <c r="J802" s="1056"/>
      <c r="K802" s="1056"/>
      <c r="L802" s="1056"/>
      <c r="M802" s="274"/>
      <c r="P802" s="264"/>
      <c r="Q802" s="264"/>
      <c r="R802" s="264"/>
      <c r="S802" s="264"/>
      <c r="T802" s="1056"/>
      <c r="U802" s="1056"/>
      <c r="V802" s="1056"/>
      <c r="W802" s="1056"/>
      <c r="X802" s="1056"/>
      <c r="Y802" s="1056"/>
      <c r="Z802" s="1056"/>
      <c r="AA802" s="1056"/>
      <c r="AB802" s="1056"/>
      <c r="AC802" s="1056"/>
      <c r="AD802" s="1056"/>
      <c r="AE802" s="1056"/>
      <c r="AF802" s="264"/>
    </row>
    <row r="803" spans="1:32" s="268" customFormat="1" ht="15" x14ac:dyDescent="0.25">
      <c r="A803" s="264"/>
      <c r="B803" s="264"/>
      <c r="C803" s="1056"/>
      <c r="D803" s="1056"/>
      <c r="E803" s="1056"/>
      <c r="F803" s="1056"/>
      <c r="G803" s="1056"/>
      <c r="H803" s="1056"/>
      <c r="I803" s="1056"/>
      <c r="J803" s="1056"/>
      <c r="K803" s="1056"/>
      <c r="L803" s="1056"/>
      <c r="M803" s="274"/>
      <c r="P803" s="264"/>
      <c r="Q803" s="264"/>
      <c r="R803" s="264"/>
      <c r="S803" s="264"/>
      <c r="T803" s="1056"/>
      <c r="U803" s="1056"/>
      <c r="V803" s="1056"/>
      <c r="W803" s="1056"/>
      <c r="X803" s="1056"/>
      <c r="Y803" s="1056"/>
      <c r="Z803" s="1056"/>
      <c r="AA803" s="1056"/>
      <c r="AB803" s="1056"/>
      <c r="AC803" s="1056"/>
      <c r="AD803" s="1056"/>
      <c r="AE803" s="1056"/>
      <c r="AF803" s="264"/>
    </row>
    <row r="804" spans="1:32" s="268" customFormat="1" ht="15" x14ac:dyDescent="0.25">
      <c r="A804" s="264"/>
      <c r="B804" s="264"/>
      <c r="C804" s="1056"/>
      <c r="D804" s="1056"/>
      <c r="E804" s="1056"/>
      <c r="F804" s="1056"/>
      <c r="G804" s="1056"/>
      <c r="H804" s="1056"/>
      <c r="I804" s="1056"/>
      <c r="J804" s="1056"/>
      <c r="K804" s="1056"/>
      <c r="L804" s="1056"/>
      <c r="M804" s="274"/>
      <c r="P804" s="264"/>
      <c r="Q804" s="264"/>
      <c r="R804" s="264"/>
      <c r="S804" s="264"/>
      <c r="T804" s="1056"/>
      <c r="U804" s="1056"/>
      <c r="V804" s="1056"/>
      <c r="W804" s="1056"/>
      <c r="X804" s="1056"/>
      <c r="Y804" s="1056"/>
      <c r="Z804" s="1056"/>
      <c r="AA804" s="1056"/>
      <c r="AB804" s="1056"/>
      <c r="AC804" s="1056"/>
      <c r="AD804" s="1056"/>
      <c r="AE804" s="1056"/>
      <c r="AF804" s="264"/>
    </row>
    <row r="805" spans="1:32" s="268" customFormat="1" ht="15" x14ac:dyDescent="0.25">
      <c r="A805" s="264"/>
      <c r="B805" s="264"/>
      <c r="C805" s="1056"/>
      <c r="D805" s="1056"/>
      <c r="E805" s="1056"/>
      <c r="F805" s="1056"/>
      <c r="G805" s="1056"/>
      <c r="H805" s="1056"/>
      <c r="I805" s="1056"/>
      <c r="J805" s="1056"/>
      <c r="K805" s="1056"/>
      <c r="L805" s="1056"/>
      <c r="M805" s="274"/>
      <c r="P805" s="264"/>
      <c r="Q805" s="264"/>
      <c r="R805" s="264"/>
      <c r="S805" s="264"/>
      <c r="T805" s="1056"/>
      <c r="U805" s="1056"/>
      <c r="V805" s="1056"/>
      <c r="W805" s="1056"/>
      <c r="X805" s="1056"/>
      <c r="Y805" s="1056"/>
      <c r="Z805" s="1056"/>
      <c r="AA805" s="1056"/>
      <c r="AB805" s="1056"/>
      <c r="AC805" s="1056"/>
      <c r="AD805" s="1056"/>
      <c r="AE805" s="1056"/>
      <c r="AF805" s="264"/>
    </row>
    <row r="806" spans="1:32" s="268" customFormat="1" ht="15" x14ac:dyDescent="0.25">
      <c r="A806" s="264"/>
      <c r="B806" s="264"/>
      <c r="C806" s="1056"/>
      <c r="D806" s="1056"/>
      <c r="E806" s="1056"/>
      <c r="F806" s="1056"/>
      <c r="G806" s="1056"/>
      <c r="H806" s="1056"/>
      <c r="I806" s="1056"/>
      <c r="J806" s="1056"/>
      <c r="K806" s="1056"/>
      <c r="L806" s="1056"/>
      <c r="M806" s="274"/>
      <c r="P806" s="264"/>
      <c r="Q806" s="264"/>
      <c r="R806" s="264"/>
      <c r="S806" s="264"/>
      <c r="T806" s="1056"/>
      <c r="U806" s="1056"/>
      <c r="V806" s="1056"/>
      <c r="W806" s="1056"/>
      <c r="X806" s="1056"/>
      <c r="Y806" s="1056"/>
      <c r="Z806" s="1056"/>
      <c r="AA806" s="1056"/>
      <c r="AB806" s="1056"/>
      <c r="AC806" s="1056"/>
      <c r="AD806" s="1056"/>
      <c r="AE806" s="1056"/>
      <c r="AF806" s="264"/>
    </row>
    <row r="807" spans="1:32" s="268" customFormat="1" ht="15" x14ac:dyDescent="0.25">
      <c r="A807" s="264"/>
      <c r="B807" s="264"/>
      <c r="C807" s="1056"/>
      <c r="D807" s="1056"/>
      <c r="E807" s="1056"/>
      <c r="F807" s="1056"/>
      <c r="G807" s="1056"/>
      <c r="H807" s="1056"/>
      <c r="I807" s="1056"/>
      <c r="J807" s="1056"/>
      <c r="K807" s="1056"/>
      <c r="L807" s="1056"/>
      <c r="M807" s="274"/>
      <c r="P807" s="264"/>
      <c r="Q807" s="264"/>
      <c r="R807" s="264"/>
      <c r="S807" s="264"/>
      <c r="T807" s="1056"/>
      <c r="U807" s="1056"/>
      <c r="V807" s="1056"/>
      <c r="W807" s="1056"/>
      <c r="X807" s="1056"/>
      <c r="Y807" s="1056"/>
      <c r="Z807" s="1056"/>
      <c r="AA807" s="1056"/>
      <c r="AB807" s="1056"/>
      <c r="AC807" s="1056"/>
      <c r="AD807" s="1056"/>
      <c r="AE807" s="1056"/>
      <c r="AF807" s="264"/>
    </row>
    <row r="808" spans="1:32" s="268" customFormat="1" ht="15" x14ac:dyDescent="0.25">
      <c r="A808" s="264"/>
      <c r="B808" s="264"/>
      <c r="C808" s="1056"/>
      <c r="D808" s="1056"/>
      <c r="E808" s="1056"/>
      <c r="F808" s="1056"/>
      <c r="G808" s="1056"/>
      <c r="H808" s="1056"/>
      <c r="I808" s="1056"/>
      <c r="J808" s="1056"/>
      <c r="K808" s="1056"/>
      <c r="L808" s="1056"/>
      <c r="M808" s="274"/>
      <c r="P808" s="264"/>
      <c r="Q808" s="264"/>
      <c r="R808" s="264"/>
      <c r="S808" s="264"/>
      <c r="T808" s="1056"/>
      <c r="U808" s="1056"/>
      <c r="V808" s="1056"/>
      <c r="W808" s="1056"/>
      <c r="X808" s="1056"/>
      <c r="Y808" s="1056"/>
      <c r="Z808" s="1056"/>
      <c r="AA808" s="1056"/>
      <c r="AB808" s="1056"/>
      <c r="AC808" s="1056"/>
      <c r="AD808" s="1056"/>
      <c r="AE808" s="1056"/>
      <c r="AF808" s="264"/>
    </row>
    <row r="809" spans="1:32" s="268" customFormat="1" ht="15" x14ac:dyDescent="0.25">
      <c r="A809" s="264"/>
      <c r="B809" s="264"/>
      <c r="C809" s="1056"/>
      <c r="D809" s="1056"/>
      <c r="E809" s="1056"/>
      <c r="F809" s="1056"/>
      <c r="G809" s="1056"/>
      <c r="H809" s="1056"/>
      <c r="I809" s="1056"/>
      <c r="J809" s="1056"/>
      <c r="K809" s="1056"/>
      <c r="L809" s="1056"/>
      <c r="M809" s="274"/>
      <c r="P809" s="264"/>
      <c r="Q809" s="264"/>
      <c r="R809" s="264"/>
      <c r="S809" s="264"/>
      <c r="T809" s="1056"/>
      <c r="U809" s="1056"/>
      <c r="V809" s="1056"/>
      <c r="W809" s="1056"/>
      <c r="X809" s="1056"/>
      <c r="Y809" s="1056"/>
      <c r="Z809" s="1056"/>
      <c r="AA809" s="1056"/>
      <c r="AB809" s="1056"/>
      <c r="AC809" s="1056"/>
      <c r="AD809" s="1056"/>
      <c r="AE809" s="1056"/>
      <c r="AF809" s="264"/>
    </row>
    <row r="810" spans="1:32" s="268" customFormat="1" ht="15" x14ac:dyDescent="0.25">
      <c r="A810" s="264"/>
      <c r="B810" s="264"/>
      <c r="C810" s="1056"/>
      <c r="D810" s="1056"/>
      <c r="E810" s="1056"/>
      <c r="F810" s="1056"/>
      <c r="G810" s="1056"/>
      <c r="H810" s="1056"/>
      <c r="I810" s="1056"/>
      <c r="J810" s="1056"/>
      <c r="K810" s="1056"/>
      <c r="L810" s="1056"/>
      <c r="M810" s="274"/>
      <c r="P810" s="264"/>
      <c r="Q810" s="264"/>
      <c r="R810" s="264"/>
      <c r="S810" s="264"/>
      <c r="T810" s="1056"/>
      <c r="U810" s="1056"/>
      <c r="V810" s="1056"/>
      <c r="W810" s="1056"/>
      <c r="X810" s="1056"/>
      <c r="Y810" s="1056"/>
      <c r="Z810" s="1056"/>
      <c r="AA810" s="1056"/>
      <c r="AB810" s="1056"/>
      <c r="AC810" s="1056"/>
      <c r="AD810" s="1056"/>
      <c r="AE810" s="1056"/>
      <c r="AF810" s="264"/>
    </row>
    <row r="811" spans="1:32" s="268" customFormat="1" ht="15" x14ac:dyDescent="0.25">
      <c r="A811" s="264"/>
      <c r="B811" s="264"/>
      <c r="C811" s="1056"/>
      <c r="D811" s="1056"/>
      <c r="E811" s="1056"/>
      <c r="F811" s="1056"/>
      <c r="G811" s="1056"/>
      <c r="H811" s="1056"/>
      <c r="I811" s="1056"/>
      <c r="J811" s="1056"/>
      <c r="K811" s="1056"/>
      <c r="L811" s="1056"/>
      <c r="M811" s="274"/>
      <c r="P811" s="264"/>
      <c r="Q811" s="264"/>
      <c r="R811" s="264"/>
      <c r="S811" s="264"/>
      <c r="T811" s="1056"/>
      <c r="U811" s="1056"/>
      <c r="V811" s="1056"/>
      <c r="W811" s="1056"/>
      <c r="X811" s="1056"/>
      <c r="Y811" s="1056"/>
      <c r="Z811" s="1056"/>
      <c r="AA811" s="1056"/>
      <c r="AB811" s="1056"/>
      <c r="AC811" s="1056"/>
      <c r="AD811" s="1056"/>
      <c r="AE811" s="1056"/>
      <c r="AF811" s="264"/>
    </row>
    <row r="812" spans="1:32" s="268" customFormat="1" ht="15" x14ac:dyDescent="0.25">
      <c r="A812" s="264"/>
      <c r="B812" s="264"/>
      <c r="C812" s="1056"/>
      <c r="D812" s="1056"/>
      <c r="E812" s="1056"/>
      <c r="F812" s="1056"/>
      <c r="G812" s="1056"/>
      <c r="H812" s="1056"/>
      <c r="I812" s="1056"/>
      <c r="J812" s="1056"/>
      <c r="K812" s="1056"/>
      <c r="L812" s="1056"/>
      <c r="M812" s="274"/>
      <c r="P812" s="264"/>
      <c r="Q812" s="264"/>
      <c r="R812" s="264"/>
      <c r="S812" s="264"/>
      <c r="T812" s="1056"/>
      <c r="U812" s="1056"/>
      <c r="V812" s="1056"/>
      <c r="W812" s="1056"/>
      <c r="X812" s="1056"/>
      <c r="Y812" s="1056"/>
      <c r="Z812" s="1056"/>
      <c r="AA812" s="1056"/>
      <c r="AB812" s="1056"/>
      <c r="AC812" s="1056"/>
      <c r="AD812" s="1056"/>
      <c r="AE812" s="1056"/>
      <c r="AF812" s="264"/>
    </row>
    <row r="813" spans="1:32" s="268" customFormat="1" ht="15" x14ac:dyDescent="0.25">
      <c r="A813" s="264"/>
      <c r="B813" s="264"/>
      <c r="C813" s="1056"/>
      <c r="D813" s="1056"/>
      <c r="E813" s="1056"/>
      <c r="F813" s="1056"/>
      <c r="G813" s="1056"/>
      <c r="H813" s="1056"/>
      <c r="I813" s="1056"/>
      <c r="J813" s="1056"/>
      <c r="K813" s="1056"/>
      <c r="L813" s="1056"/>
      <c r="M813" s="274"/>
      <c r="P813" s="264"/>
      <c r="Q813" s="264"/>
      <c r="R813" s="264"/>
      <c r="S813" s="264"/>
      <c r="T813" s="1056"/>
      <c r="U813" s="1056"/>
      <c r="V813" s="1056"/>
      <c r="W813" s="1056"/>
      <c r="X813" s="1056"/>
      <c r="Y813" s="1056"/>
      <c r="Z813" s="1056"/>
      <c r="AA813" s="1056"/>
      <c r="AB813" s="1056"/>
      <c r="AC813" s="1056"/>
      <c r="AD813" s="1056"/>
      <c r="AE813" s="1056"/>
      <c r="AF813" s="264"/>
    </row>
    <row r="814" spans="1:32" s="268" customFormat="1" ht="15" x14ac:dyDescent="0.25">
      <c r="A814" s="264"/>
      <c r="B814" s="264"/>
      <c r="C814" s="1056"/>
      <c r="D814" s="1056"/>
      <c r="E814" s="1056"/>
      <c r="F814" s="1056"/>
      <c r="G814" s="1056"/>
      <c r="H814" s="1056"/>
      <c r="I814" s="1056"/>
      <c r="J814" s="1056"/>
      <c r="K814" s="1056"/>
      <c r="L814" s="1056"/>
      <c r="M814" s="274"/>
      <c r="P814" s="264"/>
      <c r="Q814" s="264"/>
      <c r="R814" s="264"/>
      <c r="S814" s="264"/>
      <c r="T814" s="1056"/>
      <c r="U814" s="1056"/>
      <c r="V814" s="1056"/>
      <c r="W814" s="1056"/>
      <c r="X814" s="1056"/>
      <c r="Y814" s="1056"/>
      <c r="Z814" s="1056"/>
      <c r="AA814" s="1056"/>
      <c r="AB814" s="1056"/>
      <c r="AC814" s="1056"/>
      <c r="AD814" s="1056"/>
      <c r="AE814" s="1056"/>
      <c r="AF814" s="264"/>
    </row>
    <row r="815" spans="1:32" s="268" customFormat="1" ht="15" x14ac:dyDescent="0.25">
      <c r="A815" s="264"/>
      <c r="B815" s="264"/>
      <c r="C815" s="1056"/>
      <c r="D815" s="1056"/>
      <c r="E815" s="1056"/>
      <c r="F815" s="1056"/>
      <c r="G815" s="1056"/>
      <c r="H815" s="1056"/>
      <c r="I815" s="1056"/>
      <c r="J815" s="1056"/>
      <c r="K815" s="1056"/>
      <c r="L815" s="1056"/>
      <c r="M815" s="274"/>
      <c r="P815" s="264"/>
      <c r="Q815" s="264"/>
      <c r="R815" s="264"/>
      <c r="S815" s="264"/>
      <c r="T815" s="1056"/>
      <c r="U815" s="1056"/>
      <c r="V815" s="1056"/>
      <c r="W815" s="1056"/>
      <c r="X815" s="1056"/>
      <c r="Y815" s="1056"/>
      <c r="Z815" s="1056"/>
      <c r="AA815" s="1056"/>
      <c r="AB815" s="1056"/>
      <c r="AC815" s="1056"/>
      <c r="AD815" s="1056"/>
      <c r="AE815" s="1056"/>
      <c r="AF815" s="264"/>
    </row>
    <row r="816" spans="1:32" s="268" customFormat="1" ht="15" x14ac:dyDescent="0.25">
      <c r="A816" s="264"/>
      <c r="B816" s="264"/>
      <c r="C816" s="1056"/>
      <c r="D816" s="1056"/>
      <c r="E816" s="1056"/>
      <c r="F816" s="1056"/>
      <c r="G816" s="1056"/>
      <c r="H816" s="1056"/>
      <c r="I816" s="1056"/>
      <c r="J816" s="1056"/>
      <c r="K816" s="1056"/>
      <c r="L816" s="1056"/>
      <c r="M816" s="274"/>
      <c r="P816" s="264"/>
      <c r="Q816" s="264"/>
      <c r="R816" s="264"/>
      <c r="S816" s="264"/>
      <c r="T816" s="1056"/>
      <c r="U816" s="1056"/>
      <c r="V816" s="1056"/>
      <c r="W816" s="1056"/>
      <c r="X816" s="1056"/>
      <c r="Y816" s="1056"/>
      <c r="Z816" s="1056"/>
      <c r="AA816" s="1056"/>
      <c r="AB816" s="1056"/>
      <c r="AC816" s="1056"/>
      <c r="AD816" s="1056"/>
      <c r="AE816" s="1056"/>
      <c r="AF816" s="264"/>
    </row>
    <row r="817" spans="1:32" s="268" customFormat="1" ht="15" x14ac:dyDescent="0.25">
      <c r="A817" s="264"/>
      <c r="B817" s="264"/>
      <c r="C817" s="1056"/>
      <c r="D817" s="1056"/>
      <c r="E817" s="1056"/>
      <c r="F817" s="1056"/>
      <c r="G817" s="1056"/>
      <c r="H817" s="1056"/>
      <c r="I817" s="1056"/>
      <c r="J817" s="1056"/>
      <c r="K817" s="1056"/>
      <c r="L817" s="1056"/>
      <c r="M817" s="274"/>
      <c r="P817" s="264"/>
      <c r="Q817" s="264"/>
      <c r="R817" s="264"/>
      <c r="S817" s="264"/>
      <c r="T817" s="1056"/>
      <c r="U817" s="1056"/>
      <c r="V817" s="1056"/>
      <c r="W817" s="1056"/>
      <c r="X817" s="1056"/>
      <c r="Y817" s="1056"/>
      <c r="Z817" s="1056"/>
      <c r="AA817" s="1056"/>
      <c r="AB817" s="1056"/>
      <c r="AC817" s="1056"/>
      <c r="AD817" s="1056"/>
      <c r="AE817" s="1056"/>
      <c r="AF817" s="264"/>
    </row>
    <row r="818" spans="1:32" s="268" customFormat="1" ht="15" x14ac:dyDescent="0.25">
      <c r="A818" s="264"/>
      <c r="B818" s="264"/>
      <c r="C818" s="1056"/>
      <c r="D818" s="1056"/>
      <c r="E818" s="1056"/>
      <c r="F818" s="1056"/>
      <c r="G818" s="1056"/>
      <c r="H818" s="1056"/>
      <c r="I818" s="1056"/>
      <c r="J818" s="1056"/>
      <c r="K818" s="1056"/>
      <c r="L818" s="1056"/>
      <c r="M818" s="274"/>
      <c r="P818" s="264"/>
      <c r="Q818" s="264"/>
      <c r="R818" s="264"/>
      <c r="S818" s="264"/>
      <c r="T818" s="1056"/>
      <c r="U818" s="1056"/>
      <c r="V818" s="1056"/>
      <c r="W818" s="1056"/>
      <c r="X818" s="1056"/>
      <c r="Y818" s="1056"/>
      <c r="Z818" s="1056"/>
      <c r="AA818" s="1056"/>
      <c r="AB818" s="1056"/>
      <c r="AC818" s="1056"/>
      <c r="AD818" s="1056"/>
      <c r="AE818" s="1056"/>
      <c r="AF818" s="264"/>
    </row>
    <row r="819" spans="1:32" s="268" customFormat="1" ht="15" x14ac:dyDescent="0.25">
      <c r="A819" s="264"/>
      <c r="B819" s="264"/>
      <c r="C819" s="1056"/>
      <c r="D819" s="1056"/>
      <c r="E819" s="1056"/>
      <c r="F819" s="1056"/>
      <c r="G819" s="1056"/>
      <c r="H819" s="1056"/>
      <c r="I819" s="1056"/>
      <c r="J819" s="1056"/>
      <c r="K819" s="1056"/>
      <c r="L819" s="1056"/>
      <c r="M819" s="274"/>
      <c r="P819" s="264"/>
      <c r="Q819" s="264"/>
      <c r="R819" s="264"/>
      <c r="S819" s="264"/>
      <c r="T819" s="1056"/>
      <c r="U819" s="1056"/>
      <c r="V819" s="1056"/>
      <c r="W819" s="1056"/>
      <c r="X819" s="1056"/>
      <c r="Y819" s="1056"/>
      <c r="Z819" s="1056"/>
      <c r="AA819" s="1056"/>
      <c r="AB819" s="1056"/>
      <c r="AC819" s="1056"/>
      <c r="AD819" s="1056"/>
      <c r="AE819" s="1056"/>
      <c r="AF819" s="264"/>
    </row>
    <row r="820" spans="1:32" s="268" customFormat="1" ht="15" x14ac:dyDescent="0.25">
      <c r="A820" s="264"/>
      <c r="B820" s="264"/>
      <c r="C820" s="1056"/>
      <c r="D820" s="1056"/>
      <c r="E820" s="1056"/>
      <c r="F820" s="1056"/>
      <c r="G820" s="1056"/>
      <c r="H820" s="1056"/>
      <c r="I820" s="1056"/>
      <c r="J820" s="1056"/>
      <c r="K820" s="1056"/>
      <c r="L820" s="1056"/>
      <c r="M820" s="274"/>
      <c r="P820" s="264"/>
      <c r="Q820" s="264"/>
      <c r="R820" s="264"/>
      <c r="S820" s="264"/>
      <c r="T820" s="1056"/>
      <c r="U820" s="1056"/>
      <c r="V820" s="1056"/>
      <c r="W820" s="1056"/>
      <c r="X820" s="1056"/>
      <c r="Y820" s="1056"/>
      <c r="Z820" s="1056"/>
      <c r="AA820" s="1056"/>
      <c r="AB820" s="1056"/>
      <c r="AC820" s="1056"/>
      <c r="AD820" s="1056"/>
      <c r="AE820" s="1056"/>
      <c r="AF820" s="264"/>
    </row>
    <row r="821" spans="1:32" s="268" customFormat="1" ht="15" x14ac:dyDescent="0.25">
      <c r="A821" s="264"/>
      <c r="B821" s="264"/>
      <c r="C821" s="1056"/>
      <c r="D821" s="1056"/>
      <c r="E821" s="1056"/>
      <c r="F821" s="1056"/>
      <c r="G821" s="1056"/>
      <c r="H821" s="1056"/>
      <c r="I821" s="1056"/>
      <c r="J821" s="1056"/>
      <c r="K821" s="1056"/>
      <c r="L821" s="1056"/>
      <c r="M821" s="274"/>
      <c r="P821" s="264"/>
      <c r="Q821" s="264"/>
      <c r="R821" s="264"/>
      <c r="S821" s="264"/>
      <c r="T821" s="1056"/>
      <c r="U821" s="1056"/>
      <c r="V821" s="1056"/>
      <c r="W821" s="1056"/>
      <c r="X821" s="1056"/>
      <c r="Y821" s="1056"/>
      <c r="Z821" s="1056"/>
      <c r="AA821" s="1056"/>
      <c r="AB821" s="1056"/>
      <c r="AC821" s="1056"/>
      <c r="AD821" s="1056"/>
      <c r="AE821" s="1056"/>
      <c r="AF821" s="264"/>
    </row>
    <row r="822" spans="1:32" s="268" customFormat="1" ht="15" x14ac:dyDescent="0.25">
      <c r="A822" s="264"/>
      <c r="B822" s="264"/>
      <c r="C822" s="1056"/>
      <c r="D822" s="1056"/>
      <c r="E822" s="1056"/>
      <c r="F822" s="1056"/>
      <c r="G822" s="1056"/>
      <c r="H822" s="1056"/>
      <c r="I822" s="1056"/>
      <c r="J822" s="1056"/>
      <c r="K822" s="1056"/>
      <c r="L822" s="1056"/>
      <c r="M822" s="274"/>
      <c r="P822" s="264"/>
      <c r="Q822" s="264"/>
      <c r="R822" s="264"/>
      <c r="S822" s="264"/>
      <c r="T822" s="1056"/>
      <c r="U822" s="1056"/>
      <c r="V822" s="1056"/>
      <c r="W822" s="1056"/>
      <c r="X822" s="1056"/>
      <c r="Y822" s="1056"/>
      <c r="Z822" s="1056"/>
      <c r="AA822" s="1056"/>
      <c r="AB822" s="1056"/>
      <c r="AC822" s="1056"/>
      <c r="AD822" s="1056"/>
      <c r="AE822" s="1056"/>
      <c r="AF822" s="264"/>
    </row>
    <row r="823" spans="1:32" s="268" customFormat="1" ht="15" x14ac:dyDescent="0.25">
      <c r="A823" s="264"/>
      <c r="B823" s="264"/>
      <c r="C823" s="1056"/>
      <c r="D823" s="1056"/>
      <c r="E823" s="1056"/>
      <c r="F823" s="1056"/>
      <c r="G823" s="1056"/>
      <c r="H823" s="1056"/>
      <c r="I823" s="1056"/>
      <c r="J823" s="1056"/>
      <c r="K823" s="1056"/>
      <c r="L823" s="1056"/>
      <c r="M823" s="274"/>
      <c r="P823" s="264"/>
      <c r="Q823" s="264"/>
      <c r="R823" s="264"/>
      <c r="S823" s="264"/>
      <c r="T823" s="1056"/>
      <c r="U823" s="1056"/>
      <c r="V823" s="1056"/>
      <c r="W823" s="1056"/>
      <c r="X823" s="1056"/>
      <c r="Y823" s="1056"/>
      <c r="Z823" s="1056"/>
      <c r="AA823" s="1056"/>
      <c r="AB823" s="1056"/>
      <c r="AC823" s="1056"/>
      <c r="AD823" s="1056"/>
      <c r="AE823" s="1056"/>
      <c r="AF823" s="264"/>
    </row>
    <row r="824" spans="1:32" s="268" customFormat="1" ht="15" x14ac:dyDescent="0.25">
      <c r="A824" s="264"/>
      <c r="B824" s="264"/>
      <c r="C824" s="1056"/>
      <c r="D824" s="1056"/>
      <c r="E824" s="1056"/>
      <c r="F824" s="1056"/>
      <c r="G824" s="1056"/>
      <c r="H824" s="1056"/>
      <c r="I824" s="1056"/>
      <c r="J824" s="1056"/>
      <c r="K824" s="1056"/>
      <c r="L824" s="1056"/>
      <c r="M824" s="274"/>
      <c r="P824" s="264"/>
      <c r="Q824" s="264"/>
      <c r="R824" s="264"/>
      <c r="S824" s="264"/>
      <c r="T824" s="1056"/>
      <c r="U824" s="1056"/>
      <c r="V824" s="1056"/>
      <c r="W824" s="1056"/>
      <c r="X824" s="1056"/>
      <c r="Y824" s="1056"/>
      <c r="Z824" s="1056"/>
      <c r="AA824" s="1056"/>
      <c r="AB824" s="1056"/>
      <c r="AC824" s="1056"/>
      <c r="AD824" s="1056"/>
      <c r="AE824" s="1056"/>
      <c r="AF824" s="264"/>
    </row>
    <row r="825" spans="1:32" s="268" customFormat="1" ht="15" x14ac:dyDescent="0.25">
      <c r="A825" s="264"/>
      <c r="B825" s="264"/>
      <c r="C825" s="1056"/>
      <c r="D825" s="1056"/>
      <c r="E825" s="1056"/>
      <c r="F825" s="1056"/>
      <c r="G825" s="1056"/>
      <c r="H825" s="1056"/>
      <c r="I825" s="1056"/>
      <c r="J825" s="1056"/>
      <c r="K825" s="1056"/>
      <c r="L825" s="1056"/>
      <c r="M825" s="274"/>
      <c r="P825" s="264"/>
      <c r="Q825" s="264"/>
      <c r="R825" s="264"/>
      <c r="S825" s="264"/>
      <c r="T825" s="1056"/>
      <c r="U825" s="1056"/>
      <c r="V825" s="1056"/>
      <c r="W825" s="1056"/>
      <c r="X825" s="1056"/>
      <c r="Y825" s="1056"/>
      <c r="Z825" s="1056"/>
      <c r="AA825" s="1056"/>
      <c r="AB825" s="1056"/>
      <c r="AC825" s="1056"/>
      <c r="AD825" s="1056"/>
      <c r="AE825" s="1056"/>
      <c r="AF825" s="264"/>
    </row>
    <row r="826" spans="1:32" s="268" customFormat="1" ht="15" x14ac:dyDescent="0.25">
      <c r="A826" s="264"/>
      <c r="B826" s="264"/>
      <c r="C826" s="1056"/>
      <c r="D826" s="1056"/>
      <c r="E826" s="1056"/>
      <c r="F826" s="1056"/>
      <c r="G826" s="1056"/>
      <c r="H826" s="1056"/>
      <c r="I826" s="1056"/>
      <c r="J826" s="1056"/>
      <c r="K826" s="1056"/>
      <c r="L826" s="1056"/>
      <c r="M826" s="274"/>
      <c r="P826" s="264"/>
      <c r="Q826" s="264"/>
      <c r="R826" s="264"/>
      <c r="S826" s="264"/>
      <c r="T826" s="1056"/>
      <c r="U826" s="1056"/>
      <c r="V826" s="1056"/>
      <c r="W826" s="1056"/>
      <c r="X826" s="1056"/>
      <c r="Y826" s="1056"/>
      <c r="Z826" s="1056"/>
      <c r="AA826" s="1056"/>
      <c r="AB826" s="1056"/>
      <c r="AC826" s="1056"/>
      <c r="AD826" s="1056"/>
      <c r="AE826" s="1056"/>
      <c r="AF826" s="264"/>
    </row>
    <row r="827" spans="1:32" s="268" customFormat="1" ht="15" x14ac:dyDescent="0.25">
      <c r="A827" s="264"/>
      <c r="B827" s="264"/>
      <c r="C827" s="1056"/>
      <c r="D827" s="1056"/>
      <c r="E827" s="1056"/>
      <c r="F827" s="1056"/>
      <c r="G827" s="1056"/>
      <c r="H827" s="1056"/>
      <c r="I827" s="1056"/>
      <c r="J827" s="1056"/>
      <c r="K827" s="1056"/>
      <c r="L827" s="1056"/>
      <c r="M827" s="274"/>
      <c r="P827" s="264"/>
      <c r="Q827" s="264"/>
      <c r="R827" s="264"/>
      <c r="S827" s="264"/>
      <c r="T827" s="1056"/>
      <c r="U827" s="1056"/>
      <c r="V827" s="1056"/>
      <c r="W827" s="1056"/>
      <c r="X827" s="1056"/>
      <c r="Y827" s="1056"/>
      <c r="Z827" s="1056"/>
      <c r="AA827" s="1056"/>
      <c r="AB827" s="1056"/>
      <c r="AC827" s="1056"/>
      <c r="AD827" s="1056"/>
      <c r="AE827" s="1056"/>
      <c r="AF827" s="264"/>
    </row>
    <row r="828" spans="1:32" s="268" customFormat="1" ht="15" x14ac:dyDescent="0.25">
      <c r="A828" s="264"/>
      <c r="B828" s="264"/>
      <c r="C828" s="1056"/>
      <c r="D828" s="1056"/>
      <c r="E828" s="1056"/>
      <c r="F828" s="1056"/>
      <c r="G828" s="1056"/>
      <c r="H828" s="1056"/>
      <c r="I828" s="1056"/>
      <c r="J828" s="1056"/>
      <c r="K828" s="1056"/>
      <c r="L828" s="1056"/>
      <c r="M828" s="274"/>
      <c r="P828" s="264"/>
      <c r="Q828" s="264"/>
      <c r="R828" s="264"/>
      <c r="S828" s="264"/>
      <c r="T828" s="1056"/>
      <c r="U828" s="1056"/>
      <c r="V828" s="1056"/>
      <c r="W828" s="1056"/>
      <c r="X828" s="1056"/>
      <c r="Y828" s="1056"/>
      <c r="Z828" s="1056"/>
      <c r="AA828" s="1056"/>
      <c r="AB828" s="1056"/>
      <c r="AC828" s="1056"/>
      <c r="AD828" s="1056"/>
      <c r="AE828" s="1056"/>
      <c r="AF828" s="264"/>
    </row>
    <row r="829" spans="1:32" s="268" customFormat="1" ht="15" x14ac:dyDescent="0.25">
      <c r="A829" s="264"/>
      <c r="B829" s="264"/>
      <c r="C829" s="1056"/>
      <c r="D829" s="1056"/>
      <c r="E829" s="1056"/>
      <c r="F829" s="1056"/>
      <c r="G829" s="1056"/>
      <c r="H829" s="1056"/>
      <c r="I829" s="1056"/>
      <c r="J829" s="1056"/>
      <c r="K829" s="1056"/>
      <c r="L829" s="1056"/>
      <c r="M829" s="274"/>
      <c r="P829" s="264"/>
      <c r="Q829" s="264"/>
      <c r="R829" s="264"/>
      <c r="S829" s="264"/>
      <c r="T829" s="1056"/>
      <c r="U829" s="1056"/>
      <c r="V829" s="1056"/>
      <c r="W829" s="1056"/>
      <c r="X829" s="1056"/>
      <c r="Y829" s="1056"/>
      <c r="Z829" s="1056"/>
      <c r="AA829" s="1056"/>
      <c r="AB829" s="1056"/>
      <c r="AC829" s="1056"/>
      <c r="AD829" s="1056"/>
      <c r="AE829" s="1056"/>
      <c r="AF829" s="264"/>
    </row>
    <row r="830" spans="1:32" s="268" customFormat="1" ht="15" x14ac:dyDescent="0.25">
      <c r="A830" s="264"/>
      <c r="B830" s="264"/>
      <c r="C830" s="1056"/>
      <c r="D830" s="1056"/>
      <c r="E830" s="1056"/>
      <c r="F830" s="1056"/>
      <c r="G830" s="1056"/>
      <c r="H830" s="1056"/>
      <c r="I830" s="1056"/>
      <c r="J830" s="1056"/>
      <c r="K830" s="1056"/>
      <c r="L830" s="1056"/>
      <c r="M830" s="274"/>
      <c r="P830" s="264"/>
      <c r="Q830" s="264"/>
      <c r="R830" s="264"/>
      <c r="S830" s="264"/>
      <c r="T830" s="1056"/>
      <c r="U830" s="1056"/>
      <c r="V830" s="1056"/>
      <c r="W830" s="1056"/>
      <c r="X830" s="1056"/>
      <c r="Y830" s="1056"/>
      <c r="Z830" s="1056"/>
      <c r="AA830" s="1056"/>
      <c r="AB830" s="1056"/>
      <c r="AC830" s="1056"/>
      <c r="AD830" s="1056"/>
      <c r="AE830" s="1056"/>
      <c r="AF830" s="264"/>
    </row>
    <row r="831" spans="1:32" s="268" customFormat="1" ht="15" x14ac:dyDescent="0.25">
      <c r="A831" s="264"/>
      <c r="B831" s="264"/>
      <c r="C831" s="1056"/>
      <c r="D831" s="1056"/>
      <c r="E831" s="1056"/>
      <c r="F831" s="1056"/>
      <c r="G831" s="1056"/>
      <c r="H831" s="1056"/>
      <c r="I831" s="1056"/>
      <c r="J831" s="1056"/>
      <c r="K831" s="1056"/>
      <c r="L831" s="1056"/>
      <c r="M831" s="274"/>
      <c r="P831" s="264"/>
      <c r="Q831" s="264"/>
      <c r="R831" s="264"/>
      <c r="S831" s="264"/>
      <c r="T831" s="1056"/>
      <c r="U831" s="1056"/>
      <c r="V831" s="1056"/>
      <c r="W831" s="1056"/>
      <c r="X831" s="1056"/>
      <c r="Y831" s="1056"/>
      <c r="Z831" s="1056"/>
      <c r="AA831" s="1056"/>
      <c r="AB831" s="1056"/>
      <c r="AC831" s="1056"/>
      <c r="AD831" s="1056"/>
      <c r="AE831" s="1056"/>
      <c r="AF831" s="264"/>
    </row>
    <row r="832" spans="1:32" s="268" customFormat="1" ht="15" x14ac:dyDescent="0.25">
      <c r="A832" s="264"/>
      <c r="B832" s="264"/>
      <c r="C832" s="1056"/>
      <c r="D832" s="1056"/>
      <c r="E832" s="1056"/>
      <c r="F832" s="1056"/>
      <c r="G832" s="1056"/>
      <c r="H832" s="1056"/>
      <c r="I832" s="1056"/>
      <c r="J832" s="1056"/>
      <c r="K832" s="1056"/>
      <c r="L832" s="1056"/>
      <c r="M832" s="274"/>
      <c r="P832" s="264"/>
      <c r="Q832" s="264"/>
      <c r="R832" s="264"/>
      <c r="S832" s="264"/>
      <c r="T832" s="1056"/>
      <c r="U832" s="1056"/>
      <c r="V832" s="1056"/>
      <c r="W832" s="1056"/>
      <c r="X832" s="1056"/>
      <c r="Y832" s="1056"/>
      <c r="Z832" s="1056"/>
      <c r="AA832" s="1056"/>
      <c r="AB832" s="1056"/>
      <c r="AC832" s="1056"/>
      <c r="AD832" s="1056"/>
      <c r="AE832" s="1056"/>
      <c r="AF832" s="264"/>
    </row>
    <row r="833" spans="1:32" s="268" customFormat="1" ht="15" x14ac:dyDescent="0.25">
      <c r="A833" s="264"/>
      <c r="B833" s="264"/>
      <c r="C833" s="1056"/>
      <c r="D833" s="1056"/>
      <c r="E833" s="1056"/>
      <c r="F833" s="1056"/>
      <c r="G833" s="1056"/>
      <c r="H833" s="1056"/>
      <c r="I833" s="1056"/>
      <c r="J833" s="1056"/>
      <c r="K833" s="1056"/>
      <c r="L833" s="1056"/>
      <c r="M833" s="274"/>
      <c r="P833" s="264"/>
      <c r="Q833" s="264"/>
      <c r="R833" s="264"/>
      <c r="S833" s="264"/>
      <c r="T833" s="1056"/>
      <c r="U833" s="1056"/>
      <c r="V833" s="1056"/>
      <c r="W833" s="1056"/>
      <c r="X833" s="1056"/>
      <c r="Y833" s="1056"/>
      <c r="Z833" s="1056"/>
      <c r="AA833" s="1056"/>
      <c r="AB833" s="1056"/>
      <c r="AC833" s="1056"/>
      <c r="AD833" s="1056"/>
      <c r="AE833" s="1056"/>
      <c r="AF833" s="264"/>
    </row>
    <row r="834" spans="1:32" s="268" customFormat="1" ht="15" x14ac:dyDescent="0.25">
      <c r="A834" s="264"/>
      <c r="B834" s="264"/>
      <c r="C834" s="1056"/>
      <c r="D834" s="1056"/>
      <c r="E834" s="1056"/>
      <c r="F834" s="1056"/>
      <c r="G834" s="1056"/>
      <c r="H834" s="1056"/>
      <c r="I834" s="1056"/>
      <c r="J834" s="1056"/>
      <c r="K834" s="1056"/>
      <c r="L834" s="1056"/>
      <c r="M834" s="274"/>
      <c r="P834" s="264"/>
      <c r="Q834" s="264"/>
      <c r="R834" s="264"/>
      <c r="S834" s="264"/>
      <c r="T834" s="1056"/>
      <c r="U834" s="1056"/>
      <c r="V834" s="1056"/>
      <c r="W834" s="1056"/>
      <c r="X834" s="1056"/>
      <c r="Y834" s="1056"/>
      <c r="Z834" s="1056"/>
      <c r="AA834" s="1056"/>
      <c r="AB834" s="1056"/>
      <c r="AC834" s="1056"/>
      <c r="AD834" s="1056"/>
      <c r="AE834" s="1056"/>
      <c r="AF834" s="264"/>
    </row>
    <row r="835" spans="1:32" s="268" customFormat="1" ht="15" x14ac:dyDescent="0.25">
      <c r="A835" s="264"/>
      <c r="B835" s="264"/>
      <c r="C835" s="1056"/>
      <c r="D835" s="1056"/>
      <c r="E835" s="1056"/>
      <c r="F835" s="1056"/>
      <c r="G835" s="1056"/>
      <c r="H835" s="1056"/>
      <c r="I835" s="1056"/>
      <c r="J835" s="1056"/>
      <c r="K835" s="1056"/>
      <c r="L835" s="1056"/>
      <c r="M835" s="274"/>
      <c r="P835" s="264"/>
      <c r="Q835" s="264"/>
      <c r="R835" s="264"/>
      <c r="S835" s="264"/>
      <c r="T835" s="1056"/>
      <c r="U835" s="1056"/>
      <c r="V835" s="1056"/>
      <c r="W835" s="1056"/>
      <c r="X835" s="1056"/>
      <c r="Y835" s="1056"/>
      <c r="Z835" s="1056"/>
      <c r="AA835" s="1056"/>
      <c r="AB835" s="1056"/>
      <c r="AC835" s="1056"/>
      <c r="AD835" s="1056"/>
      <c r="AE835" s="1056"/>
      <c r="AF835" s="264"/>
    </row>
    <row r="836" spans="1:32" s="268" customFormat="1" ht="15" x14ac:dyDescent="0.25">
      <c r="A836" s="264"/>
      <c r="B836" s="264"/>
      <c r="C836" s="1056"/>
      <c r="D836" s="1056"/>
      <c r="E836" s="1056"/>
      <c r="F836" s="1056"/>
      <c r="G836" s="1056"/>
      <c r="H836" s="1056"/>
      <c r="I836" s="1056"/>
      <c r="J836" s="1056"/>
      <c r="K836" s="1056"/>
      <c r="L836" s="1056"/>
      <c r="M836" s="274"/>
      <c r="P836" s="264"/>
      <c r="Q836" s="264"/>
      <c r="R836" s="264"/>
      <c r="S836" s="264"/>
      <c r="T836" s="1056"/>
      <c r="U836" s="1056"/>
      <c r="V836" s="1056"/>
      <c r="W836" s="1056"/>
      <c r="X836" s="1056"/>
      <c r="Y836" s="1056"/>
      <c r="Z836" s="1056"/>
      <c r="AA836" s="1056"/>
      <c r="AB836" s="1056"/>
      <c r="AC836" s="1056"/>
      <c r="AD836" s="1056"/>
      <c r="AE836" s="1056"/>
      <c r="AF836" s="264"/>
    </row>
    <row r="837" spans="1:32" s="268" customFormat="1" ht="15" x14ac:dyDescent="0.25">
      <c r="A837" s="264"/>
      <c r="B837" s="264"/>
      <c r="C837" s="1056"/>
      <c r="D837" s="1056"/>
      <c r="E837" s="1056"/>
      <c r="F837" s="1056"/>
      <c r="G837" s="1056"/>
      <c r="H837" s="1056"/>
      <c r="I837" s="1056"/>
      <c r="J837" s="1056"/>
      <c r="K837" s="1056"/>
      <c r="L837" s="1056"/>
      <c r="M837" s="274"/>
      <c r="P837" s="264"/>
      <c r="Q837" s="264"/>
      <c r="R837" s="264"/>
      <c r="S837" s="264"/>
      <c r="T837" s="1056"/>
      <c r="U837" s="1056"/>
      <c r="V837" s="1056"/>
      <c r="W837" s="1056"/>
      <c r="X837" s="1056"/>
      <c r="Y837" s="1056"/>
      <c r="Z837" s="1056"/>
      <c r="AA837" s="1056"/>
      <c r="AB837" s="1056"/>
      <c r="AC837" s="1056"/>
      <c r="AD837" s="1056"/>
      <c r="AE837" s="1056"/>
      <c r="AF837" s="264"/>
    </row>
    <row r="838" spans="1:32" s="268" customFormat="1" ht="15" x14ac:dyDescent="0.25">
      <c r="A838" s="264"/>
      <c r="B838" s="264"/>
      <c r="C838" s="1056"/>
      <c r="D838" s="1056"/>
      <c r="E838" s="1056"/>
      <c r="F838" s="1056"/>
      <c r="G838" s="1056"/>
      <c r="H838" s="1056"/>
      <c r="I838" s="1056"/>
      <c r="J838" s="1056"/>
      <c r="K838" s="1056"/>
      <c r="L838" s="1056"/>
      <c r="M838" s="274"/>
      <c r="P838" s="264"/>
      <c r="Q838" s="264"/>
      <c r="R838" s="264"/>
      <c r="S838" s="264"/>
      <c r="T838" s="1056"/>
      <c r="U838" s="1056"/>
      <c r="V838" s="1056"/>
      <c r="W838" s="1056"/>
      <c r="X838" s="1056"/>
      <c r="Y838" s="1056"/>
      <c r="Z838" s="1056"/>
      <c r="AA838" s="1056"/>
      <c r="AB838" s="1056"/>
      <c r="AC838" s="1056"/>
      <c r="AD838" s="1056"/>
      <c r="AE838" s="1056"/>
      <c r="AF838" s="264"/>
    </row>
    <row r="839" spans="1:32" s="268" customFormat="1" ht="15" x14ac:dyDescent="0.25">
      <c r="A839" s="264"/>
      <c r="B839" s="264"/>
      <c r="C839" s="1056"/>
      <c r="D839" s="1056"/>
      <c r="E839" s="1056"/>
      <c r="F839" s="1056"/>
      <c r="G839" s="1056"/>
      <c r="H839" s="1056"/>
      <c r="I839" s="1056"/>
      <c r="J839" s="1056"/>
      <c r="K839" s="1056"/>
      <c r="L839" s="1056"/>
      <c r="M839" s="274"/>
      <c r="P839" s="264"/>
      <c r="Q839" s="264"/>
      <c r="R839" s="264"/>
      <c r="S839" s="264"/>
      <c r="T839" s="1056"/>
      <c r="U839" s="1056"/>
      <c r="V839" s="1056"/>
      <c r="W839" s="1056"/>
      <c r="X839" s="1056"/>
      <c r="Y839" s="1056"/>
      <c r="Z839" s="1056"/>
      <c r="AA839" s="1056"/>
      <c r="AB839" s="1056"/>
      <c r="AC839" s="1056"/>
      <c r="AD839" s="1056"/>
      <c r="AE839" s="1056"/>
      <c r="AF839" s="264"/>
    </row>
    <row r="840" spans="1:32" s="268" customFormat="1" ht="15" x14ac:dyDescent="0.25">
      <c r="A840" s="264"/>
      <c r="B840" s="264"/>
      <c r="C840" s="1056"/>
      <c r="D840" s="1056"/>
      <c r="E840" s="1056"/>
      <c r="F840" s="1056"/>
      <c r="G840" s="1056"/>
      <c r="H840" s="1056"/>
      <c r="I840" s="1056"/>
      <c r="J840" s="1056"/>
      <c r="K840" s="1056"/>
      <c r="L840" s="1056"/>
      <c r="M840" s="274"/>
      <c r="P840" s="264"/>
      <c r="Q840" s="264"/>
      <c r="R840" s="264"/>
      <c r="S840" s="264"/>
      <c r="T840" s="1056"/>
      <c r="U840" s="1056"/>
      <c r="V840" s="1056"/>
      <c r="W840" s="1056"/>
      <c r="X840" s="1056"/>
      <c r="Y840" s="1056"/>
      <c r="Z840" s="1056"/>
      <c r="AA840" s="1056"/>
      <c r="AB840" s="1056"/>
      <c r="AC840" s="1056"/>
      <c r="AD840" s="1056"/>
      <c r="AE840" s="1056"/>
      <c r="AF840" s="264"/>
    </row>
    <row r="841" spans="1:32" s="268" customFormat="1" ht="15" x14ac:dyDescent="0.25">
      <c r="A841" s="264"/>
      <c r="B841" s="264"/>
      <c r="C841" s="1056"/>
      <c r="D841" s="1056"/>
      <c r="E841" s="1056"/>
      <c r="F841" s="1056"/>
      <c r="G841" s="1056"/>
      <c r="H841" s="1056"/>
      <c r="I841" s="1056"/>
      <c r="J841" s="1056"/>
      <c r="K841" s="1056"/>
      <c r="L841" s="1056"/>
      <c r="M841" s="274"/>
      <c r="P841" s="264"/>
      <c r="Q841" s="264"/>
      <c r="R841" s="264"/>
      <c r="S841" s="264"/>
      <c r="T841" s="1056"/>
      <c r="U841" s="1056"/>
      <c r="V841" s="1056"/>
      <c r="W841" s="1056"/>
      <c r="X841" s="1056"/>
      <c r="Y841" s="1056"/>
      <c r="Z841" s="1056"/>
      <c r="AA841" s="1056"/>
      <c r="AB841" s="1056"/>
      <c r="AC841" s="1056"/>
      <c r="AD841" s="1056"/>
      <c r="AE841" s="1056"/>
      <c r="AF841" s="264"/>
    </row>
    <row r="842" spans="1:32" s="268" customFormat="1" ht="15" x14ac:dyDescent="0.25">
      <c r="A842" s="264"/>
      <c r="B842" s="264"/>
      <c r="C842" s="1056"/>
      <c r="D842" s="1056"/>
      <c r="E842" s="1056"/>
      <c r="F842" s="1056"/>
      <c r="G842" s="1056"/>
      <c r="H842" s="1056"/>
      <c r="I842" s="1056"/>
      <c r="J842" s="1056"/>
      <c r="K842" s="1056"/>
      <c r="L842" s="1056"/>
      <c r="M842" s="274"/>
      <c r="P842" s="264"/>
      <c r="Q842" s="264"/>
      <c r="R842" s="264"/>
      <c r="S842" s="264"/>
      <c r="T842" s="1056"/>
      <c r="U842" s="1056"/>
      <c r="V842" s="1056"/>
      <c r="W842" s="1056"/>
      <c r="X842" s="1056"/>
      <c r="Y842" s="1056"/>
      <c r="Z842" s="1056"/>
      <c r="AA842" s="1056"/>
      <c r="AB842" s="1056"/>
      <c r="AC842" s="1056"/>
      <c r="AD842" s="1056"/>
      <c r="AE842" s="1056"/>
      <c r="AF842" s="264"/>
    </row>
    <row r="843" spans="1:32" s="268" customFormat="1" ht="15" x14ac:dyDescent="0.25">
      <c r="A843" s="264"/>
      <c r="B843" s="264"/>
      <c r="C843" s="1056"/>
      <c r="D843" s="1056"/>
      <c r="E843" s="1056"/>
      <c r="F843" s="1056"/>
      <c r="G843" s="1056"/>
      <c r="H843" s="1056"/>
      <c r="I843" s="1056"/>
      <c r="J843" s="1056"/>
      <c r="K843" s="1056"/>
      <c r="L843" s="1056"/>
      <c r="M843" s="274"/>
      <c r="P843" s="264"/>
      <c r="Q843" s="264"/>
      <c r="R843" s="264"/>
      <c r="S843" s="264"/>
      <c r="T843" s="1056"/>
      <c r="U843" s="1056"/>
      <c r="V843" s="1056"/>
      <c r="W843" s="1056"/>
      <c r="X843" s="1056"/>
      <c r="Y843" s="1056"/>
      <c r="Z843" s="1056"/>
      <c r="AA843" s="1056"/>
      <c r="AB843" s="1056"/>
      <c r="AC843" s="1056"/>
      <c r="AD843" s="1056"/>
      <c r="AE843" s="1056"/>
      <c r="AF843" s="264"/>
    </row>
    <row r="844" spans="1:32" s="268" customFormat="1" ht="15" x14ac:dyDescent="0.25">
      <c r="A844" s="264"/>
      <c r="B844" s="264"/>
      <c r="C844" s="1056"/>
      <c r="D844" s="1056"/>
      <c r="E844" s="1056"/>
      <c r="F844" s="1056"/>
      <c r="G844" s="1056"/>
      <c r="H844" s="1056"/>
      <c r="I844" s="1056"/>
      <c r="J844" s="1056"/>
      <c r="K844" s="1056"/>
      <c r="L844" s="1056"/>
      <c r="M844" s="274"/>
      <c r="P844" s="264"/>
      <c r="Q844" s="264"/>
      <c r="R844" s="264"/>
      <c r="S844" s="264"/>
      <c r="T844" s="1056"/>
      <c r="U844" s="1056"/>
      <c r="V844" s="1056"/>
      <c r="W844" s="1056"/>
      <c r="X844" s="1056"/>
      <c r="Y844" s="1056"/>
      <c r="Z844" s="1056"/>
      <c r="AA844" s="1056"/>
      <c r="AB844" s="1056"/>
      <c r="AC844" s="1056"/>
      <c r="AD844" s="1056"/>
      <c r="AE844" s="1056"/>
      <c r="AF844" s="264"/>
    </row>
    <row r="845" spans="1:32" s="268" customFormat="1" ht="15" x14ac:dyDescent="0.25">
      <c r="A845" s="264"/>
      <c r="B845" s="264"/>
      <c r="C845" s="1056"/>
      <c r="D845" s="1056"/>
      <c r="E845" s="1056"/>
      <c r="F845" s="1056"/>
      <c r="G845" s="1056"/>
      <c r="H845" s="1056"/>
      <c r="I845" s="1056"/>
      <c r="J845" s="1056"/>
      <c r="K845" s="1056"/>
      <c r="L845" s="1056"/>
      <c r="M845" s="274"/>
      <c r="P845" s="264"/>
      <c r="Q845" s="264"/>
      <c r="R845" s="264"/>
      <c r="S845" s="264"/>
      <c r="T845" s="1056"/>
      <c r="U845" s="1056"/>
      <c r="V845" s="1056"/>
      <c r="W845" s="1056"/>
      <c r="X845" s="1056"/>
      <c r="Y845" s="1056"/>
      <c r="Z845" s="1056"/>
      <c r="AA845" s="1056"/>
      <c r="AB845" s="1056"/>
      <c r="AC845" s="1056"/>
      <c r="AD845" s="1056"/>
      <c r="AE845" s="1056"/>
      <c r="AF845" s="264"/>
    </row>
    <row r="846" spans="1:32" s="268" customFormat="1" ht="15" x14ac:dyDescent="0.25">
      <c r="A846" s="264"/>
      <c r="B846" s="264"/>
      <c r="C846" s="1056"/>
      <c r="D846" s="1056"/>
      <c r="E846" s="1056"/>
      <c r="F846" s="1056"/>
      <c r="G846" s="1056"/>
      <c r="H846" s="1056"/>
      <c r="I846" s="1056"/>
      <c r="J846" s="1056"/>
      <c r="K846" s="1056"/>
      <c r="L846" s="1056"/>
      <c r="M846" s="274"/>
      <c r="P846" s="264"/>
      <c r="Q846" s="264"/>
      <c r="R846" s="264"/>
      <c r="S846" s="264"/>
      <c r="T846" s="1056"/>
      <c r="U846" s="1056"/>
      <c r="V846" s="1056"/>
      <c r="W846" s="1056"/>
      <c r="X846" s="1056"/>
      <c r="Y846" s="1056"/>
      <c r="Z846" s="1056"/>
      <c r="AA846" s="1056"/>
      <c r="AB846" s="1056"/>
      <c r="AC846" s="1056"/>
      <c r="AD846" s="1056"/>
      <c r="AE846" s="1056"/>
      <c r="AF846" s="264"/>
    </row>
    <row r="847" spans="1:32" s="268" customFormat="1" ht="15" x14ac:dyDescent="0.25">
      <c r="A847" s="264"/>
      <c r="B847" s="264"/>
      <c r="C847" s="1056"/>
      <c r="D847" s="1056"/>
      <c r="E847" s="1056"/>
      <c r="F847" s="1056"/>
      <c r="G847" s="1056"/>
      <c r="H847" s="1056"/>
      <c r="I847" s="1056"/>
      <c r="J847" s="1056"/>
      <c r="K847" s="1056"/>
      <c r="L847" s="1056"/>
      <c r="M847" s="274"/>
      <c r="P847" s="264"/>
      <c r="Q847" s="264"/>
      <c r="R847" s="264"/>
      <c r="S847" s="264"/>
      <c r="T847" s="1056"/>
      <c r="U847" s="1056"/>
      <c r="V847" s="1056"/>
      <c r="W847" s="1056"/>
      <c r="X847" s="1056"/>
      <c r="Y847" s="1056"/>
      <c r="Z847" s="1056"/>
      <c r="AA847" s="1056"/>
      <c r="AB847" s="1056"/>
      <c r="AC847" s="1056"/>
      <c r="AD847" s="1056"/>
      <c r="AE847" s="1056"/>
      <c r="AF847" s="264"/>
    </row>
    <row r="848" spans="1:32" s="268" customFormat="1" ht="15" x14ac:dyDescent="0.25">
      <c r="A848" s="264"/>
      <c r="B848" s="264"/>
      <c r="C848" s="1056"/>
      <c r="D848" s="1056"/>
      <c r="E848" s="1056"/>
      <c r="F848" s="1056"/>
      <c r="G848" s="1056"/>
      <c r="H848" s="1056"/>
      <c r="I848" s="1056"/>
      <c r="J848" s="1056"/>
      <c r="K848" s="1056"/>
      <c r="L848" s="1056"/>
      <c r="M848" s="274"/>
      <c r="P848" s="264"/>
      <c r="Q848" s="264"/>
      <c r="R848" s="264"/>
      <c r="S848" s="264"/>
      <c r="T848" s="1056"/>
      <c r="U848" s="1056"/>
      <c r="V848" s="1056"/>
      <c r="W848" s="1056"/>
      <c r="X848" s="1056"/>
      <c r="Y848" s="1056"/>
      <c r="Z848" s="1056"/>
      <c r="AA848" s="1056"/>
      <c r="AB848" s="1056"/>
      <c r="AC848" s="1056"/>
      <c r="AD848" s="1056"/>
      <c r="AE848" s="1056"/>
      <c r="AF848" s="264"/>
    </row>
    <row r="849" spans="1:32" s="268" customFormat="1" ht="15" x14ac:dyDescent="0.25">
      <c r="A849" s="264"/>
      <c r="B849" s="264"/>
      <c r="C849" s="1056"/>
      <c r="D849" s="1056"/>
      <c r="E849" s="1056"/>
      <c r="F849" s="1056"/>
      <c r="G849" s="1056"/>
      <c r="H849" s="1056"/>
      <c r="I849" s="1056"/>
      <c r="J849" s="1056"/>
      <c r="K849" s="1056"/>
      <c r="L849" s="1056"/>
      <c r="M849" s="274"/>
      <c r="P849" s="264"/>
      <c r="Q849" s="264"/>
      <c r="R849" s="264"/>
      <c r="S849" s="264"/>
      <c r="T849" s="1056"/>
      <c r="U849" s="1056"/>
      <c r="V849" s="1056"/>
      <c r="W849" s="1056"/>
      <c r="X849" s="1056"/>
      <c r="Y849" s="1056"/>
      <c r="Z849" s="1056"/>
      <c r="AA849" s="1056"/>
      <c r="AB849" s="1056"/>
      <c r="AC849" s="1056"/>
      <c r="AD849" s="1056"/>
      <c r="AE849" s="1056"/>
      <c r="AF849" s="264"/>
    </row>
    <row r="850" spans="1:32" s="268" customFormat="1" ht="15" x14ac:dyDescent="0.25">
      <c r="A850" s="264"/>
      <c r="B850" s="264"/>
      <c r="C850" s="1056"/>
      <c r="D850" s="1056"/>
      <c r="E850" s="1056"/>
      <c r="F850" s="1056"/>
      <c r="G850" s="1056"/>
      <c r="H850" s="1056"/>
      <c r="I850" s="1056"/>
      <c r="J850" s="1056"/>
      <c r="K850" s="1056"/>
      <c r="L850" s="1056"/>
      <c r="M850" s="274"/>
      <c r="P850" s="264"/>
      <c r="Q850" s="264"/>
      <c r="R850" s="264"/>
      <c r="S850" s="264"/>
      <c r="T850" s="1056"/>
      <c r="U850" s="1056"/>
      <c r="V850" s="1056"/>
      <c r="W850" s="1056"/>
      <c r="X850" s="1056"/>
      <c r="Y850" s="1056"/>
      <c r="Z850" s="1056"/>
      <c r="AA850" s="1056"/>
      <c r="AB850" s="1056"/>
      <c r="AC850" s="1056"/>
      <c r="AD850" s="1056"/>
      <c r="AE850" s="1056"/>
      <c r="AF850" s="264"/>
    </row>
    <row r="851" spans="1:32" s="268" customFormat="1" ht="15" x14ac:dyDescent="0.25">
      <c r="A851" s="264"/>
      <c r="B851" s="264"/>
      <c r="C851" s="1056"/>
      <c r="D851" s="1056"/>
      <c r="E851" s="1056"/>
      <c r="F851" s="1056"/>
      <c r="G851" s="1056"/>
      <c r="H851" s="1056"/>
      <c r="I851" s="1056"/>
      <c r="J851" s="1056"/>
      <c r="K851" s="1056"/>
      <c r="L851" s="1056"/>
      <c r="M851" s="274"/>
      <c r="P851" s="264"/>
      <c r="Q851" s="264"/>
      <c r="R851" s="264"/>
      <c r="S851" s="264"/>
      <c r="T851" s="1056"/>
      <c r="U851" s="1056"/>
      <c r="V851" s="1056"/>
      <c r="W851" s="1056"/>
      <c r="X851" s="1056"/>
      <c r="Y851" s="1056"/>
      <c r="Z851" s="1056"/>
      <c r="AA851" s="1056"/>
      <c r="AB851" s="1056"/>
      <c r="AC851" s="1056"/>
      <c r="AD851" s="1056"/>
      <c r="AE851" s="1056"/>
      <c r="AF851" s="264"/>
    </row>
    <row r="852" spans="1:32" s="268" customFormat="1" ht="15" x14ac:dyDescent="0.25">
      <c r="A852" s="264"/>
      <c r="B852" s="264"/>
      <c r="C852" s="1056"/>
      <c r="D852" s="1056"/>
      <c r="E852" s="1056"/>
      <c r="F852" s="1056"/>
      <c r="G852" s="1056"/>
      <c r="H852" s="1056"/>
      <c r="I852" s="1056"/>
      <c r="J852" s="1056"/>
      <c r="K852" s="1056"/>
      <c r="L852" s="1056"/>
      <c r="M852" s="274"/>
      <c r="P852" s="264"/>
      <c r="Q852" s="264"/>
      <c r="R852" s="264"/>
      <c r="S852" s="264"/>
      <c r="T852" s="1056"/>
      <c r="U852" s="1056"/>
      <c r="V852" s="1056"/>
      <c r="W852" s="1056"/>
      <c r="X852" s="1056"/>
      <c r="Y852" s="1056"/>
      <c r="Z852" s="1056"/>
      <c r="AA852" s="1056"/>
      <c r="AB852" s="1056"/>
      <c r="AC852" s="1056"/>
      <c r="AD852" s="1056"/>
      <c r="AE852" s="1056"/>
      <c r="AF852" s="264"/>
    </row>
    <row r="853" spans="1:32" s="268" customFormat="1" ht="15" x14ac:dyDescent="0.25">
      <c r="A853" s="264"/>
      <c r="B853" s="264"/>
      <c r="C853" s="1056"/>
      <c r="D853" s="1056"/>
      <c r="E853" s="1056"/>
      <c r="F853" s="1056"/>
      <c r="G853" s="1056"/>
      <c r="H853" s="1056"/>
      <c r="I853" s="1056"/>
      <c r="J853" s="1056"/>
      <c r="K853" s="1056"/>
      <c r="L853" s="1056"/>
      <c r="M853" s="274"/>
      <c r="P853" s="264"/>
      <c r="Q853" s="264"/>
      <c r="R853" s="264"/>
      <c r="S853" s="264"/>
      <c r="T853" s="1056"/>
      <c r="U853" s="1056"/>
      <c r="V853" s="1056"/>
      <c r="W853" s="1056"/>
      <c r="X853" s="1056"/>
      <c r="Y853" s="1056"/>
      <c r="Z853" s="1056"/>
      <c r="AA853" s="1056"/>
      <c r="AB853" s="1056"/>
      <c r="AC853" s="1056"/>
      <c r="AD853" s="1056"/>
      <c r="AE853" s="1056"/>
      <c r="AF853" s="264"/>
    </row>
    <row r="854" spans="1:32" s="268" customFormat="1" ht="15" x14ac:dyDescent="0.25">
      <c r="A854" s="264"/>
      <c r="B854" s="264"/>
      <c r="C854" s="1056"/>
      <c r="D854" s="1056"/>
      <c r="E854" s="1056"/>
      <c r="F854" s="1056"/>
      <c r="G854" s="1056"/>
      <c r="H854" s="1056"/>
      <c r="I854" s="1056"/>
      <c r="J854" s="1056"/>
      <c r="K854" s="1056"/>
      <c r="L854" s="1056"/>
      <c r="M854" s="274"/>
      <c r="P854" s="264"/>
      <c r="Q854" s="264"/>
      <c r="R854" s="264"/>
      <c r="S854" s="264"/>
      <c r="T854" s="1056"/>
      <c r="U854" s="1056"/>
      <c r="V854" s="1056"/>
      <c r="W854" s="1056"/>
      <c r="X854" s="1056"/>
      <c r="Y854" s="1056"/>
      <c r="Z854" s="1056"/>
      <c r="AA854" s="1056"/>
      <c r="AB854" s="1056"/>
      <c r="AC854" s="1056"/>
      <c r="AD854" s="1056"/>
      <c r="AE854" s="1056"/>
      <c r="AF854" s="264"/>
    </row>
    <row r="855" spans="1:32" s="268" customFormat="1" ht="15" x14ac:dyDescent="0.25">
      <c r="A855" s="264"/>
      <c r="B855" s="264"/>
      <c r="C855" s="1056"/>
      <c r="D855" s="1056"/>
      <c r="E855" s="1056"/>
      <c r="F855" s="1056"/>
      <c r="G855" s="1056"/>
      <c r="H855" s="1056"/>
      <c r="I855" s="1056"/>
      <c r="J855" s="1056"/>
      <c r="K855" s="1056"/>
      <c r="L855" s="1056"/>
      <c r="M855" s="274"/>
      <c r="P855" s="264"/>
      <c r="Q855" s="264"/>
      <c r="R855" s="264"/>
      <c r="S855" s="264"/>
      <c r="T855" s="1056"/>
      <c r="U855" s="1056"/>
      <c r="V855" s="1056"/>
      <c r="W855" s="1056"/>
      <c r="X855" s="1056"/>
      <c r="Y855" s="1056"/>
      <c r="Z855" s="1056"/>
      <c r="AA855" s="1056"/>
      <c r="AB855" s="1056"/>
      <c r="AC855" s="1056"/>
      <c r="AD855" s="1056"/>
      <c r="AE855" s="1056"/>
      <c r="AF855" s="264"/>
    </row>
    <row r="856" spans="1:32" s="268" customFormat="1" ht="15" x14ac:dyDescent="0.25">
      <c r="A856" s="264"/>
      <c r="B856" s="264"/>
      <c r="C856" s="1056"/>
      <c r="D856" s="1056"/>
      <c r="E856" s="1056"/>
      <c r="F856" s="1056"/>
      <c r="G856" s="1056"/>
      <c r="H856" s="1056"/>
      <c r="I856" s="1056"/>
      <c r="J856" s="1056"/>
      <c r="K856" s="1056"/>
      <c r="L856" s="1056"/>
      <c r="M856" s="274"/>
      <c r="P856" s="264"/>
      <c r="Q856" s="264"/>
      <c r="R856" s="264"/>
      <c r="S856" s="264"/>
      <c r="T856" s="1056"/>
      <c r="U856" s="1056"/>
      <c r="V856" s="1056"/>
      <c r="W856" s="1056"/>
      <c r="X856" s="1056"/>
      <c r="Y856" s="1056"/>
      <c r="Z856" s="1056"/>
      <c r="AA856" s="1056"/>
      <c r="AB856" s="1056"/>
      <c r="AC856" s="1056"/>
      <c r="AD856" s="1056"/>
      <c r="AE856" s="1056"/>
      <c r="AF856" s="264"/>
    </row>
    <row r="857" spans="1:32" s="268" customFormat="1" ht="15" x14ac:dyDescent="0.25">
      <c r="A857" s="264"/>
      <c r="B857" s="264"/>
      <c r="C857" s="1056"/>
      <c r="D857" s="1056"/>
      <c r="E857" s="1056"/>
      <c r="F857" s="1056"/>
      <c r="G857" s="1056"/>
      <c r="H857" s="1056"/>
      <c r="I857" s="1056"/>
      <c r="J857" s="1056"/>
      <c r="K857" s="1056"/>
      <c r="L857" s="1056"/>
      <c r="M857" s="274"/>
      <c r="P857" s="264"/>
      <c r="Q857" s="264"/>
      <c r="R857" s="264"/>
      <c r="S857" s="264"/>
      <c r="T857" s="1056"/>
      <c r="U857" s="1056"/>
      <c r="V857" s="1056"/>
      <c r="W857" s="1056"/>
      <c r="X857" s="1056"/>
      <c r="Y857" s="1056"/>
      <c r="Z857" s="1056"/>
      <c r="AA857" s="1056"/>
      <c r="AB857" s="1056"/>
      <c r="AC857" s="1056"/>
      <c r="AD857" s="1056"/>
      <c r="AE857" s="1056"/>
      <c r="AF857" s="264"/>
    </row>
    <row r="858" spans="1:32" s="268" customFormat="1" ht="15" x14ac:dyDescent="0.25">
      <c r="A858" s="264"/>
      <c r="B858" s="264"/>
      <c r="C858" s="1056"/>
      <c r="D858" s="1056"/>
      <c r="E858" s="1056"/>
      <c r="F858" s="1056"/>
      <c r="G858" s="1056"/>
      <c r="H858" s="1056"/>
      <c r="I858" s="1056"/>
      <c r="J858" s="1056"/>
      <c r="K858" s="1056"/>
      <c r="L858" s="1056"/>
      <c r="M858" s="274"/>
      <c r="P858" s="264"/>
      <c r="Q858" s="264"/>
      <c r="R858" s="264"/>
      <c r="S858" s="264"/>
      <c r="T858" s="1056"/>
      <c r="U858" s="1056"/>
      <c r="V858" s="1056"/>
      <c r="W858" s="1056"/>
      <c r="X858" s="1056"/>
      <c r="Y858" s="1056"/>
      <c r="Z858" s="1056"/>
      <c r="AA858" s="1056"/>
      <c r="AB858" s="1056"/>
      <c r="AC858" s="1056"/>
      <c r="AD858" s="1056"/>
      <c r="AE858" s="1056"/>
      <c r="AF858" s="264"/>
    </row>
    <row r="859" spans="1:32" s="268" customFormat="1" ht="15" x14ac:dyDescent="0.25">
      <c r="A859" s="264"/>
      <c r="B859" s="264"/>
      <c r="C859" s="1056"/>
      <c r="D859" s="1056"/>
      <c r="E859" s="1056"/>
      <c r="F859" s="1056"/>
      <c r="G859" s="1056"/>
      <c r="H859" s="1056"/>
      <c r="I859" s="1056"/>
      <c r="J859" s="1056"/>
      <c r="K859" s="1056"/>
      <c r="L859" s="1056"/>
      <c r="M859" s="274"/>
      <c r="P859" s="264"/>
      <c r="Q859" s="264"/>
      <c r="R859" s="264"/>
      <c r="S859" s="264"/>
      <c r="T859" s="1056"/>
      <c r="U859" s="1056"/>
      <c r="V859" s="1056"/>
      <c r="W859" s="1056"/>
      <c r="X859" s="1056"/>
      <c r="Y859" s="1056"/>
      <c r="Z859" s="1056"/>
      <c r="AA859" s="1056"/>
      <c r="AB859" s="1056"/>
      <c r="AC859" s="1056"/>
      <c r="AD859" s="1056"/>
      <c r="AE859" s="1056"/>
      <c r="AF859" s="264"/>
    </row>
    <row r="860" spans="1:32" s="268" customFormat="1" ht="15" x14ac:dyDescent="0.25">
      <c r="A860" s="264"/>
      <c r="B860" s="264"/>
      <c r="C860" s="1056"/>
      <c r="D860" s="1056"/>
      <c r="E860" s="1056"/>
      <c r="F860" s="1056"/>
      <c r="G860" s="1056"/>
      <c r="H860" s="1056"/>
      <c r="I860" s="1056"/>
      <c r="J860" s="1056"/>
      <c r="K860" s="1056"/>
      <c r="L860" s="1056"/>
      <c r="M860" s="274"/>
      <c r="P860" s="264"/>
      <c r="Q860" s="264"/>
      <c r="R860" s="264"/>
      <c r="S860" s="264"/>
      <c r="T860" s="1056"/>
      <c r="U860" s="1056"/>
      <c r="V860" s="1056"/>
      <c r="W860" s="1056"/>
      <c r="X860" s="1056"/>
      <c r="Y860" s="1056"/>
      <c r="Z860" s="1056"/>
      <c r="AA860" s="1056"/>
      <c r="AB860" s="1056"/>
      <c r="AC860" s="1056"/>
      <c r="AD860" s="1056"/>
      <c r="AE860" s="1056"/>
      <c r="AF860" s="264"/>
    </row>
    <row r="861" spans="1:32" s="268" customFormat="1" ht="15" x14ac:dyDescent="0.25">
      <c r="A861" s="264"/>
      <c r="B861" s="264"/>
      <c r="C861" s="1056"/>
      <c r="D861" s="1056"/>
      <c r="E861" s="1056"/>
      <c r="F861" s="1056"/>
      <c r="G861" s="1056"/>
      <c r="H861" s="1056"/>
      <c r="I861" s="1056"/>
      <c r="J861" s="1056"/>
      <c r="K861" s="1056"/>
      <c r="L861" s="1056"/>
      <c r="M861" s="274"/>
      <c r="P861" s="264"/>
      <c r="Q861" s="264"/>
      <c r="R861" s="264"/>
      <c r="S861" s="264"/>
      <c r="T861" s="1056"/>
      <c r="U861" s="1056"/>
      <c r="V861" s="1056"/>
      <c r="W861" s="1056"/>
      <c r="X861" s="1056"/>
      <c r="Y861" s="1056"/>
      <c r="Z861" s="1056"/>
      <c r="AA861" s="1056"/>
      <c r="AB861" s="1056"/>
      <c r="AC861" s="1056"/>
      <c r="AD861" s="1056"/>
      <c r="AE861" s="1056"/>
      <c r="AF861" s="264"/>
    </row>
    <row r="862" spans="1:32" s="268" customFormat="1" ht="15" x14ac:dyDescent="0.25">
      <c r="A862" s="264"/>
      <c r="B862" s="264"/>
      <c r="C862" s="1056"/>
      <c r="D862" s="1056"/>
      <c r="E862" s="1056"/>
      <c r="F862" s="1056"/>
      <c r="G862" s="1056"/>
      <c r="H862" s="1056"/>
      <c r="I862" s="1056"/>
      <c r="J862" s="1056"/>
      <c r="K862" s="1056"/>
      <c r="L862" s="1056"/>
      <c r="M862" s="274"/>
      <c r="P862" s="264"/>
      <c r="Q862" s="264"/>
      <c r="R862" s="264"/>
      <c r="S862" s="264"/>
      <c r="T862" s="1056"/>
      <c r="U862" s="1056"/>
      <c r="V862" s="1056"/>
      <c r="W862" s="1056"/>
      <c r="X862" s="1056"/>
      <c r="Y862" s="1056"/>
      <c r="Z862" s="1056"/>
      <c r="AA862" s="1056"/>
      <c r="AB862" s="1056"/>
      <c r="AC862" s="1056"/>
      <c r="AD862" s="1056"/>
      <c r="AE862" s="1056"/>
      <c r="AF862" s="264"/>
    </row>
    <row r="863" spans="1:32" s="268" customFormat="1" ht="15" x14ac:dyDescent="0.25">
      <c r="A863" s="264"/>
      <c r="B863" s="264"/>
      <c r="C863" s="1056"/>
      <c r="D863" s="1056"/>
      <c r="E863" s="1056"/>
      <c r="F863" s="1056"/>
      <c r="G863" s="1056"/>
      <c r="H863" s="1056"/>
      <c r="I863" s="1056"/>
      <c r="J863" s="1056"/>
      <c r="K863" s="1056"/>
      <c r="L863" s="1056"/>
      <c r="M863" s="274"/>
      <c r="P863" s="264"/>
      <c r="Q863" s="264"/>
      <c r="R863" s="264"/>
      <c r="S863" s="264"/>
      <c r="T863" s="1056"/>
      <c r="U863" s="1056"/>
      <c r="V863" s="1056"/>
      <c r="W863" s="1056"/>
      <c r="X863" s="1056"/>
      <c r="Y863" s="1056"/>
      <c r="Z863" s="1056"/>
      <c r="AA863" s="1056"/>
      <c r="AB863" s="1056"/>
      <c r="AC863" s="1056"/>
      <c r="AD863" s="1056"/>
      <c r="AE863" s="1056"/>
      <c r="AF863" s="264"/>
    </row>
    <row r="864" spans="1:32" s="268" customFormat="1" ht="15" x14ac:dyDescent="0.25">
      <c r="A864" s="264"/>
      <c r="B864" s="264"/>
      <c r="C864" s="1056"/>
      <c r="D864" s="1056"/>
      <c r="E864" s="1056"/>
      <c r="F864" s="1056"/>
      <c r="G864" s="1056"/>
      <c r="H864" s="1056"/>
      <c r="I864" s="1056"/>
      <c r="J864" s="1056"/>
      <c r="K864" s="1056"/>
      <c r="L864" s="1056"/>
      <c r="M864" s="274"/>
      <c r="P864" s="264"/>
      <c r="Q864" s="264"/>
      <c r="R864" s="264"/>
      <c r="S864" s="264"/>
      <c r="T864" s="1056"/>
      <c r="U864" s="1056"/>
      <c r="V864" s="1056"/>
      <c r="W864" s="1056"/>
      <c r="X864" s="1056"/>
      <c r="Y864" s="1056"/>
      <c r="Z864" s="1056"/>
      <c r="AA864" s="1056"/>
      <c r="AB864" s="1056"/>
      <c r="AC864" s="1056"/>
      <c r="AD864" s="1056"/>
      <c r="AE864" s="1056"/>
      <c r="AF864" s="264"/>
    </row>
    <row r="865" spans="1:32" s="268" customFormat="1" ht="15" x14ac:dyDescent="0.25">
      <c r="A865" s="264"/>
      <c r="B865" s="264"/>
      <c r="C865" s="1056"/>
      <c r="D865" s="1056"/>
      <c r="E865" s="1056"/>
      <c r="F865" s="1056"/>
      <c r="G865" s="1056"/>
      <c r="H865" s="1056"/>
      <c r="I865" s="1056"/>
      <c r="J865" s="1056"/>
      <c r="K865" s="1056"/>
      <c r="L865" s="1056"/>
      <c r="M865" s="274"/>
      <c r="P865" s="264"/>
      <c r="Q865" s="264"/>
      <c r="R865" s="264"/>
      <c r="S865" s="264"/>
      <c r="T865" s="1056"/>
      <c r="U865" s="1056"/>
      <c r="V865" s="1056"/>
      <c r="W865" s="1056"/>
      <c r="X865" s="1056"/>
      <c r="Y865" s="1056"/>
      <c r="Z865" s="1056"/>
      <c r="AA865" s="1056"/>
      <c r="AB865" s="1056"/>
      <c r="AC865" s="1056"/>
      <c r="AD865" s="1056"/>
      <c r="AE865" s="1056"/>
      <c r="AF865" s="264"/>
    </row>
    <row r="866" spans="1:32" s="268" customFormat="1" ht="15" x14ac:dyDescent="0.25">
      <c r="A866" s="264"/>
      <c r="B866" s="264"/>
      <c r="C866" s="1056"/>
      <c r="D866" s="1056"/>
      <c r="E866" s="1056"/>
      <c r="F866" s="1056"/>
      <c r="G866" s="1056"/>
      <c r="H866" s="1056"/>
      <c r="I866" s="1056"/>
      <c r="J866" s="1056"/>
      <c r="K866" s="1056"/>
      <c r="L866" s="1056"/>
      <c r="M866" s="274"/>
      <c r="P866" s="264"/>
      <c r="Q866" s="264"/>
      <c r="R866" s="264"/>
      <c r="S866" s="264"/>
      <c r="T866" s="1056"/>
      <c r="U866" s="1056"/>
      <c r="V866" s="1056"/>
      <c r="W866" s="1056"/>
      <c r="X866" s="1056"/>
      <c r="Y866" s="1056"/>
      <c r="Z866" s="1056"/>
      <c r="AA866" s="1056"/>
      <c r="AB866" s="1056"/>
      <c r="AC866" s="1056"/>
      <c r="AD866" s="1056"/>
      <c r="AE866" s="1056"/>
      <c r="AF866" s="264"/>
    </row>
    <row r="867" spans="1:32" s="268" customFormat="1" ht="15" x14ac:dyDescent="0.25">
      <c r="A867" s="264"/>
      <c r="B867" s="264"/>
      <c r="C867" s="1056"/>
      <c r="D867" s="1056"/>
      <c r="E867" s="1056"/>
      <c r="F867" s="1056"/>
      <c r="G867" s="1056"/>
      <c r="H867" s="1056"/>
      <c r="I867" s="1056"/>
      <c r="J867" s="1056"/>
      <c r="K867" s="1056"/>
      <c r="L867" s="1056"/>
      <c r="M867" s="274"/>
      <c r="P867" s="264"/>
      <c r="Q867" s="264"/>
      <c r="R867" s="264"/>
      <c r="S867" s="264"/>
      <c r="T867" s="1056"/>
      <c r="U867" s="1056"/>
      <c r="V867" s="1056"/>
      <c r="W867" s="1056"/>
      <c r="X867" s="1056"/>
      <c r="Y867" s="1056"/>
      <c r="Z867" s="1056"/>
      <c r="AA867" s="1056"/>
      <c r="AB867" s="1056"/>
      <c r="AC867" s="1056"/>
      <c r="AD867" s="1056"/>
      <c r="AE867" s="1056"/>
      <c r="AF867" s="264"/>
    </row>
    <row r="868" spans="1:32" s="268" customFormat="1" ht="15" x14ac:dyDescent="0.25">
      <c r="A868" s="264"/>
      <c r="B868" s="264"/>
      <c r="C868" s="1056"/>
      <c r="D868" s="1056"/>
      <c r="E868" s="1056"/>
      <c r="F868" s="1056"/>
      <c r="G868" s="1056"/>
      <c r="H868" s="1056"/>
      <c r="I868" s="1056"/>
      <c r="J868" s="1056"/>
      <c r="K868" s="1056"/>
      <c r="L868" s="1056"/>
      <c r="M868" s="274"/>
      <c r="P868" s="264"/>
      <c r="Q868" s="264"/>
      <c r="R868" s="264"/>
      <c r="S868" s="264"/>
      <c r="T868" s="1056"/>
      <c r="U868" s="1056"/>
      <c r="V868" s="1056"/>
      <c r="W868" s="1056"/>
      <c r="X868" s="1056"/>
      <c r="Y868" s="1056"/>
      <c r="Z868" s="1056"/>
      <c r="AA868" s="1056"/>
      <c r="AB868" s="1056"/>
      <c r="AC868" s="1056"/>
      <c r="AD868" s="1056"/>
      <c r="AE868" s="1056"/>
      <c r="AF868" s="264"/>
    </row>
    <row r="869" spans="1:32" s="268" customFormat="1" ht="15" x14ac:dyDescent="0.25">
      <c r="A869" s="264"/>
      <c r="B869" s="264"/>
      <c r="C869" s="1056"/>
      <c r="D869" s="1056"/>
      <c r="E869" s="1056"/>
      <c r="F869" s="1056"/>
      <c r="G869" s="1056"/>
      <c r="H869" s="1056"/>
      <c r="I869" s="1056"/>
      <c r="J869" s="1056"/>
      <c r="K869" s="1056"/>
      <c r="L869" s="1056"/>
      <c r="M869" s="274"/>
      <c r="P869" s="264"/>
      <c r="Q869" s="264"/>
      <c r="R869" s="264"/>
      <c r="S869" s="264"/>
      <c r="T869" s="1056"/>
      <c r="U869" s="1056"/>
      <c r="V869" s="1056"/>
      <c r="W869" s="1056"/>
      <c r="X869" s="1056"/>
      <c r="Y869" s="1056"/>
      <c r="Z869" s="1056"/>
      <c r="AA869" s="1056"/>
      <c r="AB869" s="1056"/>
      <c r="AC869" s="1056"/>
      <c r="AD869" s="1056"/>
      <c r="AE869" s="1056"/>
      <c r="AF869" s="264"/>
    </row>
    <row r="870" spans="1:32" s="268" customFormat="1" ht="15" x14ac:dyDescent="0.25">
      <c r="A870" s="264"/>
      <c r="B870" s="264"/>
      <c r="C870" s="1056"/>
      <c r="D870" s="1056"/>
      <c r="E870" s="1056"/>
      <c r="F870" s="1056"/>
      <c r="G870" s="1056"/>
      <c r="H870" s="1056"/>
      <c r="I870" s="1056"/>
      <c r="J870" s="1056"/>
      <c r="K870" s="1056"/>
      <c r="L870" s="1056"/>
      <c r="M870" s="274"/>
      <c r="P870" s="264"/>
      <c r="Q870" s="264"/>
      <c r="R870" s="264"/>
      <c r="S870" s="264"/>
      <c r="T870" s="1056"/>
      <c r="U870" s="1056"/>
      <c r="V870" s="1056"/>
      <c r="W870" s="1056"/>
      <c r="X870" s="1056"/>
      <c r="Y870" s="1056"/>
      <c r="Z870" s="1056"/>
      <c r="AA870" s="1056"/>
      <c r="AB870" s="1056"/>
      <c r="AC870" s="1056"/>
      <c r="AD870" s="1056"/>
      <c r="AE870" s="1056"/>
      <c r="AF870" s="264"/>
    </row>
    <row r="871" spans="1:32" s="268" customFormat="1" ht="15" x14ac:dyDescent="0.25">
      <c r="A871" s="264"/>
      <c r="B871" s="264"/>
      <c r="C871" s="1056"/>
      <c r="D871" s="1056"/>
      <c r="E871" s="1056"/>
      <c r="F871" s="1056"/>
      <c r="G871" s="1056"/>
      <c r="H871" s="1056"/>
      <c r="I871" s="1056"/>
      <c r="J871" s="1056"/>
      <c r="K871" s="1056"/>
      <c r="L871" s="1056"/>
      <c r="M871" s="274"/>
      <c r="P871" s="264"/>
      <c r="Q871" s="264"/>
      <c r="R871" s="264"/>
      <c r="S871" s="264"/>
      <c r="T871" s="1056"/>
      <c r="U871" s="1056"/>
      <c r="V871" s="1056"/>
      <c r="W871" s="1056"/>
      <c r="X871" s="1056"/>
      <c r="Y871" s="1056"/>
      <c r="Z871" s="1056"/>
      <c r="AA871" s="1056"/>
      <c r="AB871" s="1056"/>
      <c r="AC871" s="1056"/>
      <c r="AD871" s="1056"/>
      <c r="AE871" s="1056"/>
      <c r="AF871" s="264"/>
    </row>
    <row r="872" spans="1:32" s="268" customFormat="1" ht="15" x14ac:dyDescent="0.25">
      <c r="A872" s="264"/>
      <c r="B872" s="264"/>
      <c r="C872" s="1056"/>
      <c r="D872" s="1056"/>
      <c r="E872" s="1056"/>
      <c r="F872" s="1056"/>
      <c r="G872" s="1056"/>
      <c r="H872" s="1056"/>
      <c r="I872" s="1056"/>
      <c r="J872" s="1056"/>
      <c r="K872" s="1056"/>
      <c r="L872" s="1056"/>
      <c r="M872" s="274"/>
      <c r="P872" s="264"/>
      <c r="Q872" s="264"/>
      <c r="R872" s="264"/>
      <c r="S872" s="264"/>
      <c r="T872" s="1056"/>
      <c r="U872" s="1056"/>
      <c r="V872" s="1056"/>
      <c r="W872" s="1056"/>
      <c r="X872" s="1056"/>
      <c r="Y872" s="1056"/>
      <c r="Z872" s="1056"/>
      <c r="AA872" s="1056"/>
      <c r="AB872" s="1056"/>
      <c r="AC872" s="1056"/>
      <c r="AD872" s="1056"/>
      <c r="AE872" s="1056"/>
      <c r="AF872" s="264"/>
    </row>
    <row r="873" spans="1:32" s="268" customFormat="1" ht="15" x14ac:dyDescent="0.25">
      <c r="A873" s="264"/>
      <c r="B873" s="264"/>
      <c r="C873" s="1056"/>
      <c r="D873" s="1056"/>
      <c r="E873" s="1056"/>
      <c r="F873" s="1056"/>
      <c r="G873" s="1056"/>
      <c r="H873" s="1056"/>
      <c r="I873" s="1056"/>
      <c r="J873" s="1056"/>
      <c r="K873" s="1056"/>
      <c r="L873" s="1056"/>
      <c r="M873" s="274"/>
      <c r="P873" s="264"/>
      <c r="Q873" s="264"/>
      <c r="R873" s="264"/>
      <c r="S873" s="264"/>
      <c r="T873" s="1056"/>
      <c r="U873" s="1056"/>
      <c r="V873" s="1056"/>
      <c r="W873" s="1056"/>
      <c r="X873" s="1056"/>
      <c r="Y873" s="1056"/>
      <c r="Z873" s="1056"/>
      <c r="AA873" s="1056"/>
      <c r="AB873" s="1056"/>
      <c r="AC873" s="1056"/>
      <c r="AD873" s="1056"/>
      <c r="AE873" s="1056"/>
      <c r="AF873" s="264"/>
    </row>
    <row r="874" spans="1:32" s="268" customFormat="1" ht="15" x14ac:dyDescent="0.25">
      <c r="A874" s="264"/>
      <c r="B874" s="264"/>
      <c r="C874" s="1056"/>
      <c r="D874" s="1056"/>
      <c r="E874" s="1056"/>
      <c r="F874" s="1056"/>
      <c r="G874" s="1056"/>
      <c r="H874" s="1056"/>
      <c r="I874" s="1056"/>
      <c r="J874" s="1056"/>
      <c r="K874" s="1056"/>
      <c r="L874" s="1056"/>
      <c r="M874" s="274"/>
      <c r="P874" s="264"/>
      <c r="Q874" s="264"/>
      <c r="R874" s="264"/>
      <c r="S874" s="264"/>
      <c r="T874" s="1056"/>
      <c r="U874" s="1056"/>
      <c r="V874" s="1056"/>
      <c r="W874" s="1056"/>
      <c r="X874" s="1056"/>
      <c r="Y874" s="1056"/>
      <c r="Z874" s="1056"/>
      <c r="AA874" s="1056"/>
      <c r="AB874" s="1056"/>
      <c r="AC874" s="1056"/>
      <c r="AD874" s="1056"/>
      <c r="AE874" s="1056"/>
      <c r="AF874" s="264"/>
    </row>
    <row r="875" spans="1:32" s="268" customFormat="1" ht="15" x14ac:dyDescent="0.25">
      <c r="A875" s="264"/>
      <c r="B875" s="264"/>
      <c r="C875" s="1056"/>
      <c r="D875" s="1056"/>
      <c r="E875" s="1056"/>
      <c r="F875" s="1056"/>
      <c r="G875" s="1056"/>
      <c r="H875" s="1056"/>
      <c r="I875" s="1056"/>
      <c r="J875" s="1056"/>
      <c r="K875" s="1056"/>
      <c r="L875" s="1056"/>
      <c r="M875" s="274"/>
      <c r="P875" s="264"/>
      <c r="Q875" s="264"/>
      <c r="R875" s="264"/>
      <c r="S875" s="264"/>
      <c r="T875" s="1056"/>
      <c r="U875" s="1056"/>
      <c r="V875" s="1056"/>
      <c r="W875" s="1056"/>
      <c r="X875" s="1056"/>
      <c r="Y875" s="1056"/>
      <c r="Z875" s="1056"/>
      <c r="AA875" s="1056"/>
      <c r="AB875" s="1056"/>
      <c r="AC875" s="1056"/>
      <c r="AD875" s="1056"/>
      <c r="AE875" s="1056"/>
      <c r="AF875" s="264"/>
    </row>
    <row r="876" spans="1:32" s="268" customFormat="1" ht="15" x14ac:dyDescent="0.25">
      <c r="A876" s="264"/>
      <c r="B876" s="264"/>
      <c r="C876" s="1056"/>
      <c r="D876" s="1056"/>
      <c r="E876" s="1056"/>
      <c r="F876" s="1056"/>
      <c r="G876" s="1056"/>
      <c r="H876" s="1056"/>
      <c r="I876" s="1056"/>
      <c r="J876" s="1056"/>
      <c r="K876" s="1056"/>
      <c r="L876" s="1056"/>
      <c r="M876" s="274"/>
      <c r="P876" s="264"/>
      <c r="Q876" s="264"/>
      <c r="R876" s="264"/>
      <c r="S876" s="264"/>
      <c r="T876" s="1056"/>
      <c r="U876" s="1056"/>
      <c r="V876" s="1056"/>
      <c r="W876" s="1056"/>
      <c r="X876" s="1056"/>
      <c r="Y876" s="1056"/>
      <c r="Z876" s="1056"/>
      <c r="AA876" s="1056"/>
      <c r="AB876" s="1056"/>
      <c r="AC876" s="1056"/>
      <c r="AD876" s="1056"/>
      <c r="AE876" s="1056"/>
      <c r="AF876" s="264"/>
    </row>
    <row r="877" spans="1:32" s="268" customFormat="1" ht="15" x14ac:dyDescent="0.25">
      <c r="A877" s="264"/>
      <c r="B877" s="264"/>
      <c r="C877" s="1056"/>
      <c r="D877" s="1056"/>
      <c r="E877" s="1056"/>
      <c r="F877" s="1056"/>
      <c r="G877" s="1056"/>
      <c r="H877" s="1056"/>
      <c r="I877" s="1056"/>
      <c r="J877" s="1056"/>
      <c r="K877" s="1056"/>
      <c r="L877" s="1056"/>
      <c r="M877" s="274"/>
      <c r="P877" s="264"/>
      <c r="Q877" s="264"/>
      <c r="R877" s="264"/>
      <c r="S877" s="264"/>
      <c r="T877" s="1056"/>
      <c r="U877" s="1056"/>
      <c r="V877" s="1056"/>
      <c r="W877" s="1056"/>
      <c r="X877" s="1056"/>
      <c r="Y877" s="1056"/>
      <c r="Z877" s="1056"/>
      <c r="AA877" s="1056"/>
      <c r="AB877" s="1056"/>
      <c r="AC877" s="1056"/>
      <c r="AD877" s="1056"/>
      <c r="AE877" s="1056"/>
      <c r="AF877" s="264"/>
    </row>
    <row r="878" spans="1:32" s="268" customFormat="1" ht="15" x14ac:dyDescent="0.25">
      <c r="A878" s="264"/>
      <c r="B878" s="264"/>
      <c r="C878" s="1056"/>
      <c r="D878" s="1056"/>
      <c r="E878" s="1056"/>
      <c r="F878" s="1056"/>
      <c r="G878" s="1056"/>
      <c r="H878" s="1056"/>
      <c r="I878" s="1056"/>
      <c r="J878" s="1056"/>
      <c r="K878" s="1056"/>
      <c r="L878" s="1056"/>
      <c r="M878" s="274"/>
      <c r="P878" s="264"/>
      <c r="Q878" s="264"/>
      <c r="R878" s="264"/>
      <c r="S878" s="264"/>
      <c r="T878" s="1056"/>
      <c r="U878" s="1056"/>
      <c r="V878" s="1056"/>
      <c r="W878" s="1056"/>
      <c r="X878" s="1056"/>
      <c r="Y878" s="1056"/>
      <c r="Z878" s="1056"/>
      <c r="AA878" s="1056"/>
      <c r="AB878" s="1056"/>
      <c r="AC878" s="1056"/>
      <c r="AD878" s="1056"/>
      <c r="AE878" s="1056"/>
      <c r="AF878" s="264"/>
    </row>
    <row r="879" spans="1:32" s="268" customFormat="1" ht="15" x14ac:dyDescent="0.25">
      <c r="A879" s="264"/>
      <c r="B879" s="264"/>
      <c r="C879" s="1056"/>
      <c r="D879" s="1056"/>
      <c r="E879" s="1056"/>
      <c r="F879" s="1056"/>
      <c r="G879" s="1056"/>
      <c r="H879" s="1056"/>
      <c r="I879" s="1056"/>
      <c r="J879" s="1056"/>
      <c r="K879" s="1056"/>
      <c r="L879" s="1056"/>
      <c r="M879" s="274"/>
      <c r="P879" s="264"/>
      <c r="Q879" s="264"/>
      <c r="R879" s="264"/>
      <c r="S879" s="264"/>
      <c r="T879" s="1056"/>
      <c r="U879" s="1056"/>
      <c r="V879" s="1056"/>
      <c r="W879" s="1056"/>
      <c r="X879" s="1056"/>
      <c r="Y879" s="1056"/>
      <c r="Z879" s="1056"/>
      <c r="AA879" s="1056"/>
      <c r="AB879" s="1056"/>
      <c r="AC879" s="1056"/>
      <c r="AD879" s="1056"/>
      <c r="AE879" s="1056"/>
      <c r="AF879" s="264"/>
    </row>
    <row r="880" spans="1:32" s="268" customFormat="1" ht="15" x14ac:dyDescent="0.25">
      <c r="A880" s="264"/>
      <c r="B880" s="264"/>
      <c r="C880" s="1056"/>
      <c r="D880" s="1056"/>
      <c r="E880" s="1056"/>
      <c r="F880" s="1056"/>
      <c r="G880" s="1056"/>
      <c r="H880" s="1056"/>
      <c r="I880" s="1056"/>
      <c r="J880" s="1056"/>
      <c r="K880" s="1056"/>
      <c r="L880" s="1056"/>
      <c r="M880" s="274"/>
      <c r="P880" s="264"/>
      <c r="Q880" s="264"/>
      <c r="R880" s="264"/>
      <c r="S880" s="264"/>
      <c r="T880" s="1056"/>
      <c r="U880" s="1056"/>
      <c r="V880" s="1056"/>
      <c r="W880" s="1056"/>
      <c r="X880" s="1056"/>
      <c r="Y880" s="1056"/>
      <c r="Z880" s="1056"/>
      <c r="AA880" s="1056"/>
      <c r="AB880" s="1056"/>
      <c r="AC880" s="1056"/>
      <c r="AD880" s="1056"/>
      <c r="AE880" s="1056"/>
      <c r="AF880" s="264"/>
    </row>
    <row r="881" spans="1:32" s="268" customFormat="1" ht="15" x14ac:dyDescent="0.25">
      <c r="A881" s="264"/>
      <c r="B881" s="264"/>
      <c r="C881" s="1056"/>
      <c r="D881" s="1056"/>
      <c r="E881" s="1056"/>
      <c r="F881" s="1056"/>
      <c r="G881" s="1056"/>
      <c r="H881" s="1056"/>
      <c r="I881" s="1056"/>
      <c r="J881" s="1056"/>
      <c r="K881" s="1056"/>
      <c r="L881" s="1056"/>
      <c r="M881" s="274"/>
      <c r="P881" s="264"/>
      <c r="Q881" s="264"/>
      <c r="R881" s="264"/>
      <c r="S881" s="264"/>
      <c r="T881" s="1056"/>
      <c r="U881" s="1056"/>
      <c r="V881" s="1056"/>
      <c r="W881" s="1056"/>
      <c r="X881" s="1056"/>
      <c r="Y881" s="1056"/>
      <c r="Z881" s="1056"/>
      <c r="AA881" s="1056"/>
      <c r="AB881" s="1056"/>
      <c r="AC881" s="1056"/>
      <c r="AD881" s="1056"/>
      <c r="AE881" s="1056"/>
      <c r="AF881" s="264"/>
    </row>
    <row r="882" spans="1:32" s="268" customFormat="1" ht="15" x14ac:dyDescent="0.25">
      <c r="A882" s="264"/>
      <c r="B882" s="264"/>
      <c r="C882" s="1056"/>
      <c r="D882" s="1056"/>
      <c r="E882" s="1056"/>
      <c r="F882" s="1056"/>
      <c r="G882" s="1056"/>
      <c r="H882" s="1056"/>
      <c r="I882" s="1056"/>
      <c r="J882" s="1056"/>
      <c r="K882" s="1056"/>
      <c r="L882" s="1056"/>
      <c r="M882" s="274"/>
      <c r="P882" s="264"/>
      <c r="Q882" s="264"/>
      <c r="R882" s="264"/>
      <c r="S882" s="264"/>
      <c r="T882" s="1056"/>
      <c r="U882" s="1056"/>
      <c r="V882" s="1056"/>
      <c r="W882" s="1056"/>
      <c r="X882" s="1056"/>
      <c r="Y882" s="1056"/>
      <c r="Z882" s="1056"/>
      <c r="AA882" s="1056"/>
      <c r="AB882" s="1056"/>
      <c r="AC882" s="1056"/>
      <c r="AD882" s="1056"/>
      <c r="AE882" s="1056"/>
      <c r="AF882" s="264"/>
    </row>
    <row r="883" spans="1:32" s="268" customFormat="1" ht="15" x14ac:dyDescent="0.25">
      <c r="A883" s="264"/>
      <c r="B883" s="264"/>
      <c r="C883" s="1056"/>
      <c r="D883" s="1056"/>
      <c r="E883" s="1056"/>
      <c r="F883" s="1056"/>
      <c r="G883" s="1056"/>
      <c r="H883" s="1056"/>
      <c r="I883" s="1056"/>
      <c r="J883" s="1056"/>
      <c r="K883" s="1056"/>
      <c r="L883" s="1056"/>
      <c r="M883" s="274"/>
      <c r="P883" s="264"/>
      <c r="Q883" s="264"/>
      <c r="R883" s="264"/>
      <c r="S883" s="264"/>
      <c r="T883" s="1056"/>
      <c r="U883" s="1056"/>
      <c r="V883" s="1056"/>
      <c r="W883" s="1056"/>
      <c r="X883" s="1056"/>
      <c r="Y883" s="1056"/>
      <c r="Z883" s="1056"/>
      <c r="AA883" s="1056"/>
      <c r="AB883" s="1056"/>
      <c r="AC883" s="1056"/>
      <c r="AD883" s="1056"/>
      <c r="AE883" s="1056"/>
      <c r="AF883" s="264"/>
    </row>
    <row r="884" spans="1:32" s="268" customFormat="1" ht="15" x14ac:dyDescent="0.25">
      <c r="A884" s="264"/>
      <c r="B884" s="264"/>
      <c r="C884" s="1056"/>
      <c r="D884" s="1056"/>
      <c r="E884" s="1056"/>
      <c r="F884" s="1056"/>
      <c r="G884" s="1056"/>
      <c r="H884" s="1056"/>
      <c r="I884" s="1056"/>
      <c r="J884" s="1056"/>
      <c r="K884" s="1056"/>
      <c r="L884" s="1056"/>
      <c r="M884" s="274"/>
      <c r="P884" s="264"/>
      <c r="Q884" s="264"/>
      <c r="R884" s="264"/>
      <c r="S884" s="264"/>
      <c r="T884" s="1056"/>
      <c r="U884" s="1056"/>
      <c r="V884" s="1056"/>
      <c r="W884" s="1056"/>
      <c r="X884" s="1056"/>
      <c r="Y884" s="1056"/>
      <c r="Z884" s="1056"/>
      <c r="AA884" s="1056"/>
      <c r="AB884" s="1056"/>
      <c r="AC884" s="1056"/>
      <c r="AD884" s="1056"/>
      <c r="AE884" s="1056"/>
      <c r="AF884" s="264"/>
    </row>
    <row r="885" spans="1:32" s="268" customFormat="1" ht="15" x14ac:dyDescent="0.25">
      <c r="A885" s="264"/>
      <c r="B885" s="264"/>
      <c r="C885" s="1056"/>
      <c r="D885" s="1056"/>
      <c r="E885" s="1056"/>
      <c r="F885" s="1056"/>
      <c r="G885" s="1056"/>
      <c r="H885" s="1056"/>
      <c r="I885" s="1056"/>
      <c r="J885" s="1056"/>
      <c r="K885" s="1056"/>
      <c r="L885" s="1056"/>
      <c r="M885" s="274"/>
      <c r="P885" s="264"/>
      <c r="Q885" s="264"/>
      <c r="R885" s="264"/>
      <c r="S885" s="264"/>
      <c r="T885" s="1056"/>
      <c r="U885" s="1056"/>
      <c r="V885" s="1056"/>
      <c r="W885" s="1056"/>
      <c r="X885" s="1056"/>
      <c r="Y885" s="1056"/>
      <c r="Z885" s="1056"/>
      <c r="AA885" s="1056"/>
      <c r="AB885" s="1056"/>
      <c r="AC885" s="1056"/>
      <c r="AD885" s="1056"/>
      <c r="AE885" s="1056"/>
      <c r="AF885" s="264"/>
    </row>
    <row r="886" spans="1:32" s="268" customFormat="1" ht="15" x14ac:dyDescent="0.25">
      <c r="A886" s="264"/>
      <c r="B886" s="264"/>
      <c r="C886" s="1056"/>
      <c r="D886" s="1056"/>
      <c r="E886" s="1056"/>
      <c r="F886" s="1056"/>
      <c r="G886" s="1056"/>
      <c r="H886" s="1056"/>
      <c r="I886" s="1056"/>
      <c r="J886" s="1056"/>
      <c r="K886" s="1056"/>
      <c r="L886" s="1056"/>
      <c r="M886" s="274"/>
      <c r="P886" s="264"/>
      <c r="Q886" s="264"/>
      <c r="R886" s="264"/>
      <c r="S886" s="264"/>
      <c r="T886" s="1056"/>
      <c r="U886" s="1056"/>
      <c r="V886" s="1056"/>
      <c r="W886" s="1056"/>
      <c r="X886" s="1056"/>
      <c r="Y886" s="1056"/>
      <c r="Z886" s="1056"/>
      <c r="AA886" s="1056"/>
      <c r="AB886" s="1056"/>
      <c r="AC886" s="1056"/>
      <c r="AD886" s="1056"/>
      <c r="AE886" s="1056"/>
      <c r="AF886" s="264"/>
    </row>
    <row r="887" spans="1:32" s="268" customFormat="1" ht="15" x14ac:dyDescent="0.25">
      <c r="A887" s="264"/>
      <c r="B887" s="264"/>
      <c r="C887" s="1056"/>
      <c r="D887" s="1056"/>
      <c r="E887" s="1056"/>
      <c r="F887" s="1056"/>
      <c r="G887" s="1056"/>
      <c r="H887" s="1056"/>
      <c r="I887" s="1056"/>
      <c r="J887" s="1056"/>
      <c r="K887" s="1056"/>
      <c r="L887" s="1056"/>
      <c r="M887" s="274"/>
      <c r="P887" s="264"/>
      <c r="Q887" s="264"/>
      <c r="R887" s="264"/>
      <c r="S887" s="264"/>
      <c r="T887" s="1056"/>
      <c r="U887" s="1056"/>
      <c r="V887" s="1056"/>
      <c r="W887" s="1056"/>
      <c r="X887" s="1056"/>
      <c r="Y887" s="1056"/>
      <c r="Z887" s="1056"/>
      <c r="AA887" s="1056"/>
      <c r="AB887" s="1056"/>
      <c r="AC887" s="1056"/>
      <c r="AD887" s="1056"/>
      <c r="AE887" s="1056"/>
      <c r="AF887" s="264"/>
    </row>
    <row r="888" spans="1:32" s="268" customFormat="1" ht="15" x14ac:dyDescent="0.25">
      <c r="A888" s="264"/>
      <c r="B888" s="264"/>
      <c r="C888" s="1056"/>
      <c r="D888" s="1056"/>
      <c r="E888" s="1056"/>
      <c r="F888" s="1056"/>
      <c r="G888" s="1056"/>
      <c r="H888" s="1056"/>
      <c r="I888" s="1056"/>
      <c r="J888" s="1056"/>
      <c r="K888" s="1056"/>
      <c r="L888" s="1056"/>
      <c r="M888" s="274"/>
      <c r="P888" s="264"/>
      <c r="Q888" s="264"/>
      <c r="R888" s="264"/>
      <c r="S888" s="264"/>
      <c r="T888" s="1056"/>
      <c r="U888" s="1056"/>
      <c r="V888" s="1056"/>
      <c r="W888" s="1056"/>
      <c r="X888" s="1056"/>
      <c r="Y888" s="1056"/>
      <c r="Z888" s="1056"/>
      <c r="AA888" s="1056"/>
      <c r="AB888" s="1056"/>
      <c r="AC888" s="1056"/>
      <c r="AD888" s="1056"/>
      <c r="AE888" s="1056"/>
      <c r="AF888" s="264"/>
    </row>
    <row r="889" spans="1:32" s="268" customFormat="1" ht="15" x14ac:dyDescent="0.25">
      <c r="A889" s="264"/>
      <c r="B889" s="264"/>
      <c r="C889" s="1056"/>
      <c r="D889" s="1056"/>
      <c r="E889" s="1056"/>
      <c r="F889" s="1056"/>
      <c r="G889" s="1056"/>
      <c r="H889" s="1056"/>
      <c r="I889" s="1056"/>
      <c r="J889" s="1056"/>
      <c r="K889" s="1056"/>
      <c r="L889" s="1056"/>
      <c r="M889" s="274"/>
      <c r="P889" s="264"/>
      <c r="Q889" s="264"/>
      <c r="R889" s="264"/>
      <c r="S889" s="264"/>
      <c r="T889" s="1056"/>
      <c r="U889" s="1056"/>
      <c r="V889" s="1056"/>
      <c r="W889" s="1056"/>
      <c r="X889" s="1056"/>
      <c r="Y889" s="1056"/>
      <c r="Z889" s="1056"/>
      <c r="AA889" s="1056"/>
      <c r="AB889" s="1056"/>
      <c r="AC889" s="1056"/>
      <c r="AD889" s="1056"/>
      <c r="AE889" s="1056"/>
      <c r="AF889" s="264"/>
    </row>
    <row r="890" spans="1:32" s="268" customFormat="1" ht="15" x14ac:dyDescent="0.25">
      <c r="A890" s="264"/>
      <c r="B890" s="264"/>
      <c r="C890" s="1056"/>
      <c r="D890" s="1056"/>
      <c r="E890" s="1056"/>
      <c r="F890" s="1056"/>
      <c r="G890" s="1056"/>
      <c r="H890" s="1056"/>
      <c r="I890" s="1056"/>
      <c r="J890" s="1056"/>
      <c r="K890" s="1056"/>
      <c r="L890" s="1056"/>
      <c r="M890" s="274"/>
      <c r="P890" s="264"/>
      <c r="Q890" s="264"/>
      <c r="R890" s="264"/>
      <c r="S890" s="264"/>
      <c r="T890" s="1056"/>
      <c r="U890" s="1056"/>
      <c r="V890" s="1056"/>
      <c r="W890" s="1056"/>
      <c r="X890" s="1056"/>
      <c r="Y890" s="1056"/>
      <c r="Z890" s="1056"/>
      <c r="AA890" s="1056"/>
      <c r="AB890" s="1056"/>
      <c r="AC890" s="1056"/>
      <c r="AD890" s="1056"/>
      <c r="AE890" s="1056"/>
      <c r="AF890" s="264"/>
    </row>
    <row r="891" spans="1:32" s="268" customFormat="1" ht="15" x14ac:dyDescent="0.25">
      <c r="A891" s="264"/>
      <c r="B891" s="264"/>
      <c r="C891" s="1056"/>
      <c r="D891" s="1056"/>
      <c r="E891" s="1056"/>
      <c r="F891" s="1056"/>
      <c r="G891" s="1056"/>
      <c r="H891" s="1056"/>
      <c r="I891" s="1056"/>
      <c r="J891" s="1056"/>
      <c r="K891" s="1056"/>
      <c r="L891" s="1056"/>
      <c r="M891" s="274"/>
      <c r="P891" s="264"/>
      <c r="Q891" s="264"/>
      <c r="R891" s="264"/>
      <c r="S891" s="264"/>
      <c r="T891" s="1056"/>
      <c r="U891" s="1056"/>
      <c r="V891" s="1056"/>
      <c r="W891" s="1056"/>
      <c r="X891" s="1056"/>
      <c r="Y891" s="1056"/>
      <c r="Z891" s="1056"/>
      <c r="AA891" s="1056"/>
      <c r="AB891" s="1056"/>
      <c r="AC891" s="1056"/>
      <c r="AD891" s="1056"/>
      <c r="AE891" s="1056"/>
      <c r="AF891" s="264"/>
    </row>
    <row r="892" spans="1:32" s="268" customFormat="1" ht="15" x14ac:dyDescent="0.25">
      <c r="A892" s="264"/>
      <c r="B892" s="264"/>
      <c r="C892" s="1056"/>
      <c r="D892" s="1056"/>
      <c r="E892" s="1056"/>
      <c r="F892" s="1056"/>
      <c r="G892" s="1056"/>
      <c r="H892" s="1056"/>
      <c r="I892" s="1056"/>
      <c r="J892" s="1056"/>
      <c r="K892" s="1056"/>
      <c r="L892" s="1056"/>
      <c r="M892" s="274"/>
      <c r="P892" s="264"/>
      <c r="Q892" s="264"/>
      <c r="R892" s="264"/>
      <c r="S892" s="264"/>
      <c r="T892" s="1056"/>
      <c r="U892" s="1056"/>
      <c r="V892" s="1056"/>
      <c r="W892" s="1056"/>
      <c r="X892" s="1056"/>
      <c r="Y892" s="1056"/>
      <c r="Z892" s="1056"/>
      <c r="AA892" s="1056"/>
      <c r="AB892" s="1056"/>
      <c r="AC892" s="1056"/>
      <c r="AD892" s="1056"/>
      <c r="AE892" s="1056"/>
      <c r="AF892" s="264"/>
    </row>
    <row r="893" spans="1:32" s="268" customFormat="1" ht="15" x14ac:dyDescent="0.25">
      <c r="A893" s="264"/>
      <c r="B893" s="264"/>
      <c r="C893" s="1056"/>
      <c r="D893" s="1056"/>
      <c r="E893" s="1056"/>
      <c r="F893" s="1056"/>
      <c r="G893" s="1056"/>
      <c r="H893" s="1056"/>
      <c r="I893" s="1056"/>
      <c r="J893" s="1056"/>
      <c r="K893" s="1056"/>
      <c r="L893" s="1056"/>
      <c r="M893" s="274"/>
      <c r="P893" s="264"/>
      <c r="Q893" s="264"/>
      <c r="R893" s="264"/>
      <c r="S893" s="264"/>
      <c r="T893" s="1056"/>
      <c r="U893" s="1056"/>
      <c r="V893" s="1056"/>
      <c r="W893" s="1056"/>
      <c r="X893" s="1056"/>
      <c r="Y893" s="1056"/>
      <c r="Z893" s="1056"/>
      <c r="AA893" s="1056"/>
      <c r="AB893" s="1056"/>
      <c r="AC893" s="1056"/>
      <c r="AD893" s="1056"/>
      <c r="AE893" s="1056"/>
      <c r="AF893" s="264"/>
    </row>
    <row r="894" spans="1:32" s="268" customFormat="1" ht="15" x14ac:dyDescent="0.25">
      <c r="A894" s="264"/>
      <c r="B894" s="264"/>
      <c r="C894" s="1056"/>
      <c r="D894" s="1056"/>
      <c r="E894" s="1056"/>
      <c r="F894" s="1056"/>
      <c r="G894" s="1056"/>
      <c r="H894" s="1056"/>
      <c r="I894" s="1056"/>
      <c r="J894" s="1056"/>
      <c r="K894" s="1056"/>
      <c r="L894" s="1056"/>
      <c r="M894" s="274"/>
      <c r="P894" s="264"/>
      <c r="Q894" s="264"/>
      <c r="R894" s="264"/>
      <c r="S894" s="264"/>
      <c r="T894" s="1056"/>
      <c r="U894" s="1056"/>
      <c r="V894" s="1056"/>
      <c r="W894" s="1056"/>
      <c r="X894" s="1056"/>
      <c r="Y894" s="1056"/>
      <c r="Z894" s="1056"/>
      <c r="AA894" s="1056"/>
      <c r="AB894" s="1056"/>
      <c r="AC894" s="1056"/>
      <c r="AD894" s="1056"/>
      <c r="AE894" s="1056"/>
      <c r="AF894" s="264"/>
    </row>
    <row r="895" spans="1:32" s="268" customFormat="1" ht="15" x14ac:dyDescent="0.25">
      <c r="A895" s="264"/>
      <c r="B895" s="264"/>
      <c r="C895" s="1056"/>
      <c r="D895" s="1056"/>
      <c r="E895" s="1056"/>
      <c r="F895" s="1056"/>
      <c r="G895" s="1056"/>
      <c r="H895" s="1056"/>
      <c r="I895" s="1056"/>
      <c r="J895" s="1056"/>
      <c r="K895" s="1056"/>
      <c r="L895" s="1056"/>
      <c r="M895" s="274"/>
      <c r="P895" s="264"/>
      <c r="Q895" s="264"/>
      <c r="R895" s="264"/>
      <c r="S895" s="264"/>
      <c r="T895" s="1056"/>
      <c r="U895" s="1056"/>
      <c r="V895" s="1056"/>
      <c r="W895" s="1056"/>
      <c r="X895" s="1056"/>
      <c r="Y895" s="1056"/>
      <c r="Z895" s="1056"/>
      <c r="AA895" s="1056"/>
      <c r="AB895" s="1056"/>
      <c r="AC895" s="1056"/>
      <c r="AD895" s="1056"/>
      <c r="AE895" s="1056"/>
      <c r="AF895" s="264"/>
    </row>
    <row r="896" spans="1:32" s="268" customFormat="1" ht="15" x14ac:dyDescent="0.25">
      <c r="A896" s="264"/>
      <c r="B896" s="264"/>
      <c r="C896" s="1056"/>
      <c r="D896" s="1056"/>
      <c r="E896" s="1056"/>
      <c r="F896" s="1056"/>
      <c r="G896" s="1056"/>
      <c r="H896" s="1056"/>
      <c r="I896" s="1056"/>
      <c r="J896" s="1056"/>
      <c r="K896" s="1056"/>
      <c r="L896" s="1056"/>
      <c r="M896" s="274"/>
      <c r="P896" s="264"/>
      <c r="Q896" s="264"/>
      <c r="R896" s="264"/>
      <c r="S896" s="264"/>
      <c r="T896" s="1056"/>
      <c r="U896" s="1056"/>
      <c r="V896" s="1056"/>
      <c r="W896" s="1056"/>
      <c r="X896" s="1056"/>
      <c r="Y896" s="1056"/>
      <c r="Z896" s="1056"/>
      <c r="AA896" s="1056"/>
      <c r="AB896" s="1056"/>
      <c r="AC896" s="1056"/>
      <c r="AD896" s="1056"/>
      <c r="AE896" s="1056"/>
      <c r="AF896" s="264"/>
    </row>
    <row r="897" spans="1:32" s="268" customFormat="1" ht="15" x14ac:dyDescent="0.25">
      <c r="A897" s="264"/>
      <c r="B897" s="264"/>
      <c r="C897" s="1056"/>
      <c r="D897" s="1056"/>
      <c r="E897" s="1056"/>
      <c r="F897" s="1056"/>
      <c r="G897" s="1056"/>
      <c r="H897" s="1056"/>
      <c r="I897" s="1056"/>
      <c r="J897" s="1056"/>
      <c r="K897" s="1056"/>
      <c r="L897" s="1056"/>
      <c r="M897" s="274"/>
      <c r="P897" s="264"/>
      <c r="Q897" s="264"/>
      <c r="R897" s="264"/>
      <c r="S897" s="264"/>
      <c r="T897" s="1056"/>
      <c r="U897" s="1056"/>
      <c r="V897" s="1056"/>
      <c r="W897" s="1056"/>
      <c r="X897" s="1056"/>
      <c r="Y897" s="1056"/>
      <c r="Z897" s="1056"/>
      <c r="AA897" s="1056"/>
      <c r="AB897" s="1056"/>
      <c r="AC897" s="1056"/>
      <c r="AD897" s="1056"/>
      <c r="AE897" s="1056"/>
      <c r="AF897" s="264"/>
    </row>
    <row r="898" spans="1:32" s="268" customFormat="1" ht="15" x14ac:dyDescent="0.25">
      <c r="A898" s="264"/>
      <c r="B898" s="264"/>
      <c r="C898" s="1056"/>
      <c r="D898" s="1056"/>
      <c r="E898" s="1056"/>
      <c r="F898" s="1056"/>
      <c r="G898" s="1056"/>
      <c r="H898" s="1056"/>
      <c r="I898" s="1056"/>
      <c r="J898" s="1056"/>
      <c r="K898" s="1056"/>
      <c r="L898" s="1056"/>
      <c r="M898" s="274"/>
      <c r="P898" s="264"/>
      <c r="Q898" s="264"/>
      <c r="R898" s="264"/>
      <c r="S898" s="264"/>
      <c r="T898" s="1056"/>
      <c r="U898" s="1056"/>
      <c r="V898" s="1056"/>
      <c r="W898" s="1056"/>
      <c r="X898" s="1056"/>
      <c r="Y898" s="1056"/>
      <c r="Z898" s="1056"/>
      <c r="AA898" s="1056"/>
      <c r="AB898" s="1056"/>
      <c r="AC898" s="1056"/>
      <c r="AD898" s="1056"/>
      <c r="AE898" s="1056"/>
      <c r="AF898" s="264"/>
    </row>
    <row r="899" spans="1:32" s="268" customFormat="1" ht="15" x14ac:dyDescent="0.25">
      <c r="A899" s="264"/>
      <c r="B899" s="264"/>
      <c r="C899" s="1056"/>
      <c r="D899" s="1056"/>
      <c r="E899" s="1056"/>
      <c r="F899" s="1056"/>
      <c r="G899" s="1056"/>
      <c r="H899" s="1056"/>
      <c r="I899" s="1056"/>
      <c r="J899" s="1056"/>
      <c r="K899" s="1056"/>
      <c r="L899" s="1056"/>
      <c r="M899" s="274"/>
      <c r="P899" s="264"/>
      <c r="Q899" s="264"/>
      <c r="R899" s="264"/>
      <c r="S899" s="264"/>
      <c r="T899" s="1056"/>
      <c r="U899" s="1056"/>
      <c r="V899" s="1056"/>
      <c r="W899" s="1056"/>
      <c r="X899" s="1056"/>
      <c r="Y899" s="1056"/>
      <c r="Z899" s="1056"/>
      <c r="AA899" s="1056"/>
      <c r="AB899" s="1056"/>
      <c r="AC899" s="1056"/>
      <c r="AD899" s="1056"/>
      <c r="AE899" s="1056"/>
      <c r="AF899" s="264"/>
    </row>
    <row r="900" spans="1:32" s="268" customFormat="1" ht="15" x14ac:dyDescent="0.25">
      <c r="A900" s="264"/>
      <c r="B900" s="264"/>
      <c r="C900" s="1056"/>
      <c r="D900" s="1056"/>
      <c r="E900" s="1056"/>
      <c r="F900" s="1056"/>
      <c r="G900" s="1056"/>
      <c r="H900" s="1056"/>
      <c r="I900" s="1056"/>
      <c r="J900" s="1056"/>
      <c r="K900" s="1056"/>
      <c r="L900" s="1056"/>
      <c r="M900" s="274"/>
      <c r="P900" s="264"/>
      <c r="Q900" s="264"/>
      <c r="R900" s="264"/>
      <c r="S900" s="264"/>
      <c r="T900" s="1056"/>
      <c r="U900" s="1056"/>
      <c r="V900" s="1056"/>
      <c r="W900" s="1056"/>
      <c r="X900" s="1056"/>
      <c r="Y900" s="1056"/>
      <c r="Z900" s="1056"/>
      <c r="AA900" s="1056"/>
      <c r="AB900" s="1056"/>
      <c r="AC900" s="1056"/>
      <c r="AD900" s="1056"/>
      <c r="AE900" s="1056"/>
      <c r="AF900" s="264"/>
    </row>
    <row r="901" spans="1:32" s="268" customFormat="1" ht="15" x14ac:dyDescent="0.25">
      <c r="A901" s="264"/>
      <c r="B901" s="264"/>
      <c r="C901" s="1056"/>
      <c r="D901" s="1056"/>
      <c r="E901" s="1056"/>
      <c r="F901" s="1056"/>
      <c r="G901" s="1056"/>
      <c r="H901" s="1056"/>
      <c r="I901" s="1056"/>
      <c r="J901" s="1056"/>
      <c r="K901" s="1056"/>
      <c r="L901" s="1056"/>
      <c r="M901" s="274"/>
      <c r="P901" s="264"/>
      <c r="Q901" s="264"/>
      <c r="R901" s="264"/>
      <c r="S901" s="264"/>
      <c r="T901" s="1056"/>
      <c r="U901" s="1056"/>
      <c r="V901" s="1056"/>
      <c r="W901" s="1056"/>
      <c r="X901" s="1056"/>
      <c r="Y901" s="1056"/>
      <c r="Z901" s="1056"/>
      <c r="AA901" s="1056"/>
      <c r="AB901" s="1056"/>
      <c r="AC901" s="1056"/>
      <c r="AD901" s="1056"/>
      <c r="AE901" s="1056"/>
      <c r="AF901" s="264"/>
    </row>
    <row r="902" spans="1:32" s="268" customFormat="1" ht="15" x14ac:dyDescent="0.25">
      <c r="A902" s="264"/>
      <c r="B902" s="264"/>
      <c r="C902" s="1056"/>
      <c r="D902" s="1056"/>
      <c r="E902" s="1056"/>
      <c r="F902" s="1056"/>
      <c r="G902" s="1056"/>
      <c r="H902" s="1056"/>
      <c r="I902" s="1056"/>
      <c r="J902" s="1056"/>
      <c r="K902" s="1056"/>
      <c r="L902" s="1056"/>
      <c r="M902" s="274"/>
      <c r="P902" s="264"/>
      <c r="Q902" s="264"/>
      <c r="R902" s="264"/>
      <c r="S902" s="264"/>
      <c r="T902" s="1056"/>
      <c r="U902" s="1056"/>
      <c r="V902" s="1056"/>
      <c r="W902" s="1056"/>
      <c r="X902" s="1056"/>
      <c r="Y902" s="1056"/>
      <c r="Z902" s="1056"/>
      <c r="AA902" s="1056"/>
      <c r="AB902" s="1056"/>
      <c r="AC902" s="1056"/>
      <c r="AD902" s="1056"/>
      <c r="AE902" s="1056"/>
      <c r="AF902" s="264"/>
    </row>
    <row r="903" spans="1:32" s="268" customFormat="1" ht="15" x14ac:dyDescent="0.25">
      <c r="A903" s="264"/>
      <c r="B903" s="264"/>
      <c r="C903" s="1056"/>
      <c r="D903" s="1056"/>
      <c r="E903" s="1056"/>
      <c r="F903" s="1056"/>
      <c r="G903" s="1056"/>
      <c r="H903" s="1056"/>
      <c r="I903" s="1056"/>
      <c r="J903" s="1056"/>
      <c r="K903" s="1056"/>
      <c r="L903" s="1056"/>
      <c r="M903" s="274"/>
      <c r="P903" s="264"/>
      <c r="Q903" s="264"/>
      <c r="R903" s="264"/>
      <c r="S903" s="264"/>
      <c r="T903" s="1056"/>
      <c r="U903" s="1056"/>
      <c r="V903" s="1056"/>
      <c r="W903" s="1056"/>
      <c r="X903" s="1056"/>
      <c r="Y903" s="1056"/>
      <c r="Z903" s="1056"/>
      <c r="AA903" s="1056"/>
      <c r="AB903" s="1056"/>
      <c r="AC903" s="1056"/>
      <c r="AD903" s="1056"/>
      <c r="AE903" s="1056"/>
      <c r="AF903" s="264"/>
    </row>
    <row r="904" spans="1:32" s="268" customFormat="1" ht="15" x14ac:dyDescent="0.25">
      <c r="A904" s="264"/>
      <c r="B904" s="264"/>
      <c r="C904" s="1056"/>
      <c r="D904" s="1056"/>
      <c r="E904" s="1056"/>
      <c r="F904" s="1056"/>
      <c r="G904" s="1056"/>
      <c r="H904" s="1056"/>
      <c r="I904" s="1056"/>
      <c r="J904" s="1056"/>
      <c r="K904" s="1056"/>
      <c r="L904" s="1056"/>
      <c r="M904" s="274"/>
      <c r="P904" s="264"/>
      <c r="Q904" s="264"/>
      <c r="R904" s="264"/>
      <c r="S904" s="264"/>
      <c r="T904" s="1056"/>
      <c r="U904" s="1056"/>
      <c r="V904" s="1056"/>
      <c r="W904" s="1056"/>
      <c r="X904" s="1056"/>
      <c r="Y904" s="1056"/>
      <c r="Z904" s="1056"/>
      <c r="AA904" s="1056"/>
      <c r="AB904" s="1056"/>
      <c r="AC904" s="1056"/>
      <c r="AD904" s="1056"/>
      <c r="AE904" s="1056"/>
      <c r="AF904" s="264"/>
    </row>
    <row r="905" spans="1:32" s="268" customFormat="1" ht="15" x14ac:dyDescent="0.25">
      <c r="A905" s="264"/>
      <c r="B905" s="264"/>
      <c r="C905" s="1056"/>
      <c r="D905" s="1056"/>
      <c r="E905" s="1056"/>
      <c r="F905" s="1056"/>
      <c r="G905" s="1056"/>
      <c r="H905" s="1056"/>
      <c r="I905" s="1056"/>
      <c r="J905" s="1056"/>
      <c r="K905" s="1056"/>
      <c r="L905" s="1056"/>
      <c r="M905" s="274"/>
      <c r="P905" s="264"/>
      <c r="Q905" s="264"/>
      <c r="R905" s="264"/>
      <c r="S905" s="264"/>
      <c r="T905" s="1056"/>
      <c r="U905" s="1056"/>
      <c r="V905" s="1056"/>
      <c r="W905" s="1056"/>
      <c r="X905" s="1056"/>
      <c r="Y905" s="1056"/>
      <c r="Z905" s="1056"/>
      <c r="AA905" s="1056"/>
      <c r="AB905" s="1056"/>
      <c r="AC905" s="1056"/>
      <c r="AD905" s="1056"/>
      <c r="AE905" s="1056"/>
      <c r="AF905" s="264"/>
    </row>
    <row r="906" spans="1:32" s="268" customFormat="1" ht="15" x14ac:dyDescent="0.25">
      <c r="A906" s="264"/>
      <c r="B906" s="264"/>
      <c r="C906" s="1056"/>
      <c r="D906" s="1056"/>
      <c r="E906" s="1056"/>
      <c r="F906" s="1056"/>
      <c r="G906" s="1056"/>
      <c r="H906" s="1056"/>
      <c r="I906" s="1056"/>
      <c r="J906" s="1056"/>
      <c r="K906" s="1056"/>
      <c r="L906" s="1056"/>
      <c r="M906" s="274"/>
      <c r="P906" s="264"/>
      <c r="Q906" s="264"/>
      <c r="R906" s="264"/>
      <c r="S906" s="264"/>
      <c r="T906" s="1056"/>
      <c r="U906" s="1056"/>
      <c r="V906" s="1056"/>
      <c r="W906" s="1056"/>
      <c r="X906" s="1056"/>
      <c r="Y906" s="1056"/>
      <c r="Z906" s="1056"/>
      <c r="AA906" s="1056"/>
      <c r="AB906" s="1056"/>
      <c r="AC906" s="1056"/>
      <c r="AD906" s="1056"/>
      <c r="AE906" s="1056"/>
      <c r="AF906" s="264"/>
    </row>
    <row r="907" spans="1:32" s="268" customFormat="1" ht="15" x14ac:dyDescent="0.25">
      <c r="A907" s="264"/>
      <c r="B907" s="264"/>
      <c r="C907" s="1056"/>
      <c r="D907" s="1056"/>
      <c r="E907" s="1056"/>
      <c r="F907" s="1056"/>
      <c r="G907" s="1056"/>
      <c r="H907" s="1056"/>
      <c r="I907" s="1056"/>
      <c r="J907" s="1056"/>
      <c r="K907" s="1056"/>
      <c r="L907" s="1056"/>
      <c r="M907" s="274"/>
      <c r="P907" s="264"/>
      <c r="Q907" s="264"/>
      <c r="R907" s="264"/>
      <c r="S907" s="264"/>
      <c r="T907" s="1056"/>
      <c r="U907" s="1056"/>
      <c r="V907" s="1056"/>
      <c r="W907" s="1056"/>
      <c r="X907" s="1056"/>
      <c r="Y907" s="1056"/>
      <c r="Z907" s="1056"/>
      <c r="AA907" s="1056"/>
      <c r="AB907" s="1056"/>
      <c r="AC907" s="1056"/>
      <c r="AD907" s="1056"/>
      <c r="AE907" s="1056"/>
      <c r="AF907" s="264"/>
    </row>
    <row r="908" spans="1:32" s="268" customFormat="1" ht="15" x14ac:dyDescent="0.25">
      <c r="A908" s="264"/>
      <c r="B908" s="264"/>
      <c r="C908" s="1056"/>
      <c r="D908" s="1056"/>
      <c r="E908" s="1056"/>
      <c r="F908" s="1056"/>
      <c r="G908" s="1056"/>
      <c r="H908" s="1056"/>
      <c r="I908" s="1056"/>
      <c r="J908" s="1056"/>
      <c r="K908" s="1056"/>
      <c r="L908" s="1056"/>
      <c r="M908" s="274"/>
      <c r="P908" s="264"/>
      <c r="Q908" s="264"/>
      <c r="R908" s="264"/>
      <c r="S908" s="264"/>
      <c r="T908" s="1056"/>
      <c r="U908" s="1056"/>
      <c r="V908" s="1056"/>
      <c r="W908" s="1056"/>
      <c r="X908" s="1056"/>
      <c r="Y908" s="1056"/>
      <c r="Z908" s="1056"/>
      <c r="AA908" s="1056"/>
      <c r="AB908" s="1056"/>
      <c r="AC908" s="1056"/>
      <c r="AD908" s="1056"/>
      <c r="AE908" s="1056"/>
      <c r="AF908" s="264"/>
    </row>
    <row r="909" spans="1:32" s="268" customFormat="1" ht="15" x14ac:dyDescent="0.25">
      <c r="A909" s="264"/>
      <c r="B909" s="264"/>
      <c r="C909" s="1056"/>
      <c r="D909" s="1056"/>
      <c r="E909" s="1056"/>
      <c r="F909" s="1056"/>
      <c r="G909" s="1056"/>
      <c r="H909" s="1056"/>
      <c r="I909" s="1056"/>
      <c r="J909" s="1056"/>
      <c r="K909" s="1056"/>
      <c r="L909" s="1056"/>
      <c r="M909" s="274"/>
      <c r="P909" s="264"/>
      <c r="Q909" s="264"/>
      <c r="R909" s="264"/>
      <c r="S909" s="264"/>
      <c r="T909" s="1056"/>
      <c r="U909" s="1056"/>
      <c r="V909" s="1056"/>
      <c r="W909" s="1056"/>
      <c r="X909" s="1056"/>
      <c r="Y909" s="1056"/>
      <c r="Z909" s="1056"/>
      <c r="AA909" s="1056"/>
      <c r="AB909" s="1056"/>
      <c r="AC909" s="1056"/>
      <c r="AD909" s="1056"/>
      <c r="AE909" s="1056"/>
      <c r="AF909" s="264"/>
    </row>
    <row r="910" spans="1:32" s="268" customFormat="1" ht="15" x14ac:dyDescent="0.25">
      <c r="A910" s="264"/>
      <c r="B910" s="264"/>
      <c r="C910" s="1056"/>
      <c r="D910" s="1056"/>
      <c r="E910" s="1056"/>
      <c r="F910" s="1056"/>
      <c r="G910" s="1056"/>
      <c r="H910" s="1056"/>
      <c r="I910" s="1056"/>
      <c r="J910" s="1056"/>
      <c r="K910" s="1056"/>
      <c r="L910" s="1056"/>
      <c r="M910" s="274"/>
      <c r="P910" s="264"/>
      <c r="Q910" s="264"/>
      <c r="R910" s="264"/>
      <c r="S910" s="264"/>
      <c r="T910" s="1056"/>
      <c r="U910" s="1056"/>
      <c r="V910" s="1056"/>
      <c r="W910" s="1056"/>
      <c r="X910" s="1056"/>
      <c r="Y910" s="1056"/>
      <c r="Z910" s="1056"/>
      <c r="AA910" s="1056"/>
      <c r="AB910" s="1056"/>
      <c r="AC910" s="1056"/>
      <c r="AD910" s="1056"/>
      <c r="AE910" s="1056"/>
      <c r="AF910" s="264"/>
    </row>
    <row r="911" spans="1:32" s="268" customFormat="1" ht="15" x14ac:dyDescent="0.25">
      <c r="A911" s="264"/>
      <c r="B911" s="264"/>
      <c r="C911" s="1056"/>
      <c r="D911" s="1056"/>
      <c r="E911" s="1056"/>
      <c r="F911" s="1056"/>
      <c r="G911" s="1056"/>
      <c r="H911" s="1056"/>
      <c r="I911" s="1056"/>
      <c r="J911" s="1056"/>
      <c r="K911" s="1056"/>
      <c r="L911" s="1056"/>
      <c r="M911" s="274"/>
      <c r="P911" s="264"/>
      <c r="Q911" s="264"/>
      <c r="R911" s="264"/>
      <c r="S911" s="264"/>
      <c r="T911" s="1056"/>
      <c r="U911" s="1056"/>
      <c r="V911" s="1056"/>
      <c r="W911" s="1056"/>
      <c r="X911" s="1056"/>
      <c r="Y911" s="1056"/>
      <c r="Z911" s="1056"/>
      <c r="AA911" s="1056"/>
      <c r="AB911" s="1056"/>
      <c r="AC911" s="1056"/>
      <c r="AD911" s="1056"/>
      <c r="AE911" s="1056"/>
      <c r="AF911" s="264"/>
    </row>
    <row r="912" spans="1:32" s="268" customFormat="1" ht="15" x14ac:dyDescent="0.25">
      <c r="A912" s="264"/>
      <c r="B912" s="264"/>
      <c r="C912" s="1056"/>
      <c r="D912" s="1056"/>
      <c r="E912" s="1056"/>
      <c r="F912" s="1056"/>
      <c r="G912" s="1056"/>
      <c r="H912" s="1056"/>
      <c r="I912" s="1056"/>
      <c r="J912" s="1056"/>
      <c r="K912" s="1056"/>
      <c r="L912" s="1056"/>
      <c r="M912" s="274"/>
      <c r="P912" s="264"/>
      <c r="Q912" s="264"/>
      <c r="R912" s="264"/>
      <c r="S912" s="264"/>
      <c r="T912" s="1056"/>
      <c r="U912" s="1056"/>
      <c r="V912" s="1056"/>
      <c r="W912" s="1056"/>
      <c r="X912" s="1056"/>
      <c r="Y912" s="1056"/>
      <c r="Z912" s="1056"/>
      <c r="AA912" s="1056"/>
      <c r="AB912" s="1056"/>
      <c r="AC912" s="1056"/>
      <c r="AD912" s="1056"/>
      <c r="AE912" s="1056"/>
      <c r="AF912" s="264"/>
    </row>
    <row r="913" spans="1:32" s="268" customFormat="1" ht="15" x14ac:dyDescent="0.25">
      <c r="A913" s="264"/>
      <c r="B913" s="264"/>
      <c r="C913" s="1056"/>
      <c r="D913" s="1056"/>
      <c r="E913" s="1056"/>
      <c r="F913" s="1056"/>
      <c r="G913" s="1056"/>
      <c r="H913" s="1056"/>
      <c r="I913" s="1056"/>
      <c r="J913" s="1056"/>
      <c r="K913" s="1056"/>
      <c r="L913" s="1056"/>
      <c r="M913" s="274"/>
      <c r="P913" s="264"/>
      <c r="Q913" s="264"/>
      <c r="R913" s="264"/>
      <c r="S913" s="264"/>
      <c r="T913" s="1056"/>
      <c r="U913" s="1056"/>
      <c r="V913" s="1056"/>
      <c r="W913" s="1056"/>
      <c r="X913" s="1056"/>
      <c r="Y913" s="1056"/>
      <c r="Z913" s="1056"/>
      <c r="AA913" s="1056"/>
      <c r="AB913" s="1056"/>
      <c r="AC913" s="1056"/>
      <c r="AD913" s="1056"/>
      <c r="AE913" s="1056"/>
      <c r="AF913" s="264"/>
    </row>
    <row r="914" spans="1:32" s="268" customFormat="1" ht="15" x14ac:dyDescent="0.25">
      <c r="A914" s="264"/>
      <c r="B914" s="264"/>
      <c r="C914" s="1056"/>
      <c r="D914" s="1056"/>
      <c r="E914" s="1056"/>
      <c r="F914" s="1056"/>
      <c r="G914" s="1056"/>
      <c r="H914" s="1056"/>
      <c r="I914" s="1056"/>
      <c r="J914" s="1056"/>
      <c r="K914" s="1056"/>
      <c r="L914" s="1056"/>
      <c r="M914" s="274"/>
      <c r="P914" s="264"/>
      <c r="Q914" s="264"/>
      <c r="R914" s="264"/>
      <c r="S914" s="264"/>
      <c r="T914" s="1056"/>
      <c r="U914" s="1056"/>
      <c r="V914" s="1056"/>
      <c r="W914" s="1056"/>
      <c r="X914" s="1056"/>
      <c r="Y914" s="1056"/>
      <c r="Z914" s="1056"/>
      <c r="AA914" s="1056"/>
      <c r="AB914" s="1056"/>
      <c r="AC914" s="1056"/>
      <c r="AD914" s="1056"/>
      <c r="AE914" s="1056"/>
      <c r="AF914" s="264"/>
    </row>
    <row r="915" spans="1:32" s="268" customFormat="1" ht="15" x14ac:dyDescent="0.25">
      <c r="A915" s="264"/>
      <c r="B915" s="264"/>
      <c r="C915" s="1056"/>
      <c r="D915" s="1056"/>
      <c r="E915" s="1056"/>
      <c r="F915" s="1056"/>
      <c r="G915" s="1056"/>
      <c r="H915" s="1056"/>
      <c r="I915" s="1056"/>
      <c r="J915" s="1056"/>
      <c r="K915" s="1056"/>
      <c r="L915" s="1056"/>
      <c r="M915" s="274"/>
      <c r="P915" s="264"/>
      <c r="Q915" s="264"/>
      <c r="R915" s="264"/>
      <c r="S915" s="264"/>
      <c r="T915" s="1056"/>
      <c r="U915" s="1056"/>
      <c r="V915" s="1056"/>
      <c r="W915" s="1056"/>
      <c r="X915" s="1056"/>
      <c r="Y915" s="1056"/>
      <c r="Z915" s="1056"/>
      <c r="AA915" s="1056"/>
      <c r="AB915" s="1056"/>
      <c r="AC915" s="1056"/>
      <c r="AD915" s="1056"/>
      <c r="AE915" s="1056"/>
      <c r="AF915" s="264"/>
    </row>
    <row r="916" spans="1:32" s="268" customFormat="1" ht="15" x14ac:dyDescent="0.25">
      <c r="A916" s="264"/>
      <c r="B916" s="264"/>
      <c r="C916" s="1056"/>
      <c r="D916" s="1056"/>
      <c r="E916" s="1056"/>
      <c r="F916" s="1056"/>
      <c r="G916" s="1056"/>
      <c r="H916" s="1056"/>
      <c r="I916" s="1056"/>
      <c r="J916" s="1056"/>
      <c r="K916" s="1056"/>
      <c r="L916" s="1056"/>
      <c r="M916" s="274"/>
      <c r="P916" s="264"/>
      <c r="Q916" s="264"/>
      <c r="R916" s="264"/>
      <c r="S916" s="264"/>
      <c r="T916" s="1056"/>
      <c r="U916" s="1056"/>
      <c r="V916" s="1056"/>
      <c r="W916" s="1056"/>
      <c r="X916" s="1056"/>
      <c r="Y916" s="1056"/>
      <c r="Z916" s="1056"/>
      <c r="AA916" s="1056"/>
      <c r="AB916" s="1056"/>
      <c r="AC916" s="1056"/>
      <c r="AD916" s="1056"/>
      <c r="AE916" s="1056"/>
      <c r="AF916" s="264"/>
    </row>
    <row r="917" spans="1:32" s="268" customFormat="1" ht="15" x14ac:dyDescent="0.25">
      <c r="A917" s="264"/>
      <c r="B917" s="264"/>
      <c r="C917" s="1056"/>
      <c r="D917" s="1056"/>
      <c r="E917" s="1056"/>
      <c r="F917" s="1056"/>
      <c r="G917" s="1056"/>
      <c r="H917" s="1056"/>
      <c r="I917" s="1056"/>
      <c r="J917" s="1056"/>
      <c r="K917" s="1056"/>
      <c r="L917" s="1056"/>
      <c r="M917" s="274"/>
      <c r="P917" s="264"/>
      <c r="Q917" s="264"/>
      <c r="R917" s="264"/>
      <c r="S917" s="264"/>
      <c r="T917" s="1056"/>
      <c r="U917" s="1056"/>
      <c r="V917" s="1056"/>
      <c r="W917" s="1056"/>
      <c r="X917" s="1056"/>
      <c r="Y917" s="1056"/>
      <c r="Z917" s="1056"/>
      <c r="AA917" s="1056"/>
      <c r="AB917" s="1056"/>
      <c r="AC917" s="1056"/>
      <c r="AD917" s="1056"/>
      <c r="AE917" s="1056"/>
      <c r="AF917" s="264"/>
    </row>
    <row r="918" spans="1:32" s="268" customFormat="1" ht="15" x14ac:dyDescent="0.25">
      <c r="A918" s="264"/>
      <c r="B918" s="264"/>
      <c r="C918" s="1056"/>
      <c r="D918" s="1056"/>
      <c r="E918" s="1056"/>
      <c r="F918" s="1056"/>
      <c r="G918" s="1056"/>
      <c r="H918" s="1056"/>
      <c r="I918" s="1056"/>
      <c r="J918" s="1056"/>
      <c r="K918" s="1056"/>
      <c r="L918" s="1056"/>
      <c r="M918" s="274"/>
      <c r="P918" s="264"/>
      <c r="Q918" s="264"/>
      <c r="R918" s="264"/>
      <c r="S918" s="264"/>
      <c r="T918" s="1056"/>
      <c r="U918" s="1056"/>
      <c r="V918" s="1056"/>
      <c r="W918" s="1056"/>
      <c r="X918" s="1056"/>
      <c r="Y918" s="1056"/>
      <c r="Z918" s="1056"/>
      <c r="AA918" s="1056"/>
      <c r="AB918" s="1056"/>
      <c r="AC918" s="1056"/>
      <c r="AD918" s="1056"/>
      <c r="AE918" s="1056"/>
      <c r="AF918" s="264"/>
    </row>
    <row r="919" spans="1:32" s="268" customFormat="1" ht="15" x14ac:dyDescent="0.25">
      <c r="A919" s="264"/>
      <c r="B919" s="264"/>
      <c r="C919" s="1056"/>
      <c r="D919" s="1056"/>
      <c r="E919" s="1056"/>
      <c r="F919" s="1056"/>
      <c r="G919" s="1056"/>
      <c r="H919" s="1056"/>
      <c r="I919" s="1056"/>
      <c r="J919" s="1056"/>
      <c r="K919" s="1056"/>
      <c r="L919" s="1056"/>
      <c r="M919" s="274"/>
      <c r="P919" s="264"/>
      <c r="Q919" s="264"/>
      <c r="R919" s="264"/>
      <c r="S919" s="264"/>
      <c r="T919" s="1056"/>
      <c r="U919" s="1056"/>
      <c r="V919" s="1056"/>
      <c r="W919" s="1056"/>
      <c r="X919" s="1056"/>
      <c r="Y919" s="1056"/>
      <c r="Z919" s="1056"/>
      <c r="AA919" s="1056"/>
      <c r="AB919" s="1056"/>
      <c r="AC919" s="1056"/>
      <c r="AD919" s="1056"/>
      <c r="AE919" s="1056"/>
      <c r="AF919" s="264"/>
    </row>
    <row r="920" spans="1:32" s="268" customFormat="1" ht="15" x14ac:dyDescent="0.25">
      <c r="A920" s="264"/>
      <c r="B920" s="264"/>
      <c r="C920" s="1056"/>
      <c r="D920" s="1056"/>
      <c r="E920" s="1056"/>
      <c r="F920" s="1056"/>
      <c r="G920" s="1056"/>
      <c r="H920" s="1056"/>
      <c r="I920" s="1056"/>
      <c r="J920" s="1056"/>
      <c r="K920" s="1056"/>
      <c r="L920" s="1056"/>
      <c r="M920" s="274"/>
      <c r="P920" s="264"/>
      <c r="Q920" s="264"/>
      <c r="R920" s="264"/>
      <c r="S920" s="264"/>
      <c r="T920" s="1056"/>
      <c r="U920" s="1056"/>
      <c r="V920" s="1056"/>
      <c r="W920" s="1056"/>
      <c r="X920" s="1056"/>
      <c r="Y920" s="1056"/>
      <c r="Z920" s="1056"/>
      <c r="AA920" s="1056"/>
      <c r="AB920" s="1056"/>
      <c r="AC920" s="1056"/>
      <c r="AD920" s="1056"/>
      <c r="AE920" s="1056"/>
      <c r="AF920" s="264"/>
    </row>
    <row r="921" spans="1:32" s="268" customFormat="1" ht="15" x14ac:dyDescent="0.25">
      <c r="A921" s="264"/>
      <c r="B921" s="264"/>
      <c r="C921" s="1056"/>
      <c r="D921" s="1056"/>
      <c r="E921" s="1056"/>
      <c r="F921" s="1056"/>
      <c r="G921" s="1056"/>
      <c r="H921" s="1056"/>
      <c r="I921" s="1056"/>
      <c r="J921" s="1056"/>
      <c r="K921" s="1056"/>
      <c r="L921" s="1056"/>
      <c r="M921" s="274"/>
      <c r="P921" s="264"/>
      <c r="Q921" s="264"/>
      <c r="R921" s="264"/>
      <c r="S921" s="264"/>
      <c r="T921" s="1056"/>
      <c r="U921" s="1056"/>
      <c r="V921" s="1056"/>
      <c r="W921" s="1056"/>
      <c r="X921" s="1056"/>
      <c r="Y921" s="1056"/>
      <c r="Z921" s="1056"/>
      <c r="AA921" s="1056"/>
      <c r="AB921" s="1056"/>
      <c r="AC921" s="1056"/>
      <c r="AD921" s="1056"/>
      <c r="AE921" s="1056"/>
      <c r="AF921" s="264"/>
    </row>
    <row r="922" spans="1:32" s="268" customFormat="1" ht="15" x14ac:dyDescent="0.25">
      <c r="A922" s="264"/>
      <c r="B922" s="264"/>
      <c r="C922" s="1056"/>
      <c r="D922" s="1056"/>
      <c r="E922" s="1056"/>
      <c r="F922" s="1056"/>
      <c r="G922" s="1056"/>
      <c r="H922" s="1056"/>
      <c r="I922" s="1056"/>
      <c r="J922" s="1056"/>
      <c r="K922" s="1056"/>
      <c r="L922" s="1056"/>
      <c r="M922" s="274"/>
      <c r="P922" s="264"/>
      <c r="Q922" s="264"/>
      <c r="R922" s="264"/>
      <c r="S922" s="264"/>
      <c r="T922" s="1056"/>
      <c r="U922" s="1056"/>
      <c r="V922" s="1056"/>
      <c r="W922" s="1056"/>
      <c r="X922" s="1056"/>
      <c r="Y922" s="1056"/>
      <c r="Z922" s="1056"/>
      <c r="AA922" s="1056"/>
      <c r="AB922" s="1056"/>
      <c r="AC922" s="1056"/>
      <c r="AD922" s="1056"/>
      <c r="AE922" s="1056"/>
      <c r="AF922" s="264"/>
    </row>
    <row r="923" spans="1:32" s="268" customFormat="1" ht="15" x14ac:dyDescent="0.25">
      <c r="A923" s="264"/>
      <c r="B923" s="264"/>
      <c r="C923" s="1056"/>
      <c r="D923" s="1056"/>
      <c r="E923" s="1056"/>
      <c r="F923" s="1056"/>
      <c r="G923" s="1056"/>
      <c r="H923" s="1056"/>
      <c r="I923" s="1056"/>
      <c r="J923" s="1056"/>
      <c r="K923" s="1056"/>
      <c r="L923" s="1056"/>
      <c r="M923" s="274"/>
      <c r="P923" s="264"/>
      <c r="Q923" s="264"/>
      <c r="R923" s="264"/>
      <c r="S923" s="264"/>
      <c r="T923" s="1056"/>
      <c r="U923" s="1056"/>
      <c r="V923" s="1056"/>
      <c r="W923" s="1056"/>
      <c r="X923" s="1056"/>
      <c r="Y923" s="1056"/>
      <c r="Z923" s="1056"/>
      <c r="AA923" s="1056"/>
      <c r="AB923" s="1056"/>
      <c r="AC923" s="1056"/>
      <c r="AD923" s="1056"/>
      <c r="AE923" s="1056"/>
      <c r="AF923" s="264"/>
    </row>
    <row r="924" spans="1:32" s="268" customFormat="1" ht="15" x14ac:dyDescent="0.25">
      <c r="A924" s="264"/>
      <c r="B924" s="264"/>
      <c r="C924" s="1056"/>
      <c r="D924" s="1056"/>
      <c r="E924" s="1056"/>
      <c r="F924" s="1056"/>
      <c r="G924" s="1056"/>
      <c r="H924" s="1056"/>
      <c r="I924" s="1056"/>
      <c r="J924" s="1056"/>
      <c r="K924" s="1056"/>
      <c r="L924" s="1056"/>
      <c r="M924" s="274"/>
      <c r="P924" s="264"/>
      <c r="Q924" s="264"/>
      <c r="R924" s="264"/>
      <c r="S924" s="264"/>
      <c r="T924" s="1056"/>
      <c r="U924" s="1056"/>
      <c r="V924" s="1056"/>
      <c r="W924" s="1056"/>
      <c r="X924" s="1056"/>
      <c r="Y924" s="1056"/>
      <c r="Z924" s="1056"/>
      <c r="AA924" s="1056"/>
      <c r="AB924" s="1056"/>
      <c r="AC924" s="1056"/>
      <c r="AD924" s="1056"/>
      <c r="AE924" s="1056"/>
      <c r="AF924" s="264"/>
    </row>
    <row r="925" spans="1:32" s="268" customFormat="1" ht="15" x14ac:dyDescent="0.25">
      <c r="A925" s="264"/>
      <c r="B925" s="264"/>
      <c r="C925" s="1056"/>
      <c r="D925" s="1056"/>
      <c r="E925" s="1056"/>
      <c r="F925" s="1056"/>
      <c r="G925" s="1056"/>
      <c r="H925" s="1056"/>
      <c r="I925" s="1056"/>
      <c r="J925" s="1056"/>
      <c r="K925" s="1056"/>
      <c r="L925" s="1056"/>
      <c r="M925" s="274"/>
      <c r="P925" s="264"/>
      <c r="Q925" s="264"/>
      <c r="R925" s="264"/>
      <c r="S925" s="264"/>
      <c r="T925" s="1056"/>
      <c r="U925" s="1056"/>
      <c r="V925" s="1056"/>
      <c r="W925" s="1056"/>
      <c r="X925" s="1056"/>
      <c r="Y925" s="1056"/>
      <c r="Z925" s="1056"/>
      <c r="AA925" s="1056"/>
      <c r="AB925" s="1056"/>
      <c r="AC925" s="1056"/>
      <c r="AD925" s="1056"/>
      <c r="AE925" s="1056"/>
      <c r="AF925" s="264"/>
    </row>
    <row r="926" spans="1:32" s="268" customFormat="1" ht="15" x14ac:dyDescent="0.25">
      <c r="A926" s="264"/>
      <c r="B926" s="264"/>
      <c r="C926" s="1056"/>
      <c r="D926" s="1056"/>
      <c r="E926" s="1056"/>
      <c r="F926" s="1056"/>
      <c r="G926" s="1056"/>
      <c r="H926" s="1056"/>
      <c r="I926" s="1056"/>
      <c r="J926" s="1056"/>
      <c r="K926" s="1056"/>
      <c r="L926" s="1056"/>
      <c r="M926" s="274"/>
      <c r="P926" s="264"/>
      <c r="Q926" s="264"/>
      <c r="R926" s="264"/>
      <c r="S926" s="264"/>
      <c r="T926" s="1056"/>
      <c r="U926" s="1056"/>
      <c r="V926" s="1056"/>
      <c r="W926" s="1056"/>
      <c r="X926" s="1056"/>
      <c r="Y926" s="1056"/>
      <c r="Z926" s="1056"/>
      <c r="AA926" s="1056"/>
      <c r="AB926" s="1056"/>
      <c r="AC926" s="1056"/>
      <c r="AD926" s="1056"/>
      <c r="AE926" s="1056"/>
      <c r="AF926" s="264"/>
    </row>
    <row r="927" spans="1:32" s="268" customFormat="1" ht="15" x14ac:dyDescent="0.25">
      <c r="A927" s="264"/>
      <c r="B927" s="264"/>
      <c r="C927" s="1056"/>
      <c r="D927" s="1056"/>
      <c r="E927" s="1056"/>
      <c r="F927" s="1056"/>
      <c r="G927" s="1056"/>
      <c r="H927" s="1056"/>
      <c r="I927" s="1056"/>
      <c r="J927" s="1056"/>
      <c r="K927" s="1056"/>
      <c r="L927" s="1056"/>
      <c r="M927" s="274"/>
      <c r="P927" s="264"/>
      <c r="Q927" s="264"/>
      <c r="R927" s="264"/>
      <c r="S927" s="264"/>
      <c r="T927" s="1056"/>
      <c r="U927" s="1056"/>
      <c r="V927" s="1056"/>
      <c r="W927" s="1056"/>
      <c r="X927" s="1056"/>
      <c r="Y927" s="1056"/>
      <c r="Z927" s="1056"/>
      <c r="AA927" s="1056"/>
      <c r="AB927" s="1056"/>
      <c r="AC927" s="1056"/>
      <c r="AD927" s="1056"/>
      <c r="AE927" s="1056"/>
      <c r="AF927" s="264"/>
    </row>
    <row r="928" spans="1:32" s="268" customFormat="1" ht="15" x14ac:dyDescent="0.25">
      <c r="A928" s="264"/>
      <c r="B928" s="264"/>
      <c r="C928" s="1056"/>
      <c r="D928" s="1056"/>
      <c r="E928" s="1056"/>
      <c r="F928" s="1056"/>
      <c r="G928" s="1056"/>
      <c r="H928" s="1056"/>
      <c r="I928" s="1056"/>
      <c r="J928" s="1056"/>
      <c r="K928" s="1056"/>
      <c r="L928" s="1056"/>
      <c r="M928" s="274"/>
      <c r="P928" s="264"/>
      <c r="Q928" s="264"/>
      <c r="R928" s="264"/>
      <c r="S928" s="264"/>
      <c r="T928" s="1056"/>
      <c r="U928" s="1056"/>
      <c r="V928" s="1056"/>
      <c r="W928" s="1056"/>
      <c r="X928" s="1056"/>
      <c r="Y928" s="1056"/>
      <c r="Z928" s="1056"/>
      <c r="AA928" s="1056"/>
      <c r="AB928" s="1056"/>
      <c r="AC928" s="1056"/>
      <c r="AD928" s="1056"/>
      <c r="AE928" s="1056"/>
      <c r="AF928" s="264"/>
    </row>
    <row r="929" spans="1:32" s="268" customFormat="1" ht="15" x14ac:dyDescent="0.25">
      <c r="A929" s="264"/>
      <c r="B929" s="264"/>
      <c r="C929" s="1056"/>
      <c r="D929" s="1056"/>
      <c r="E929" s="1056"/>
      <c r="F929" s="1056"/>
      <c r="G929" s="1056"/>
      <c r="H929" s="1056"/>
      <c r="I929" s="1056"/>
      <c r="J929" s="1056"/>
      <c r="K929" s="1056"/>
      <c r="L929" s="1056"/>
      <c r="M929" s="274"/>
      <c r="P929" s="264"/>
      <c r="Q929" s="264"/>
      <c r="R929" s="264"/>
      <c r="S929" s="264"/>
      <c r="T929" s="1056"/>
      <c r="U929" s="1056"/>
      <c r="V929" s="1056"/>
      <c r="W929" s="1056"/>
      <c r="X929" s="1056"/>
      <c r="Y929" s="1056"/>
      <c r="Z929" s="1056"/>
      <c r="AA929" s="1056"/>
      <c r="AB929" s="1056"/>
      <c r="AC929" s="1056"/>
      <c r="AD929" s="1056"/>
      <c r="AE929" s="1056"/>
      <c r="AF929" s="264"/>
    </row>
    <row r="930" spans="1:32" s="268" customFormat="1" ht="15" x14ac:dyDescent="0.25">
      <c r="A930" s="264"/>
      <c r="B930" s="264"/>
      <c r="C930" s="1056"/>
      <c r="D930" s="1056"/>
      <c r="E930" s="1056"/>
      <c r="F930" s="1056"/>
      <c r="G930" s="1056"/>
      <c r="H930" s="1056"/>
      <c r="I930" s="1056"/>
      <c r="J930" s="1056"/>
      <c r="K930" s="1056"/>
      <c r="L930" s="1056"/>
      <c r="M930" s="274"/>
      <c r="P930" s="264"/>
      <c r="Q930" s="264"/>
      <c r="R930" s="264"/>
      <c r="S930" s="264"/>
      <c r="T930" s="1056"/>
      <c r="U930" s="1056"/>
      <c r="V930" s="1056"/>
      <c r="W930" s="1056"/>
      <c r="X930" s="1056"/>
      <c r="Y930" s="1056"/>
      <c r="Z930" s="1056"/>
      <c r="AA930" s="1056"/>
      <c r="AB930" s="1056"/>
      <c r="AC930" s="1056"/>
      <c r="AD930" s="1056"/>
      <c r="AE930" s="1056"/>
      <c r="AF930" s="264"/>
    </row>
    <row r="931" spans="1:32" s="268" customFormat="1" ht="15" x14ac:dyDescent="0.25">
      <c r="A931" s="264"/>
      <c r="B931" s="264"/>
      <c r="C931" s="1056"/>
      <c r="D931" s="1056"/>
      <c r="E931" s="1056"/>
      <c r="F931" s="1056"/>
      <c r="G931" s="1056"/>
      <c r="H931" s="1056"/>
      <c r="I931" s="1056"/>
      <c r="J931" s="1056"/>
      <c r="K931" s="1056"/>
      <c r="L931" s="1056"/>
      <c r="M931" s="274"/>
      <c r="P931" s="264"/>
      <c r="Q931" s="264"/>
      <c r="R931" s="264"/>
      <c r="S931" s="264"/>
      <c r="T931" s="1056"/>
      <c r="U931" s="1056"/>
      <c r="V931" s="1056"/>
      <c r="W931" s="1056"/>
      <c r="X931" s="1056"/>
      <c r="Y931" s="1056"/>
      <c r="Z931" s="1056"/>
      <c r="AA931" s="1056"/>
      <c r="AB931" s="1056"/>
      <c r="AC931" s="1056"/>
      <c r="AD931" s="1056"/>
      <c r="AE931" s="1056"/>
      <c r="AF931" s="264"/>
    </row>
    <row r="932" spans="1:32" s="268" customFormat="1" ht="15" x14ac:dyDescent="0.25">
      <c r="A932" s="264"/>
      <c r="B932" s="264"/>
      <c r="C932" s="1056"/>
      <c r="D932" s="1056"/>
      <c r="E932" s="1056"/>
      <c r="F932" s="1056"/>
      <c r="G932" s="1056"/>
      <c r="H932" s="1056"/>
      <c r="I932" s="1056"/>
      <c r="J932" s="1056"/>
      <c r="K932" s="1056"/>
      <c r="L932" s="1056"/>
      <c r="M932" s="274"/>
      <c r="P932" s="264"/>
      <c r="Q932" s="264"/>
      <c r="R932" s="264"/>
      <c r="S932" s="264"/>
      <c r="T932" s="1056"/>
      <c r="U932" s="1056"/>
      <c r="V932" s="1056"/>
      <c r="W932" s="1056"/>
      <c r="X932" s="1056"/>
      <c r="Y932" s="1056"/>
      <c r="Z932" s="1056"/>
      <c r="AA932" s="1056"/>
      <c r="AB932" s="1056"/>
      <c r="AC932" s="1056"/>
      <c r="AD932" s="1056"/>
      <c r="AE932" s="1056"/>
      <c r="AF932" s="264"/>
    </row>
    <row r="933" spans="1:32" s="268" customFormat="1" ht="15" x14ac:dyDescent="0.25">
      <c r="A933" s="264"/>
      <c r="B933" s="264"/>
      <c r="C933" s="1056"/>
      <c r="D933" s="1056"/>
      <c r="E933" s="1056"/>
      <c r="F933" s="1056"/>
      <c r="G933" s="1056"/>
      <c r="H933" s="1056"/>
      <c r="I933" s="1056"/>
      <c r="J933" s="1056"/>
      <c r="K933" s="1056"/>
      <c r="L933" s="1056"/>
      <c r="M933" s="274"/>
      <c r="P933" s="264"/>
      <c r="Q933" s="264"/>
      <c r="R933" s="264"/>
      <c r="S933" s="264"/>
      <c r="T933" s="1056"/>
      <c r="U933" s="1056"/>
      <c r="V933" s="1056"/>
      <c r="W933" s="1056"/>
      <c r="X933" s="1056"/>
      <c r="Y933" s="1056"/>
      <c r="Z933" s="1056"/>
      <c r="AA933" s="1056"/>
      <c r="AB933" s="1056"/>
      <c r="AC933" s="1056"/>
      <c r="AD933" s="1056"/>
      <c r="AE933" s="1056"/>
      <c r="AF933" s="264"/>
    </row>
    <row r="934" spans="1:32" s="268" customFormat="1" ht="15" x14ac:dyDescent="0.25">
      <c r="A934" s="264"/>
      <c r="B934" s="264"/>
      <c r="C934" s="1056"/>
      <c r="D934" s="1056"/>
      <c r="E934" s="1056"/>
      <c r="F934" s="1056"/>
      <c r="G934" s="1056"/>
      <c r="H934" s="1056"/>
      <c r="I934" s="1056"/>
      <c r="J934" s="1056"/>
      <c r="K934" s="1056"/>
      <c r="L934" s="1056"/>
      <c r="M934" s="274"/>
      <c r="P934" s="264"/>
      <c r="Q934" s="264"/>
      <c r="R934" s="264"/>
      <c r="S934" s="264"/>
      <c r="T934" s="1056"/>
      <c r="U934" s="1056"/>
      <c r="V934" s="1056"/>
      <c r="W934" s="1056"/>
      <c r="X934" s="1056"/>
      <c r="Y934" s="1056"/>
      <c r="Z934" s="1056"/>
      <c r="AA934" s="1056"/>
      <c r="AB934" s="1056"/>
      <c r="AC934" s="1056"/>
      <c r="AD934" s="1056"/>
      <c r="AE934" s="1056"/>
      <c r="AF934" s="264"/>
    </row>
    <row r="935" spans="1:32" s="268" customFormat="1" ht="15" x14ac:dyDescent="0.25">
      <c r="A935" s="264"/>
      <c r="B935" s="264"/>
      <c r="C935" s="1056"/>
      <c r="D935" s="1056"/>
      <c r="E935" s="1056"/>
      <c r="F935" s="1056"/>
      <c r="G935" s="1056"/>
      <c r="H935" s="1056"/>
      <c r="I935" s="1056"/>
      <c r="J935" s="1056"/>
      <c r="K935" s="1056"/>
      <c r="L935" s="1056"/>
      <c r="M935" s="274"/>
      <c r="P935" s="264"/>
      <c r="Q935" s="264"/>
      <c r="R935" s="264"/>
      <c r="S935" s="264"/>
      <c r="T935" s="1056"/>
      <c r="U935" s="1056"/>
      <c r="V935" s="1056"/>
      <c r="W935" s="1056"/>
      <c r="X935" s="1056"/>
      <c r="Y935" s="1056"/>
      <c r="Z935" s="1056"/>
      <c r="AA935" s="1056"/>
      <c r="AB935" s="1056"/>
      <c r="AC935" s="1056"/>
      <c r="AD935" s="1056"/>
      <c r="AE935" s="1056"/>
      <c r="AF935" s="264"/>
    </row>
    <row r="936" spans="1:32" s="268" customFormat="1" ht="15" x14ac:dyDescent="0.25">
      <c r="A936" s="264"/>
      <c r="B936" s="264"/>
      <c r="C936" s="1056"/>
      <c r="D936" s="1056"/>
      <c r="E936" s="1056"/>
      <c r="F936" s="1056"/>
      <c r="G936" s="1056"/>
      <c r="H936" s="1056"/>
      <c r="I936" s="1056"/>
      <c r="J936" s="1056"/>
      <c r="K936" s="1056"/>
      <c r="L936" s="1056"/>
      <c r="M936" s="274"/>
      <c r="P936" s="264"/>
      <c r="Q936" s="264"/>
      <c r="R936" s="264"/>
      <c r="S936" s="264"/>
      <c r="T936" s="1056"/>
      <c r="U936" s="1056"/>
      <c r="V936" s="1056"/>
      <c r="W936" s="1056"/>
      <c r="X936" s="1056"/>
      <c r="Y936" s="1056"/>
      <c r="Z936" s="1056"/>
      <c r="AA936" s="1056"/>
      <c r="AB936" s="1056"/>
      <c r="AC936" s="1056"/>
      <c r="AD936" s="1056"/>
      <c r="AE936" s="1056"/>
      <c r="AF936" s="264"/>
    </row>
    <row r="937" spans="1:32" s="268" customFormat="1" ht="15" x14ac:dyDescent="0.25">
      <c r="A937" s="264"/>
      <c r="B937" s="264"/>
      <c r="C937" s="1056"/>
      <c r="D937" s="1056"/>
      <c r="E937" s="1056"/>
      <c r="F937" s="1056"/>
      <c r="G937" s="1056"/>
      <c r="H937" s="1056"/>
      <c r="I937" s="1056"/>
      <c r="J937" s="1056"/>
      <c r="K937" s="1056"/>
      <c r="L937" s="1056"/>
      <c r="M937" s="274"/>
      <c r="P937" s="264"/>
      <c r="Q937" s="264"/>
      <c r="R937" s="264"/>
      <c r="S937" s="264"/>
      <c r="T937" s="1056"/>
      <c r="U937" s="1056"/>
      <c r="V937" s="1056"/>
      <c r="W937" s="1056"/>
      <c r="X937" s="1056"/>
      <c r="Y937" s="1056"/>
      <c r="Z937" s="1056"/>
      <c r="AA937" s="1056"/>
      <c r="AB937" s="1056"/>
      <c r="AC937" s="1056"/>
      <c r="AD937" s="1056"/>
      <c r="AE937" s="1056"/>
      <c r="AF937" s="264"/>
    </row>
    <row r="938" spans="1:32" s="268" customFormat="1" ht="15" x14ac:dyDescent="0.25">
      <c r="A938" s="264"/>
      <c r="B938" s="264"/>
      <c r="C938" s="1056"/>
      <c r="D938" s="1056"/>
      <c r="E938" s="1056"/>
      <c r="F938" s="1056"/>
      <c r="G938" s="1056"/>
      <c r="H938" s="1056"/>
      <c r="I938" s="1056"/>
      <c r="J938" s="1056"/>
      <c r="K938" s="1056"/>
      <c r="L938" s="1056"/>
      <c r="M938" s="274"/>
      <c r="P938" s="264"/>
      <c r="Q938" s="264"/>
      <c r="R938" s="264"/>
      <c r="S938" s="264"/>
      <c r="T938" s="1056"/>
      <c r="U938" s="1056"/>
      <c r="V938" s="1056"/>
      <c r="W938" s="1056"/>
      <c r="X938" s="1056"/>
      <c r="Y938" s="1056"/>
      <c r="Z938" s="1056"/>
      <c r="AA938" s="1056"/>
      <c r="AB938" s="1056"/>
      <c r="AC938" s="1056"/>
      <c r="AD938" s="1056"/>
      <c r="AE938" s="1056"/>
      <c r="AF938" s="264"/>
    </row>
    <row r="939" spans="1:32" s="268" customFormat="1" ht="15" x14ac:dyDescent="0.25">
      <c r="A939" s="264"/>
      <c r="B939" s="264"/>
      <c r="C939" s="1056"/>
      <c r="D939" s="1056"/>
      <c r="E939" s="1056"/>
      <c r="F939" s="1056"/>
      <c r="G939" s="1056"/>
      <c r="H939" s="1056"/>
      <c r="I939" s="1056"/>
      <c r="J939" s="1056"/>
      <c r="K939" s="1056"/>
      <c r="L939" s="1056"/>
      <c r="M939" s="274"/>
      <c r="P939" s="264"/>
      <c r="Q939" s="264"/>
      <c r="R939" s="264"/>
      <c r="S939" s="264"/>
      <c r="T939" s="1056"/>
      <c r="U939" s="1056"/>
      <c r="V939" s="1056"/>
      <c r="W939" s="1056"/>
      <c r="X939" s="1056"/>
      <c r="Y939" s="1056"/>
      <c r="Z939" s="1056"/>
      <c r="AA939" s="1056"/>
      <c r="AB939" s="1056"/>
      <c r="AC939" s="1056"/>
      <c r="AD939" s="1056"/>
      <c r="AE939" s="1056"/>
      <c r="AF939" s="264"/>
    </row>
    <row r="940" spans="1:32" s="268" customFormat="1" ht="15" x14ac:dyDescent="0.25">
      <c r="A940" s="264"/>
      <c r="B940" s="264"/>
      <c r="C940" s="1056"/>
      <c r="D940" s="1056"/>
      <c r="E940" s="1056"/>
      <c r="F940" s="1056"/>
      <c r="G940" s="1056"/>
      <c r="H940" s="1056"/>
      <c r="I940" s="1056"/>
      <c r="J940" s="1056"/>
      <c r="K940" s="1056"/>
      <c r="L940" s="1056"/>
      <c r="M940" s="274"/>
      <c r="P940" s="264"/>
      <c r="Q940" s="264"/>
      <c r="R940" s="264"/>
      <c r="S940" s="264"/>
      <c r="T940" s="1056"/>
      <c r="U940" s="1056"/>
      <c r="V940" s="1056"/>
      <c r="W940" s="1056"/>
      <c r="X940" s="1056"/>
      <c r="Y940" s="1056"/>
      <c r="Z940" s="1056"/>
      <c r="AA940" s="1056"/>
      <c r="AB940" s="1056"/>
      <c r="AC940" s="1056"/>
      <c r="AD940" s="1056"/>
      <c r="AE940" s="1056"/>
      <c r="AF940" s="264"/>
    </row>
    <row r="941" spans="1:32" s="268" customFormat="1" ht="15" x14ac:dyDescent="0.25">
      <c r="A941" s="264"/>
      <c r="B941" s="264"/>
      <c r="C941" s="1056"/>
      <c r="D941" s="1056"/>
      <c r="E941" s="1056"/>
      <c r="F941" s="1056"/>
      <c r="G941" s="1056"/>
      <c r="H941" s="1056"/>
      <c r="I941" s="1056"/>
      <c r="J941" s="1056"/>
      <c r="K941" s="1056"/>
      <c r="L941" s="1056"/>
      <c r="M941" s="274"/>
      <c r="P941" s="264"/>
      <c r="Q941" s="264"/>
      <c r="R941" s="264"/>
      <c r="S941" s="264"/>
      <c r="T941" s="1056"/>
      <c r="U941" s="1056"/>
      <c r="V941" s="1056"/>
      <c r="W941" s="1056"/>
      <c r="X941" s="1056"/>
      <c r="Y941" s="1056"/>
      <c r="Z941" s="1056"/>
      <c r="AA941" s="1056"/>
      <c r="AB941" s="1056"/>
      <c r="AC941" s="1056"/>
      <c r="AD941" s="1056"/>
      <c r="AE941" s="1056"/>
      <c r="AF941" s="264"/>
    </row>
    <row r="942" spans="1:32" s="268" customFormat="1" ht="15" x14ac:dyDescent="0.25">
      <c r="A942" s="264"/>
      <c r="B942" s="264"/>
      <c r="C942" s="1056"/>
      <c r="D942" s="1056"/>
      <c r="E942" s="1056"/>
      <c r="F942" s="1056"/>
      <c r="G942" s="1056"/>
      <c r="H942" s="1056"/>
      <c r="I942" s="1056"/>
      <c r="J942" s="1056"/>
      <c r="K942" s="1056"/>
      <c r="L942" s="1056"/>
      <c r="M942" s="274"/>
      <c r="P942" s="264"/>
      <c r="Q942" s="264"/>
      <c r="R942" s="264"/>
      <c r="S942" s="264"/>
      <c r="T942" s="1056"/>
      <c r="U942" s="1056"/>
      <c r="V942" s="1056"/>
      <c r="W942" s="1056"/>
      <c r="X942" s="1056"/>
      <c r="Y942" s="1056"/>
      <c r="Z942" s="1056"/>
      <c r="AA942" s="1056"/>
      <c r="AB942" s="1056"/>
      <c r="AC942" s="1056"/>
      <c r="AD942" s="1056"/>
      <c r="AE942" s="1056"/>
      <c r="AF942" s="264"/>
    </row>
    <row r="943" spans="1:32" s="268" customFormat="1" ht="15" x14ac:dyDescent="0.25">
      <c r="A943" s="264"/>
      <c r="B943" s="264"/>
      <c r="C943" s="1056"/>
      <c r="D943" s="1056"/>
      <c r="E943" s="1056"/>
      <c r="F943" s="1056"/>
      <c r="G943" s="1056"/>
      <c r="H943" s="1056"/>
      <c r="I943" s="1056"/>
      <c r="J943" s="1056"/>
      <c r="K943" s="1056"/>
      <c r="L943" s="1056"/>
      <c r="M943" s="274"/>
      <c r="P943" s="264"/>
      <c r="Q943" s="264"/>
      <c r="R943" s="264"/>
      <c r="S943" s="264"/>
      <c r="T943" s="1056"/>
      <c r="U943" s="1056"/>
      <c r="V943" s="1056"/>
      <c r="W943" s="1056"/>
      <c r="X943" s="1056"/>
      <c r="Y943" s="1056"/>
      <c r="Z943" s="1056"/>
      <c r="AA943" s="1056"/>
      <c r="AB943" s="1056"/>
      <c r="AC943" s="1056"/>
      <c r="AD943" s="1056"/>
      <c r="AE943" s="1056"/>
      <c r="AF943" s="264"/>
    </row>
    <row r="944" spans="1:32" s="268" customFormat="1" ht="15" x14ac:dyDescent="0.25">
      <c r="A944" s="264"/>
      <c r="B944" s="264"/>
      <c r="C944" s="1056"/>
      <c r="D944" s="1056"/>
      <c r="E944" s="1056"/>
      <c r="F944" s="1056"/>
      <c r="G944" s="1056"/>
      <c r="H944" s="1056"/>
      <c r="I944" s="1056"/>
      <c r="J944" s="1056"/>
      <c r="K944" s="1056"/>
      <c r="L944" s="1056"/>
      <c r="M944" s="274"/>
      <c r="P944" s="264"/>
      <c r="Q944" s="264"/>
      <c r="R944" s="264"/>
      <c r="S944" s="264"/>
      <c r="T944" s="1056"/>
      <c r="U944" s="1056"/>
      <c r="V944" s="1056"/>
      <c r="W944" s="1056"/>
      <c r="X944" s="1056"/>
      <c r="Y944" s="1056"/>
      <c r="Z944" s="1056"/>
      <c r="AA944" s="1056"/>
      <c r="AB944" s="1056"/>
      <c r="AC944" s="1056"/>
      <c r="AD944" s="1056"/>
      <c r="AE944" s="1056"/>
      <c r="AF944" s="264"/>
    </row>
    <row r="945" spans="1:32" s="268" customFormat="1" ht="15" x14ac:dyDescent="0.25">
      <c r="A945" s="264"/>
      <c r="B945" s="264"/>
      <c r="C945" s="1056"/>
      <c r="D945" s="1056"/>
      <c r="E945" s="1056"/>
      <c r="F945" s="1056"/>
      <c r="G945" s="1056"/>
      <c r="H945" s="1056"/>
      <c r="I945" s="1056"/>
      <c r="J945" s="1056"/>
      <c r="K945" s="1056"/>
      <c r="L945" s="1056"/>
      <c r="M945" s="274"/>
      <c r="P945" s="264"/>
      <c r="Q945" s="264"/>
      <c r="R945" s="264"/>
      <c r="S945" s="264"/>
      <c r="T945" s="1056"/>
      <c r="U945" s="1056"/>
      <c r="V945" s="1056"/>
      <c r="W945" s="1056"/>
      <c r="X945" s="1056"/>
      <c r="Y945" s="1056"/>
      <c r="Z945" s="1056"/>
      <c r="AA945" s="1056"/>
      <c r="AB945" s="1056"/>
      <c r="AC945" s="1056"/>
      <c r="AD945" s="1056"/>
      <c r="AE945" s="1056"/>
      <c r="AF945" s="264"/>
    </row>
    <row r="946" spans="1:32" s="268" customFormat="1" ht="15" x14ac:dyDescent="0.25">
      <c r="A946" s="264"/>
      <c r="B946" s="264"/>
      <c r="C946" s="1056"/>
      <c r="D946" s="1056"/>
      <c r="E946" s="1056"/>
      <c r="F946" s="1056"/>
      <c r="G946" s="1056"/>
      <c r="H946" s="1056"/>
      <c r="I946" s="1056"/>
      <c r="J946" s="1056"/>
      <c r="K946" s="1056"/>
      <c r="L946" s="1056"/>
      <c r="M946" s="274"/>
      <c r="P946" s="264"/>
      <c r="Q946" s="264"/>
      <c r="R946" s="264"/>
      <c r="S946" s="264"/>
      <c r="T946" s="1056"/>
      <c r="U946" s="1056"/>
      <c r="V946" s="1056"/>
      <c r="W946" s="1056"/>
      <c r="X946" s="1056"/>
      <c r="Y946" s="1056"/>
      <c r="Z946" s="1056"/>
      <c r="AA946" s="1056"/>
      <c r="AB946" s="1056"/>
      <c r="AC946" s="1056"/>
      <c r="AD946" s="1056"/>
      <c r="AE946" s="1056"/>
      <c r="AF946" s="264"/>
    </row>
    <row r="947" spans="1:32" s="268" customFormat="1" ht="15" x14ac:dyDescent="0.25">
      <c r="A947" s="264"/>
      <c r="B947" s="264"/>
      <c r="C947" s="1056"/>
      <c r="D947" s="1056"/>
      <c r="E947" s="1056"/>
      <c r="F947" s="1056"/>
      <c r="G947" s="1056"/>
      <c r="H947" s="1056"/>
      <c r="I947" s="1056"/>
      <c r="J947" s="1056"/>
      <c r="K947" s="1056"/>
      <c r="L947" s="1056"/>
      <c r="M947" s="274"/>
      <c r="P947" s="264"/>
      <c r="Q947" s="264"/>
      <c r="R947" s="264"/>
      <c r="S947" s="264"/>
      <c r="T947" s="1056"/>
      <c r="U947" s="1056"/>
      <c r="V947" s="1056"/>
      <c r="W947" s="1056"/>
      <c r="X947" s="1056"/>
      <c r="Y947" s="1056"/>
      <c r="Z947" s="1056"/>
      <c r="AA947" s="1056"/>
      <c r="AB947" s="1056"/>
      <c r="AC947" s="1056"/>
      <c r="AD947" s="1056"/>
      <c r="AE947" s="1056"/>
      <c r="AF947" s="264"/>
    </row>
    <row r="948" spans="1:32" s="268" customFormat="1" ht="15" x14ac:dyDescent="0.25">
      <c r="A948" s="264"/>
      <c r="B948" s="264"/>
      <c r="C948" s="1056"/>
      <c r="D948" s="1056"/>
      <c r="E948" s="1056"/>
      <c r="F948" s="1056"/>
      <c r="G948" s="1056"/>
      <c r="H948" s="1056"/>
      <c r="I948" s="1056"/>
      <c r="J948" s="1056"/>
      <c r="K948" s="1056"/>
      <c r="L948" s="1056"/>
      <c r="M948" s="274"/>
      <c r="P948" s="264"/>
      <c r="Q948" s="264"/>
      <c r="R948" s="264"/>
      <c r="S948" s="264"/>
      <c r="T948" s="1056"/>
      <c r="U948" s="1056"/>
      <c r="V948" s="1056"/>
      <c r="W948" s="1056"/>
      <c r="X948" s="1056"/>
      <c r="Y948" s="1056"/>
      <c r="Z948" s="1056"/>
      <c r="AA948" s="1056"/>
      <c r="AB948" s="1056"/>
      <c r="AC948" s="1056"/>
      <c r="AD948" s="1056"/>
      <c r="AE948" s="1056"/>
      <c r="AF948" s="264"/>
    </row>
    <row r="949" spans="1:32" s="268" customFormat="1" ht="15" x14ac:dyDescent="0.25">
      <c r="A949" s="264"/>
      <c r="B949" s="264"/>
      <c r="C949" s="1056"/>
      <c r="D949" s="1056"/>
      <c r="E949" s="1056"/>
      <c r="F949" s="1056"/>
      <c r="G949" s="1056"/>
      <c r="H949" s="1056"/>
      <c r="I949" s="1056"/>
      <c r="J949" s="1056"/>
      <c r="K949" s="1056"/>
      <c r="L949" s="1056"/>
      <c r="M949" s="274"/>
      <c r="P949" s="264"/>
      <c r="Q949" s="264"/>
      <c r="R949" s="264"/>
      <c r="S949" s="264"/>
      <c r="T949" s="1056"/>
      <c r="U949" s="1056"/>
      <c r="V949" s="1056"/>
      <c r="W949" s="1056"/>
      <c r="X949" s="1056"/>
      <c r="Y949" s="1056"/>
      <c r="Z949" s="1056"/>
      <c r="AA949" s="1056"/>
      <c r="AB949" s="1056"/>
      <c r="AC949" s="1056"/>
      <c r="AD949" s="1056"/>
      <c r="AE949" s="1056"/>
      <c r="AF949" s="264"/>
    </row>
    <row r="950" spans="1:32" s="268" customFormat="1" ht="15" x14ac:dyDescent="0.25">
      <c r="A950" s="264"/>
      <c r="B950" s="264"/>
      <c r="C950" s="1056"/>
      <c r="D950" s="1056"/>
      <c r="E950" s="1056"/>
      <c r="F950" s="1056"/>
      <c r="G950" s="1056"/>
      <c r="H950" s="1056"/>
      <c r="I950" s="1056"/>
      <c r="J950" s="1056"/>
      <c r="K950" s="1056"/>
      <c r="L950" s="1056"/>
      <c r="M950" s="274"/>
      <c r="P950" s="264"/>
      <c r="Q950" s="264"/>
      <c r="R950" s="264"/>
      <c r="S950" s="264"/>
      <c r="T950" s="1056"/>
      <c r="U950" s="1056"/>
      <c r="V950" s="1056"/>
      <c r="W950" s="1056"/>
      <c r="X950" s="1056"/>
      <c r="Y950" s="1056"/>
      <c r="Z950" s="1056"/>
      <c r="AA950" s="1056"/>
      <c r="AB950" s="1056"/>
      <c r="AC950" s="1056"/>
      <c r="AD950" s="1056"/>
      <c r="AE950" s="1056"/>
      <c r="AF950" s="264"/>
    </row>
    <row r="951" spans="1:32" s="268" customFormat="1" ht="15" x14ac:dyDescent="0.25">
      <c r="A951" s="264"/>
      <c r="B951" s="264"/>
      <c r="C951" s="1056"/>
      <c r="D951" s="1056"/>
      <c r="E951" s="1056"/>
      <c r="F951" s="1056"/>
      <c r="G951" s="1056"/>
      <c r="H951" s="1056"/>
      <c r="I951" s="1056"/>
      <c r="J951" s="1056"/>
      <c r="K951" s="1056"/>
      <c r="L951" s="1056"/>
      <c r="M951" s="274"/>
      <c r="P951" s="264"/>
      <c r="Q951" s="264"/>
      <c r="R951" s="264"/>
      <c r="S951" s="264"/>
      <c r="T951" s="1056"/>
      <c r="U951" s="1056"/>
      <c r="V951" s="1056"/>
      <c r="W951" s="1056"/>
      <c r="X951" s="1056"/>
      <c r="Y951" s="1056"/>
      <c r="Z951" s="1056"/>
      <c r="AA951" s="1056"/>
      <c r="AB951" s="1056"/>
      <c r="AC951" s="1056"/>
      <c r="AD951" s="1056"/>
      <c r="AE951" s="1056"/>
      <c r="AF951" s="264"/>
    </row>
    <row r="952" spans="1:32" s="268" customFormat="1" ht="15" x14ac:dyDescent="0.25">
      <c r="A952" s="264"/>
      <c r="B952" s="264"/>
      <c r="C952" s="1056"/>
      <c r="D952" s="1056"/>
      <c r="E952" s="1056"/>
      <c r="F952" s="1056"/>
      <c r="G952" s="1056"/>
      <c r="H952" s="1056"/>
      <c r="I952" s="1056"/>
      <c r="J952" s="1056"/>
      <c r="K952" s="1056"/>
      <c r="L952" s="1056"/>
      <c r="M952" s="274"/>
      <c r="P952" s="264"/>
      <c r="Q952" s="264"/>
      <c r="R952" s="264"/>
      <c r="S952" s="264"/>
      <c r="T952" s="1056"/>
      <c r="U952" s="1056"/>
      <c r="V952" s="1056"/>
      <c r="W952" s="1056"/>
      <c r="X952" s="1056"/>
      <c r="Y952" s="1056"/>
      <c r="Z952" s="1056"/>
      <c r="AA952" s="1056"/>
      <c r="AB952" s="1056"/>
      <c r="AC952" s="1056"/>
      <c r="AD952" s="1056"/>
      <c r="AE952" s="1056"/>
      <c r="AF952" s="264"/>
    </row>
    <row r="953" spans="1:32" s="268" customFormat="1" ht="15" x14ac:dyDescent="0.25">
      <c r="A953" s="264"/>
      <c r="B953" s="264"/>
      <c r="C953" s="1056"/>
      <c r="D953" s="1056"/>
      <c r="E953" s="1056"/>
      <c r="F953" s="1056"/>
      <c r="G953" s="1056"/>
      <c r="H953" s="1056"/>
      <c r="I953" s="1056"/>
      <c r="J953" s="1056"/>
      <c r="K953" s="1056"/>
      <c r="L953" s="1056"/>
      <c r="M953" s="274"/>
      <c r="P953" s="264"/>
      <c r="Q953" s="264"/>
      <c r="R953" s="264"/>
      <c r="S953" s="264"/>
      <c r="T953" s="1056"/>
      <c r="U953" s="1056"/>
      <c r="V953" s="1056"/>
      <c r="W953" s="1056"/>
      <c r="X953" s="1056"/>
      <c r="Y953" s="1056"/>
      <c r="Z953" s="1056"/>
      <c r="AA953" s="1056"/>
      <c r="AB953" s="1056"/>
      <c r="AC953" s="1056"/>
      <c r="AD953" s="1056"/>
      <c r="AE953" s="1056"/>
      <c r="AF953" s="264"/>
    </row>
    <row r="954" spans="1:32" s="268" customFormat="1" ht="15" x14ac:dyDescent="0.25">
      <c r="A954" s="264"/>
      <c r="B954" s="264"/>
      <c r="C954" s="1056"/>
      <c r="D954" s="1056"/>
      <c r="E954" s="1056"/>
      <c r="F954" s="1056"/>
      <c r="G954" s="1056"/>
      <c r="H954" s="1056"/>
      <c r="I954" s="1056"/>
      <c r="J954" s="1056"/>
      <c r="K954" s="1056"/>
      <c r="L954" s="1056"/>
      <c r="M954" s="274"/>
      <c r="P954" s="264"/>
      <c r="Q954" s="264"/>
      <c r="R954" s="264"/>
      <c r="S954" s="264"/>
      <c r="T954" s="1056"/>
      <c r="U954" s="1056"/>
      <c r="V954" s="1056"/>
      <c r="W954" s="1056"/>
      <c r="X954" s="1056"/>
      <c r="Y954" s="1056"/>
      <c r="Z954" s="1056"/>
      <c r="AA954" s="1056"/>
      <c r="AB954" s="1056"/>
      <c r="AC954" s="1056"/>
      <c r="AD954" s="1056"/>
      <c r="AE954" s="1056"/>
      <c r="AF954" s="264"/>
    </row>
    <row r="955" spans="1:32" s="268" customFormat="1" ht="15" x14ac:dyDescent="0.25">
      <c r="A955" s="264"/>
      <c r="B955" s="264"/>
      <c r="C955" s="1056"/>
      <c r="D955" s="1056"/>
      <c r="E955" s="1056"/>
      <c r="F955" s="1056"/>
      <c r="G955" s="1056"/>
      <c r="H955" s="1056"/>
      <c r="I955" s="1056"/>
      <c r="J955" s="1056"/>
      <c r="K955" s="1056"/>
      <c r="L955" s="1056"/>
      <c r="M955" s="274"/>
      <c r="P955" s="264"/>
      <c r="Q955" s="264"/>
      <c r="R955" s="264"/>
      <c r="S955" s="264"/>
      <c r="T955" s="1056"/>
      <c r="U955" s="1056"/>
      <c r="V955" s="1056"/>
      <c r="W955" s="1056"/>
      <c r="X955" s="1056"/>
      <c r="Y955" s="1056"/>
      <c r="Z955" s="1056"/>
      <c r="AA955" s="1056"/>
      <c r="AB955" s="1056"/>
      <c r="AC955" s="1056"/>
      <c r="AD955" s="1056"/>
      <c r="AE955" s="1056"/>
      <c r="AF955" s="264"/>
    </row>
    <row r="956" spans="1:32" s="268" customFormat="1" ht="15" x14ac:dyDescent="0.25">
      <c r="A956" s="264"/>
      <c r="B956" s="264"/>
      <c r="C956" s="1056"/>
      <c r="D956" s="1056"/>
      <c r="E956" s="1056"/>
      <c r="F956" s="1056"/>
      <c r="G956" s="1056"/>
      <c r="H956" s="1056"/>
      <c r="I956" s="1056"/>
      <c r="J956" s="1056"/>
      <c r="K956" s="1056"/>
      <c r="L956" s="1056"/>
      <c r="M956" s="274"/>
      <c r="P956" s="264"/>
      <c r="Q956" s="264"/>
      <c r="R956" s="264"/>
      <c r="S956" s="264"/>
      <c r="T956" s="1056"/>
      <c r="U956" s="1056"/>
      <c r="V956" s="1056"/>
      <c r="W956" s="1056"/>
      <c r="X956" s="1056"/>
      <c r="Y956" s="1056"/>
      <c r="Z956" s="1056"/>
      <c r="AA956" s="1056"/>
      <c r="AB956" s="1056"/>
      <c r="AC956" s="1056"/>
      <c r="AD956" s="1056"/>
      <c r="AE956" s="1056"/>
      <c r="AF956" s="264"/>
    </row>
    <row r="957" spans="1:32" s="268" customFormat="1" ht="15" x14ac:dyDescent="0.25">
      <c r="A957" s="264"/>
      <c r="B957" s="264"/>
      <c r="C957" s="1056"/>
      <c r="D957" s="1056"/>
      <c r="E957" s="1056"/>
      <c r="F957" s="1056"/>
      <c r="G957" s="1056"/>
      <c r="H957" s="1056"/>
      <c r="I957" s="1056"/>
      <c r="J957" s="1056"/>
      <c r="K957" s="1056"/>
      <c r="L957" s="1056"/>
      <c r="M957" s="274"/>
      <c r="P957" s="264"/>
      <c r="Q957" s="264"/>
      <c r="R957" s="264"/>
      <c r="S957" s="264"/>
      <c r="T957" s="1056"/>
      <c r="U957" s="1056"/>
      <c r="V957" s="1056"/>
      <c r="W957" s="1056"/>
      <c r="X957" s="1056"/>
      <c r="Y957" s="1056"/>
      <c r="Z957" s="1056"/>
      <c r="AA957" s="1056"/>
      <c r="AB957" s="1056"/>
      <c r="AC957" s="1056"/>
      <c r="AD957" s="1056"/>
      <c r="AE957" s="1056"/>
      <c r="AF957" s="264"/>
    </row>
    <row r="958" spans="1:32" s="268" customFormat="1" ht="15" x14ac:dyDescent="0.25">
      <c r="A958" s="264"/>
      <c r="B958" s="264"/>
      <c r="C958" s="1056"/>
      <c r="D958" s="1056"/>
      <c r="E958" s="1056"/>
      <c r="F958" s="1056"/>
      <c r="G958" s="1056"/>
      <c r="H958" s="1056"/>
      <c r="I958" s="1056"/>
      <c r="J958" s="1056"/>
      <c r="K958" s="1056"/>
      <c r="L958" s="1056"/>
      <c r="M958" s="274"/>
      <c r="P958" s="264"/>
      <c r="Q958" s="264"/>
      <c r="R958" s="264"/>
      <c r="S958" s="264"/>
      <c r="T958" s="1056"/>
      <c r="U958" s="1056"/>
      <c r="V958" s="1056"/>
      <c r="W958" s="1056"/>
      <c r="X958" s="1056"/>
      <c r="Y958" s="1056"/>
      <c r="Z958" s="1056"/>
      <c r="AA958" s="1056"/>
      <c r="AB958" s="1056"/>
      <c r="AC958" s="1056"/>
      <c r="AD958" s="1056"/>
      <c r="AE958" s="1056"/>
      <c r="AF958" s="264"/>
    </row>
    <row r="959" spans="1:32" s="268" customFormat="1" ht="15" x14ac:dyDescent="0.25">
      <c r="A959" s="264"/>
      <c r="B959" s="264"/>
      <c r="C959" s="1056"/>
      <c r="D959" s="1056"/>
      <c r="E959" s="1056"/>
      <c r="F959" s="1056"/>
      <c r="G959" s="1056"/>
      <c r="H959" s="1056"/>
      <c r="I959" s="1056"/>
      <c r="J959" s="1056"/>
      <c r="K959" s="1056"/>
      <c r="L959" s="1056"/>
      <c r="M959" s="274"/>
      <c r="P959" s="264"/>
      <c r="Q959" s="264"/>
      <c r="R959" s="264"/>
      <c r="S959" s="264"/>
      <c r="T959" s="1056"/>
      <c r="U959" s="1056"/>
      <c r="V959" s="1056"/>
      <c r="W959" s="1056"/>
      <c r="X959" s="1056"/>
      <c r="Y959" s="1056"/>
      <c r="Z959" s="1056"/>
      <c r="AA959" s="1056"/>
      <c r="AB959" s="1056"/>
      <c r="AC959" s="1056"/>
      <c r="AD959" s="1056"/>
      <c r="AE959" s="1056"/>
      <c r="AF959" s="264"/>
    </row>
    <row r="960" spans="1:32" s="268" customFormat="1" ht="15" x14ac:dyDescent="0.25">
      <c r="A960" s="264"/>
      <c r="B960" s="264"/>
      <c r="C960" s="1056"/>
      <c r="D960" s="1056"/>
      <c r="E960" s="1056"/>
      <c r="F960" s="1056"/>
      <c r="G960" s="1056"/>
      <c r="H960" s="1056"/>
      <c r="I960" s="1056"/>
      <c r="J960" s="1056"/>
      <c r="K960" s="1056"/>
      <c r="L960" s="1056"/>
      <c r="M960" s="274"/>
      <c r="P960" s="264"/>
      <c r="Q960" s="264"/>
      <c r="R960" s="264"/>
      <c r="S960" s="264"/>
      <c r="T960" s="1056"/>
      <c r="U960" s="1056"/>
      <c r="V960" s="1056"/>
      <c r="W960" s="1056"/>
      <c r="X960" s="1056"/>
      <c r="Y960" s="1056"/>
      <c r="Z960" s="1056"/>
      <c r="AA960" s="1056"/>
      <c r="AB960" s="1056"/>
      <c r="AC960" s="1056"/>
      <c r="AD960" s="1056"/>
      <c r="AE960" s="1056"/>
      <c r="AF960" s="264"/>
    </row>
    <row r="961" spans="1:32" s="268" customFormat="1" ht="15" x14ac:dyDescent="0.25">
      <c r="A961" s="264"/>
      <c r="B961" s="264"/>
      <c r="C961" s="1056"/>
      <c r="D961" s="1056"/>
      <c r="E961" s="1056"/>
      <c r="F961" s="1056"/>
      <c r="G961" s="1056"/>
      <c r="H961" s="1056"/>
      <c r="I961" s="1056"/>
      <c r="J961" s="1056"/>
      <c r="K961" s="1056"/>
      <c r="L961" s="1056"/>
      <c r="M961" s="274"/>
      <c r="P961" s="264"/>
      <c r="Q961" s="264"/>
      <c r="R961" s="264"/>
      <c r="S961" s="264"/>
      <c r="T961" s="1056"/>
      <c r="U961" s="1056"/>
      <c r="V961" s="1056"/>
      <c r="W961" s="1056"/>
      <c r="X961" s="1056"/>
      <c r="Y961" s="1056"/>
      <c r="Z961" s="1056"/>
      <c r="AA961" s="1056"/>
      <c r="AB961" s="1056"/>
      <c r="AC961" s="1056"/>
      <c r="AD961" s="1056"/>
      <c r="AE961" s="1056"/>
      <c r="AF961" s="264"/>
    </row>
    <row r="962" spans="1:32" s="268" customFormat="1" ht="15" x14ac:dyDescent="0.25">
      <c r="A962" s="264"/>
      <c r="B962" s="264"/>
      <c r="C962" s="1056"/>
      <c r="D962" s="1056"/>
      <c r="E962" s="1056"/>
      <c r="F962" s="1056"/>
      <c r="G962" s="1056"/>
      <c r="H962" s="1056"/>
      <c r="I962" s="1056"/>
      <c r="J962" s="1056"/>
      <c r="K962" s="1056"/>
      <c r="L962" s="1056"/>
      <c r="M962" s="274"/>
      <c r="P962" s="264"/>
      <c r="Q962" s="264"/>
      <c r="R962" s="264"/>
      <c r="S962" s="264"/>
      <c r="T962" s="1056"/>
      <c r="U962" s="1056"/>
      <c r="V962" s="1056"/>
      <c r="W962" s="1056"/>
      <c r="X962" s="1056"/>
      <c r="Y962" s="1056"/>
      <c r="Z962" s="1056"/>
      <c r="AA962" s="1056"/>
      <c r="AB962" s="1056"/>
      <c r="AC962" s="1056"/>
      <c r="AD962" s="1056"/>
      <c r="AE962" s="1056"/>
      <c r="AF962" s="264"/>
    </row>
    <row r="963" spans="1:32" s="268" customFormat="1" ht="15" x14ac:dyDescent="0.25">
      <c r="A963" s="264"/>
      <c r="B963" s="264"/>
      <c r="C963" s="1056"/>
      <c r="D963" s="1056"/>
      <c r="E963" s="1056"/>
      <c r="F963" s="1056"/>
      <c r="G963" s="1056"/>
      <c r="H963" s="1056"/>
      <c r="I963" s="1056"/>
      <c r="J963" s="1056"/>
      <c r="K963" s="1056"/>
      <c r="L963" s="1056"/>
      <c r="M963" s="274"/>
      <c r="P963" s="264"/>
      <c r="Q963" s="264"/>
      <c r="R963" s="264"/>
      <c r="S963" s="264"/>
      <c r="T963" s="1056"/>
      <c r="U963" s="1056"/>
      <c r="V963" s="1056"/>
      <c r="W963" s="1056"/>
      <c r="X963" s="1056"/>
      <c r="Y963" s="1056"/>
      <c r="Z963" s="1056"/>
      <c r="AA963" s="1056"/>
      <c r="AB963" s="1056"/>
      <c r="AC963" s="1056"/>
      <c r="AD963" s="1056"/>
      <c r="AE963" s="1056"/>
      <c r="AF963" s="264"/>
    </row>
    <row r="964" spans="1:32" s="268" customFormat="1" ht="15" x14ac:dyDescent="0.25">
      <c r="A964" s="264"/>
      <c r="B964" s="264"/>
      <c r="C964" s="1056"/>
      <c r="D964" s="1056"/>
      <c r="E964" s="1056"/>
      <c r="F964" s="1056"/>
      <c r="G964" s="1056"/>
      <c r="H964" s="1056"/>
      <c r="I964" s="1056"/>
      <c r="J964" s="1056"/>
      <c r="K964" s="1056"/>
      <c r="L964" s="1056"/>
      <c r="M964" s="274"/>
      <c r="P964" s="264"/>
      <c r="Q964" s="264"/>
      <c r="R964" s="264"/>
      <c r="S964" s="264"/>
      <c r="T964" s="1056"/>
      <c r="U964" s="1056"/>
      <c r="V964" s="1056"/>
      <c r="W964" s="1056"/>
      <c r="X964" s="1056"/>
      <c r="Y964" s="1056"/>
      <c r="Z964" s="1056"/>
      <c r="AA964" s="1056"/>
      <c r="AB964" s="1056"/>
      <c r="AC964" s="1056"/>
      <c r="AD964" s="1056"/>
      <c r="AE964" s="1056"/>
      <c r="AF964" s="264"/>
    </row>
    <row r="965" spans="1:32" s="268" customFormat="1" ht="15" x14ac:dyDescent="0.25">
      <c r="A965" s="264"/>
      <c r="B965" s="264"/>
      <c r="C965" s="1056"/>
      <c r="D965" s="1056"/>
      <c r="E965" s="1056"/>
      <c r="F965" s="1056"/>
      <c r="G965" s="1056"/>
      <c r="H965" s="1056"/>
      <c r="I965" s="1056"/>
      <c r="J965" s="1056"/>
      <c r="K965" s="1056"/>
      <c r="L965" s="1056"/>
      <c r="M965" s="274"/>
      <c r="P965" s="264"/>
      <c r="Q965" s="264"/>
      <c r="R965" s="264"/>
      <c r="S965" s="264"/>
      <c r="T965" s="1056"/>
      <c r="U965" s="1056"/>
      <c r="V965" s="1056"/>
      <c r="W965" s="1056"/>
      <c r="X965" s="1056"/>
      <c r="Y965" s="1056"/>
      <c r="Z965" s="1056"/>
      <c r="AA965" s="1056"/>
      <c r="AB965" s="1056"/>
      <c r="AC965" s="1056"/>
      <c r="AD965" s="1056"/>
      <c r="AE965" s="1056"/>
      <c r="AF965" s="264"/>
    </row>
    <row r="966" spans="1:32" s="268" customFormat="1" ht="15" x14ac:dyDescent="0.25">
      <c r="A966" s="264"/>
      <c r="B966" s="264"/>
      <c r="C966" s="1056"/>
      <c r="D966" s="1056"/>
      <c r="E966" s="1056"/>
      <c r="F966" s="1056"/>
      <c r="G966" s="1056"/>
      <c r="H966" s="1056"/>
      <c r="I966" s="1056"/>
      <c r="J966" s="1056"/>
      <c r="K966" s="1056"/>
      <c r="L966" s="1056"/>
      <c r="M966" s="274"/>
      <c r="P966" s="264"/>
      <c r="Q966" s="264"/>
      <c r="R966" s="264"/>
      <c r="S966" s="264"/>
      <c r="T966" s="1056"/>
      <c r="U966" s="1056"/>
      <c r="V966" s="1056"/>
      <c r="W966" s="1056"/>
      <c r="X966" s="1056"/>
      <c r="Y966" s="1056"/>
      <c r="Z966" s="1056"/>
      <c r="AA966" s="1056"/>
      <c r="AB966" s="1056"/>
      <c r="AC966" s="1056"/>
      <c r="AD966" s="1056"/>
      <c r="AE966" s="1056"/>
      <c r="AF966" s="264"/>
    </row>
    <row r="967" spans="1:32" s="268" customFormat="1" ht="15" x14ac:dyDescent="0.25">
      <c r="A967" s="264"/>
      <c r="B967" s="264"/>
      <c r="C967" s="1056"/>
      <c r="D967" s="1056"/>
      <c r="E967" s="1056"/>
      <c r="F967" s="1056"/>
      <c r="G967" s="1056"/>
      <c r="H967" s="1056"/>
      <c r="I967" s="1056"/>
      <c r="J967" s="1056"/>
      <c r="K967" s="1056"/>
      <c r="L967" s="1056"/>
      <c r="M967" s="274"/>
      <c r="P967" s="264"/>
      <c r="Q967" s="264"/>
      <c r="R967" s="264"/>
      <c r="S967" s="264"/>
      <c r="T967" s="1056"/>
      <c r="U967" s="1056"/>
      <c r="V967" s="1056"/>
      <c r="W967" s="1056"/>
      <c r="X967" s="1056"/>
      <c r="Y967" s="1056"/>
      <c r="Z967" s="1056"/>
      <c r="AA967" s="1056"/>
      <c r="AB967" s="1056"/>
      <c r="AC967" s="1056"/>
      <c r="AD967" s="1056"/>
      <c r="AE967" s="1056"/>
      <c r="AF967" s="264"/>
    </row>
    <row r="968" spans="1:32" s="268" customFormat="1" ht="15" x14ac:dyDescent="0.25">
      <c r="A968" s="264"/>
      <c r="B968" s="264"/>
      <c r="C968" s="1056"/>
      <c r="D968" s="1056"/>
      <c r="E968" s="1056"/>
      <c r="F968" s="1056"/>
      <c r="G968" s="1056"/>
      <c r="H968" s="1056"/>
      <c r="I968" s="1056"/>
      <c r="J968" s="1056"/>
      <c r="K968" s="1056"/>
      <c r="L968" s="1056"/>
      <c r="M968" s="274"/>
      <c r="P968" s="264"/>
      <c r="Q968" s="264"/>
      <c r="R968" s="264"/>
      <c r="S968" s="264"/>
      <c r="T968" s="1056"/>
      <c r="U968" s="1056"/>
      <c r="V968" s="1056"/>
      <c r="W968" s="1056"/>
      <c r="X968" s="1056"/>
      <c r="Y968" s="1056"/>
      <c r="Z968" s="1056"/>
      <c r="AA968" s="1056"/>
      <c r="AB968" s="1056"/>
      <c r="AC968" s="1056"/>
      <c r="AD968" s="1056"/>
      <c r="AE968" s="1056"/>
      <c r="AF968" s="264"/>
    </row>
    <row r="969" spans="1:32" s="268" customFormat="1" ht="15" x14ac:dyDescent="0.25">
      <c r="A969" s="264"/>
      <c r="B969" s="264"/>
      <c r="C969" s="1056"/>
      <c r="D969" s="1056"/>
      <c r="E969" s="1056"/>
      <c r="F969" s="1056"/>
      <c r="G969" s="1056"/>
      <c r="H969" s="1056"/>
      <c r="I969" s="1056"/>
      <c r="J969" s="1056"/>
      <c r="K969" s="1056"/>
      <c r="L969" s="1056"/>
      <c r="M969" s="274"/>
      <c r="P969" s="264"/>
      <c r="Q969" s="264"/>
      <c r="R969" s="264"/>
      <c r="S969" s="264"/>
      <c r="T969" s="1056"/>
      <c r="U969" s="1056"/>
      <c r="V969" s="1056"/>
      <c r="W969" s="1056"/>
      <c r="X969" s="1056"/>
      <c r="Y969" s="1056"/>
      <c r="Z969" s="1056"/>
      <c r="AA969" s="1056"/>
      <c r="AB969" s="1056"/>
      <c r="AC969" s="1056"/>
      <c r="AD969" s="1056"/>
      <c r="AE969" s="1056"/>
      <c r="AF969" s="264"/>
    </row>
    <row r="970" spans="1:32" s="268" customFormat="1" ht="15" x14ac:dyDescent="0.25">
      <c r="A970" s="264"/>
      <c r="B970" s="264"/>
      <c r="C970" s="1056"/>
      <c r="D970" s="1056"/>
      <c r="E970" s="1056"/>
      <c r="F970" s="1056"/>
      <c r="G970" s="1056"/>
      <c r="H970" s="1056"/>
      <c r="I970" s="1056"/>
      <c r="J970" s="1056"/>
      <c r="K970" s="1056"/>
      <c r="L970" s="1056"/>
      <c r="M970" s="274"/>
      <c r="P970" s="264"/>
      <c r="Q970" s="264"/>
      <c r="R970" s="264"/>
      <c r="S970" s="264"/>
      <c r="T970" s="1056"/>
      <c r="U970" s="1056"/>
      <c r="V970" s="1056"/>
      <c r="W970" s="1056"/>
      <c r="X970" s="1056"/>
      <c r="Y970" s="1056"/>
      <c r="Z970" s="1056"/>
      <c r="AA970" s="1056"/>
      <c r="AB970" s="1056"/>
      <c r="AC970" s="1056"/>
      <c r="AD970" s="1056"/>
      <c r="AE970" s="1056"/>
      <c r="AF970" s="264"/>
    </row>
    <row r="971" spans="1:32" s="268" customFormat="1" ht="15" x14ac:dyDescent="0.25">
      <c r="A971" s="264"/>
      <c r="B971" s="264"/>
      <c r="C971" s="1056"/>
      <c r="D971" s="1056"/>
      <c r="E971" s="1056"/>
      <c r="F971" s="1056"/>
      <c r="G971" s="1056"/>
      <c r="H971" s="1056"/>
      <c r="I971" s="1056"/>
      <c r="J971" s="1056"/>
      <c r="K971" s="1056"/>
      <c r="L971" s="1056"/>
      <c r="M971" s="274"/>
      <c r="P971" s="264"/>
      <c r="Q971" s="264"/>
      <c r="R971" s="264"/>
      <c r="S971" s="264"/>
      <c r="T971" s="1056"/>
      <c r="U971" s="1056"/>
      <c r="V971" s="1056"/>
      <c r="W971" s="1056"/>
      <c r="X971" s="1056"/>
      <c r="Y971" s="1056"/>
      <c r="Z971" s="1056"/>
      <c r="AA971" s="1056"/>
      <c r="AB971" s="1056"/>
      <c r="AC971" s="1056"/>
      <c r="AD971" s="1056"/>
      <c r="AE971" s="1056"/>
      <c r="AF971" s="264"/>
    </row>
    <row r="972" spans="1:32" s="268" customFormat="1" ht="15" x14ac:dyDescent="0.25">
      <c r="A972" s="264"/>
      <c r="B972" s="264"/>
      <c r="C972" s="1056"/>
      <c r="D972" s="1056"/>
      <c r="E972" s="1056"/>
      <c r="F972" s="1056"/>
      <c r="G972" s="1056"/>
      <c r="H972" s="1056"/>
      <c r="I972" s="1056"/>
      <c r="J972" s="1056"/>
      <c r="K972" s="1056"/>
      <c r="L972" s="1056"/>
      <c r="M972" s="274"/>
      <c r="P972" s="264"/>
      <c r="Q972" s="264"/>
      <c r="R972" s="264"/>
      <c r="S972" s="264"/>
      <c r="T972" s="1056"/>
      <c r="U972" s="1056"/>
      <c r="V972" s="1056"/>
      <c r="W972" s="1056"/>
      <c r="X972" s="1056"/>
      <c r="Y972" s="1056"/>
      <c r="Z972" s="1056"/>
      <c r="AA972" s="1056"/>
      <c r="AB972" s="1056"/>
      <c r="AC972" s="1056"/>
      <c r="AD972" s="1056"/>
      <c r="AE972" s="1056"/>
      <c r="AF972" s="264"/>
    </row>
    <row r="973" spans="1:32" s="268" customFormat="1" ht="15" x14ac:dyDescent="0.25">
      <c r="A973" s="264"/>
      <c r="B973" s="264"/>
      <c r="C973" s="1056"/>
      <c r="D973" s="1056"/>
      <c r="E973" s="1056"/>
      <c r="F973" s="1056"/>
      <c r="G973" s="1056"/>
      <c r="H973" s="1056"/>
      <c r="I973" s="1056"/>
      <c r="J973" s="1056"/>
      <c r="K973" s="1056"/>
      <c r="L973" s="1056"/>
      <c r="M973" s="274"/>
      <c r="P973" s="264"/>
      <c r="Q973" s="264"/>
      <c r="R973" s="264"/>
      <c r="S973" s="264"/>
      <c r="T973" s="1056"/>
      <c r="U973" s="1056"/>
      <c r="V973" s="1056"/>
      <c r="W973" s="1056"/>
      <c r="X973" s="1056"/>
      <c r="Y973" s="1056"/>
      <c r="Z973" s="1056"/>
      <c r="AA973" s="1056"/>
      <c r="AB973" s="1056"/>
      <c r="AC973" s="1056"/>
      <c r="AD973" s="1056"/>
      <c r="AE973" s="1056"/>
      <c r="AF973" s="264"/>
    </row>
    <row r="974" spans="1:32" s="268" customFormat="1" ht="15" x14ac:dyDescent="0.25">
      <c r="A974" s="264"/>
      <c r="B974" s="264"/>
      <c r="C974" s="1056"/>
      <c r="D974" s="1056"/>
      <c r="E974" s="1056"/>
      <c r="F974" s="1056"/>
      <c r="G974" s="1056"/>
      <c r="H974" s="1056"/>
      <c r="I974" s="1056"/>
      <c r="J974" s="1056"/>
      <c r="K974" s="1056"/>
      <c r="L974" s="1056"/>
      <c r="M974" s="274"/>
      <c r="P974" s="264"/>
      <c r="Q974" s="264"/>
      <c r="R974" s="264"/>
      <c r="S974" s="264"/>
      <c r="T974" s="1056"/>
      <c r="U974" s="1056"/>
      <c r="V974" s="1056"/>
      <c r="W974" s="1056"/>
      <c r="X974" s="1056"/>
      <c r="Y974" s="1056"/>
      <c r="Z974" s="1056"/>
      <c r="AA974" s="1056"/>
      <c r="AB974" s="1056"/>
      <c r="AC974" s="1056"/>
      <c r="AD974" s="1056"/>
      <c r="AE974" s="1056"/>
      <c r="AF974" s="264"/>
    </row>
    <row r="975" spans="1:32" s="268" customFormat="1" ht="15" x14ac:dyDescent="0.25">
      <c r="A975" s="264"/>
      <c r="B975" s="264"/>
      <c r="C975" s="1056"/>
      <c r="D975" s="1056"/>
      <c r="E975" s="1056"/>
      <c r="F975" s="1056"/>
      <c r="G975" s="1056"/>
      <c r="H975" s="1056"/>
      <c r="I975" s="1056"/>
      <c r="J975" s="1056"/>
      <c r="K975" s="1056"/>
      <c r="L975" s="1056"/>
      <c r="M975" s="274"/>
      <c r="P975" s="264"/>
      <c r="Q975" s="264"/>
      <c r="R975" s="264"/>
      <c r="S975" s="264"/>
      <c r="T975" s="1056"/>
      <c r="U975" s="1056"/>
      <c r="V975" s="1056"/>
      <c r="W975" s="1056"/>
      <c r="X975" s="1056"/>
      <c r="Y975" s="1056"/>
      <c r="Z975" s="1056"/>
      <c r="AA975" s="1056"/>
      <c r="AB975" s="1056"/>
      <c r="AC975" s="1056"/>
      <c r="AD975" s="1056"/>
      <c r="AE975" s="1056"/>
      <c r="AF975" s="264"/>
    </row>
    <row r="976" spans="1:32" s="268" customFormat="1" ht="15" x14ac:dyDescent="0.25">
      <c r="A976" s="264"/>
      <c r="B976" s="264"/>
      <c r="C976" s="1056"/>
      <c r="D976" s="1056"/>
      <c r="E976" s="1056"/>
      <c r="F976" s="1056"/>
      <c r="G976" s="1056"/>
      <c r="H976" s="1056"/>
      <c r="I976" s="1056"/>
      <c r="J976" s="1056"/>
      <c r="K976" s="1056"/>
      <c r="L976" s="1056"/>
      <c r="M976" s="274"/>
      <c r="P976" s="264"/>
      <c r="Q976" s="264"/>
      <c r="R976" s="264"/>
      <c r="S976" s="264"/>
      <c r="T976" s="1056"/>
      <c r="U976" s="1056"/>
      <c r="V976" s="1056"/>
      <c r="W976" s="1056"/>
      <c r="X976" s="1056"/>
      <c r="Y976" s="1056"/>
      <c r="Z976" s="1056"/>
      <c r="AA976" s="1056"/>
      <c r="AB976" s="1056"/>
      <c r="AC976" s="1056"/>
      <c r="AD976" s="1056"/>
      <c r="AE976" s="1056"/>
      <c r="AF976" s="264"/>
    </row>
    <row r="977" spans="1:32" s="268" customFormat="1" ht="15" x14ac:dyDescent="0.25">
      <c r="A977" s="264"/>
      <c r="B977" s="264"/>
      <c r="C977" s="1056"/>
      <c r="D977" s="1056"/>
      <c r="E977" s="1056"/>
      <c r="F977" s="1056"/>
      <c r="G977" s="1056"/>
      <c r="H977" s="1056"/>
      <c r="I977" s="1056"/>
      <c r="J977" s="1056"/>
      <c r="K977" s="1056"/>
      <c r="L977" s="1056"/>
      <c r="M977" s="274"/>
      <c r="P977" s="264"/>
      <c r="Q977" s="264"/>
      <c r="R977" s="264"/>
      <c r="S977" s="264"/>
      <c r="T977" s="1056"/>
      <c r="U977" s="1056"/>
      <c r="V977" s="1056"/>
      <c r="W977" s="1056"/>
      <c r="X977" s="1056"/>
      <c r="Y977" s="1056"/>
      <c r="Z977" s="1056"/>
      <c r="AA977" s="1056"/>
      <c r="AB977" s="1056"/>
      <c r="AC977" s="1056"/>
      <c r="AD977" s="1056"/>
      <c r="AE977" s="1056"/>
      <c r="AF977" s="264"/>
    </row>
    <row r="978" spans="1:32" s="268" customFormat="1" ht="15" x14ac:dyDescent="0.25">
      <c r="A978" s="264"/>
      <c r="B978" s="264"/>
      <c r="C978" s="1056"/>
      <c r="D978" s="1056"/>
      <c r="E978" s="1056"/>
      <c r="F978" s="1056"/>
      <c r="G978" s="1056"/>
      <c r="H978" s="1056"/>
      <c r="I978" s="1056"/>
      <c r="J978" s="1056"/>
      <c r="K978" s="1056"/>
      <c r="L978" s="1056"/>
      <c r="M978" s="274"/>
      <c r="P978" s="264"/>
      <c r="Q978" s="264"/>
      <c r="R978" s="264"/>
      <c r="S978" s="264"/>
      <c r="T978" s="1056"/>
      <c r="U978" s="1056"/>
      <c r="V978" s="1056"/>
      <c r="W978" s="1056"/>
      <c r="X978" s="1056"/>
      <c r="Y978" s="1056"/>
      <c r="Z978" s="1056"/>
      <c r="AA978" s="1056"/>
      <c r="AB978" s="1056"/>
      <c r="AC978" s="1056"/>
      <c r="AD978" s="1056"/>
      <c r="AE978" s="1056"/>
      <c r="AF978" s="264"/>
    </row>
    <row r="979" spans="1:32" s="268" customFormat="1" ht="15" x14ac:dyDescent="0.25">
      <c r="A979" s="264"/>
      <c r="B979" s="264"/>
      <c r="C979" s="1056"/>
      <c r="D979" s="1056"/>
      <c r="E979" s="1056"/>
      <c r="F979" s="1056"/>
      <c r="G979" s="1056"/>
      <c r="H979" s="1056"/>
      <c r="I979" s="1056"/>
      <c r="J979" s="1056"/>
      <c r="K979" s="1056"/>
      <c r="L979" s="1056"/>
      <c r="M979" s="274"/>
      <c r="P979" s="264"/>
      <c r="Q979" s="264"/>
      <c r="R979" s="264"/>
      <c r="S979" s="264"/>
      <c r="T979" s="1056"/>
      <c r="U979" s="1056"/>
      <c r="V979" s="1056"/>
      <c r="W979" s="1056"/>
      <c r="X979" s="1056"/>
      <c r="Y979" s="1056"/>
      <c r="Z979" s="1056"/>
      <c r="AA979" s="1056"/>
      <c r="AB979" s="1056"/>
      <c r="AC979" s="1056"/>
      <c r="AD979" s="1056"/>
      <c r="AE979" s="1056"/>
      <c r="AF979" s="264"/>
    </row>
    <row r="980" spans="1:32" s="268" customFormat="1" ht="15" x14ac:dyDescent="0.25">
      <c r="A980" s="264"/>
      <c r="B980" s="264"/>
      <c r="C980" s="1056"/>
      <c r="D980" s="1056"/>
      <c r="E980" s="1056"/>
      <c r="F980" s="1056"/>
      <c r="G980" s="1056"/>
      <c r="H980" s="1056"/>
      <c r="I980" s="1056"/>
      <c r="J980" s="1056"/>
      <c r="K980" s="1056"/>
      <c r="L980" s="1056"/>
      <c r="M980" s="274"/>
      <c r="P980" s="264"/>
      <c r="Q980" s="264"/>
      <c r="R980" s="264"/>
      <c r="S980" s="264"/>
      <c r="T980" s="1056"/>
      <c r="U980" s="1056"/>
      <c r="V980" s="1056"/>
      <c r="W980" s="1056"/>
      <c r="X980" s="1056"/>
      <c r="Y980" s="1056"/>
      <c r="Z980" s="1056"/>
      <c r="AA980" s="1056"/>
      <c r="AB980" s="1056"/>
      <c r="AC980" s="1056"/>
      <c r="AD980" s="1056"/>
      <c r="AE980" s="1056"/>
      <c r="AF980" s="264"/>
    </row>
    <row r="981" spans="1:32" s="268" customFormat="1" ht="15" x14ac:dyDescent="0.25">
      <c r="A981" s="264"/>
      <c r="B981" s="264"/>
      <c r="C981" s="1056"/>
      <c r="D981" s="1056"/>
      <c r="E981" s="1056"/>
      <c r="F981" s="1056"/>
      <c r="G981" s="1056"/>
      <c r="H981" s="1056"/>
      <c r="I981" s="1056"/>
      <c r="J981" s="1056"/>
      <c r="K981" s="1056"/>
      <c r="L981" s="1056"/>
      <c r="M981" s="274"/>
      <c r="P981" s="264"/>
      <c r="Q981" s="264"/>
      <c r="R981" s="264"/>
      <c r="S981" s="264"/>
      <c r="T981" s="1056"/>
      <c r="U981" s="1056"/>
      <c r="V981" s="1056"/>
      <c r="W981" s="1056"/>
      <c r="X981" s="1056"/>
      <c r="Y981" s="1056"/>
      <c r="Z981" s="1056"/>
      <c r="AA981" s="1056"/>
      <c r="AB981" s="1056"/>
      <c r="AC981" s="1056"/>
      <c r="AD981" s="1056"/>
      <c r="AE981" s="1056"/>
      <c r="AF981" s="264"/>
    </row>
    <row r="982" spans="1:32" s="268" customFormat="1" ht="15" x14ac:dyDescent="0.25">
      <c r="A982" s="264"/>
      <c r="B982" s="264"/>
      <c r="C982" s="1056"/>
      <c r="D982" s="1056"/>
      <c r="E982" s="1056"/>
      <c r="F982" s="1056"/>
      <c r="G982" s="1056"/>
      <c r="H982" s="1056"/>
      <c r="I982" s="1056"/>
      <c r="J982" s="1056"/>
      <c r="K982" s="1056"/>
      <c r="L982" s="1056"/>
      <c r="M982" s="274"/>
      <c r="P982" s="264"/>
      <c r="Q982" s="264"/>
      <c r="R982" s="264"/>
      <c r="S982" s="264"/>
      <c r="T982" s="1056"/>
      <c r="U982" s="1056"/>
      <c r="V982" s="1056"/>
      <c r="W982" s="1056"/>
      <c r="X982" s="1056"/>
      <c r="Y982" s="1056"/>
      <c r="Z982" s="1056"/>
      <c r="AA982" s="1056"/>
      <c r="AB982" s="1056"/>
      <c r="AC982" s="1056"/>
      <c r="AD982" s="1056"/>
      <c r="AE982" s="1056"/>
      <c r="AF982" s="264"/>
    </row>
    <row r="983" spans="1:32" s="268" customFormat="1" ht="15" x14ac:dyDescent="0.25">
      <c r="A983" s="264"/>
      <c r="B983" s="264"/>
      <c r="C983" s="1056"/>
      <c r="D983" s="1056"/>
      <c r="E983" s="1056"/>
      <c r="F983" s="1056"/>
      <c r="G983" s="1056"/>
      <c r="H983" s="1056"/>
      <c r="I983" s="1056"/>
      <c r="J983" s="1056"/>
      <c r="K983" s="1056"/>
      <c r="L983" s="1056"/>
      <c r="M983" s="274"/>
      <c r="P983" s="264"/>
      <c r="Q983" s="264"/>
      <c r="R983" s="264"/>
      <c r="S983" s="264"/>
      <c r="T983" s="1056"/>
      <c r="U983" s="1056"/>
      <c r="V983" s="1056"/>
      <c r="W983" s="1056"/>
      <c r="X983" s="1056"/>
      <c r="Y983" s="1056"/>
      <c r="Z983" s="1056"/>
      <c r="AA983" s="1056"/>
      <c r="AB983" s="1056"/>
      <c r="AC983" s="1056"/>
      <c r="AD983" s="1056"/>
      <c r="AE983" s="1056"/>
      <c r="AF983" s="264"/>
    </row>
    <row r="984" spans="1:32" s="268" customFormat="1" ht="15" x14ac:dyDescent="0.25">
      <c r="A984" s="264"/>
      <c r="B984" s="264"/>
      <c r="C984" s="1056"/>
      <c r="D984" s="1056"/>
      <c r="E984" s="1056"/>
      <c r="F984" s="1056"/>
      <c r="G984" s="1056"/>
      <c r="H984" s="1056"/>
      <c r="I984" s="1056"/>
      <c r="J984" s="1056"/>
      <c r="K984" s="1056"/>
      <c r="L984" s="1056"/>
      <c r="M984" s="274"/>
      <c r="P984" s="264"/>
      <c r="Q984" s="264"/>
      <c r="R984" s="264"/>
      <c r="S984" s="264"/>
      <c r="T984" s="1056"/>
      <c r="U984" s="1056"/>
      <c r="V984" s="1056"/>
      <c r="W984" s="1056"/>
      <c r="X984" s="1056"/>
      <c r="Y984" s="1056"/>
      <c r="Z984" s="1056"/>
      <c r="AA984" s="1056"/>
      <c r="AB984" s="1056"/>
      <c r="AC984" s="1056"/>
      <c r="AD984" s="1056"/>
      <c r="AE984" s="1056"/>
      <c r="AF984" s="264"/>
    </row>
    <row r="985" spans="1:32" s="268" customFormat="1" ht="15" x14ac:dyDescent="0.25">
      <c r="A985" s="264"/>
      <c r="B985" s="264"/>
      <c r="C985" s="1056"/>
      <c r="D985" s="1056"/>
      <c r="E985" s="1056"/>
      <c r="F985" s="1056"/>
      <c r="G985" s="1056"/>
      <c r="H985" s="1056"/>
      <c r="I985" s="1056"/>
      <c r="J985" s="1056"/>
      <c r="K985" s="1056"/>
      <c r="L985" s="1056"/>
      <c r="M985" s="274"/>
      <c r="P985" s="264"/>
      <c r="Q985" s="264"/>
      <c r="R985" s="264"/>
      <c r="S985" s="264"/>
      <c r="T985" s="1056"/>
      <c r="U985" s="1056"/>
      <c r="V985" s="1056"/>
      <c r="W985" s="1056"/>
      <c r="X985" s="1056"/>
      <c r="Y985" s="1056"/>
      <c r="Z985" s="1056"/>
      <c r="AA985" s="1056"/>
      <c r="AB985" s="1056"/>
      <c r="AC985" s="1056"/>
      <c r="AD985" s="1056"/>
      <c r="AE985" s="1056"/>
      <c r="AF985" s="264"/>
    </row>
    <row r="986" spans="1:32" s="268" customFormat="1" ht="15" x14ac:dyDescent="0.25">
      <c r="A986" s="264"/>
      <c r="B986" s="264"/>
      <c r="C986" s="1056"/>
      <c r="D986" s="1056"/>
      <c r="E986" s="1056"/>
      <c r="F986" s="1056"/>
      <c r="G986" s="1056"/>
      <c r="H986" s="1056"/>
      <c r="I986" s="1056"/>
      <c r="J986" s="1056"/>
      <c r="K986" s="1056"/>
      <c r="L986" s="1056"/>
      <c r="M986" s="274"/>
      <c r="P986" s="264"/>
      <c r="Q986" s="264"/>
      <c r="R986" s="264"/>
      <c r="S986" s="264"/>
      <c r="T986" s="1056"/>
      <c r="U986" s="1056"/>
      <c r="V986" s="1056"/>
      <c r="W986" s="1056"/>
      <c r="X986" s="1056"/>
      <c r="Y986" s="1056"/>
      <c r="Z986" s="1056"/>
      <c r="AA986" s="1056"/>
      <c r="AB986" s="1056"/>
      <c r="AC986" s="1056"/>
      <c r="AD986" s="1056"/>
      <c r="AE986" s="1056"/>
      <c r="AF986" s="264"/>
    </row>
    <row r="987" spans="1:32" s="268" customFormat="1" ht="15" x14ac:dyDescent="0.25">
      <c r="A987" s="264"/>
      <c r="B987" s="264"/>
      <c r="C987" s="1056"/>
      <c r="D987" s="1056"/>
      <c r="E987" s="1056"/>
      <c r="F987" s="1056"/>
      <c r="G987" s="1056"/>
      <c r="H987" s="1056"/>
      <c r="I987" s="1056"/>
      <c r="J987" s="1056"/>
      <c r="K987" s="1056"/>
      <c r="L987" s="1056"/>
      <c r="M987" s="274"/>
      <c r="P987" s="264"/>
      <c r="Q987" s="264"/>
      <c r="R987" s="264"/>
      <c r="S987" s="264"/>
      <c r="T987" s="1056"/>
      <c r="U987" s="1056"/>
      <c r="V987" s="1056"/>
      <c r="W987" s="1056"/>
      <c r="X987" s="1056"/>
      <c r="Y987" s="1056"/>
      <c r="Z987" s="1056"/>
      <c r="AA987" s="1056"/>
      <c r="AB987" s="1056"/>
      <c r="AC987" s="1056"/>
      <c r="AD987" s="1056"/>
      <c r="AE987" s="1056"/>
      <c r="AF987" s="264"/>
    </row>
    <row r="988" spans="1:32" s="268" customFormat="1" ht="15" x14ac:dyDescent="0.25">
      <c r="A988" s="264"/>
      <c r="B988" s="264"/>
      <c r="C988" s="1056"/>
      <c r="D988" s="1056"/>
      <c r="E988" s="1056"/>
      <c r="F988" s="1056"/>
      <c r="G988" s="1056"/>
      <c r="H988" s="1056"/>
      <c r="I988" s="1056"/>
      <c r="J988" s="1056"/>
      <c r="K988" s="1056"/>
      <c r="L988" s="1056"/>
      <c r="M988" s="274"/>
      <c r="P988" s="264"/>
      <c r="Q988" s="264"/>
      <c r="R988" s="264"/>
      <c r="S988" s="264"/>
      <c r="T988" s="1056"/>
      <c r="U988" s="1056"/>
      <c r="V988" s="1056"/>
      <c r="W988" s="1056"/>
      <c r="X988" s="1056"/>
      <c r="Y988" s="1056"/>
      <c r="Z988" s="1056"/>
      <c r="AA988" s="1056"/>
      <c r="AB988" s="1056"/>
      <c r="AC988" s="1056"/>
      <c r="AD988" s="1056"/>
      <c r="AE988" s="1056"/>
      <c r="AF988" s="264"/>
    </row>
    <row r="989" spans="1:32" s="268" customFormat="1" ht="15" x14ac:dyDescent="0.25">
      <c r="A989" s="264"/>
      <c r="B989" s="264"/>
      <c r="C989" s="1056"/>
      <c r="D989" s="1056"/>
      <c r="E989" s="1056"/>
      <c r="F989" s="1056"/>
      <c r="G989" s="1056"/>
      <c r="H989" s="1056"/>
      <c r="I989" s="1056"/>
      <c r="J989" s="1056"/>
      <c r="K989" s="1056"/>
      <c r="L989" s="1056"/>
      <c r="M989" s="274"/>
      <c r="P989" s="264"/>
      <c r="Q989" s="264"/>
      <c r="R989" s="264"/>
      <c r="S989" s="264"/>
      <c r="T989" s="1056"/>
      <c r="U989" s="1056"/>
      <c r="V989" s="1056"/>
      <c r="W989" s="1056"/>
      <c r="X989" s="1056"/>
      <c r="Y989" s="1056"/>
      <c r="Z989" s="1056"/>
      <c r="AA989" s="1056"/>
      <c r="AB989" s="1056"/>
      <c r="AC989" s="1056"/>
      <c r="AD989" s="1056"/>
      <c r="AE989" s="1056"/>
      <c r="AF989" s="264"/>
    </row>
    <row r="990" spans="1:32" s="268" customFormat="1" ht="15" x14ac:dyDescent="0.25">
      <c r="A990" s="264"/>
      <c r="B990" s="264"/>
      <c r="C990" s="1056"/>
      <c r="D990" s="1056"/>
      <c r="E990" s="1056"/>
      <c r="F990" s="1056"/>
      <c r="G990" s="1056"/>
      <c r="H990" s="1056"/>
      <c r="I990" s="1056"/>
      <c r="J990" s="1056"/>
      <c r="K990" s="1056"/>
      <c r="L990" s="1056"/>
      <c r="M990" s="274"/>
      <c r="P990" s="264"/>
      <c r="Q990" s="264"/>
      <c r="R990" s="264"/>
      <c r="S990" s="264"/>
      <c r="T990" s="1056"/>
      <c r="U990" s="1056"/>
      <c r="V990" s="1056"/>
      <c r="W990" s="1056"/>
      <c r="X990" s="1056"/>
      <c r="Y990" s="1056"/>
      <c r="Z990" s="1056"/>
      <c r="AA990" s="1056"/>
      <c r="AB990" s="1056"/>
      <c r="AC990" s="1056"/>
      <c r="AD990" s="1056"/>
      <c r="AE990" s="1056"/>
      <c r="AF990" s="264"/>
    </row>
    <row r="991" spans="1:32" s="268" customFormat="1" ht="15" x14ac:dyDescent="0.25">
      <c r="A991" s="264"/>
      <c r="B991" s="264"/>
      <c r="C991" s="1056"/>
      <c r="D991" s="1056"/>
      <c r="E991" s="1056"/>
      <c r="F991" s="1056"/>
      <c r="G991" s="1056"/>
      <c r="H991" s="1056"/>
      <c r="I991" s="1056"/>
      <c r="J991" s="1056"/>
      <c r="K991" s="1056"/>
      <c r="L991" s="1056"/>
      <c r="M991" s="274"/>
      <c r="P991" s="264"/>
      <c r="Q991" s="264"/>
      <c r="R991" s="264"/>
      <c r="S991" s="264"/>
      <c r="T991" s="1056"/>
      <c r="U991" s="1056"/>
      <c r="V991" s="1056"/>
      <c r="W991" s="1056"/>
      <c r="X991" s="1056"/>
      <c r="Y991" s="1056"/>
      <c r="Z991" s="1056"/>
      <c r="AA991" s="1056"/>
      <c r="AB991" s="1056"/>
      <c r="AC991" s="1056"/>
      <c r="AD991" s="1056"/>
      <c r="AE991" s="1056"/>
      <c r="AF991" s="264"/>
    </row>
    <row r="992" spans="1:32" s="268" customFormat="1" ht="15" x14ac:dyDescent="0.25">
      <c r="A992" s="264"/>
      <c r="B992" s="264"/>
      <c r="C992" s="1056"/>
      <c r="D992" s="1056"/>
      <c r="E992" s="1056"/>
      <c r="F992" s="1056"/>
      <c r="G992" s="1056"/>
      <c r="H992" s="1056"/>
      <c r="I992" s="1056"/>
      <c r="J992" s="1056"/>
      <c r="K992" s="1056"/>
      <c r="L992" s="1056"/>
      <c r="M992" s="274"/>
      <c r="P992" s="264"/>
      <c r="Q992" s="264"/>
      <c r="R992" s="264"/>
      <c r="S992" s="264"/>
      <c r="T992" s="1056"/>
      <c r="U992" s="1056"/>
      <c r="V992" s="1056"/>
      <c r="W992" s="1056"/>
      <c r="X992" s="1056"/>
      <c r="Y992" s="1056"/>
      <c r="Z992" s="1056"/>
      <c r="AA992" s="1056"/>
      <c r="AB992" s="1056"/>
      <c r="AC992" s="1056"/>
      <c r="AD992" s="1056"/>
      <c r="AE992" s="1056"/>
      <c r="AF992" s="264"/>
    </row>
    <row r="993" spans="1:32" s="268" customFormat="1" ht="15" x14ac:dyDescent="0.25">
      <c r="A993" s="264"/>
      <c r="B993" s="264"/>
      <c r="C993" s="1056"/>
      <c r="D993" s="1056"/>
      <c r="E993" s="1056"/>
      <c r="F993" s="1056"/>
      <c r="G993" s="1056"/>
      <c r="H993" s="1056"/>
      <c r="I993" s="1056"/>
      <c r="J993" s="1056"/>
      <c r="K993" s="1056"/>
      <c r="L993" s="1056"/>
      <c r="M993" s="274"/>
      <c r="P993" s="264"/>
      <c r="Q993" s="264"/>
      <c r="R993" s="264"/>
      <c r="S993" s="264"/>
      <c r="T993" s="1056"/>
      <c r="U993" s="1056"/>
      <c r="V993" s="1056"/>
      <c r="W993" s="1056"/>
      <c r="X993" s="1056"/>
      <c r="Y993" s="1056"/>
      <c r="Z993" s="1056"/>
      <c r="AA993" s="1056"/>
      <c r="AB993" s="1056"/>
      <c r="AC993" s="1056"/>
      <c r="AD993" s="1056"/>
      <c r="AE993" s="1056"/>
      <c r="AF993" s="264"/>
    </row>
    <row r="994" spans="1:32" s="268" customFormat="1" ht="15" x14ac:dyDescent="0.25">
      <c r="A994" s="264"/>
      <c r="B994" s="264"/>
      <c r="C994" s="1056"/>
      <c r="D994" s="1056"/>
      <c r="E994" s="1056"/>
      <c r="F994" s="1056"/>
      <c r="G994" s="1056"/>
      <c r="H994" s="1056"/>
      <c r="I994" s="1056"/>
      <c r="J994" s="1056"/>
      <c r="K994" s="1056"/>
      <c r="L994" s="1056"/>
      <c r="M994" s="274"/>
      <c r="P994" s="264"/>
      <c r="Q994" s="264"/>
      <c r="R994" s="264"/>
      <c r="S994" s="264"/>
      <c r="T994" s="1056"/>
      <c r="U994" s="1056"/>
      <c r="V994" s="1056"/>
      <c r="W994" s="1056"/>
      <c r="X994" s="1056"/>
      <c r="Y994" s="1056"/>
      <c r="Z994" s="1056"/>
      <c r="AA994" s="1056"/>
      <c r="AB994" s="1056"/>
      <c r="AC994" s="1056"/>
      <c r="AD994" s="1056"/>
      <c r="AE994" s="1056"/>
      <c r="AF994" s="264"/>
    </row>
    <row r="995" spans="1:32" s="268" customFormat="1" ht="15" x14ac:dyDescent="0.25">
      <c r="A995" s="264"/>
      <c r="B995" s="264"/>
      <c r="C995" s="1056"/>
      <c r="D995" s="1056"/>
      <c r="E995" s="1056"/>
      <c r="F995" s="1056"/>
      <c r="G995" s="1056"/>
      <c r="H995" s="1056"/>
      <c r="I995" s="1056"/>
      <c r="J995" s="1056"/>
      <c r="K995" s="1056"/>
      <c r="L995" s="1056"/>
      <c r="M995" s="274"/>
      <c r="P995" s="264"/>
      <c r="Q995" s="264"/>
      <c r="R995" s="264"/>
      <c r="S995" s="264"/>
      <c r="T995" s="1056"/>
      <c r="U995" s="1056"/>
      <c r="V995" s="1056"/>
      <c r="W995" s="1056"/>
      <c r="X995" s="1056"/>
      <c r="Y995" s="1056"/>
      <c r="Z995" s="1056"/>
      <c r="AA995" s="1056"/>
      <c r="AB995" s="1056"/>
      <c r="AC995" s="1056"/>
      <c r="AD995" s="1056"/>
      <c r="AE995" s="1056"/>
      <c r="AF995" s="264"/>
    </row>
    <row r="996" spans="1:32" s="268" customFormat="1" ht="15" x14ac:dyDescent="0.25">
      <c r="A996" s="264"/>
      <c r="B996" s="264"/>
      <c r="C996" s="1056"/>
      <c r="D996" s="1056"/>
      <c r="E996" s="1056"/>
      <c r="F996" s="1056"/>
      <c r="G996" s="1056"/>
      <c r="H996" s="1056"/>
      <c r="I996" s="1056"/>
      <c r="J996" s="1056"/>
      <c r="K996" s="1056"/>
      <c r="L996" s="1056"/>
      <c r="M996" s="274"/>
      <c r="P996" s="264"/>
      <c r="Q996" s="264"/>
      <c r="R996" s="264"/>
      <c r="S996" s="264"/>
      <c r="T996" s="1056"/>
      <c r="U996" s="1056"/>
      <c r="V996" s="1056"/>
      <c r="W996" s="1056"/>
      <c r="X996" s="1056"/>
      <c r="Y996" s="1056"/>
      <c r="Z996" s="1056"/>
      <c r="AA996" s="1056"/>
      <c r="AB996" s="1056"/>
      <c r="AC996" s="1056"/>
      <c r="AD996" s="1056"/>
      <c r="AE996" s="1056"/>
      <c r="AF996" s="264"/>
    </row>
    <row r="997" spans="1:32" s="268" customFormat="1" ht="15" x14ac:dyDescent="0.25">
      <c r="A997" s="264"/>
      <c r="B997" s="264"/>
      <c r="C997" s="1056"/>
      <c r="D997" s="1056"/>
      <c r="E997" s="1056"/>
      <c r="F997" s="1056"/>
      <c r="G997" s="1056"/>
      <c r="H997" s="1056"/>
      <c r="I997" s="1056"/>
      <c r="J997" s="1056"/>
      <c r="K997" s="1056"/>
      <c r="L997" s="1056"/>
      <c r="M997" s="274"/>
      <c r="P997" s="264"/>
      <c r="Q997" s="264"/>
      <c r="R997" s="264"/>
      <c r="S997" s="264"/>
      <c r="T997" s="1056"/>
      <c r="U997" s="1056"/>
      <c r="V997" s="1056"/>
      <c r="W997" s="1056"/>
      <c r="X997" s="1056"/>
      <c r="Y997" s="1056"/>
      <c r="Z997" s="1056"/>
      <c r="AA997" s="1056"/>
      <c r="AB997" s="1056"/>
      <c r="AC997" s="1056"/>
      <c r="AD997" s="1056"/>
      <c r="AE997" s="1056"/>
      <c r="AF997" s="264"/>
    </row>
    <row r="998" spans="1:32" s="268" customFormat="1" ht="15" x14ac:dyDescent="0.25">
      <c r="A998" s="264"/>
      <c r="B998" s="264"/>
      <c r="C998" s="1056"/>
      <c r="D998" s="1056"/>
      <c r="E998" s="1056"/>
      <c r="F998" s="1056"/>
      <c r="G998" s="1056"/>
      <c r="H998" s="1056"/>
      <c r="I998" s="1056"/>
      <c r="J998" s="1056"/>
      <c r="K998" s="1056"/>
      <c r="L998" s="1056"/>
      <c r="M998" s="274"/>
      <c r="P998" s="264"/>
      <c r="Q998" s="264"/>
      <c r="R998" s="264"/>
      <c r="S998" s="264"/>
      <c r="T998" s="1056"/>
      <c r="U998" s="1056"/>
      <c r="V998" s="1056"/>
      <c r="W998" s="1056"/>
      <c r="X998" s="1056"/>
      <c r="Y998" s="1056"/>
      <c r="Z998" s="1056"/>
      <c r="AA998" s="1056"/>
      <c r="AB998" s="1056"/>
      <c r="AC998" s="1056"/>
      <c r="AD998" s="1056"/>
      <c r="AE998" s="1056"/>
      <c r="AF998" s="264"/>
    </row>
    <row r="999" spans="1:32" s="268" customFormat="1" ht="15" x14ac:dyDescent="0.25">
      <c r="A999" s="264"/>
      <c r="B999" s="264"/>
      <c r="C999" s="1056"/>
      <c r="D999" s="1056"/>
      <c r="E999" s="1056"/>
      <c r="F999" s="1056"/>
      <c r="G999" s="1056"/>
      <c r="H999" s="1056"/>
      <c r="I999" s="1056"/>
      <c r="J999" s="1056"/>
      <c r="K999" s="1056"/>
      <c r="L999" s="1056"/>
      <c r="M999" s="274"/>
      <c r="P999" s="264"/>
      <c r="Q999" s="264"/>
      <c r="R999" s="264"/>
      <c r="S999" s="264"/>
      <c r="T999" s="1056"/>
      <c r="U999" s="1056"/>
      <c r="V999" s="1056"/>
      <c r="W999" s="1056"/>
      <c r="X999" s="1056"/>
      <c r="Y999" s="1056"/>
      <c r="Z999" s="1056"/>
      <c r="AA999" s="1056"/>
      <c r="AB999" s="1056"/>
      <c r="AC999" s="1056"/>
      <c r="AD999" s="1056"/>
      <c r="AE999" s="1056"/>
      <c r="AF999" s="264"/>
    </row>
    <row r="1000" spans="1:32" s="268" customFormat="1" ht="15" x14ac:dyDescent="0.25">
      <c r="A1000" s="264"/>
      <c r="B1000" s="264"/>
      <c r="C1000" s="1056"/>
      <c r="D1000" s="1056"/>
      <c r="E1000" s="1056"/>
      <c r="F1000" s="1056"/>
      <c r="G1000" s="1056"/>
      <c r="H1000" s="1056"/>
      <c r="I1000" s="1056"/>
      <c r="J1000" s="1056"/>
      <c r="K1000" s="1056"/>
      <c r="L1000" s="1056"/>
      <c r="M1000" s="274"/>
      <c r="P1000" s="264"/>
      <c r="Q1000" s="264"/>
      <c r="R1000" s="264"/>
      <c r="S1000" s="264"/>
      <c r="T1000" s="1056"/>
      <c r="U1000" s="1056"/>
      <c r="V1000" s="1056"/>
      <c r="W1000" s="1056"/>
      <c r="X1000" s="1056"/>
      <c r="Y1000" s="1056"/>
      <c r="Z1000" s="1056"/>
      <c r="AA1000" s="1056"/>
      <c r="AB1000" s="1056"/>
      <c r="AC1000" s="1056"/>
      <c r="AD1000" s="1056"/>
      <c r="AE1000" s="1056"/>
      <c r="AF1000" s="264"/>
    </row>
    <row r="1001" spans="1:32" s="268" customFormat="1" ht="15" x14ac:dyDescent="0.25">
      <c r="A1001" s="264"/>
      <c r="B1001" s="264"/>
      <c r="C1001" s="1056"/>
      <c r="D1001" s="1056"/>
      <c r="E1001" s="1056"/>
      <c r="F1001" s="1056"/>
      <c r="G1001" s="1056"/>
      <c r="H1001" s="1056"/>
      <c r="I1001" s="1056"/>
      <c r="J1001" s="1056"/>
      <c r="K1001" s="1056"/>
      <c r="L1001" s="1056"/>
      <c r="M1001" s="274"/>
      <c r="P1001" s="264"/>
      <c r="Q1001" s="264"/>
      <c r="R1001" s="264"/>
      <c r="S1001" s="264"/>
      <c r="T1001" s="1056"/>
      <c r="U1001" s="1056"/>
      <c r="V1001" s="1056"/>
      <c r="W1001" s="1056"/>
      <c r="X1001" s="1056"/>
      <c r="Y1001" s="1056"/>
      <c r="Z1001" s="1056"/>
      <c r="AA1001" s="1056"/>
      <c r="AB1001" s="1056"/>
      <c r="AC1001" s="1056"/>
      <c r="AD1001" s="1056"/>
      <c r="AE1001" s="1056"/>
      <c r="AF1001" s="264"/>
    </row>
    <row r="1002" spans="1:32" s="268" customFormat="1" ht="15" x14ac:dyDescent="0.25">
      <c r="A1002" s="264"/>
      <c r="B1002" s="264"/>
      <c r="C1002" s="1056"/>
      <c r="D1002" s="1056"/>
      <c r="E1002" s="1056"/>
      <c r="F1002" s="1056"/>
      <c r="G1002" s="1056"/>
      <c r="H1002" s="1056"/>
      <c r="I1002" s="1056"/>
      <c r="J1002" s="1056"/>
      <c r="K1002" s="1056"/>
      <c r="L1002" s="1056"/>
      <c r="M1002" s="274"/>
      <c r="P1002" s="264"/>
      <c r="Q1002" s="264"/>
      <c r="R1002" s="264"/>
      <c r="S1002" s="264"/>
      <c r="T1002" s="1056"/>
      <c r="U1002" s="1056"/>
      <c r="V1002" s="1056"/>
      <c r="W1002" s="1056"/>
      <c r="X1002" s="1056"/>
      <c r="Y1002" s="1056"/>
      <c r="Z1002" s="1056"/>
      <c r="AA1002" s="1056"/>
      <c r="AB1002" s="1056"/>
      <c r="AC1002" s="1056"/>
      <c r="AD1002" s="1056"/>
      <c r="AE1002" s="1056"/>
      <c r="AF1002" s="264"/>
    </row>
    <row r="1003" spans="1:32" s="268" customFormat="1" ht="15" x14ac:dyDescent="0.25">
      <c r="A1003" s="264"/>
      <c r="B1003" s="264"/>
      <c r="C1003" s="1056"/>
      <c r="D1003" s="1056"/>
      <c r="E1003" s="1056"/>
      <c r="F1003" s="1056"/>
      <c r="G1003" s="1056"/>
      <c r="H1003" s="1056"/>
      <c r="I1003" s="1056"/>
      <c r="J1003" s="1056"/>
      <c r="K1003" s="1056"/>
      <c r="L1003" s="1056"/>
      <c r="M1003" s="274"/>
      <c r="P1003" s="264"/>
      <c r="Q1003" s="264"/>
      <c r="R1003" s="264"/>
      <c r="S1003" s="264"/>
      <c r="T1003" s="1056"/>
      <c r="U1003" s="1056"/>
      <c r="V1003" s="1056"/>
      <c r="W1003" s="1056"/>
      <c r="X1003" s="1056"/>
      <c r="Y1003" s="1056"/>
      <c r="Z1003" s="1056"/>
      <c r="AA1003" s="1056"/>
      <c r="AB1003" s="1056"/>
      <c r="AC1003" s="1056"/>
      <c r="AD1003" s="1056"/>
      <c r="AE1003" s="1056"/>
      <c r="AF1003" s="264"/>
    </row>
    <row r="1004" spans="1:32" s="268" customFormat="1" ht="15" x14ac:dyDescent="0.25">
      <c r="A1004" s="264"/>
      <c r="B1004" s="264"/>
      <c r="C1004" s="1056"/>
      <c r="D1004" s="1056"/>
      <c r="E1004" s="1056"/>
      <c r="F1004" s="1056"/>
      <c r="G1004" s="1056"/>
      <c r="H1004" s="1056"/>
      <c r="I1004" s="1056"/>
      <c r="J1004" s="1056"/>
      <c r="K1004" s="1056"/>
      <c r="L1004" s="1056"/>
      <c r="M1004" s="274"/>
      <c r="P1004" s="264"/>
      <c r="Q1004" s="264"/>
      <c r="R1004" s="264"/>
      <c r="S1004" s="264"/>
      <c r="T1004" s="1056"/>
      <c r="U1004" s="1056"/>
      <c r="V1004" s="1056"/>
      <c r="W1004" s="1056"/>
      <c r="X1004" s="1056"/>
      <c r="Y1004" s="1056"/>
      <c r="Z1004" s="1056"/>
      <c r="AA1004" s="1056"/>
      <c r="AB1004" s="1056"/>
      <c r="AC1004" s="1056"/>
      <c r="AD1004" s="1056"/>
      <c r="AE1004" s="1056"/>
      <c r="AF1004" s="264"/>
    </row>
    <row r="1005" spans="1:32" s="268" customFormat="1" ht="15" x14ac:dyDescent="0.25">
      <c r="A1005" s="264"/>
      <c r="B1005" s="264"/>
      <c r="C1005" s="1056"/>
      <c r="D1005" s="1056"/>
      <c r="E1005" s="1056"/>
      <c r="F1005" s="1056"/>
      <c r="G1005" s="1056"/>
      <c r="H1005" s="1056"/>
      <c r="I1005" s="1056"/>
      <c r="J1005" s="1056"/>
      <c r="K1005" s="1056"/>
      <c r="L1005" s="1056"/>
      <c r="M1005" s="274"/>
      <c r="P1005" s="264"/>
      <c r="Q1005" s="264"/>
      <c r="R1005" s="264"/>
      <c r="S1005" s="264"/>
      <c r="T1005" s="1056"/>
      <c r="U1005" s="1056"/>
      <c r="V1005" s="1056"/>
      <c r="W1005" s="1056"/>
      <c r="X1005" s="1056"/>
      <c r="Y1005" s="1056"/>
      <c r="Z1005" s="1056"/>
      <c r="AA1005" s="1056"/>
      <c r="AB1005" s="1056"/>
      <c r="AC1005" s="1056"/>
      <c r="AD1005" s="1056"/>
      <c r="AE1005" s="1056"/>
      <c r="AF1005" s="264"/>
    </row>
    <row r="1006" spans="1:32" s="268" customFormat="1" ht="15" x14ac:dyDescent="0.25">
      <c r="A1006" s="264"/>
      <c r="B1006" s="264"/>
      <c r="C1006" s="1056"/>
      <c r="D1006" s="1056"/>
      <c r="E1006" s="1056"/>
      <c r="F1006" s="1056"/>
      <c r="G1006" s="1056"/>
      <c r="H1006" s="1056"/>
      <c r="I1006" s="1056"/>
      <c r="J1006" s="1056"/>
      <c r="K1006" s="1056"/>
      <c r="L1006" s="1056"/>
      <c r="M1006" s="274"/>
      <c r="P1006" s="264"/>
      <c r="Q1006" s="264"/>
      <c r="R1006" s="264"/>
      <c r="S1006" s="264"/>
      <c r="T1006" s="1056"/>
      <c r="U1006" s="1056"/>
      <c r="V1006" s="1056"/>
      <c r="W1006" s="1056"/>
      <c r="X1006" s="1056"/>
      <c r="Y1006" s="1056"/>
      <c r="Z1006" s="1056"/>
      <c r="AA1006" s="1056"/>
      <c r="AB1006" s="1056"/>
      <c r="AC1006" s="1056"/>
      <c r="AD1006" s="1056"/>
      <c r="AE1006" s="1056"/>
      <c r="AF1006" s="264"/>
    </row>
    <row r="1007" spans="1:32" s="268" customFormat="1" ht="15" x14ac:dyDescent="0.25">
      <c r="A1007" s="264"/>
      <c r="B1007" s="264"/>
      <c r="C1007" s="1056"/>
      <c r="D1007" s="1056"/>
      <c r="E1007" s="1056"/>
      <c r="F1007" s="1056"/>
      <c r="G1007" s="1056"/>
      <c r="H1007" s="1056"/>
      <c r="I1007" s="1056"/>
      <c r="J1007" s="1056"/>
      <c r="K1007" s="1056"/>
      <c r="L1007" s="1056"/>
      <c r="M1007" s="274"/>
      <c r="P1007" s="264"/>
      <c r="Q1007" s="264"/>
      <c r="R1007" s="264"/>
      <c r="S1007" s="264"/>
      <c r="T1007" s="1056"/>
      <c r="U1007" s="1056"/>
      <c r="V1007" s="1056"/>
      <c r="W1007" s="1056"/>
      <c r="X1007" s="1056"/>
      <c r="Y1007" s="1056"/>
      <c r="Z1007" s="1056"/>
      <c r="AA1007" s="1056"/>
      <c r="AB1007" s="1056"/>
      <c r="AC1007" s="1056"/>
      <c r="AD1007" s="1056"/>
      <c r="AE1007" s="1056"/>
      <c r="AF1007" s="264"/>
    </row>
    <row r="1008" spans="1:32" s="268" customFormat="1" ht="15" x14ac:dyDescent="0.25">
      <c r="A1008" s="264"/>
      <c r="B1008" s="264"/>
      <c r="C1008" s="1056"/>
      <c r="D1008" s="1056"/>
      <c r="E1008" s="1056"/>
      <c r="F1008" s="1056"/>
      <c r="G1008" s="1056"/>
      <c r="H1008" s="1056"/>
      <c r="I1008" s="1056"/>
      <c r="J1008" s="1056"/>
      <c r="K1008" s="1056"/>
      <c r="L1008" s="1056"/>
      <c r="M1008" s="274"/>
      <c r="P1008" s="264"/>
      <c r="Q1008" s="264"/>
      <c r="R1008" s="264"/>
      <c r="S1008" s="264"/>
      <c r="T1008" s="1056"/>
      <c r="U1008" s="1056"/>
      <c r="V1008" s="1056"/>
      <c r="W1008" s="1056"/>
      <c r="X1008" s="1056"/>
      <c r="Y1008" s="1056"/>
      <c r="Z1008" s="1056"/>
      <c r="AA1008" s="1056"/>
      <c r="AB1008" s="1056"/>
      <c r="AC1008" s="1056"/>
      <c r="AD1008" s="1056"/>
      <c r="AE1008" s="1056"/>
      <c r="AF1008" s="264"/>
    </row>
    <row r="1009" spans="1:32" s="268" customFormat="1" ht="15" x14ac:dyDescent="0.25">
      <c r="A1009" s="264"/>
      <c r="B1009" s="264"/>
      <c r="C1009" s="1056"/>
      <c r="D1009" s="1056"/>
      <c r="E1009" s="1056"/>
      <c r="F1009" s="1056"/>
      <c r="G1009" s="1056"/>
      <c r="H1009" s="1056"/>
      <c r="I1009" s="1056"/>
      <c r="J1009" s="1056"/>
      <c r="K1009" s="1056"/>
      <c r="L1009" s="1056"/>
      <c r="M1009" s="274"/>
      <c r="P1009" s="264"/>
      <c r="Q1009" s="264"/>
      <c r="R1009" s="264"/>
      <c r="S1009" s="264"/>
      <c r="T1009" s="1056"/>
      <c r="U1009" s="1056"/>
      <c r="V1009" s="1056"/>
      <c r="W1009" s="1056"/>
      <c r="X1009" s="1056"/>
      <c r="Y1009" s="1056"/>
      <c r="Z1009" s="1056"/>
      <c r="AA1009" s="1056"/>
      <c r="AB1009" s="1056"/>
      <c r="AC1009" s="1056"/>
      <c r="AD1009" s="1056"/>
      <c r="AE1009" s="1056"/>
      <c r="AF1009" s="264"/>
    </row>
    <row r="1010" spans="1:32" s="268" customFormat="1" ht="15" x14ac:dyDescent="0.25">
      <c r="A1010" s="264"/>
      <c r="B1010" s="264"/>
      <c r="C1010" s="1056"/>
      <c r="D1010" s="1056"/>
      <c r="E1010" s="1056"/>
      <c r="F1010" s="1056"/>
      <c r="G1010" s="1056"/>
      <c r="H1010" s="1056"/>
      <c r="I1010" s="1056"/>
      <c r="J1010" s="1056"/>
      <c r="K1010" s="1056"/>
      <c r="L1010" s="1056"/>
      <c r="M1010" s="274"/>
      <c r="P1010" s="264"/>
      <c r="Q1010" s="264"/>
      <c r="R1010" s="264"/>
      <c r="S1010" s="264"/>
      <c r="T1010" s="1056"/>
      <c r="U1010" s="1056"/>
      <c r="V1010" s="1056"/>
      <c r="W1010" s="1056"/>
      <c r="X1010" s="1056"/>
      <c r="Y1010" s="1056"/>
      <c r="Z1010" s="1056"/>
      <c r="AA1010" s="1056"/>
      <c r="AB1010" s="1056"/>
      <c r="AC1010" s="1056"/>
      <c r="AD1010" s="1056"/>
      <c r="AE1010" s="1056"/>
      <c r="AF1010" s="264"/>
    </row>
    <row r="1011" spans="1:32" s="268" customFormat="1" ht="15" x14ac:dyDescent="0.25">
      <c r="A1011" s="264"/>
      <c r="B1011" s="264"/>
      <c r="C1011" s="1056"/>
      <c r="D1011" s="1056"/>
      <c r="E1011" s="1056"/>
      <c r="F1011" s="1056"/>
      <c r="G1011" s="1056"/>
      <c r="H1011" s="1056"/>
      <c r="I1011" s="1056"/>
      <c r="J1011" s="1056"/>
      <c r="K1011" s="1056"/>
      <c r="L1011" s="1056"/>
      <c r="M1011" s="274"/>
      <c r="P1011" s="264"/>
      <c r="Q1011" s="264"/>
      <c r="R1011" s="264"/>
      <c r="S1011" s="264"/>
      <c r="T1011" s="1056"/>
      <c r="U1011" s="1056"/>
      <c r="V1011" s="1056"/>
      <c r="W1011" s="1056"/>
      <c r="X1011" s="1056"/>
      <c r="Y1011" s="1056"/>
      <c r="Z1011" s="1056"/>
      <c r="AA1011" s="1056"/>
      <c r="AB1011" s="1056"/>
      <c r="AC1011" s="1056"/>
      <c r="AD1011" s="1056"/>
      <c r="AE1011" s="1056"/>
      <c r="AF1011" s="264"/>
    </row>
    <row r="1012" spans="1:32" s="268" customFormat="1" ht="15" x14ac:dyDescent="0.25">
      <c r="A1012" s="264"/>
      <c r="B1012" s="264"/>
      <c r="C1012" s="1056"/>
      <c r="D1012" s="1056"/>
      <c r="E1012" s="1056"/>
      <c r="F1012" s="1056"/>
      <c r="G1012" s="1056"/>
      <c r="H1012" s="1056"/>
      <c r="I1012" s="1056"/>
      <c r="J1012" s="1056"/>
      <c r="K1012" s="1056"/>
      <c r="L1012" s="1056"/>
      <c r="M1012" s="274"/>
      <c r="P1012" s="264"/>
      <c r="Q1012" s="264"/>
      <c r="R1012" s="264"/>
      <c r="S1012" s="264"/>
      <c r="T1012" s="1056"/>
      <c r="U1012" s="1056"/>
      <c r="V1012" s="1056"/>
      <c r="W1012" s="1056"/>
      <c r="X1012" s="1056"/>
      <c r="Y1012" s="1056"/>
      <c r="Z1012" s="1056"/>
      <c r="AA1012" s="1056"/>
      <c r="AB1012" s="1056"/>
      <c r="AC1012" s="1056"/>
      <c r="AD1012" s="1056"/>
      <c r="AE1012" s="1056"/>
      <c r="AF1012" s="264"/>
    </row>
    <row r="1013" spans="1:32" s="268" customFormat="1" ht="15" x14ac:dyDescent="0.25">
      <c r="A1013" s="264"/>
      <c r="B1013" s="264"/>
      <c r="C1013" s="1056"/>
      <c r="D1013" s="1056"/>
      <c r="E1013" s="1056"/>
      <c r="F1013" s="1056"/>
      <c r="G1013" s="1056"/>
      <c r="H1013" s="1056"/>
      <c r="I1013" s="1056"/>
      <c r="J1013" s="1056"/>
      <c r="K1013" s="1056"/>
      <c r="L1013" s="1056"/>
      <c r="M1013" s="274"/>
      <c r="P1013" s="264"/>
      <c r="Q1013" s="264"/>
      <c r="R1013" s="264"/>
      <c r="S1013" s="264"/>
      <c r="T1013" s="1056"/>
      <c r="U1013" s="1056"/>
      <c r="V1013" s="1056"/>
      <c r="W1013" s="1056"/>
      <c r="X1013" s="1056"/>
      <c r="Y1013" s="1056"/>
      <c r="Z1013" s="1056"/>
      <c r="AA1013" s="1056"/>
      <c r="AB1013" s="1056"/>
      <c r="AC1013" s="1056"/>
      <c r="AD1013" s="1056"/>
      <c r="AE1013" s="1056"/>
      <c r="AF1013" s="264"/>
    </row>
    <row r="1014" spans="1:32" s="268" customFormat="1" ht="15" x14ac:dyDescent="0.25">
      <c r="A1014" s="264"/>
      <c r="B1014" s="264"/>
      <c r="C1014" s="1056"/>
      <c r="D1014" s="1056"/>
      <c r="E1014" s="1056"/>
      <c r="F1014" s="1056"/>
      <c r="G1014" s="1056"/>
      <c r="H1014" s="1056"/>
      <c r="I1014" s="1056"/>
      <c r="J1014" s="1056"/>
      <c r="K1014" s="1056"/>
      <c r="L1014" s="1056"/>
      <c r="M1014" s="274"/>
      <c r="P1014" s="264"/>
      <c r="Q1014" s="264"/>
      <c r="R1014" s="264"/>
      <c r="S1014" s="264"/>
      <c r="T1014" s="1056"/>
      <c r="U1014" s="1056"/>
      <c r="V1014" s="1056"/>
      <c r="W1014" s="1056"/>
      <c r="X1014" s="1056"/>
      <c r="Y1014" s="1056"/>
      <c r="Z1014" s="1056"/>
      <c r="AA1014" s="1056"/>
      <c r="AB1014" s="1056"/>
      <c r="AC1014" s="1056"/>
      <c r="AD1014" s="1056"/>
      <c r="AE1014" s="1056"/>
      <c r="AF1014" s="264"/>
    </row>
    <row r="1015" spans="1:32" s="268" customFormat="1" ht="15" x14ac:dyDescent="0.25">
      <c r="A1015" s="264"/>
      <c r="B1015" s="264"/>
      <c r="C1015" s="1056"/>
      <c r="D1015" s="1056"/>
      <c r="E1015" s="1056"/>
      <c r="F1015" s="1056"/>
      <c r="G1015" s="1056"/>
      <c r="H1015" s="1056"/>
      <c r="I1015" s="1056"/>
      <c r="J1015" s="1056"/>
      <c r="K1015" s="1056"/>
      <c r="L1015" s="1056"/>
      <c r="M1015" s="274"/>
      <c r="P1015" s="264"/>
      <c r="Q1015" s="264"/>
      <c r="R1015" s="264"/>
      <c r="S1015" s="264"/>
      <c r="T1015" s="1056"/>
      <c r="U1015" s="1056"/>
      <c r="V1015" s="1056"/>
      <c r="W1015" s="1056"/>
      <c r="X1015" s="1056"/>
      <c r="Y1015" s="1056"/>
      <c r="Z1015" s="1056"/>
      <c r="AA1015" s="1056"/>
      <c r="AB1015" s="1056"/>
      <c r="AC1015" s="1056"/>
      <c r="AD1015" s="1056"/>
      <c r="AE1015" s="1056"/>
      <c r="AF1015" s="264"/>
    </row>
    <row r="1016" spans="1:32" s="268" customFormat="1" ht="15" x14ac:dyDescent="0.25">
      <c r="A1016" s="264"/>
      <c r="B1016" s="264"/>
      <c r="C1016" s="1056"/>
      <c r="D1016" s="1056"/>
      <c r="E1016" s="1056"/>
      <c r="F1016" s="1056"/>
      <c r="G1016" s="1056"/>
      <c r="H1016" s="1056"/>
      <c r="I1016" s="1056"/>
      <c r="J1016" s="1056"/>
      <c r="K1016" s="1056"/>
      <c r="L1016" s="1056"/>
      <c r="M1016" s="274"/>
      <c r="P1016" s="264"/>
      <c r="Q1016" s="264"/>
      <c r="R1016" s="264"/>
      <c r="S1016" s="264"/>
      <c r="T1016" s="1056"/>
      <c r="U1016" s="1056"/>
      <c r="V1016" s="1056"/>
      <c r="W1016" s="1056"/>
      <c r="X1016" s="1056"/>
      <c r="Y1016" s="1056"/>
      <c r="Z1016" s="1056"/>
      <c r="AA1016" s="1056"/>
      <c r="AB1016" s="1056"/>
      <c r="AC1016" s="1056"/>
      <c r="AD1016" s="1056"/>
      <c r="AE1016" s="1056"/>
      <c r="AF1016" s="264"/>
    </row>
    <row r="1017" spans="1:32" s="268" customFormat="1" ht="15" x14ac:dyDescent="0.25">
      <c r="A1017" s="264"/>
      <c r="B1017" s="264"/>
      <c r="C1017" s="1056"/>
      <c r="D1017" s="1056"/>
      <c r="E1017" s="1056"/>
      <c r="F1017" s="1056"/>
      <c r="G1017" s="1056"/>
      <c r="H1017" s="1056"/>
      <c r="I1017" s="1056"/>
      <c r="J1017" s="1056"/>
      <c r="K1017" s="1056"/>
      <c r="L1017" s="1056"/>
      <c r="M1017" s="274"/>
      <c r="P1017" s="264"/>
      <c r="Q1017" s="264"/>
      <c r="R1017" s="264"/>
      <c r="S1017" s="264"/>
      <c r="T1017" s="1056"/>
      <c r="U1017" s="1056"/>
      <c r="V1017" s="1056"/>
      <c r="W1017" s="1056"/>
      <c r="X1017" s="1056"/>
      <c r="Y1017" s="1056"/>
      <c r="Z1017" s="1056"/>
      <c r="AA1017" s="1056"/>
      <c r="AB1017" s="1056"/>
      <c r="AC1017" s="1056"/>
      <c r="AD1017" s="1056"/>
      <c r="AE1017" s="1056"/>
      <c r="AF1017" s="264"/>
    </row>
    <row r="1018" spans="1:32" s="268" customFormat="1" ht="15" x14ac:dyDescent="0.25">
      <c r="A1018" s="264"/>
      <c r="B1018" s="264"/>
      <c r="C1018" s="1056"/>
      <c r="D1018" s="1056"/>
      <c r="E1018" s="1056"/>
      <c r="F1018" s="1056"/>
      <c r="G1018" s="1056"/>
      <c r="H1018" s="1056"/>
      <c r="I1018" s="1056"/>
      <c r="J1018" s="1056"/>
      <c r="K1018" s="1056"/>
      <c r="L1018" s="1056"/>
      <c r="M1018" s="274"/>
      <c r="P1018" s="264"/>
      <c r="Q1018" s="264"/>
      <c r="R1018" s="264"/>
      <c r="S1018" s="264"/>
      <c r="T1018" s="1056"/>
      <c r="U1018" s="1056"/>
      <c r="V1018" s="1056"/>
      <c r="W1018" s="1056"/>
      <c r="X1018" s="1056"/>
      <c r="Y1018" s="1056"/>
      <c r="Z1018" s="1056"/>
      <c r="AA1018" s="1056"/>
      <c r="AB1018" s="1056"/>
      <c r="AC1018" s="1056"/>
      <c r="AD1018" s="1056"/>
      <c r="AE1018" s="1056"/>
      <c r="AF1018" s="264"/>
    </row>
    <row r="1019" spans="1:32" s="268" customFormat="1" ht="15" x14ac:dyDescent="0.25">
      <c r="A1019" s="264"/>
      <c r="B1019" s="264"/>
      <c r="C1019" s="1056"/>
      <c r="D1019" s="1056"/>
      <c r="E1019" s="1056"/>
      <c r="F1019" s="1056"/>
      <c r="G1019" s="1056"/>
      <c r="H1019" s="1056"/>
      <c r="I1019" s="1056"/>
      <c r="J1019" s="1056"/>
      <c r="K1019" s="1056"/>
      <c r="L1019" s="1056"/>
      <c r="M1019" s="274"/>
      <c r="P1019" s="264"/>
      <c r="Q1019" s="264"/>
      <c r="R1019" s="264"/>
      <c r="S1019" s="264"/>
      <c r="T1019" s="1056"/>
      <c r="U1019" s="1056"/>
      <c r="V1019" s="1056"/>
      <c r="W1019" s="1056"/>
      <c r="X1019" s="1056"/>
      <c r="Y1019" s="1056"/>
      <c r="Z1019" s="1056"/>
      <c r="AA1019" s="1056"/>
      <c r="AB1019" s="1056"/>
      <c r="AC1019" s="1056"/>
      <c r="AD1019" s="1056"/>
      <c r="AE1019" s="1056"/>
      <c r="AF1019" s="264"/>
    </row>
    <row r="1020" spans="1:32" s="268" customFormat="1" ht="15" x14ac:dyDescent="0.25">
      <c r="A1020" s="264"/>
      <c r="B1020" s="264"/>
      <c r="C1020" s="1056"/>
      <c r="D1020" s="1056"/>
      <c r="E1020" s="1056"/>
      <c r="F1020" s="1056"/>
      <c r="G1020" s="1056"/>
      <c r="H1020" s="1056"/>
      <c r="I1020" s="1056"/>
      <c r="J1020" s="1056"/>
      <c r="K1020" s="1056"/>
      <c r="L1020" s="1056"/>
      <c r="M1020" s="274"/>
      <c r="P1020" s="264"/>
      <c r="Q1020" s="264"/>
      <c r="R1020" s="264"/>
      <c r="S1020" s="264"/>
      <c r="T1020" s="1056"/>
      <c r="U1020" s="1056"/>
      <c r="V1020" s="1056"/>
      <c r="W1020" s="1056"/>
      <c r="X1020" s="1056"/>
      <c r="Y1020" s="1056"/>
      <c r="Z1020" s="1056"/>
      <c r="AA1020" s="1056"/>
      <c r="AB1020" s="1056"/>
      <c r="AC1020" s="1056"/>
      <c r="AD1020" s="1056"/>
      <c r="AE1020" s="1056"/>
      <c r="AF1020" s="264"/>
    </row>
    <row r="1021" spans="1:32" s="268" customFormat="1" ht="15" x14ac:dyDescent="0.25">
      <c r="A1021" s="264"/>
      <c r="B1021" s="264"/>
      <c r="C1021" s="1056"/>
      <c r="D1021" s="1056"/>
      <c r="E1021" s="1056"/>
      <c r="F1021" s="1056"/>
      <c r="G1021" s="1056"/>
      <c r="H1021" s="1056"/>
      <c r="I1021" s="1056"/>
      <c r="J1021" s="1056"/>
      <c r="K1021" s="1056"/>
      <c r="L1021" s="1056"/>
      <c r="M1021" s="274"/>
      <c r="P1021" s="264"/>
      <c r="Q1021" s="264"/>
      <c r="R1021" s="264"/>
      <c r="S1021" s="264"/>
      <c r="T1021" s="1056"/>
      <c r="U1021" s="1056"/>
      <c r="V1021" s="1056"/>
      <c r="W1021" s="1056"/>
      <c r="X1021" s="1056"/>
      <c r="Y1021" s="1056"/>
      <c r="Z1021" s="1056"/>
      <c r="AA1021" s="1056"/>
      <c r="AB1021" s="1056"/>
      <c r="AC1021" s="1056"/>
      <c r="AD1021" s="1056"/>
      <c r="AE1021" s="1056"/>
      <c r="AF1021" s="264"/>
    </row>
    <row r="1022" spans="1:32" s="268" customFormat="1" ht="15" x14ac:dyDescent="0.25">
      <c r="A1022" s="264"/>
      <c r="B1022" s="264"/>
      <c r="C1022" s="1056"/>
      <c r="D1022" s="1056"/>
      <c r="E1022" s="1056"/>
      <c r="F1022" s="1056"/>
      <c r="G1022" s="1056"/>
      <c r="H1022" s="1056"/>
      <c r="I1022" s="1056"/>
      <c r="J1022" s="1056"/>
      <c r="K1022" s="1056"/>
      <c r="L1022" s="1056"/>
      <c r="M1022" s="274"/>
      <c r="P1022" s="264"/>
      <c r="Q1022" s="264"/>
      <c r="R1022" s="264"/>
      <c r="S1022" s="264"/>
      <c r="T1022" s="1056"/>
      <c r="U1022" s="1056"/>
      <c r="V1022" s="1056"/>
      <c r="W1022" s="1056"/>
      <c r="X1022" s="1056"/>
      <c r="Y1022" s="1056"/>
      <c r="Z1022" s="1056"/>
      <c r="AA1022" s="1056"/>
      <c r="AB1022" s="1056"/>
      <c r="AC1022" s="1056"/>
      <c r="AD1022" s="1056"/>
      <c r="AE1022" s="1056"/>
      <c r="AF1022" s="264"/>
    </row>
    <row r="1023" spans="1:32" s="268" customFormat="1" ht="15" x14ac:dyDescent="0.25">
      <c r="A1023" s="264"/>
      <c r="B1023" s="264"/>
      <c r="C1023" s="1056"/>
      <c r="D1023" s="1056"/>
      <c r="E1023" s="1056"/>
      <c r="F1023" s="1056"/>
      <c r="G1023" s="1056"/>
      <c r="H1023" s="1056"/>
      <c r="I1023" s="1056"/>
      <c r="J1023" s="1056"/>
      <c r="K1023" s="1056"/>
      <c r="L1023" s="1056"/>
      <c r="M1023" s="274"/>
      <c r="P1023" s="264"/>
      <c r="Q1023" s="264"/>
      <c r="R1023" s="264"/>
      <c r="S1023" s="264"/>
      <c r="T1023" s="1056"/>
      <c r="U1023" s="1056"/>
      <c r="V1023" s="1056"/>
      <c r="W1023" s="1056"/>
      <c r="X1023" s="1056"/>
      <c r="Y1023" s="1056"/>
      <c r="Z1023" s="1056"/>
      <c r="AA1023" s="1056"/>
      <c r="AB1023" s="1056"/>
      <c r="AC1023" s="1056"/>
      <c r="AD1023" s="1056"/>
      <c r="AE1023" s="1056"/>
      <c r="AF1023" s="264"/>
    </row>
    <row r="1024" spans="1:32" s="268" customFormat="1" ht="15" x14ac:dyDescent="0.25">
      <c r="A1024" s="264"/>
      <c r="B1024" s="264"/>
      <c r="C1024" s="1056"/>
      <c r="D1024" s="1056"/>
      <c r="E1024" s="1056"/>
      <c r="F1024" s="1056"/>
      <c r="G1024" s="1056"/>
      <c r="H1024" s="1056"/>
      <c r="I1024" s="1056"/>
      <c r="J1024" s="1056"/>
      <c r="K1024" s="1056"/>
      <c r="L1024" s="1056"/>
      <c r="M1024" s="274"/>
      <c r="P1024" s="264"/>
      <c r="Q1024" s="264"/>
      <c r="R1024" s="264"/>
      <c r="S1024" s="264"/>
      <c r="T1024" s="1056"/>
      <c r="U1024" s="1056"/>
      <c r="V1024" s="1056"/>
      <c r="W1024" s="1056"/>
      <c r="X1024" s="1056"/>
      <c r="Y1024" s="1056"/>
      <c r="Z1024" s="1056"/>
      <c r="AA1024" s="1056"/>
      <c r="AB1024" s="1056"/>
      <c r="AC1024" s="1056"/>
      <c r="AD1024" s="1056"/>
      <c r="AE1024" s="1056"/>
      <c r="AF1024" s="264"/>
    </row>
    <row r="1025" spans="1:32" s="268" customFormat="1" ht="15" x14ac:dyDescent="0.25">
      <c r="A1025" s="264"/>
      <c r="B1025" s="264"/>
      <c r="C1025" s="1056"/>
      <c r="D1025" s="1056"/>
      <c r="E1025" s="1056"/>
      <c r="F1025" s="1056"/>
      <c r="G1025" s="1056"/>
      <c r="H1025" s="1056"/>
      <c r="I1025" s="1056"/>
      <c r="J1025" s="1056"/>
      <c r="K1025" s="1056"/>
      <c r="L1025" s="1056"/>
      <c r="M1025" s="274"/>
      <c r="P1025" s="264"/>
      <c r="Q1025" s="264"/>
      <c r="R1025" s="264"/>
      <c r="S1025" s="264"/>
      <c r="T1025" s="1056"/>
      <c r="U1025" s="1056"/>
      <c r="V1025" s="1056"/>
      <c r="W1025" s="1056"/>
      <c r="X1025" s="1056"/>
      <c r="Y1025" s="1056"/>
      <c r="Z1025" s="1056"/>
      <c r="AA1025" s="1056"/>
      <c r="AB1025" s="1056"/>
      <c r="AC1025" s="1056"/>
      <c r="AD1025" s="1056"/>
      <c r="AE1025" s="1056"/>
      <c r="AF1025" s="264"/>
    </row>
    <row r="1026" spans="1:32" s="268" customFormat="1" ht="15" x14ac:dyDescent="0.25">
      <c r="A1026" s="264"/>
      <c r="B1026" s="264"/>
      <c r="C1026" s="1056"/>
      <c r="D1026" s="1056"/>
      <c r="E1026" s="1056"/>
      <c r="F1026" s="1056"/>
      <c r="G1026" s="1056"/>
      <c r="H1026" s="1056"/>
      <c r="I1026" s="1056"/>
      <c r="J1026" s="1056"/>
      <c r="K1026" s="1056"/>
      <c r="L1026" s="1056"/>
      <c r="M1026" s="274"/>
      <c r="P1026" s="264"/>
      <c r="Q1026" s="264"/>
      <c r="R1026" s="264"/>
      <c r="S1026" s="264"/>
      <c r="T1026" s="1056"/>
      <c r="U1026" s="1056"/>
      <c r="V1026" s="1056"/>
      <c r="W1026" s="1056"/>
      <c r="X1026" s="1056"/>
      <c r="Y1026" s="1056"/>
      <c r="Z1026" s="1056"/>
      <c r="AA1026" s="1056"/>
      <c r="AB1026" s="1056"/>
      <c r="AC1026" s="1056"/>
      <c r="AD1026" s="1056"/>
      <c r="AE1026" s="1056"/>
      <c r="AF1026" s="264"/>
    </row>
    <row r="1027" spans="1:32" s="268" customFormat="1" ht="15" x14ac:dyDescent="0.25">
      <c r="A1027" s="264"/>
      <c r="B1027" s="264"/>
      <c r="C1027" s="1056"/>
      <c r="D1027" s="1056"/>
      <c r="E1027" s="1056"/>
      <c r="F1027" s="1056"/>
      <c r="G1027" s="1056"/>
      <c r="H1027" s="1056"/>
      <c r="I1027" s="1056"/>
      <c r="J1027" s="1056"/>
      <c r="K1027" s="1056"/>
      <c r="L1027" s="1056"/>
      <c r="M1027" s="274"/>
      <c r="P1027" s="264"/>
      <c r="Q1027" s="264"/>
      <c r="R1027" s="264"/>
      <c r="S1027" s="264"/>
      <c r="T1027" s="1056"/>
      <c r="U1027" s="1056"/>
      <c r="V1027" s="1056"/>
      <c r="W1027" s="1056"/>
      <c r="X1027" s="1056"/>
      <c r="Y1027" s="1056"/>
      <c r="Z1027" s="1056"/>
      <c r="AA1027" s="1056"/>
      <c r="AB1027" s="1056"/>
      <c r="AC1027" s="1056"/>
      <c r="AD1027" s="1056"/>
      <c r="AE1027" s="1056"/>
      <c r="AF1027" s="264"/>
    </row>
    <row r="1028" spans="1:32" s="268" customFormat="1" ht="15" x14ac:dyDescent="0.25">
      <c r="A1028" s="264"/>
      <c r="B1028" s="264"/>
      <c r="C1028" s="1056"/>
      <c r="D1028" s="1056"/>
      <c r="E1028" s="1056"/>
      <c r="F1028" s="1056"/>
      <c r="G1028" s="1056"/>
      <c r="H1028" s="1056"/>
      <c r="I1028" s="1056"/>
      <c r="J1028" s="1056"/>
      <c r="K1028" s="1056"/>
      <c r="L1028" s="1056"/>
      <c r="M1028" s="274"/>
      <c r="P1028" s="264"/>
      <c r="Q1028" s="264"/>
      <c r="R1028" s="264"/>
      <c r="S1028" s="264"/>
      <c r="T1028" s="1056"/>
      <c r="U1028" s="1056"/>
      <c r="V1028" s="1056"/>
      <c r="W1028" s="1056"/>
      <c r="X1028" s="1056"/>
      <c r="Y1028" s="1056"/>
      <c r="Z1028" s="1056"/>
      <c r="AA1028" s="1056"/>
      <c r="AB1028" s="1056"/>
      <c r="AC1028" s="1056"/>
      <c r="AD1028" s="1056"/>
      <c r="AE1028" s="1056"/>
      <c r="AF1028" s="264"/>
    </row>
    <row r="1029" spans="1:32" s="268" customFormat="1" ht="15" x14ac:dyDescent="0.25">
      <c r="A1029" s="264"/>
      <c r="B1029" s="264"/>
      <c r="C1029" s="1056"/>
      <c r="D1029" s="1056"/>
      <c r="E1029" s="1056"/>
      <c r="F1029" s="1056"/>
      <c r="G1029" s="1056"/>
      <c r="H1029" s="1056"/>
      <c r="I1029" s="1056"/>
      <c r="J1029" s="1056"/>
      <c r="K1029" s="1056"/>
      <c r="L1029" s="1056"/>
      <c r="M1029" s="274"/>
      <c r="P1029" s="264"/>
      <c r="Q1029" s="264"/>
      <c r="R1029" s="264"/>
      <c r="S1029" s="264"/>
      <c r="T1029" s="1056"/>
      <c r="U1029" s="1056"/>
      <c r="V1029" s="1056"/>
      <c r="W1029" s="1056"/>
      <c r="X1029" s="1056"/>
      <c r="Y1029" s="1056"/>
      <c r="Z1029" s="1056"/>
      <c r="AA1029" s="1056"/>
      <c r="AB1029" s="1056"/>
      <c r="AC1029" s="1056"/>
      <c r="AD1029" s="1056"/>
      <c r="AE1029" s="1056"/>
      <c r="AF1029" s="264"/>
    </row>
    <row r="1030" spans="1:32" s="268" customFormat="1" ht="15" x14ac:dyDescent="0.25">
      <c r="A1030" s="264"/>
      <c r="B1030" s="264"/>
      <c r="C1030" s="1056"/>
      <c r="D1030" s="1056"/>
      <c r="E1030" s="1056"/>
      <c r="F1030" s="1056"/>
      <c r="G1030" s="1056"/>
      <c r="H1030" s="1056"/>
      <c r="I1030" s="1056"/>
      <c r="J1030" s="1056"/>
      <c r="K1030" s="1056"/>
      <c r="L1030" s="1056"/>
      <c r="M1030" s="274"/>
      <c r="P1030" s="264"/>
      <c r="Q1030" s="264"/>
      <c r="R1030" s="264"/>
      <c r="S1030" s="264"/>
      <c r="T1030" s="1056"/>
      <c r="U1030" s="1056"/>
      <c r="V1030" s="1056"/>
      <c r="W1030" s="1056"/>
      <c r="X1030" s="1056"/>
      <c r="Y1030" s="1056"/>
      <c r="Z1030" s="1056"/>
      <c r="AA1030" s="1056"/>
      <c r="AB1030" s="1056"/>
      <c r="AC1030" s="1056"/>
      <c r="AD1030" s="1056"/>
      <c r="AE1030" s="1056"/>
      <c r="AF1030" s="264"/>
    </row>
    <row r="1031" spans="1:32" s="268" customFormat="1" ht="15" x14ac:dyDescent="0.25">
      <c r="A1031" s="264"/>
      <c r="B1031" s="264"/>
      <c r="C1031" s="1056"/>
      <c r="D1031" s="1056"/>
      <c r="E1031" s="1056"/>
      <c r="F1031" s="1056"/>
      <c r="G1031" s="1056"/>
      <c r="H1031" s="1056"/>
      <c r="I1031" s="1056"/>
      <c r="J1031" s="1056"/>
      <c r="K1031" s="1056"/>
      <c r="L1031" s="1056"/>
      <c r="M1031" s="274"/>
      <c r="P1031" s="264"/>
      <c r="Q1031" s="264"/>
      <c r="R1031" s="264"/>
      <c r="S1031" s="264"/>
      <c r="T1031" s="1056"/>
      <c r="U1031" s="1056"/>
      <c r="V1031" s="1056"/>
      <c r="W1031" s="1056"/>
      <c r="X1031" s="1056"/>
      <c r="Y1031" s="1056"/>
      <c r="Z1031" s="1056"/>
      <c r="AA1031" s="1056"/>
      <c r="AB1031" s="1056"/>
      <c r="AC1031" s="1056"/>
      <c r="AD1031" s="1056"/>
      <c r="AE1031" s="1056"/>
      <c r="AF1031" s="264"/>
    </row>
    <row r="1032" spans="1:32" s="268" customFormat="1" ht="15" x14ac:dyDescent="0.25">
      <c r="A1032" s="264"/>
      <c r="B1032" s="264"/>
      <c r="C1032" s="1056"/>
      <c r="D1032" s="1056"/>
      <c r="E1032" s="1056"/>
      <c r="F1032" s="1056"/>
      <c r="G1032" s="1056"/>
      <c r="H1032" s="1056"/>
      <c r="I1032" s="1056"/>
      <c r="J1032" s="1056"/>
      <c r="K1032" s="1056"/>
      <c r="L1032" s="1056"/>
      <c r="M1032" s="274"/>
      <c r="P1032" s="264"/>
      <c r="Q1032" s="264"/>
      <c r="R1032" s="264"/>
      <c r="S1032" s="264"/>
      <c r="T1032" s="1056"/>
      <c r="U1032" s="1056"/>
      <c r="V1032" s="1056"/>
      <c r="W1032" s="1056"/>
      <c r="X1032" s="1056"/>
      <c r="Y1032" s="1056"/>
      <c r="Z1032" s="1056"/>
      <c r="AA1032" s="1056"/>
      <c r="AB1032" s="1056"/>
      <c r="AC1032" s="1056"/>
      <c r="AD1032" s="1056"/>
      <c r="AE1032" s="1056"/>
      <c r="AF1032" s="264"/>
    </row>
    <row r="1033" spans="1:32" s="268" customFormat="1" ht="15" x14ac:dyDescent="0.25">
      <c r="A1033" s="264"/>
      <c r="B1033" s="264"/>
      <c r="C1033" s="1056"/>
      <c r="D1033" s="1056"/>
      <c r="E1033" s="1056"/>
      <c r="F1033" s="1056"/>
      <c r="G1033" s="1056"/>
      <c r="H1033" s="1056"/>
      <c r="I1033" s="1056"/>
      <c r="J1033" s="1056"/>
      <c r="K1033" s="1056"/>
      <c r="L1033" s="1056"/>
      <c r="M1033" s="274"/>
      <c r="P1033" s="264"/>
      <c r="Q1033" s="264"/>
      <c r="R1033" s="264"/>
      <c r="S1033" s="264"/>
      <c r="T1033" s="1056"/>
      <c r="U1033" s="1056"/>
      <c r="V1033" s="1056"/>
      <c r="W1033" s="1056"/>
      <c r="X1033" s="1056"/>
      <c r="Y1033" s="1056"/>
      <c r="Z1033" s="1056"/>
      <c r="AA1033" s="1056"/>
      <c r="AB1033" s="1056"/>
      <c r="AC1033" s="1056"/>
      <c r="AD1033" s="1056"/>
      <c r="AE1033" s="1056"/>
      <c r="AF1033" s="264"/>
    </row>
    <row r="1034" spans="1:32" s="268" customFormat="1" ht="15" x14ac:dyDescent="0.25">
      <c r="A1034" s="264"/>
      <c r="B1034" s="264"/>
      <c r="C1034" s="1056"/>
      <c r="D1034" s="1056"/>
      <c r="E1034" s="1056"/>
      <c r="F1034" s="1056"/>
      <c r="G1034" s="1056"/>
      <c r="H1034" s="1056"/>
      <c r="I1034" s="1056"/>
      <c r="J1034" s="1056"/>
      <c r="K1034" s="1056"/>
      <c r="L1034" s="1056"/>
      <c r="M1034" s="274"/>
      <c r="P1034" s="264"/>
      <c r="Q1034" s="264"/>
      <c r="R1034" s="264"/>
      <c r="S1034" s="264"/>
      <c r="T1034" s="1056"/>
      <c r="U1034" s="1056"/>
      <c r="V1034" s="1056"/>
      <c r="W1034" s="1056"/>
      <c r="X1034" s="1056"/>
      <c r="Y1034" s="1056"/>
      <c r="Z1034" s="1056"/>
      <c r="AA1034" s="1056"/>
      <c r="AB1034" s="1056"/>
      <c r="AC1034" s="1056"/>
      <c r="AD1034" s="1056"/>
      <c r="AE1034" s="1056"/>
      <c r="AF1034" s="264"/>
    </row>
    <row r="1035" spans="1:32" s="268" customFormat="1" ht="15" x14ac:dyDescent="0.25">
      <c r="A1035" s="264"/>
      <c r="B1035" s="264"/>
      <c r="C1035" s="1056"/>
      <c r="D1035" s="1056"/>
      <c r="E1035" s="1056"/>
      <c r="F1035" s="1056"/>
      <c r="G1035" s="1056"/>
      <c r="H1035" s="1056"/>
      <c r="I1035" s="1056"/>
      <c r="J1035" s="1056"/>
      <c r="K1035" s="1056"/>
      <c r="L1035" s="1056"/>
      <c r="M1035" s="274"/>
      <c r="P1035" s="264"/>
      <c r="Q1035" s="264"/>
      <c r="R1035" s="264"/>
      <c r="S1035" s="264"/>
      <c r="T1035" s="1056"/>
      <c r="U1035" s="1056"/>
      <c r="V1035" s="1056"/>
      <c r="W1035" s="1056"/>
      <c r="X1035" s="1056"/>
      <c r="Y1035" s="1056"/>
      <c r="Z1035" s="1056"/>
      <c r="AA1035" s="1056"/>
      <c r="AB1035" s="1056"/>
      <c r="AC1035" s="1056"/>
      <c r="AD1035" s="1056"/>
      <c r="AE1035" s="1056"/>
      <c r="AF1035" s="264"/>
    </row>
    <row r="1036" spans="1:32" s="268" customFormat="1" ht="15" x14ac:dyDescent="0.25">
      <c r="A1036" s="264"/>
      <c r="B1036" s="264"/>
      <c r="C1036" s="1056"/>
      <c r="D1036" s="1056"/>
      <c r="E1036" s="1056"/>
      <c r="F1036" s="1056"/>
      <c r="G1036" s="1056"/>
      <c r="H1036" s="1056"/>
      <c r="I1036" s="1056"/>
      <c r="J1036" s="1056"/>
      <c r="K1036" s="1056"/>
      <c r="L1036" s="1056"/>
      <c r="M1036" s="274"/>
      <c r="P1036" s="264"/>
      <c r="Q1036" s="264"/>
      <c r="R1036" s="264"/>
      <c r="S1036" s="264"/>
      <c r="T1036" s="1056"/>
      <c r="U1036" s="1056"/>
      <c r="V1036" s="1056"/>
      <c r="W1036" s="1056"/>
      <c r="X1036" s="1056"/>
      <c r="Y1036" s="1056"/>
      <c r="Z1036" s="1056"/>
      <c r="AA1036" s="1056"/>
      <c r="AB1036" s="1056"/>
      <c r="AC1036" s="1056"/>
      <c r="AD1036" s="1056"/>
      <c r="AE1036" s="1056"/>
      <c r="AF1036" s="264"/>
    </row>
    <row r="1037" spans="1:32" s="268" customFormat="1" ht="15" x14ac:dyDescent="0.25">
      <c r="A1037" s="264"/>
      <c r="B1037" s="264"/>
      <c r="C1037" s="1056"/>
      <c r="D1037" s="1056"/>
      <c r="E1037" s="1056"/>
      <c r="F1037" s="1056"/>
      <c r="G1037" s="1056"/>
      <c r="H1037" s="1056"/>
      <c r="I1037" s="1056"/>
      <c r="J1037" s="1056"/>
      <c r="K1037" s="1056"/>
      <c r="L1037" s="1056"/>
      <c r="M1037" s="274"/>
      <c r="P1037" s="264"/>
      <c r="Q1037" s="264"/>
      <c r="R1037" s="264"/>
      <c r="S1037" s="264"/>
      <c r="T1037" s="1056"/>
      <c r="U1037" s="1056"/>
      <c r="V1037" s="1056"/>
      <c r="W1037" s="1056"/>
      <c r="X1037" s="1056"/>
      <c r="Y1037" s="1056"/>
      <c r="Z1037" s="1056"/>
      <c r="AA1037" s="1056"/>
      <c r="AB1037" s="1056"/>
      <c r="AC1037" s="1056"/>
      <c r="AD1037" s="1056"/>
      <c r="AE1037" s="1056"/>
      <c r="AF1037" s="264"/>
    </row>
    <row r="1038" spans="1:32" s="268" customFormat="1" ht="15" x14ac:dyDescent="0.25">
      <c r="A1038" s="264"/>
      <c r="B1038" s="264"/>
      <c r="C1038" s="1056"/>
      <c r="D1038" s="1056"/>
      <c r="E1038" s="1056"/>
      <c r="F1038" s="1056"/>
      <c r="G1038" s="1056"/>
      <c r="H1038" s="1056"/>
      <c r="I1038" s="1056"/>
      <c r="J1038" s="1056"/>
      <c r="K1038" s="1056"/>
      <c r="L1038" s="1056"/>
      <c r="M1038" s="274"/>
      <c r="P1038" s="264"/>
      <c r="Q1038" s="264"/>
      <c r="R1038" s="264"/>
      <c r="S1038" s="264"/>
      <c r="T1038" s="1056"/>
      <c r="U1038" s="1056"/>
      <c r="V1038" s="1056"/>
      <c r="W1038" s="1056"/>
      <c r="X1038" s="1056"/>
      <c r="Y1038" s="1056"/>
      <c r="Z1038" s="1056"/>
      <c r="AA1038" s="1056"/>
      <c r="AB1038" s="1056"/>
      <c r="AC1038" s="1056"/>
      <c r="AD1038" s="1056"/>
      <c r="AE1038" s="1056"/>
      <c r="AF1038" s="264"/>
    </row>
    <row r="1039" spans="1:32" s="268" customFormat="1" ht="15" x14ac:dyDescent="0.25">
      <c r="A1039" s="264"/>
      <c r="B1039" s="264"/>
      <c r="C1039" s="1056"/>
      <c r="D1039" s="1056"/>
      <c r="E1039" s="1056"/>
      <c r="F1039" s="1056"/>
      <c r="G1039" s="1056"/>
      <c r="H1039" s="1056"/>
      <c r="I1039" s="1056"/>
      <c r="J1039" s="1056"/>
      <c r="K1039" s="1056"/>
      <c r="L1039" s="1056"/>
      <c r="M1039" s="274"/>
      <c r="P1039" s="264"/>
      <c r="Q1039" s="264"/>
      <c r="R1039" s="264"/>
      <c r="S1039" s="264"/>
      <c r="T1039" s="1056"/>
      <c r="U1039" s="1056"/>
      <c r="V1039" s="1056"/>
      <c r="W1039" s="1056"/>
      <c r="X1039" s="1056"/>
      <c r="Y1039" s="1056"/>
      <c r="Z1039" s="1056"/>
      <c r="AA1039" s="1056"/>
      <c r="AB1039" s="1056"/>
      <c r="AC1039" s="1056"/>
      <c r="AD1039" s="1056"/>
      <c r="AE1039" s="1056"/>
      <c r="AF1039" s="264"/>
    </row>
    <row r="1040" spans="1:32" s="268" customFormat="1" ht="15" x14ac:dyDescent="0.25">
      <c r="A1040" s="264"/>
      <c r="B1040" s="264"/>
      <c r="C1040" s="1056"/>
      <c r="D1040" s="1056"/>
      <c r="E1040" s="1056"/>
      <c r="F1040" s="1056"/>
      <c r="G1040" s="1056"/>
      <c r="H1040" s="1056"/>
      <c r="I1040" s="1056"/>
      <c r="J1040" s="1056"/>
      <c r="K1040" s="1056"/>
      <c r="L1040" s="1056"/>
      <c r="M1040" s="274"/>
      <c r="P1040" s="264"/>
      <c r="Q1040" s="264"/>
      <c r="R1040" s="264"/>
      <c r="S1040" s="264"/>
      <c r="T1040" s="1056"/>
      <c r="U1040" s="1056"/>
      <c r="V1040" s="1056"/>
      <c r="W1040" s="1056"/>
      <c r="X1040" s="1056"/>
      <c r="Y1040" s="1056"/>
      <c r="Z1040" s="1056"/>
      <c r="AA1040" s="1056"/>
      <c r="AB1040" s="1056"/>
      <c r="AC1040" s="1056"/>
      <c r="AD1040" s="1056"/>
      <c r="AE1040" s="1056"/>
      <c r="AF1040" s="264"/>
    </row>
    <row r="1041" spans="1:32" s="268" customFormat="1" ht="15" x14ac:dyDescent="0.25">
      <c r="A1041" s="264"/>
      <c r="B1041" s="264"/>
      <c r="C1041" s="1056"/>
      <c r="D1041" s="1056"/>
      <c r="E1041" s="1056"/>
      <c r="F1041" s="1056"/>
      <c r="G1041" s="1056"/>
      <c r="H1041" s="1056"/>
      <c r="I1041" s="1056"/>
      <c r="J1041" s="1056"/>
      <c r="K1041" s="1056"/>
      <c r="L1041" s="1056"/>
      <c r="M1041" s="274"/>
      <c r="P1041" s="264"/>
      <c r="Q1041" s="264"/>
      <c r="R1041" s="264"/>
      <c r="S1041" s="264"/>
      <c r="T1041" s="1056"/>
      <c r="U1041" s="1056"/>
      <c r="V1041" s="1056"/>
      <c r="W1041" s="1056"/>
      <c r="X1041" s="1056"/>
      <c r="Y1041" s="1056"/>
      <c r="Z1041" s="1056"/>
      <c r="AA1041" s="1056"/>
      <c r="AB1041" s="1056"/>
      <c r="AC1041" s="1056"/>
      <c r="AD1041" s="1056"/>
      <c r="AE1041" s="1056"/>
      <c r="AF1041" s="264"/>
    </row>
    <row r="1042" spans="1:32" s="268" customFormat="1" ht="15" x14ac:dyDescent="0.25">
      <c r="A1042" s="264"/>
      <c r="B1042" s="264"/>
      <c r="C1042" s="1056"/>
      <c r="D1042" s="1056"/>
      <c r="E1042" s="1056"/>
      <c r="F1042" s="1056"/>
      <c r="G1042" s="1056"/>
      <c r="H1042" s="1056"/>
      <c r="I1042" s="1056"/>
      <c r="J1042" s="1056"/>
      <c r="K1042" s="1056"/>
      <c r="L1042" s="1056"/>
      <c r="M1042" s="274"/>
      <c r="P1042" s="264"/>
      <c r="Q1042" s="264"/>
      <c r="R1042" s="264"/>
      <c r="S1042" s="264"/>
      <c r="T1042" s="1056"/>
      <c r="U1042" s="1056"/>
      <c r="V1042" s="1056"/>
      <c r="W1042" s="1056"/>
      <c r="X1042" s="1056"/>
      <c r="Y1042" s="1056"/>
      <c r="Z1042" s="1056"/>
      <c r="AA1042" s="1056"/>
      <c r="AB1042" s="1056"/>
      <c r="AC1042" s="1056"/>
      <c r="AD1042" s="1056"/>
      <c r="AE1042" s="1056"/>
      <c r="AF1042" s="264"/>
    </row>
    <row r="1043" spans="1:32" s="268" customFormat="1" ht="15" x14ac:dyDescent="0.25">
      <c r="A1043" s="264"/>
      <c r="B1043" s="264"/>
      <c r="C1043" s="1056"/>
      <c r="D1043" s="1056"/>
      <c r="E1043" s="1056"/>
      <c r="F1043" s="1056"/>
      <c r="G1043" s="1056"/>
      <c r="H1043" s="1056"/>
      <c r="I1043" s="1056"/>
      <c r="J1043" s="1056"/>
      <c r="K1043" s="1056"/>
      <c r="L1043" s="1056"/>
      <c r="M1043" s="274"/>
      <c r="P1043" s="264"/>
      <c r="Q1043" s="264"/>
      <c r="R1043" s="264"/>
      <c r="S1043" s="264"/>
      <c r="T1043" s="1056"/>
      <c r="U1043" s="1056"/>
      <c r="V1043" s="1056"/>
      <c r="W1043" s="1056"/>
      <c r="X1043" s="1056"/>
      <c r="Y1043" s="1056"/>
      <c r="Z1043" s="1056"/>
      <c r="AA1043" s="1056"/>
      <c r="AB1043" s="1056"/>
      <c r="AC1043" s="1056"/>
      <c r="AD1043" s="1056"/>
      <c r="AE1043" s="1056"/>
      <c r="AF1043" s="264"/>
    </row>
    <row r="1044" spans="1:32" s="268" customFormat="1" ht="15" x14ac:dyDescent="0.25">
      <c r="A1044" s="264"/>
      <c r="B1044" s="264"/>
      <c r="C1044" s="1056"/>
      <c r="D1044" s="1056"/>
      <c r="E1044" s="1056"/>
      <c r="F1044" s="1056"/>
      <c r="G1044" s="1056"/>
      <c r="H1044" s="1056"/>
      <c r="I1044" s="1056"/>
      <c r="J1044" s="1056"/>
      <c r="K1044" s="1056"/>
      <c r="L1044" s="1056"/>
      <c r="M1044" s="274"/>
      <c r="P1044" s="264"/>
      <c r="Q1044" s="264"/>
      <c r="R1044" s="264"/>
      <c r="S1044" s="264"/>
      <c r="T1044" s="1056"/>
      <c r="U1044" s="1056"/>
      <c r="V1044" s="1056"/>
      <c r="W1044" s="1056"/>
      <c r="X1044" s="1056"/>
      <c r="Y1044" s="1056"/>
      <c r="Z1044" s="1056"/>
      <c r="AA1044" s="1056"/>
      <c r="AB1044" s="1056"/>
      <c r="AC1044" s="1056"/>
      <c r="AD1044" s="1056"/>
      <c r="AE1044" s="1056"/>
      <c r="AF1044" s="264"/>
    </row>
    <row r="1045" spans="1:32" s="268" customFormat="1" ht="15" x14ac:dyDescent="0.25">
      <c r="A1045" s="264"/>
      <c r="B1045" s="264"/>
      <c r="C1045" s="1056"/>
      <c r="D1045" s="1056"/>
      <c r="E1045" s="1056"/>
      <c r="F1045" s="1056"/>
      <c r="G1045" s="1056"/>
      <c r="H1045" s="1056"/>
      <c r="I1045" s="1056"/>
      <c r="J1045" s="1056"/>
      <c r="K1045" s="1056"/>
      <c r="L1045" s="1056"/>
      <c r="M1045" s="274"/>
      <c r="P1045" s="264"/>
      <c r="Q1045" s="264"/>
      <c r="R1045" s="264"/>
      <c r="S1045" s="264"/>
      <c r="T1045" s="1056"/>
      <c r="U1045" s="1056"/>
      <c r="V1045" s="1056"/>
      <c r="W1045" s="1056"/>
      <c r="X1045" s="1056"/>
      <c r="Y1045" s="1056"/>
      <c r="Z1045" s="1056"/>
      <c r="AA1045" s="1056"/>
      <c r="AB1045" s="1056"/>
      <c r="AC1045" s="1056"/>
      <c r="AD1045" s="1056"/>
      <c r="AE1045" s="1056"/>
      <c r="AF1045" s="264"/>
    </row>
    <row r="1046" spans="1:32" s="268" customFormat="1" ht="15" x14ac:dyDescent="0.25">
      <c r="A1046" s="264"/>
      <c r="B1046" s="264"/>
      <c r="C1046" s="1056"/>
      <c r="D1046" s="1056"/>
      <c r="E1046" s="1056"/>
      <c r="F1046" s="1056"/>
      <c r="G1046" s="1056"/>
      <c r="H1046" s="1056"/>
      <c r="I1046" s="1056"/>
      <c r="J1046" s="1056"/>
      <c r="K1046" s="1056"/>
      <c r="L1046" s="1056"/>
      <c r="M1046" s="274"/>
      <c r="P1046" s="264"/>
      <c r="Q1046" s="264"/>
      <c r="R1046" s="264"/>
      <c r="S1046" s="264"/>
      <c r="T1046" s="1056"/>
      <c r="U1046" s="1056"/>
      <c r="V1046" s="1056"/>
      <c r="W1046" s="1056"/>
      <c r="X1046" s="1056"/>
      <c r="Y1046" s="1056"/>
      <c r="Z1046" s="1056"/>
      <c r="AA1046" s="1056"/>
      <c r="AB1046" s="1056"/>
      <c r="AC1046" s="1056"/>
      <c r="AD1046" s="1056"/>
      <c r="AE1046" s="1056"/>
      <c r="AF1046" s="264"/>
    </row>
    <row r="1047" spans="1:32" s="268" customFormat="1" ht="15" x14ac:dyDescent="0.25">
      <c r="A1047" s="264"/>
      <c r="B1047" s="264"/>
      <c r="C1047" s="1056"/>
      <c r="D1047" s="1056"/>
      <c r="E1047" s="1056"/>
      <c r="F1047" s="1056"/>
      <c r="G1047" s="1056"/>
      <c r="H1047" s="1056"/>
      <c r="I1047" s="1056"/>
      <c r="J1047" s="1056"/>
      <c r="K1047" s="1056"/>
      <c r="L1047" s="1056"/>
      <c r="M1047" s="274"/>
      <c r="P1047" s="264"/>
      <c r="Q1047" s="264"/>
      <c r="R1047" s="264"/>
      <c r="S1047" s="264"/>
      <c r="T1047" s="1056"/>
      <c r="U1047" s="1056"/>
      <c r="V1047" s="1056"/>
      <c r="W1047" s="1056"/>
      <c r="X1047" s="1056"/>
      <c r="Y1047" s="1056"/>
      <c r="Z1047" s="1056"/>
      <c r="AA1047" s="1056"/>
      <c r="AB1047" s="1056"/>
      <c r="AC1047" s="1056"/>
      <c r="AD1047" s="1056"/>
      <c r="AE1047" s="1056"/>
      <c r="AF1047" s="264"/>
    </row>
    <row r="1048" spans="1:32" s="268" customFormat="1" ht="15" x14ac:dyDescent="0.25">
      <c r="A1048" s="264"/>
      <c r="B1048" s="264"/>
      <c r="C1048" s="1056"/>
      <c r="D1048" s="1056"/>
      <c r="E1048" s="1056"/>
      <c r="F1048" s="1056"/>
      <c r="G1048" s="1056"/>
      <c r="H1048" s="1056"/>
      <c r="I1048" s="1056"/>
      <c r="J1048" s="1056"/>
      <c r="K1048" s="1056"/>
      <c r="L1048" s="1056"/>
      <c r="M1048" s="274"/>
      <c r="P1048" s="264"/>
      <c r="Q1048" s="264"/>
      <c r="R1048" s="264"/>
      <c r="S1048" s="264"/>
      <c r="T1048" s="1056"/>
      <c r="U1048" s="1056"/>
      <c r="V1048" s="1056"/>
      <c r="W1048" s="1056"/>
      <c r="X1048" s="1056"/>
      <c r="Y1048" s="1056"/>
      <c r="Z1048" s="1056"/>
      <c r="AA1048" s="1056"/>
      <c r="AB1048" s="1056"/>
      <c r="AC1048" s="1056"/>
      <c r="AD1048" s="1056"/>
      <c r="AE1048" s="1056"/>
      <c r="AF1048" s="264"/>
    </row>
    <row r="1049" spans="1:32" s="268" customFormat="1" ht="15" x14ac:dyDescent="0.25">
      <c r="A1049" s="264"/>
      <c r="B1049" s="264"/>
      <c r="C1049" s="1056"/>
      <c r="D1049" s="1056"/>
      <c r="E1049" s="1056"/>
      <c r="F1049" s="1056"/>
      <c r="G1049" s="1056"/>
      <c r="H1049" s="1056"/>
      <c r="I1049" s="1056"/>
      <c r="J1049" s="1056"/>
      <c r="K1049" s="1056"/>
      <c r="L1049" s="1056"/>
      <c r="M1049" s="274"/>
      <c r="P1049" s="264"/>
      <c r="Q1049" s="264"/>
      <c r="R1049" s="264"/>
      <c r="S1049" s="264"/>
      <c r="T1049" s="1056"/>
      <c r="U1049" s="1056"/>
      <c r="V1049" s="1056"/>
      <c r="W1049" s="1056"/>
      <c r="X1049" s="1056"/>
      <c r="Y1049" s="1056"/>
      <c r="Z1049" s="1056"/>
      <c r="AA1049" s="1056"/>
      <c r="AB1049" s="1056"/>
      <c r="AC1049" s="1056"/>
      <c r="AD1049" s="1056"/>
      <c r="AE1049" s="1056"/>
      <c r="AF1049" s="264"/>
    </row>
    <row r="1050" spans="1:32" s="268" customFormat="1" ht="15" x14ac:dyDescent="0.25">
      <c r="A1050" s="264"/>
      <c r="B1050" s="264"/>
      <c r="C1050" s="1056"/>
      <c r="D1050" s="1056"/>
      <c r="E1050" s="1056"/>
      <c r="F1050" s="1056"/>
      <c r="G1050" s="1056"/>
      <c r="H1050" s="1056"/>
      <c r="I1050" s="1056"/>
      <c r="J1050" s="1056"/>
      <c r="K1050" s="1056"/>
      <c r="L1050" s="1056"/>
      <c r="M1050" s="274"/>
      <c r="P1050" s="264"/>
      <c r="Q1050" s="264"/>
      <c r="R1050" s="264"/>
      <c r="S1050" s="264"/>
      <c r="T1050" s="1056"/>
      <c r="U1050" s="1056"/>
      <c r="V1050" s="1056"/>
      <c r="W1050" s="1056"/>
      <c r="X1050" s="1056"/>
      <c r="Y1050" s="1056"/>
      <c r="Z1050" s="1056"/>
      <c r="AA1050" s="1056"/>
      <c r="AB1050" s="1056"/>
      <c r="AC1050" s="1056"/>
      <c r="AD1050" s="1056"/>
      <c r="AE1050" s="1056"/>
      <c r="AF1050" s="264"/>
    </row>
    <row r="1051" spans="1:32" s="268" customFormat="1" ht="15" x14ac:dyDescent="0.25">
      <c r="A1051" s="264"/>
      <c r="B1051" s="264"/>
      <c r="C1051" s="1056"/>
      <c r="D1051" s="1056"/>
      <c r="E1051" s="1056"/>
      <c r="F1051" s="1056"/>
      <c r="G1051" s="1056"/>
      <c r="H1051" s="1056"/>
      <c r="I1051" s="1056"/>
      <c r="J1051" s="1056"/>
      <c r="K1051" s="1056"/>
      <c r="L1051" s="1056"/>
      <c r="M1051" s="274"/>
      <c r="P1051" s="264"/>
      <c r="Q1051" s="264"/>
      <c r="R1051" s="264"/>
      <c r="S1051" s="264"/>
      <c r="T1051" s="1056"/>
      <c r="U1051" s="1056"/>
      <c r="V1051" s="1056"/>
      <c r="W1051" s="1056"/>
      <c r="X1051" s="1056"/>
      <c r="Y1051" s="1056"/>
      <c r="Z1051" s="1056"/>
      <c r="AA1051" s="1056"/>
      <c r="AB1051" s="1056"/>
      <c r="AC1051" s="1056"/>
      <c r="AD1051" s="1056"/>
      <c r="AE1051" s="1056"/>
      <c r="AF1051" s="264"/>
    </row>
    <row r="1052" spans="1:32" s="268" customFormat="1" ht="15" x14ac:dyDescent="0.25">
      <c r="A1052" s="264"/>
      <c r="B1052" s="264"/>
      <c r="C1052" s="1056"/>
      <c r="D1052" s="1056"/>
      <c r="E1052" s="1056"/>
      <c r="F1052" s="1056"/>
      <c r="G1052" s="1056"/>
      <c r="H1052" s="1056"/>
      <c r="I1052" s="1056"/>
      <c r="J1052" s="1056"/>
      <c r="K1052" s="1056"/>
      <c r="L1052" s="1056"/>
      <c r="M1052" s="274"/>
      <c r="P1052" s="264"/>
      <c r="Q1052" s="264"/>
      <c r="R1052" s="264"/>
      <c r="S1052" s="264"/>
      <c r="T1052" s="1056"/>
      <c r="U1052" s="1056"/>
      <c r="V1052" s="1056"/>
      <c r="W1052" s="1056"/>
      <c r="X1052" s="1056"/>
      <c r="Y1052" s="1056"/>
      <c r="Z1052" s="1056"/>
      <c r="AA1052" s="1056"/>
      <c r="AB1052" s="1056"/>
      <c r="AC1052" s="1056"/>
      <c r="AD1052" s="1056"/>
      <c r="AE1052" s="1056"/>
      <c r="AF1052" s="264"/>
    </row>
    <row r="1053" spans="1:32" s="268" customFormat="1" ht="15" x14ac:dyDescent="0.25">
      <c r="A1053" s="264"/>
      <c r="B1053" s="264"/>
      <c r="C1053" s="1056"/>
      <c r="D1053" s="1056"/>
      <c r="E1053" s="1056"/>
      <c r="F1053" s="1056"/>
      <c r="G1053" s="1056"/>
      <c r="H1053" s="1056"/>
      <c r="I1053" s="1056"/>
      <c r="J1053" s="1056"/>
      <c r="K1053" s="1056"/>
      <c r="L1053" s="1056"/>
      <c r="M1053" s="274"/>
      <c r="P1053" s="264"/>
      <c r="Q1053" s="264"/>
      <c r="R1053" s="264"/>
      <c r="S1053" s="264"/>
      <c r="T1053" s="1056"/>
      <c r="U1053" s="1056"/>
      <c r="V1053" s="1056"/>
      <c r="W1053" s="1056"/>
      <c r="X1053" s="1056"/>
      <c r="Y1053" s="1056"/>
      <c r="Z1053" s="1056"/>
      <c r="AA1053" s="1056"/>
      <c r="AB1053" s="1056"/>
      <c r="AC1053" s="1056"/>
      <c r="AD1053" s="1056"/>
      <c r="AE1053" s="1056"/>
      <c r="AF1053" s="264"/>
    </row>
    <row r="1054" spans="1:32" s="268" customFormat="1" ht="15" x14ac:dyDescent="0.25">
      <c r="A1054" s="264"/>
      <c r="B1054" s="264"/>
      <c r="C1054" s="1056"/>
      <c r="D1054" s="1056"/>
      <c r="E1054" s="1056"/>
      <c r="F1054" s="1056"/>
      <c r="G1054" s="1056"/>
      <c r="H1054" s="1056"/>
      <c r="I1054" s="1056"/>
      <c r="J1054" s="1056"/>
      <c r="K1054" s="1056"/>
      <c r="L1054" s="1056"/>
      <c r="M1054" s="274"/>
      <c r="P1054" s="264"/>
      <c r="Q1054" s="264"/>
      <c r="R1054" s="264"/>
      <c r="S1054" s="264"/>
      <c r="T1054" s="1056"/>
      <c r="U1054" s="1056"/>
      <c r="V1054" s="1056"/>
      <c r="W1054" s="1056"/>
      <c r="X1054" s="1056"/>
      <c r="Y1054" s="1056"/>
      <c r="Z1054" s="1056"/>
      <c r="AA1054" s="1056"/>
      <c r="AB1054" s="1056"/>
      <c r="AC1054" s="1056"/>
      <c r="AD1054" s="1056"/>
      <c r="AE1054" s="1056"/>
      <c r="AF1054" s="264"/>
    </row>
    <row r="1055" spans="1:32" s="268" customFormat="1" ht="15" x14ac:dyDescent="0.25">
      <c r="A1055" s="264"/>
      <c r="B1055" s="264"/>
      <c r="C1055" s="1056"/>
      <c r="D1055" s="1056"/>
      <c r="E1055" s="1056"/>
      <c r="F1055" s="1056"/>
      <c r="G1055" s="1056"/>
      <c r="H1055" s="1056"/>
      <c r="I1055" s="1056"/>
      <c r="J1055" s="1056"/>
      <c r="K1055" s="1056"/>
      <c r="L1055" s="1056"/>
      <c r="M1055" s="274"/>
      <c r="P1055" s="264"/>
      <c r="Q1055" s="264"/>
      <c r="R1055" s="264"/>
      <c r="S1055" s="264"/>
      <c r="T1055" s="1056"/>
      <c r="U1055" s="1056"/>
      <c r="V1055" s="1056"/>
      <c r="W1055" s="1056"/>
      <c r="X1055" s="1056"/>
      <c r="Y1055" s="1056"/>
      <c r="Z1055" s="1056"/>
      <c r="AA1055" s="1056"/>
      <c r="AB1055" s="1056"/>
      <c r="AC1055" s="1056"/>
      <c r="AD1055" s="1056"/>
      <c r="AE1055" s="1056"/>
      <c r="AF1055" s="264"/>
    </row>
    <row r="1056" spans="1:32" s="268" customFormat="1" ht="15" x14ac:dyDescent="0.25">
      <c r="A1056" s="264"/>
      <c r="B1056" s="264"/>
      <c r="C1056" s="1056"/>
      <c r="D1056" s="1056"/>
      <c r="E1056" s="1056"/>
      <c r="F1056" s="1056"/>
      <c r="G1056" s="1056"/>
      <c r="H1056" s="1056"/>
      <c r="I1056" s="1056"/>
      <c r="J1056" s="1056"/>
      <c r="K1056" s="1056"/>
      <c r="L1056" s="1056"/>
      <c r="M1056" s="274"/>
      <c r="P1056" s="264"/>
      <c r="Q1056" s="264"/>
      <c r="R1056" s="264"/>
      <c r="S1056" s="264"/>
      <c r="T1056" s="1056"/>
      <c r="U1056" s="1056"/>
      <c r="V1056" s="1056"/>
      <c r="W1056" s="1056"/>
      <c r="X1056" s="1056"/>
      <c r="Y1056" s="1056"/>
      <c r="Z1056" s="1056"/>
      <c r="AA1056" s="1056"/>
      <c r="AB1056" s="1056"/>
      <c r="AC1056" s="1056"/>
      <c r="AD1056" s="1056"/>
      <c r="AE1056" s="1056"/>
      <c r="AF1056" s="264"/>
    </row>
    <row r="1057" spans="1:32" s="268" customFormat="1" ht="15" x14ac:dyDescent="0.25">
      <c r="A1057" s="264"/>
      <c r="B1057" s="264"/>
      <c r="C1057" s="1056"/>
      <c r="D1057" s="1056"/>
      <c r="E1057" s="1056"/>
      <c r="F1057" s="1056"/>
      <c r="G1057" s="1056"/>
      <c r="H1057" s="1056"/>
      <c r="I1057" s="1056"/>
      <c r="J1057" s="1056"/>
      <c r="K1057" s="1056"/>
      <c r="L1057" s="1056"/>
      <c r="M1057" s="274"/>
      <c r="P1057" s="264"/>
      <c r="Q1057" s="264"/>
      <c r="R1057" s="264"/>
      <c r="S1057" s="264"/>
      <c r="T1057" s="1056"/>
      <c r="U1057" s="1056"/>
      <c r="V1057" s="1056"/>
      <c r="W1057" s="1056"/>
      <c r="X1057" s="1056"/>
      <c r="Y1057" s="1056"/>
      <c r="Z1057" s="1056"/>
      <c r="AA1057" s="1056"/>
      <c r="AB1057" s="1056"/>
      <c r="AC1057" s="1056"/>
      <c r="AD1057" s="1056"/>
      <c r="AE1057" s="1056"/>
      <c r="AF1057" s="264"/>
    </row>
    <row r="1058" spans="1:32" s="268" customFormat="1" ht="15" x14ac:dyDescent="0.25">
      <c r="A1058" s="264"/>
      <c r="B1058" s="264"/>
      <c r="C1058" s="1056"/>
      <c r="D1058" s="1056"/>
      <c r="E1058" s="1056"/>
      <c r="F1058" s="1056"/>
      <c r="G1058" s="1056"/>
      <c r="H1058" s="1056"/>
      <c r="I1058" s="1056"/>
      <c r="J1058" s="1056"/>
      <c r="K1058" s="1056"/>
      <c r="L1058" s="1056"/>
      <c r="M1058" s="274"/>
      <c r="P1058" s="264"/>
      <c r="Q1058" s="264"/>
      <c r="R1058" s="264"/>
      <c r="S1058" s="264"/>
      <c r="T1058" s="1056"/>
      <c r="U1058" s="1056"/>
      <c r="V1058" s="1056"/>
      <c r="W1058" s="1056"/>
      <c r="X1058" s="1056"/>
      <c r="Y1058" s="1056"/>
      <c r="Z1058" s="1056"/>
      <c r="AA1058" s="1056"/>
      <c r="AB1058" s="1056"/>
      <c r="AC1058" s="1056"/>
      <c r="AD1058" s="1056"/>
      <c r="AE1058" s="1056"/>
      <c r="AF1058" s="264"/>
    </row>
    <row r="1059" spans="1:32" s="268" customFormat="1" ht="15" x14ac:dyDescent="0.25">
      <c r="A1059" s="264"/>
      <c r="B1059" s="264"/>
      <c r="C1059" s="1056"/>
      <c r="D1059" s="1056"/>
      <c r="E1059" s="1056"/>
      <c r="F1059" s="1056"/>
      <c r="G1059" s="1056"/>
      <c r="H1059" s="1056"/>
      <c r="I1059" s="1056"/>
      <c r="J1059" s="1056"/>
      <c r="K1059" s="1056"/>
      <c r="L1059" s="1056"/>
      <c r="M1059" s="274"/>
      <c r="P1059" s="264"/>
      <c r="Q1059" s="264"/>
      <c r="R1059" s="264"/>
      <c r="S1059" s="264"/>
      <c r="T1059" s="1056"/>
      <c r="U1059" s="1056"/>
      <c r="V1059" s="1056"/>
      <c r="W1059" s="1056"/>
      <c r="X1059" s="1056"/>
      <c r="Y1059" s="1056"/>
      <c r="Z1059" s="1056"/>
      <c r="AA1059" s="1056"/>
      <c r="AB1059" s="1056"/>
      <c r="AC1059" s="1056"/>
      <c r="AD1059" s="1056"/>
      <c r="AE1059" s="1056"/>
      <c r="AF1059" s="264"/>
    </row>
    <row r="1060" spans="1:32" s="268" customFormat="1" ht="15" x14ac:dyDescent="0.25">
      <c r="A1060" s="264"/>
      <c r="B1060" s="264"/>
      <c r="C1060" s="1056"/>
      <c r="D1060" s="1056"/>
      <c r="E1060" s="1056"/>
      <c r="F1060" s="1056"/>
      <c r="G1060" s="1056"/>
      <c r="H1060" s="1056"/>
      <c r="I1060" s="1056"/>
      <c r="J1060" s="1056"/>
      <c r="K1060" s="1056"/>
      <c r="L1060" s="1056"/>
      <c r="M1060" s="274"/>
      <c r="P1060" s="264"/>
      <c r="Q1060" s="264"/>
      <c r="R1060" s="264"/>
      <c r="S1060" s="264"/>
      <c r="T1060" s="1056"/>
      <c r="U1060" s="1056"/>
      <c r="V1060" s="1056"/>
      <c r="W1060" s="1056"/>
      <c r="X1060" s="1056"/>
      <c r="Y1060" s="1056"/>
      <c r="Z1060" s="1056"/>
      <c r="AA1060" s="1056"/>
      <c r="AB1060" s="1056"/>
      <c r="AC1060" s="1056"/>
      <c r="AD1060" s="1056"/>
      <c r="AE1060" s="1056"/>
      <c r="AF1060" s="264"/>
    </row>
    <row r="1061" spans="1:32" s="268" customFormat="1" ht="15" x14ac:dyDescent="0.25">
      <c r="A1061" s="264"/>
      <c r="B1061" s="264"/>
      <c r="C1061" s="1056"/>
      <c r="D1061" s="1056"/>
      <c r="E1061" s="1056"/>
      <c r="F1061" s="1056"/>
      <c r="G1061" s="1056"/>
      <c r="H1061" s="1056"/>
      <c r="I1061" s="1056"/>
      <c r="J1061" s="1056"/>
      <c r="K1061" s="1056"/>
      <c r="L1061" s="1056"/>
      <c r="M1061" s="274"/>
      <c r="P1061" s="264"/>
      <c r="Q1061" s="264"/>
      <c r="R1061" s="264"/>
      <c r="S1061" s="264"/>
      <c r="T1061" s="1056"/>
      <c r="U1061" s="1056"/>
      <c r="V1061" s="1056"/>
      <c r="W1061" s="1056"/>
      <c r="X1061" s="1056"/>
      <c r="Y1061" s="1056"/>
      <c r="Z1061" s="1056"/>
      <c r="AA1061" s="1056"/>
      <c r="AB1061" s="1056"/>
      <c r="AC1061" s="1056"/>
      <c r="AD1061" s="1056"/>
      <c r="AE1061" s="1056"/>
      <c r="AF1061" s="264"/>
    </row>
    <row r="1062" spans="1:32" s="268" customFormat="1" ht="15" x14ac:dyDescent="0.25">
      <c r="A1062" s="264"/>
      <c r="B1062" s="264"/>
      <c r="C1062" s="1056"/>
      <c r="D1062" s="1056"/>
      <c r="E1062" s="1056"/>
      <c r="F1062" s="1056"/>
      <c r="G1062" s="1056"/>
      <c r="H1062" s="1056"/>
      <c r="I1062" s="1056"/>
      <c r="J1062" s="1056"/>
      <c r="K1062" s="1056"/>
      <c r="L1062" s="1056"/>
      <c r="M1062" s="274"/>
      <c r="P1062" s="264"/>
      <c r="Q1062" s="264"/>
      <c r="R1062" s="264"/>
      <c r="S1062" s="264"/>
      <c r="T1062" s="1056"/>
      <c r="U1062" s="1056"/>
      <c r="V1062" s="1056"/>
      <c r="W1062" s="1056"/>
      <c r="X1062" s="1056"/>
      <c r="Y1062" s="1056"/>
      <c r="Z1062" s="1056"/>
      <c r="AA1062" s="1056"/>
      <c r="AB1062" s="1056"/>
      <c r="AC1062" s="1056"/>
      <c r="AD1062" s="1056"/>
      <c r="AE1062" s="1056"/>
      <c r="AF1062" s="264"/>
    </row>
    <row r="1063" spans="1:32" s="268" customFormat="1" ht="15" x14ac:dyDescent="0.25">
      <c r="A1063" s="264"/>
      <c r="B1063" s="264"/>
      <c r="C1063" s="1056"/>
      <c r="D1063" s="1056"/>
      <c r="E1063" s="1056"/>
      <c r="F1063" s="1056"/>
      <c r="G1063" s="1056"/>
      <c r="H1063" s="1056"/>
      <c r="I1063" s="1056"/>
      <c r="J1063" s="1056"/>
      <c r="K1063" s="1056"/>
      <c r="L1063" s="1056"/>
      <c r="M1063" s="274"/>
      <c r="P1063" s="264"/>
      <c r="Q1063" s="264"/>
      <c r="R1063" s="264"/>
      <c r="S1063" s="264"/>
      <c r="T1063" s="1056"/>
      <c r="U1063" s="1056"/>
      <c r="V1063" s="1056"/>
      <c r="W1063" s="1056"/>
      <c r="X1063" s="1056"/>
      <c r="Y1063" s="1056"/>
      <c r="Z1063" s="1056"/>
      <c r="AA1063" s="1056"/>
      <c r="AB1063" s="1056"/>
      <c r="AC1063" s="1056"/>
      <c r="AD1063" s="1056"/>
      <c r="AE1063" s="1056"/>
      <c r="AF1063" s="264"/>
    </row>
    <row r="1064" spans="1:32" s="268" customFormat="1" ht="15" x14ac:dyDescent="0.25">
      <c r="A1064" s="264"/>
      <c r="B1064" s="264"/>
      <c r="C1064" s="1056"/>
      <c r="D1064" s="1056"/>
      <c r="E1064" s="1056"/>
      <c r="F1064" s="1056"/>
      <c r="G1064" s="1056"/>
      <c r="H1064" s="1056"/>
      <c r="I1064" s="1056"/>
      <c r="J1064" s="1056"/>
      <c r="K1064" s="1056"/>
      <c r="L1064" s="1056"/>
      <c r="M1064" s="274"/>
      <c r="P1064" s="264"/>
      <c r="Q1064" s="264"/>
      <c r="R1064" s="264"/>
      <c r="S1064" s="264"/>
      <c r="T1064" s="1056"/>
      <c r="U1064" s="1056"/>
      <c r="V1064" s="1056"/>
      <c r="W1064" s="1056"/>
      <c r="X1064" s="1056"/>
      <c r="Y1064" s="1056"/>
      <c r="Z1064" s="1056"/>
      <c r="AA1064" s="1056"/>
      <c r="AB1064" s="1056"/>
      <c r="AC1064" s="1056"/>
      <c r="AD1064" s="1056"/>
      <c r="AE1064" s="1056"/>
      <c r="AF1064" s="264"/>
    </row>
    <row r="1065" spans="1:32" s="268" customFormat="1" ht="15" x14ac:dyDescent="0.25">
      <c r="A1065" s="264"/>
      <c r="B1065" s="264"/>
      <c r="C1065" s="1056"/>
      <c r="D1065" s="1056"/>
      <c r="E1065" s="1056"/>
      <c r="F1065" s="1056"/>
      <c r="G1065" s="1056"/>
      <c r="H1065" s="1056"/>
      <c r="I1065" s="1056"/>
      <c r="J1065" s="1056"/>
      <c r="K1065" s="1056"/>
      <c r="L1065" s="1056"/>
      <c r="M1065" s="274"/>
      <c r="P1065" s="264"/>
      <c r="Q1065" s="264"/>
      <c r="R1065" s="264"/>
      <c r="S1065" s="264"/>
      <c r="T1065" s="1056"/>
      <c r="U1065" s="1056"/>
      <c r="V1065" s="1056"/>
      <c r="W1065" s="1056"/>
      <c r="X1065" s="1056"/>
      <c r="Y1065" s="1056"/>
      <c r="Z1065" s="1056"/>
      <c r="AA1065" s="1056"/>
      <c r="AB1065" s="1056"/>
      <c r="AC1065" s="1056"/>
      <c r="AD1065" s="1056"/>
      <c r="AE1065" s="1056"/>
      <c r="AF1065" s="264"/>
    </row>
    <row r="1066" spans="1:32" s="268" customFormat="1" ht="15" x14ac:dyDescent="0.25">
      <c r="A1066" s="264"/>
      <c r="B1066" s="264"/>
      <c r="C1066" s="1056"/>
      <c r="D1066" s="1056"/>
      <c r="E1066" s="1056"/>
      <c r="F1066" s="1056"/>
      <c r="G1066" s="1056"/>
      <c r="H1066" s="1056"/>
      <c r="I1066" s="1056"/>
      <c r="J1066" s="1056"/>
      <c r="K1066" s="1056"/>
      <c r="L1066" s="1056"/>
      <c r="M1066" s="274"/>
      <c r="P1066" s="264"/>
      <c r="Q1066" s="264"/>
      <c r="R1066" s="264"/>
      <c r="S1066" s="264"/>
      <c r="T1066" s="1056"/>
      <c r="U1066" s="1056"/>
      <c r="V1066" s="1056"/>
      <c r="W1066" s="1056"/>
      <c r="X1066" s="1056"/>
      <c r="Y1066" s="1056"/>
      <c r="Z1066" s="1056"/>
      <c r="AA1066" s="1056"/>
      <c r="AB1066" s="1056"/>
      <c r="AC1066" s="1056"/>
      <c r="AD1066" s="1056"/>
      <c r="AE1066" s="1056"/>
      <c r="AF1066" s="264"/>
    </row>
    <row r="1067" spans="1:32" s="268" customFormat="1" ht="15" x14ac:dyDescent="0.25">
      <c r="A1067" s="264"/>
      <c r="B1067" s="264"/>
      <c r="C1067" s="1056"/>
      <c r="D1067" s="1056"/>
      <c r="E1067" s="1056"/>
      <c r="F1067" s="1056"/>
      <c r="G1067" s="1056"/>
      <c r="H1067" s="1056"/>
      <c r="I1067" s="1056"/>
      <c r="J1067" s="1056"/>
      <c r="K1067" s="1056"/>
      <c r="L1067" s="1056"/>
      <c r="M1067" s="274"/>
      <c r="P1067" s="264"/>
      <c r="Q1067" s="264"/>
      <c r="R1067" s="264"/>
      <c r="S1067" s="264"/>
      <c r="T1067" s="1056"/>
      <c r="U1067" s="1056"/>
      <c r="V1067" s="1056"/>
      <c r="W1067" s="1056"/>
      <c r="X1067" s="1056"/>
      <c r="Y1067" s="1056"/>
      <c r="Z1067" s="1056"/>
      <c r="AA1067" s="1056"/>
      <c r="AB1067" s="1056"/>
      <c r="AC1067" s="1056"/>
      <c r="AD1067" s="1056"/>
      <c r="AE1067" s="1056"/>
      <c r="AF1067" s="264"/>
    </row>
    <row r="1068" spans="1:32" s="268" customFormat="1" ht="15" x14ac:dyDescent="0.25">
      <c r="A1068" s="264"/>
      <c r="B1068" s="264"/>
      <c r="C1068" s="1056"/>
      <c r="D1068" s="1056"/>
      <c r="E1068" s="1056"/>
      <c r="F1068" s="1056"/>
      <c r="G1068" s="1056"/>
      <c r="H1068" s="1056"/>
      <c r="I1068" s="1056"/>
      <c r="J1068" s="1056"/>
      <c r="K1068" s="1056"/>
      <c r="L1068" s="1056"/>
      <c r="M1068" s="274"/>
      <c r="P1068" s="264"/>
      <c r="Q1068" s="264"/>
      <c r="R1068" s="264"/>
      <c r="S1068" s="264"/>
      <c r="T1068" s="1056"/>
      <c r="U1068" s="1056"/>
      <c r="V1068" s="1056"/>
      <c r="W1068" s="1056"/>
      <c r="X1068" s="1056"/>
      <c r="Y1068" s="1056"/>
      <c r="Z1068" s="1056"/>
      <c r="AA1068" s="1056"/>
      <c r="AB1068" s="1056"/>
      <c r="AC1068" s="1056"/>
      <c r="AD1068" s="1056"/>
      <c r="AE1068" s="1056"/>
      <c r="AF1068" s="264"/>
    </row>
    <row r="1069" spans="1:32" s="268" customFormat="1" ht="15" x14ac:dyDescent="0.25">
      <c r="A1069" s="264"/>
      <c r="B1069" s="264"/>
      <c r="C1069" s="1056"/>
      <c r="D1069" s="1056"/>
      <c r="E1069" s="1056"/>
      <c r="F1069" s="1056"/>
      <c r="G1069" s="1056"/>
      <c r="H1069" s="1056"/>
      <c r="I1069" s="1056"/>
      <c r="J1069" s="1056"/>
      <c r="K1069" s="1056"/>
      <c r="L1069" s="1056"/>
      <c r="M1069" s="274"/>
      <c r="P1069" s="264"/>
      <c r="Q1069" s="264"/>
      <c r="R1069" s="264"/>
      <c r="S1069" s="264"/>
      <c r="T1069" s="1056"/>
      <c r="U1069" s="1056"/>
      <c r="V1069" s="1056"/>
      <c r="W1069" s="1056"/>
      <c r="X1069" s="1056"/>
      <c r="Y1069" s="1056"/>
      <c r="Z1069" s="1056"/>
      <c r="AA1069" s="1056"/>
      <c r="AB1069" s="1056"/>
      <c r="AC1069" s="1056"/>
      <c r="AD1069" s="1056"/>
      <c r="AE1069" s="1056"/>
      <c r="AF1069" s="264"/>
    </row>
    <row r="1070" spans="1:32" s="268" customFormat="1" ht="15" x14ac:dyDescent="0.25">
      <c r="A1070" s="264"/>
      <c r="B1070" s="264"/>
      <c r="C1070" s="1056"/>
      <c r="D1070" s="1056"/>
      <c r="E1070" s="1056"/>
      <c r="F1070" s="1056"/>
      <c r="G1070" s="1056"/>
      <c r="H1070" s="1056"/>
      <c r="I1070" s="1056"/>
      <c r="J1070" s="1056"/>
      <c r="K1070" s="1056"/>
      <c r="L1070" s="1056"/>
      <c r="M1070" s="274"/>
      <c r="P1070" s="264"/>
      <c r="Q1070" s="264"/>
      <c r="R1070" s="264"/>
      <c r="S1070" s="264"/>
      <c r="T1070" s="1056"/>
      <c r="U1070" s="1056"/>
      <c r="V1070" s="1056"/>
      <c r="W1070" s="1056"/>
      <c r="X1070" s="1056"/>
      <c r="Y1070" s="1056"/>
      <c r="Z1070" s="1056"/>
      <c r="AA1070" s="1056"/>
      <c r="AB1070" s="1056"/>
      <c r="AC1070" s="1056"/>
      <c r="AD1070" s="1056"/>
      <c r="AE1070" s="1056"/>
      <c r="AF1070" s="264"/>
    </row>
    <row r="1071" spans="1:32" s="268" customFormat="1" ht="15" x14ac:dyDescent="0.25">
      <c r="A1071" s="264"/>
      <c r="B1071" s="264"/>
      <c r="C1071" s="1056"/>
      <c r="D1071" s="1056"/>
      <c r="E1071" s="1056"/>
      <c r="F1071" s="1056"/>
      <c r="G1071" s="1056"/>
      <c r="H1071" s="1056"/>
      <c r="I1071" s="1056"/>
      <c r="J1071" s="1056"/>
      <c r="K1071" s="1056"/>
      <c r="L1071" s="1056"/>
      <c r="M1071" s="274"/>
      <c r="P1071" s="264"/>
      <c r="Q1071" s="264"/>
      <c r="R1071" s="264"/>
      <c r="S1071" s="264"/>
      <c r="T1071" s="1056"/>
      <c r="U1071" s="1056"/>
      <c r="V1071" s="1056"/>
      <c r="W1071" s="1056"/>
      <c r="X1071" s="1056"/>
      <c r="Y1071" s="1056"/>
      <c r="Z1071" s="1056"/>
      <c r="AA1071" s="1056"/>
      <c r="AB1071" s="1056"/>
      <c r="AC1071" s="1056"/>
      <c r="AD1071" s="1056"/>
      <c r="AE1071" s="1056"/>
      <c r="AF1071" s="264"/>
    </row>
    <row r="1072" spans="1:32" s="268" customFormat="1" ht="15" x14ac:dyDescent="0.25">
      <c r="A1072" s="264"/>
      <c r="B1072" s="264"/>
      <c r="C1072" s="1056"/>
      <c r="D1072" s="1056"/>
      <c r="E1072" s="1056"/>
      <c r="F1072" s="1056"/>
      <c r="G1072" s="1056"/>
      <c r="H1072" s="1056"/>
      <c r="I1072" s="1056"/>
      <c r="J1072" s="1056"/>
      <c r="K1072" s="1056"/>
      <c r="L1072" s="1056"/>
      <c r="M1072" s="274"/>
      <c r="P1072" s="264"/>
      <c r="Q1072" s="264"/>
      <c r="R1072" s="264"/>
      <c r="S1072" s="264"/>
      <c r="T1072" s="1056"/>
      <c r="U1072" s="1056"/>
      <c r="V1072" s="1056"/>
      <c r="W1072" s="1056"/>
      <c r="X1072" s="1056"/>
      <c r="Y1072" s="1056"/>
      <c r="Z1072" s="1056"/>
      <c r="AA1072" s="1056"/>
      <c r="AB1072" s="1056"/>
      <c r="AC1072" s="1056"/>
      <c r="AD1072" s="1056"/>
      <c r="AE1072" s="1056"/>
      <c r="AF1072" s="264"/>
    </row>
    <row r="1073" spans="1:32" s="268" customFormat="1" ht="15" x14ac:dyDescent="0.25">
      <c r="A1073" s="264"/>
      <c r="B1073" s="264"/>
      <c r="C1073" s="1056"/>
      <c r="D1073" s="1056"/>
      <c r="E1073" s="1056"/>
      <c r="F1073" s="1056"/>
      <c r="G1073" s="1056"/>
      <c r="H1073" s="1056"/>
      <c r="I1073" s="1056"/>
      <c r="J1073" s="1056"/>
      <c r="K1073" s="1056"/>
      <c r="L1073" s="1056"/>
      <c r="M1073" s="274"/>
      <c r="P1073" s="264"/>
      <c r="Q1073" s="264"/>
      <c r="R1073" s="264"/>
      <c r="S1073" s="264"/>
      <c r="T1073" s="1056"/>
      <c r="U1073" s="1056"/>
      <c r="V1073" s="1056"/>
      <c r="W1073" s="1056"/>
      <c r="X1073" s="1056"/>
      <c r="Y1073" s="1056"/>
      <c r="Z1073" s="1056"/>
      <c r="AA1073" s="1056"/>
      <c r="AB1073" s="1056"/>
      <c r="AC1073" s="1056"/>
      <c r="AD1073" s="1056"/>
      <c r="AE1073" s="1056"/>
      <c r="AF1073" s="264"/>
    </row>
    <row r="1074" spans="1:32" s="268" customFormat="1" ht="15" x14ac:dyDescent="0.25">
      <c r="A1074" s="264"/>
      <c r="B1074" s="264"/>
      <c r="C1074" s="1056"/>
      <c r="D1074" s="1056"/>
      <c r="E1074" s="1056"/>
      <c r="F1074" s="1056"/>
      <c r="G1074" s="1056"/>
      <c r="H1074" s="1056"/>
      <c r="I1074" s="1056"/>
      <c r="J1074" s="1056"/>
      <c r="K1074" s="1056"/>
      <c r="L1074" s="1056"/>
      <c r="M1074" s="274"/>
      <c r="P1074" s="264"/>
      <c r="Q1074" s="264"/>
      <c r="R1074" s="264"/>
      <c r="S1074" s="264"/>
      <c r="T1074" s="1056"/>
      <c r="U1074" s="1056"/>
      <c r="V1074" s="1056"/>
      <c r="W1074" s="1056"/>
      <c r="X1074" s="1056"/>
      <c r="Y1074" s="1056"/>
      <c r="Z1074" s="1056"/>
      <c r="AA1074" s="1056"/>
      <c r="AB1074" s="1056"/>
      <c r="AC1074" s="1056"/>
      <c r="AD1074" s="1056"/>
      <c r="AE1074" s="1056"/>
      <c r="AF1074" s="264"/>
    </row>
    <row r="1075" spans="1:32" s="268" customFormat="1" ht="15" x14ac:dyDescent="0.25">
      <c r="A1075" s="264"/>
      <c r="B1075" s="264"/>
      <c r="C1075" s="1056"/>
      <c r="D1075" s="1056"/>
      <c r="E1075" s="1056"/>
      <c r="F1075" s="1056"/>
      <c r="G1075" s="1056"/>
      <c r="H1075" s="1056"/>
      <c r="I1075" s="1056"/>
      <c r="J1075" s="1056"/>
      <c r="K1075" s="1056"/>
      <c r="L1075" s="1056"/>
      <c r="M1075" s="274"/>
      <c r="P1075" s="264"/>
      <c r="Q1075" s="264"/>
      <c r="R1075" s="264"/>
      <c r="S1075" s="264"/>
      <c r="T1075" s="1056"/>
      <c r="U1075" s="1056"/>
      <c r="V1075" s="1056"/>
      <c r="W1075" s="1056"/>
      <c r="X1075" s="1056"/>
      <c r="Y1075" s="1056"/>
      <c r="Z1075" s="1056"/>
      <c r="AA1075" s="1056"/>
      <c r="AB1075" s="1056"/>
      <c r="AC1075" s="1056"/>
      <c r="AD1075" s="1056"/>
      <c r="AE1075" s="1056"/>
      <c r="AF1075" s="264"/>
    </row>
    <row r="1076" spans="1:32" s="268" customFormat="1" ht="15" x14ac:dyDescent="0.25">
      <c r="A1076" s="264"/>
      <c r="B1076" s="264"/>
      <c r="C1076" s="1056"/>
      <c r="D1076" s="1056"/>
      <c r="E1076" s="1056"/>
      <c r="F1076" s="1056"/>
      <c r="G1076" s="1056"/>
      <c r="H1076" s="1056"/>
      <c r="I1076" s="1056"/>
      <c r="J1076" s="1056"/>
      <c r="K1076" s="1056"/>
      <c r="L1076" s="1056"/>
      <c r="M1076" s="274"/>
      <c r="P1076" s="264"/>
      <c r="Q1076" s="264"/>
      <c r="R1076" s="264"/>
      <c r="S1076" s="264"/>
      <c r="T1076" s="1056"/>
      <c r="U1076" s="1056"/>
      <c r="V1076" s="1056"/>
      <c r="W1076" s="1056"/>
      <c r="X1076" s="1056"/>
      <c r="Y1076" s="1056"/>
      <c r="Z1076" s="1056"/>
      <c r="AA1076" s="1056"/>
      <c r="AB1076" s="1056"/>
      <c r="AC1076" s="1056"/>
      <c r="AD1076" s="1056"/>
      <c r="AE1076" s="1056"/>
      <c r="AF1076" s="264"/>
    </row>
    <row r="1077" spans="1:32" s="268" customFormat="1" ht="15" x14ac:dyDescent="0.25">
      <c r="A1077" s="264"/>
      <c r="B1077" s="264"/>
      <c r="C1077" s="1056"/>
      <c r="D1077" s="1056"/>
      <c r="E1077" s="1056"/>
      <c r="F1077" s="1056"/>
      <c r="G1077" s="1056"/>
      <c r="H1077" s="1056"/>
      <c r="I1077" s="1056"/>
      <c r="J1077" s="1056"/>
      <c r="K1077" s="1056"/>
      <c r="L1077" s="1056"/>
      <c r="M1077" s="274"/>
      <c r="P1077" s="264"/>
      <c r="Q1077" s="264"/>
      <c r="R1077" s="264"/>
      <c r="S1077" s="264"/>
      <c r="T1077" s="1056"/>
      <c r="U1077" s="1056"/>
      <c r="V1077" s="1056"/>
      <c r="W1077" s="1056"/>
      <c r="X1077" s="1056"/>
      <c r="Y1077" s="1056"/>
      <c r="Z1077" s="1056"/>
      <c r="AA1077" s="1056"/>
      <c r="AB1077" s="1056"/>
      <c r="AC1077" s="1056"/>
      <c r="AD1077" s="1056"/>
      <c r="AE1077" s="1056"/>
      <c r="AF1077" s="264"/>
    </row>
    <row r="1078" spans="1:32" s="268" customFormat="1" ht="15" x14ac:dyDescent="0.25">
      <c r="A1078" s="264"/>
      <c r="B1078" s="264"/>
      <c r="C1078" s="1056"/>
      <c r="D1078" s="1056"/>
      <c r="E1078" s="1056"/>
      <c r="F1078" s="1056"/>
      <c r="G1078" s="1056"/>
      <c r="H1078" s="1056"/>
      <c r="I1078" s="1056"/>
      <c r="J1078" s="1056"/>
      <c r="K1078" s="1056"/>
      <c r="L1078" s="1056"/>
      <c r="M1078" s="274"/>
      <c r="P1078" s="264"/>
      <c r="Q1078" s="264"/>
      <c r="R1078" s="264"/>
      <c r="S1078" s="264"/>
      <c r="T1078" s="1056"/>
      <c r="U1078" s="1056"/>
      <c r="V1078" s="1056"/>
      <c r="W1078" s="1056"/>
      <c r="X1078" s="1056"/>
      <c r="Y1078" s="1056"/>
      <c r="Z1078" s="1056"/>
      <c r="AA1078" s="1056"/>
      <c r="AB1078" s="1056"/>
      <c r="AC1078" s="1056"/>
      <c r="AD1078" s="1056"/>
      <c r="AE1078" s="1056"/>
      <c r="AF1078" s="264"/>
    </row>
    <row r="1079" spans="1:32" s="268" customFormat="1" ht="15" x14ac:dyDescent="0.25">
      <c r="A1079" s="264"/>
      <c r="B1079" s="264"/>
      <c r="C1079" s="1056"/>
      <c r="D1079" s="1056"/>
      <c r="E1079" s="1056"/>
      <c r="F1079" s="1056"/>
      <c r="G1079" s="1056"/>
      <c r="H1079" s="1056"/>
      <c r="I1079" s="1056"/>
      <c r="J1079" s="1056"/>
      <c r="K1079" s="1056"/>
      <c r="L1079" s="1056"/>
      <c r="M1079" s="274"/>
      <c r="P1079" s="264"/>
      <c r="Q1079" s="264"/>
      <c r="R1079" s="264"/>
      <c r="S1079" s="264"/>
      <c r="T1079" s="1056"/>
      <c r="U1079" s="1056"/>
      <c r="V1079" s="1056"/>
      <c r="W1079" s="1056"/>
      <c r="X1079" s="1056"/>
      <c r="Y1079" s="1056"/>
      <c r="Z1079" s="1056"/>
      <c r="AA1079" s="1056"/>
      <c r="AB1079" s="1056"/>
      <c r="AC1079" s="1056"/>
      <c r="AD1079" s="1056"/>
      <c r="AE1079" s="1056"/>
      <c r="AF1079" s="264"/>
    </row>
    <row r="1080" spans="1:32" s="268" customFormat="1" ht="15" x14ac:dyDescent="0.25">
      <c r="A1080" s="264"/>
      <c r="B1080" s="264"/>
      <c r="C1080" s="1056"/>
      <c r="D1080" s="1056"/>
      <c r="E1080" s="1056"/>
      <c r="F1080" s="1056"/>
      <c r="G1080" s="1056"/>
      <c r="H1080" s="1056"/>
      <c r="I1080" s="1056"/>
      <c r="J1080" s="1056"/>
      <c r="K1080" s="1056"/>
      <c r="L1080" s="1056"/>
      <c r="M1080" s="274"/>
      <c r="P1080" s="264"/>
      <c r="Q1080" s="264"/>
      <c r="R1080" s="264"/>
      <c r="S1080" s="264"/>
      <c r="T1080" s="1056"/>
      <c r="U1080" s="1056"/>
      <c r="V1080" s="1056"/>
      <c r="W1080" s="1056"/>
      <c r="X1080" s="1056"/>
      <c r="Y1080" s="1056"/>
      <c r="Z1080" s="1056"/>
      <c r="AA1080" s="1056"/>
      <c r="AB1080" s="1056"/>
      <c r="AC1080" s="1056"/>
      <c r="AD1080" s="1056"/>
      <c r="AE1080" s="1056"/>
      <c r="AF1080" s="264"/>
    </row>
    <row r="1081" spans="1:32" s="268" customFormat="1" ht="15" x14ac:dyDescent="0.25">
      <c r="A1081" s="264"/>
      <c r="B1081" s="264"/>
      <c r="C1081" s="1056"/>
      <c r="D1081" s="1056"/>
      <c r="E1081" s="1056"/>
      <c r="F1081" s="1056"/>
      <c r="G1081" s="1056"/>
      <c r="H1081" s="1056"/>
      <c r="I1081" s="1056"/>
      <c r="J1081" s="1056"/>
      <c r="K1081" s="1056"/>
      <c r="L1081" s="1056"/>
      <c r="M1081" s="274"/>
      <c r="P1081" s="264"/>
      <c r="Q1081" s="264"/>
      <c r="R1081" s="264"/>
      <c r="S1081" s="264"/>
      <c r="T1081" s="1056"/>
      <c r="U1081" s="1056"/>
      <c r="V1081" s="1056"/>
      <c r="W1081" s="1056"/>
      <c r="X1081" s="1056"/>
      <c r="Y1081" s="1056"/>
      <c r="Z1081" s="1056"/>
      <c r="AA1081" s="1056"/>
      <c r="AB1081" s="1056"/>
      <c r="AC1081" s="1056"/>
      <c r="AD1081" s="1056"/>
      <c r="AE1081" s="1056"/>
      <c r="AF1081" s="264"/>
    </row>
    <row r="1082" spans="1:32" s="268" customFormat="1" ht="15" x14ac:dyDescent="0.25">
      <c r="A1082" s="264"/>
      <c r="B1082" s="264"/>
      <c r="C1082" s="1056"/>
      <c r="D1082" s="1056"/>
      <c r="E1082" s="1056"/>
      <c r="F1082" s="1056"/>
      <c r="G1082" s="1056"/>
      <c r="H1082" s="1056"/>
      <c r="I1082" s="1056"/>
      <c r="J1082" s="1056"/>
      <c r="K1082" s="1056"/>
      <c r="L1082" s="1056"/>
      <c r="M1082" s="274"/>
      <c r="P1082" s="264"/>
      <c r="Q1082" s="264"/>
      <c r="R1082" s="264"/>
      <c r="S1082" s="264"/>
      <c r="T1082" s="1056"/>
      <c r="U1082" s="1056"/>
      <c r="V1082" s="1056"/>
      <c r="W1082" s="1056"/>
      <c r="X1082" s="1056"/>
      <c r="Y1082" s="1056"/>
      <c r="Z1082" s="1056"/>
      <c r="AA1082" s="1056"/>
      <c r="AB1082" s="1056"/>
      <c r="AC1082" s="1056"/>
      <c r="AD1082" s="1056"/>
      <c r="AE1082" s="1056"/>
      <c r="AF1082" s="264"/>
    </row>
    <row r="1083" spans="1:32" s="268" customFormat="1" ht="15" x14ac:dyDescent="0.25">
      <c r="A1083" s="264"/>
      <c r="B1083" s="264"/>
      <c r="C1083" s="1056"/>
      <c r="D1083" s="1056"/>
      <c r="E1083" s="1056"/>
      <c r="F1083" s="1056"/>
      <c r="G1083" s="1056"/>
      <c r="H1083" s="1056"/>
      <c r="I1083" s="1056"/>
      <c r="J1083" s="1056"/>
      <c r="K1083" s="1056"/>
      <c r="L1083" s="1056"/>
      <c r="M1083" s="274"/>
      <c r="P1083" s="264"/>
      <c r="Q1083" s="264"/>
      <c r="R1083" s="264"/>
      <c r="S1083" s="264"/>
      <c r="T1083" s="1056"/>
      <c r="U1083" s="1056"/>
      <c r="V1083" s="1056"/>
      <c r="W1083" s="1056"/>
      <c r="X1083" s="1056"/>
      <c r="Y1083" s="1056"/>
      <c r="Z1083" s="1056"/>
      <c r="AA1083" s="1056"/>
      <c r="AB1083" s="1056"/>
      <c r="AC1083" s="1056"/>
      <c r="AD1083" s="1056"/>
      <c r="AE1083" s="1056"/>
      <c r="AF1083" s="264"/>
    </row>
    <row r="1084" spans="1:32" s="268" customFormat="1" ht="15" x14ac:dyDescent="0.25">
      <c r="A1084" s="264"/>
      <c r="B1084" s="264"/>
      <c r="C1084" s="1056"/>
      <c r="D1084" s="1056"/>
      <c r="E1084" s="1056"/>
      <c r="F1084" s="1056"/>
      <c r="G1084" s="1056"/>
      <c r="H1084" s="1056"/>
      <c r="I1084" s="1056"/>
      <c r="J1084" s="1056"/>
      <c r="K1084" s="1056"/>
      <c r="L1084" s="1056"/>
      <c r="M1084" s="274"/>
      <c r="P1084" s="264"/>
      <c r="Q1084" s="264"/>
      <c r="R1084" s="264"/>
      <c r="S1084" s="264"/>
      <c r="T1084" s="1056"/>
      <c r="U1084" s="1056"/>
      <c r="V1084" s="1056"/>
      <c r="W1084" s="1056"/>
      <c r="X1084" s="1056"/>
      <c r="Y1084" s="1056"/>
      <c r="Z1084" s="1056"/>
      <c r="AA1084" s="1056"/>
      <c r="AB1084" s="1056"/>
      <c r="AC1084" s="1056"/>
      <c r="AD1084" s="1056"/>
      <c r="AE1084" s="1056"/>
      <c r="AF1084" s="264"/>
    </row>
    <row r="1085" spans="1:32" s="268" customFormat="1" ht="15" x14ac:dyDescent="0.25">
      <c r="A1085" s="264"/>
      <c r="B1085" s="264"/>
      <c r="C1085" s="1056"/>
      <c r="D1085" s="1056"/>
      <c r="E1085" s="1056"/>
      <c r="F1085" s="1056"/>
      <c r="G1085" s="1056"/>
      <c r="H1085" s="1056"/>
      <c r="I1085" s="1056"/>
      <c r="J1085" s="1056"/>
      <c r="K1085" s="1056"/>
      <c r="L1085" s="1056"/>
      <c r="M1085" s="274"/>
      <c r="P1085" s="264"/>
      <c r="Q1085" s="264"/>
      <c r="R1085" s="264"/>
      <c r="S1085" s="264"/>
      <c r="T1085" s="1056"/>
      <c r="U1085" s="1056"/>
      <c r="V1085" s="1056"/>
      <c r="W1085" s="1056"/>
      <c r="X1085" s="1056"/>
      <c r="Y1085" s="1056"/>
      <c r="Z1085" s="1056"/>
      <c r="AA1085" s="1056"/>
      <c r="AB1085" s="1056"/>
      <c r="AC1085" s="1056"/>
      <c r="AD1085" s="1056"/>
      <c r="AE1085" s="1056"/>
      <c r="AF1085" s="264"/>
    </row>
    <row r="1086" spans="1:32" s="268" customFormat="1" ht="15" x14ac:dyDescent="0.25">
      <c r="A1086" s="264"/>
      <c r="B1086" s="264"/>
      <c r="C1086" s="1056"/>
      <c r="D1086" s="1056"/>
      <c r="E1086" s="1056"/>
      <c r="F1086" s="1056"/>
      <c r="G1086" s="1056"/>
      <c r="H1086" s="1056"/>
      <c r="I1086" s="1056"/>
      <c r="J1086" s="1056"/>
      <c r="K1086" s="1056"/>
      <c r="L1086" s="1056"/>
      <c r="M1086" s="274"/>
      <c r="P1086" s="264"/>
      <c r="Q1086" s="264"/>
      <c r="R1086" s="264"/>
      <c r="S1086" s="264"/>
      <c r="T1086" s="1056"/>
      <c r="U1086" s="1056"/>
      <c r="V1086" s="1056"/>
      <c r="W1086" s="1056"/>
      <c r="X1086" s="1056"/>
      <c r="Y1086" s="1056"/>
      <c r="Z1086" s="1056"/>
      <c r="AA1086" s="1056"/>
      <c r="AB1086" s="1056"/>
      <c r="AC1086" s="1056"/>
      <c r="AD1086" s="1056"/>
      <c r="AE1086" s="1056"/>
      <c r="AF1086" s="264"/>
    </row>
    <row r="1087" spans="1:32" s="268" customFormat="1" ht="15" x14ac:dyDescent="0.25">
      <c r="A1087" s="264"/>
      <c r="B1087" s="264"/>
      <c r="C1087" s="1056"/>
      <c r="D1087" s="1056"/>
      <c r="E1087" s="1056"/>
      <c r="F1087" s="1056"/>
      <c r="G1087" s="1056"/>
      <c r="H1087" s="1056"/>
      <c r="I1087" s="1056"/>
      <c r="J1087" s="1056"/>
      <c r="K1087" s="1056"/>
      <c r="L1087" s="1056"/>
      <c r="M1087" s="274"/>
      <c r="P1087" s="264"/>
      <c r="Q1087" s="264"/>
      <c r="R1087" s="264"/>
      <c r="S1087" s="264"/>
      <c r="T1087" s="1056"/>
      <c r="U1087" s="1056"/>
      <c r="V1087" s="1056"/>
      <c r="W1087" s="1056"/>
      <c r="X1087" s="1056"/>
      <c r="Y1087" s="1056"/>
      <c r="Z1087" s="1056"/>
      <c r="AA1087" s="1056"/>
      <c r="AB1087" s="1056"/>
      <c r="AC1087" s="1056"/>
      <c r="AD1087" s="1056"/>
      <c r="AE1087" s="1056"/>
      <c r="AF1087" s="264"/>
    </row>
    <row r="1088" spans="1:32" s="268" customFormat="1" ht="15" x14ac:dyDescent="0.25">
      <c r="A1088" s="264"/>
      <c r="B1088" s="264"/>
      <c r="C1088" s="1056"/>
      <c r="D1088" s="1056"/>
      <c r="E1088" s="1056"/>
      <c r="F1088" s="1056"/>
      <c r="G1088" s="1056"/>
      <c r="H1088" s="1056"/>
      <c r="I1088" s="1056"/>
      <c r="J1088" s="1056"/>
      <c r="K1088" s="1056"/>
      <c r="L1088" s="1056"/>
      <c r="M1088" s="274"/>
      <c r="P1088" s="264"/>
      <c r="Q1088" s="264"/>
      <c r="R1088" s="264"/>
      <c r="S1088" s="264"/>
      <c r="T1088" s="1056"/>
      <c r="U1088" s="1056"/>
      <c r="V1088" s="1056"/>
      <c r="W1088" s="1056"/>
      <c r="X1088" s="1056"/>
      <c r="Y1088" s="1056"/>
      <c r="Z1088" s="1056"/>
      <c r="AA1088" s="1056"/>
      <c r="AB1088" s="1056"/>
      <c r="AC1088" s="1056"/>
      <c r="AD1088" s="1056"/>
      <c r="AE1088" s="1056"/>
      <c r="AF1088" s="264"/>
    </row>
    <row r="1089" spans="1:32" s="268" customFormat="1" ht="15" x14ac:dyDescent="0.25">
      <c r="A1089" s="264"/>
      <c r="B1089" s="264"/>
      <c r="C1089" s="1056"/>
      <c r="D1089" s="1056"/>
      <c r="E1089" s="1056"/>
      <c r="F1089" s="1056"/>
      <c r="G1089" s="1056"/>
      <c r="H1089" s="1056"/>
      <c r="I1089" s="1056"/>
      <c r="J1089" s="1056"/>
      <c r="K1089" s="1056"/>
      <c r="L1089" s="1056"/>
      <c r="M1089" s="274"/>
      <c r="P1089" s="264"/>
      <c r="Q1089" s="264"/>
      <c r="R1089" s="264"/>
      <c r="S1089" s="264"/>
      <c r="T1089" s="1056"/>
      <c r="U1089" s="1056"/>
      <c r="V1089" s="1056"/>
      <c r="W1089" s="1056"/>
      <c r="X1089" s="1056"/>
      <c r="Y1089" s="1056"/>
      <c r="Z1089" s="1056"/>
      <c r="AA1089" s="1056"/>
      <c r="AB1089" s="1056"/>
      <c r="AC1089" s="1056"/>
      <c r="AD1089" s="1056"/>
      <c r="AE1089" s="1056"/>
      <c r="AF1089" s="264"/>
    </row>
    <row r="1090" spans="1:32" s="268" customFormat="1" ht="15" x14ac:dyDescent="0.25">
      <c r="A1090" s="264"/>
      <c r="B1090" s="264"/>
      <c r="C1090" s="1056"/>
      <c r="D1090" s="1056"/>
      <c r="E1090" s="1056"/>
      <c r="F1090" s="1056"/>
      <c r="G1090" s="1056"/>
      <c r="H1090" s="1056"/>
      <c r="I1090" s="1056"/>
      <c r="J1090" s="1056"/>
      <c r="K1090" s="1056"/>
      <c r="L1090" s="1056"/>
      <c r="M1090" s="274"/>
      <c r="P1090" s="264"/>
      <c r="Q1090" s="264"/>
      <c r="R1090" s="264"/>
      <c r="S1090" s="264"/>
      <c r="T1090" s="1056"/>
      <c r="U1090" s="1056"/>
      <c r="V1090" s="1056"/>
      <c r="W1090" s="1056"/>
      <c r="X1090" s="1056"/>
      <c r="Y1090" s="1056"/>
      <c r="Z1090" s="1056"/>
      <c r="AA1090" s="1056"/>
      <c r="AB1090" s="1056"/>
      <c r="AC1090" s="1056"/>
      <c r="AD1090" s="1056"/>
      <c r="AE1090" s="1056"/>
      <c r="AF1090" s="264"/>
    </row>
    <row r="1091" spans="1:32" s="268" customFormat="1" ht="15" x14ac:dyDescent="0.25">
      <c r="A1091" s="264"/>
      <c r="B1091" s="264"/>
      <c r="C1091" s="1056"/>
      <c r="D1091" s="1056"/>
      <c r="E1091" s="1056"/>
      <c r="F1091" s="1056"/>
      <c r="G1091" s="1056"/>
      <c r="H1091" s="1056"/>
      <c r="I1091" s="1056"/>
      <c r="J1091" s="1056"/>
      <c r="K1091" s="1056"/>
      <c r="L1091" s="1056"/>
      <c r="M1091" s="274"/>
      <c r="P1091" s="264"/>
      <c r="Q1091" s="264"/>
      <c r="R1091" s="264"/>
      <c r="S1091" s="264"/>
      <c r="T1091" s="1056"/>
      <c r="U1091" s="1056"/>
      <c r="V1091" s="1056"/>
      <c r="W1091" s="1056"/>
      <c r="X1091" s="1056"/>
      <c r="Y1091" s="1056"/>
      <c r="Z1091" s="1056"/>
      <c r="AA1091" s="1056"/>
      <c r="AB1091" s="1056"/>
      <c r="AC1091" s="1056"/>
      <c r="AD1091" s="1056"/>
      <c r="AE1091" s="1056"/>
      <c r="AF1091" s="264"/>
    </row>
    <row r="1092" spans="1:32" s="268" customFormat="1" ht="15" x14ac:dyDescent="0.25">
      <c r="A1092" s="264"/>
      <c r="B1092" s="264"/>
      <c r="C1092" s="1056"/>
      <c r="D1092" s="1056"/>
      <c r="E1092" s="1056"/>
      <c r="F1092" s="1056"/>
      <c r="G1092" s="1056"/>
      <c r="H1092" s="1056"/>
      <c r="I1092" s="1056"/>
      <c r="J1092" s="1056"/>
      <c r="K1092" s="1056"/>
      <c r="L1092" s="1056"/>
      <c r="M1092" s="274"/>
      <c r="P1092" s="264"/>
      <c r="Q1092" s="264"/>
      <c r="R1092" s="264"/>
      <c r="S1092" s="264"/>
      <c r="T1092" s="1056"/>
      <c r="U1092" s="1056"/>
      <c r="V1092" s="1056"/>
      <c r="W1092" s="1056"/>
      <c r="X1092" s="1056"/>
      <c r="Y1092" s="1056"/>
      <c r="Z1092" s="1056"/>
      <c r="AA1092" s="1056"/>
      <c r="AB1092" s="1056"/>
      <c r="AC1092" s="1056"/>
      <c r="AD1092" s="1056"/>
      <c r="AE1092" s="1056"/>
      <c r="AF1092" s="264"/>
    </row>
    <row r="1093" spans="1:32" s="268" customFormat="1" ht="15" x14ac:dyDescent="0.25">
      <c r="A1093" s="264"/>
      <c r="B1093" s="264"/>
      <c r="C1093" s="1056"/>
      <c r="D1093" s="1056"/>
      <c r="E1093" s="1056"/>
      <c r="F1093" s="1056"/>
      <c r="G1093" s="1056"/>
      <c r="H1093" s="1056"/>
      <c r="I1093" s="1056"/>
      <c r="J1093" s="1056"/>
      <c r="K1093" s="1056"/>
      <c r="L1093" s="1056"/>
      <c r="M1093" s="274"/>
      <c r="P1093" s="264"/>
      <c r="Q1093" s="264"/>
      <c r="R1093" s="264"/>
      <c r="S1093" s="264"/>
      <c r="T1093" s="1056"/>
      <c r="U1093" s="1056"/>
      <c r="V1093" s="1056"/>
      <c r="W1093" s="1056"/>
      <c r="X1093" s="1056"/>
      <c r="Y1093" s="1056"/>
      <c r="Z1093" s="1056"/>
      <c r="AA1093" s="1056"/>
      <c r="AB1093" s="1056"/>
      <c r="AC1093" s="1056"/>
      <c r="AD1093" s="1056"/>
      <c r="AE1093" s="1056"/>
      <c r="AF1093" s="264"/>
    </row>
    <row r="1094" spans="1:32" s="268" customFormat="1" ht="15" x14ac:dyDescent="0.25">
      <c r="A1094" s="264"/>
      <c r="B1094" s="264"/>
      <c r="C1094" s="1056"/>
      <c r="D1094" s="1056"/>
      <c r="E1094" s="1056"/>
      <c r="F1094" s="1056"/>
      <c r="G1094" s="1056"/>
      <c r="H1094" s="1056"/>
      <c r="I1094" s="1056"/>
      <c r="J1094" s="1056"/>
      <c r="K1094" s="1056"/>
      <c r="L1094" s="1056"/>
      <c r="M1094" s="274"/>
      <c r="P1094" s="264"/>
      <c r="Q1094" s="264"/>
      <c r="R1094" s="264"/>
      <c r="S1094" s="264"/>
      <c r="T1094" s="1056"/>
      <c r="U1094" s="1056"/>
      <c r="V1094" s="1056"/>
      <c r="W1094" s="1056"/>
      <c r="X1094" s="1056"/>
      <c r="Y1094" s="1056"/>
      <c r="Z1094" s="1056"/>
      <c r="AA1094" s="1056"/>
      <c r="AB1094" s="1056"/>
      <c r="AC1094" s="1056"/>
      <c r="AD1094" s="1056"/>
      <c r="AE1094" s="1056"/>
      <c r="AF1094" s="264"/>
    </row>
    <row r="1095" spans="1:32" s="268" customFormat="1" ht="15" x14ac:dyDescent="0.25">
      <c r="A1095" s="264"/>
      <c r="B1095" s="264"/>
      <c r="C1095" s="1056"/>
      <c r="D1095" s="1056"/>
      <c r="E1095" s="1056"/>
      <c r="F1095" s="1056"/>
      <c r="G1095" s="1056"/>
      <c r="H1095" s="1056"/>
      <c r="I1095" s="1056"/>
      <c r="J1095" s="1056"/>
      <c r="K1095" s="1056"/>
      <c r="L1095" s="1056"/>
      <c r="M1095" s="274"/>
      <c r="P1095" s="264"/>
      <c r="Q1095" s="264"/>
      <c r="R1095" s="264"/>
      <c r="S1095" s="264"/>
      <c r="T1095" s="1056"/>
      <c r="U1095" s="1056"/>
      <c r="V1095" s="1056"/>
      <c r="W1095" s="1056"/>
      <c r="X1095" s="1056"/>
      <c r="Y1095" s="1056"/>
      <c r="Z1095" s="1056"/>
      <c r="AA1095" s="1056"/>
      <c r="AB1095" s="1056"/>
      <c r="AC1095" s="1056"/>
      <c r="AD1095" s="1056"/>
      <c r="AE1095" s="1056"/>
      <c r="AF1095" s="264"/>
    </row>
    <row r="1096" spans="1:32" s="268" customFormat="1" ht="15" x14ac:dyDescent="0.25">
      <c r="A1096" s="264"/>
      <c r="B1096" s="264"/>
      <c r="C1096" s="1056"/>
      <c r="D1096" s="1056"/>
      <c r="E1096" s="1056"/>
      <c r="F1096" s="1056"/>
      <c r="G1096" s="1056"/>
      <c r="H1096" s="1056"/>
      <c r="I1096" s="1056"/>
      <c r="J1096" s="1056"/>
      <c r="K1096" s="1056"/>
      <c r="L1096" s="1056"/>
      <c r="M1096" s="274"/>
      <c r="P1096" s="264"/>
      <c r="Q1096" s="264"/>
      <c r="R1096" s="264"/>
      <c r="S1096" s="264"/>
      <c r="T1096" s="1056"/>
      <c r="U1096" s="1056"/>
      <c r="V1096" s="1056"/>
      <c r="W1096" s="1056"/>
      <c r="X1096" s="1056"/>
      <c r="Y1096" s="1056"/>
      <c r="Z1096" s="1056"/>
      <c r="AA1096" s="1056"/>
      <c r="AB1096" s="1056"/>
      <c r="AC1096" s="1056"/>
      <c r="AD1096" s="1056"/>
      <c r="AE1096" s="1056"/>
      <c r="AF1096" s="264"/>
    </row>
    <row r="1097" spans="1:32" s="268" customFormat="1" ht="15" x14ac:dyDescent="0.25">
      <c r="A1097" s="264"/>
      <c r="B1097" s="264"/>
      <c r="C1097" s="1056"/>
      <c r="D1097" s="1056"/>
      <c r="E1097" s="1056"/>
      <c r="F1097" s="1056"/>
      <c r="G1097" s="1056"/>
      <c r="H1097" s="1056"/>
      <c r="I1097" s="1056"/>
      <c r="J1097" s="1056"/>
      <c r="K1097" s="1056"/>
      <c r="L1097" s="1056"/>
      <c r="M1097" s="274"/>
      <c r="P1097" s="264"/>
      <c r="Q1097" s="264"/>
      <c r="R1097" s="264"/>
      <c r="S1097" s="264"/>
      <c r="T1097" s="1056"/>
      <c r="U1097" s="1056"/>
      <c r="V1097" s="1056"/>
      <c r="W1097" s="1056"/>
      <c r="X1097" s="1056"/>
      <c r="Y1097" s="1056"/>
      <c r="Z1097" s="1056"/>
      <c r="AA1097" s="1056"/>
      <c r="AB1097" s="1056"/>
      <c r="AC1097" s="1056"/>
      <c r="AD1097" s="1056"/>
      <c r="AE1097" s="1056"/>
      <c r="AF1097" s="264"/>
    </row>
    <row r="1098" spans="1:32" s="268" customFormat="1" ht="15" x14ac:dyDescent="0.25">
      <c r="A1098" s="264"/>
      <c r="B1098" s="264"/>
      <c r="C1098" s="1056"/>
      <c r="D1098" s="1056"/>
      <c r="E1098" s="1056"/>
      <c r="F1098" s="1056"/>
      <c r="G1098" s="1056"/>
      <c r="H1098" s="1056"/>
      <c r="I1098" s="1056"/>
      <c r="J1098" s="1056"/>
      <c r="K1098" s="1056"/>
      <c r="L1098" s="1056"/>
      <c r="M1098" s="274"/>
      <c r="P1098" s="264"/>
      <c r="Q1098" s="264"/>
      <c r="R1098" s="264"/>
      <c r="S1098" s="264"/>
      <c r="T1098" s="1056"/>
      <c r="U1098" s="1056"/>
      <c r="V1098" s="1056"/>
      <c r="W1098" s="1056"/>
      <c r="X1098" s="1056"/>
      <c r="Y1098" s="1056"/>
      <c r="Z1098" s="1056"/>
      <c r="AA1098" s="1056"/>
      <c r="AB1098" s="1056"/>
      <c r="AC1098" s="1056"/>
      <c r="AD1098" s="1056"/>
      <c r="AE1098" s="1056"/>
      <c r="AF1098" s="264"/>
    </row>
    <row r="1099" spans="1:32" s="268" customFormat="1" ht="15" x14ac:dyDescent="0.25">
      <c r="A1099" s="264"/>
      <c r="B1099" s="264"/>
      <c r="C1099" s="1056"/>
      <c r="D1099" s="1056"/>
      <c r="E1099" s="1056"/>
      <c r="F1099" s="1056"/>
      <c r="G1099" s="1056"/>
      <c r="H1099" s="1056"/>
      <c r="I1099" s="1056"/>
      <c r="J1099" s="1056"/>
      <c r="K1099" s="1056"/>
      <c r="L1099" s="1056"/>
      <c r="M1099" s="274"/>
      <c r="P1099" s="264"/>
      <c r="Q1099" s="264"/>
      <c r="R1099" s="264"/>
      <c r="S1099" s="264"/>
      <c r="T1099" s="1056"/>
      <c r="U1099" s="1056"/>
      <c r="V1099" s="1056"/>
      <c r="W1099" s="1056"/>
      <c r="X1099" s="1056"/>
      <c r="Y1099" s="1056"/>
      <c r="Z1099" s="1056"/>
      <c r="AA1099" s="1056"/>
      <c r="AB1099" s="1056"/>
      <c r="AC1099" s="1056"/>
      <c r="AD1099" s="1056"/>
      <c r="AE1099" s="1056"/>
      <c r="AF1099" s="264"/>
    </row>
    <row r="1100" spans="1:32" s="268" customFormat="1" ht="15" x14ac:dyDescent="0.25">
      <c r="A1100" s="264"/>
      <c r="B1100" s="264"/>
      <c r="C1100" s="1056"/>
      <c r="D1100" s="1056"/>
      <c r="E1100" s="1056"/>
      <c r="F1100" s="1056"/>
      <c r="G1100" s="1056"/>
      <c r="H1100" s="1056"/>
      <c r="I1100" s="1056"/>
      <c r="J1100" s="1056"/>
      <c r="K1100" s="1056"/>
      <c r="L1100" s="1056"/>
      <c r="M1100" s="274"/>
      <c r="P1100" s="264"/>
      <c r="Q1100" s="264"/>
      <c r="R1100" s="264"/>
      <c r="S1100" s="264"/>
      <c r="T1100" s="1056"/>
      <c r="U1100" s="1056"/>
      <c r="V1100" s="1056"/>
      <c r="W1100" s="1056"/>
      <c r="X1100" s="1056"/>
      <c r="Y1100" s="1056"/>
      <c r="Z1100" s="1056"/>
      <c r="AA1100" s="1056"/>
      <c r="AB1100" s="1056"/>
      <c r="AC1100" s="1056"/>
      <c r="AD1100" s="1056"/>
      <c r="AE1100" s="1056"/>
      <c r="AF1100" s="264"/>
    </row>
    <row r="1101" spans="1:32" s="268" customFormat="1" ht="15" x14ac:dyDescent="0.25">
      <c r="A1101" s="264"/>
      <c r="B1101" s="264"/>
      <c r="C1101" s="1056"/>
      <c r="D1101" s="1056"/>
      <c r="E1101" s="1056"/>
      <c r="F1101" s="1056"/>
      <c r="G1101" s="1056"/>
      <c r="H1101" s="1056"/>
      <c r="I1101" s="1056"/>
      <c r="J1101" s="1056"/>
      <c r="K1101" s="1056"/>
      <c r="L1101" s="1056"/>
      <c r="M1101" s="274"/>
      <c r="P1101" s="264"/>
      <c r="Q1101" s="264"/>
      <c r="R1101" s="264"/>
      <c r="S1101" s="264"/>
      <c r="T1101" s="1056"/>
      <c r="U1101" s="1056"/>
      <c r="V1101" s="1056"/>
      <c r="W1101" s="1056"/>
      <c r="X1101" s="1056"/>
      <c r="Y1101" s="1056"/>
      <c r="Z1101" s="1056"/>
      <c r="AA1101" s="1056"/>
      <c r="AB1101" s="1056"/>
      <c r="AC1101" s="1056"/>
      <c r="AD1101" s="1056"/>
      <c r="AE1101" s="1056"/>
      <c r="AF1101" s="264"/>
    </row>
    <row r="1102" spans="1:32" s="268" customFormat="1" ht="15" x14ac:dyDescent="0.25">
      <c r="A1102" s="264"/>
      <c r="B1102" s="264"/>
      <c r="C1102" s="1056"/>
      <c r="D1102" s="1056"/>
      <c r="E1102" s="1056"/>
      <c r="F1102" s="1056"/>
      <c r="G1102" s="1056"/>
      <c r="H1102" s="1056"/>
      <c r="I1102" s="1056"/>
      <c r="J1102" s="1056"/>
      <c r="K1102" s="1056"/>
      <c r="L1102" s="1056"/>
      <c r="M1102" s="274"/>
      <c r="P1102" s="264"/>
      <c r="Q1102" s="264"/>
      <c r="R1102" s="264"/>
      <c r="S1102" s="264"/>
      <c r="T1102" s="1056"/>
      <c r="U1102" s="1056"/>
      <c r="V1102" s="1056"/>
      <c r="W1102" s="1056"/>
      <c r="X1102" s="1056"/>
      <c r="Y1102" s="1056"/>
      <c r="Z1102" s="1056"/>
      <c r="AA1102" s="1056"/>
      <c r="AB1102" s="1056"/>
      <c r="AC1102" s="1056"/>
      <c r="AD1102" s="1056"/>
      <c r="AE1102" s="1056"/>
      <c r="AF1102" s="264"/>
    </row>
    <row r="1103" spans="1:32" s="268" customFormat="1" ht="15" x14ac:dyDescent="0.25">
      <c r="A1103" s="264"/>
      <c r="B1103" s="264"/>
      <c r="C1103" s="1056"/>
      <c r="D1103" s="1056"/>
      <c r="E1103" s="1056"/>
      <c r="F1103" s="1056"/>
      <c r="G1103" s="1056"/>
      <c r="H1103" s="1056"/>
      <c r="I1103" s="1056"/>
      <c r="J1103" s="1056"/>
      <c r="K1103" s="1056"/>
      <c r="L1103" s="1056"/>
      <c r="M1103" s="274"/>
      <c r="P1103" s="264"/>
      <c r="Q1103" s="264"/>
      <c r="R1103" s="264"/>
      <c r="S1103" s="264"/>
      <c r="T1103" s="1056"/>
      <c r="U1103" s="1056"/>
      <c r="V1103" s="1056"/>
      <c r="W1103" s="1056"/>
      <c r="X1103" s="1056"/>
      <c r="Y1103" s="1056"/>
      <c r="Z1103" s="1056"/>
      <c r="AA1103" s="1056"/>
      <c r="AB1103" s="1056"/>
      <c r="AC1103" s="1056"/>
      <c r="AD1103" s="1056"/>
      <c r="AE1103" s="1056"/>
      <c r="AF1103" s="264"/>
    </row>
    <row r="1104" spans="1:32" s="268" customFormat="1" ht="15" x14ac:dyDescent="0.25">
      <c r="A1104" s="264"/>
      <c r="B1104" s="264"/>
      <c r="C1104" s="1056"/>
      <c r="D1104" s="1056"/>
      <c r="E1104" s="1056"/>
      <c r="F1104" s="1056"/>
      <c r="G1104" s="1056"/>
      <c r="H1104" s="1056"/>
      <c r="I1104" s="1056"/>
      <c r="J1104" s="1056"/>
      <c r="K1104" s="1056"/>
      <c r="L1104" s="1056"/>
      <c r="M1104" s="274"/>
      <c r="P1104" s="264"/>
      <c r="Q1104" s="264"/>
      <c r="R1104" s="264"/>
      <c r="S1104" s="264"/>
      <c r="T1104" s="1056"/>
      <c r="U1104" s="1056"/>
      <c r="V1104" s="1056"/>
      <c r="W1104" s="1056"/>
      <c r="X1104" s="1056"/>
      <c r="Y1104" s="1056"/>
      <c r="Z1104" s="1056"/>
      <c r="AA1104" s="1056"/>
      <c r="AB1104" s="1056"/>
      <c r="AC1104" s="1056"/>
      <c r="AD1104" s="1056"/>
      <c r="AE1104" s="1056"/>
      <c r="AF1104" s="264"/>
    </row>
    <row r="1105" spans="1:32" s="268" customFormat="1" ht="15" x14ac:dyDescent="0.25">
      <c r="A1105" s="264"/>
      <c r="B1105" s="264"/>
      <c r="C1105" s="1056"/>
      <c r="D1105" s="1056"/>
      <c r="E1105" s="1056"/>
      <c r="F1105" s="1056"/>
      <c r="G1105" s="1056"/>
      <c r="H1105" s="1056"/>
      <c r="I1105" s="1056"/>
      <c r="J1105" s="1056"/>
      <c r="K1105" s="1056"/>
      <c r="L1105" s="1056"/>
      <c r="M1105" s="274"/>
      <c r="P1105" s="264"/>
      <c r="Q1105" s="264"/>
      <c r="R1105" s="264"/>
      <c r="S1105" s="264"/>
      <c r="T1105" s="1056"/>
      <c r="U1105" s="1056"/>
      <c r="V1105" s="1056"/>
      <c r="W1105" s="1056"/>
      <c r="X1105" s="1056"/>
      <c r="Y1105" s="1056"/>
      <c r="Z1105" s="1056"/>
      <c r="AA1105" s="1056"/>
      <c r="AB1105" s="1056"/>
      <c r="AC1105" s="1056"/>
      <c r="AD1105" s="1056"/>
      <c r="AE1105" s="1056"/>
      <c r="AF1105" s="264"/>
    </row>
    <row r="1106" spans="1:32" s="268" customFormat="1" ht="15" x14ac:dyDescent="0.25">
      <c r="A1106" s="264"/>
      <c r="B1106" s="264"/>
      <c r="C1106" s="1056"/>
      <c r="D1106" s="1056"/>
      <c r="E1106" s="1056"/>
      <c r="F1106" s="1056"/>
      <c r="G1106" s="1056"/>
      <c r="H1106" s="1056"/>
      <c r="I1106" s="1056"/>
      <c r="J1106" s="1056"/>
      <c r="K1106" s="1056"/>
      <c r="L1106" s="1056"/>
      <c r="M1106" s="274"/>
      <c r="P1106" s="264"/>
      <c r="Q1106" s="264"/>
      <c r="R1106" s="264"/>
      <c r="S1106" s="264"/>
      <c r="T1106" s="1056"/>
      <c r="U1106" s="1056"/>
      <c r="V1106" s="1056"/>
      <c r="W1106" s="1056"/>
      <c r="X1106" s="1056"/>
      <c r="Y1106" s="1056"/>
      <c r="Z1106" s="1056"/>
      <c r="AA1106" s="1056"/>
      <c r="AB1106" s="1056"/>
      <c r="AC1106" s="1056"/>
      <c r="AD1106" s="1056"/>
      <c r="AE1106" s="1056"/>
      <c r="AF1106" s="264"/>
    </row>
    <row r="1107" spans="1:32" s="268" customFormat="1" ht="15" x14ac:dyDescent="0.25">
      <c r="A1107" s="264"/>
      <c r="B1107" s="264"/>
      <c r="C1107" s="1056"/>
      <c r="D1107" s="1056"/>
      <c r="E1107" s="1056"/>
      <c r="F1107" s="1056"/>
      <c r="G1107" s="1056"/>
      <c r="H1107" s="1056"/>
      <c r="I1107" s="1056"/>
      <c r="J1107" s="1056"/>
      <c r="K1107" s="1056"/>
      <c r="L1107" s="1056"/>
      <c r="M1107" s="274"/>
      <c r="P1107" s="264"/>
      <c r="Q1107" s="264"/>
      <c r="R1107" s="264"/>
      <c r="S1107" s="264"/>
      <c r="T1107" s="1056"/>
      <c r="U1107" s="1056"/>
      <c r="V1107" s="1056"/>
      <c r="W1107" s="1056"/>
      <c r="X1107" s="1056"/>
      <c r="Y1107" s="1056"/>
      <c r="Z1107" s="1056"/>
      <c r="AA1107" s="1056"/>
      <c r="AB1107" s="1056"/>
      <c r="AC1107" s="1056"/>
      <c r="AD1107" s="1056"/>
      <c r="AE1107" s="1056"/>
      <c r="AF1107" s="264"/>
    </row>
    <row r="1108" spans="1:32" s="268" customFormat="1" ht="15" x14ac:dyDescent="0.25">
      <c r="A1108" s="264"/>
      <c r="B1108" s="264"/>
      <c r="C1108" s="1056"/>
      <c r="D1108" s="1056"/>
      <c r="E1108" s="1056"/>
      <c r="F1108" s="1056"/>
      <c r="G1108" s="1056"/>
      <c r="H1108" s="1056"/>
      <c r="I1108" s="1056"/>
      <c r="J1108" s="1056"/>
      <c r="K1108" s="1056"/>
      <c r="L1108" s="1056"/>
      <c r="M1108" s="274"/>
      <c r="P1108" s="264"/>
      <c r="Q1108" s="264"/>
      <c r="R1108" s="264"/>
      <c r="S1108" s="264"/>
      <c r="T1108" s="1056"/>
      <c r="U1108" s="1056"/>
      <c r="V1108" s="1056"/>
      <c r="W1108" s="1056"/>
      <c r="X1108" s="1056"/>
      <c r="Y1108" s="1056"/>
      <c r="Z1108" s="1056"/>
      <c r="AA1108" s="1056"/>
      <c r="AB1108" s="1056"/>
      <c r="AC1108" s="1056"/>
      <c r="AD1108" s="1056"/>
      <c r="AE1108" s="1056"/>
      <c r="AF1108" s="264"/>
    </row>
    <row r="1109" spans="1:32" s="268" customFormat="1" ht="15" x14ac:dyDescent="0.25">
      <c r="A1109" s="264"/>
      <c r="B1109" s="264"/>
      <c r="C1109" s="1056"/>
      <c r="D1109" s="1056"/>
      <c r="E1109" s="1056"/>
      <c r="F1109" s="1056"/>
      <c r="G1109" s="1056"/>
      <c r="H1109" s="1056"/>
      <c r="I1109" s="1056"/>
      <c r="J1109" s="1056"/>
      <c r="K1109" s="1056"/>
      <c r="L1109" s="1056"/>
      <c r="M1109" s="274"/>
      <c r="P1109" s="264"/>
      <c r="Q1109" s="264"/>
      <c r="R1109" s="264"/>
      <c r="S1109" s="264"/>
      <c r="T1109" s="1056"/>
      <c r="U1109" s="1056"/>
      <c r="V1109" s="1056"/>
      <c r="W1109" s="1056"/>
      <c r="X1109" s="1056"/>
      <c r="Y1109" s="1056"/>
      <c r="Z1109" s="1056"/>
      <c r="AA1109" s="1056"/>
      <c r="AB1109" s="1056"/>
      <c r="AC1109" s="1056"/>
      <c r="AD1109" s="1056"/>
      <c r="AE1109" s="1056"/>
      <c r="AF1109" s="264"/>
    </row>
    <row r="1110" spans="1:32" s="268" customFormat="1" ht="15" x14ac:dyDescent="0.25">
      <c r="A1110" s="264"/>
      <c r="B1110" s="264"/>
      <c r="C1110" s="1056"/>
      <c r="D1110" s="1056"/>
      <c r="E1110" s="1056"/>
      <c r="F1110" s="1056"/>
      <c r="G1110" s="1056"/>
      <c r="H1110" s="1056"/>
      <c r="I1110" s="1056"/>
      <c r="J1110" s="1056"/>
      <c r="K1110" s="1056"/>
      <c r="L1110" s="1056"/>
      <c r="M1110" s="274"/>
      <c r="P1110" s="264"/>
      <c r="Q1110" s="264"/>
      <c r="R1110" s="264"/>
      <c r="S1110" s="264"/>
      <c r="T1110" s="1056"/>
      <c r="U1110" s="1056"/>
      <c r="V1110" s="1056"/>
      <c r="W1110" s="1056"/>
      <c r="X1110" s="1056"/>
      <c r="Y1110" s="1056"/>
      <c r="Z1110" s="1056"/>
      <c r="AA1110" s="1056"/>
      <c r="AB1110" s="1056"/>
      <c r="AC1110" s="1056"/>
      <c r="AD1110" s="1056"/>
      <c r="AE1110" s="1056"/>
      <c r="AF1110" s="264"/>
    </row>
    <row r="1111" spans="1:32" s="268" customFormat="1" ht="15" x14ac:dyDescent="0.25">
      <c r="A1111" s="264"/>
      <c r="B1111" s="264"/>
      <c r="C1111" s="1056"/>
      <c r="D1111" s="1056"/>
      <c r="E1111" s="1056"/>
      <c r="F1111" s="1056"/>
      <c r="G1111" s="1056"/>
      <c r="H1111" s="1056"/>
      <c r="I1111" s="1056"/>
      <c r="J1111" s="1056"/>
      <c r="K1111" s="1056"/>
      <c r="L1111" s="1056"/>
      <c r="M1111" s="274"/>
      <c r="P1111" s="264"/>
      <c r="Q1111" s="264"/>
      <c r="R1111" s="264"/>
      <c r="S1111" s="264"/>
      <c r="T1111" s="1056"/>
      <c r="U1111" s="1056"/>
      <c r="V1111" s="1056"/>
      <c r="W1111" s="1056"/>
      <c r="X1111" s="1056"/>
      <c r="Y1111" s="1056"/>
      <c r="Z1111" s="1056"/>
      <c r="AA1111" s="1056"/>
      <c r="AB1111" s="1056"/>
      <c r="AC1111" s="1056"/>
      <c r="AD1111" s="1056"/>
      <c r="AE1111" s="1056"/>
      <c r="AF1111" s="264"/>
    </row>
    <row r="1112" spans="1:32" s="268" customFormat="1" ht="15" x14ac:dyDescent="0.25">
      <c r="A1112" s="264"/>
      <c r="B1112" s="264"/>
      <c r="C1112" s="1056"/>
      <c r="D1112" s="1056"/>
      <c r="E1112" s="1056"/>
      <c r="F1112" s="1056"/>
      <c r="G1112" s="1056"/>
      <c r="H1112" s="1056"/>
      <c r="I1112" s="1056"/>
      <c r="J1112" s="1056"/>
      <c r="K1112" s="1056"/>
      <c r="L1112" s="1056"/>
      <c r="M1112" s="274"/>
      <c r="P1112" s="264"/>
      <c r="Q1112" s="264"/>
      <c r="R1112" s="264"/>
      <c r="S1112" s="264"/>
      <c r="T1112" s="1056"/>
      <c r="U1112" s="1056"/>
      <c r="V1112" s="1056"/>
      <c r="W1112" s="1056"/>
      <c r="X1112" s="1056"/>
      <c r="Y1112" s="1056"/>
      <c r="Z1112" s="1056"/>
      <c r="AA1112" s="1056"/>
      <c r="AB1112" s="1056"/>
      <c r="AC1112" s="1056"/>
      <c r="AD1112" s="1056"/>
      <c r="AE1112" s="1056"/>
      <c r="AF1112" s="264"/>
    </row>
    <row r="1113" spans="1:32" s="268" customFormat="1" ht="15" x14ac:dyDescent="0.25">
      <c r="A1113" s="264"/>
      <c r="B1113" s="264"/>
      <c r="C1113" s="1056"/>
      <c r="D1113" s="1056"/>
      <c r="E1113" s="1056"/>
      <c r="F1113" s="1056"/>
      <c r="G1113" s="1056"/>
      <c r="H1113" s="1056"/>
      <c r="I1113" s="1056"/>
      <c r="J1113" s="1056"/>
      <c r="K1113" s="1056"/>
      <c r="L1113" s="1056"/>
      <c r="M1113" s="274"/>
      <c r="P1113" s="264"/>
      <c r="Q1113" s="264"/>
      <c r="R1113" s="264"/>
      <c r="S1113" s="264"/>
      <c r="T1113" s="1056"/>
      <c r="U1113" s="1056"/>
      <c r="V1113" s="1056"/>
      <c r="W1113" s="1056"/>
      <c r="X1113" s="1056"/>
      <c r="Y1113" s="1056"/>
      <c r="Z1113" s="1056"/>
      <c r="AA1113" s="1056"/>
      <c r="AB1113" s="1056"/>
      <c r="AC1113" s="1056"/>
      <c r="AD1113" s="1056"/>
      <c r="AE1113" s="1056"/>
      <c r="AF1113" s="264"/>
    </row>
    <row r="1114" spans="1:32" s="268" customFormat="1" ht="15" x14ac:dyDescent="0.25">
      <c r="A1114" s="264"/>
      <c r="B1114" s="264"/>
      <c r="C1114" s="1056"/>
      <c r="D1114" s="1056"/>
      <c r="E1114" s="1056"/>
      <c r="F1114" s="1056"/>
      <c r="G1114" s="1056"/>
      <c r="H1114" s="1056"/>
      <c r="I1114" s="1056"/>
      <c r="J1114" s="1056"/>
      <c r="K1114" s="1056"/>
      <c r="L1114" s="1056"/>
      <c r="M1114" s="274"/>
      <c r="P1114" s="264"/>
      <c r="Q1114" s="264"/>
      <c r="R1114" s="264"/>
      <c r="S1114" s="264"/>
      <c r="T1114" s="1056"/>
      <c r="U1114" s="1056"/>
      <c r="V1114" s="1056"/>
      <c r="W1114" s="1056"/>
      <c r="X1114" s="1056"/>
      <c r="Y1114" s="1056"/>
      <c r="Z1114" s="1056"/>
      <c r="AA1114" s="1056"/>
      <c r="AB1114" s="1056"/>
      <c r="AC1114" s="1056"/>
      <c r="AD1114" s="1056"/>
      <c r="AE1114" s="1056"/>
      <c r="AF1114" s="264"/>
    </row>
    <row r="1115" spans="1:32" s="268" customFormat="1" ht="15" x14ac:dyDescent="0.25">
      <c r="A1115" s="264"/>
      <c r="B1115" s="264"/>
      <c r="C1115" s="1056"/>
      <c r="D1115" s="1056"/>
      <c r="E1115" s="1056"/>
      <c r="F1115" s="1056"/>
      <c r="G1115" s="1056"/>
      <c r="H1115" s="1056"/>
      <c r="I1115" s="1056"/>
      <c r="J1115" s="1056"/>
      <c r="K1115" s="1056"/>
      <c r="L1115" s="1056"/>
      <c r="M1115" s="274"/>
      <c r="P1115" s="264"/>
      <c r="Q1115" s="264"/>
      <c r="R1115" s="264"/>
      <c r="S1115" s="264"/>
      <c r="T1115" s="1056"/>
      <c r="U1115" s="1056"/>
      <c r="V1115" s="1056"/>
      <c r="W1115" s="1056"/>
      <c r="X1115" s="1056"/>
      <c r="Y1115" s="1056"/>
      <c r="Z1115" s="1056"/>
      <c r="AA1115" s="1056"/>
      <c r="AB1115" s="1056"/>
      <c r="AC1115" s="1056"/>
      <c r="AD1115" s="1056"/>
      <c r="AE1115" s="1056"/>
      <c r="AF1115" s="264"/>
    </row>
    <row r="1116" spans="1:32" s="268" customFormat="1" ht="15" x14ac:dyDescent="0.25">
      <c r="A1116" s="264"/>
      <c r="B1116" s="264"/>
      <c r="C1116" s="1056"/>
      <c r="D1116" s="1056"/>
      <c r="E1116" s="1056"/>
      <c r="F1116" s="1056"/>
      <c r="G1116" s="1056"/>
      <c r="H1116" s="1056"/>
      <c r="I1116" s="1056"/>
      <c r="J1116" s="1056"/>
      <c r="K1116" s="1056"/>
      <c r="L1116" s="1056"/>
      <c r="M1116" s="274"/>
      <c r="P1116" s="264"/>
      <c r="Q1116" s="264"/>
      <c r="R1116" s="264"/>
      <c r="S1116" s="264"/>
      <c r="T1116" s="1056"/>
      <c r="U1116" s="1056"/>
      <c r="V1116" s="1056"/>
      <c r="W1116" s="1056"/>
      <c r="X1116" s="1056"/>
      <c r="Y1116" s="1056"/>
      <c r="Z1116" s="1056"/>
      <c r="AA1116" s="1056"/>
      <c r="AB1116" s="1056"/>
      <c r="AC1116" s="1056"/>
      <c r="AD1116" s="1056"/>
      <c r="AE1116" s="1056"/>
      <c r="AF1116" s="264"/>
    </row>
    <row r="1117" spans="1:32" s="268" customFormat="1" ht="15" x14ac:dyDescent="0.25">
      <c r="A1117" s="264"/>
      <c r="B1117" s="264"/>
      <c r="C1117" s="1056"/>
      <c r="D1117" s="1056"/>
      <c r="E1117" s="1056"/>
      <c r="F1117" s="1056"/>
      <c r="G1117" s="1056"/>
      <c r="H1117" s="1056"/>
      <c r="I1117" s="1056"/>
      <c r="J1117" s="1056"/>
      <c r="K1117" s="1056"/>
      <c r="L1117" s="1056"/>
      <c r="M1117" s="274"/>
      <c r="P1117" s="264"/>
      <c r="Q1117" s="264"/>
      <c r="R1117" s="264"/>
      <c r="S1117" s="264"/>
      <c r="T1117" s="1056"/>
      <c r="U1117" s="1056"/>
      <c r="V1117" s="1056"/>
      <c r="W1117" s="1056"/>
      <c r="X1117" s="1056"/>
      <c r="Y1117" s="1056"/>
      <c r="Z1117" s="1056"/>
      <c r="AA1117" s="1056"/>
      <c r="AB1117" s="1056"/>
      <c r="AC1117" s="1056"/>
      <c r="AD1117" s="1056"/>
      <c r="AE1117" s="1056"/>
      <c r="AF1117" s="264"/>
    </row>
    <row r="1118" spans="1:32" s="268" customFormat="1" ht="15" x14ac:dyDescent="0.25">
      <c r="A1118" s="264"/>
      <c r="B1118" s="264"/>
      <c r="C1118" s="1056"/>
      <c r="D1118" s="1056"/>
      <c r="E1118" s="1056"/>
      <c r="F1118" s="1056"/>
      <c r="G1118" s="1056"/>
      <c r="H1118" s="1056"/>
      <c r="I1118" s="1056"/>
      <c r="J1118" s="1056"/>
      <c r="K1118" s="1056"/>
      <c r="L1118" s="1056"/>
      <c r="M1118" s="274"/>
      <c r="P1118" s="264"/>
      <c r="Q1118" s="264"/>
      <c r="R1118" s="264"/>
      <c r="S1118" s="264"/>
      <c r="T1118" s="1056"/>
      <c r="U1118" s="1056"/>
      <c r="V1118" s="1056"/>
      <c r="W1118" s="1056"/>
      <c r="X1118" s="1056"/>
      <c r="Y1118" s="1056"/>
      <c r="Z1118" s="1056"/>
      <c r="AA1118" s="1056"/>
      <c r="AB1118" s="1056"/>
      <c r="AC1118" s="1056"/>
      <c r="AD1118" s="1056"/>
      <c r="AE1118" s="1056"/>
      <c r="AF1118" s="264"/>
    </row>
    <row r="1119" spans="1:32" s="268" customFormat="1" ht="15" x14ac:dyDescent="0.25">
      <c r="A1119" s="264"/>
      <c r="B1119" s="264"/>
      <c r="C1119" s="1056"/>
      <c r="D1119" s="1056"/>
      <c r="E1119" s="1056"/>
      <c r="F1119" s="1056"/>
      <c r="G1119" s="1056"/>
      <c r="H1119" s="1056"/>
      <c r="I1119" s="1056"/>
      <c r="J1119" s="1056"/>
      <c r="K1119" s="1056"/>
      <c r="L1119" s="1056"/>
      <c r="M1119" s="274"/>
      <c r="P1119" s="264"/>
      <c r="Q1119" s="264"/>
      <c r="R1119" s="264"/>
      <c r="S1119" s="264"/>
      <c r="T1119" s="1056"/>
      <c r="U1119" s="1056"/>
      <c r="V1119" s="1056"/>
      <c r="W1119" s="1056"/>
      <c r="X1119" s="1056"/>
      <c r="Y1119" s="1056"/>
      <c r="Z1119" s="1056"/>
      <c r="AA1119" s="1056"/>
      <c r="AB1119" s="1056"/>
      <c r="AC1119" s="1056"/>
      <c r="AD1119" s="1056"/>
      <c r="AE1119" s="1056"/>
      <c r="AF1119" s="264"/>
    </row>
    <row r="1120" spans="1:32" s="268" customFormat="1" ht="15" x14ac:dyDescent="0.25">
      <c r="A1120" s="264"/>
      <c r="B1120" s="264"/>
      <c r="C1120" s="1056"/>
      <c r="D1120" s="1056"/>
      <c r="E1120" s="1056"/>
      <c r="F1120" s="1056"/>
      <c r="G1120" s="1056"/>
      <c r="H1120" s="1056"/>
      <c r="I1120" s="1056"/>
      <c r="J1120" s="1056"/>
      <c r="K1120" s="1056"/>
      <c r="L1120" s="1056"/>
      <c r="M1120" s="274"/>
      <c r="P1120" s="264"/>
      <c r="Q1120" s="264"/>
      <c r="R1120" s="264"/>
      <c r="S1120" s="264"/>
      <c r="T1120" s="1056"/>
      <c r="U1120" s="1056"/>
      <c r="V1120" s="1056"/>
      <c r="W1120" s="1056"/>
      <c r="X1120" s="1056"/>
      <c r="Y1120" s="1056"/>
      <c r="Z1120" s="1056"/>
      <c r="AA1120" s="1056"/>
      <c r="AB1120" s="1056"/>
      <c r="AC1120" s="1056"/>
      <c r="AD1120" s="1056"/>
      <c r="AE1120" s="1056"/>
      <c r="AF1120" s="264"/>
    </row>
    <row r="1121" spans="1:32" s="268" customFormat="1" ht="15" x14ac:dyDescent="0.25">
      <c r="A1121" s="264"/>
      <c r="B1121" s="264"/>
      <c r="C1121" s="1056"/>
      <c r="D1121" s="1056"/>
      <c r="E1121" s="1056"/>
      <c r="F1121" s="1056"/>
      <c r="G1121" s="1056"/>
      <c r="H1121" s="1056"/>
      <c r="I1121" s="1056"/>
      <c r="J1121" s="1056"/>
      <c r="K1121" s="1056"/>
      <c r="L1121" s="1056"/>
      <c r="M1121" s="274"/>
      <c r="P1121" s="264"/>
      <c r="Q1121" s="264"/>
      <c r="R1121" s="264"/>
      <c r="S1121" s="264"/>
      <c r="T1121" s="1056"/>
      <c r="U1121" s="1056"/>
      <c r="V1121" s="1056"/>
      <c r="W1121" s="1056"/>
      <c r="X1121" s="1056"/>
      <c r="Y1121" s="1056"/>
      <c r="Z1121" s="1056"/>
      <c r="AA1121" s="1056"/>
      <c r="AB1121" s="1056"/>
      <c r="AC1121" s="1056"/>
      <c r="AD1121" s="1056"/>
      <c r="AE1121" s="1056"/>
      <c r="AF1121" s="264"/>
    </row>
    <row r="1122" spans="1:32" s="268" customFormat="1" ht="15" x14ac:dyDescent="0.25">
      <c r="A1122" s="264"/>
      <c r="B1122" s="264"/>
      <c r="C1122" s="1056"/>
      <c r="D1122" s="1056"/>
      <c r="E1122" s="1056"/>
      <c r="F1122" s="1056"/>
      <c r="G1122" s="1056"/>
      <c r="H1122" s="1056"/>
      <c r="I1122" s="1056"/>
      <c r="J1122" s="1056"/>
      <c r="K1122" s="1056"/>
      <c r="L1122" s="1056"/>
      <c r="M1122" s="274"/>
      <c r="P1122" s="264"/>
      <c r="Q1122" s="264"/>
      <c r="R1122" s="264"/>
      <c r="S1122" s="264"/>
      <c r="T1122" s="1056"/>
      <c r="U1122" s="1056"/>
      <c r="V1122" s="1056"/>
      <c r="W1122" s="1056"/>
      <c r="X1122" s="1056"/>
      <c r="Y1122" s="1056"/>
      <c r="Z1122" s="1056"/>
      <c r="AA1122" s="1056"/>
      <c r="AB1122" s="1056"/>
      <c r="AC1122" s="1056"/>
      <c r="AD1122" s="1056"/>
      <c r="AE1122" s="1056"/>
      <c r="AF1122" s="264"/>
    </row>
    <row r="1123" spans="1:32" s="268" customFormat="1" ht="15" x14ac:dyDescent="0.25">
      <c r="A1123" s="264"/>
      <c r="B1123" s="264"/>
      <c r="C1123" s="1056"/>
      <c r="D1123" s="1056"/>
      <c r="E1123" s="1056"/>
      <c r="F1123" s="1056"/>
      <c r="G1123" s="1056"/>
      <c r="H1123" s="1056"/>
      <c r="I1123" s="1056"/>
      <c r="J1123" s="1056"/>
      <c r="K1123" s="1056"/>
      <c r="L1123" s="1056"/>
      <c r="M1123" s="274"/>
      <c r="P1123" s="264"/>
      <c r="Q1123" s="264"/>
      <c r="R1123" s="264"/>
      <c r="S1123" s="264"/>
      <c r="T1123" s="1056"/>
      <c r="U1123" s="1056"/>
      <c r="V1123" s="1056"/>
      <c r="W1123" s="1056"/>
      <c r="X1123" s="1056"/>
      <c r="Y1123" s="1056"/>
      <c r="Z1123" s="1056"/>
      <c r="AA1123" s="1056"/>
      <c r="AB1123" s="1056"/>
      <c r="AC1123" s="1056"/>
      <c r="AD1123" s="1056"/>
      <c r="AE1123" s="1056"/>
      <c r="AF1123" s="264"/>
    </row>
    <row r="1124" spans="1:32" s="268" customFormat="1" ht="15" x14ac:dyDescent="0.25">
      <c r="A1124" s="264"/>
      <c r="B1124" s="264"/>
      <c r="C1124" s="1056"/>
      <c r="D1124" s="1056"/>
      <c r="E1124" s="1056"/>
      <c r="F1124" s="1056"/>
      <c r="G1124" s="1056"/>
      <c r="H1124" s="1056"/>
      <c r="I1124" s="1056"/>
      <c r="J1124" s="1056"/>
      <c r="K1124" s="1056"/>
      <c r="L1124" s="1056"/>
      <c r="M1124" s="274"/>
      <c r="P1124" s="264"/>
      <c r="Q1124" s="264"/>
      <c r="R1124" s="264"/>
      <c r="S1124" s="264"/>
      <c r="T1124" s="1056"/>
      <c r="U1124" s="1056"/>
      <c r="V1124" s="1056"/>
      <c r="W1124" s="1056"/>
      <c r="X1124" s="1056"/>
      <c r="Y1124" s="1056"/>
      <c r="Z1124" s="1056"/>
      <c r="AA1124" s="1056"/>
      <c r="AB1124" s="1056"/>
      <c r="AC1124" s="1056"/>
      <c r="AD1124" s="1056"/>
      <c r="AE1124" s="1056"/>
      <c r="AF1124" s="264"/>
    </row>
    <row r="1125" spans="1:32" s="268" customFormat="1" ht="15" x14ac:dyDescent="0.25">
      <c r="A1125" s="264"/>
      <c r="B1125" s="264"/>
      <c r="C1125" s="1056"/>
      <c r="D1125" s="1056"/>
      <c r="E1125" s="1056"/>
      <c r="F1125" s="1056"/>
      <c r="G1125" s="1056"/>
      <c r="H1125" s="1056"/>
      <c r="I1125" s="1056"/>
      <c r="J1125" s="1056"/>
      <c r="K1125" s="1056"/>
      <c r="L1125" s="1056"/>
      <c r="M1125" s="274"/>
      <c r="P1125" s="264"/>
      <c r="Q1125" s="264"/>
      <c r="R1125" s="264"/>
      <c r="S1125" s="264"/>
      <c r="T1125" s="1056"/>
      <c r="U1125" s="1056"/>
      <c r="V1125" s="1056"/>
      <c r="W1125" s="1056"/>
      <c r="X1125" s="1056"/>
      <c r="Y1125" s="1056"/>
      <c r="Z1125" s="1056"/>
      <c r="AA1125" s="1056"/>
      <c r="AB1125" s="1056"/>
      <c r="AC1125" s="1056"/>
      <c r="AD1125" s="1056"/>
      <c r="AE1125" s="1056"/>
      <c r="AF1125" s="264"/>
    </row>
    <row r="1126" spans="1:32" s="268" customFormat="1" ht="15" x14ac:dyDescent="0.25">
      <c r="A1126" s="264"/>
      <c r="B1126" s="264"/>
      <c r="C1126" s="1056"/>
      <c r="D1126" s="1056"/>
      <c r="E1126" s="1056"/>
      <c r="F1126" s="1056"/>
      <c r="G1126" s="1056"/>
      <c r="H1126" s="1056"/>
      <c r="I1126" s="1056"/>
      <c r="J1126" s="1056"/>
      <c r="K1126" s="1056"/>
      <c r="L1126" s="1056"/>
      <c r="M1126" s="274"/>
      <c r="P1126" s="264"/>
      <c r="Q1126" s="264"/>
      <c r="R1126" s="264"/>
      <c r="S1126" s="264"/>
      <c r="T1126" s="1056"/>
      <c r="U1126" s="1056"/>
      <c r="V1126" s="1056"/>
      <c r="W1126" s="1056"/>
      <c r="X1126" s="1056"/>
      <c r="Y1126" s="1056"/>
      <c r="Z1126" s="1056"/>
      <c r="AA1126" s="1056"/>
      <c r="AB1126" s="1056"/>
      <c r="AC1126" s="1056"/>
      <c r="AD1126" s="1056"/>
      <c r="AE1126" s="1056"/>
      <c r="AF1126" s="264"/>
    </row>
    <row r="1127" spans="1:32" s="268" customFormat="1" ht="15" x14ac:dyDescent="0.25">
      <c r="A1127" s="264"/>
      <c r="B1127" s="264"/>
      <c r="C1127" s="1056"/>
      <c r="D1127" s="1056"/>
      <c r="E1127" s="1056"/>
      <c r="F1127" s="1056"/>
      <c r="G1127" s="1056"/>
      <c r="H1127" s="1056"/>
      <c r="I1127" s="1056"/>
      <c r="J1127" s="1056"/>
      <c r="K1127" s="1056"/>
      <c r="L1127" s="1056"/>
      <c r="M1127" s="274"/>
      <c r="P1127" s="264"/>
      <c r="Q1127" s="264"/>
      <c r="R1127" s="264"/>
      <c r="S1127" s="264"/>
      <c r="T1127" s="1056"/>
      <c r="U1127" s="1056"/>
      <c r="V1127" s="1056"/>
      <c r="W1127" s="1056"/>
      <c r="X1127" s="1056"/>
      <c r="Y1127" s="1056"/>
      <c r="Z1127" s="1056"/>
      <c r="AA1127" s="1056"/>
      <c r="AB1127" s="1056"/>
      <c r="AC1127" s="1056"/>
      <c r="AD1127" s="1056"/>
      <c r="AE1127" s="1056"/>
      <c r="AF1127" s="264"/>
    </row>
    <row r="1128" spans="1:32" s="268" customFormat="1" ht="15" x14ac:dyDescent="0.25">
      <c r="A1128" s="264"/>
      <c r="B1128" s="264"/>
      <c r="C1128" s="1056"/>
      <c r="D1128" s="1056"/>
      <c r="E1128" s="1056"/>
      <c r="F1128" s="1056"/>
      <c r="G1128" s="1056"/>
      <c r="H1128" s="1056"/>
      <c r="I1128" s="1056"/>
      <c r="J1128" s="1056"/>
      <c r="K1128" s="1056"/>
      <c r="L1128" s="1056"/>
      <c r="M1128" s="274"/>
      <c r="P1128" s="264"/>
      <c r="Q1128" s="264"/>
      <c r="R1128" s="264"/>
      <c r="S1128" s="264"/>
      <c r="T1128" s="1056"/>
      <c r="U1128" s="1056"/>
      <c r="V1128" s="1056"/>
      <c r="W1128" s="1056"/>
      <c r="X1128" s="1056"/>
      <c r="Y1128" s="1056"/>
      <c r="Z1128" s="1056"/>
      <c r="AA1128" s="1056"/>
      <c r="AB1128" s="1056"/>
      <c r="AC1128" s="1056"/>
      <c r="AD1128" s="1056"/>
      <c r="AE1128" s="1056"/>
      <c r="AF1128" s="264"/>
    </row>
    <row r="1129" spans="1:32" s="268" customFormat="1" ht="15" x14ac:dyDescent="0.25">
      <c r="A1129" s="264"/>
      <c r="B1129" s="264"/>
      <c r="C1129" s="1056"/>
      <c r="D1129" s="1056"/>
      <c r="E1129" s="1056"/>
      <c r="F1129" s="1056"/>
      <c r="G1129" s="1056"/>
      <c r="H1129" s="1056"/>
      <c r="I1129" s="1056"/>
      <c r="J1129" s="1056"/>
      <c r="K1129" s="1056"/>
      <c r="L1129" s="1056"/>
      <c r="M1129" s="274"/>
      <c r="P1129" s="264"/>
      <c r="Q1129" s="264"/>
      <c r="R1129" s="264"/>
      <c r="S1129" s="264"/>
      <c r="T1129" s="1056"/>
      <c r="U1129" s="1056"/>
      <c r="V1129" s="1056"/>
      <c r="W1129" s="1056"/>
      <c r="X1129" s="1056"/>
      <c r="Y1129" s="1056"/>
      <c r="Z1129" s="1056"/>
      <c r="AA1129" s="1056"/>
      <c r="AB1129" s="1056"/>
      <c r="AC1129" s="1056"/>
      <c r="AD1129" s="1056"/>
      <c r="AE1129" s="1056"/>
      <c r="AF1129" s="264"/>
    </row>
    <row r="1130" spans="1:32" s="268" customFormat="1" ht="15" x14ac:dyDescent="0.25">
      <c r="A1130" s="264"/>
      <c r="B1130" s="264"/>
      <c r="C1130" s="1056"/>
      <c r="D1130" s="1056"/>
      <c r="E1130" s="1056"/>
      <c r="F1130" s="1056"/>
      <c r="G1130" s="1056"/>
      <c r="H1130" s="1056"/>
      <c r="I1130" s="1056"/>
      <c r="J1130" s="1056"/>
      <c r="K1130" s="1056"/>
      <c r="L1130" s="1056"/>
      <c r="M1130" s="274"/>
      <c r="P1130" s="264"/>
      <c r="Q1130" s="264"/>
      <c r="R1130" s="264"/>
      <c r="S1130" s="264"/>
      <c r="T1130" s="1056"/>
      <c r="U1130" s="1056"/>
      <c r="V1130" s="1056"/>
      <c r="W1130" s="1056"/>
      <c r="X1130" s="1056"/>
      <c r="Y1130" s="1056"/>
      <c r="Z1130" s="1056"/>
      <c r="AA1130" s="1056"/>
      <c r="AB1130" s="1056"/>
      <c r="AC1130" s="1056"/>
      <c r="AD1130" s="1056"/>
      <c r="AE1130" s="1056"/>
      <c r="AF1130" s="264"/>
    </row>
    <row r="1131" spans="1:32" s="268" customFormat="1" ht="15" x14ac:dyDescent="0.25">
      <c r="A1131" s="264"/>
      <c r="B1131" s="264"/>
      <c r="C1131" s="1056"/>
      <c r="D1131" s="1056"/>
      <c r="E1131" s="1056"/>
      <c r="F1131" s="1056"/>
      <c r="G1131" s="1056"/>
      <c r="H1131" s="1056"/>
      <c r="I1131" s="1056"/>
      <c r="J1131" s="1056"/>
      <c r="K1131" s="1056"/>
      <c r="L1131" s="1056"/>
      <c r="M1131" s="274"/>
      <c r="P1131" s="264"/>
      <c r="Q1131" s="264"/>
      <c r="R1131" s="264"/>
      <c r="S1131" s="264"/>
      <c r="T1131" s="1056"/>
      <c r="U1131" s="1056"/>
      <c r="V1131" s="1056"/>
      <c r="W1131" s="1056"/>
      <c r="X1131" s="1056"/>
      <c r="Y1131" s="1056"/>
      <c r="Z1131" s="1056"/>
      <c r="AA1131" s="1056"/>
      <c r="AB1131" s="1056"/>
      <c r="AC1131" s="1056"/>
      <c r="AD1131" s="1056"/>
      <c r="AE1131" s="1056"/>
      <c r="AF1131" s="264"/>
    </row>
    <row r="1132" spans="1:32" s="268" customFormat="1" ht="15" x14ac:dyDescent="0.25">
      <c r="A1132" s="264"/>
      <c r="B1132" s="264"/>
      <c r="C1132" s="1056"/>
      <c r="D1132" s="1056"/>
      <c r="E1132" s="1056"/>
      <c r="F1132" s="1056"/>
      <c r="G1132" s="1056"/>
      <c r="H1132" s="1056"/>
      <c r="I1132" s="1056"/>
      <c r="J1132" s="1056"/>
      <c r="K1132" s="1056"/>
      <c r="L1132" s="1056"/>
      <c r="M1132" s="274"/>
      <c r="P1132" s="264"/>
      <c r="Q1132" s="264"/>
      <c r="R1132" s="264"/>
      <c r="S1132" s="264"/>
      <c r="T1132" s="1056"/>
      <c r="U1132" s="1056"/>
      <c r="V1132" s="1056"/>
      <c r="W1132" s="1056"/>
      <c r="X1132" s="1056"/>
      <c r="Y1132" s="1056"/>
      <c r="Z1132" s="1056"/>
      <c r="AA1132" s="1056"/>
      <c r="AB1132" s="1056"/>
      <c r="AC1132" s="1056"/>
      <c r="AD1132" s="1056"/>
      <c r="AE1132" s="1056"/>
      <c r="AF1132" s="264"/>
    </row>
    <row r="1133" spans="1:32" s="268" customFormat="1" ht="15" x14ac:dyDescent="0.25">
      <c r="A1133" s="264"/>
      <c r="B1133" s="264"/>
      <c r="C1133" s="1056"/>
      <c r="D1133" s="1056"/>
      <c r="E1133" s="1056"/>
      <c r="F1133" s="1056"/>
      <c r="G1133" s="1056"/>
      <c r="H1133" s="1056"/>
      <c r="I1133" s="1056"/>
      <c r="J1133" s="1056"/>
      <c r="K1133" s="1056"/>
      <c r="L1133" s="1056"/>
      <c r="M1133" s="274"/>
      <c r="P1133" s="264"/>
      <c r="Q1133" s="264"/>
      <c r="R1133" s="264"/>
      <c r="S1133" s="264"/>
      <c r="T1133" s="1056"/>
      <c r="U1133" s="1056"/>
      <c r="V1133" s="1056"/>
      <c r="W1133" s="1056"/>
      <c r="X1133" s="1056"/>
      <c r="Y1133" s="1056"/>
      <c r="Z1133" s="1056"/>
      <c r="AA1133" s="1056"/>
      <c r="AB1133" s="1056"/>
      <c r="AC1133" s="1056"/>
      <c r="AD1133" s="1056"/>
      <c r="AE1133" s="1056"/>
      <c r="AF1133" s="264"/>
    </row>
    <row r="1134" spans="1:32" s="268" customFormat="1" ht="15" x14ac:dyDescent="0.25">
      <c r="A1134" s="264"/>
      <c r="B1134" s="264"/>
      <c r="C1134" s="1056"/>
      <c r="D1134" s="1056"/>
      <c r="E1134" s="1056"/>
      <c r="F1134" s="1056"/>
      <c r="G1134" s="1056"/>
      <c r="H1134" s="1056"/>
      <c r="I1134" s="1056"/>
      <c r="J1134" s="1056"/>
      <c r="K1134" s="1056"/>
      <c r="L1134" s="1056"/>
      <c r="M1134" s="274"/>
      <c r="P1134" s="264"/>
      <c r="Q1134" s="264"/>
      <c r="R1134" s="264"/>
      <c r="S1134" s="264"/>
      <c r="T1134" s="1056"/>
      <c r="U1134" s="1056"/>
      <c r="V1134" s="1056"/>
      <c r="W1134" s="1056"/>
      <c r="X1134" s="1056"/>
      <c r="Y1134" s="1056"/>
      <c r="Z1134" s="1056"/>
      <c r="AA1134" s="1056"/>
      <c r="AB1134" s="1056"/>
      <c r="AC1134" s="1056"/>
      <c r="AD1134" s="1056"/>
      <c r="AE1134" s="1056"/>
      <c r="AF1134" s="264"/>
    </row>
    <row r="1135" spans="1:32" s="268" customFormat="1" ht="15" x14ac:dyDescent="0.25">
      <c r="A1135" s="264"/>
      <c r="B1135" s="264"/>
      <c r="C1135" s="1056"/>
      <c r="D1135" s="1056"/>
      <c r="E1135" s="1056"/>
      <c r="F1135" s="1056"/>
      <c r="G1135" s="1056"/>
      <c r="H1135" s="1056"/>
      <c r="I1135" s="1056"/>
      <c r="J1135" s="1056"/>
      <c r="K1135" s="1056"/>
      <c r="L1135" s="1056"/>
      <c r="M1135" s="274"/>
      <c r="P1135" s="264"/>
      <c r="Q1135" s="264"/>
      <c r="R1135" s="264"/>
      <c r="S1135" s="264"/>
      <c r="T1135" s="1056"/>
      <c r="U1135" s="1056"/>
      <c r="V1135" s="1056"/>
      <c r="W1135" s="1056"/>
      <c r="X1135" s="1056"/>
      <c r="Y1135" s="1056"/>
      <c r="Z1135" s="1056"/>
      <c r="AA1135" s="1056"/>
      <c r="AB1135" s="1056"/>
      <c r="AC1135" s="1056"/>
      <c r="AD1135" s="1056"/>
      <c r="AE1135" s="1056"/>
      <c r="AF1135" s="264"/>
    </row>
    <row r="1136" spans="1:32" s="268" customFormat="1" ht="15" x14ac:dyDescent="0.25">
      <c r="A1136" s="264"/>
      <c r="B1136" s="264"/>
      <c r="C1136" s="1056"/>
      <c r="D1136" s="1056"/>
      <c r="E1136" s="1056"/>
      <c r="F1136" s="1056"/>
      <c r="G1136" s="1056"/>
      <c r="H1136" s="1056"/>
      <c r="I1136" s="1056"/>
      <c r="J1136" s="1056"/>
      <c r="K1136" s="1056"/>
      <c r="L1136" s="1056"/>
      <c r="M1136" s="274"/>
      <c r="P1136" s="264"/>
      <c r="Q1136" s="264"/>
      <c r="R1136" s="264"/>
      <c r="S1136" s="264"/>
      <c r="T1136" s="1056"/>
      <c r="U1136" s="1056"/>
      <c r="V1136" s="1056"/>
      <c r="W1136" s="1056"/>
      <c r="X1136" s="1056"/>
      <c r="Y1136" s="1056"/>
      <c r="Z1136" s="1056"/>
      <c r="AA1136" s="1056"/>
      <c r="AB1136" s="1056"/>
      <c r="AC1136" s="1056"/>
      <c r="AD1136" s="1056"/>
      <c r="AE1136" s="1056"/>
      <c r="AF1136" s="264"/>
    </row>
    <row r="1137" spans="1:32" s="268" customFormat="1" ht="15" x14ac:dyDescent="0.25">
      <c r="A1137" s="264"/>
      <c r="B1137" s="264"/>
      <c r="C1137" s="1056"/>
      <c r="D1137" s="1056"/>
      <c r="E1137" s="1056"/>
      <c r="F1137" s="1056"/>
      <c r="G1137" s="1056"/>
      <c r="H1137" s="1056"/>
      <c r="I1137" s="1056"/>
      <c r="J1137" s="1056"/>
      <c r="K1137" s="1056"/>
      <c r="L1137" s="1056"/>
      <c r="M1137" s="274"/>
      <c r="P1137" s="264"/>
      <c r="Q1137" s="264"/>
      <c r="R1137" s="264"/>
      <c r="S1137" s="264"/>
      <c r="T1137" s="1056"/>
      <c r="U1137" s="1056"/>
      <c r="V1137" s="1056"/>
      <c r="W1137" s="1056"/>
      <c r="X1137" s="1056"/>
      <c r="Y1137" s="1056"/>
      <c r="Z1137" s="1056"/>
      <c r="AA1137" s="1056"/>
      <c r="AB1137" s="1056"/>
      <c r="AC1137" s="1056"/>
      <c r="AD1137" s="1056"/>
      <c r="AE1137" s="1056"/>
      <c r="AF1137" s="264"/>
    </row>
    <row r="1138" spans="1:32" s="268" customFormat="1" ht="15" x14ac:dyDescent="0.25">
      <c r="A1138" s="264"/>
      <c r="B1138" s="264"/>
      <c r="C1138" s="1056"/>
      <c r="D1138" s="1056"/>
      <c r="E1138" s="1056"/>
      <c r="F1138" s="1056"/>
      <c r="G1138" s="1056"/>
      <c r="H1138" s="1056"/>
      <c r="I1138" s="1056"/>
      <c r="J1138" s="1056"/>
      <c r="K1138" s="1056"/>
      <c r="L1138" s="1056"/>
      <c r="M1138" s="274"/>
      <c r="P1138" s="264"/>
      <c r="Q1138" s="264"/>
      <c r="R1138" s="264"/>
      <c r="S1138" s="264"/>
      <c r="T1138" s="1056"/>
      <c r="U1138" s="1056"/>
      <c r="V1138" s="1056"/>
      <c r="W1138" s="1056"/>
      <c r="X1138" s="1056"/>
      <c r="Y1138" s="1056"/>
      <c r="Z1138" s="1056"/>
      <c r="AA1138" s="1056"/>
      <c r="AB1138" s="1056"/>
      <c r="AC1138" s="1056"/>
      <c r="AD1138" s="1056"/>
      <c r="AE1138" s="1056"/>
      <c r="AF1138" s="264"/>
    </row>
    <row r="1139" spans="1:32" s="268" customFormat="1" ht="15" x14ac:dyDescent="0.25">
      <c r="A1139" s="264"/>
      <c r="B1139" s="264"/>
      <c r="C1139" s="1056"/>
      <c r="D1139" s="1056"/>
      <c r="E1139" s="1056"/>
      <c r="F1139" s="1056"/>
      <c r="G1139" s="1056"/>
      <c r="H1139" s="1056"/>
      <c r="I1139" s="1056"/>
      <c r="J1139" s="1056"/>
      <c r="K1139" s="1056"/>
      <c r="L1139" s="1056"/>
      <c r="M1139" s="274"/>
      <c r="P1139" s="264"/>
      <c r="Q1139" s="264"/>
      <c r="R1139" s="264"/>
      <c r="S1139" s="264"/>
      <c r="T1139" s="1056"/>
      <c r="U1139" s="1056"/>
      <c r="V1139" s="1056"/>
      <c r="W1139" s="1056"/>
      <c r="X1139" s="1056"/>
      <c r="Y1139" s="1056"/>
      <c r="Z1139" s="1056"/>
      <c r="AA1139" s="1056"/>
      <c r="AB1139" s="1056"/>
      <c r="AC1139" s="1056"/>
      <c r="AD1139" s="1056"/>
      <c r="AE1139" s="1056"/>
      <c r="AF1139" s="264"/>
    </row>
    <row r="1140" spans="1:32" s="268" customFormat="1" ht="15" x14ac:dyDescent="0.25">
      <c r="A1140" s="264"/>
      <c r="B1140" s="264"/>
      <c r="C1140" s="1056"/>
      <c r="D1140" s="1056"/>
      <c r="E1140" s="1056"/>
      <c r="F1140" s="1056"/>
      <c r="G1140" s="1056"/>
      <c r="H1140" s="1056"/>
      <c r="I1140" s="1056"/>
      <c r="J1140" s="1056"/>
      <c r="K1140" s="1056"/>
      <c r="L1140" s="1056"/>
      <c r="M1140" s="274"/>
      <c r="P1140" s="264"/>
      <c r="Q1140" s="264"/>
      <c r="R1140" s="264"/>
      <c r="S1140" s="264"/>
      <c r="T1140" s="1056"/>
      <c r="U1140" s="1056"/>
      <c r="V1140" s="1056"/>
      <c r="W1140" s="1056"/>
      <c r="X1140" s="1056"/>
      <c r="Y1140" s="1056"/>
      <c r="Z1140" s="1056"/>
      <c r="AA1140" s="1056"/>
      <c r="AB1140" s="1056"/>
      <c r="AC1140" s="1056"/>
      <c r="AD1140" s="1056"/>
      <c r="AE1140" s="1056"/>
      <c r="AF1140" s="264"/>
    </row>
    <row r="1141" spans="1:32" s="268" customFormat="1" ht="15" x14ac:dyDescent="0.25">
      <c r="A1141" s="264"/>
      <c r="B1141" s="264"/>
      <c r="C1141" s="1056"/>
      <c r="D1141" s="1056"/>
      <c r="E1141" s="1056"/>
      <c r="F1141" s="1056"/>
      <c r="G1141" s="1056"/>
      <c r="H1141" s="1056"/>
      <c r="I1141" s="1056"/>
      <c r="J1141" s="1056"/>
      <c r="K1141" s="1056"/>
      <c r="L1141" s="1056"/>
      <c r="M1141" s="274"/>
      <c r="P1141" s="264"/>
      <c r="Q1141" s="264"/>
      <c r="R1141" s="264"/>
      <c r="S1141" s="264"/>
      <c r="T1141" s="1056"/>
      <c r="U1141" s="1056"/>
      <c r="V1141" s="1056"/>
      <c r="W1141" s="1056"/>
      <c r="X1141" s="1056"/>
      <c r="Y1141" s="1056"/>
      <c r="Z1141" s="1056"/>
      <c r="AA1141" s="1056"/>
      <c r="AB1141" s="1056"/>
      <c r="AC1141" s="1056"/>
      <c r="AD1141" s="1056"/>
      <c r="AE1141" s="1056"/>
      <c r="AF1141" s="264"/>
    </row>
    <row r="1142" spans="1:32" s="268" customFormat="1" ht="15" x14ac:dyDescent="0.25">
      <c r="A1142" s="264"/>
      <c r="B1142" s="264"/>
      <c r="C1142" s="1056"/>
      <c r="D1142" s="1056"/>
      <c r="E1142" s="1056"/>
      <c r="F1142" s="1056"/>
      <c r="G1142" s="1056"/>
      <c r="H1142" s="1056"/>
      <c r="I1142" s="1056"/>
      <c r="J1142" s="1056"/>
      <c r="K1142" s="1056"/>
      <c r="L1142" s="1056"/>
      <c r="M1142" s="274"/>
      <c r="P1142" s="264"/>
      <c r="Q1142" s="264"/>
      <c r="R1142" s="264"/>
      <c r="S1142" s="264"/>
      <c r="T1142" s="1056"/>
      <c r="U1142" s="1056"/>
      <c r="V1142" s="1056"/>
      <c r="W1142" s="1056"/>
      <c r="X1142" s="1056"/>
      <c r="Y1142" s="1056"/>
      <c r="Z1142" s="1056"/>
      <c r="AA1142" s="1056"/>
      <c r="AB1142" s="1056"/>
      <c r="AC1142" s="1056"/>
      <c r="AD1142" s="1056"/>
      <c r="AE1142" s="1056"/>
      <c r="AF1142" s="264"/>
    </row>
    <row r="1143" spans="1:32" s="268" customFormat="1" ht="15" x14ac:dyDescent="0.25">
      <c r="A1143" s="264"/>
      <c r="B1143" s="264"/>
      <c r="C1143" s="1056"/>
      <c r="D1143" s="1056"/>
      <c r="E1143" s="1056"/>
      <c r="F1143" s="1056"/>
      <c r="G1143" s="1056"/>
      <c r="H1143" s="1056"/>
      <c r="I1143" s="1056"/>
      <c r="J1143" s="1056"/>
      <c r="K1143" s="1056"/>
      <c r="L1143" s="1056"/>
      <c r="M1143" s="274"/>
      <c r="P1143" s="264"/>
      <c r="Q1143" s="264"/>
      <c r="R1143" s="264"/>
      <c r="S1143" s="264"/>
      <c r="T1143" s="1056"/>
      <c r="U1143" s="1056"/>
      <c r="V1143" s="1056"/>
      <c r="W1143" s="1056"/>
      <c r="X1143" s="1056"/>
      <c r="Y1143" s="1056"/>
      <c r="Z1143" s="1056"/>
      <c r="AA1143" s="1056"/>
      <c r="AB1143" s="1056"/>
      <c r="AC1143" s="1056"/>
      <c r="AD1143" s="1056"/>
      <c r="AE1143" s="1056"/>
      <c r="AF1143" s="264"/>
    </row>
    <row r="1144" spans="1:32" s="268" customFormat="1" ht="15" x14ac:dyDescent="0.25">
      <c r="A1144" s="264"/>
      <c r="B1144" s="264"/>
      <c r="C1144" s="1056"/>
      <c r="D1144" s="1056"/>
      <c r="E1144" s="1056"/>
      <c r="F1144" s="1056"/>
      <c r="G1144" s="1056"/>
      <c r="H1144" s="1056"/>
      <c r="I1144" s="1056"/>
      <c r="J1144" s="1056"/>
      <c r="K1144" s="1056"/>
      <c r="L1144" s="1056"/>
      <c r="M1144" s="274"/>
      <c r="P1144" s="264"/>
      <c r="Q1144" s="264"/>
      <c r="R1144" s="264"/>
      <c r="S1144" s="264"/>
      <c r="T1144" s="1056"/>
      <c r="U1144" s="1056"/>
      <c r="V1144" s="1056"/>
      <c r="W1144" s="1056"/>
      <c r="X1144" s="1056"/>
      <c r="Y1144" s="1056"/>
      <c r="Z1144" s="1056"/>
      <c r="AA1144" s="1056"/>
      <c r="AB1144" s="1056"/>
      <c r="AC1144" s="1056"/>
      <c r="AD1144" s="1056"/>
      <c r="AE1144" s="1056"/>
      <c r="AF1144" s="264"/>
    </row>
    <row r="1145" spans="1:32" s="268" customFormat="1" ht="15" x14ac:dyDescent="0.25">
      <c r="A1145" s="264"/>
      <c r="B1145" s="264"/>
      <c r="C1145" s="1056"/>
      <c r="D1145" s="1056"/>
      <c r="E1145" s="1056"/>
      <c r="F1145" s="1056"/>
      <c r="G1145" s="1056"/>
      <c r="H1145" s="1056"/>
      <c r="I1145" s="1056"/>
      <c r="J1145" s="1056"/>
      <c r="K1145" s="1056"/>
      <c r="L1145" s="1056"/>
      <c r="M1145" s="274"/>
      <c r="P1145" s="264"/>
      <c r="Q1145" s="264"/>
      <c r="R1145" s="264"/>
      <c r="S1145" s="264"/>
      <c r="T1145" s="1056"/>
      <c r="U1145" s="1056"/>
      <c r="V1145" s="1056"/>
      <c r="W1145" s="1056"/>
      <c r="X1145" s="1056"/>
      <c r="Y1145" s="1056"/>
      <c r="Z1145" s="1056"/>
      <c r="AA1145" s="1056"/>
      <c r="AB1145" s="1056"/>
      <c r="AC1145" s="1056"/>
      <c r="AD1145" s="1056"/>
      <c r="AE1145" s="1056"/>
      <c r="AF1145" s="264"/>
    </row>
    <row r="1146" spans="1:32" s="268" customFormat="1" ht="15" x14ac:dyDescent="0.25">
      <c r="A1146" s="264"/>
      <c r="B1146" s="264"/>
      <c r="C1146" s="1056"/>
      <c r="D1146" s="1056"/>
      <c r="E1146" s="1056"/>
      <c r="F1146" s="1056"/>
      <c r="G1146" s="1056"/>
      <c r="H1146" s="1056"/>
      <c r="I1146" s="1056"/>
      <c r="J1146" s="1056"/>
      <c r="K1146" s="1056"/>
      <c r="L1146" s="1056"/>
      <c r="M1146" s="274"/>
      <c r="P1146" s="264"/>
      <c r="Q1146" s="264"/>
      <c r="R1146" s="264"/>
      <c r="S1146" s="264"/>
      <c r="T1146" s="1056"/>
      <c r="U1146" s="1056"/>
      <c r="V1146" s="1056"/>
      <c r="W1146" s="1056"/>
      <c r="X1146" s="1056"/>
      <c r="Y1146" s="1056"/>
      <c r="Z1146" s="1056"/>
      <c r="AA1146" s="1056"/>
      <c r="AB1146" s="1056"/>
      <c r="AC1146" s="1056"/>
      <c r="AD1146" s="1056"/>
      <c r="AE1146" s="1056"/>
      <c r="AF1146" s="264"/>
    </row>
    <row r="1147" spans="1:32" s="268" customFormat="1" ht="15" x14ac:dyDescent="0.25">
      <c r="A1147" s="264"/>
      <c r="B1147" s="264"/>
      <c r="C1147" s="1056"/>
      <c r="D1147" s="1056"/>
      <c r="E1147" s="1056"/>
      <c r="F1147" s="1056"/>
      <c r="G1147" s="1056"/>
      <c r="H1147" s="1056"/>
      <c r="I1147" s="1056"/>
      <c r="J1147" s="1056"/>
      <c r="K1147" s="1056"/>
      <c r="L1147" s="1056"/>
      <c r="M1147" s="274"/>
      <c r="P1147" s="264"/>
      <c r="Q1147" s="264"/>
      <c r="R1147" s="264"/>
      <c r="S1147" s="264"/>
      <c r="T1147" s="1056"/>
      <c r="U1147" s="1056"/>
      <c r="V1147" s="1056"/>
      <c r="W1147" s="1056"/>
      <c r="X1147" s="1056"/>
      <c r="Y1147" s="1056"/>
      <c r="Z1147" s="1056"/>
      <c r="AA1147" s="1056"/>
      <c r="AB1147" s="1056"/>
      <c r="AC1147" s="1056"/>
      <c r="AD1147" s="1056"/>
      <c r="AE1147" s="1056"/>
      <c r="AF1147" s="264"/>
    </row>
    <row r="1148" spans="1:32" s="268" customFormat="1" ht="15" x14ac:dyDescent="0.25">
      <c r="A1148" s="264"/>
      <c r="B1148" s="264"/>
      <c r="C1148" s="1056"/>
      <c r="D1148" s="1056"/>
      <c r="E1148" s="1056"/>
      <c r="F1148" s="1056"/>
      <c r="G1148" s="1056"/>
      <c r="H1148" s="1056"/>
      <c r="I1148" s="1056"/>
      <c r="J1148" s="1056"/>
      <c r="K1148" s="1056"/>
      <c r="L1148" s="1056"/>
      <c r="M1148" s="274"/>
      <c r="P1148" s="264"/>
      <c r="Q1148" s="264"/>
      <c r="R1148" s="264"/>
      <c r="S1148" s="264"/>
      <c r="T1148" s="1056"/>
      <c r="U1148" s="1056"/>
      <c r="V1148" s="1056"/>
      <c r="W1148" s="1056"/>
      <c r="X1148" s="1056"/>
      <c r="Y1148" s="1056"/>
      <c r="Z1148" s="1056"/>
      <c r="AA1148" s="1056"/>
      <c r="AB1148" s="1056"/>
      <c r="AC1148" s="1056"/>
      <c r="AD1148" s="1056"/>
      <c r="AE1148" s="1056"/>
      <c r="AF1148" s="264"/>
    </row>
    <row r="1149" spans="1:32" s="268" customFormat="1" ht="15" x14ac:dyDescent="0.25">
      <c r="A1149" s="264"/>
      <c r="B1149" s="264"/>
      <c r="C1149" s="1056"/>
      <c r="D1149" s="1056"/>
      <c r="E1149" s="1056"/>
      <c r="F1149" s="1056"/>
      <c r="G1149" s="1056"/>
      <c r="H1149" s="1056"/>
      <c r="I1149" s="1056"/>
      <c r="J1149" s="1056"/>
      <c r="K1149" s="1056"/>
      <c r="L1149" s="1056"/>
      <c r="M1149" s="274"/>
      <c r="P1149" s="264"/>
      <c r="Q1149" s="264"/>
      <c r="R1149" s="264"/>
      <c r="S1149" s="264"/>
      <c r="T1149" s="1056"/>
      <c r="U1149" s="1056"/>
      <c r="V1149" s="1056"/>
      <c r="W1149" s="1056"/>
      <c r="X1149" s="1056"/>
      <c r="Y1149" s="1056"/>
      <c r="Z1149" s="1056"/>
      <c r="AA1149" s="1056"/>
      <c r="AB1149" s="1056"/>
      <c r="AC1149" s="1056"/>
      <c r="AD1149" s="1056"/>
      <c r="AE1149" s="1056"/>
      <c r="AF1149" s="264"/>
    </row>
    <row r="1150" spans="1:32" s="268" customFormat="1" ht="15" x14ac:dyDescent="0.25">
      <c r="A1150" s="264"/>
      <c r="B1150" s="264"/>
      <c r="C1150" s="1056"/>
      <c r="D1150" s="1056"/>
      <c r="E1150" s="1056"/>
      <c r="F1150" s="1056"/>
      <c r="G1150" s="1056"/>
      <c r="H1150" s="1056"/>
      <c r="I1150" s="1056"/>
      <c r="J1150" s="1056"/>
      <c r="K1150" s="1056"/>
      <c r="L1150" s="1056"/>
      <c r="M1150" s="274"/>
      <c r="P1150" s="264"/>
      <c r="Q1150" s="264"/>
      <c r="R1150" s="264"/>
      <c r="S1150" s="264"/>
      <c r="T1150" s="1056"/>
      <c r="U1150" s="1056"/>
      <c r="V1150" s="1056"/>
      <c r="W1150" s="1056"/>
      <c r="X1150" s="1056"/>
      <c r="Y1150" s="1056"/>
      <c r="Z1150" s="1056"/>
      <c r="AA1150" s="1056"/>
      <c r="AB1150" s="1056"/>
      <c r="AC1150" s="1056"/>
      <c r="AD1150" s="1056"/>
      <c r="AE1150" s="1056"/>
      <c r="AF1150" s="264"/>
    </row>
    <row r="1151" spans="1:32" s="268" customFormat="1" ht="15" x14ac:dyDescent="0.25">
      <c r="A1151" s="264"/>
      <c r="B1151" s="264"/>
      <c r="C1151" s="1056"/>
      <c r="D1151" s="1056"/>
      <c r="E1151" s="1056"/>
      <c r="F1151" s="1056"/>
      <c r="G1151" s="1056"/>
      <c r="H1151" s="1056"/>
      <c r="I1151" s="1056"/>
      <c r="J1151" s="1056"/>
      <c r="K1151" s="1056"/>
      <c r="L1151" s="1056"/>
      <c r="M1151" s="274"/>
      <c r="P1151" s="264"/>
      <c r="Q1151" s="264"/>
      <c r="R1151" s="264"/>
      <c r="S1151" s="264"/>
      <c r="T1151" s="1056"/>
      <c r="U1151" s="1056"/>
      <c r="V1151" s="1056"/>
      <c r="W1151" s="1056"/>
      <c r="X1151" s="1056"/>
      <c r="Y1151" s="1056"/>
      <c r="Z1151" s="1056"/>
      <c r="AA1151" s="1056"/>
      <c r="AB1151" s="1056"/>
      <c r="AC1151" s="1056"/>
      <c r="AD1151" s="1056"/>
      <c r="AE1151" s="1056"/>
      <c r="AF1151" s="264"/>
    </row>
    <row r="1152" spans="1:32" s="268" customFormat="1" ht="15" x14ac:dyDescent="0.25">
      <c r="A1152" s="264"/>
      <c r="B1152" s="264"/>
      <c r="C1152" s="1056"/>
      <c r="D1152" s="1056"/>
      <c r="E1152" s="1056"/>
      <c r="F1152" s="1056"/>
      <c r="G1152" s="1056"/>
      <c r="H1152" s="1056"/>
      <c r="I1152" s="1056"/>
      <c r="J1152" s="1056"/>
      <c r="K1152" s="1056"/>
      <c r="L1152" s="1056"/>
      <c r="M1152" s="274"/>
      <c r="P1152" s="264"/>
      <c r="Q1152" s="264"/>
      <c r="R1152" s="264"/>
      <c r="S1152" s="264"/>
      <c r="T1152" s="1056"/>
      <c r="U1152" s="1056"/>
      <c r="V1152" s="1056"/>
      <c r="W1152" s="1056"/>
      <c r="X1152" s="1056"/>
      <c r="Y1152" s="1056"/>
      <c r="Z1152" s="1056"/>
      <c r="AA1152" s="1056"/>
      <c r="AB1152" s="1056"/>
      <c r="AC1152" s="1056"/>
      <c r="AD1152" s="1056"/>
      <c r="AE1152" s="1056"/>
      <c r="AF1152" s="264"/>
    </row>
    <row r="1153" spans="1:32" s="268" customFormat="1" ht="15" x14ac:dyDescent="0.25">
      <c r="A1153" s="264"/>
      <c r="B1153" s="264"/>
      <c r="C1153" s="1056"/>
      <c r="D1153" s="1056"/>
      <c r="E1153" s="1056"/>
      <c r="F1153" s="1056"/>
      <c r="G1153" s="1056"/>
      <c r="H1153" s="1056"/>
      <c r="I1153" s="1056"/>
      <c r="J1153" s="1056"/>
      <c r="K1153" s="1056"/>
      <c r="L1153" s="1056"/>
      <c r="M1153" s="274"/>
      <c r="P1153" s="264"/>
      <c r="Q1153" s="264"/>
      <c r="R1153" s="264"/>
      <c r="S1153" s="264"/>
      <c r="T1153" s="1056"/>
      <c r="U1153" s="1056"/>
      <c r="V1153" s="1056"/>
      <c r="W1153" s="1056"/>
      <c r="X1153" s="1056"/>
      <c r="Y1153" s="1056"/>
      <c r="Z1153" s="1056"/>
      <c r="AA1153" s="1056"/>
      <c r="AB1153" s="1056"/>
      <c r="AC1153" s="1056"/>
      <c r="AD1153" s="1056"/>
      <c r="AE1153" s="1056"/>
      <c r="AF1153" s="264"/>
    </row>
    <row r="1154" spans="1:32" s="268" customFormat="1" ht="15" x14ac:dyDescent="0.25">
      <c r="A1154" s="264"/>
      <c r="B1154" s="264"/>
      <c r="C1154" s="1056"/>
      <c r="D1154" s="1056"/>
      <c r="E1154" s="1056"/>
      <c r="F1154" s="1056"/>
      <c r="G1154" s="1056"/>
      <c r="H1154" s="1056"/>
      <c r="I1154" s="1056"/>
      <c r="J1154" s="1056"/>
      <c r="K1154" s="1056"/>
      <c r="L1154" s="1056"/>
      <c r="M1154" s="274"/>
      <c r="P1154" s="264"/>
      <c r="Q1154" s="264"/>
      <c r="R1154" s="264"/>
      <c r="S1154" s="264"/>
      <c r="T1154" s="1056"/>
      <c r="U1154" s="1056"/>
      <c r="V1154" s="1056"/>
      <c r="W1154" s="1056"/>
      <c r="X1154" s="1056"/>
      <c r="Y1154" s="1056"/>
      <c r="Z1154" s="1056"/>
      <c r="AA1154" s="1056"/>
      <c r="AB1154" s="1056"/>
      <c r="AC1154" s="1056"/>
      <c r="AD1154" s="1056"/>
      <c r="AE1154" s="1056"/>
      <c r="AF1154" s="264"/>
    </row>
    <row r="1155" spans="1:32" s="268" customFormat="1" ht="15" x14ac:dyDescent="0.25">
      <c r="A1155" s="264"/>
      <c r="B1155" s="264"/>
      <c r="C1155" s="1056"/>
      <c r="D1155" s="1056"/>
      <c r="E1155" s="1056"/>
      <c r="F1155" s="1056"/>
      <c r="G1155" s="1056"/>
      <c r="H1155" s="1056"/>
      <c r="I1155" s="1056"/>
      <c r="J1155" s="1056"/>
      <c r="K1155" s="1056"/>
      <c r="L1155" s="1056"/>
      <c r="M1155" s="274"/>
      <c r="P1155" s="264"/>
      <c r="Q1155" s="264"/>
      <c r="R1155" s="264"/>
      <c r="S1155" s="264"/>
      <c r="T1155" s="1056"/>
      <c r="U1155" s="1056"/>
      <c r="V1155" s="1056"/>
      <c r="W1155" s="1056"/>
      <c r="X1155" s="1056"/>
      <c r="Y1155" s="1056"/>
      <c r="Z1155" s="1056"/>
      <c r="AA1155" s="1056"/>
      <c r="AB1155" s="1056"/>
      <c r="AC1155" s="1056"/>
      <c r="AD1155" s="1056"/>
      <c r="AE1155" s="1056"/>
      <c r="AF1155" s="264"/>
    </row>
    <row r="1156" spans="1:32" s="268" customFormat="1" ht="15" x14ac:dyDescent="0.25">
      <c r="A1156" s="264"/>
      <c r="B1156" s="264"/>
      <c r="C1156" s="1056"/>
      <c r="D1156" s="1056"/>
      <c r="E1156" s="1056"/>
      <c r="F1156" s="1056"/>
      <c r="G1156" s="1056"/>
      <c r="H1156" s="1056"/>
      <c r="I1156" s="1056"/>
      <c r="J1156" s="1056"/>
      <c r="K1156" s="1056"/>
      <c r="L1156" s="1056"/>
      <c r="M1156" s="274"/>
      <c r="P1156" s="264"/>
      <c r="Q1156" s="264"/>
      <c r="R1156" s="264"/>
      <c r="S1156" s="264"/>
      <c r="T1156" s="1056"/>
      <c r="U1156" s="1056"/>
      <c r="V1156" s="1056"/>
      <c r="W1156" s="1056"/>
      <c r="X1156" s="1056"/>
      <c r="Y1156" s="1056"/>
      <c r="Z1156" s="1056"/>
      <c r="AA1156" s="1056"/>
      <c r="AB1156" s="1056"/>
      <c r="AC1156" s="1056"/>
      <c r="AD1156" s="1056"/>
      <c r="AE1156" s="1056"/>
      <c r="AF1156" s="264"/>
    </row>
    <row r="1157" spans="1:32" s="268" customFormat="1" ht="15" x14ac:dyDescent="0.25">
      <c r="A1157" s="264"/>
      <c r="B1157" s="264"/>
      <c r="C1157" s="1056"/>
      <c r="D1157" s="1056"/>
      <c r="E1157" s="1056"/>
      <c r="F1157" s="1056"/>
      <c r="G1157" s="1056"/>
      <c r="H1157" s="1056"/>
      <c r="I1157" s="1056"/>
      <c r="J1157" s="1056"/>
      <c r="K1157" s="1056"/>
      <c r="L1157" s="1056"/>
      <c r="M1157" s="274"/>
      <c r="P1157" s="264"/>
      <c r="Q1157" s="264"/>
      <c r="R1157" s="264"/>
      <c r="S1157" s="264"/>
      <c r="T1157" s="1056"/>
      <c r="U1157" s="1056"/>
      <c r="V1157" s="1056"/>
      <c r="W1157" s="1056"/>
      <c r="X1157" s="1056"/>
      <c r="Y1157" s="1056"/>
      <c r="Z1157" s="1056"/>
      <c r="AA1157" s="1056"/>
      <c r="AB1157" s="1056"/>
      <c r="AC1157" s="1056"/>
      <c r="AD1157" s="1056"/>
      <c r="AE1157" s="1056"/>
      <c r="AF1157" s="264"/>
    </row>
    <row r="1158" spans="1:32" s="268" customFormat="1" ht="15" x14ac:dyDescent="0.25">
      <c r="A1158" s="264"/>
      <c r="B1158" s="264"/>
      <c r="C1158" s="1056"/>
      <c r="D1158" s="1056"/>
      <c r="E1158" s="1056"/>
      <c r="F1158" s="1056"/>
      <c r="G1158" s="1056"/>
      <c r="H1158" s="1056"/>
      <c r="I1158" s="1056"/>
      <c r="J1158" s="1056"/>
      <c r="K1158" s="1056"/>
      <c r="L1158" s="1056"/>
      <c r="M1158" s="274"/>
      <c r="P1158" s="264"/>
      <c r="Q1158" s="264"/>
      <c r="R1158" s="264"/>
      <c r="S1158" s="264"/>
      <c r="T1158" s="1056"/>
      <c r="U1158" s="1056"/>
      <c r="V1158" s="1056"/>
      <c r="W1158" s="1056"/>
      <c r="X1158" s="1056"/>
      <c r="Y1158" s="1056"/>
      <c r="Z1158" s="1056"/>
      <c r="AA1158" s="1056"/>
      <c r="AB1158" s="1056"/>
      <c r="AC1158" s="1056"/>
      <c r="AD1158" s="1056"/>
      <c r="AE1158" s="1056"/>
      <c r="AF1158" s="264"/>
    </row>
    <row r="1159" spans="1:32" s="268" customFormat="1" ht="15" x14ac:dyDescent="0.25">
      <c r="A1159" s="264"/>
      <c r="B1159" s="264"/>
      <c r="C1159" s="1056"/>
      <c r="D1159" s="1056"/>
      <c r="E1159" s="1056"/>
      <c r="F1159" s="1056"/>
      <c r="G1159" s="1056"/>
      <c r="H1159" s="1056"/>
      <c r="I1159" s="1056"/>
      <c r="J1159" s="1056"/>
      <c r="K1159" s="1056"/>
      <c r="L1159" s="1056"/>
      <c r="M1159" s="274"/>
      <c r="P1159" s="264"/>
      <c r="Q1159" s="264"/>
      <c r="R1159" s="264"/>
      <c r="S1159" s="264"/>
      <c r="T1159" s="1056"/>
      <c r="U1159" s="1056"/>
      <c r="V1159" s="1056"/>
      <c r="W1159" s="1056"/>
      <c r="X1159" s="1056"/>
      <c r="Y1159" s="1056"/>
      <c r="Z1159" s="1056"/>
      <c r="AA1159" s="1056"/>
      <c r="AB1159" s="1056"/>
      <c r="AC1159" s="1056"/>
      <c r="AD1159" s="1056"/>
      <c r="AE1159" s="1056"/>
      <c r="AF1159" s="264"/>
    </row>
    <row r="1160" spans="1:32" s="268" customFormat="1" ht="15" x14ac:dyDescent="0.25">
      <c r="A1160" s="264"/>
      <c r="B1160" s="264"/>
      <c r="C1160" s="1056"/>
      <c r="D1160" s="1056"/>
      <c r="E1160" s="1056"/>
      <c r="F1160" s="1056"/>
      <c r="G1160" s="1056"/>
      <c r="H1160" s="1056"/>
      <c r="I1160" s="1056"/>
      <c r="J1160" s="1056"/>
      <c r="K1160" s="1056"/>
      <c r="L1160" s="1056"/>
      <c r="M1160" s="274"/>
      <c r="P1160" s="264"/>
      <c r="Q1160" s="264"/>
      <c r="R1160" s="264"/>
      <c r="S1160" s="264"/>
      <c r="T1160" s="1056"/>
      <c r="U1160" s="1056"/>
      <c r="V1160" s="1056"/>
      <c r="W1160" s="1056"/>
      <c r="X1160" s="1056"/>
      <c r="Y1160" s="1056"/>
      <c r="Z1160" s="1056"/>
      <c r="AA1160" s="1056"/>
      <c r="AB1160" s="1056"/>
      <c r="AC1160" s="1056"/>
      <c r="AD1160" s="1056"/>
      <c r="AE1160" s="1056"/>
      <c r="AF1160" s="264"/>
    </row>
    <row r="1161" spans="1:32" s="268" customFormat="1" ht="15" x14ac:dyDescent="0.25">
      <c r="A1161" s="264"/>
      <c r="B1161" s="264"/>
      <c r="C1161" s="1056"/>
      <c r="D1161" s="1056"/>
      <c r="E1161" s="1056"/>
      <c r="F1161" s="1056"/>
      <c r="G1161" s="1056"/>
      <c r="H1161" s="1056"/>
      <c r="I1161" s="1056"/>
      <c r="J1161" s="1056"/>
      <c r="K1161" s="1056"/>
      <c r="L1161" s="1056"/>
      <c r="M1161" s="274"/>
      <c r="P1161" s="264"/>
      <c r="Q1161" s="264"/>
      <c r="R1161" s="264"/>
      <c r="S1161" s="264"/>
      <c r="T1161" s="1056"/>
      <c r="U1161" s="1056"/>
      <c r="V1161" s="1056"/>
      <c r="W1161" s="1056"/>
      <c r="X1161" s="1056"/>
      <c r="Y1161" s="1056"/>
      <c r="Z1161" s="1056"/>
      <c r="AA1161" s="1056"/>
      <c r="AB1161" s="1056"/>
      <c r="AC1161" s="1056"/>
      <c r="AD1161" s="1056"/>
      <c r="AE1161" s="1056"/>
      <c r="AF1161" s="264"/>
    </row>
    <row r="1162" spans="1:32" s="268" customFormat="1" ht="15" x14ac:dyDescent="0.25">
      <c r="A1162" s="264"/>
      <c r="B1162" s="264"/>
      <c r="C1162" s="1056"/>
      <c r="D1162" s="1056"/>
      <c r="E1162" s="1056"/>
      <c r="F1162" s="1056"/>
      <c r="G1162" s="1056"/>
      <c r="H1162" s="1056"/>
      <c r="I1162" s="1056"/>
      <c r="J1162" s="1056"/>
      <c r="K1162" s="1056"/>
      <c r="L1162" s="1056"/>
      <c r="M1162" s="274"/>
      <c r="P1162" s="264"/>
      <c r="Q1162" s="264"/>
      <c r="R1162" s="264"/>
      <c r="S1162" s="264"/>
      <c r="T1162" s="1056"/>
      <c r="U1162" s="1056"/>
      <c r="V1162" s="1056"/>
      <c r="W1162" s="1056"/>
      <c r="X1162" s="1056"/>
      <c r="Y1162" s="1056"/>
      <c r="Z1162" s="1056"/>
      <c r="AA1162" s="1056"/>
      <c r="AB1162" s="1056"/>
      <c r="AC1162" s="1056"/>
      <c r="AD1162" s="1056"/>
      <c r="AE1162" s="1056"/>
      <c r="AF1162" s="264"/>
    </row>
    <row r="1163" spans="1:32" s="268" customFormat="1" ht="15" x14ac:dyDescent="0.25">
      <c r="A1163" s="264"/>
      <c r="B1163" s="264"/>
      <c r="C1163" s="1056"/>
      <c r="D1163" s="1056"/>
      <c r="E1163" s="1056"/>
      <c r="F1163" s="1056"/>
      <c r="G1163" s="1056"/>
      <c r="H1163" s="1056"/>
      <c r="I1163" s="1056"/>
      <c r="J1163" s="1056"/>
      <c r="K1163" s="1056"/>
      <c r="L1163" s="1056"/>
      <c r="M1163" s="274"/>
      <c r="P1163" s="264"/>
      <c r="Q1163" s="264"/>
      <c r="R1163" s="264"/>
      <c r="S1163" s="264"/>
      <c r="T1163" s="1056"/>
      <c r="U1163" s="1056"/>
      <c r="V1163" s="1056"/>
      <c r="W1163" s="1056"/>
      <c r="X1163" s="1056"/>
      <c r="Y1163" s="1056"/>
      <c r="Z1163" s="1056"/>
      <c r="AA1163" s="1056"/>
      <c r="AB1163" s="1056"/>
      <c r="AC1163" s="1056"/>
      <c r="AD1163" s="1056"/>
      <c r="AE1163" s="1056"/>
      <c r="AF1163" s="264"/>
    </row>
    <row r="1164" spans="1:32" s="268" customFormat="1" ht="15" x14ac:dyDescent="0.25">
      <c r="A1164" s="264"/>
      <c r="B1164" s="264"/>
      <c r="C1164" s="1056"/>
      <c r="D1164" s="1056"/>
      <c r="E1164" s="1056"/>
      <c r="F1164" s="1056"/>
      <c r="G1164" s="1056"/>
      <c r="H1164" s="1056"/>
      <c r="I1164" s="1056"/>
      <c r="J1164" s="1056"/>
      <c r="K1164" s="1056"/>
      <c r="L1164" s="1056"/>
      <c r="M1164" s="274"/>
      <c r="P1164" s="264"/>
      <c r="Q1164" s="264"/>
      <c r="R1164" s="264"/>
      <c r="S1164" s="264"/>
      <c r="T1164" s="1056"/>
      <c r="U1164" s="1056"/>
      <c r="V1164" s="1056"/>
      <c r="W1164" s="1056"/>
      <c r="X1164" s="1056"/>
      <c r="Y1164" s="1056"/>
      <c r="Z1164" s="1056"/>
      <c r="AA1164" s="1056"/>
      <c r="AB1164" s="1056"/>
      <c r="AC1164" s="1056"/>
      <c r="AD1164" s="1056"/>
      <c r="AE1164" s="1056"/>
      <c r="AF1164" s="264"/>
    </row>
    <row r="1165" spans="1:32" s="268" customFormat="1" ht="15" x14ac:dyDescent="0.25">
      <c r="A1165" s="264"/>
      <c r="B1165" s="264"/>
      <c r="C1165" s="1056"/>
      <c r="D1165" s="1056"/>
      <c r="E1165" s="1056"/>
      <c r="F1165" s="1056"/>
      <c r="G1165" s="1056"/>
      <c r="H1165" s="1056"/>
      <c r="I1165" s="1056"/>
      <c r="J1165" s="1056"/>
      <c r="K1165" s="1056"/>
      <c r="L1165" s="1056"/>
      <c r="M1165" s="274"/>
      <c r="P1165" s="264"/>
      <c r="Q1165" s="264"/>
      <c r="R1165" s="264"/>
      <c r="S1165" s="264"/>
      <c r="T1165" s="1056"/>
      <c r="U1165" s="1056"/>
      <c r="V1165" s="1056"/>
      <c r="W1165" s="1056"/>
      <c r="X1165" s="1056"/>
      <c r="Y1165" s="1056"/>
      <c r="Z1165" s="1056"/>
      <c r="AA1165" s="1056"/>
      <c r="AB1165" s="1056"/>
      <c r="AC1165" s="1056"/>
      <c r="AD1165" s="1056"/>
      <c r="AE1165" s="1056"/>
      <c r="AF1165" s="264"/>
    </row>
    <row r="1166" spans="1:32" s="268" customFormat="1" ht="15" x14ac:dyDescent="0.25">
      <c r="A1166" s="264"/>
      <c r="B1166" s="264"/>
      <c r="C1166" s="1056"/>
      <c r="D1166" s="1056"/>
      <c r="E1166" s="1056"/>
      <c r="F1166" s="1056"/>
      <c r="G1166" s="1056"/>
      <c r="H1166" s="1056"/>
      <c r="I1166" s="1056"/>
      <c r="J1166" s="1056"/>
      <c r="K1166" s="1056"/>
      <c r="L1166" s="1056"/>
      <c r="M1166" s="274"/>
      <c r="P1166" s="264"/>
      <c r="Q1166" s="264"/>
      <c r="R1166" s="264"/>
      <c r="S1166" s="264"/>
      <c r="T1166" s="1056"/>
      <c r="U1166" s="1056"/>
      <c r="V1166" s="1056"/>
      <c r="W1166" s="1056"/>
      <c r="X1166" s="1056"/>
      <c r="Y1166" s="1056"/>
      <c r="Z1166" s="1056"/>
      <c r="AA1166" s="1056"/>
      <c r="AB1166" s="1056"/>
      <c r="AC1166" s="1056"/>
      <c r="AD1166" s="1056"/>
      <c r="AE1166" s="1056"/>
      <c r="AF1166" s="264"/>
    </row>
    <row r="1167" spans="1:32" s="268" customFormat="1" ht="15" x14ac:dyDescent="0.25">
      <c r="A1167" s="264"/>
      <c r="B1167" s="264"/>
      <c r="C1167" s="1056"/>
      <c r="D1167" s="1056"/>
      <c r="E1167" s="1056"/>
      <c r="F1167" s="1056"/>
      <c r="G1167" s="1056"/>
      <c r="H1167" s="1056"/>
      <c r="I1167" s="1056"/>
      <c r="J1167" s="1056"/>
      <c r="K1167" s="1056"/>
      <c r="L1167" s="1056"/>
      <c r="M1167" s="274"/>
      <c r="P1167" s="264"/>
      <c r="Q1167" s="264"/>
      <c r="R1167" s="264"/>
      <c r="S1167" s="264"/>
      <c r="T1167" s="1056"/>
      <c r="U1167" s="1056"/>
      <c r="V1167" s="1056"/>
      <c r="W1167" s="1056"/>
      <c r="X1167" s="1056"/>
      <c r="Y1167" s="1056"/>
      <c r="Z1167" s="1056"/>
      <c r="AA1167" s="1056"/>
      <c r="AB1167" s="1056"/>
      <c r="AC1167" s="1056"/>
      <c r="AD1167" s="1056"/>
      <c r="AE1167" s="1056"/>
      <c r="AF1167" s="264"/>
    </row>
    <row r="1168" spans="1:32" s="268" customFormat="1" ht="15" x14ac:dyDescent="0.25">
      <c r="A1168" s="264"/>
      <c r="B1168" s="264"/>
      <c r="C1168" s="1056"/>
      <c r="D1168" s="1056"/>
      <c r="E1168" s="1056"/>
      <c r="F1168" s="1056"/>
      <c r="G1168" s="1056"/>
      <c r="H1168" s="1056"/>
      <c r="I1168" s="1056"/>
      <c r="J1168" s="1056"/>
      <c r="K1168" s="1056"/>
      <c r="L1168" s="1056"/>
      <c r="M1168" s="274"/>
      <c r="P1168" s="264"/>
      <c r="Q1168" s="264"/>
      <c r="R1168" s="264"/>
      <c r="S1168" s="264"/>
      <c r="T1168" s="1056"/>
      <c r="U1168" s="1056"/>
      <c r="V1168" s="1056"/>
      <c r="W1168" s="1056"/>
      <c r="X1168" s="1056"/>
      <c r="Y1168" s="1056"/>
      <c r="Z1168" s="1056"/>
      <c r="AA1168" s="1056"/>
      <c r="AB1168" s="1056"/>
      <c r="AC1168" s="1056"/>
      <c r="AD1168" s="1056"/>
      <c r="AE1168" s="1056"/>
      <c r="AF1168" s="264"/>
    </row>
    <row r="1169" spans="1:32" s="268" customFormat="1" ht="15" x14ac:dyDescent="0.25">
      <c r="A1169" s="264"/>
      <c r="B1169" s="264"/>
      <c r="C1169" s="1056"/>
      <c r="D1169" s="1056"/>
      <c r="E1169" s="1056"/>
      <c r="F1169" s="1056"/>
      <c r="G1169" s="1056"/>
      <c r="H1169" s="1056"/>
      <c r="I1169" s="1056"/>
      <c r="J1169" s="1056"/>
      <c r="K1169" s="1056"/>
      <c r="L1169" s="1056"/>
      <c r="M1169" s="274"/>
      <c r="P1169" s="264"/>
      <c r="Q1169" s="264"/>
      <c r="R1169" s="264"/>
      <c r="S1169" s="264"/>
      <c r="T1169" s="1056"/>
      <c r="U1169" s="1056"/>
      <c r="V1169" s="1056"/>
      <c r="W1169" s="1056"/>
      <c r="X1169" s="1056"/>
      <c r="Y1169" s="1056"/>
      <c r="Z1169" s="1056"/>
      <c r="AA1169" s="1056"/>
      <c r="AB1169" s="1056"/>
      <c r="AC1169" s="1056"/>
      <c r="AD1169" s="1056"/>
      <c r="AE1169" s="1056"/>
      <c r="AF1169" s="264"/>
    </row>
    <row r="1170" spans="1:32" s="268" customFormat="1" ht="15" x14ac:dyDescent="0.25">
      <c r="A1170" s="264"/>
      <c r="B1170" s="264"/>
      <c r="C1170" s="1056"/>
      <c r="D1170" s="1056"/>
      <c r="E1170" s="1056"/>
      <c r="F1170" s="1056"/>
      <c r="G1170" s="1056"/>
      <c r="H1170" s="1056"/>
      <c r="I1170" s="1056"/>
      <c r="J1170" s="1056"/>
      <c r="K1170" s="1056"/>
      <c r="L1170" s="1056"/>
      <c r="M1170" s="274"/>
      <c r="P1170" s="264"/>
      <c r="Q1170" s="264"/>
      <c r="R1170" s="264"/>
      <c r="S1170" s="264"/>
      <c r="T1170" s="1056"/>
      <c r="U1170" s="1056"/>
      <c r="V1170" s="1056"/>
      <c r="W1170" s="1056"/>
      <c r="X1170" s="1056"/>
      <c r="Y1170" s="1056"/>
      <c r="Z1170" s="1056"/>
      <c r="AA1170" s="1056"/>
      <c r="AB1170" s="1056"/>
      <c r="AC1170" s="1056"/>
      <c r="AD1170" s="1056"/>
      <c r="AE1170" s="1056"/>
      <c r="AF1170" s="264"/>
    </row>
    <row r="1171" spans="1:32" s="268" customFormat="1" ht="15" x14ac:dyDescent="0.25">
      <c r="A1171" s="264"/>
      <c r="B1171" s="264"/>
      <c r="C1171" s="1056"/>
      <c r="D1171" s="1056"/>
      <c r="E1171" s="1056"/>
      <c r="F1171" s="1056"/>
      <c r="G1171" s="1056"/>
      <c r="H1171" s="1056"/>
      <c r="I1171" s="1056"/>
      <c r="J1171" s="1056"/>
      <c r="K1171" s="1056"/>
      <c r="L1171" s="1056"/>
      <c r="M1171" s="274"/>
      <c r="P1171" s="264"/>
      <c r="Q1171" s="264"/>
      <c r="R1171" s="264"/>
      <c r="S1171" s="264"/>
      <c r="T1171" s="1056"/>
      <c r="U1171" s="1056"/>
      <c r="V1171" s="1056"/>
      <c r="W1171" s="1056"/>
      <c r="X1171" s="1056"/>
      <c r="Y1171" s="1056"/>
      <c r="Z1171" s="1056"/>
      <c r="AA1171" s="1056"/>
      <c r="AB1171" s="1056"/>
      <c r="AC1171" s="1056"/>
      <c r="AD1171" s="1056"/>
      <c r="AE1171" s="1056"/>
      <c r="AF1171" s="264"/>
    </row>
    <row r="1172" spans="1:32" s="268" customFormat="1" ht="15" x14ac:dyDescent="0.25">
      <c r="A1172" s="264"/>
      <c r="B1172" s="264"/>
      <c r="C1172" s="1056"/>
      <c r="D1172" s="1056"/>
      <c r="E1172" s="1056"/>
      <c r="F1172" s="1056"/>
      <c r="G1172" s="1056"/>
      <c r="H1172" s="1056"/>
      <c r="I1172" s="1056"/>
      <c r="J1172" s="1056"/>
      <c r="K1172" s="1056"/>
      <c r="L1172" s="1056"/>
      <c r="M1172" s="274"/>
      <c r="P1172" s="264"/>
      <c r="Q1172" s="264"/>
      <c r="R1172" s="264"/>
      <c r="S1172" s="264"/>
      <c r="T1172" s="1056"/>
      <c r="U1172" s="1056"/>
      <c r="V1172" s="1056"/>
      <c r="W1172" s="1056"/>
      <c r="X1172" s="1056"/>
      <c r="Y1172" s="1056"/>
      <c r="Z1172" s="1056"/>
      <c r="AA1172" s="1056"/>
      <c r="AB1172" s="1056"/>
      <c r="AC1172" s="1056"/>
      <c r="AD1172" s="1056"/>
      <c r="AE1172" s="1056"/>
      <c r="AF1172" s="264"/>
    </row>
    <row r="1173" spans="1:32" s="268" customFormat="1" ht="15" x14ac:dyDescent="0.25">
      <c r="A1173" s="264"/>
      <c r="B1173" s="264"/>
      <c r="C1173" s="1056"/>
      <c r="D1173" s="1056"/>
      <c r="E1173" s="1056"/>
      <c r="F1173" s="1056"/>
      <c r="G1173" s="1056"/>
      <c r="H1173" s="1056"/>
      <c r="I1173" s="1056"/>
      <c r="J1173" s="1056"/>
      <c r="K1173" s="1056"/>
      <c r="L1173" s="1056"/>
      <c r="M1173" s="274"/>
      <c r="P1173" s="264"/>
      <c r="Q1173" s="264"/>
      <c r="R1173" s="264"/>
      <c r="S1173" s="264"/>
      <c r="T1173" s="1056"/>
      <c r="U1173" s="1056"/>
      <c r="V1173" s="1056"/>
      <c r="W1173" s="1056"/>
      <c r="X1173" s="1056"/>
      <c r="Y1173" s="1056"/>
      <c r="Z1173" s="1056"/>
      <c r="AA1173" s="1056"/>
      <c r="AB1173" s="1056"/>
      <c r="AC1173" s="1056"/>
      <c r="AD1173" s="1056"/>
      <c r="AE1173" s="1056"/>
      <c r="AF1173" s="264"/>
    </row>
    <row r="1174" spans="1:32" s="268" customFormat="1" ht="15" x14ac:dyDescent="0.25">
      <c r="A1174" s="264"/>
      <c r="B1174" s="264"/>
      <c r="C1174" s="1056"/>
      <c r="D1174" s="1056"/>
      <c r="E1174" s="1056"/>
      <c r="F1174" s="1056"/>
      <c r="G1174" s="1056"/>
      <c r="H1174" s="1056"/>
      <c r="I1174" s="1056"/>
      <c r="J1174" s="1056"/>
      <c r="K1174" s="1056"/>
      <c r="L1174" s="1056"/>
      <c r="M1174" s="274"/>
      <c r="P1174" s="264"/>
      <c r="Q1174" s="264"/>
      <c r="R1174" s="264"/>
      <c r="S1174" s="264"/>
      <c r="T1174" s="1056"/>
      <c r="U1174" s="1056"/>
      <c r="V1174" s="1056"/>
      <c r="W1174" s="1056"/>
      <c r="X1174" s="1056"/>
      <c r="Y1174" s="1056"/>
      <c r="Z1174" s="1056"/>
      <c r="AA1174" s="1056"/>
      <c r="AB1174" s="1056"/>
      <c r="AC1174" s="1056"/>
      <c r="AD1174" s="1056"/>
      <c r="AE1174" s="1056"/>
      <c r="AF1174" s="264"/>
    </row>
    <row r="1175" spans="1:32" s="268" customFormat="1" ht="15" x14ac:dyDescent="0.25">
      <c r="A1175" s="264"/>
      <c r="B1175" s="264"/>
      <c r="C1175" s="1056"/>
      <c r="D1175" s="1056"/>
      <c r="E1175" s="1056"/>
      <c r="F1175" s="1056"/>
      <c r="G1175" s="1056"/>
      <c r="H1175" s="1056"/>
      <c r="I1175" s="1056"/>
      <c r="J1175" s="1056"/>
      <c r="K1175" s="1056"/>
      <c r="L1175" s="1056"/>
      <c r="M1175" s="274"/>
      <c r="P1175" s="264"/>
      <c r="Q1175" s="264"/>
      <c r="R1175" s="264"/>
      <c r="S1175" s="264"/>
      <c r="T1175" s="1056"/>
      <c r="U1175" s="1056"/>
      <c r="V1175" s="1056"/>
      <c r="W1175" s="1056"/>
      <c r="X1175" s="1056"/>
      <c r="Y1175" s="1056"/>
      <c r="Z1175" s="1056"/>
      <c r="AA1175" s="1056"/>
      <c r="AB1175" s="1056"/>
      <c r="AC1175" s="1056"/>
      <c r="AD1175" s="1056"/>
      <c r="AE1175" s="1056"/>
      <c r="AF1175" s="264"/>
    </row>
    <row r="1176" spans="1:32" s="268" customFormat="1" ht="15" x14ac:dyDescent="0.25">
      <c r="A1176" s="264"/>
      <c r="B1176" s="264"/>
      <c r="C1176" s="1056"/>
      <c r="D1176" s="1056"/>
      <c r="E1176" s="1056"/>
      <c r="F1176" s="1056"/>
      <c r="G1176" s="1056"/>
      <c r="H1176" s="1056"/>
      <c r="I1176" s="1056"/>
      <c r="J1176" s="1056"/>
      <c r="K1176" s="1056"/>
      <c r="L1176" s="1056"/>
      <c r="M1176" s="274"/>
      <c r="P1176" s="264"/>
      <c r="Q1176" s="264"/>
      <c r="R1176" s="264"/>
      <c r="S1176" s="264"/>
      <c r="T1176" s="1056"/>
      <c r="U1176" s="1056"/>
      <c r="V1176" s="1056"/>
      <c r="W1176" s="1056"/>
      <c r="X1176" s="1056"/>
      <c r="Y1176" s="1056"/>
      <c r="Z1176" s="1056"/>
      <c r="AA1176" s="1056"/>
      <c r="AB1176" s="1056"/>
      <c r="AC1176" s="1056"/>
      <c r="AD1176" s="1056"/>
      <c r="AE1176" s="1056"/>
      <c r="AF1176" s="264"/>
    </row>
    <row r="1177" spans="1:32" s="268" customFormat="1" ht="15" x14ac:dyDescent="0.25">
      <c r="A1177" s="264"/>
      <c r="B1177" s="264"/>
      <c r="C1177" s="1056"/>
      <c r="D1177" s="1056"/>
      <c r="E1177" s="1056"/>
      <c r="F1177" s="1056"/>
      <c r="G1177" s="1056"/>
      <c r="H1177" s="1056"/>
      <c r="I1177" s="1056"/>
      <c r="J1177" s="1056"/>
      <c r="K1177" s="1056"/>
      <c r="L1177" s="1056"/>
      <c r="M1177" s="274"/>
      <c r="P1177" s="264"/>
      <c r="Q1177" s="264"/>
      <c r="R1177" s="264"/>
      <c r="S1177" s="264"/>
      <c r="T1177" s="1056"/>
      <c r="U1177" s="1056"/>
      <c r="V1177" s="1056"/>
      <c r="W1177" s="1056"/>
      <c r="X1177" s="1056"/>
      <c r="Y1177" s="1056"/>
      <c r="Z1177" s="1056"/>
      <c r="AA1177" s="1056"/>
      <c r="AB1177" s="1056"/>
      <c r="AC1177" s="1056"/>
      <c r="AD1177" s="1056"/>
      <c r="AE1177" s="1056"/>
      <c r="AF1177" s="264"/>
    </row>
    <row r="1178" spans="1:32" s="268" customFormat="1" ht="15" x14ac:dyDescent="0.25">
      <c r="A1178" s="264"/>
      <c r="B1178" s="264"/>
      <c r="C1178" s="1056"/>
      <c r="D1178" s="1056"/>
      <c r="E1178" s="1056"/>
      <c r="F1178" s="1056"/>
      <c r="G1178" s="1056"/>
      <c r="H1178" s="1056"/>
      <c r="I1178" s="1056"/>
      <c r="J1178" s="1056"/>
      <c r="K1178" s="1056"/>
      <c r="L1178" s="1056"/>
      <c r="M1178" s="274"/>
      <c r="P1178" s="264"/>
      <c r="Q1178" s="264"/>
      <c r="R1178" s="264"/>
      <c r="S1178" s="264"/>
      <c r="T1178" s="1056"/>
      <c r="U1178" s="1056"/>
      <c r="V1178" s="1056"/>
      <c r="W1178" s="1056"/>
      <c r="X1178" s="1056"/>
      <c r="Y1178" s="1056"/>
      <c r="Z1178" s="1056"/>
      <c r="AA1178" s="1056"/>
      <c r="AB1178" s="1056"/>
      <c r="AC1178" s="1056"/>
      <c r="AD1178" s="1056"/>
      <c r="AE1178" s="1056"/>
      <c r="AF1178" s="264"/>
    </row>
    <row r="1179" spans="1:32" s="268" customFormat="1" ht="15" x14ac:dyDescent="0.25">
      <c r="A1179" s="264"/>
      <c r="B1179" s="264"/>
      <c r="C1179" s="1056"/>
      <c r="D1179" s="1056"/>
      <c r="E1179" s="1056"/>
      <c r="F1179" s="1056"/>
      <c r="G1179" s="1056"/>
      <c r="H1179" s="1056"/>
      <c r="I1179" s="1056"/>
      <c r="J1179" s="1056"/>
      <c r="K1179" s="1056"/>
      <c r="L1179" s="1056"/>
      <c r="M1179" s="274"/>
      <c r="P1179" s="264"/>
      <c r="Q1179" s="264"/>
      <c r="R1179" s="264"/>
      <c r="S1179" s="264"/>
      <c r="T1179" s="1056"/>
      <c r="U1179" s="1056"/>
      <c r="V1179" s="1056"/>
      <c r="W1179" s="1056"/>
      <c r="X1179" s="1056"/>
      <c r="Y1179" s="1056"/>
      <c r="Z1179" s="1056"/>
      <c r="AA1179" s="1056"/>
      <c r="AB1179" s="1056"/>
      <c r="AC1179" s="1056"/>
      <c r="AD1179" s="1056"/>
      <c r="AE1179" s="1056"/>
      <c r="AF1179" s="264"/>
    </row>
    <row r="1180" spans="1:32" s="268" customFormat="1" ht="15" x14ac:dyDescent="0.25">
      <c r="A1180" s="264"/>
      <c r="B1180" s="264"/>
      <c r="C1180" s="1056"/>
      <c r="D1180" s="1056"/>
      <c r="E1180" s="1056"/>
      <c r="F1180" s="1056"/>
      <c r="G1180" s="1056"/>
      <c r="H1180" s="1056"/>
      <c r="I1180" s="1056"/>
      <c r="J1180" s="1056"/>
      <c r="K1180" s="1056"/>
      <c r="L1180" s="1056"/>
      <c r="M1180" s="274"/>
      <c r="P1180" s="264"/>
      <c r="Q1180" s="264"/>
      <c r="R1180" s="264"/>
      <c r="S1180" s="264"/>
      <c r="T1180" s="1056"/>
      <c r="U1180" s="1056"/>
      <c r="V1180" s="1056"/>
      <c r="W1180" s="1056"/>
      <c r="X1180" s="1056"/>
      <c r="Y1180" s="1056"/>
      <c r="Z1180" s="1056"/>
      <c r="AA1180" s="1056"/>
      <c r="AB1180" s="1056"/>
      <c r="AC1180" s="1056"/>
      <c r="AD1180" s="1056"/>
      <c r="AE1180" s="1056"/>
      <c r="AF1180" s="264"/>
    </row>
    <row r="1181" spans="1:32" s="268" customFormat="1" ht="15" x14ac:dyDescent="0.25">
      <c r="A1181" s="264"/>
      <c r="B1181" s="264"/>
      <c r="C1181" s="1056"/>
      <c r="D1181" s="1056"/>
      <c r="E1181" s="1056"/>
      <c r="F1181" s="1056"/>
      <c r="G1181" s="1056"/>
      <c r="H1181" s="1056"/>
      <c r="I1181" s="1056"/>
      <c r="J1181" s="1056"/>
      <c r="K1181" s="1056"/>
      <c r="L1181" s="1056"/>
      <c r="M1181" s="274"/>
      <c r="P1181" s="264"/>
      <c r="Q1181" s="264"/>
      <c r="R1181" s="264"/>
      <c r="S1181" s="264"/>
      <c r="T1181" s="1056"/>
      <c r="U1181" s="1056"/>
      <c r="V1181" s="1056"/>
      <c r="W1181" s="1056"/>
      <c r="X1181" s="1056"/>
      <c r="Y1181" s="1056"/>
      <c r="Z1181" s="1056"/>
      <c r="AA1181" s="1056"/>
      <c r="AB1181" s="1056"/>
      <c r="AC1181" s="1056"/>
      <c r="AD1181" s="1056"/>
      <c r="AE1181" s="1056"/>
      <c r="AF1181" s="264"/>
    </row>
    <row r="1182" spans="1:32" s="268" customFormat="1" ht="15" x14ac:dyDescent="0.25">
      <c r="A1182" s="264"/>
      <c r="B1182" s="264"/>
      <c r="C1182" s="1056"/>
      <c r="D1182" s="1056"/>
      <c r="E1182" s="1056"/>
      <c r="F1182" s="1056"/>
      <c r="G1182" s="1056"/>
      <c r="H1182" s="1056"/>
      <c r="I1182" s="1056"/>
      <c r="J1182" s="1056"/>
      <c r="K1182" s="1056"/>
      <c r="L1182" s="1056"/>
      <c r="M1182" s="274"/>
      <c r="P1182" s="264"/>
      <c r="Q1182" s="264"/>
      <c r="R1182" s="264"/>
      <c r="S1182" s="264"/>
      <c r="T1182" s="1056"/>
      <c r="U1182" s="1056"/>
      <c r="V1182" s="1056"/>
      <c r="W1182" s="1056"/>
      <c r="X1182" s="1056"/>
      <c r="Y1182" s="1056"/>
      <c r="Z1182" s="1056"/>
      <c r="AA1182" s="1056"/>
      <c r="AB1182" s="1056"/>
      <c r="AC1182" s="1056"/>
      <c r="AD1182" s="1056"/>
      <c r="AE1182" s="1056"/>
      <c r="AF1182" s="264"/>
    </row>
    <row r="1183" spans="1:32" s="268" customFormat="1" ht="15" x14ac:dyDescent="0.25">
      <c r="A1183" s="264"/>
      <c r="B1183" s="264"/>
      <c r="C1183" s="1056"/>
      <c r="D1183" s="1056"/>
      <c r="E1183" s="1056"/>
      <c r="F1183" s="1056"/>
      <c r="G1183" s="1056"/>
      <c r="H1183" s="1056"/>
      <c r="I1183" s="1056"/>
      <c r="J1183" s="1056"/>
      <c r="K1183" s="1056"/>
      <c r="L1183" s="1056"/>
      <c r="M1183" s="274"/>
      <c r="P1183" s="264"/>
      <c r="Q1183" s="264"/>
      <c r="R1183" s="264"/>
      <c r="S1183" s="264"/>
      <c r="T1183" s="1056"/>
      <c r="U1183" s="1056"/>
      <c r="V1183" s="1056"/>
      <c r="W1183" s="1056"/>
      <c r="X1183" s="1056"/>
      <c r="Y1183" s="1056"/>
      <c r="Z1183" s="1056"/>
      <c r="AA1183" s="1056"/>
      <c r="AB1183" s="1056"/>
      <c r="AC1183" s="1056"/>
      <c r="AD1183" s="1056"/>
      <c r="AE1183" s="1056"/>
      <c r="AF1183" s="264"/>
    </row>
    <row r="1184" spans="1:32" s="268" customFormat="1" ht="15" x14ac:dyDescent="0.25">
      <c r="A1184" s="264"/>
      <c r="B1184" s="264"/>
      <c r="C1184" s="1056"/>
      <c r="D1184" s="1056"/>
      <c r="E1184" s="1056"/>
      <c r="F1184" s="1056"/>
      <c r="G1184" s="1056"/>
      <c r="H1184" s="1056"/>
      <c r="I1184" s="1056"/>
      <c r="J1184" s="1056"/>
      <c r="K1184" s="1056"/>
      <c r="L1184" s="1056"/>
      <c r="M1184" s="274"/>
      <c r="P1184" s="264"/>
      <c r="Q1184" s="264"/>
      <c r="R1184" s="264"/>
      <c r="S1184" s="264"/>
      <c r="T1184" s="1056"/>
      <c r="U1184" s="1056"/>
      <c r="V1184" s="1056"/>
      <c r="W1184" s="1056"/>
      <c r="X1184" s="1056"/>
      <c r="Y1184" s="1056"/>
      <c r="Z1184" s="1056"/>
      <c r="AA1184" s="1056"/>
      <c r="AB1184" s="1056"/>
      <c r="AC1184" s="1056"/>
      <c r="AD1184" s="1056"/>
      <c r="AE1184" s="1056"/>
      <c r="AF1184" s="264"/>
    </row>
    <row r="1185" spans="1:32" s="268" customFormat="1" ht="15" x14ac:dyDescent="0.25">
      <c r="A1185" s="264"/>
      <c r="B1185" s="264"/>
      <c r="C1185" s="1056"/>
      <c r="D1185" s="1056"/>
      <c r="E1185" s="1056"/>
      <c r="F1185" s="1056"/>
      <c r="G1185" s="1056"/>
      <c r="H1185" s="1056"/>
      <c r="I1185" s="1056"/>
      <c r="J1185" s="1056"/>
      <c r="K1185" s="1056"/>
      <c r="L1185" s="1056"/>
      <c r="M1185" s="274"/>
      <c r="P1185" s="264"/>
      <c r="Q1185" s="264"/>
      <c r="R1185" s="264"/>
      <c r="S1185" s="264"/>
      <c r="T1185" s="1056"/>
      <c r="U1185" s="1056"/>
      <c r="V1185" s="1056"/>
      <c r="W1185" s="1056"/>
      <c r="X1185" s="1056"/>
      <c r="Y1185" s="1056"/>
      <c r="Z1185" s="1056"/>
      <c r="AA1185" s="1056"/>
      <c r="AB1185" s="1056"/>
      <c r="AC1185" s="1056"/>
      <c r="AD1185" s="1056"/>
      <c r="AE1185" s="1056"/>
      <c r="AF1185" s="264"/>
    </row>
    <row r="1186" spans="1:32" s="268" customFormat="1" ht="15" x14ac:dyDescent="0.25">
      <c r="A1186" s="264"/>
      <c r="B1186" s="264"/>
      <c r="C1186" s="1056"/>
      <c r="D1186" s="1056"/>
      <c r="E1186" s="1056"/>
      <c r="F1186" s="1056"/>
      <c r="G1186" s="1056"/>
      <c r="H1186" s="1056"/>
      <c r="I1186" s="1056"/>
      <c r="J1186" s="1056"/>
      <c r="K1186" s="1056"/>
      <c r="L1186" s="1056"/>
      <c r="M1186" s="274"/>
      <c r="P1186" s="264"/>
      <c r="Q1186" s="264"/>
      <c r="R1186" s="264"/>
      <c r="S1186" s="264"/>
      <c r="T1186" s="1056"/>
      <c r="U1186" s="1056"/>
      <c r="V1186" s="1056"/>
      <c r="W1186" s="1056"/>
      <c r="X1186" s="1056"/>
      <c r="Y1186" s="1056"/>
      <c r="Z1186" s="1056"/>
      <c r="AA1186" s="1056"/>
      <c r="AB1186" s="1056"/>
      <c r="AC1186" s="1056"/>
      <c r="AD1186" s="1056"/>
      <c r="AE1186" s="1056"/>
      <c r="AF1186" s="264"/>
    </row>
    <row r="1187" spans="1:32" s="268" customFormat="1" ht="15" x14ac:dyDescent="0.25">
      <c r="A1187" s="264"/>
      <c r="B1187" s="264"/>
      <c r="C1187" s="1056"/>
      <c r="D1187" s="1056"/>
      <c r="E1187" s="1056"/>
      <c r="F1187" s="1056"/>
      <c r="G1187" s="1056"/>
      <c r="H1187" s="1056"/>
      <c r="I1187" s="1056"/>
      <c r="J1187" s="1056"/>
      <c r="K1187" s="1056"/>
      <c r="L1187" s="1056"/>
      <c r="M1187" s="274"/>
      <c r="P1187" s="264"/>
      <c r="Q1187" s="264"/>
      <c r="R1187" s="264"/>
      <c r="S1187" s="264"/>
      <c r="T1187" s="1056"/>
      <c r="U1187" s="1056"/>
      <c r="V1187" s="1056"/>
      <c r="W1187" s="1056"/>
      <c r="X1187" s="1056"/>
      <c r="Y1187" s="1056"/>
      <c r="Z1187" s="1056"/>
      <c r="AA1187" s="1056"/>
      <c r="AB1187" s="1056"/>
      <c r="AC1187" s="1056"/>
      <c r="AD1187" s="1056"/>
      <c r="AE1187" s="1056"/>
      <c r="AF1187" s="264"/>
    </row>
    <row r="1188" spans="1:32" s="268" customFormat="1" ht="15" x14ac:dyDescent="0.25">
      <c r="A1188" s="264"/>
      <c r="B1188" s="264"/>
      <c r="C1188" s="1056"/>
      <c r="D1188" s="1056"/>
      <c r="E1188" s="1056"/>
      <c r="F1188" s="1056"/>
      <c r="G1188" s="1056"/>
      <c r="H1188" s="1056"/>
      <c r="I1188" s="1056"/>
      <c r="J1188" s="1056"/>
      <c r="K1188" s="1056"/>
      <c r="L1188" s="1056"/>
      <c r="M1188" s="274"/>
      <c r="P1188" s="264"/>
      <c r="Q1188" s="264"/>
      <c r="R1188" s="264"/>
      <c r="S1188" s="264"/>
      <c r="T1188" s="1056"/>
      <c r="U1188" s="1056"/>
      <c r="V1188" s="1056"/>
      <c r="W1188" s="1056"/>
      <c r="X1188" s="1056"/>
      <c r="Y1188" s="1056"/>
      <c r="Z1188" s="1056"/>
      <c r="AA1188" s="1056"/>
      <c r="AB1188" s="1056"/>
      <c r="AC1188" s="1056"/>
      <c r="AD1188" s="1056"/>
      <c r="AE1188" s="1056"/>
      <c r="AF1188" s="264"/>
    </row>
    <row r="1189" spans="1:32" s="268" customFormat="1" ht="15" x14ac:dyDescent="0.25">
      <c r="A1189" s="264"/>
      <c r="B1189" s="264"/>
      <c r="C1189" s="1056"/>
      <c r="D1189" s="1056"/>
      <c r="E1189" s="1056"/>
      <c r="F1189" s="1056"/>
      <c r="G1189" s="1056"/>
      <c r="H1189" s="1056"/>
      <c r="I1189" s="1056"/>
      <c r="J1189" s="1056"/>
      <c r="K1189" s="1056"/>
      <c r="L1189" s="1056"/>
      <c r="M1189" s="274"/>
      <c r="P1189" s="264"/>
      <c r="Q1189" s="264"/>
      <c r="R1189" s="264"/>
      <c r="S1189" s="264"/>
      <c r="T1189" s="1056"/>
      <c r="U1189" s="1056"/>
      <c r="V1189" s="1056"/>
      <c r="W1189" s="1056"/>
      <c r="X1189" s="1056"/>
      <c r="Y1189" s="1056"/>
      <c r="Z1189" s="1056"/>
      <c r="AA1189" s="1056"/>
      <c r="AB1189" s="1056"/>
      <c r="AC1189" s="1056"/>
      <c r="AD1189" s="1056"/>
      <c r="AE1189" s="1056"/>
      <c r="AF1189" s="264"/>
    </row>
    <row r="1190" spans="1:32" s="268" customFormat="1" ht="15" x14ac:dyDescent="0.25">
      <c r="A1190" s="264"/>
      <c r="B1190" s="264"/>
      <c r="C1190" s="1056"/>
      <c r="D1190" s="1056"/>
      <c r="E1190" s="1056"/>
      <c r="F1190" s="1056"/>
      <c r="G1190" s="1056"/>
      <c r="H1190" s="1056"/>
      <c r="I1190" s="1056"/>
      <c r="J1190" s="1056"/>
      <c r="K1190" s="1056"/>
      <c r="L1190" s="1056"/>
      <c r="M1190" s="274"/>
      <c r="P1190" s="264"/>
      <c r="Q1190" s="264"/>
      <c r="R1190" s="264"/>
      <c r="S1190" s="264"/>
      <c r="T1190" s="1056"/>
      <c r="U1190" s="1056"/>
      <c r="V1190" s="1056"/>
      <c r="W1190" s="1056"/>
      <c r="X1190" s="1056"/>
      <c r="Y1190" s="1056"/>
      <c r="Z1190" s="1056"/>
      <c r="AA1190" s="1056"/>
      <c r="AB1190" s="1056"/>
      <c r="AC1190" s="1056"/>
      <c r="AD1190" s="1056"/>
      <c r="AE1190" s="1056"/>
      <c r="AF1190" s="264"/>
    </row>
    <row r="1191" spans="1:32" s="268" customFormat="1" ht="15" x14ac:dyDescent="0.25">
      <c r="A1191" s="264"/>
      <c r="B1191" s="264"/>
      <c r="C1191" s="1056"/>
      <c r="D1191" s="1056"/>
      <c r="E1191" s="1056"/>
      <c r="F1191" s="1056"/>
      <c r="G1191" s="1056"/>
      <c r="H1191" s="1056"/>
      <c r="I1191" s="1056"/>
      <c r="J1191" s="1056"/>
      <c r="K1191" s="1056"/>
      <c r="L1191" s="1056"/>
      <c r="M1191" s="274"/>
      <c r="P1191" s="264"/>
      <c r="Q1191" s="264"/>
      <c r="R1191" s="264"/>
      <c r="S1191" s="264"/>
      <c r="T1191" s="1056"/>
      <c r="U1191" s="1056"/>
      <c r="V1191" s="1056"/>
      <c r="W1191" s="1056"/>
      <c r="X1191" s="1056"/>
      <c r="Y1191" s="1056"/>
      <c r="Z1191" s="1056"/>
      <c r="AA1191" s="1056"/>
      <c r="AB1191" s="1056"/>
      <c r="AC1191" s="1056"/>
      <c r="AD1191" s="1056"/>
      <c r="AE1191" s="1056"/>
      <c r="AF1191" s="264"/>
    </row>
    <row r="1192" spans="1:32" s="268" customFormat="1" ht="15" x14ac:dyDescent="0.25">
      <c r="A1192" s="264"/>
      <c r="B1192" s="264"/>
      <c r="C1192" s="1056"/>
      <c r="D1192" s="1056"/>
      <c r="E1192" s="1056"/>
      <c r="F1192" s="1056"/>
      <c r="G1192" s="1056"/>
      <c r="H1192" s="1056"/>
      <c r="I1192" s="1056"/>
      <c r="J1192" s="1056"/>
      <c r="K1192" s="1056"/>
      <c r="L1192" s="1056"/>
      <c r="M1192" s="274"/>
      <c r="P1192" s="264"/>
      <c r="Q1192" s="264"/>
      <c r="R1192" s="264"/>
      <c r="S1192" s="264"/>
      <c r="T1192" s="1056"/>
      <c r="U1192" s="1056"/>
      <c r="V1192" s="1056"/>
      <c r="W1192" s="1056"/>
      <c r="X1192" s="1056"/>
      <c r="Y1192" s="1056"/>
      <c r="Z1192" s="1056"/>
      <c r="AA1192" s="1056"/>
      <c r="AB1192" s="1056"/>
      <c r="AC1192" s="1056"/>
      <c r="AD1192" s="1056"/>
      <c r="AE1192" s="1056"/>
      <c r="AF1192" s="264"/>
    </row>
    <row r="1193" spans="1:32" s="268" customFormat="1" ht="15" x14ac:dyDescent="0.25">
      <c r="A1193" s="264"/>
      <c r="B1193" s="264"/>
      <c r="C1193" s="1056"/>
      <c r="D1193" s="1056"/>
      <c r="E1193" s="1056"/>
      <c r="F1193" s="1056"/>
      <c r="G1193" s="1056"/>
      <c r="H1193" s="1056"/>
      <c r="I1193" s="1056"/>
      <c r="J1193" s="1056"/>
      <c r="K1193" s="1056"/>
      <c r="L1193" s="1056"/>
      <c r="M1193" s="274"/>
      <c r="P1193" s="264"/>
      <c r="Q1193" s="264"/>
      <c r="R1193" s="264"/>
      <c r="S1193" s="264"/>
      <c r="T1193" s="1056"/>
      <c r="U1193" s="1056"/>
      <c r="V1193" s="1056"/>
      <c r="W1193" s="1056"/>
      <c r="X1193" s="1056"/>
      <c r="Y1193" s="1056"/>
      <c r="Z1193" s="1056"/>
      <c r="AA1193" s="1056"/>
      <c r="AB1193" s="1056"/>
      <c r="AC1193" s="1056"/>
      <c r="AD1193" s="1056"/>
      <c r="AE1193" s="1056"/>
      <c r="AF1193" s="264"/>
    </row>
    <row r="1194" spans="1:32" s="268" customFormat="1" ht="15" x14ac:dyDescent="0.25">
      <c r="A1194" s="264"/>
      <c r="B1194" s="264"/>
      <c r="C1194" s="1056"/>
      <c r="D1194" s="1056"/>
      <c r="E1194" s="1056"/>
      <c r="F1194" s="1056"/>
      <c r="G1194" s="1056"/>
      <c r="H1194" s="1056"/>
      <c r="I1194" s="1056"/>
      <c r="J1194" s="1056"/>
      <c r="K1194" s="1056"/>
      <c r="L1194" s="1056"/>
      <c r="M1194" s="274"/>
      <c r="P1194" s="264"/>
      <c r="Q1194" s="264"/>
      <c r="R1194" s="264"/>
      <c r="S1194" s="264"/>
      <c r="T1194" s="1056"/>
      <c r="U1194" s="1056"/>
      <c r="V1194" s="1056"/>
      <c r="W1194" s="1056"/>
      <c r="X1194" s="1056"/>
      <c r="Y1194" s="1056"/>
      <c r="Z1194" s="1056"/>
      <c r="AA1194" s="1056"/>
      <c r="AB1194" s="1056"/>
      <c r="AC1194" s="1056"/>
      <c r="AD1194" s="1056"/>
      <c r="AE1194" s="1056"/>
      <c r="AF1194" s="264"/>
    </row>
    <row r="1195" spans="1:32" s="268" customFormat="1" ht="15" x14ac:dyDescent="0.25">
      <c r="A1195" s="264"/>
      <c r="B1195" s="264"/>
      <c r="C1195" s="1056"/>
      <c r="D1195" s="1056"/>
      <c r="E1195" s="1056"/>
      <c r="F1195" s="1056"/>
      <c r="G1195" s="1056"/>
      <c r="H1195" s="1056"/>
      <c r="I1195" s="1056"/>
      <c r="J1195" s="1056"/>
      <c r="K1195" s="1056"/>
      <c r="L1195" s="1056"/>
      <c r="M1195" s="274"/>
      <c r="P1195" s="264"/>
      <c r="Q1195" s="264"/>
      <c r="R1195" s="264"/>
      <c r="S1195" s="264"/>
      <c r="T1195" s="1056"/>
      <c r="U1195" s="1056"/>
      <c r="V1195" s="1056"/>
      <c r="W1195" s="1056"/>
      <c r="X1195" s="1056"/>
      <c r="Y1195" s="1056"/>
      <c r="Z1195" s="1056"/>
      <c r="AA1195" s="1056"/>
      <c r="AB1195" s="1056"/>
      <c r="AC1195" s="1056"/>
      <c r="AD1195" s="1056"/>
      <c r="AE1195" s="1056"/>
      <c r="AF1195" s="264"/>
    </row>
    <row r="1196" spans="1:32" s="268" customFormat="1" ht="15" x14ac:dyDescent="0.25">
      <c r="A1196" s="264"/>
      <c r="B1196" s="264"/>
      <c r="C1196" s="1056"/>
      <c r="D1196" s="1056"/>
      <c r="E1196" s="1056"/>
      <c r="F1196" s="1056"/>
      <c r="G1196" s="1056"/>
      <c r="H1196" s="1056"/>
      <c r="I1196" s="1056"/>
      <c r="J1196" s="1056"/>
      <c r="K1196" s="1056"/>
      <c r="L1196" s="1056"/>
      <c r="M1196" s="274"/>
      <c r="P1196" s="264"/>
      <c r="Q1196" s="264"/>
      <c r="R1196" s="264"/>
      <c r="S1196" s="264"/>
      <c r="T1196" s="1056"/>
      <c r="U1196" s="1056"/>
      <c r="V1196" s="1056"/>
      <c r="W1196" s="1056"/>
      <c r="X1196" s="1056"/>
      <c r="Y1196" s="1056"/>
      <c r="Z1196" s="1056"/>
      <c r="AA1196" s="1056"/>
      <c r="AB1196" s="1056"/>
      <c r="AC1196" s="1056"/>
      <c r="AD1196" s="1056"/>
      <c r="AE1196" s="1056"/>
      <c r="AF1196" s="264"/>
    </row>
    <row r="1197" spans="1:32" s="268" customFormat="1" ht="15" x14ac:dyDescent="0.25">
      <c r="A1197" s="264"/>
      <c r="B1197" s="264"/>
      <c r="C1197" s="1056"/>
      <c r="D1197" s="1056"/>
      <c r="E1197" s="1056"/>
      <c r="F1197" s="1056"/>
      <c r="G1197" s="1056"/>
      <c r="H1197" s="1056"/>
      <c r="I1197" s="1056"/>
      <c r="J1197" s="1056"/>
      <c r="K1197" s="1056"/>
      <c r="L1197" s="1056"/>
      <c r="M1197" s="274"/>
      <c r="P1197" s="264"/>
      <c r="Q1197" s="264"/>
      <c r="R1197" s="264"/>
      <c r="S1197" s="264"/>
      <c r="T1197" s="1056"/>
      <c r="U1197" s="1056"/>
      <c r="V1197" s="1056"/>
      <c r="W1197" s="1056"/>
      <c r="X1197" s="1056"/>
      <c r="Y1197" s="1056"/>
      <c r="Z1197" s="1056"/>
      <c r="AA1197" s="1056"/>
      <c r="AB1197" s="1056"/>
      <c r="AC1197" s="1056"/>
      <c r="AD1197" s="1056"/>
      <c r="AE1197" s="1056"/>
      <c r="AF1197" s="264"/>
    </row>
    <row r="1198" spans="1:32" s="268" customFormat="1" ht="15" x14ac:dyDescent="0.25">
      <c r="A1198" s="264"/>
      <c r="B1198" s="264"/>
      <c r="C1198" s="1056"/>
      <c r="D1198" s="1056"/>
      <c r="E1198" s="1056"/>
      <c r="F1198" s="1056"/>
      <c r="G1198" s="1056"/>
      <c r="H1198" s="1056"/>
      <c r="I1198" s="1056"/>
      <c r="J1198" s="1056"/>
      <c r="K1198" s="1056"/>
      <c r="L1198" s="1056"/>
      <c r="M1198" s="274"/>
      <c r="P1198" s="264"/>
      <c r="Q1198" s="264"/>
      <c r="R1198" s="264"/>
      <c r="S1198" s="264"/>
      <c r="T1198" s="1056"/>
      <c r="U1198" s="1056"/>
      <c r="V1198" s="1056"/>
      <c r="W1198" s="1056"/>
      <c r="X1198" s="1056"/>
      <c r="Y1198" s="1056"/>
      <c r="Z1198" s="1056"/>
      <c r="AA1198" s="1056"/>
      <c r="AB1198" s="1056"/>
      <c r="AC1198" s="1056"/>
      <c r="AD1198" s="1056"/>
      <c r="AE1198" s="1056"/>
      <c r="AF1198" s="264"/>
    </row>
    <row r="1199" spans="1:32" s="268" customFormat="1" ht="15" x14ac:dyDescent="0.25">
      <c r="A1199" s="264"/>
      <c r="B1199" s="264"/>
      <c r="C1199" s="1056"/>
      <c r="D1199" s="1056"/>
      <c r="E1199" s="1056"/>
      <c r="F1199" s="1056"/>
      <c r="G1199" s="1056"/>
      <c r="H1199" s="1056"/>
      <c r="I1199" s="1056"/>
      <c r="J1199" s="1056"/>
      <c r="K1199" s="1056"/>
      <c r="L1199" s="1056"/>
      <c r="M1199" s="274"/>
      <c r="P1199" s="264"/>
      <c r="Q1199" s="264"/>
      <c r="R1199" s="264"/>
      <c r="S1199" s="264"/>
      <c r="T1199" s="1056"/>
      <c r="U1199" s="1056"/>
      <c r="V1199" s="1056"/>
      <c r="W1199" s="1056"/>
      <c r="X1199" s="1056"/>
      <c r="Y1199" s="1056"/>
      <c r="Z1199" s="1056"/>
      <c r="AA1199" s="1056"/>
      <c r="AB1199" s="1056"/>
      <c r="AC1199" s="1056"/>
      <c r="AD1199" s="1056"/>
      <c r="AE1199" s="1056"/>
      <c r="AF1199" s="264"/>
    </row>
    <row r="1200" spans="1:32" s="268" customFormat="1" ht="15" x14ac:dyDescent="0.25">
      <c r="A1200" s="264"/>
      <c r="B1200" s="264"/>
      <c r="C1200" s="1056"/>
      <c r="D1200" s="1056"/>
      <c r="E1200" s="1056"/>
      <c r="F1200" s="1056"/>
      <c r="G1200" s="1056"/>
      <c r="H1200" s="1056"/>
      <c r="I1200" s="1056"/>
      <c r="J1200" s="1056"/>
      <c r="K1200" s="1056"/>
      <c r="L1200" s="1056"/>
      <c r="M1200" s="274"/>
      <c r="P1200" s="264"/>
      <c r="Q1200" s="264"/>
      <c r="R1200" s="264"/>
      <c r="S1200" s="264"/>
      <c r="T1200" s="1056"/>
      <c r="U1200" s="1056"/>
      <c r="V1200" s="1056"/>
      <c r="W1200" s="1056"/>
      <c r="X1200" s="1056"/>
      <c r="Y1200" s="1056"/>
      <c r="Z1200" s="1056"/>
      <c r="AA1200" s="1056"/>
      <c r="AB1200" s="1056"/>
      <c r="AC1200" s="1056"/>
      <c r="AD1200" s="1056"/>
      <c r="AE1200" s="1056"/>
      <c r="AF1200" s="264"/>
    </row>
    <row r="1201" spans="1:32" s="268" customFormat="1" ht="15" x14ac:dyDescent="0.25">
      <c r="A1201" s="264"/>
      <c r="B1201" s="264"/>
      <c r="C1201" s="1056"/>
      <c r="D1201" s="1056"/>
      <c r="E1201" s="1056"/>
      <c r="F1201" s="1056"/>
      <c r="G1201" s="1056"/>
      <c r="H1201" s="1056"/>
      <c r="I1201" s="1056"/>
      <c r="J1201" s="1056"/>
      <c r="K1201" s="1056"/>
      <c r="L1201" s="1056"/>
      <c r="M1201" s="274"/>
      <c r="P1201" s="264"/>
      <c r="Q1201" s="264"/>
      <c r="R1201" s="264"/>
      <c r="S1201" s="264"/>
      <c r="T1201" s="1056"/>
      <c r="U1201" s="1056"/>
      <c r="V1201" s="1056"/>
      <c r="W1201" s="1056"/>
      <c r="X1201" s="1056"/>
      <c r="Y1201" s="1056"/>
      <c r="Z1201" s="1056"/>
      <c r="AA1201" s="1056"/>
      <c r="AB1201" s="1056"/>
      <c r="AC1201" s="1056"/>
      <c r="AD1201" s="1056"/>
      <c r="AE1201" s="1056"/>
      <c r="AF1201" s="264"/>
    </row>
    <row r="1202" spans="1:32" s="268" customFormat="1" ht="15" x14ac:dyDescent="0.25">
      <c r="A1202" s="264"/>
      <c r="B1202" s="264"/>
      <c r="C1202" s="1056"/>
      <c r="D1202" s="1056"/>
      <c r="E1202" s="1056"/>
      <c r="F1202" s="1056"/>
      <c r="G1202" s="1056"/>
      <c r="H1202" s="1056"/>
      <c r="I1202" s="1056"/>
      <c r="J1202" s="1056"/>
      <c r="K1202" s="1056"/>
      <c r="L1202" s="1056"/>
      <c r="M1202" s="274"/>
      <c r="P1202" s="264"/>
      <c r="Q1202" s="264"/>
      <c r="R1202" s="264"/>
      <c r="S1202" s="264"/>
      <c r="T1202" s="1056"/>
      <c r="U1202" s="1056"/>
      <c r="V1202" s="1056"/>
      <c r="W1202" s="1056"/>
      <c r="X1202" s="1056"/>
      <c r="Y1202" s="1056"/>
      <c r="Z1202" s="1056"/>
      <c r="AA1202" s="1056"/>
      <c r="AB1202" s="1056"/>
      <c r="AC1202" s="1056"/>
      <c r="AD1202" s="1056"/>
      <c r="AE1202" s="1056"/>
      <c r="AF1202" s="264"/>
    </row>
    <row r="1203" spans="1:32" s="268" customFormat="1" ht="15" x14ac:dyDescent="0.25">
      <c r="A1203" s="264"/>
      <c r="B1203" s="264"/>
      <c r="C1203" s="1056"/>
      <c r="D1203" s="1056"/>
      <c r="E1203" s="1056"/>
      <c r="F1203" s="1056"/>
      <c r="G1203" s="1056"/>
      <c r="H1203" s="1056"/>
      <c r="I1203" s="1056"/>
      <c r="J1203" s="1056"/>
      <c r="K1203" s="1056"/>
      <c r="L1203" s="1056"/>
      <c r="M1203" s="274"/>
      <c r="P1203" s="264"/>
      <c r="Q1203" s="264"/>
      <c r="R1203" s="264"/>
      <c r="S1203" s="264"/>
      <c r="T1203" s="1056"/>
      <c r="U1203" s="1056"/>
      <c r="V1203" s="1056"/>
      <c r="W1203" s="1056"/>
      <c r="X1203" s="1056"/>
      <c r="Y1203" s="1056"/>
      <c r="Z1203" s="1056"/>
      <c r="AA1203" s="1056"/>
      <c r="AB1203" s="1056"/>
      <c r="AC1203" s="1056"/>
      <c r="AD1203" s="1056"/>
      <c r="AE1203" s="1056"/>
      <c r="AF1203" s="264"/>
    </row>
    <row r="1204" spans="1:32" s="268" customFormat="1" ht="15" x14ac:dyDescent="0.25">
      <c r="A1204" s="264"/>
      <c r="B1204" s="264"/>
      <c r="C1204" s="1056"/>
      <c r="D1204" s="1056"/>
      <c r="E1204" s="1056"/>
      <c r="F1204" s="1056"/>
      <c r="G1204" s="1056"/>
      <c r="H1204" s="1056"/>
      <c r="I1204" s="1056"/>
      <c r="J1204" s="1056"/>
      <c r="K1204" s="1056"/>
      <c r="L1204" s="1056"/>
      <c r="M1204" s="274"/>
      <c r="P1204" s="264"/>
      <c r="Q1204" s="264"/>
      <c r="R1204" s="264"/>
      <c r="S1204" s="264"/>
      <c r="T1204" s="1056"/>
      <c r="U1204" s="1056"/>
      <c r="V1204" s="1056"/>
      <c r="W1204" s="1056"/>
      <c r="X1204" s="1056"/>
      <c r="Y1204" s="1056"/>
      <c r="Z1204" s="1056"/>
      <c r="AA1204" s="1056"/>
      <c r="AB1204" s="1056"/>
      <c r="AC1204" s="1056"/>
      <c r="AD1204" s="1056"/>
      <c r="AE1204" s="1056"/>
      <c r="AF1204" s="264"/>
    </row>
    <row r="1205" spans="1:32" s="268" customFormat="1" ht="15" x14ac:dyDescent="0.25">
      <c r="A1205" s="264"/>
      <c r="B1205" s="264"/>
      <c r="C1205" s="1056"/>
      <c r="D1205" s="1056"/>
      <c r="E1205" s="1056"/>
      <c r="F1205" s="1056"/>
      <c r="G1205" s="1056"/>
      <c r="H1205" s="1056"/>
      <c r="I1205" s="1056"/>
      <c r="J1205" s="1056"/>
      <c r="K1205" s="1056"/>
      <c r="L1205" s="1056"/>
      <c r="M1205" s="274"/>
      <c r="P1205" s="264"/>
      <c r="Q1205" s="264"/>
      <c r="R1205" s="264"/>
      <c r="S1205" s="264"/>
      <c r="T1205" s="1056"/>
      <c r="U1205" s="1056"/>
      <c r="V1205" s="1056"/>
      <c r="W1205" s="1056"/>
      <c r="X1205" s="1056"/>
      <c r="Y1205" s="1056"/>
      <c r="Z1205" s="1056"/>
      <c r="AA1205" s="1056"/>
      <c r="AB1205" s="1056"/>
      <c r="AC1205" s="1056"/>
      <c r="AD1205" s="1056"/>
      <c r="AE1205" s="1056"/>
      <c r="AF1205" s="264"/>
    </row>
    <row r="1206" spans="1:32" s="268" customFormat="1" ht="15" x14ac:dyDescent="0.25">
      <c r="A1206" s="264"/>
      <c r="B1206" s="264"/>
      <c r="C1206" s="1056"/>
      <c r="D1206" s="1056"/>
      <c r="E1206" s="1056"/>
      <c r="F1206" s="1056"/>
      <c r="G1206" s="1056"/>
      <c r="H1206" s="1056"/>
      <c r="I1206" s="1056"/>
      <c r="J1206" s="1056"/>
      <c r="K1206" s="1056"/>
      <c r="L1206" s="1056"/>
      <c r="M1206" s="274"/>
      <c r="P1206" s="264"/>
      <c r="Q1206" s="264"/>
      <c r="R1206" s="264"/>
      <c r="S1206" s="264"/>
      <c r="T1206" s="1056"/>
      <c r="U1206" s="1056"/>
      <c r="V1206" s="1056"/>
      <c r="W1206" s="1056"/>
      <c r="X1206" s="1056"/>
      <c r="Y1206" s="1056"/>
      <c r="Z1206" s="1056"/>
      <c r="AA1206" s="1056"/>
      <c r="AB1206" s="1056"/>
      <c r="AC1206" s="1056"/>
      <c r="AD1206" s="1056"/>
      <c r="AE1206" s="1056"/>
      <c r="AF1206" s="264"/>
    </row>
    <row r="1207" spans="1:32" s="268" customFormat="1" ht="15" x14ac:dyDescent="0.25">
      <c r="A1207" s="264"/>
      <c r="B1207" s="264"/>
      <c r="C1207" s="1056"/>
      <c r="D1207" s="1056"/>
      <c r="E1207" s="1056"/>
      <c r="F1207" s="1056"/>
      <c r="G1207" s="1056"/>
      <c r="H1207" s="1056"/>
      <c r="I1207" s="1056"/>
      <c r="J1207" s="1056"/>
      <c r="K1207" s="1056"/>
      <c r="L1207" s="1056"/>
      <c r="M1207" s="274"/>
      <c r="P1207" s="264"/>
      <c r="Q1207" s="264"/>
      <c r="R1207" s="264"/>
      <c r="S1207" s="264"/>
      <c r="T1207" s="1056"/>
      <c r="U1207" s="1056"/>
      <c r="V1207" s="1056"/>
      <c r="W1207" s="1056"/>
      <c r="X1207" s="1056"/>
      <c r="Y1207" s="1056"/>
      <c r="Z1207" s="1056"/>
      <c r="AA1207" s="1056"/>
      <c r="AB1207" s="1056"/>
      <c r="AC1207" s="1056"/>
      <c r="AD1207" s="1056"/>
      <c r="AE1207" s="1056"/>
      <c r="AF1207" s="264"/>
    </row>
    <row r="1208" spans="1:32" s="268" customFormat="1" ht="15" x14ac:dyDescent="0.25">
      <c r="A1208" s="264"/>
      <c r="B1208" s="264"/>
      <c r="C1208" s="1056"/>
      <c r="D1208" s="1056"/>
      <c r="E1208" s="1056"/>
      <c r="F1208" s="1056"/>
      <c r="G1208" s="1056"/>
      <c r="H1208" s="1056"/>
      <c r="I1208" s="1056"/>
      <c r="J1208" s="1056"/>
      <c r="K1208" s="1056"/>
      <c r="L1208" s="1056"/>
      <c r="M1208" s="274"/>
      <c r="P1208" s="264"/>
      <c r="Q1208" s="264"/>
      <c r="R1208" s="264"/>
      <c r="S1208" s="264"/>
      <c r="T1208" s="1056"/>
      <c r="U1208" s="1056"/>
      <c r="V1208" s="1056"/>
      <c r="W1208" s="1056"/>
      <c r="X1208" s="1056"/>
      <c r="Y1208" s="1056"/>
      <c r="Z1208" s="1056"/>
      <c r="AA1208" s="1056"/>
      <c r="AB1208" s="1056"/>
      <c r="AC1208" s="1056"/>
      <c r="AD1208" s="1056"/>
      <c r="AE1208" s="1056"/>
      <c r="AF1208" s="264"/>
    </row>
    <row r="1209" spans="1:32" s="268" customFormat="1" ht="15" x14ac:dyDescent="0.25">
      <c r="A1209" s="264"/>
      <c r="B1209" s="264"/>
      <c r="C1209" s="1056"/>
      <c r="D1209" s="1056"/>
      <c r="E1209" s="1056"/>
      <c r="F1209" s="1056"/>
      <c r="G1209" s="1056"/>
      <c r="H1209" s="1056"/>
      <c r="I1209" s="1056"/>
      <c r="J1209" s="1056"/>
      <c r="K1209" s="1056"/>
      <c r="L1209" s="1056"/>
      <c r="M1209" s="274"/>
      <c r="P1209" s="264"/>
      <c r="Q1209" s="264"/>
      <c r="R1209" s="264"/>
      <c r="S1209" s="264"/>
      <c r="T1209" s="1056"/>
      <c r="U1209" s="1056"/>
      <c r="V1209" s="1056"/>
      <c r="W1209" s="1056"/>
      <c r="X1209" s="1056"/>
      <c r="Y1209" s="1056"/>
      <c r="Z1209" s="1056"/>
      <c r="AA1209" s="1056"/>
      <c r="AB1209" s="1056"/>
      <c r="AC1209" s="1056"/>
      <c r="AD1209" s="1056"/>
      <c r="AE1209" s="1056"/>
      <c r="AF1209" s="264"/>
    </row>
    <row r="1210" spans="1:32" s="268" customFormat="1" ht="15" x14ac:dyDescent="0.25">
      <c r="A1210" s="264"/>
      <c r="B1210" s="264"/>
      <c r="C1210" s="1056"/>
      <c r="D1210" s="1056"/>
      <c r="E1210" s="1056"/>
      <c r="F1210" s="1056"/>
      <c r="G1210" s="1056"/>
      <c r="H1210" s="1056"/>
      <c r="I1210" s="1056"/>
      <c r="J1210" s="1056"/>
      <c r="K1210" s="1056"/>
      <c r="L1210" s="1056"/>
      <c r="M1210" s="274"/>
      <c r="P1210" s="264"/>
      <c r="Q1210" s="264"/>
      <c r="R1210" s="264"/>
      <c r="S1210" s="264"/>
      <c r="T1210" s="1056"/>
      <c r="U1210" s="1056"/>
      <c r="V1210" s="1056"/>
      <c r="W1210" s="1056"/>
      <c r="X1210" s="1056"/>
      <c r="Y1210" s="1056"/>
      <c r="Z1210" s="1056"/>
      <c r="AA1210" s="1056"/>
      <c r="AB1210" s="1056"/>
      <c r="AC1210" s="1056"/>
      <c r="AD1210" s="1056"/>
      <c r="AE1210" s="1056"/>
      <c r="AF1210" s="264"/>
    </row>
    <row r="1211" spans="1:32" s="268" customFormat="1" ht="15" x14ac:dyDescent="0.25">
      <c r="A1211" s="264"/>
      <c r="B1211" s="264"/>
      <c r="C1211" s="1056"/>
      <c r="D1211" s="1056"/>
      <c r="E1211" s="1056"/>
      <c r="F1211" s="1056"/>
      <c r="G1211" s="1056"/>
      <c r="H1211" s="1056"/>
      <c r="I1211" s="1056"/>
      <c r="J1211" s="1056"/>
      <c r="K1211" s="1056"/>
      <c r="L1211" s="1056"/>
      <c r="M1211" s="274"/>
      <c r="P1211" s="264"/>
      <c r="Q1211" s="264"/>
      <c r="R1211" s="264"/>
      <c r="S1211" s="264"/>
      <c r="T1211" s="1056"/>
      <c r="U1211" s="1056"/>
      <c r="V1211" s="1056"/>
      <c r="W1211" s="1056"/>
      <c r="X1211" s="1056"/>
      <c r="Y1211" s="1056"/>
      <c r="Z1211" s="1056"/>
      <c r="AA1211" s="1056"/>
      <c r="AB1211" s="1056"/>
      <c r="AC1211" s="1056"/>
      <c r="AD1211" s="1056"/>
      <c r="AE1211" s="1056"/>
      <c r="AF1211" s="264"/>
    </row>
    <row r="1212" spans="1:32" s="268" customFormat="1" ht="15" x14ac:dyDescent="0.25">
      <c r="A1212" s="264"/>
      <c r="B1212" s="264"/>
      <c r="C1212" s="1056"/>
      <c r="D1212" s="1056"/>
      <c r="E1212" s="1056"/>
      <c r="F1212" s="1056"/>
      <c r="G1212" s="1056"/>
      <c r="H1212" s="1056"/>
      <c r="I1212" s="1056"/>
      <c r="J1212" s="1056"/>
      <c r="K1212" s="1056"/>
      <c r="L1212" s="1056"/>
      <c r="M1212" s="274"/>
      <c r="P1212" s="264"/>
      <c r="Q1212" s="264"/>
      <c r="R1212" s="264"/>
      <c r="S1212" s="264"/>
      <c r="T1212" s="1056"/>
      <c r="U1212" s="1056"/>
      <c r="V1212" s="1056"/>
      <c r="W1212" s="1056"/>
      <c r="X1212" s="1056"/>
      <c r="Y1212" s="1056"/>
      <c r="Z1212" s="1056"/>
      <c r="AA1212" s="1056"/>
      <c r="AB1212" s="1056"/>
      <c r="AC1212" s="1056"/>
      <c r="AD1212" s="1056"/>
      <c r="AE1212" s="1056"/>
      <c r="AF1212" s="264"/>
    </row>
    <row r="1213" spans="1:32" s="268" customFormat="1" ht="15" x14ac:dyDescent="0.25">
      <c r="A1213" s="264"/>
      <c r="B1213" s="264"/>
      <c r="C1213" s="1056"/>
      <c r="D1213" s="1056"/>
      <c r="E1213" s="1056"/>
      <c r="F1213" s="1056"/>
      <c r="G1213" s="1056"/>
      <c r="H1213" s="1056"/>
      <c r="I1213" s="1056"/>
      <c r="J1213" s="1056"/>
      <c r="K1213" s="1056"/>
      <c r="L1213" s="1056"/>
      <c r="M1213" s="274"/>
      <c r="P1213" s="264"/>
      <c r="Q1213" s="264"/>
      <c r="R1213" s="264"/>
      <c r="S1213" s="264"/>
      <c r="T1213" s="1056"/>
      <c r="U1213" s="1056"/>
      <c r="V1213" s="1056"/>
      <c r="W1213" s="1056"/>
      <c r="X1213" s="1056"/>
      <c r="Y1213" s="1056"/>
      <c r="Z1213" s="1056"/>
      <c r="AA1213" s="1056"/>
      <c r="AB1213" s="1056"/>
      <c r="AC1213" s="1056"/>
      <c r="AD1213" s="1056"/>
      <c r="AE1213" s="1056"/>
      <c r="AF1213" s="264"/>
    </row>
    <row r="1214" spans="1:32" s="268" customFormat="1" ht="15" x14ac:dyDescent="0.25">
      <c r="A1214" s="264"/>
      <c r="B1214" s="264"/>
      <c r="C1214" s="1056"/>
      <c r="D1214" s="1056"/>
      <c r="E1214" s="1056"/>
      <c r="F1214" s="1056"/>
      <c r="G1214" s="1056"/>
      <c r="H1214" s="1056"/>
      <c r="I1214" s="1056"/>
      <c r="J1214" s="1056"/>
      <c r="K1214" s="1056"/>
      <c r="L1214" s="1056"/>
      <c r="M1214" s="274"/>
      <c r="P1214" s="264"/>
      <c r="Q1214" s="264"/>
      <c r="R1214" s="264"/>
      <c r="S1214" s="264"/>
      <c r="T1214" s="1056"/>
      <c r="U1214" s="1056"/>
      <c r="V1214" s="1056"/>
      <c r="W1214" s="1056"/>
      <c r="X1214" s="1056"/>
      <c r="Y1214" s="1056"/>
      <c r="Z1214" s="1056"/>
      <c r="AA1214" s="1056"/>
      <c r="AB1214" s="1056"/>
      <c r="AC1214" s="1056"/>
      <c r="AD1214" s="1056"/>
      <c r="AE1214" s="1056"/>
      <c r="AF1214" s="264"/>
    </row>
    <row r="1215" spans="1:32" s="268" customFormat="1" ht="15" x14ac:dyDescent="0.25">
      <c r="A1215" s="264"/>
      <c r="B1215" s="264"/>
      <c r="C1215" s="1056"/>
      <c r="D1215" s="1056"/>
      <c r="E1215" s="1056"/>
      <c r="F1215" s="1056"/>
      <c r="G1215" s="1056"/>
      <c r="H1215" s="1056"/>
      <c r="I1215" s="1056"/>
      <c r="J1215" s="1056"/>
      <c r="K1215" s="1056"/>
      <c r="L1215" s="1056"/>
      <c r="M1215" s="274"/>
      <c r="P1215" s="264"/>
      <c r="Q1215" s="264"/>
      <c r="R1215" s="264"/>
      <c r="S1215" s="264"/>
      <c r="T1215" s="1056"/>
      <c r="U1215" s="1056"/>
      <c r="V1215" s="1056"/>
      <c r="W1215" s="1056"/>
      <c r="X1215" s="1056"/>
      <c r="Y1215" s="1056"/>
      <c r="Z1215" s="1056"/>
      <c r="AA1215" s="1056"/>
      <c r="AB1215" s="1056"/>
      <c r="AC1215" s="1056"/>
      <c r="AD1215" s="1056"/>
      <c r="AE1215" s="1056"/>
      <c r="AF1215" s="264"/>
    </row>
    <row r="1216" spans="1:32" s="268" customFormat="1" ht="15" x14ac:dyDescent="0.25">
      <c r="A1216" s="264"/>
      <c r="B1216" s="264"/>
      <c r="C1216" s="1056"/>
      <c r="D1216" s="1056"/>
      <c r="E1216" s="1056"/>
      <c r="F1216" s="1056"/>
      <c r="G1216" s="1056"/>
      <c r="H1216" s="1056"/>
      <c r="I1216" s="1056"/>
      <c r="J1216" s="1056"/>
      <c r="K1216" s="1056"/>
      <c r="L1216" s="1056"/>
      <c r="M1216" s="274"/>
      <c r="P1216" s="264"/>
      <c r="Q1216" s="264"/>
      <c r="R1216" s="264"/>
      <c r="S1216" s="264"/>
      <c r="T1216" s="1056"/>
      <c r="U1216" s="1056"/>
      <c r="V1216" s="1056"/>
      <c r="W1216" s="1056"/>
      <c r="X1216" s="1056"/>
      <c r="Y1216" s="1056"/>
      <c r="Z1216" s="1056"/>
      <c r="AA1216" s="1056"/>
      <c r="AB1216" s="1056"/>
      <c r="AC1216" s="1056"/>
      <c r="AD1216" s="1056"/>
      <c r="AE1216" s="1056"/>
      <c r="AF1216" s="264"/>
    </row>
    <row r="1217" spans="1:32" s="268" customFormat="1" ht="15" x14ac:dyDescent="0.25">
      <c r="A1217" s="264"/>
      <c r="B1217" s="264"/>
      <c r="C1217" s="1056"/>
      <c r="D1217" s="1056"/>
      <c r="E1217" s="1056"/>
      <c r="F1217" s="1056"/>
      <c r="G1217" s="1056"/>
      <c r="H1217" s="1056"/>
      <c r="I1217" s="1056"/>
      <c r="J1217" s="1056"/>
      <c r="K1217" s="1056"/>
      <c r="L1217" s="1056"/>
      <c r="M1217" s="274"/>
      <c r="P1217" s="264"/>
      <c r="Q1217" s="264"/>
      <c r="R1217" s="264"/>
      <c r="S1217" s="264"/>
      <c r="T1217" s="1056"/>
      <c r="U1217" s="1056"/>
      <c r="V1217" s="1056"/>
      <c r="W1217" s="1056"/>
      <c r="X1217" s="1056"/>
      <c r="Y1217" s="1056"/>
      <c r="Z1217" s="1056"/>
      <c r="AA1217" s="1056"/>
      <c r="AB1217" s="1056"/>
      <c r="AC1217" s="1056"/>
      <c r="AD1217" s="1056"/>
      <c r="AE1217" s="1056"/>
      <c r="AF1217" s="264"/>
    </row>
    <row r="1218" spans="1:32" s="268" customFormat="1" ht="15" x14ac:dyDescent="0.25">
      <c r="A1218" s="264"/>
      <c r="B1218" s="264"/>
      <c r="C1218" s="1056"/>
      <c r="D1218" s="1056"/>
      <c r="E1218" s="1056"/>
      <c r="F1218" s="1056"/>
      <c r="G1218" s="1056"/>
      <c r="H1218" s="1056"/>
      <c r="I1218" s="1056"/>
      <c r="J1218" s="1056"/>
      <c r="K1218" s="1056"/>
      <c r="L1218" s="1056"/>
      <c r="M1218" s="274"/>
      <c r="P1218" s="264"/>
      <c r="Q1218" s="264"/>
      <c r="R1218" s="264"/>
      <c r="S1218" s="264"/>
      <c r="T1218" s="1056"/>
      <c r="U1218" s="1056"/>
      <c r="V1218" s="1056"/>
      <c r="W1218" s="1056"/>
      <c r="X1218" s="1056"/>
      <c r="Y1218" s="1056"/>
      <c r="Z1218" s="1056"/>
      <c r="AA1218" s="1056"/>
      <c r="AB1218" s="1056"/>
      <c r="AC1218" s="1056"/>
      <c r="AD1218" s="1056"/>
      <c r="AE1218" s="1056"/>
      <c r="AF1218" s="264"/>
    </row>
    <row r="1219" spans="1:32" s="268" customFormat="1" ht="15" x14ac:dyDescent="0.25">
      <c r="A1219" s="264"/>
      <c r="B1219" s="264"/>
      <c r="C1219" s="1056"/>
      <c r="D1219" s="1056"/>
      <c r="E1219" s="1056"/>
      <c r="F1219" s="1056"/>
      <c r="G1219" s="1056"/>
      <c r="H1219" s="1056"/>
      <c r="I1219" s="1056"/>
      <c r="J1219" s="1056"/>
      <c r="K1219" s="1056"/>
      <c r="L1219" s="1056"/>
      <c r="M1219" s="274"/>
      <c r="P1219" s="264"/>
      <c r="Q1219" s="264"/>
      <c r="R1219" s="264"/>
      <c r="S1219" s="264"/>
      <c r="T1219" s="1056"/>
      <c r="U1219" s="1056"/>
      <c r="V1219" s="1056"/>
      <c r="W1219" s="1056"/>
      <c r="X1219" s="1056"/>
      <c r="Y1219" s="1056"/>
      <c r="Z1219" s="1056"/>
      <c r="AA1219" s="1056"/>
      <c r="AB1219" s="1056"/>
      <c r="AC1219" s="1056"/>
      <c r="AD1219" s="1056"/>
      <c r="AE1219" s="1056"/>
      <c r="AF1219" s="264"/>
    </row>
    <row r="1220" spans="1:32" s="268" customFormat="1" ht="15" x14ac:dyDescent="0.25">
      <c r="A1220" s="264"/>
      <c r="B1220" s="264"/>
      <c r="C1220" s="1056"/>
      <c r="D1220" s="1056"/>
      <c r="E1220" s="1056"/>
      <c r="F1220" s="1056"/>
      <c r="G1220" s="1056"/>
      <c r="H1220" s="1056"/>
      <c r="I1220" s="1056"/>
      <c r="J1220" s="1056"/>
      <c r="K1220" s="1056"/>
      <c r="L1220" s="1056"/>
      <c r="M1220" s="274"/>
      <c r="P1220" s="264"/>
      <c r="Q1220" s="264"/>
      <c r="R1220" s="264"/>
      <c r="S1220" s="264"/>
      <c r="T1220" s="1056"/>
      <c r="U1220" s="1056"/>
      <c r="V1220" s="1056"/>
      <c r="W1220" s="1056"/>
      <c r="X1220" s="1056"/>
      <c r="Y1220" s="1056"/>
      <c r="Z1220" s="1056"/>
      <c r="AA1220" s="1056"/>
      <c r="AB1220" s="1056"/>
      <c r="AC1220" s="1056"/>
      <c r="AD1220" s="1056"/>
      <c r="AE1220" s="1056"/>
      <c r="AF1220" s="264"/>
    </row>
    <row r="1221" spans="1:32" s="268" customFormat="1" ht="15" x14ac:dyDescent="0.25">
      <c r="A1221" s="264"/>
      <c r="B1221" s="264"/>
      <c r="C1221" s="1056"/>
      <c r="D1221" s="1056"/>
      <c r="E1221" s="1056"/>
      <c r="F1221" s="1056"/>
      <c r="G1221" s="1056"/>
      <c r="H1221" s="1056"/>
      <c r="I1221" s="1056"/>
      <c r="J1221" s="1056"/>
      <c r="K1221" s="1056"/>
      <c r="L1221" s="1056"/>
      <c r="M1221" s="274"/>
      <c r="P1221" s="264"/>
      <c r="Q1221" s="264"/>
      <c r="R1221" s="264"/>
      <c r="S1221" s="264"/>
      <c r="T1221" s="1056"/>
      <c r="U1221" s="1056"/>
      <c r="V1221" s="1056"/>
      <c r="W1221" s="1056"/>
      <c r="X1221" s="1056"/>
      <c r="Y1221" s="1056"/>
      <c r="Z1221" s="1056"/>
      <c r="AA1221" s="1056"/>
      <c r="AB1221" s="1056"/>
      <c r="AC1221" s="1056"/>
      <c r="AD1221" s="1056"/>
      <c r="AE1221" s="1056"/>
      <c r="AF1221" s="264"/>
    </row>
    <row r="1222" spans="1:32" s="268" customFormat="1" ht="15" x14ac:dyDescent="0.25">
      <c r="A1222" s="264"/>
      <c r="B1222" s="264"/>
      <c r="C1222" s="1056"/>
      <c r="D1222" s="1056"/>
      <c r="E1222" s="1056"/>
      <c r="F1222" s="1056"/>
      <c r="G1222" s="1056"/>
      <c r="H1222" s="1056"/>
      <c r="I1222" s="1056"/>
      <c r="J1222" s="1056"/>
      <c r="K1222" s="1056"/>
      <c r="L1222" s="1056"/>
      <c r="M1222" s="274"/>
      <c r="P1222" s="264"/>
      <c r="Q1222" s="264"/>
      <c r="R1222" s="264"/>
      <c r="S1222" s="264"/>
      <c r="T1222" s="1056"/>
      <c r="U1222" s="1056"/>
      <c r="V1222" s="1056"/>
      <c r="W1222" s="1056"/>
      <c r="X1222" s="1056"/>
      <c r="Y1222" s="1056"/>
      <c r="Z1222" s="1056"/>
      <c r="AA1222" s="1056"/>
      <c r="AB1222" s="1056"/>
      <c r="AC1222" s="1056"/>
      <c r="AD1222" s="1056"/>
      <c r="AE1222" s="1056"/>
      <c r="AF1222" s="264"/>
    </row>
    <row r="1223" spans="1:32" s="268" customFormat="1" ht="15" x14ac:dyDescent="0.25">
      <c r="A1223" s="264"/>
      <c r="B1223" s="264"/>
      <c r="C1223" s="1056"/>
      <c r="D1223" s="1056"/>
      <c r="E1223" s="1056"/>
      <c r="F1223" s="1056"/>
      <c r="G1223" s="1056"/>
      <c r="H1223" s="1056"/>
      <c r="I1223" s="1056"/>
      <c r="J1223" s="1056"/>
      <c r="K1223" s="1056"/>
      <c r="L1223" s="1056"/>
      <c r="M1223" s="274"/>
      <c r="P1223" s="264"/>
      <c r="Q1223" s="264"/>
      <c r="R1223" s="264"/>
      <c r="S1223" s="264"/>
      <c r="T1223" s="1056"/>
      <c r="U1223" s="1056"/>
      <c r="V1223" s="1056"/>
      <c r="W1223" s="1056"/>
      <c r="X1223" s="1056"/>
      <c r="Y1223" s="1056"/>
      <c r="Z1223" s="1056"/>
      <c r="AA1223" s="1056"/>
      <c r="AB1223" s="1056"/>
      <c r="AC1223" s="1056"/>
      <c r="AD1223" s="1056"/>
      <c r="AE1223" s="1056"/>
      <c r="AF1223" s="264"/>
    </row>
    <row r="1224" spans="1:32" s="268" customFormat="1" ht="15" x14ac:dyDescent="0.25">
      <c r="A1224" s="264"/>
      <c r="B1224" s="264"/>
      <c r="C1224" s="1056"/>
      <c r="D1224" s="1056"/>
      <c r="E1224" s="1056"/>
      <c r="F1224" s="1056"/>
      <c r="G1224" s="1056"/>
      <c r="H1224" s="1056"/>
      <c r="I1224" s="1056"/>
      <c r="J1224" s="1056"/>
      <c r="K1224" s="1056"/>
      <c r="L1224" s="1056"/>
      <c r="M1224" s="274"/>
      <c r="P1224" s="264"/>
      <c r="Q1224" s="264"/>
      <c r="R1224" s="264"/>
      <c r="S1224" s="264"/>
      <c r="T1224" s="1056"/>
      <c r="U1224" s="1056"/>
      <c r="V1224" s="1056"/>
      <c r="W1224" s="1056"/>
      <c r="X1224" s="1056"/>
      <c r="Y1224" s="1056"/>
      <c r="Z1224" s="1056"/>
      <c r="AA1224" s="1056"/>
      <c r="AB1224" s="1056"/>
      <c r="AC1224" s="1056"/>
      <c r="AD1224" s="1056"/>
      <c r="AE1224" s="1056"/>
      <c r="AF1224" s="264"/>
    </row>
    <row r="1225" spans="1:32" s="268" customFormat="1" ht="15" x14ac:dyDescent="0.25">
      <c r="A1225" s="264"/>
      <c r="B1225" s="264"/>
      <c r="C1225" s="1056"/>
      <c r="D1225" s="1056"/>
      <c r="E1225" s="1056"/>
      <c r="F1225" s="1056"/>
      <c r="G1225" s="1056"/>
      <c r="H1225" s="1056"/>
      <c r="I1225" s="1056"/>
      <c r="J1225" s="1056"/>
      <c r="K1225" s="1056"/>
      <c r="L1225" s="1056"/>
      <c r="M1225" s="274"/>
      <c r="P1225" s="264"/>
      <c r="Q1225" s="264"/>
      <c r="R1225" s="264"/>
      <c r="S1225" s="264"/>
      <c r="T1225" s="1056"/>
      <c r="U1225" s="1056"/>
      <c r="V1225" s="1056"/>
      <c r="W1225" s="1056"/>
      <c r="X1225" s="1056"/>
      <c r="Y1225" s="1056"/>
      <c r="Z1225" s="1056"/>
      <c r="AA1225" s="1056"/>
      <c r="AB1225" s="1056"/>
      <c r="AC1225" s="1056"/>
      <c r="AD1225" s="1056"/>
      <c r="AE1225" s="1056"/>
      <c r="AF1225" s="264"/>
    </row>
    <row r="1226" spans="1:32" s="268" customFormat="1" ht="15" x14ac:dyDescent="0.25">
      <c r="A1226" s="264"/>
      <c r="B1226" s="264"/>
      <c r="C1226" s="1056"/>
      <c r="D1226" s="1056"/>
      <c r="E1226" s="1056"/>
      <c r="F1226" s="1056"/>
      <c r="G1226" s="1056"/>
      <c r="H1226" s="1056"/>
      <c r="I1226" s="1056"/>
      <c r="J1226" s="1056"/>
      <c r="K1226" s="1056"/>
      <c r="L1226" s="1056"/>
      <c r="M1226" s="274"/>
      <c r="P1226" s="264"/>
      <c r="Q1226" s="264"/>
      <c r="R1226" s="264"/>
      <c r="S1226" s="264"/>
      <c r="T1226" s="1056"/>
      <c r="U1226" s="1056"/>
      <c r="V1226" s="1056"/>
      <c r="W1226" s="1056"/>
      <c r="X1226" s="1056"/>
      <c r="Y1226" s="1056"/>
      <c r="Z1226" s="1056"/>
      <c r="AA1226" s="1056"/>
      <c r="AB1226" s="1056"/>
      <c r="AC1226" s="1056"/>
      <c r="AD1226" s="1056"/>
      <c r="AE1226" s="1056"/>
      <c r="AF1226" s="264"/>
    </row>
    <row r="1227" spans="1:32" s="268" customFormat="1" ht="15" x14ac:dyDescent="0.25">
      <c r="A1227" s="264"/>
      <c r="B1227" s="264"/>
      <c r="C1227" s="1056"/>
      <c r="D1227" s="1056"/>
      <c r="E1227" s="1056"/>
      <c r="F1227" s="1056"/>
      <c r="G1227" s="1056"/>
      <c r="H1227" s="1056"/>
      <c r="I1227" s="1056"/>
      <c r="J1227" s="1056"/>
      <c r="K1227" s="1056"/>
      <c r="L1227" s="1056"/>
      <c r="M1227" s="274"/>
      <c r="P1227" s="264"/>
      <c r="Q1227" s="264"/>
      <c r="R1227" s="264"/>
      <c r="S1227" s="264"/>
      <c r="T1227" s="1056"/>
      <c r="U1227" s="1056"/>
      <c r="V1227" s="1056"/>
      <c r="W1227" s="1056"/>
      <c r="X1227" s="1056"/>
      <c r="Y1227" s="1056"/>
      <c r="Z1227" s="1056"/>
      <c r="AA1227" s="1056"/>
      <c r="AB1227" s="1056"/>
      <c r="AC1227" s="1056"/>
      <c r="AD1227" s="1056"/>
      <c r="AE1227" s="1056"/>
      <c r="AF1227" s="264"/>
    </row>
    <row r="1228" spans="1:32" s="268" customFormat="1" ht="15" x14ac:dyDescent="0.25">
      <c r="A1228" s="264"/>
      <c r="B1228" s="264"/>
      <c r="C1228" s="1056"/>
      <c r="D1228" s="1056"/>
      <c r="E1228" s="1056"/>
      <c r="F1228" s="1056"/>
      <c r="G1228" s="1056"/>
      <c r="H1228" s="1056"/>
      <c r="I1228" s="1056"/>
      <c r="J1228" s="1056"/>
      <c r="K1228" s="1056"/>
      <c r="L1228" s="1056"/>
      <c r="M1228" s="274"/>
      <c r="P1228" s="264"/>
      <c r="Q1228" s="264"/>
      <c r="R1228" s="264"/>
      <c r="S1228" s="264"/>
      <c r="T1228" s="1056"/>
      <c r="U1228" s="1056"/>
      <c r="V1228" s="1056"/>
      <c r="W1228" s="1056"/>
      <c r="X1228" s="1056"/>
      <c r="Y1228" s="1056"/>
      <c r="Z1228" s="1056"/>
      <c r="AA1228" s="1056"/>
      <c r="AB1228" s="1056"/>
      <c r="AC1228" s="1056"/>
      <c r="AD1228" s="1056"/>
      <c r="AE1228" s="1056"/>
      <c r="AF1228" s="264"/>
    </row>
    <row r="1229" spans="1:32" s="268" customFormat="1" ht="15" x14ac:dyDescent="0.25">
      <c r="A1229" s="264"/>
      <c r="B1229" s="264"/>
      <c r="C1229" s="1056"/>
      <c r="D1229" s="1056"/>
      <c r="E1229" s="1056"/>
      <c r="F1229" s="1056"/>
      <c r="G1229" s="1056"/>
      <c r="H1229" s="1056"/>
      <c r="I1229" s="1056"/>
      <c r="J1229" s="1056"/>
      <c r="K1229" s="1056"/>
      <c r="L1229" s="1056"/>
      <c r="M1229" s="274"/>
      <c r="P1229" s="264"/>
      <c r="Q1229" s="264"/>
      <c r="R1229" s="264"/>
      <c r="S1229" s="264"/>
      <c r="T1229" s="1056"/>
      <c r="U1229" s="1056"/>
      <c r="V1229" s="1056"/>
      <c r="W1229" s="1056"/>
      <c r="X1229" s="1056"/>
      <c r="Y1229" s="1056"/>
      <c r="Z1229" s="1056"/>
      <c r="AA1229" s="1056"/>
      <c r="AB1229" s="1056"/>
      <c r="AC1229" s="1056"/>
      <c r="AD1229" s="1056"/>
      <c r="AE1229" s="1056"/>
      <c r="AF1229" s="264"/>
    </row>
    <row r="1230" spans="1:32" s="268" customFormat="1" ht="15" x14ac:dyDescent="0.25">
      <c r="A1230" s="264"/>
      <c r="B1230" s="264"/>
      <c r="C1230" s="1056"/>
      <c r="D1230" s="1056"/>
      <c r="E1230" s="1056"/>
      <c r="F1230" s="1056"/>
      <c r="G1230" s="1056"/>
      <c r="H1230" s="1056"/>
      <c r="I1230" s="1056"/>
      <c r="J1230" s="1056"/>
      <c r="K1230" s="1056"/>
      <c r="L1230" s="1056"/>
      <c r="M1230" s="274"/>
      <c r="P1230" s="264"/>
      <c r="Q1230" s="264"/>
      <c r="R1230" s="264"/>
      <c r="S1230" s="264"/>
      <c r="T1230" s="1056"/>
      <c r="U1230" s="1056"/>
      <c r="V1230" s="1056"/>
      <c r="W1230" s="1056"/>
      <c r="X1230" s="1056"/>
      <c r="Y1230" s="1056"/>
      <c r="Z1230" s="1056"/>
      <c r="AA1230" s="1056"/>
      <c r="AB1230" s="1056"/>
      <c r="AC1230" s="1056"/>
      <c r="AD1230" s="1056"/>
      <c r="AE1230" s="1056"/>
      <c r="AF1230" s="264"/>
    </row>
    <row r="1231" spans="1:32" s="268" customFormat="1" ht="15" x14ac:dyDescent="0.25">
      <c r="A1231" s="264"/>
      <c r="B1231" s="264"/>
      <c r="C1231" s="1056"/>
      <c r="D1231" s="1056"/>
      <c r="E1231" s="1056"/>
      <c r="F1231" s="1056"/>
      <c r="G1231" s="1056"/>
      <c r="H1231" s="1056"/>
      <c r="I1231" s="1056"/>
      <c r="J1231" s="1056"/>
      <c r="K1231" s="1056"/>
      <c r="L1231" s="1056"/>
      <c r="M1231" s="274"/>
      <c r="P1231" s="264"/>
      <c r="Q1231" s="264"/>
      <c r="R1231" s="264"/>
      <c r="S1231" s="264"/>
      <c r="T1231" s="1056"/>
      <c r="U1231" s="1056"/>
      <c r="V1231" s="1056"/>
      <c r="W1231" s="1056"/>
      <c r="X1231" s="1056"/>
      <c r="Y1231" s="1056"/>
      <c r="Z1231" s="1056"/>
      <c r="AA1231" s="1056"/>
      <c r="AB1231" s="1056"/>
      <c r="AC1231" s="1056"/>
      <c r="AD1231" s="1056"/>
      <c r="AE1231" s="1056"/>
      <c r="AF1231" s="264"/>
    </row>
    <row r="1232" spans="1:32" s="268" customFormat="1" ht="15" x14ac:dyDescent="0.25">
      <c r="A1232" s="264"/>
      <c r="B1232" s="264"/>
      <c r="C1232" s="1056"/>
      <c r="D1232" s="1056"/>
      <c r="E1232" s="1056"/>
      <c r="F1232" s="1056"/>
      <c r="G1232" s="1056"/>
      <c r="H1232" s="1056"/>
      <c r="I1232" s="1056"/>
      <c r="J1232" s="1056"/>
      <c r="K1232" s="1056"/>
      <c r="L1232" s="1056"/>
      <c r="M1232" s="274"/>
      <c r="P1232" s="264"/>
      <c r="Q1232" s="264"/>
      <c r="R1232" s="264"/>
      <c r="S1232" s="264"/>
      <c r="T1232" s="1056"/>
      <c r="U1232" s="1056"/>
      <c r="V1232" s="1056"/>
      <c r="W1232" s="1056"/>
      <c r="X1232" s="1056"/>
      <c r="Y1232" s="1056"/>
      <c r="Z1232" s="1056"/>
      <c r="AA1232" s="1056"/>
      <c r="AB1232" s="1056"/>
      <c r="AC1232" s="1056"/>
      <c r="AD1232" s="1056"/>
      <c r="AE1232" s="1056"/>
      <c r="AF1232" s="264"/>
    </row>
    <row r="1233" spans="1:32" s="268" customFormat="1" ht="15" x14ac:dyDescent="0.25">
      <c r="A1233" s="264"/>
      <c r="B1233" s="264"/>
      <c r="C1233" s="1056"/>
      <c r="D1233" s="1056"/>
      <c r="E1233" s="1056"/>
      <c r="F1233" s="1056"/>
      <c r="G1233" s="1056"/>
      <c r="H1233" s="1056"/>
      <c r="I1233" s="1056"/>
      <c r="J1233" s="1056"/>
      <c r="K1233" s="1056"/>
      <c r="L1233" s="1056"/>
      <c r="M1233" s="274"/>
      <c r="P1233" s="264"/>
      <c r="Q1233" s="264"/>
      <c r="R1233" s="264"/>
      <c r="S1233" s="264"/>
      <c r="T1233" s="1056"/>
      <c r="U1233" s="1056"/>
      <c r="V1233" s="1056"/>
      <c r="W1233" s="1056"/>
      <c r="X1233" s="1056"/>
      <c r="Y1233" s="1056"/>
      <c r="Z1233" s="1056"/>
      <c r="AA1233" s="1056"/>
      <c r="AB1233" s="1056"/>
      <c r="AC1233" s="1056"/>
      <c r="AD1233" s="1056"/>
      <c r="AE1233" s="1056"/>
      <c r="AF1233" s="264"/>
    </row>
    <row r="1234" spans="1:32" s="268" customFormat="1" ht="15" x14ac:dyDescent="0.25">
      <c r="A1234" s="264"/>
      <c r="B1234" s="264"/>
      <c r="C1234" s="1056"/>
      <c r="D1234" s="1056"/>
      <c r="E1234" s="1056"/>
      <c r="F1234" s="1056"/>
      <c r="G1234" s="1056"/>
      <c r="H1234" s="1056"/>
      <c r="I1234" s="1056"/>
      <c r="J1234" s="1056"/>
      <c r="K1234" s="1056"/>
      <c r="L1234" s="1056"/>
      <c r="M1234" s="274"/>
      <c r="P1234" s="264"/>
      <c r="Q1234" s="264"/>
      <c r="R1234" s="264"/>
      <c r="S1234" s="264"/>
      <c r="T1234" s="1056"/>
      <c r="U1234" s="1056"/>
      <c r="V1234" s="1056"/>
      <c r="W1234" s="1056"/>
      <c r="X1234" s="1056"/>
      <c r="Y1234" s="1056"/>
      <c r="Z1234" s="1056"/>
      <c r="AA1234" s="1056"/>
      <c r="AB1234" s="1056"/>
      <c r="AC1234" s="1056"/>
      <c r="AD1234" s="1056"/>
      <c r="AE1234" s="1056"/>
      <c r="AF1234" s="264"/>
    </row>
    <row r="1235" spans="1:32" s="268" customFormat="1" ht="15" x14ac:dyDescent="0.25">
      <c r="A1235" s="264"/>
      <c r="B1235" s="264"/>
      <c r="C1235" s="1056"/>
      <c r="D1235" s="1056"/>
      <c r="E1235" s="1056"/>
      <c r="F1235" s="1056"/>
      <c r="G1235" s="1056"/>
      <c r="H1235" s="1056"/>
      <c r="I1235" s="1056"/>
      <c r="J1235" s="1056"/>
      <c r="K1235" s="1056"/>
      <c r="L1235" s="1056"/>
      <c r="M1235" s="274"/>
      <c r="P1235" s="264"/>
      <c r="Q1235" s="264"/>
      <c r="R1235" s="264"/>
      <c r="S1235" s="264"/>
      <c r="T1235" s="1056"/>
      <c r="U1235" s="1056"/>
      <c r="V1235" s="1056"/>
      <c r="W1235" s="1056"/>
      <c r="X1235" s="1056"/>
      <c r="Y1235" s="1056"/>
      <c r="Z1235" s="1056"/>
      <c r="AA1235" s="1056"/>
      <c r="AB1235" s="1056"/>
      <c r="AC1235" s="1056"/>
      <c r="AD1235" s="1056"/>
      <c r="AE1235" s="1056"/>
      <c r="AF1235" s="264"/>
    </row>
    <row r="1236" spans="1:32" s="268" customFormat="1" ht="15" x14ac:dyDescent="0.25">
      <c r="A1236" s="264"/>
      <c r="B1236" s="264"/>
      <c r="C1236" s="1056"/>
      <c r="D1236" s="1056"/>
      <c r="E1236" s="1056"/>
      <c r="F1236" s="1056"/>
      <c r="G1236" s="1056"/>
      <c r="H1236" s="1056"/>
      <c r="I1236" s="1056"/>
      <c r="J1236" s="1056"/>
      <c r="K1236" s="1056"/>
      <c r="L1236" s="1056"/>
      <c r="M1236" s="274"/>
      <c r="P1236" s="264"/>
      <c r="Q1236" s="264"/>
      <c r="R1236" s="264"/>
      <c r="S1236" s="264"/>
      <c r="T1236" s="1056"/>
      <c r="U1236" s="1056"/>
      <c r="V1236" s="1056"/>
      <c r="W1236" s="1056"/>
      <c r="X1236" s="1056"/>
      <c r="Y1236" s="1056"/>
      <c r="Z1236" s="1056"/>
      <c r="AA1236" s="1056"/>
      <c r="AB1236" s="1056"/>
      <c r="AC1236" s="1056"/>
      <c r="AD1236" s="1056"/>
      <c r="AE1236" s="1056"/>
      <c r="AF1236" s="264"/>
    </row>
    <row r="1237" spans="1:32" s="268" customFormat="1" ht="15" x14ac:dyDescent="0.25">
      <c r="A1237" s="264"/>
      <c r="B1237" s="264"/>
      <c r="C1237" s="1056"/>
      <c r="D1237" s="1056"/>
      <c r="E1237" s="1056"/>
      <c r="F1237" s="1056"/>
      <c r="G1237" s="1056"/>
      <c r="H1237" s="1056"/>
      <c r="I1237" s="1056"/>
      <c r="J1237" s="1056"/>
      <c r="K1237" s="1056"/>
      <c r="L1237" s="1056"/>
      <c r="M1237" s="274"/>
      <c r="P1237" s="264"/>
      <c r="Q1237" s="264"/>
      <c r="R1237" s="264"/>
      <c r="S1237" s="264"/>
      <c r="T1237" s="1056"/>
      <c r="U1237" s="1056"/>
      <c r="V1237" s="1056"/>
      <c r="W1237" s="1056"/>
      <c r="X1237" s="1056"/>
      <c r="Y1237" s="1056"/>
      <c r="Z1237" s="1056"/>
      <c r="AA1237" s="1056"/>
      <c r="AB1237" s="1056"/>
      <c r="AC1237" s="1056"/>
      <c r="AD1237" s="1056"/>
      <c r="AE1237" s="1056"/>
      <c r="AF1237" s="264"/>
    </row>
    <row r="1238" spans="1:32" s="268" customFormat="1" ht="15" x14ac:dyDescent="0.25">
      <c r="A1238" s="264"/>
      <c r="B1238" s="264"/>
      <c r="C1238" s="1056"/>
      <c r="D1238" s="1056"/>
      <c r="E1238" s="1056"/>
      <c r="F1238" s="1056"/>
      <c r="G1238" s="1056"/>
      <c r="H1238" s="1056"/>
      <c r="I1238" s="1056"/>
      <c r="J1238" s="1056"/>
      <c r="K1238" s="1056"/>
      <c r="L1238" s="1056"/>
      <c r="M1238" s="274"/>
      <c r="P1238" s="264"/>
      <c r="Q1238" s="264"/>
      <c r="R1238" s="264"/>
      <c r="S1238" s="264"/>
      <c r="T1238" s="1056"/>
      <c r="U1238" s="1056"/>
      <c r="V1238" s="1056"/>
      <c r="W1238" s="1056"/>
      <c r="X1238" s="1056"/>
      <c r="Y1238" s="1056"/>
      <c r="Z1238" s="1056"/>
      <c r="AA1238" s="1056"/>
      <c r="AB1238" s="1056"/>
      <c r="AC1238" s="1056"/>
      <c r="AD1238" s="1056"/>
      <c r="AE1238" s="1056"/>
      <c r="AF1238" s="264"/>
    </row>
    <row r="1239" spans="1:32" s="268" customFormat="1" ht="15" x14ac:dyDescent="0.25">
      <c r="A1239" s="264"/>
      <c r="B1239" s="264"/>
      <c r="C1239" s="1056"/>
      <c r="D1239" s="1056"/>
      <c r="E1239" s="1056"/>
      <c r="F1239" s="1056"/>
      <c r="G1239" s="1056"/>
      <c r="H1239" s="1056"/>
      <c r="I1239" s="1056"/>
      <c r="J1239" s="1056"/>
      <c r="K1239" s="1056"/>
      <c r="L1239" s="1056"/>
      <c r="M1239" s="274"/>
      <c r="P1239" s="264"/>
      <c r="Q1239" s="264"/>
      <c r="R1239" s="264"/>
      <c r="S1239" s="264"/>
      <c r="T1239" s="1056"/>
      <c r="U1239" s="1056"/>
      <c r="V1239" s="1056"/>
      <c r="W1239" s="1056"/>
      <c r="X1239" s="1056"/>
      <c r="Y1239" s="1056"/>
      <c r="Z1239" s="1056"/>
      <c r="AA1239" s="1056"/>
      <c r="AB1239" s="1056"/>
      <c r="AC1239" s="1056"/>
      <c r="AD1239" s="1056"/>
      <c r="AE1239" s="1056"/>
      <c r="AF1239" s="264"/>
    </row>
    <row r="1240" spans="1:32" s="268" customFormat="1" ht="15" x14ac:dyDescent="0.25">
      <c r="A1240" s="264"/>
      <c r="B1240" s="264"/>
      <c r="C1240" s="1056"/>
      <c r="D1240" s="1056"/>
      <c r="E1240" s="1056"/>
      <c r="F1240" s="1056"/>
      <c r="G1240" s="1056"/>
      <c r="H1240" s="1056"/>
      <c r="I1240" s="1056"/>
      <c r="J1240" s="1056"/>
      <c r="K1240" s="1056"/>
      <c r="L1240" s="1056"/>
      <c r="M1240" s="274"/>
      <c r="P1240" s="264"/>
      <c r="Q1240" s="264"/>
      <c r="R1240" s="264"/>
      <c r="S1240" s="264"/>
      <c r="T1240" s="1056"/>
      <c r="U1240" s="1056"/>
      <c r="V1240" s="1056"/>
      <c r="W1240" s="1056"/>
      <c r="X1240" s="1056"/>
      <c r="Y1240" s="1056"/>
      <c r="Z1240" s="1056"/>
      <c r="AA1240" s="1056"/>
      <c r="AB1240" s="1056"/>
      <c r="AC1240" s="1056"/>
      <c r="AD1240" s="1056"/>
      <c r="AE1240" s="1056"/>
      <c r="AF1240" s="264"/>
    </row>
    <row r="1241" spans="1:32" s="268" customFormat="1" ht="15" x14ac:dyDescent="0.25">
      <c r="A1241" s="264"/>
      <c r="B1241" s="264"/>
      <c r="C1241" s="1056"/>
      <c r="D1241" s="1056"/>
      <c r="E1241" s="1056"/>
      <c r="F1241" s="1056"/>
      <c r="G1241" s="1056"/>
      <c r="H1241" s="1056"/>
      <c r="I1241" s="1056"/>
      <c r="J1241" s="1056"/>
      <c r="K1241" s="1056"/>
      <c r="L1241" s="1056"/>
      <c r="M1241" s="274"/>
      <c r="P1241" s="264"/>
      <c r="Q1241" s="264"/>
      <c r="R1241" s="264"/>
      <c r="S1241" s="264"/>
      <c r="T1241" s="1056"/>
      <c r="U1241" s="1056"/>
      <c r="V1241" s="1056"/>
      <c r="W1241" s="1056"/>
      <c r="X1241" s="1056"/>
      <c r="Y1241" s="1056"/>
      <c r="Z1241" s="1056"/>
      <c r="AA1241" s="1056"/>
      <c r="AB1241" s="1056"/>
      <c r="AC1241" s="1056"/>
      <c r="AD1241" s="1056"/>
      <c r="AE1241" s="1056"/>
      <c r="AF1241" s="264"/>
    </row>
    <row r="1242" spans="1:32" s="268" customFormat="1" ht="15" x14ac:dyDescent="0.25">
      <c r="A1242" s="264"/>
      <c r="B1242" s="264"/>
      <c r="C1242" s="1056"/>
      <c r="D1242" s="1056"/>
      <c r="E1242" s="1056"/>
      <c r="F1242" s="1056"/>
      <c r="G1242" s="1056"/>
      <c r="H1242" s="1056"/>
      <c r="I1242" s="1056"/>
      <c r="J1242" s="1056"/>
      <c r="K1242" s="1056"/>
      <c r="L1242" s="1056"/>
      <c r="M1242" s="274"/>
      <c r="P1242" s="264"/>
      <c r="Q1242" s="264"/>
      <c r="R1242" s="264"/>
      <c r="S1242" s="264"/>
      <c r="T1242" s="1056"/>
      <c r="U1242" s="1056"/>
      <c r="V1242" s="1056"/>
      <c r="W1242" s="1056"/>
      <c r="X1242" s="1056"/>
      <c r="Y1242" s="1056"/>
      <c r="Z1242" s="1056"/>
      <c r="AA1242" s="1056"/>
      <c r="AB1242" s="1056"/>
      <c r="AC1242" s="1056"/>
      <c r="AD1242" s="1056"/>
      <c r="AE1242" s="1056"/>
      <c r="AF1242" s="264"/>
    </row>
    <row r="1243" spans="1:32" s="268" customFormat="1" ht="15" x14ac:dyDescent="0.25">
      <c r="A1243" s="264"/>
      <c r="B1243" s="264"/>
      <c r="C1243" s="1056"/>
      <c r="D1243" s="1056"/>
      <c r="E1243" s="1056"/>
      <c r="F1243" s="1056"/>
      <c r="G1243" s="1056"/>
      <c r="H1243" s="1056"/>
      <c r="I1243" s="1056"/>
      <c r="J1243" s="1056"/>
      <c r="K1243" s="1056"/>
      <c r="L1243" s="1056"/>
      <c r="M1243" s="274"/>
      <c r="P1243" s="264"/>
      <c r="Q1243" s="264"/>
      <c r="R1243" s="264"/>
      <c r="S1243" s="264"/>
      <c r="T1243" s="1056"/>
      <c r="U1243" s="1056"/>
      <c r="V1243" s="1056"/>
      <c r="W1243" s="1056"/>
      <c r="X1243" s="1056"/>
      <c r="Y1243" s="1056"/>
      <c r="Z1243" s="1056"/>
      <c r="AA1243" s="1056"/>
      <c r="AB1243" s="1056"/>
      <c r="AC1243" s="1056"/>
      <c r="AD1243" s="1056"/>
      <c r="AE1243" s="1056"/>
      <c r="AF1243" s="264"/>
    </row>
    <row r="1244" spans="1:32" s="268" customFormat="1" ht="15" x14ac:dyDescent="0.25">
      <c r="A1244" s="264"/>
      <c r="B1244" s="264"/>
      <c r="C1244" s="1056"/>
      <c r="D1244" s="1056"/>
      <c r="E1244" s="1056"/>
      <c r="F1244" s="1056"/>
      <c r="G1244" s="1056"/>
      <c r="H1244" s="1056"/>
      <c r="I1244" s="1056"/>
      <c r="J1244" s="1056"/>
      <c r="K1244" s="1056"/>
      <c r="L1244" s="1056"/>
      <c r="M1244" s="274"/>
      <c r="P1244" s="264"/>
      <c r="Q1244" s="264"/>
      <c r="R1244" s="264"/>
      <c r="S1244" s="264"/>
      <c r="T1244" s="1056"/>
      <c r="U1244" s="1056"/>
      <c r="V1244" s="1056"/>
      <c r="W1244" s="1056"/>
      <c r="X1244" s="1056"/>
      <c r="Y1244" s="1056"/>
      <c r="Z1244" s="1056"/>
      <c r="AA1244" s="1056"/>
      <c r="AB1244" s="1056"/>
      <c r="AC1244" s="1056"/>
      <c r="AD1244" s="1056"/>
      <c r="AE1244" s="1056"/>
      <c r="AF1244" s="264"/>
    </row>
    <row r="1245" spans="1:32" s="268" customFormat="1" ht="15" x14ac:dyDescent="0.25">
      <c r="A1245" s="264"/>
      <c r="B1245" s="264"/>
      <c r="C1245" s="1056"/>
      <c r="D1245" s="1056"/>
      <c r="E1245" s="1056"/>
      <c r="F1245" s="1056"/>
      <c r="G1245" s="1056"/>
      <c r="H1245" s="1056"/>
      <c r="I1245" s="1056"/>
      <c r="J1245" s="1056"/>
      <c r="K1245" s="1056"/>
      <c r="L1245" s="1056"/>
      <c r="M1245" s="274"/>
      <c r="P1245" s="264"/>
      <c r="Q1245" s="264"/>
      <c r="R1245" s="264"/>
      <c r="S1245" s="264"/>
      <c r="T1245" s="1056"/>
      <c r="U1245" s="1056"/>
      <c r="V1245" s="1056"/>
      <c r="W1245" s="1056"/>
      <c r="X1245" s="1056"/>
      <c r="Y1245" s="1056"/>
      <c r="Z1245" s="1056"/>
      <c r="AA1245" s="1056"/>
      <c r="AB1245" s="1056"/>
      <c r="AC1245" s="1056"/>
      <c r="AD1245" s="1056"/>
      <c r="AE1245" s="1056"/>
      <c r="AF1245" s="264"/>
    </row>
    <row r="1246" spans="1:32" s="268" customFormat="1" ht="15" x14ac:dyDescent="0.25">
      <c r="A1246" s="264"/>
      <c r="B1246" s="264"/>
      <c r="C1246" s="1056"/>
      <c r="D1246" s="1056"/>
      <c r="E1246" s="1056"/>
      <c r="F1246" s="1056"/>
      <c r="G1246" s="1056"/>
      <c r="H1246" s="1056"/>
      <c r="I1246" s="1056"/>
      <c r="J1246" s="1056"/>
      <c r="K1246" s="1056"/>
      <c r="L1246" s="1056"/>
      <c r="M1246" s="274"/>
      <c r="P1246" s="264"/>
      <c r="Q1246" s="264"/>
      <c r="R1246" s="264"/>
      <c r="S1246" s="264"/>
      <c r="T1246" s="1056"/>
      <c r="U1246" s="1056"/>
      <c r="V1246" s="1056"/>
      <c r="W1246" s="1056"/>
      <c r="X1246" s="1056"/>
      <c r="Y1246" s="1056"/>
      <c r="Z1246" s="1056"/>
      <c r="AA1246" s="1056"/>
      <c r="AB1246" s="1056"/>
      <c r="AC1246" s="1056"/>
      <c r="AD1246" s="1056"/>
      <c r="AE1246" s="1056"/>
      <c r="AF1246" s="264"/>
    </row>
    <row r="1247" spans="1:32" s="268" customFormat="1" ht="15" x14ac:dyDescent="0.25">
      <c r="A1247" s="264"/>
      <c r="B1247" s="264"/>
      <c r="C1247" s="1056"/>
      <c r="D1247" s="1056"/>
      <c r="E1247" s="1056"/>
      <c r="F1247" s="1056"/>
      <c r="G1247" s="1056"/>
      <c r="H1247" s="1056"/>
      <c r="I1247" s="1056"/>
      <c r="J1247" s="1056"/>
      <c r="K1247" s="1056"/>
      <c r="L1247" s="1056"/>
      <c r="M1247" s="274"/>
      <c r="P1247" s="264"/>
      <c r="Q1247" s="264"/>
      <c r="R1247" s="264"/>
      <c r="S1247" s="264"/>
      <c r="T1247" s="1056"/>
      <c r="U1247" s="1056"/>
      <c r="V1247" s="1056"/>
      <c r="W1247" s="1056"/>
      <c r="X1247" s="1056"/>
      <c r="Y1247" s="1056"/>
      <c r="Z1247" s="1056"/>
      <c r="AA1247" s="1056"/>
      <c r="AB1247" s="1056"/>
      <c r="AC1247" s="1056"/>
      <c r="AD1247" s="1056"/>
      <c r="AE1247" s="1056"/>
      <c r="AF1247" s="264"/>
    </row>
    <row r="1248" spans="1:32" s="268" customFormat="1" ht="15" x14ac:dyDescent="0.25">
      <c r="A1248" s="264"/>
      <c r="B1248" s="264"/>
      <c r="C1248" s="1056"/>
      <c r="D1248" s="1056"/>
      <c r="E1248" s="1056"/>
      <c r="F1248" s="1056"/>
      <c r="G1248" s="1056"/>
      <c r="H1248" s="1056"/>
      <c r="I1248" s="1056"/>
      <c r="J1248" s="1056"/>
      <c r="K1248" s="1056"/>
      <c r="L1248" s="1056"/>
      <c r="M1248" s="274"/>
      <c r="P1248" s="264"/>
      <c r="Q1248" s="264"/>
      <c r="R1248" s="264"/>
      <c r="S1248" s="264"/>
      <c r="T1248" s="1056"/>
      <c r="U1248" s="1056"/>
      <c r="V1248" s="1056"/>
      <c r="W1248" s="1056"/>
      <c r="X1248" s="1056"/>
      <c r="Y1248" s="1056"/>
      <c r="Z1248" s="1056"/>
      <c r="AA1248" s="1056"/>
      <c r="AB1248" s="1056"/>
      <c r="AC1248" s="1056"/>
      <c r="AD1248" s="1056"/>
      <c r="AE1248" s="1056"/>
      <c r="AF1248" s="264"/>
    </row>
    <row r="1249" spans="1:32" s="268" customFormat="1" ht="15" x14ac:dyDescent="0.25">
      <c r="A1249" s="264"/>
      <c r="B1249" s="264"/>
      <c r="C1249" s="1056"/>
      <c r="D1249" s="1056"/>
      <c r="E1249" s="1056"/>
      <c r="F1249" s="1056"/>
      <c r="G1249" s="1056"/>
      <c r="H1249" s="1056"/>
      <c r="I1249" s="1056"/>
      <c r="J1249" s="1056"/>
      <c r="K1249" s="1056"/>
      <c r="L1249" s="1056"/>
      <c r="M1249" s="274"/>
      <c r="P1249" s="264"/>
      <c r="Q1249" s="264"/>
      <c r="R1249" s="264"/>
      <c r="S1249" s="264"/>
      <c r="T1249" s="1056"/>
      <c r="U1249" s="1056"/>
      <c r="V1249" s="1056"/>
      <c r="W1249" s="1056"/>
      <c r="X1249" s="1056"/>
      <c r="Y1249" s="1056"/>
      <c r="Z1249" s="1056"/>
      <c r="AA1249" s="1056"/>
      <c r="AB1249" s="1056"/>
      <c r="AC1249" s="1056"/>
      <c r="AD1249" s="1056"/>
      <c r="AE1249" s="1056"/>
      <c r="AF1249" s="264"/>
    </row>
    <row r="1250" spans="1:32" s="268" customFormat="1" ht="15" x14ac:dyDescent="0.25">
      <c r="A1250" s="264"/>
      <c r="B1250" s="264"/>
      <c r="C1250" s="1056"/>
      <c r="D1250" s="1056"/>
      <c r="E1250" s="1056"/>
      <c r="F1250" s="1056"/>
      <c r="G1250" s="1056"/>
      <c r="H1250" s="1056"/>
      <c r="I1250" s="1056"/>
      <c r="J1250" s="1056"/>
      <c r="K1250" s="1056"/>
      <c r="L1250" s="1056"/>
      <c r="M1250" s="274"/>
      <c r="P1250" s="264"/>
      <c r="Q1250" s="264"/>
      <c r="R1250" s="264"/>
      <c r="S1250" s="264"/>
      <c r="T1250" s="1056"/>
      <c r="U1250" s="1056"/>
      <c r="V1250" s="1056"/>
      <c r="W1250" s="1056"/>
      <c r="X1250" s="1056"/>
      <c r="Y1250" s="1056"/>
      <c r="Z1250" s="1056"/>
      <c r="AA1250" s="1056"/>
      <c r="AB1250" s="1056"/>
      <c r="AC1250" s="1056"/>
      <c r="AD1250" s="1056"/>
      <c r="AE1250" s="1056"/>
      <c r="AF1250" s="264"/>
    </row>
    <row r="1251" spans="1:32" s="268" customFormat="1" ht="15" x14ac:dyDescent="0.25">
      <c r="A1251" s="264"/>
      <c r="B1251" s="264"/>
      <c r="C1251" s="1056"/>
      <c r="D1251" s="1056"/>
      <c r="E1251" s="1056"/>
      <c r="F1251" s="1056"/>
      <c r="G1251" s="1056"/>
      <c r="H1251" s="1056"/>
      <c r="I1251" s="1056"/>
      <c r="J1251" s="1056"/>
      <c r="K1251" s="1056"/>
      <c r="L1251" s="1056"/>
      <c r="M1251" s="274"/>
      <c r="P1251" s="264"/>
      <c r="Q1251" s="264"/>
      <c r="R1251" s="264"/>
      <c r="S1251" s="264"/>
      <c r="T1251" s="1056"/>
      <c r="U1251" s="1056"/>
      <c r="V1251" s="1056"/>
      <c r="W1251" s="1056"/>
      <c r="X1251" s="1056"/>
      <c r="Y1251" s="1056"/>
      <c r="Z1251" s="1056"/>
      <c r="AA1251" s="1056"/>
      <c r="AB1251" s="1056"/>
      <c r="AC1251" s="1056"/>
      <c r="AD1251" s="1056"/>
      <c r="AE1251" s="1056"/>
      <c r="AF1251" s="264"/>
    </row>
    <row r="1252" spans="1:32" s="268" customFormat="1" ht="15" x14ac:dyDescent="0.25">
      <c r="A1252" s="264"/>
      <c r="B1252" s="264"/>
      <c r="C1252" s="1056"/>
      <c r="D1252" s="1056"/>
      <c r="E1252" s="1056"/>
      <c r="F1252" s="1056"/>
      <c r="G1252" s="1056"/>
      <c r="H1252" s="1056"/>
      <c r="I1252" s="1056"/>
      <c r="J1252" s="1056"/>
      <c r="K1252" s="1056"/>
      <c r="L1252" s="1056"/>
      <c r="M1252" s="274"/>
      <c r="P1252" s="264"/>
      <c r="Q1252" s="264"/>
      <c r="R1252" s="264"/>
      <c r="S1252" s="264"/>
      <c r="T1252" s="1056"/>
      <c r="U1252" s="1056"/>
      <c r="V1252" s="1056"/>
      <c r="W1252" s="1056"/>
      <c r="X1252" s="1056"/>
      <c r="Y1252" s="1056"/>
      <c r="Z1252" s="1056"/>
      <c r="AA1252" s="1056"/>
      <c r="AB1252" s="1056"/>
      <c r="AC1252" s="1056"/>
      <c r="AD1252" s="1056"/>
      <c r="AE1252" s="1056"/>
      <c r="AF1252" s="264"/>
    </row>
    <row r="1253" spans="1:32" s="268" customFormat="1" ht="15" x14ac:dyDescent="0.25">
      <c r="A1253" s="264"/>
      <c r="B1253" s="264"/>
      <c r="C1253" s="1056"/>
      <c r="D1253" s="1056"/>
      <c r="E1253" s="1056"/>
      <c r="F1253" s="1056"/>
      <c r="G1253" s="1056"/>
      <c r="H1253" s="1056"/>
      <c r="I1253" s="1056"/>
      <c r="J1253" s="1056"/>
      <c r="K1253" s="1056"/>
      <c r="L1253" s="1056"/>
      <c r="M1253" s="274"/>
      <c r="P1253" s="264"/>
      <c r="Q1253" s="264"/>
      <c r="R1253" s="264"/>
      <c r="S1253" s="264"/>
      <c r="T1253" s="1056"/>
      <c r="U1253" s="1056"/>
      <c r="V1253" s="1056"/>
      <c r="W1253" s="1056"/>
      <c r="X1253" s="1056"/>
      <c r="Y1253" s="1056"/>
      <c r="Z1253" s="1056"/>
      <c r="AA1253" s="1056"/>
      <c r="AB1253" s="1056"/>
      <c r="AC1253" s="1056"/>
      <c r="AD1253" s="1056"/>
      <c r="AE1253" s="1056"/>
      <c r="AF1253" s="264"/>
    </row>
    <row r="1254" spans="1:32" s="268" customFormat="1" ht="15" x14ac:dyDescent="0.25">
      <c r="A1254" s="264"/>
      <c r="B1254" s="264"/>
      <c r="C1254" s="1056"/>
      <c r="D1254" s="1056"/>
      <c r="E1254" s="1056"/>
      <c r="F1254" s="1056"/>
      <c r="G1254" s="1056"/>
      <c r="H1254" s="1056"/>
      <c r="I1254" s="1056"/>
      <c r="J1254" s="1056"/>
      <c r="K1254" s="1056"/>
      <c r="L1254" s="1056"/>
      <c r="M1254" s="274"/>
      <c r="P1254" s="264"/>
      <c r="Q1254" s="264"/>
      <c r="R1254" s="264"/>
      <c r="S1254" s="264"/>
      <c r="T1254" s="1056"/>
      <c r="U1254" s="1056"/>
      <c r="V1254" s="1056"/>
      <c r="W1254" s="1056"/>
      <c r="X1254" s="1056"/>
      <c r="Y1254" s="1056"/>
      <c r="Z1254" s="1056"/>
      <c r="AA1254" s="1056"/>
      <c r="AB1254" s="1056"/>
      <c r="AC1254" s="1056"/>
      <c r="AD1254" s="1056"/>
      <c r="AE1254" s="1056"/>
      <c r="AF1254" s="264"/>
    </row>
    <row r="1255" spans="1:32" s="268" customFormat="1" ht="15" x14ac:dyDescent="0.25">
      <c r="A1255" s="264"/>
      <c r="B1255" s="264"/>
      <c r="C1255" s="1056"/>
      <c r="D1255" s="1056"/>
      <c r="E1255" s="1056"/>
      <c r="F1255" s="1056"/>
      <c r="G1255" s="1056"/>
      <c r="H1255" s="1056"/>
      <c r="I1255" s="1056"/>
      <c r="J1255" s="1056"/>
      <c r="K1255" s="1056"/>
      <c r="L1255" s="1056"/>
      <c r="M1255" s="274"/>
      <c r="P1255" s="264"/>
      <c r="Q1255" s="264"/>
      <c r="R1255" s="264"/>
      <c r="S1255" s="264"/>
      <c r="T1255" s="1056"/>
      <c r="U1255" s="1056"/>
      <c r="V1255" s="1056"/>
      <c r="W1255" s="1056"/>
      <c r="X1255" s="1056"/>
      <c r="Y1255" s="1056"/>
      <c r="Z1255" s="1056"/>
      <c r="AA1255" s="1056"/>
      <c r="AB1255" s="1056"/>
      <c r="AC1255" s="1056"/>
      <c r="AD1255" s="1056"/>
      <c r="AE1255" s="1056"/>
      <c r="AF1255" s="264"/>
    </row>
    <row r="1256" spans="1:32" s="268" customFormat="1" ht="15" x14ac:dyDescent="0.25">
      <c r="A1256" s="264"/>
      <c r="B1256" s="264"/>
      <c r="C1256" s="1056"/>
      <c r="D1256" s="1056"/>
      <c r="E1256" s="1056"/>
      <c r="F1256" s="1056"/>
      <c r="G1256" s="1056"/>
      <c r="H1256" s="1056"/>
      <c r="I1256" s="1056"/>
      <c r="J1256" s="1056"/>
      <c r="K1256" s="1056"/>
      <c r="L1256" s="1056"/>
      <c r="M1256" s="274"/>
      <c r="P1256" s="264"/>
      <c r="Q1256" s="264"/>
      <c r="R1256" s="264"/>
      <c r="S1256" s="264"/>
      <c r="T1256" s="1056"/>
      <c r="U1256" s="1056"/>
      <c r="V1256" s="1056"/>
      <c r="W1256" s="1056"/>
      <c r="X1256" s="1056"/>
      <c r="Y1256" s="1056"/>
      <c r="Z1256" s="1056"/>
      <c r="AA1256" s="1056"/>
      <c r="AB1256" s="1056"/>
      <c r="AC1256" s="1056"/>
      <c r="AD1256" s="1056"/>
      <c r="AE1256" s="1056"/>
      <c r="AF1256" s="264"/>
    </row>
    <row r="1257" spans="1:32" s="268" customFormat="1" ht="15" x14ac:dyDescent="0.25">
      <c r="A1257" s="264"/>
      <c r="B1257" s="264"/>
      <c r="C1257" s="1056"/>
      <c r="D1257" s="1056"/>
      <c r="E1257" s="1056"/>
      <c r="F1257" s="1056"/>
      <c r="G1257" s="1056"/>
      <c r="H1257" s="1056"/>
      <c r="I1257" s="1056"/>
      <c r="J1257" s="1056"/>
      <c r="K1257" s="1056"/>
      <c r="L1257" s="1056"/>
      <c r="M1257" s="274"/>
      <c r="P1257" s="264"/>
      <c r="Q1257" s="264"/>
      <c r="R1257" s="264"/>
      <c r="S1257" s="264"/>
      <c r="T1257" s="1056"/>
      <c r="U1257" s="1056"/>
      <c r="V1257" s="1056"/>
      <c r="W1257" s="1056"/>
      <c r="X1257" s="1056"/>
      <c r="Y1257" s="1056"/>
      <c r="Z1257" s="1056"/>
      <c r="AA1257" s="1056"/>
      <c r="AB1257" s="1056"/>
      <c r="AC1257" s="1056"/>
      <c r="AD1257" s="1056"/>
      <c r="AE1257" s="1056"/>
      <c r="AF1257" s="264"/>
    </row>
    <row r="1258" spans="1:32" s="268" customFormat="1" ht="15" x14ac:dyDescent="0.25">
      <c r="A1258" s="264"/>
      <c r="B1258" s="264"/>
      <c r="C1258" s="1056"/>
      <c r="D1258" s="1056"/>
      <c r="E1258" s="1056"/>
      <c r="F1258" s="1056"/>
      <c r="G1258" s="1056"/>
      <c r="H1258" s="1056"/>
      <c r="I1258" s="1056"/>
      <c r="J1258" s="1056"/>
      <c r="K1258" s="1056"/>
      <c r="L1258" s="1056"/>
      <c r="M1258" s="274"/>
      <c r="P1258" s="264"/>
      <c r="Q1258" s="264"/>
      <c r="R1258" s="264"/>
      <c r="S1258" s="264"/>
      <c r="T1258" s="1056"/>
      <c r="U1258" s="1056"/>
      <c r="V1258" s="1056"/>
      <c r="W1258" s="1056"/>
      <c r="X1258" s="1056"/>
      <c r="Y1258" s="1056"/>
      <c r="Z1258" s="1056"/>
      <c r="AA1258" s="1056"/>
      <c r="AB1258" s="1056"/>
      <c r="AC1258" s="1056"/>
      <c r="AD1258" s="1056"/>
      <c r="AE1258" s="1056"/>
      <c r="AF1258" s="264"/>
    </row>
    <row r="1259" spans="1:32" s="268" customFormat="1" ht="15" x14ac:dyDescent="0.25">
      <c r="A1259" s="264"/>
      <c r="B1259" s="264"/>
      <c r="C1259" s="1056"/>
      <c r="D1259" s="1056"/>
      <c r="E1259" s="1056"/>
      <c r="F1259" s="1056"/>
      <c r="G1259" s="1056"/>
      <c r="H1259" s="1056"/>
      <c r="I1259" s="1056"/>
      <c r="J1259" s="1056"/>
      <c r="K1259" s="1056"/>
      <c r="L1259" s="1056"/>
      <c r="M1259" s="274"/>
      <c r="P1259" s="264"/>
      <c r="Q1259" s="264"/>
      <c r="R1259" s="264"/>
      <c r="S1259" s="264"/>
      <c r="T1259" s="1056"/>
      <c r="U1259" s="1056"/>
      <c r="V1259" s="1056"/>
      <c r="W1259" s="1056"/>
      <c r="X1259" s="1056"/>
      <c r="Y1259" s="1056"/>
      <c r="Z1259" s="1056"/>
      <c r="AA1259" s="1056"/>
      <c r="AB1259" s="1056"/>
      <c r="AC1259" s="1056"/>
      <c r="AD1259" s="1056"/>
      <c r="AE1259" s="1056"/>
      <c r="AF1259" s="264"/>
    </row>
    <row r="1260" spans="1:32" s="268" customFormat="1" ht="15" x14ac:dyDescent="0.25">
      <c r="A1260" s="264"/>
      <c r="B1260" s="264"/>
      <c r="C1260" s="1056"/>
      <c r="D1260" s="1056"/>
      <c r="E1260" s="1056"/>
      <c r="F1260" s="1056"/>
      <c r="G1260" s="1056"/>
      <c r="H1260" s="1056"/>
      <c r="I1260" s="1056"/>
      <c r="J1260" s="1056"/>
      <c r="K1260" s="1056"/>
      <c r="L1260" s="1056"/>
      <c r="M1260" s="274"/>
      <c r="P1260" s="264"/>
      <c r="Q1260" s="264"/>
      <c r="R1260" s="264"/>
      <c r="S1260" s="264"/>
      <c r="T1260" s="1056"/>
      <c r="U1260" s="1056"/>
      <c r="V1260" s="1056"/>
      <c r="W1260" s="1056"/>
      <c r="X1260" s="1056"/>
      <c r="Y1260" s="1056"/>
      <c r="Z1260" s="1056"/>
      <c r="AA1260" s="1056"/>
      <c r="AB1260" s="1056"/>
      <c r="AC1260" s="1056"/>
      <c r="AD1260" s="1056"/>
      <c r="AE1260" s="1056"/>
      <c r="AF1260" s="264"/>
    </row>
    <row r="1261" spans="1:32" s="268" customFormat="1" ht="15" x14ac:dyDescent="0.25">
      <c r="A1261" s="264"/>
      <c r="B1261" s="264"/>
      <c r="C1261" s="1056"/>
      <c r="D1261" s="1056"/>
      <c r="E1261" s="1056"/>
      <c r="F1261" s="1056"/>
      <c r="G1261" s="1056"/>
      <c r="H1261" s="1056"/>
      <c r="I1261" s="1056"/>
      <c r="J1261" s="1056"/>
      <c r="K1261" s="1056"/>
      <c r="L1261" s="1056"/>
      <c r="M1261" s="274"/>
      <c r="P1261" s="264"/>
      <c r="Q1261" s="264"/>
      <c r="R1261" s="264"/>
      <c r="S1261" s="264"/>
      <c r="T1261" s="1056"/>
      <c r="U1261" s="1056"/>
      <c r="V1261" s="1056"/>
      <c r="W1261" s="1056"/>
      <c r="X1261" s="1056"/>
      <c r="Y1261" s="1056"/>
      <c r="Z1261" s="1056"/>
      <c r="AA1261" s="1056"/>
      <c r="AB1261" s="1056"/>
      <c r="AC1261" s="1056"/>
      <c r="AD1261" s="1056"/>
      <c r="AE1261" s="1056"/>
      <c r="AF1261" s="264"/>
    </row>
    <row r="1262" spans="1:32" s="268" customFormat="1" ht="15" x14ac:dyDescent="0.25">
      <c r="A1262" s="264"/>
      <c r="B1262" s="264"/>
      <c r="C1262" s="1056"/>
      <c r="D1262" s="1056"/>
      <c r="E1262" s="1056"/>
      <c r="F1262" s="1056"/>
      <c r="G1262" s="1056"/>
      <c r="H1262" s="1056"/>
      <c r="I1262" s="1056"/>
      <c r="J1262" s="1056"/>
      <c r="K1262" s="1056"/>
      <c r="L1262" s="1056"/>
      <c r="M1262" s="274"/>
      <c r="P1262" s="264"/>
      <c r="Q1262" s="264"/>
      <c r="R1262" s="264"/>
      <c r="S1262" s="264"/>
      <c r="T1262" s="1056"/>
      <c r="U1262" s="1056"/>
      <c r="V1262" s="1056"/>
      <c r="W1262" s="1056"/>
      <c r="X1262" s="1056"/>
      <c r="Y1262" s="1056"/>
      <c r="Z1262" s="1056"/>
      <c r="AA1262" s="1056"/>
      <c r="AB1262" s="1056"/>
      <c r="AC1262" s="1056"/>
      <c r="AD1262" s="1056"/>
      <c r="AE1262" s="1056"/>
      <c r="AF1262" s="264"/>
    </row>
    <row r="1263" spans="1:32" s="268" customFormat="1" ht="15" x14ac:dyDescent="0.25">
      <c r="A1263" s="264"/>
      <c r="B1263" s="264"/>
      <c r="C1263" s="1056"/>
      <c r="D1263" s="1056"/>
      <c r="E1263" s="1056"/>
      <c r="F1263" s="1056"/>
      <c r="G1263" s="1056"/>
      <c r="H1263" s="1056"/>
      <c r="I1263" s="1056"/>
      <c r="J1263" s="1056"/>
      <c r="K1263" s="1056"/>
      <c r="L1263" s="1056"/>
      <c r="M1263" s="274"/>
      <c r="P1263" s="264"/>
      <c r="Q1263" s="264"/>
      <c r="R1263" s="264"/>
      <c r="S1263" s="264"/>
      <c r="T1263" s="1056"/>
      <c r="U1263" s="1056"/>
      <c r="V1263" s="1056"/>
      <c r="W1263" s="1056"/>
      <c r="X1263" s="1056"/>
      <c r="Y1263" s="1056"/>
      <c r="Z1263" s="1056"/>
      <c r="AA1263" s="1056"/>
      <c r="AB1263" s="1056"/>
      <c r="AC1263" s="1056"/>
      <c r="AD1263" s="1056"/>
      <c r="AE1263" s="1056"/>
      <c r="AF1263" s="264"/>
    </row>
    <row r="1264" spans="1:32" s="268" customFormat="1" ht="15" x14ac:dyDescent="0.25">
      <c r="A1264" s="264"/>
      <c r="B1264" s="264"/>
      <c r="C1264" s="1056"/>
      <c r="D1264" s="1056"/>
      <c r="E1264" s="1056"/>
      <c r="F1264" s="1056"/>
      <c r="G1264" s="1056"/>
      <c r="H1264" s="1056"/>
      <c r="I1264" s="1056"/>
      <c r="J1264" s="1056"/>
      <c r="K1264" s="1056"/>
      <c r="L1264" s="1056"/>
      <c r="M1264" s="274"/>
      <c r="P1264" s="264"/>
      <c r="Q1264" s="264"/>
      <c r="R1264" s="264"/>
      <c r="S1264" s="264"/>
      <c r="T1264" s="1056"/>
      <c r="U1264" s="1056"/>
      <c r="V1264" s="1056"/>
      <c r="W1264" s="1056"/>
      <c r="X1264" s="1056"/>
      <c r="Y1264" s="1056"/>
      <c r="Z1264" s="1056"/>
      <c r="AA1264" s="1056"/>
      <c r="AB1264" s="1056"/>
      <c r="AC1264" s="1056"/>
      <c r="AD1264" s="1056"/>
      <c r="AE1264" s="1056"/>
      <c r="AF1264" s="264"/>
    </row>
    <row r="1265" spans="1:32" s="268" customFormat="1" ht="15" x14ac:dyDescent="0.25">
      <c r="A1265" s="264"/>
      <c r="B1265" s="264"/>
      <c r="C1265" s="1056"/>
      <c r="D1265" s="1056"/>
      <c r="E1265" s="1056"/>
      <c r="F1265" s="1056"/>
      <c r="G1265" s="1056"/>
      <c r="H1265" s="1056"/>
      <c r="I1265" s="1056"/>
      <c r="J1265" s="1056"/>
      <c r="K1265" s="1056"/>
      <c r="L1265" s="1056"/>
      <c r="M1265" s="274"/>
      <c r="P1265" s="264"/>
      <c r="Q1265" s="264"/>
      <c r="R1265" s="264"/>
      <c r="S1265" s="264"/>
      <c r="T1265" s="1056"/>
      <c r="U1265" s="1056"/>
      <c r="V1265" s="1056"/>
      <c r="W1265" s="1056"/>
      <c r="X1265" s="1056"/>
      <c r="Y1265" s="1056"/>
      <c r="Z1265" s="1056"/>
      <c r="AA1265" s="1056"/>
      <c r="AB1265" s="1056"/>
      <c r="AC1265" s="1056"/>
      <c r="AD1265" s="1056"/>
      <c r="AE1265" s="1056"/>
      <c r="AF1265" s="264"/>
    </row>
    <row r="1266" spans="1:32" s="268" customFormat="1" ht="15" x14ac:dyDescent="0.25">
      <c r="A1266" s="264"/>
      <c r="B1266" s="264"/>
      <c r="C1266" s="1056"/>
      <c r="D1266" s="1056"/>
      <c r="E1266" s="1056"/>
      <c r="F1266" s="1056"/>
      <c r="G1266" s="1056"/>
      <c r="H1266" s="1056"/>
      <c r="I1266" s="1056"/>
      <c r="J1266" s="1056"/>
      <c r="K1266" s="1056"/>
      <c r="L1266" s="1056"/>
      <c r="M1266" s="274"/>
      <c r="P1266" s="264"/>
      <c r="Q1266" s="264"/>
      <c r="R1266" s="264"/>
      <c r="S1266" s="264"/>
      <c r="T1266" s="1056"/>
      <c r="U1266" s="1056"/>
      <c r="V1266" s="1056"/>
      <c r="W1266" s="1056"/>
      <c r="X1266" s="1056"/>
      <c r="Y1266" s="1056"/>
      <c r="Z1266" s="1056"/>
      <c r="AA1266" s="1056"/>
      <c r="AB1266" s="1056"/>
      <c r="AC1266" s="1056"/>
      <c r="AD1266" s="1056"/>
      <c r="AE1266" s="1056"/>
      <c r="AF1266" s="264"/>
    </row>
    <row r="1267" spans="1:32" s="268" customFormat="1" ht="15" x14ac:dyDescent="0.25">
      <c r="A1267" s="264"/>
      <c r="B1267" s="264"/>
      <c r="C1267" s="1056"/>
      <c r="D1267" s="1056"/>
      <c r="E1267" s="1056"/>
      <c r="F1267" s="1056"/>
      <c r="G1267" s="1056"/>
      <c r="H1267" s="1056"/>
      <c r="I1267" s="1056"/>
      <c r="J1267" s="1056"/>
      <c r="K1267" s="1056"/>
      <c r="L1267" s="1056"/>
      <c r="M1267" s="274"/>
      <c r="P1267" s="264"/>
      <c r="Q1267" s="264"/>
      <c r="R1267" s="264"/>
      <c r="S1267" s="264"/>
      <c r="T1267" s="1056"/>
      <c r="U1267" s="1056"/>
      <c r="V1267" s="1056"/>
      <c r="W1267" s="1056"/>
      <c r="X1267" s="1056"/>
      <c r="Y1267" s="1056"/>
      <c r="Z1267" s="1056"/>
      <c r="AA1267" s="1056"/>
      <c r="AB1267" s="1056"/>
      <c r="AC1267" s="1056"/>
      <c r="AD1267" s="1056"/>
      <c r="AE1267" s="1056"/>
      <c r="AF1267" s="264"/>
    </row>
    <row r="1268" spans="1:32" s="268" customFormat="1" ht="15" x14ac:dyDescent="0.25">
      <c r="A1268" s="264"/>
      <c r="B1268" s="264"/>
      <c r="C1268" s="1056"/>
      <c r="D1268" s="1056"/>
      <c r="E1268" s="1056"/>
      <c r="F1268" s="1056"/>
      <c r="G1268" s="1056"/>
      <c r="H1268" s="1056"/>
      <c r="I1268" s="1056"/>
      <c r="J1268" s="1056"/>
      <c r="K1268" s="1056"/>
      <c r="L1268" s="1056"/>
      <c r="M1268" s="274"/>
      <c r="P1268" s="264"/>
      <c r="Q1268" s="264"/>
      <c r="R1268" s="264"/>
      <c r="S1268" s="264"/>
      <c r="T1268" s="1056"/>
      <c r="U1268" s="1056"/>
      <c r="V1268" s="1056"/>
      <c r="W1268" s="1056"/>
      <c r="X1268" s="1056"/>
      <c r="Y1268" s="1056"/>
      <c r="Z1268" s="1056"/>
      <c r="AA1268" s="1056"/>
      <c r="AB1268" s="1056"/>
      <c r="AC1268" s="1056"/>
      <c r="AD1268" s="1056"/>
      <c r="AE1268" s="1056"/>
      <c r="AF1268" s="264"/>
    </row>
    <row r="1269" spans="1:32" s="268" customFormat="1" ht="15" x14ac:dyDescent="0.25">
      <c r="A1269" s="264"/>
      <c r="B1269" s="264"/>
      <c r="C1269" s="1056"/>
      <c r="D1269" s="1056"/>
      <c r="E1269" s="1056"/>
      <c r="F1269" s="1056"/>
      <c r="G1269" s="1056"/>
      <c r="H1269" s="1056"/>
      <c r="I1269" s="1056"/>
      <c r="J1269" s="1056"/>
      <c r="K1269" s="1056"/>
      <c r="L1269" s="1056"/>
      <c r="M1269" s="274"/>
      <c r="P1269" s="264"/>
      <c r="Q1269" s="264"/>
      <c r="R1269" s="264"/>
      <c r="S1269" s="264"/>
      <c r="T1269" s="1056"/>
      <c r="U1269" s="1056"/>
      <c r="V1269" s="1056"/>
      <c r="W1269" s="1056"/>
      <c r="X1269" s="1056"/>
      <c r="Y1269" s="1056"/>
      <c r="Z1269" s="1056"/>
      <c r="AA1269" s="1056"/>
      <c r="AB1269" s="1056"/>
      <c r="AC1269" s="1056"/>
      <c r="AD1269" s="1056"/>
      <c r="AE1269" s="1056"/>
      <c r="AF1269" s="264"/>
    </row>
    <row r="1270" spans="1:32" s="268" customFormat="1" ht="15" x14ac:dyDescent="0.25">
      <c r="A1270" s="264"/>
      <c r="B1270" s="264"/>
      <c r="C1270" s="1056"/>
      <c r="D1270" s="1056"/>
      <c r="E1270" s="1056"/>
      <c r="F1270" s="1056"/>
      <c r="G1270" s="1056"/>
      <c r="H1270" s="1056"/>
      <c r="I1270" s="1056"/>
      <c r="J1270" s="1056"/>
      <c r="K1270" s="1056"/>
      <c r="L1270" s="1056"/>
      <c r="M1270" s="274"/>
      <c r="P1270" s="264"/>
      <c r="Q1270" s="264"/>
      <c r="R1270" s="264"/>
      <c r="S1270" s="264"/>
      <c r="T1270" s="1056"/>
      <c r="U1270" s="1056"/>
      <c r="V1270" s="1056"/>
      <c r="W1270" s="1056"/>
      <c r="X1270" s="1056"/>
      <c r="Y1270" s="1056"/>
      <c r="Z1270" s="1056"/>
      <c r="AA1270" s="1056"/>
      <c r="AB1270" s="1056"/>
      <c r="AC1270" s="1056"/>
      <c r="AD1270" s="1056"/>
      <c r="AE1270" s="1056"/>
      <c r="AF1270" s="264"/>
    </row>
    <row r="1271" spans="1:32" s="268" customFormat="1" ht="15" x14ac:dyDescent="0.25">
      <c r="A1271" s="264"/>
      <c r="B1271" s="264"/>
      <c r="C1271" s="1056"/>
      <c r="D1271" s="1056"/>
      <c r="E1271" s="1056"/>
      <c r="F1271" s="1056"/>
      <c r="G1271" s="1056"/>
      <c r="H1271" s="1056"/>
      <c r="I1271" s="1056"/>
      <c r="J1271" s="1056"/>
      <c r="K1271" s="1056"/>
      <c r="L1271" s="1056"/>
      <c r="M1271" s="274"/>
      <c r="P1271" s="264"/>
      <c r="Q1271" s="264"/>
      <c r="R1271" s="264"/>
      <c r="S1271" s="264"/>
      <c r="T1271" s="1056"/>
      <c r="U1271" s="1056"/>
      <c r="V1271" s="1056"/>
      <c r="W1271" s="1056"/>
      <c r="X1271" s="1056"/>
      <c r="Y1271" s="1056"/>
      <c r="Z1271" s="1056"/>
      <c r="AA1271" s="1056"/>
      <c r="AB1271" s="1056"/>
      <c r="AC1271" s="1056"/>
      <c r="AD1271" s="1056"/>
      <c r="AE1271" s="1056"/>
      <c r="AF1271" s="264"/>
    </row>
    <row r="1272" spans="1:32" s="268" customFormat="1" ht="15" x14ac:dyDescent="0.25">
      <c r="A1272" s="264"/>
      <c r="B1272" s="264"/>
      <c r="C1272" s="1056"/>
      <c r="D1272" s="1056"/>
      <c r="E1272" s="1056"/>
      <c r="F1272" s="1056"/>
      <c r="G1272" s="1056"/>
      <c r="H1272" s="1056"/>
      <c r="I1272" s="1056"/>
      <c r="J1272" s="1056"/>
      <c r="K1272" s="1056"/>
      <c r="L1272" s="1056"/>
      <c r="M1272" s="274"/>
      <c r="P1272" s="264"/>
      <c r="Q1272" s="264"/>
      <c r="R1272" s="264"/>
      <c r="S1272" s="264"/>
      <c r="T1272" s="1056"/>
      <c r="U1272" s="1056"/>
      <c r="V1272" s="1056"/>
      <c r="W1272" s="1056"/>
      <c r="X1272" s="1056"/>
      <c r="Y1272" s="1056"/>
      <c r="Z1272" s="1056"/>
      <c r="AA1272" s="1056"/>
      <c r="AB1272" s="1056"/>
      <c r="AC1272" s="1056"/>
      <c r="AD1272" s="1056"/>
      <c r="AE1272" s="1056"/>
      <c r="AF1272" s="264"/>
    </row>
    <row r="1273" spans="1:32" s="268" customFormat="1" ht="15" x14ac:dyDescent="0.25">
      <c r="A1273" s="264"/>
      <c r="B1273" s="264"/>
      <c r="C1273" s="1056"/>
      <c r="D1273" s="1056"/>
      <c r="E1273" s="1056"/>
      <c r="F1273" s="1056"/>
      <c r="G1273" s="1056"/>
      <c r="H1273" s="1056"/>
      <c r="I1273" s="1056"/>
      <c r="J1273" s="1056"/>
      <c r="K1273" s="1056"/>
      <c r="L1273" s="1056"/>
      <c r="M1273" s="274"/>
      <c r="P1273" s="264"/>
      <c r="Q1273" s="264"/>
      <c r="R1273" s="264"/>
      <c r="S1273" s="264"/>
      <c r="T1273" s="1056"/>
      <c r="U1273" s="1056"/>
      <c r="V1273" s="1056"/>
      <c r="W1273" s="1056"/>
      <c r="X1273" s="1056"/>
      <c r="Y1273" s="1056"/>
      <c r="Z1273" s="1056"/>
      <c r="AA1273" s="1056"/>
      <c r="AB1273" s="1056"/>
      <c r="AC1273" s="1056"/>
      <c r="AD1273" s="1056"/>
      <c r="AE1273" s="1056"/>
      <c r="AF1273" s="264"/>
    </row>
    <row r="1274" spans="1:32" s="268" customFormat="1" ht="15" x14ac:dyDescent="0.25">
      <c r="A1274" s="264"/>
      <c r="B1274" s="264"/>
      <c r="C1274" s="1056"/>
      <c r="D1274" s="1056"/>
      <c r="E1274" s="1056"/>
      <c r="F1274" s="1056"/>
      <c r="G1274" s="1056"/>
      <c r="H1274" s="1056"/>
      <c r="I1274" s="1056"/>
      <c r="J1274" s="1056"/>
      <c r="K1274" s="1056"/>
      <c r="L1274" s="1056"/>
      <c r="M1274" s="274"/>
      <c r="P1274" s="264"/>
      <c r="Q1274" s="264"/>
      <c r="R1274" s="264"/>
      <c r="S1274" s="264"/>
      <c r="T1274" s="1056"/>
      <c r="U1274" s="1056"/>
      <c r="V1274" s="1056"/>
      <c r="W1274" s="1056"/>
      <c r="X1274" s="1056"/>
      <c r="Y1274" s="1056"/>
      <c r="Z1274" s="1056"/>
      <c r="AA1274" s="1056"/>
      <c r="AB1274" s="1056"/>
      <c r="AC1274" s="1056"/>
      <c r="AD1274" s="1056"/>
      <c r="AE1274" s="1056"/>
      <c r="AF1274" s="264"/>
    </row>
    <row r="1275" spans="1:32" s="268" customFormat="1" ht="15" x14ac:dyDescent="0.25">
      <c r="A1275" s="264"/>
      <c r="B1275" s="264"/>
      <c r="C1275" s="1056"/>
      <c r="D1275" s="1056"/>
      <c r="E1275" s="1056"/>
      <c r="F1275" s="1056"/>
      <c r="G1275" s="1056"/>
      <c r="H1275" s="1056"/>
      <c r="I1275" s="1056"/>
      <c r="J1275" s="1056"/>
      <c r="K1275" s="1056"/>
      <c r="L1275" s="1056"/>
      <c r="M1275" s="274"/>
      <c r="P1275" s="264"/>
      <c r="Q1275" s="264"/>
      <c r="R1275" s="264"/>
      <c r="S1275" s="264"/>
      <c r="T1275" s="1056"/>
      <c r="U1275" s="1056"/>
      <c r="V1275" s="1056"/>
      <c r="W1275" s="1056"/>
      <c r="X1275" s="1056"/>
      <c r="Y1275" s="1056"/>
      <c r="Z1275" s="1056"/>
      <c r="AA1275" s="1056"/>
      <c r="AB1275" s="1056"/>
      <c r="AC1275" s="1056"/>
      <c r="AD1275" s="1056"/>
      <c r="AE1275" s="1056"/>
      <c r="AF1275" s="264"/>
    </row>
    <row r="1276" spans="1:32" s="268" customFormat="1" ht="15" x14ac:dyDescent="0.25">
      <c r="A1276" s="264"/>
      <c r="B1276" s="264"/>
      <c r="C1276" s="1056"/>
      <c r="D1276" s="1056"/>
      <c r="E1276" s="1056"/>
      <c r="F1276" s="1056"/>
      <c r="G1276" s="1056"/>
      <c r="H1276" s="1056"/>
      <c r="I1276" s="1056"/>
      <c r="J1276" s="1056"/>
      <c r="K1276" s="1056"/>
      <c r="L1276" s="1056"/>
      <c r="M1276" s="274"/>
      <c r="P1276" s="264"/>
      <c r="Q1276" s="264"/>
      <c r="R1276" s="264"/>
      <c r="S1276" s="264"/>
      <c r="T1276" s="1056"/>
      <c r="U1276" s="1056"/>
      <c r="V1276" s="1056"/>
      <c r="W1276" s="1056"/>
      <c r="X1276" s="1056"/>
      <c r="Y1276" s="1056"/>
      <c r="Z1276" s="1056"/>
      <c r="AA1276" s="1056"/>
      <c r="AB1276" s="1056"/>
      <c r="AC1276" s="1056"/>
      <c r="AD1276" s="1056"/>
      <c r="AE1276" s="1056"/>
      <c r="AF1276" s="264"/>
    </row>
    <row r="1277" spans="1:32" s="268" customFormat="1" ht="15" x14ac:dyDescent="0.25">
      <c r="A1277" s="264"/>
      <c r="B1277" s="264"/>
      <c r="C1277" s="1056"/>
      <c r="D1277" s="1056"/>
      <c r="E1277" s="1056"/>
      <c r="F1277" s="1056"/>
      <c r="G1277" s="1056"/>
      <c r="H1277" s="1056"/>
      <c r="I1277" s="1056"/>
      <c r="J1277" s="1056"/>
      <c r="K1277" s="1056"/>
      <c r="L1277" s="1056"/>
      <c r="M1277" s="274"/>
      <c r="P1277" s="264"/>
      <c r="Q1277" s="264"/>
      <c r="R1277" s="264"/>
      <c r="S1277" s="264"/>
      <c r="T1277" s="1056"/>
      <c r="U1277" s="1056"/>
      <c r="V1277" s="1056"/>
      <c r="W1277" s="1056"/>
      <c r="X1277" s="1056"/>
      <c r="Y1277" s="1056"/>
      <c r="Z1277" s="1056"/>
      <c r="AA1277" s="1056"/>
      <c r="AB1277" s="1056"/>
      <c r="AC1277" s="1056"/>
      <c r="AD1277" s="1056"/>
      <c r="AE1277" s="1056"/>
      <c r="AF1277" s="264"/>
    </row>
    <row r="1278" spans="1:32" s="268" customFormat="1" ht="15" x14ac:dyDescent="0.25">
      <c r="A1278" s="264"/>
      <c r="B1278" s="264"/>
      <c r="C1278" s="1056"/>
      <c r="D1278" s="1056"/>
      <c r="E1278" s="1056"/>
      <c r="F1278" s="1056"/>
      <c r="G1278" s="1056"/>
      <c r="H1278" s="1056"/>
      <c r="I1278" s="1056"/>
      <c r="J1278" s="1056"/>
      <c r="K1278" s="1056"/>
      <c r="L1278" s="1056"/>
      <c r="M1278" s="274"/>
      <c r="P1278" s="264"/>
      <c r="Q1278" s="264"/>
      <c r="R1278" s="264"/>
      <c r="S1278" s="264"/>
      <c r="T1278" s="1056"/>
      <c r="U1278" s="1056"/>
      <c r="V1278" s="1056"/>
      <c r="W1278" s="1056"/>
      <c r="X1278" s="1056"/>
      <c r="Y1278" s="1056"/>
      <c r="Z1278" s="1056"/>
      <c r="AA1278" s="1056"/>
      <c r="AB1278" s="1056"/>
      <c r="AC1278" s="1056"/>
      <c r="AD1278" s="1056"/>
      <c r="AE1278" s="1056"/>
      <c r="AF1278" s="264"/>
    </row>
    <row r="1279" spans="1:32" s="268" customFormat="1" ht="15" x14ac:dyDescent="0.25">
      <c r="A1279" s="264"/>
      <c r="B1279" s="264"/>
      <c r="C1279" s="1056"/>
      <c r="D1279" s="1056"/>
      <c r="E1279" s="1056"/>
      <c r="F1279" s="1056"/>
      <c r="G1279" s="1056"/>
      <c r="H1279" s="1056"/>
      <c r="I1279" s="1056"/>
      <c r="J1279" s="1056"/>
      <c r="K1279" s="1056"/>
      <c r="L1279" s="1056"/>
      <c r="M1279" s="274"/>
      <c r="P1279" s="264"/>
      <c r="Q1279" s="264"/>
      <c r="R1279" s="264"/>
      <c r="S1279" s="264"/>
      <c r="T1279" s="1056"/>
      <c r="U1279" s="1056"/>
      <c r="V1279" s="1056"/>
      <c r="W1279" s="1056"/>
      <c r="X1279" s="1056"/>
      <c r="Y1279" s="1056"/>
      <c r="Z1279" s="1056"/>
      <c r="AA1279" s="1056"/>
      <c r="AB1279" s="1056"/>
      <c r="AC1279" s="1056"/>
      <c r="AD1279" s="1056"/>
      <c r="AE1279" s="1056"/>
      <c r="AF1279" s="264"/>
    </row>
    <row r="1280" spans="1:32" s="268" customFormat="1" ht="15" x14ac:dyDescent="0.25">
      <c r="A1280" s="264"/>
      <c r="B1280" s="264"/>
      <c r="C1280" s="1056"/>
      <c r="D1280" s="1056"/>
      <c r="E1280" s="1056"/>
      <c r="F1280" s="1056"/>
      <c r="G1280" s="1056"/>
      <c r="H1280" s="1056"/>
      <c r="I1280" s="1056"/>
      <c r="J1280" s="1056"/>
      <c r="K1280" s="1056"/>
      <c r="L1280" s="1056"/>
      <c r="M1280" s="274"/>
      <c r="P1280" s="264"/>
      <c r="Q1280" s="264"/>
      <c r="R1280" s="264"/>
      <c r="S1280" s="264"/>
      <c r="T1280" s="1056"/>
      <c r="U1280" s="1056"/>
      <c r="V1280" s="1056"/>
      <c r="W1280" s="1056"/>
      <c r="X1280" s="1056"/>
      <c r="Y1280" s="1056"/>
      <c r="Z1280" s="1056"/>
      <c r="AA1280" s="1056"/>
      <c r="AB1280" s="1056"/>
      <c r="AC1280" s="1056"/>
      <c r="AD1280" s="1056"/>
      <c r="AE1280" s="1056"/>
      <c r="AF1280" s="264"/>
    </row>
    <row r="1281" spans="1:32" s="268" customFormat="1" ht="15" x14ac:dyDescent="0.25">
      <c r="A1281" s="264"/>
      <c r="B1281" s="264"/>
      <c r="C1281" s="1056"/>
      <c r="D1281" s="1056"/>
      <c r="E1281" s="1056"/>
      <c r="F1281" s="1056"/>
      <c r="G1281" s="1056"/>
      <c r="H1281" s="1056"/>
      <c r="I1281" s="1056"/>
      <c r="J1281" s="1056"/>
      <c r="K1281" s="1056"/>
      <c r="L1281" s="1056"/>
      <c r="M1281" s="274"/>
      <c r="P1281" s="264"/>
      <c r="Q1281" s="264"/>
      <c r="R1281" s="264"/>
      <c r="S1281" s="264"/>
      <c r="T1281" s="1056"/>
      <c r="U1281" s="1056"/>
      <c r="V1281" s="1056"/>
      <c r="W1281" s="1056"/>
      <c r="X1281" s="1056"/>
      <c r="Y1281" s="1056"/>
      <c r="Z1281" s="1056"/>
      <c r="AA1281" s="1056"/>
      <c r="AB1281" s="1056"/>
      <c r="AC1281" s="1056"/>
      <c r="AD1281" s="1056"/>
      <c r="AE1281" s="1056"/>
      <c r="AF1281" s="264"/>
    </row>
    <row r="1282" spans="1:32" s="268" customFormat="1" ht="15" x14ac:dyDescent="0.25">
      <c r="A1282" s="264"/>
      <c r="B1282" s="264"/>
      <c r="C1282" s="1056"/>
      <c r="D1282" s="1056"/>
      <c r="E1282" s="1056"/>
      <c r="F1282" s="1056"/>
      <c r="G1282" s="1056"/>
      <c r="H1282" s="1056"/>
      <c r="I1282" s="1056"/>
      <c r="J1282" s="1056"/>
      <c r="K1282" s="1056"/>
      <c r="L1282" s="1056"/>
      <c r="M1282" s="274"/>
      <c r="P1282" s="264"/>
      <c r="Q1282" s="264"/>
      <c r="R1282" s="264"/>
      <c r="S1282" s="264"/>
      <c r="T1282" s="1056"/>
      <c r="U1282" s="1056"/>
      <c r="V1282" s="1056"/>
      <c r="W1282" s="1056"/>
      <c r="X1282" s="1056"/>
      <c r="Y1282" s="1056"/>
      <c r="Z1282" s="1056"/>
      <c r="AA1282" s="1056"/>
      <c r="AB1282" s="1056"/>
      <c r="AC1282" s="1056"/>
      <c r="AD1282" s="1056"/>
      <c r="AE1282" s="1056"/>
      <c r="AF1282" s="264"/>
    </row>
    <row r="1283" spans="1:32" s="268" customFormat="1" ht="15" x14ac:dyDescent="0.25">
      <c r="A1283" s="264"/>
      <c r="B1283" s="264"/>
      <c r="C1283" s="1056"/>
      <c r="D1283" s="1056"/>
      <c r="E1283" s="1056"/>
      <c r="F1283" s="1056"/>
      <c r="G1283" s="1056"/>
      <c r="H1283" s="1056"/>
      <c r="I1283" s="1056"/>
      <c r="J1283" s="1056"/>
      <c r="K1283" s="1056"/>
      <c r="L1283" s="1056"/>
      <c r="M1283" s="274"/>
      <c r="P1283" s="264"/>
      <c r="Q1283" s="264"/>
      <c r="R1283" s="264"/>
      <c r="S1283" s="264"/>
      <c r="T1283" s="1056"/>
      <c r="U1283" s="1056"/>
      <c r="V1283" s="1056"/>
      <c r="W1283" s="1056"/>
      <c r="X1283" s="1056"/>
      <c r="Y1283" s="1056"/>
      <c r="Z1283" s="1056"/>
      <c r="AA1283" s="1056"/>
      <c r="AB1283" s="1056"/>
      <c r="AC1283" s="1056"/>
      <c r="AD1283" s="1056"/>
      <c r="AE1283" s="1056"/>
      <c r="AF1283" s="264"/>
    </row>
    <row r="1284" spans="1:32" s="268" customFormat="1" ht="15" x14ac:dyDescent="0.25">
      <c r="A1284" s="264"/>
      <c r="B1284" s="264"/>
      <c r="C1284" s="1056"/>
      <c r="D1284" s="1056"/>
      <c r="E1284" s="1056"/>
      <c r="F1284" s="1056"/>
      <c r="G1284" s="1056"/>
      <c r="H1284" s="1056"/>
      <c r="I1284" s="1056"/>
      <c r="J1284" s="1056"/>
      <c r="K1284" s="1056"/>
      <c r="L1284" s="1056"/>
      <c r="M1284" s="274"/>
      <c r="P1284" s="264"/>
      <c r="Q1284" s="264"/>
      <c r="R1284" s="264"/>
      <c r="S1284" s="264"/>
      <c r="T1284" s="1056"/>
      <c r="U1284" s="1056"/>
      <c r="V1284" s="1056"/>
      <c r="W1284" s="1056"/>
      <c r="X1284" s="1056"/>
      <c r="Y1284" s="1056"/>
      <c r="Z1284" s="1056"/>
      <c r="AA1284" s="1056"/>
      <c r="AB1284" s="1056"/>
      <c r="AC1284" s="1056"/>
      <c r="AD1284" s="1056"/>
      <c r="AE1284" s="1056"/>
      <c r="AF1284" s="264"/>
    </row>
    <row r="1285" spans="1:32" s="268" customFormat="1" ht="15" x14ac:dyDescent="0.25">
      <c r="A1285" s="264"/>
      <c r="B1285" s="264"/>
      <c r="C1285" s="1056"/>
      <c r="D1285" s="1056"/>
      <c r="E1285" s="1056"/>
      <c r="F1285" s="1056"/>
      <c r="G1285" s="1056"/>
      <c r="H1285" s="1056"/>
      <c r="I1285" s="1056"/>
      <c r="J1285" s="1056"/>
      <c r="K1285" s="1056"/>
      <c r="L1285" s="1056"/>
      <c r="M1285" s="274"/>
      <c r="P1285" s="264"/>
      <c r="Q1285" s="264"/>
      <c r="R1285" s="264"/>
      <c r="S1285" s="264"/>
      <c r="T1285" s="1056"/>
      <c r="U1285" s="1056"/>
      <c r="V1285" s="1056"/>
      <c r="W1285" s="1056"/>
      <c r="X1285" s="1056"/>
      <c r="Y1285" s="1056"/>
      <c r="Z1285" s="1056"/>
      <c r="AA1285" s="1056"/>
      <c r="AB1285" s="1056"/>
      <c r="AC1285" s="1056"/>
      <c r="AD1285" s="1056"/>
      <c r="AE1285" s="1056"/>
      <c r="AF1285" s="264"/>
    </row>
    <row r="1286" spans="1:32" s="268" customFormat="1" ht="15" x14ac:dyDescent="0.25">
      <c r="A1286" s="264"/>
      <c r="B1286" s="264"/>
      <c r="C1286" s="1056"/>
      <c r="D1286" s="1056"/>
      <c r="E1286" s="1056"/>
      <c r="F1286" s="1056"/>
      <c r="G1286" s="1056"/>
      <c r="H1286" s="1056"/>
      <c r="I1286" s="1056"/>
      <c r="J1286" s="1056"/>
      <c r="K1286" s="1056"/>
      <c r="L1286" s="1056"/>
      <c r="M1286" s="274"/>
      <c r="P1286" s="264"/>
      <c r="Q1286" s="264"/>
      <c r="R1286" s="264"/>
      <c r="S1286" s="264"/>
      <c r="T1286" s="1056"/>
      <c r="U1286" s="1056"/>
      <c r="V1286" s="1056"/>
      <c r="W1286" s="1056"/>
      <c r="X1286" s="1056"/>
      <c r="Y1286" s="1056"/>
      <c r="Z1286" s="1056"/>
      <c r="AA1286" s="1056"/>
      <c r="AB1286" s="1056"/>
      <c r="AC1286" s="1056"/>
      <c r="AD1286" s="1056"/>
      <c r="AE1286" s="1056"/>
      <c r="AF1286" s="264"/>
    </row>
    <row r="1287" spans="1:32" s="268" customFormat="1" ht="15" x14ac:dyDescent="0.25">
      <c r="A1287" s="264"/>
      <c r="B1287" s="264"/>
      <c r="C1287" s="1056"/>
      <c r="D1287" s="1056"/>
      <c r="E1287" s="1056"/>
      <c r="F1287" s="1056"/>
      <c r="G1287" s="1056"/>
      <c r="H1287" s="1056"/>
      <c r="I1287" s="1056"/>
      <c r="J1287" s="1056"/>
      <c r="K1287" s="1056"/>
      <c r="L1287" s="1056"/>
      <c r="M1287" s="274"/>
      <c r="P1287" s="264"/>
      <c r="Q1287" s="264"/>
      <c r="R1287" s="264"/>
      <c r="S1287" s="264"/>
      <c r="T1287" s="1056"/>
      <c r="U1287" s="1056"/>
      <c r="V1287" s="1056"/>
      <c r="W1287" s="1056"/>
      <c r="X1287" s="1056"/>
      <c r="Y1287" s="1056"/>
      <c r="Z1287" s="1056"/>
      <c r="AA1287" s="1056"/>
      <c r="AB1287" s="1056"/>
      <c r="AC1287" s="1056"/>
      <c r="AD1287" s="1056"/>
      <c r="AE1287" s="1056"/>
      <c r="AF1287" s="264"/>
    </row>
    <row r="1288" spans="1:32" s="268" customFormat="1" ht="15" x14ac:dyDescent="0.25">
      <c r="A1288" s="264"/>
      <c r="B1288" s="264"/>
      <c r="C1288" s="1056"/>
      <c r="D1288" s="1056"/>
      <c r="E1288" s="1056"/>
      <c r="F1288" s="1056"/>
      <c r="G1288" s="1056"/>
      <c r="H1288" s="1056"/>
      <c r="I1288" s="1056"/>
      <c r="J1288" s="1056"/>
      <c r="K1288" s="1056"/>
      <c r="L1288" s="1056"/>
      <c r="M1288" s="274"/>
      <c r="P1288" s="264"/>
      <c r="Q1288" s="264"/>
      <c r="R1288" s="264"/>
      <c r="S1288" s="264"/>
      <c r="T1288" s="1056"/>
      <c r="U1288" s="1056"/>
      <c r="V1288" s="1056"/>
      <c r="W1288" s="1056"/>
      <c r="X1288" s="1056"/>
      <c r="Y1288" s="1056"/>
      <c r="Z1288" s="1056"/>
      <c r="AA1288" s="1056"/>
      <c r="AB1288" s="1056"/>
      <c r="AC1288" s="1056"/>
      <c r="AD1288" s="1056"/>
      <c r="AE1288" s="1056"/>
      <c r="AF1288" s="264"/>
    </row>
    <row r="1289" spans="1:32" s="268" customFormat="1" ht="15" x14ac:dyDescent="0.25">
      <c r="A1289" s="264"/>
      <c r="B1289" s="264"/>
      <c r="C1289" s="1056"/>
      <c r="D1289" s="1056"/>
      <c r="E1289" s="1056"/>
      <c r="F1289" s="1056"/>
      <c r="G1289" s="1056"/>
      <c r="H1289" s="1056"/>
      <c r="I1289" s="1056"/>
      <c r="J1289" s="1056"/>
      <c r="K1289" s="1056"/>
      <c r="L1289" s="1056"/>
      <c r="M1289" s="274"/>
      <c r="P1289" s="264"/>
      <c r="Q1289" s="264"/>
      <c r="R1289" s="264"/>
      <c r="S1289" s="264"/>
      <c r="T1289" s="1056"/>
      <c r="U1289" s="1056"/>
      <c r="V1289" s="1056"/>
      <c r="W1289" s="1056"/>
      <c r="X1289" s="1056"/>
      <c r="Y1289" s="1056"/>
      <c r="Z1289" s="1056"/>
      <c r="AA1289" s="1056"/>
      <c r="AB1289" s="1056"/>
      <c r="AC1289" s="1056"/>
      <c r="AD1289" s="1056"/>
      <c r="AE1289" s="1056"/>
      <c r="AF1289" s="264"/>
    </row>
    <row r="1290" spans="1:32" s="268" customFormat="1" ht="15" x14ac:dyDescent="0.25">
      <c r="A1290" s="264"/>
      <c r="B1290" s="264"/>
      <c r="C1290" s="1056"/>
      <c r="D1290" s="1056"/>
      <c r="E1290" s="1056"/>
      <c r="F1290" s="1056"/>
      <c r="G1290" s="1056"/>
      <c r="H1290" s="1056"/>
      <c r="I1290" s="1056"/>
      <c r="J1290" s="1056"/>
      <c r="K1290" s="1056"/>
      <c r="L1290" s="1056"/>
      <c r="M1290" s="274"/>
      <c r="P1290" s="264"/>
      <c r="Q1290" s="264"/>
      <c r="R1290" s="264"/>
      <c r="S1290" s="264"/>
      <c r="T1290" s="1056"/>
      <c r="U1290" s="1056"/>
      <c r="V1290" s="1056"/>
      <c r="W1290" s="1056"/>
      <c r="X1290" s="1056"/>
      <c r="Y1290" s="1056"/>
      <c r="Z1290" s="1056"/>
      <c r="AA1290" s="1056"/>
      <c r="AB1290" s="1056"/>
      <c r="AC1290" s="1056"/>
      <c r="AD1290" s="1056"/>
      <c r="AE1290" s="1056"/>
      <c r="AF1290" s="264"/>
    </row>
    <row r="1291" spans="1:32" s="268" customFormat="1" ht="15" x14ac:dyDescent="0.25">
      <c r="A1291" s="264"/>
      <c r="B1291" s="264"/>
      <c r="C1291" s="1056"/>
      <c r="D1291" s="1056"/>
      <c r="E1291" s="1056"/>
      <c r="F1291" s="1056"/>
      <c r="G1291" s="1056"/>
      <c r="H1291" s="1056"/>
      <c r="I1291" s="1056"/>
      <c r="J1291" s="1056"/>
      <c r="K1291" s="1056"/>
      <c r="L1291" s="1056"/>
      <c r="M1291" s="274"/>
      <c r="P1291" s="264"/>
      <c r="Q1291" s="264"/>
      <c r="R1291" s="264"/>
      <c r="S1291" s="264"/>
      <c r="T1291" s="1056"/>
      <c r="U1291" s="1056"/>
      <c r="V1291" s="1056"/>
      <c r="W1291" s="1056"/>
      <c r="X1291" s="1056"/>
      <c r="Y1291" s="1056"/>
      <c r="Z1291" s="1056"/>
      <c r="AA1291" s="1056"/>
      <c r="AB1291" s="1056"/>
      <c r="AC1291" s="1056"/>
      <c r="AD1291" s="1056"/>
      <c r="AE1291" s="1056"/>
      <c r="AF1291" s="264"/>
    </row>
    <row r="1292" spans="1:32" s="268" customFormat="1" ht="15" x14ac:dyDescent="0.25">
      <c r="A1292" s="264"/>
      <c r="B1292" s="264"/>
      <c r="C1292" s="1056"/>
      <c r="D1292" s="1056"/>
      <c r="E1292" s="1056"/>
      <c r="F1292" s="1056"/>
      <c r="G1292" s="1056"/>
      <c r="H1292" s="1056"/>
      <c r="I1292" s="1056"/>
      <c r="J1292" s="1056"/>
      <c r="K1292" s="1056"/>
      <c r="L1292" s="1056"/>
      <c r="M1292" s="274"/>
      <c r="P1292" s="264"/>
      <c r="Q1292" s="264"/>
      <c r="R1292" s="264"/>
      <c r="S1292" s="264"/>
      <c r="T1292" s="1056"/>
      <c r="U1292" s="1056"/>
      <c r="V1292" s="1056"/>
      <c r="W1292" s="1056"/>
      <c r="X1292" s="1056"/>
      <c r="Y1292" s="1056"/>
      <c r="Z1292" s="1056"/>
      <c r="AA1292" s="1056"/>
      <c r="AB1292" s="1056"/>
      <c r="AC1292" s="1056"/>
      <c r="AD1292" s="1056"/>
      <c r="AE1292" s="1056"/>
      <c r="AF1292" s="264"/>
    </row>
    <row r="1293" spans="1:32" s="268" customFormat="1" ht="15" x14ac:dyDescent="0.25">
      <c r="A1293" s="264"/>
      <c r="B1293" s="264"/>
      <c r="C1293" s="1056"/>
      <c r="D1293" s="1056"/>
      <c r="E1293" s="1056"/>
      <c r="F1293" s="1056"/>
      <c r="G1293" s="1056"/>
      <c r="H1293" s="1056"/>
      <c r="I1293" s="1056"/>
      <c r="J1293" s="1056"/>
      <c r="K1293" s="1056"/>
      <c r="L1293" s="1056"/>
      <c r="M1293" s="274"/>
      <c r="P1293" s="264"/>
      <c r="Q1293" s="264"/>
      <c r="R1293" s="264"/>
      <c r="S1293" s="264"/>
      <c r="T1293" s="1056"/>
      <c r="U1293" s="1056"/>
      <c r="V1293" s="1056"/>
      <c r="W1293" s="1056"/>
      <c r="X1293" s="1056"/>
      <c r="Y1293" s="1056"/>
      <c r="Z1293" s="1056"/>
      <c r="AA1293" s="1056"/>
      <c r="AB1293" s="1056"/>
      <c r="AC1293" s="1056"/>
      <c r="AD1293" s="1056"/>
      <c r="AE1293" s="1056"/>
      <c r="AF1293" s="264"/>
    </row>
    <row r="1294" spans="1:32" s="268" customFormat="1" ht="15" x14ac:dyDescent="0.25">
      <c r="A1294" s="264"/>
      <c r="B1294" s="264"/>
      <c r="C1294" s="1056"/>
      <c r="D1294" s="1056"/>
      <c r="E1294" s="1056"/>
      <c r="F1294" s="1056"/>
      <c r="G1294" s="1056"/>
      <c r="H1294" s="1056"/>
      <c r="I1294" s="1056"/>
      <c r="J1294" s="1056"/>
      <c r="K1294" s="1056"/>
      <c r="L1294" s="1056"/>
      <c r="M1294" s="274"/>
      <c r="P1294" s="264"/>
      <c r="Q1294" s="264"/>
      <c r="R1294" s="264"/>
      <c r="S1294" s="264"/>
      <c r="T1294" s="1056"/>
      <c r="U1294" s="1056"/>
      <c r="V1294" s="1056"/>
      <c r="W1294" s="1056"/>
      <c r="X1294" s="1056"/>
      <c r="Y1294" s="1056"/>
      <c r="Z1294" s="1056"/>
      <c r="AA1294" s="1056"/>
      <c r="AB1294" s="1056"/>
      <c r="AC1294" s="1056"/>
      <c r="AD1294" s="1056"/>
      <c r="AE1294" s="1056"/>
      <c r="AF1294" s="264"/>
    </row>
    <row r="1295" spans="1:32" s="268" customFormat="1" ht="15" x14ac:dyDescent="0.25">
      <c r="A1295" s="264"/>
      <c r="B1295" s="264"/>
      <c r="C1295" s="1056"/>
      <c r="D1295" s="1056"/>
      <c r="E1295" s="1056"/>
      <c r="F1295" s="1056"/>
      <c r="G1295" s="1056"/>
      <c r="H1295" s="1056"/>
      <c r="I1295" s="1056"/>
      <c r="J1295" s="1056"/>
      <c r="K1295" s="1056"/>
      <c r="L1295" s="1056"/>
      <c r="M1295" s="274"/>
      <c r="P1295" s="264"/>
      <c r="Q1295" s="264"/>
      <c r="R1295" s="264"/>
      <c r="S1295" s="264"/>
      <c r="T1295" s="1056"/>
      <c r="U1295" s="1056"/>
      <c r="V1295" s="1056"/>
      <c r="W1295" s="1056"/>
      <c r="X1295" s="1056"/>
      <c r="Y1295" s="1056"/>
      <c r="Z1295" s="1056"/>
      <c r="AA1295" s="1056"/>
      <c r="AB1295" s="1056"/>
      <c r="AC1295" s="1056"/>
      <c r="AD1295" s="1056"/>
      <c r="AE1295" s="1056"/>
      <c r="AF1295" s="264"/>
    </row>
    <row r="1296" spans="1:32" s="268" customFormat="1" ht="15" x14ac:dyDescent="0.25">
      <c r="A1296" s="264"/>
      <c r="B1296" s="264"/>
      <c r="C1296" s="1056"/>
      <c r="D1296" s="1056"/>
      <c r="E1296" s="1056"/>
      <c r="F1296" s="1056"/>
      <c r="G1296" s="1056"/>
      <c r="H1296" s="1056"/>
      <c r="I1296" s="1056"/>
      <c r="J1296" s="1056"/>
      <c r="K1296" s="1056"/>
      <c r="L1296" s="1056"/>
      <c r="M1296" s="274"/>
      <c r="P1296" s="264"/>
      <c r="Q1296" s="264"/>
      <c r="R1296" s="264"/>
      <c r="S1296" s="264"/>
      <c r="T1296" s="1056"/>
      <c r="U1296" s="1056"/>
      <c r="V1296" s="1056"/>
      <c r="W1296" s="1056"/>
      <c r="X1296" s="1056"/>
      <c r="Y1296" s="1056"/>
      <c r="Z1296" s="1056"/>
      <c r="AA1296" s="1056"/>
      <c r="AB1296" s="1056"/>
      <c r="AC1296" s="1056"/>
      <c r="AD1296" s="1056"/>
      <c r="AE1296" s="1056"/>
      <c r="AF1296" s="264"/>
    </row>
    <row r="1297" spans="1:32" s="268" customFormat="1" ht="15" x14ac:dyDescent="0.25">
      <c r="A1297" s="264"/>
      <c r="B1297" s="264"/>
      <c r="C1297" s="1056"/>
      <c r="D1297" s="1056"/>
      <c r="E1297" s="1056"/>
      <c r="F1297" s="1056"/>
      <c r="G1297" s="1056"/>
      <c r="H1297" s="1056"/>
      <c r="I1297" s="1056"/>
      <c r="J1297" s="1056"/>
      <c r="K1297" s="1056"/>
      <c r="L1297" s="1056"/>
      <c r="M1297" s="274"/>
      <c r="P1297" s="264"/>
      <c r="Q1297" s="264"/>
      <c r="R1297" s="264"/>
      <c r="S1297" s="264"/>
      <c r="T1297" s="1056"/>
      <c r="U1297" s="1056"/>
      <c r="V1297" s="1056"/>
      <c r="W1297" s="1056"/>
      <c r="X1297" s="1056"/>
      <c r="Y1297" s="1056"/>
      <c r="Z1297" s="1056"/>
      <c r="AA1297" s="1056"/>
      <c r="AB1297" s="1056"/>
      <c r="AC1297" s="1056"/>
      <c r="AD1297" s="1056"/>
      <c r="AE1297" s="1056"/>
      <c r="AF1297" s="264"/>
    </row>
    <row r="1298" spans="1:32" s="268" customFormat="1" ht="15" x14ac:dyDescent="0.25">
      <c r="A1298" s="264"/>
      <c r="B1298" s="264"/>
      <c r="C1298" s="1056"/>
      <c r="D1298" s="1056"/>
      <c r="E1298" s="1056"/>
      <c r="F1298" s="1056"/>
      <c r="G1298" s="1056"/>
      <c r="H1298" s="1056"/>
      <c r="I1298" s="1056"/>
      <c r="J1298" s="1056"/>
      <c r="K1298" s="1056"/>
      <c r="L1298" s="1056"/>
      <c r="M1298" s="274"/>
      <c r="P1298" s="264"/>
      <c r="Q1298" s="264"/>
      <c r="R1298" s="264"/>
      <c r="S1298" s="264"/>
      <c r="T1298" s="1056"/>
      <c r="U1298" s="1056"/>
      <c r="V1298" s="1056"/>
      <c r="W1298" s="1056"/>
      <c r="X1298" s="1056"/>
      <c r="Y1298" s="1056"/>
      <c r="Z1298" s="1056"/>
      <c r="AA1298" s="1056"/>
      <c r="AB1298" s="1056"/>
      <c r="AC1298" s="1056"/>
      <c r="AD1298" s="1056"/>
      <c r="AE1298" s="1056"/>
      <c r="AF1298" s="264"/>
    </row>
    <row r="1299" spans="1:32" s="268" customFormat="1" ht="15" x14ac:dyDescent="0.25">
      <c r="A1299" s="264"/>
      <c r="B1299" s="264"/>
      <c r="C1299" s="1056"/>
      <c r="D1299" s="1056"/>
      <c r="E1299" s="1056"/>
      <c r="F1299" s="1056"/>
      <c r="G1299" s="1056"/>
      <c r="H1299" s="1056"/>
      <c r="I1299" s="1056"/>
      <c r="J1299" s="1056"/>
      <c r="K1299" s="1056"/>
      <c r="L1299" s="1056"/>
      <c r="M1299" s="274"/>
      <c r="P1299" s="264"/>
      <c r="Q1299" s="264"/>
      <c r="R1299" s="264"/>
      <c r="S1299" s="264"/>
      <c r="T1299" s="1056"/>
      <c r="U1299" s="1056"/>
      <c r="V1299" s="1056"/>
      <c r="W1299" s="1056"/>
      <c r="X1299" s="1056"/>
      <c r="Y1299" s="1056"/>
      <c r="Z1299" s="1056"/>
      <c r="AA1299" s="1056"/>
      <c r="AB1299" s="1056"/>
      <c r="AC1299" s="1056"/>
      <c r="AD1299" s="1056"/>
      <c r="AE1299" s="1056"/>
      <c r="AF1299" s="264"/>
    </row>
    <row r="1300" spans="1:32" s="268" customFormat="1" ht="15" x14ac:dyDescent="0.25">
      <c r="A1300" s="264"/>
      <c r="B1300" s="264"/>
      <c r="C1300" s="1056"/>
      <c r="D1300" s="1056"/>
      <c r="E1300" s="1056"/>
      <c r="F1300" s="1056"/>
      <c r="G1300" s="1056"/>
      <c r="H1300" s="1056"/>
      <c r="I1300" s="1056"/>
      <c r="J1300" s="1056"/>
      <c r="K1300" s="1056"/>
      <c r="L1300" s="1056"/>
      <c r="M1300" s="274"/>
      <c r="P1300" s="264"/>
      <c r="Q1300" s="264"/>
      <c r="R1300" s="264"/>
      <c r="S1300" s="264"/>
      <c r="T1300" s="1056"/>
      <c r="U1300" s="1056"/>
      <c r="V1300" s="1056"/>
      <c r="W1300" s="1056"/>
      <c r="X1300" s="1056"/>
      <c r="Y1300" s="1056"/>
      <c r="Z1300" s="1056"/>
      <c r="AA1300" s="1056"/>
      <c r="AB1300" s="1056"/>
      <c r="AC1300" s="1056"/>
      <c r="AD1300" s="1056"/>
      <c r="AE1300" s="1056"/>
      <c r="AF1300" s="264"/>
    </row>
    <row r="1301" spans="1:32" s="268" customFormat="1" ht="15" x14ac:dyDescent="0.25">
      <c r="A1301" s="264"/>
      <c r="B1301" s="264"/>
      <c r="C1301" s="1056"/>
      <c r="D1301" s="1056"/>
      <c r="E1301" s="1056"/>
      <c r="F1301" s="1056"/>
      <c r="G1301" s="1056"/>
      <c r="H1301" s="1056"/>
      <c r="I1301" s="1056"/>
      <c r="J1301" s="1056"/>
      <c r="K1301" s="1056"/>
      <c r="L1301" s="1056"/>
      <c r="M1301" s="274"/>
      <c r="P1301" s="264"/>
      <c r="Q1301" s="264"/>
      <c r="R1301" s="264"/>
      <c r="S1301" s="264"/>
      <c r="T1301" s="1056"/>
      <c r="U1301" s="1056"/>
      <c r="V1301" s="1056"/>
      <c r="W1301" s="1056"/>
      <c r="X1301" s="1056"/>
      <c r="Y1301" s="1056"/>
      <c r="Z1301" s="1056"/>
      <c r="AA1301" s="1056"/>
      <c r="AB1301" s="1056"/>
      <c r="AC1301" s="1056"/>
      <c r="AD1301" s="1056"/>
      <c r="AE1301" s="1056"/>
      <c r="AF1301" s="264"/>
    </row>
    <row r="1302" spans="1:32" s="268" customFormat="1" ht="15" x14ac:dyDescent="0.25">
      <c r="A1302" s="264"/>
      <c r="B1302" s="264"/>
      <c r="C1302" s="1056"/>
      <c r="D1302" s="1056"/>
      <c r="E1302" s="1056"/>
      <c r="F1302" s="1056"/>
      <c r="G1302" s="1056"/>
      <c r="H1302" s="1056"/>
      <c r="I1302" s="1056"/>
      <c r="J1302" s="1056"/>
      <c r="K1302" s="1056"/>
      <c r="L1302" s="1056"/>
      <c r="M1302" s="274"/>
      <c r="P1302" s="264"/>
      <c r="Q1302" s="264"/>
      <c r="R1302" s="264"/>
      <c r="S1302" s="264"/>
      <c r="T1302" s="1056"/>
      <c r="U1302" s="1056"/>
      <c r="V1302" s="1056"/>
      <c r="W1302" s="1056"/>
      <c r="X1302" s="1056"/>
      <c r="Y1302" s="1056"/>
      <c r="Z1302" s="1056"/>
      <c r="AA1302" s="1056"/>
      <c r="AB1302" s="1056"/>
      <c r="AC1302" s="1056"/>
      <c r="AD1302" s="1056"/>
      <c r="AE1302" s="1056"/>
      <c r="AF1302" s="264"/>
    </row>
    <row r="1303" spans="1:32" s="268" customFormat="1" ht="15" x14ac:dyDescent="0.25">
      <c r="A1303" s="264"/>
      <c r="B1303" s="264"/>
      <c r="C1303" s="1056"/>
      <c r="D1303" s="1056"/>
      <c r="E1303" s="1056"/>
      <c r="F1303" s="1056"/>
      <c r="G1303" s="1056"/>
      <c r="H1303" s="1056"/>
      <c r="I1303" s="1056"/>
      <c r="J1303" s="1056"/>
      <c r="K1303" s="1056"/>
      <c r="L1303" s="1056"/>
      <c r="M1303" s="274"/>
      <c r="P1303" s="264"/>
      <c r="Q1303" s="264"/>
      <c r="R1303" s="264"/>
      <c r="S1303" s="264"/>
      <c r="T1303" s="1056"/>
      <c r="U1303" s="1056"/>
      <c r="V1303" s="1056"/>
      <c r="W1303" s="1056"/>
      <c r="X1303" s="1056"/>
      <c r="Y1303" s="1056"/>
      <c r="Z1303" s="1056"/>
      <c r="AA1303" s="1056"/>
      <c r="AB1303" s="1056"/>
      <c r="AC1303" s="1056"/>
      <c r="AD1303" s="1056"/>
      <c r="AE1303" s="1056"/>
      <c r="AF1303" s="264"/>
    </row>
    <row r="1304" spans="1:32" s="268" customFormat="1" ht="15" x14ac:dyDescent="0.25">
      <c r="A1304" s="264"/>
      <c r="B1304" s="264"/>
      <c r="C1304" s="1056"/>
      <c r="D1304" s="1056"/>
      <c r="E1304" s="1056"/>
      <c r="F1304" s="1056"/>
      <c r="G1304" s="1056"/>
      <c r="H1304" s="1056"/>
      <c r="I1304" s="1056"/>
      <c r="J1304" s="1056"/>
      <c r="K1304" s="1056"/>
      <c r="L1304" s="1056"/>
      <c r="M1304" s="274"/>
      <c r="P1304" s="264"/>
      <c r="Q1304" s="264"/>
      <c r="R1304" s="264"/>
      <c r="S1304" s="264"/>
      <c r="T1304" s="1056"/>
      <c r="U1304" s="1056"/>
      <c r="V1304" s="1056"/>
      <c r="W1304" s="1056"/>
      <c r="X1304" s="1056"/>
      <c r="Y1304" s="1056"/>
      <c r="Z1304" s="1056"/>
      <c r="AA1304" s="1056"/>
      <c r="AB1304" s="1056"/>
      <c r="AC1304" s="1056"/>
      <c r="AD1304" s="1056"/>
      <c r="AE1304" s="1056"/>
      <c r="AF1304" s="264"/>
    </row>
    <row r="1305" spans="1:32" s="268" customFormat="1" ht="15" x14ac:dyDescent="0.25">
      <c r="A1305" s="264"/>
      <c r="B1305" s="264"/>
      <c r="C1305" s="1056"/>
      <c r="D1305" s="1056"/>
      <c r="E1305" s="1056"/>
      <c r="F1305" s="1056"/>
      <c r="G1305" s="1056"/>
      <c r="H1305" s="1056"/>
      <c r="I1305" s="1056"/>
      <c r="J1305" s="1056"/>
      <c r="K1305" s="1056"/>
      <c r="L1305" s="1056"/>
      <c r="M1305" s="274"/>
      <c r="P1305" s="264"/>
      <c r="Q1305" s="264"/>
      <c r="R1305" s="264"/>
      <c r="S1305" s="264"/>
      <c r="T1305" s="1056"/>
      <c r="U1305" s="1056"/>
      <c r="V1305" s="1056"/>
      <c r="W1305" s="1056"/>
      <c r="X1305" s="1056"/>
      <c r="Y1305" s="1056"/>
      <c r="Z1305" s="1056"/>
      <c r="AA1305" s="1056"/>
      <c r="AB1305" s="1056"/>
      <c r="AC1305" s="1056"/>
      <c r="AD1305" s="1056"/>
      <c r="AE1305" s="1056"/>
      <c r="AF1305" s="264"/>
    </row>
    <row r="1306" spans="1:32" s="268" customFormat="1" ht="15" x14ac:dyDescent="0.25">
      <c r="A1306" s="264"/>
      <c r="B1306" s="264"/>
      <c r="C1306" s="1056"/>
      <c r="D1306" s="1056"/>
      <c r="E1306" s="1056"/>
      <c r="F1306" s="1056"/>
      <c r="G1306" s="1056"/>
      <c r="H1306" s="1056"/>
      <c r="I1306" s="1056"/>
      <c r="J1306" s="1056"/>
      <c r="K1306" s="1056"/>
      <c r="L1306" s="1056"/>
      <c r="M1306" s="274"/>
      <c r="P1306" s="264"/>
      <c r="Q1306" s="264"/>
      <c r="R1306" s="264"/>
      <c r="S1306" s="264"/>
      <c r="T1306" s="1056"/>
      <c r="U1306" s="1056"/>
      <c r="V1306" s="1056"/>
      <c r="W1306" s="1056"/>
      <c r="X1306" s="1056"/>
      <c r="Y1306" s="1056"/>
      <c r="Z1306" s="1056"/>
      <c r="AA1306" s="1056"/>
      <c r="AB1306" s="1056"/>
      <c r="AC1306" s="1056"/>
      <c r="AD1306" s="1056"/>
      <c r="AE1306" s="1056"/>
      <c r="AF1306" s="264"/>
    </row>
    <row r="1307" spans="1:32" s="268" customFormat="1" ht="15" x14ac:dyDescent="0.25">
      <c r="A1307" s="264"/>
      <c r="B1307" s="264"/>
      <c r="C1307" s="1056"/>
      <c r="D1307" s="1056"/>
      <c r="E1307" s="1056"/>
      <c r="F1307" s="1056"/>
      <c r="G1307" s="1056"/>
      <c r="H1307" s="1056"/>
      <c r="I1307" s="1056"/>
      <c r="J1307" s="1056"/>
      <c r="K1307" s="1056"/>
      <c r="L1307" s="1056"/>
      <c r="M1307" s="274"/>
      <c r="P1307" s="264"/>
      <c r="Q1307" s="264"/>
      <c r="R1307" s="264"/>
      <c r="S1307" s="264"/>
      <c r="T1307" s="1056"/>
      <c r="U1307" s="1056"/>
      <c r="V1307" s="1056"/>
      <c r="W1307" s="1056"/>
      <c r="X1307" s="1056"/>
      <c r="Y1307" s="1056"/>
      <c r="Z1307" s="1056"/>
      <c r="AA1307" s="1056"/>
      <c r="AB1307" s="1056"/>
      <c r="AC1307" s="1056"/>
      <c r="AD1307" s="1056"/>
      <c r="AE1307" s="1056"/>
      <c r="AF1307" s="264"/>
    </row>
    <row r="1308" spans="1:32" s="268" customFormat="1" ht="15" x14ac:dyDescent="0.25">
      <c r="A1308" s="264"/>
      <c r="B1308" s="264"/>
      <c r="C1308" s="1056"/>
      <c r="D1308" s="1056"/>
      <c r="E1308" s="1056"/>
      <c r="F1308" s="1056"/>
      <c r="G1308" s="1056"/>
      <c r="H1308" s="1056"/>
      <c r="I1308" s="1056"/>
      <c r="J1308" s="1056"/>
      <c r="K1308" s="1056"/>
      <c r="L1308" s="1056"/>
      <c r="M1308" s="274"/>
      <c r="P1308" s="264"/>
      <c r="Q1308" s="264"/>
      <c r="R1308" s="264"/>
      <c r="S1308" s="264"/>
      <c r="T1308" s="1056"/>
      <c r="U1308" s="1056"/>
      <c r="V1308" s="1056"/>
      <c r="W1308" s="1056"/>
      <c r="X1308" s="1056"/>
      <c r="Y1308" s="1056"/>
      <c r="Z1308" s="1056"/>
      <c r="AA1308" s="1056"/>
      <c r="AB1308" s="1056"/>
      <c r="AC1308" s="1056"/>
      <c r="AD1308" s="1056"/>
      <c r="AE1308" s="1056"/>
      <c r="AF1308" s="264"/>
    </row>
    <row r="1309" spans="1:32" s="268" customFormat="1" ht="15" x14ac:dyDescent="0.25">
      <c r="A1309" s="264"/>
      <c r="B1309" s="264"/>
      <c r="C1309" s="1056"/>
      <c r="D1309" s="1056"/>
      <c r="E1309" s="1056"/>
      <c r="F1309" s="1056"/>
      <c r="G1309" s="1056"/>
      <c r="H1309" s="1056"/>
      <c r="I1309" s="1056"/>
      <c r="J1309" s="1056"/>
      <c r="K1309" s="1056"/>
      <c r="L1309" s="1056"/>
      <c r="M1309" s="274"/>
      <c r="P1309" s="264"/>
      <c r="Q1309" s="264"/>
      <c r="R1309" s="264"/>
      <c r="S1309" s="264"/>
      <c r="T1309" s="1056"/>
      <c r="U1309" s="1056"/>
      <c r="V1309" s="1056"/>
      <c r="W1309" s="1056"/>
      <c r="X1309" s="1056"/>
      <c r="Y1309" s="1056"/>
      <c r="Z1309" s="1056"/>
      <c r="AA1309" s="1056"/>
      <c r="AB1309" s="1056"/>
      <c r="AC1309" s="1056"/>
      <c r="AD1309" s="1056"/>
      <c r="AE1309" s="1056"/>
      <c r="AF1309" s="264"/>
    </row>
    <row r="1310" spans="1:32" s="268" customFormat="1" ht="15" x14ac:dyDescent="0.25">
      <c r="A1310" s="264"/>
      <c r="B1310" s="264"/>
      <c r="C1310" s="1056"/>
      <c r="D1310" s="1056"/>
      <c r="E1310" s="1056"/>
      <c r="F1310" s="1056"/>
      <c r="G1310" s="1056"/>
      <c r="H1310" s="1056"/>
      <c r="I1310" s="1056"/>
      <c r="J1310" s="1056"/>
      <c r="K1310" s="1056"/>
      <c r="L1310" s="1056"/>
      <c r="M1310" s="274"/>
      <c r="P1310" s="264"/>
      <c r="Q1310" s="264"/>
      <c r="R1310" s="264"/>
      <c r="S1310" s="264"/>
      <c r="T1310" s="1056"/>
      <c r="U1310" s="1056"/>
      <c r="V1310" s="1056"/>
      <c r="W1310" s="1056"/>
      <c r="X1310" s="1056"/>
      <c r="Y1310" s="1056"/>
      <c r="Z1310" s="1056"/>
      <c r="AA1310" s="1056"/>
      <c r="AB1310" s="1056"/>
      <c r="AC1310" s="1056"/>
      <c r="AD1310" s="1056"/>
      <c r="AE1310" s="1056"/>
      <c r="AF1310" s="264"/>
    </row>
    <row r="1311" spans="1:32" s="268" customFormat="1" ht="15" x14ac:dyDescent="0.25">
      <c r="A1311" s="264"/>
      <c r="B1311" s="264"/>
      <c r="C1311" s="1056"/>
      <c r="D1311" s="1056"/>
      <c r="E1311" s="1056"/>
      <c r="F1311" s="1056"/>
      <c r="G1311" s="1056"/>
      <c r="H1311" s="1056"/>
      <c r="I1311" s="1056"/>
      <c r="J1311" s="1056"/>
      <c r="K1311" s="1056"/>
      <c r="L1311" s="1056"/>
      <c r="M1311" s="274"/>
      <c r="P1311" s="264"/>
      <c r="Q1311" s="264"/>
      <c r="R1311" s="264"/>
      <c r="S1311" s="264"/>
      <c r="T1311" s="1056"/>
      <c r="U1311" s="1056"/>
      <c r="V1311" s="1056"/>
      <c r="W1311" s="1056"/>
      <c r="X1311" s="1056"/>
      <c r="Y1311" s="1056"/>
      <c r="Z1311" s="1056"/>
      <c r="AA1311" s="1056"/>
      <c r="AB1311" s="1056"/>
      <c r="AC1311" s="1056"/>
      <c r="AD1311" s="1056"/>
      <c r="AE1311" s="1056"/>
      <c r="AF1311" s="264"/>
    </row>
    <row r="1312" spans="1:32" s="268" customFormat="1" ht="15" x14ac:dyDescent="0.25">
      <c r="A1312" s="264"/>
      <c r="B1312" s="264"/>
      <c r="C1312" s="1056"/>
      <c r="D1312" s="1056"/>
      <c r="E1312" s="1056"/>
      <c r="F1312" s="1056"/>
      <c r="G1312" s="1056"/>
      <c r="H1312" s="1056"/>
      <c r="I1312" s="1056"/>
      <c r="J1312" s="1056"/>
      <c r="K1312" s="1056"/>
      <c r="L1312" s="1056"/>
      <c r="M1312" s="274"/>
      <c r="P1312" s="264"/>
      <c r="Q1312" s="264"/>
      <c r="R1312" s="264"/>
      <c r="S1312" s="264"/>
      <c r="T1312" s="1056"/>
      <c r="U1312" s="1056"/>
      <c r="V1312" s="1056"/>
      <c r="W1312" s="1056"/>
      <c r="X1312" s="1056"/>
      <c r="Y1312" s="1056"/>
      <c r="Z1312" s="1056"/>
      <c r="AA1312" s="1056"/>
      <c r="AB1312" s="1056"/>
      <c r="AC1312" s="1056"/>
      <c r="AD1312" s="1056"/>
      <c r="AE1312" s="1056"/>
      <c r="AF1312" s="264"/>
    </row>
    <row r="1313" spans="1:32" s="268" customFormat="1" ht="15" x14ac:dyDescent="0.25">
      <c r="A1313" s="264"/>
      <c r="B1313" s="264"/>
      <c r="C1313" s="1056"/>
      <c r="D1313" s="1056"/>
      <c r="E1313" s="1056"/>
      <c r="F1313" s="1056"/>
      <c r="G1313" s="1056"/>
      <c r="H1313" s="1056"/>
      <c r="I1313" s="1056"/>
      <c r="J1313" s="1056"/>
      <c r="K1313" s="1056"/>
      <c r="L1313" s="1056"/>
      <c r="M1313" s="274"/>
      <c r="P1313" s="264"/>
      <c r="Q1313" s="264"/>
      <c r="R1313" s="264"/>
      <c r="S1313" s="264"/>
      <c r="T1313" s="1056"/>
      <c r="U1313" s="1056"/>
      <c r="V1313" s="1056"/>
      <c r="W1313" s="1056"/>
      <c r="X1313" s="1056"/>
      <c r="Y1313" s="1056"/>
      <c r="Z1313" s="1056"/>
      <c r="AA1313" s="1056"/>
      <c r="AB1313" s="1056"/>
      <c r="AC1313" s="1056"/>
      <c r="AD1313" s="1056"/>
      <c r="AE1313" s="1056"/>
      <c r="AF1313" s="264"/>
    </row>
    <row r="1314" spans="1:32" s="268" customFormat="1" ht="15" x14ac:dyDescent="0.25">
      <c r="A1314" s="264"/>
      <c r="B1314" s="264"/>
      <c r="C1314" s="1056"/>
      <c r="D1314" s="1056"/>
      <c r="E1314" s="1056"/>
      <c r="F1314" s="1056"/>
      <c r="G1314" s="1056"/>
      <c r="H1314" s="1056"/>
      <c r="I1314" s="1056"/>
      <c r="J1314" s="1056"/>
      <c r="K1314" s="1056"/>
      <c r="L1314" s="1056"/>
      <c r="M1314" s="274"/>
      <c r="P1314" s="264"/>
      <c r="Q1314" s="264"/>
      <c r="R1314" s="264"/>
      <c r="S1314" s="264"/>
      <c r="T1314" s="1056"/>
      <c r="U1314" s="1056"/>
      <c r="V1314" s="1056"/>
      <c r="W1314" s="1056"/>
      <c r="X1314" s="1056"/>
      <c r="Y1314" s="1056"/>
      <c r="Z1314" s="1056"/>
      <c r="AA1314" s="1056"/>
      <c r="AB1314" s="1056"/>
      <c r="AC1314" s="1056"/>
      <c r="AD1314" s="1056"/>
      <c r="AE1314" s="1056"/>
      <c r="AF1314" s="264"/>
    </row>
    <row r="1315" spans="1:32" s="268" customFormat="1" ht="15" x14ac:dyDescent="0.25">
      <c r="A1315" s="264"/>
      <c r="B1315" s="264"/>
      <c r="C1315" s="1056"/>
      <c r="D1315" s="1056"/>
      <c r="E1315" s="1056"/>
      <c r="F1315" s="1056"/>
      <c r="G1315" s="1056"/>
      <c r="H1315" s="1056"/>
      <c r="I1315" s="1056"/>
      <c r="J1315" s="1056"/>
      <c r="K1315" s="1056"/>
      <c r="L1315" s="1056"/>
      <c r="M1315" s="274"/>
      <c r="P1315" s="264"/>
      <c r="Q1315" s="264"/>
      <c r="R1315" s="264"/>
      <c r="S1315" s="264"/>
      <c r="T1315" s="1056"/>
      <c r="U1315" s="1056"/>
      <c r="V1315" s="1056"/>
      <c r="W1315" s="1056"/>
      <c r="X1315" s="1056"/>
      <c r="Y1315" s="1056"/>
      <c r="Z1315" s="1056"/>
      <c r="AA1315" s="1056"/>
      <c r="AB1315" s="1056"/>
      <c r="AC1315" s="1056"/>
      <c r="AD1315" s="1056"/>
      <c r="AE1315" s="1056"/>
      <c r="AF1315" s="264"/>
    </row>
    <row r="1316" spans="1:32" s="268" customFormat="1" ht="15" x14ac:dyDescent="0.25">
      <c r="A1316" s="264"/>
      <c r="B1316" s="264"/>
      <c r="C1316" s="1056"/>
      <c r="D1316" s="1056"/>
      <c r="E1316" s="1056"/>
      <c r="F1316" s="1056"/>
      <c r="G1316" s="1056"/>
      <c r="H1316" s="1056"/>
      <c r="I1316" s="1056"/>
      <c r="J1316" s="1056"/>
      <c r="K1316" s="1056"/>
      <c r="L1316" s="1056"/>
      <c r="M1316" s="274"/>
      <c r="P1316" s="264"/>
      <c r="Q1316" s="264"/>
      <c r="R1316" s="264"/>
      <c r="S1316" s="264"/>
      <c r="T1316" s="1056"/>
      <c r="U1316" s="1056"/>
      <c r="V1316" s="1056"/>
      <c r="W1316" s="1056"/>
      <c r="X1316" s="1056"/>
      <c r="Y1316" s="1056"/>
      <c r="Z1316" s="1056"/>
      <c r="AA1316" s="1056"/>
      <c r="AB1316" s="1056"/>
      <c r="AC1316" s="1056"/>
      <c r="AD1316" s="1056"/>
      <c r="AE1316" s="1056"/>
      <c r="AF1316" s="264"/>
    </row>
    <row r="1317" spans="1:32" s="268" customFormat="1" ht="15" x14ac:dyDescent="0.25">
      <c r="A1317" s="264"/>
      <c r="B1317" s="264"/>
      <c r="C1317" s="1056"/>
      <c r="D1317" s="1056"/>
      <c r="E1317" s="1056"/>
      <c r="F1317" s="1056"/>
      <c r="G1317" s="1056"/>
      <c r="H1317" s="1056"/>
      <c r="I1317" s="1056"/>
      <c r="J1317" s="1056"/>
      <c r="K1317" s="1056"/>
      <c r="L1317" s="1056"/>
      <c r="M1317" s="274"/>
      <c r="P1317" s="264"/>
      <c r="Q1317" s="264"/>
      <c r="R1317" s="264"/>
      <c r="S1317" s="264"/>
      <c r="T1317" s="1056"/>
      <c r="U1317" s="1056"/>
      <c r="V1317" s="1056"/>
      <c r="W1317" s="1056"/>
      <c r="X1317" s="1056"/>
      <c r="Y1317" s="1056"/>
      <c r="Z1317" s="1056"/>
      <c r="AA1317" s="1056"/>
      <c r="AB1317" s="1056"/>
      <c r="AC1317" s="1056"/>
      <c r="AD1317" s="1056"/>
      <c r="AE1317" s="1056"/>
      <c r="AF1317" s="264"/>
    </row>
    <row r="1318" spans="1:32" s="268" customFormat="1" ht="15" x14ac:dyDescent="0.25">
      <c r="A1318" s="264"/>
      <c r="B1318" s="264"/>
      <c r="C1318" s="1056"/>
      <c r="D1318" s="1056"/>
      <c r="E1318" s="1056"/>
      <c r="F1318" s="1056"/>
      <c r="G1318" s="1056"/>
      <c r="H1318" s="1056"/>
      <c r="I1318" s="1056"/>
      <c r="J1318" s="1056"/>
      <c r="K1318" s="1056"/>
      <c r="L1318" s="1056"/>
      <c r="M1318" s="274"/>
      <c r="P1318" s="264"/>
      <c r="Q1318" s="264"/>
      <c r="R1318" s="264"/>
      <c r="S1318" s="264"/>
      <c r="T1318" s="1056"/>
      <c r="U1318" s="1056"/>
      <c r="V1318" s="1056"/>
      <c r="W1318" s="1056"/>
      <c r="X1318" s="1056"/>
      <c r="Y1318" s="1056"/>
      <c r="Z1318" s="1056"/>
      <c r="AA1318" s="1056"/>
      <c r="AB1318" s="1056"/>
      <c r="AC1318" s="1056"/>
      <c r="AD1318" s="1056"/>
      <c r="AE1318" s="1056"/>
      <c r="AF1318" s="264"/>
    </row>
    <row r="1319" spans="1:32" s="268" customFormat="1" ht="15" x14ac:dyDescent="0.25">
      <c r="A1319" s="264"/>
      <c r="B1319" s="264"/>
      <c r="C1319" s="1056"/>
      <c r="D1319" s="1056"/>
      <c r="E1319" s="1056"/>
      <c r="F1319" s="1056"/>
      <c r="G1319" s="1056"/>
      <c r="H1319" s="1056"/>
      <c r="I1319" s="1056"/>
      <c r="J1319" s="1056"/>
      <c r="K1319" s="1056"/>
      <c r="L1319" s="1056"/>
      <c r="M1319" s="274"/>
      <c r="P1319" s="264"/>
      <c r="Q1319" s="264"/>
      <c r="R1319" s="264"/>
      <c r="S1319" s="264"/>
      <c r="T1319" s="1056"/>
      <c r="U1319" s="1056"/>
      <c r="V1319" s="1056"/>
      <c r="W1319" s="1056"/>
      <c r="X1319" s="1056"/>
      <c r="Y1319" s="1056"/>
      <c r="Z1319" s="1056"/>
      <c r="AA1319" s="1056"/>
      <c r="AB1319" s="1056"/>
      <c r="AC1319" s="1056"/>
      <c r="AD1319" s="1056"/>
      <c r="AE1319" s="1056"/>
      <c r="AF1319" s="264"/>
    </row>
    <row r="1320" spans="1:32" s="268" customFormat="1" ht="15" x14ac:dyDescent="0.25">
      <c r="A1320" s="264"/>
      <c r="B1320" s="264"/>
      <c r="C1320" s="1056"/>
      <c r="D1320" s="1056"/>
      <c r="E1320" s="1056"/>
      <c r="F1320" s="1056"/>
      <c r="G1320" s="1056"/>
      <c r="H1320" s="1056"/>
      <c r="I1320" s="1056"/>
      <c r="J1320" s="1056"/>
      <c r="K1320" s="1056"/>
      <c r="L1320" s="1056"/>
      <c r="M1320" s="274"/>
      <c r="P1320" s="264"/>
      <c r="Q1320" s="264"/>
      <c r="R1320" s="264"/>
      <c r="S1320" s="264"/>
      <c r="T1320" s="1056"/>
      <c r="U1320" s="1056"/>
      <c r="V1320" s="1056"/>
      <c r="W1320" s="1056"/>
      <c r="X1320" s="1056"/>
      <c r="Y1320" s="1056"/>
      <c r="Z1320" s="1056"/>
      <c r="AA1320" s="1056"/>
      <c r="AB1320" s="1056"/>
      <c r="AC1320" s="1056"/>
      <c r="AD1320" s="1056"/>
      <c r="AE1320" s="1056"/>
      <c r="AF1320" s="264"/>
    </row>
    <row r="1321" spans="1:32" s="268" customFormat="1" ht="15" x14ac:dyDescent="0.25">
      <c r="A1321" s="264"/>
      <c r="B1321" s="264"/>
      <c r="C1321" s="1056"/>
      <c r="D1321" s="1056"/>
      <c r="E1321" s="1056"/>
      <c r="F1321" s="1056"/>
      <c r="G1321" s="1056"/>
      <c r="H1321" s="1056"/>
      <c r="I1321" s="1056"/>
      <c r="J1321" s="1056"/>
      <c r="K1321" s="1056"/>
      <c r="L1321" s="1056"/>
      <c r="M1321" s="274"/>
      <c r="P1321" s="264"/>
      <c r="Q1321" s="264"/>
      <c r="R1321" s="264"/>
      <c r="S1321" s="264"/>
      <c r="T1321" s="1056"/>
      <c r="U1321" s="1056"/>
      <c r="V1321" s="1056"/>
      <c r="W1321" s="1056"/>
      <c r="X1321" s="1056"/>
      <c r="Y1321" s="1056"/>
      <c r="Z1321" s="1056"/>
      <c r="AA1321" s="1056"/>
      <c r="AB1321" s="1056"/>
      <c r="AC1321" s="1056"/>
      <c r="AD1321" s="1056"/>
      <c r="AE1321" s="1056"/>
      <c r="AF1321" s="264"/>
    </row>
    <row r="1322" spans="1:32" s="268" customFormat="1" ht="15" x14ac:dyDescent="0.25">
      <c r="A1322" s="264"/>
      <c r="B1322" s="264"/>
      <c r="C1322" s="1056"/>
      <c r="D1322" s="1056"/>
      <c r="E1322" s="1056"/>
      <c r="F1322" s="1056"/>
      <c r="G1322" s="1056"/>
      <c r="H1322" s="1056"/>
      <c r="I1322" s="1056"/>
      <c r="J1322" s="1056"/>
      <c r="K1322" s="1056"/>
      <c r="L1322" s="1056"/>
      <c r="M1322" s="274"/>
      <c r="P1322" s="264"/>
      <c r="Q1322" s="264"/>
      <c r="R1322" s="264"/>
      <c r="S1322" s="264"/>
      <c r="T1322" s="1056"/>
      <c r="U1322" s="1056"/>
      <c r="V1322" s="1056"/>
      <c r="W1322" s="1056"/>
      <c r="X1322" s="1056"/>
      <c r="Y1322" s="1056"/>
      <c r="Z1322" s="1056"/>
      <c r="AA1322" s="1056"/>
      <c r="AB1322" s="1056"/>
      <c r="AC1322" s="1056"/>
      <c r="AD1322" s="1056"/>
      <c r="AE1322" s="1056"/>
      <c r="AF1322" s="264"/>
    </row>
    <row r="1323" spans="1:32" s="268" customFormat="1" ht="15" x14ac:dyDescent="0.25">
      <c r="A1323" s="264"/>
      <c r="B1323" s="264"/>
      <c r="C1323" s="1056"/>
      <c r="D1323" s="1056"/>
      <c r="E1323" s="1056"/>
      <c r="F1323" s="1056"/>
      <c r="G1323" s="1056"/>
      <c r="H1323" s="1056"/>
      <c r="I1323" s="1056"/>
      <c r="J1323" s="1056"/>
      <c r="K1323" s="1056"/>
      <c r="L1323" s="1056"/>
      <c r="M1323" s="274"/>
      <c r="P1323" s="264"/>
      <c r="Q1323" s="264"/>
      <c r="R1323" s="264"/>
      <c r="S1323" s="264"/>
      <c r="T1323" s="1056"/>
      <c r="U1323" s="1056"/>
      <c r="V1323" s="1056"/>
      <c r="W1323" s="1056"/>
      <c r="X1323" s="1056"/>
      <c r="Y1323" s="1056"/>
      <c r="Z1323" s="1056"/>
      <c r="AA1323" s="1056"/>
      <c r="AB1323" s="1056"/>
      <c r="AC1323" s="1056"/>
      <c r="AD1323" s="1056"/>
      <c r="AE1323" s="1056"/>
      <c r="AF1323" s="264"/>
    </row>
    <row r="1324" spans="1:32" s="268" customFormat="1" ht="15" x14ac:dyDescent="0.25">
      <c r="A1324" s="264"/>
      <c r="B1324" s="264"/>
      <c r="C1324" s="1056"/>
      <c r="D1324" s="1056"/>
      <c r="E1324" s="1056"/>
      <c r="F1324" s="1056"/>
      <c r="G1324" s="1056"/>
      <c r="H1324" s="1056"/>
      <c r="I1324" s="1056"/>
      <c r="J1324" s="1056"/>
      <c r="K1324" s="1056"/>
      <c r="L1324" s="1056"/>
      <c r="M1324" s="274"/>
      <c r="P1324" s="264"/>
      <c r="Q1324" s="264"/>
      <c r="R1324" s="264"/>
      <c r="S1324" s="264"/>
      <c r="T1324" s="1056"/>
      <c r="U1324" s="1056"/>
      <c r="V1324" s="1056"/>
      <c r="W1324" s="1056"/>
      <c r="X1324" s="1056"/>
      <c r="Y1324" s="1056"/>
      <c r="Z1324" s="1056"/>
      <c r="AA1324" s="1056"/>
      <c r="AB1324" s="1056"/>
      <c r="AC1324" s="1056"/>
      <c r="AD1324" s="1056"/>
      <c r="AE1324" s="1056"/>
      <c r="AF1324" s="264"/>
    </row>
    <row r="1325" spans="1:32" s="268" customFormat="1" ht="15" x14ac:dyDescent="0.25">
      <c r="A1325" s="264"/>
      <c r="B1325" s="264"/>
      <c r="C1325" s="1056"/>
      <c r="D1325" s="1056"/>
      <c r="E1325" s="1056"/>
      <c r="F1325" s="1056"/>
      <c r="G1325" s="1056"/>
      <c r="H1325" s="1056"/>
      <c r="I1325" s="1056"/>
      <c r="J1325" s="1056"/>
      <c r="K1325" s="1056"/>
      <c r="L1325" s="1056"/>
      <c r="M1325" s="274"/>
      <c r="P1325" s="264"/>
      <c r="Q1325" s="264"/>
      <c r="R1325" s="264"/>
      <c r="S1325" s="264"/>
      <c r="T1325" s="1056"/>
      <c r="U1325" s="1056"/>
      <c r="V1325" s="1056"/>
      <c r="W1325" s="1056"/>
      <c r="X1325" s="1056"/>
      <c r="Y1325" s="1056"/>
      <c r="Z1325" s="1056"/>
      <c r="AA1325" s="1056"/>
      <c r="AB1325" s="1056"/>
      <c r="AC1325" s="1056"/>
      <c r="AD1325" s="1056"/>
      <c r="AE1325" s="1056"/>
      <c r="AF1325" s="264"/>
    </row>
    <row r="1326" spans="1:32" s="268" customFormat="1" ht="15" x14ac:dyDescent="0.25">
      <c r="A1326" s="264"/>
      <c r="B1326" s="264"/>
      <c r="C1326" s="1056"/>
      <c r="D1326" s="1056"/>
      <c r="E1326" s="1056"/>
      <c r="F1326" s="1056"/>
      <c r="G1326" s="1056"/>
      <c r="H1326" s="1056"/>
      <c r="I1326" s="1056"/>
      <c r="J1326" s="1056"/>
      <c r="K1326" s="1056"/>
      <c r="L1326" s="1056"/>
      <c r="M1326" s="274"/>
      <c r="P1326" s="264"/>
      <c r="Q1326" s="264"/>
      <c r="R1326" s="264"/>
      <c r="S1326" s="264"/>
      <c r="T1326" s="1056"/>
      <c r="U1326" s="1056"/>
      <c r="V1326" s="1056"/>
      <c r="W1326" s="1056"/>
      <c r="X1326" s="1056"/>
      <c r="Y1326" s="1056"/>
      <c r="Z1326" s="1056"/>
      <c r="AA1326" s="1056"/>
      <c r="AB1326" s="1056"/>
      <c r="AC1326" s="1056"/>
      <c r="AD1326" s="1056"/>
      <c r="AE1326" s="1056"/>
      <c r="AF1326" s="264"/>
    </row>
    <row r="1327" spans="1:32" s="268" customFormat="1" ht="15" x14ac:dyDescent="0.25">
      <c r="A1327" s="264"/>
      <c r="B1327" s="264"/>
      <c r="C1327" s="1056"/>
      <c r="D1327" s="1056"/>
      <c r="E1327" s="1056"/>
      <c r="F1327" s="1056"/>
      <c r="G1327" s="1056"/>
      <c r="H1327" s="1056"/>
      <c r="I1327" s="1056"/>
      <c r="J1327" s="1056"/>
      <c r="K1327" s="1056"/>
      <c r="L1327" s="1056"/>
      <c r="M1327" s="274"/>
      <c r="P1327" s="264"/>
      <c r="Q1327" s="264"/>
      <c r="R1327" s="264"/>
      <c r="S1327" s="264"/>
      <c r="T1327" s="1056"/>
      <c r="U1327" s="1056"/>
      <c r="V1327" s="1056"/>
      <c r="W1327" s="1056"/>
      <c r="X1327" s="1056"/>
      <c r="Y1327" s="1056"/>
      <c r="Z1327" s="1056"/>
      <c r="AA1327" s="1056"/>
      <c r="AB1327" s="1056"/>
      <c r="AC1327" s="1056"/>
      <c r="AD1327" s="1056"/>
      <c r="AE1327" s="1056"/>
      <c r="AF1327" s="264"/>
    </row>
    <row r="1328" spans="1:32" s="268" customFormat="1" ht="15" x14ac:dyDescent="0.25">
      <c r="A1328" s="264"/>
      <c r="B1328" s="264"/>
      <c r="C1328" s="1056"/>
      <c r="D1328" s="1056"/>
      <c r="E1328" s="1056"/>
      <c r="F1328" s="1056"/>
      <c r="G1328" s="1056"/>
      <c r="H1328" s="1056"/>
      <c r="I1328" s="1056"/>
      <c r="J1328" s="1056"/>
      <c r="K1328" s="1056"/>
      <c r="L1328" s="1056"/>
      <c r="M1328" s="274"/>
      <c r="P1328" s="264"/>
      <c r="Q1328" s="264"/>
      <c r="R1328" s="264"/>
      <c r="S1328" s="264"/>
      <c r="T1328" s="1056"/>
      <c r="U1328" s="1056"/>
      <c r="V1328" s="1056"/>
      <c r="W1328" s="1056"/>
      <c r="X1328" s="1056"/>
      <c r="Y1328" s="1056"/>
      <c r="Z1328" s="1056"/>
      <c r="AA1328" s="1056"/>
      <c r="AB1328" s="1056"/>
      <c r="AC1328" s="1056"/>
      <c r="AD1328" s="1056"/>
      <c r="AE1328" s="1056"/>
      <c r="AF1328" s="264"/>
    </row>
    <row r="1329" spans="1:32" s="268" customFormat="1" ht="15" x14ac:dyDescent="0.25">
      <c r="A1329" s="264"/>
      <c r="B1329" s="264"/>
      <c r="C1329" s="1056"/>
      <c r="D1329" s="1056"/>
      <c r="E1329" s="1056"/>
      <c r="F1329" s="1056"/>
      <c r="G1329" s="1056"/>
      <c r="H1329" s="1056"/>
      <c r="I1329" s="1056"/>
      <c r="J1329" s="1056"/>
      <c r="K1329" s="1056"/>
      <c r="L1329" s="1056"/>
      <c r="M1329" s="274"/>
      <c r="P1329" s="264"/>
      <c r="Q1329" s="264"/>
      <c r="R1329" s="264"/>
      <c r="S1329" s="264"/>
      <c r="T1329" s="1056"/>
      <c r="U1329" s="1056"/>
      <c r="V1329" s="1056"/>
      <c r="W1329" s="1056"/>
      <c r="X1329" s="1056"/>
      <c r="Y1329" s="1056"/>
      <c r="Z1329" s="1056"/>
      <c r="AA1329" s="1056"/>
      <c r="AB1329" s="1056"/>
      <c r="AC1329" s="1056"/>
      <c r="AD1329" s="1056"/>
      <c r="AE1329" s="1056"/>
      <c r="AF1329" s="264"/>
    </row>
    <row r="1330" spans="1:32" s="268" customFormat="1" ht="15" x14ac:dyDescent="0.25">
      <c r="A1330" s="264"/>
      <c r="B1330" s="264"/>
      <c r="C1330" s="1056"/>
      <c r="D1330" s="1056"/>
      <c r="E1330" s="1056"/>
      <c r="F1330" s="1056"/>
      <c r="G1330" s="1056"/>
      <c r="H1330" s="1056"/>
      <c r="I1330" s="1056"/>
      <c r="J1330" s="1056"/>
      <c r="K1330" s="1056"/>
      <c r="L1330" s="1056"/>
      <c r="M1330" s="274"/>
      <c r="P1330" s="264"/>
      <c r="Q1330" s="264"/>
      <c r="R1330" s="264"/>
      <c r="S1330" s="264"/>
      <c r="T1330" s="1056"/>
      <c r="U1330" s="1056"/>
      <c r="V1330" s="1056"/>
      <c r="W1330" s="1056"/>
      <c r="X1330" s="1056"/>
      <c r="Y1330" s="1056"/>
      <c r="Z1330" s="1056"/>
      <c r="AA1330" s="1056"/>
      <c r="AB1330" s="1056"/>
      <c r="AC1330" s="1056"/>
      <c r="AD1330" s="1056"/>
      <c r="AE1330" s="1056"/>
      <c r="AF1330" s="264"/>
    </row>
    <row r="1331" spans="1:32" s="268" customFormat="1" ht="15" x14ac:dyDescent="0.25">
      <c r="A1331" s="264"/>
      <c r="B1331" s="264"/>
      <c r="C1331" s="1056"/>
      <c r="D1331" s="1056"/>
      <c r="E1331" s="1056"/>
      <c r="F1331" s="1056"/>
      <c r="G1331" s="1056"/>
      <c r="H1331" s="1056"/>
      <c r="I1331" s="1056"/>
      <c r="J1331" s="1056"/>
      <c r="K1331" s="1056"/>
      <c r="L1331" s="1056"/>
      <c r="M1331" s="274"/>
      <c r="P1331" s="264"/>
      <c r="Q1331" s="264"/>
      <c r="R1331" s="264"/>
      <c r="S1331" s="264"/>
      <c r="T1331" s="1056"/>
      <c r="U1331" s="1056"/>
      <c r="V1331" s="1056"/>
      <c r="W1331" s="1056"/>
      <c r="X1331" s="1056"/>
      <c r="Y1331" s="1056"/>
      <c r="Z1331" s="1056"/>
      <c r="AA1331" s="1056"/>
      <c r="AB1331" s="1056"/>
      <c r="AC1331" s="1056"/>
      <c r="AD1331" s="1056"/>
      <c r="AE1331" s="1056"/>
      <c r="AF1331" s="264"/>
    </row>
    <row r="1332" spans="1:32" s="268" customFormat="1" ht="15" x14ac:dyDescent="0.25">
      <c r="A1332" s="264"/>
      <c r="B1332" s="264"/>
      <c r="C1332" s="1056"/>
      <c r="D1332" s="1056"/>
      <c r="E1332" s="1056"/>
      <c r="F1332" s="1056"/>
      <c r="G1332" s="1056"/>
      <c r="H1332" s="1056"/>
      <c r="I1332" s="1056"/>
      <c r="J1332" s="1056"/>
      <c r="K1332" s="1056"/>
      <c r="L1332" s="1056"/>
      <c r="M1332" s="274"/>
      <c r="P1332" s="264"/>
      <c r="Q1332" s="264"/>
      <c r="R1332" s="264"/>
      <c r="S1332" s="264"/>
      <c r="T1332" s="1056"/>
      <c r="U1332" s="1056"/>
      <c r="V1332" s="1056"/>
      <c r="W1332" s="1056"/>
      <c r="X1332" s="1056"/>
      <c r="Y1332" s="1056"/>
      <c r="Z1332" s="1056"/>
      <c r="AA1332" s="1056"/>
      <c r="AB1332" s="1056"/>
      <c r="AC1332" s="1056"/>
      <c r="AD1332" s="1056"/>
      <c r="AE1332" s="1056"/>
      <c r="AF1332" s="264"/>
    </row>
    <row r="1333" spans="1:32" s="268" customFormat="1" ht="15" x14ac:dyDescent="0.25">
      <c r="A1333" s="264"/>
      <c r="B1333" s="264"/>
      <c r="C1333" s="1056"/>
      <c r="D1333" s="1056"/>
      <c r="E1333" s="1056"/>
      <c r="F1333" s="1056"/>
      <c r="G1333" s="1056"/>
      <c r="H1333" s="1056"/>
      <c r="I1333" s="1056"/>
      <c r="J1333" s="1056"/>
      <c r="K1333" s="1056"/>
      <c r="L1333" s="1056"/>
      <c r="M1333" s="274"/>
      <c r="P1333" s="264"/>
      <c r="Q1333" s="264"/>
      <c r="R1333" s="264"/>
      <c r="S1333" s="264"/>
      <c r="T1333" s="1056"/>
      <c r="U1333" s="1056"/>
      <c r="V1333" s="1056"/>
      <c r="W1333" s="1056"/>
      <c r="X1333" s="1056"/>
      <c r="Y1333" s="1056"/>
      <c r="Z1333" s="1056"/>
      <c r="AA1333" s="1056"/>
      <c r="AB1333" s="1056"/>
      <c r="AC1333" s="1056"/>
      <c r="AD1333" s="1056"/>
      <c r="AE1333" s="1056"/>
      <c r="AF1333" s="264"/>
    </row>
    <row r="1334" spans="1:32" s="268" customFormat="1" ht="15" x14ac:dyDescent="0.25">
      <c r="A1334" s="264"/>
      <c r="B1334" s="264"/>
      <c r="C1334" s="1056"/>
      <c r="D1334" s="1056"/>
      <c r="E1334" s="1056"/>
      <c r="F1334" s="1056"/>
      <c r="G1334" s="1056"/>
      <c r="H1334" s="1056"/>
      <c r="I1334" s="1056"/>
      <c r="J1334" s="1056"/>
      <c r="K1334" s="1056"/>
      <c r="L1334" s="1056"/>
      <c r="M1334" s="274"/>
      <c r="P1334" s="264"/>
      <c r="Q1334" s="264"/>
      <c r="R1334" s="264"/>
      <c r="S1334" s="264"/>
      <c r="T1334" s="1056"/>
      <c r="U1334" s="1056"/>
      <c r="V1334" s="1056"/>
      <c r="W1334" s="1056"/>
      <c r="X1334" s="1056"/>
      <c r="Y1334" s="1056"/>
      <c r="Z1334" s="1056"/>
      <c r="AA1334" s="1056"/>
      <c r="AB1334" s="1056"/>
      <c r="AC1334" s="1056"/>
      <c r="AD1334" s="1056"/>
      <c r="AE1334" s="1056"/>
      <c r="AF1334" s="264"/>
    </row>
    <row r="1335" spans="1:32" s="268" customFormat="1" ht="15" x14ac:dyDescent="0.25">
      <c r="A1335" s="264"/>
      <c r="B1335" s="264"/>
      <c r="C1335" s="1056"/>
      <c r="D1335" s="1056"/>
      <c r="E1335" s="1056"/>
      <c r="F1335" s="1056"/>
      <c r="G1335" s="1056"/>
      <c r="H1335" s="1056"/>
      <c r="I1335" s="1056"/>
      <c r="J1335" s="1056"/>
      <c r="K1335" s="1056"/>
      <c r="L1335" s="1056"/>
      <c r="M1335" s="274"/>
      <c r="P1335" s="264"/>
      <c r="Q1335" s="264"/>
      <c r="R1335" s="264"/>
      <c r="S1335" s="264"/>
      <c r="T1335" s="1056"/>
      <c r="U1335" s="1056"/>
      <c r="V1335" s="1056"/>
      <c r="W1335" s="1056"/>
      <c r="X1335" s="1056"/>
      <c r="Y1335" s="1056"/>
      <c r="Z1335" s="1056"/>
      <c r="AA1335" s="1056"/>
      <c r="AB1335" s="1056"/>
      <c r="AC1335" s="1056"/>
      <c r="AD1335" s="1056"/>
      <c r="AE1335" s="1056"/>
      <c r="AF1335" s="264"/>
    </row>
    <row r="1336" spans="1:32" s="268" customFormat="1" ht="15" x14ac:dyDescent="0.25">
      <c r="A1336" s="264"/>
      <c r="B1336" s="264"/>
      <c r="C1336" s="1056"/>
      <c r="D1336" s="1056"/>
      <c r="E1336" s="1056"/>
      <c r="F1336" s="1056"/>
      <c r="G1336" s="1056"/>
      <c r="H1336" s="1056"/>
      <c r="I1336" s="1056"/>
      <c r="J1336" s="1056"/>
      <c r="K1336" s="1056"/>
      <c r="L1336" s="1056"/>
      <c r="M1336" s="274"/>
      <c r="P1336" s="264"/>
      <c r="Q1336" s="264"/>
      <c r="R1336" s="264"/>
      <c r="S1336" s="264"/>
      <c r="T1336" s="1056"/>
      <c r="U1336" s="1056"/>
      <c r="V1336" s="1056"/>
      <c r="W1336" s="1056"/>
      <c r="X1336" s="1056"/>
      <c r="Y1336" s="1056"/>
      <c r="Z1336" s="1056"/>
      <c r="AA1336" s="1056"/>
      <c r="AB1336" s="1056"/>
      <c r="AC1336" s="1056"/>
      <c r="AD1336" s="1056"/>
      <c r="AE1336" s="1056"/>
      <c r="AF1336" s="264"/>
    </row>
    <row r="1337" spans="1:32" s="268" customFormat="1" ht="15" x14ac:dyDescent="0.25">
      <c r="A1337" s="264"/>
      <c r="B1337" s="264"/>
      <c r="C1337" s="1056"/>
      <c r="D1337" s="1056"/>
      <c r="E1337" s="1056"/>
      <c r="F1337" s="1056"/>
      <c r="G1337" s="1056"/>
      <c r="H1337" s="1056"/>
      <c r="I1337" s="1056"/>
      <c r="J1337" s="1056"/>
      <c r="K1337" s="1056"/>
      <c r="L1337" s="1056"/>
      <c r="M1337" s="274"/>
      <c r="P1337" s="264"/>
      <c r="Q1337" s="264"/>
      <c r="R1337" s="264"/>
      <c r="S1337" s="264"/>
      <c r="T1337" s="1056"/>
      <c r="U1337" s="1056"/>
      <c r="V1337" s="1056"/>
      <c r="W1337" s="1056"/>
      <c r="X1337" s="1056"/>
      <c r="Y1337" s="1056"/>
      <c r="Z1337" s="1056"/>
      <c r="AA1337" s="1056"/>
      <c r="AB1337" s="1056"/>
      <c r="AC1337" s="1056"/>
      <c r="AD1337" s="1056"/>
      <c r="AE1337" s="1056"/>
      <c r="AF1337" s="264"/>
    </row>
    <row r="1338" spans="1:32" s="268" customFormat="1" ht="15" x14ac:dyDescent="0.25">
      <c r="A1338" s="264"/>
      <c r="B1338" s="264"/>
      <c r="C1338" s="1056"/>
      <c r="D1338" s="1056"/>
      <c r="E1338" s="1056"/>
      <c r="F1338" s="1056"/>
      <c r="G1338" s="1056"/>
      <c r="H1338" s="1056"/>
      <c r="I1338" s="1056"/>
      <c r="J1338" s="1056"/>
      <c r="K1338" s="1056"/>
      <c r="L1338" s="1056"/>
      <c r="M1338" s="274"/>
      <c r="P1338" s="264"/>
      <c r="Q1338" s="264"/>
      <c r="R1338" s="264"/>
      <c r="S1338" s="264"/>
      <c r="T1338" s="1056"/>
      <c r="U1338" s="1056"/>
      <c r="V1338" s="1056"/>
      <c r="W1338" s="1056"/>
      <c r="X1338" s="1056"/>
      <c r="Y1338" s="1056"/>
      <c r="Z1338" s="1056"/>
      <c r="AA1338" s="1056"/>
      <c r="AB1338" s="1056"/>
      <c r="AC1338" s="1056"/>
      <c r="AD1338" s="1056"/>
      <c r="AE1338" s="1056"/>
      <c r="AF1338" s="264"/>
    </row>
    <row r="1339" spans="1:32" s="268" customFormat="1" ht="15" x14ac:dyDescent="0.25">
      <c r="A1339" s="264"/>
      <c r="B1339" s="264"/>
      <c r="C1339" s="1056"/>
      <c r="D1339" s="1056"/>
      <c r="E1339" s="1056"/>
      <c r="F1339" s="1056"/>
      <c r="G1339" s="1056"/>
      <c r="H1339" s="1056"/>
      <c r="I1339" s="1056"/>
      <c r="J1339" s="1056"/>
      <c r="K1339" s="1056"/>
      <c r="L1339" s="1056"/>
      <c r="M1339" s="274"/>
      <c r="P1339" s="264"/>
      <c r="Q1339" s="264"/>
      <c r="R1339" s="264"/>
      <c r="S1339" s="264"/>
      <c r="T1339" s="1056"/>
      <c r="U1339" s="1056"/>
      <c r="V1339" s="1056"/>
      <c r="W1339" s="1056"/>
      <c r="X1339" s="1056"/>
      <c r="Y1339" s="1056"/>
      <c r="Z1339" s="1056"/>
      <c r="AA1339" s="1056"/>
      <c r="AB1339" s="1056"/>
      <c r="AC1339" s="1056"/>
      <c r="AD1339" s="1056"/>
      <c r="AE1339" s="1056"/>
      <c r="AF1339" s="264"/>
    </row>
    <row r="1340" spans="1:32" s="268" customFormat="1" ht="15" x14ac:dyDescent="0.25">
      <c r="A1340" s="264"/>
      <c r="B1340" s="264"/>
      <c r="C1340" s="1056"/>
      <c r="D1340" s="1056"/>
      <c r="E1340" s="1056"/>
      <c r="F1340" s="1056"/>
      <c r="G1340" s="1056"/>
      <c r="H1340" s="1056"/>
      <c r="I1340" s="1056"/>
      <c r="J1340" s="1056"/>
      <c r="K1340" s="1056"/>
      <c r="L1340" s="1056"/>
      <c r="M1340" s="274"/>
      <c r="P1340" s="264"/>
      <c r="Q1340" s="264"/>
      <c r="R1340" s="264"/>
      <c r="S1340" s="264"/>
      <c r="T1340" s="1056"/>
      <c r="U1340" s="1056"/>
      <c r="V1340" s="1056"/>
      <c r="W1340" s="1056"/>
      <c r="X1340" s="1056"/>
      <c r="Y1340" s="1056"/>
      <c r="Z1340" s="1056"/>
      <c r="AA1340" s="1056"/>
      <c r="AB1340" s="1056"/>
      <c r="AC1340" s="1056"/>
      <c r="AD1340" s="1056"/>
      <c r="AE1340" s="1056"/>
      <c r="AF1340" s="264"/>
    </row>
    <row r="1341" spans="1:32" s="268" customFormat="1" ht="15" x14ac:dyDescent="0.25">
      <c r="A1341" s="264"/>
      <c r="B1341" s="264"/>
      <c r="C1341" s="1056"/>
      <c r="D1341" s="1056"/>
      <c r="E1341" s="1056"/>
      <c r="F1341" s="1056"/>
      <c r="G1341" s="1056"/>
      <c r="H1341" s="1056"/>
      <c r="I1341" s="1056"/>
      <c r="J1341" s="1056"/>
      <c r="K1341" s="1056"/>
      <c r="L1341" s="1056"/>
      <c r="M1341" s="274"/>
      <c r="P1341" s="264"/>
      <c r="Q1341" s="264"/>
      <c r="R1341" s="264"/>
      <c r="S1341" s="264"/>
      <c r="T1341" s="1056"/>
      <c r="U1341" s="1056"/>
      <c r="V1341" s="1056"/>
      <c r="W1341" s="1056"/>
      <c r="X1341" s="1056"/>
      <c r="Y1341" s="1056"/>
      <c r="Z1341" s="1056"/>
      <c r="AA1341" s="1056"/>
      <c r="AB1341" s="1056"/>
      <c r="AC1341" s="1056"/>
      <c r="AD1341" s="1056"/>
      <c r="AE1341" s="1056"/>
      <c r="AF1341" s="264"/>
    </row>
    <row r="1342" spans="1:32" s="268" customFormat="1" ht="15" x14ac:dyDescent="0.25">
      <c r="A1342" s="264"/>
      <c r="B1342" s="264"/>
      <c r="C1342" s="1056"/>
      <c r="D1342" s="1056"/>
      <c r="E1342" s="1056"/>
      <c r="F1342" s="1056"/>
      <c r="G1342" s="1056"/>
      <c r="H1342" s="1056"/>
      <c r="I1342" s="1056"/>
      <c r="J1342" s="1056"/>
      <c r="K1342" s="1056"/>
      <c r="L1342" s="1056"/>
      <c r="M1342" s="274"/>
      <c r="P1342" s="264"/>
      <c r="Q1342" s="264"/>
      <c r="R1342" s="264"/>
      <c r="S1342" s="264"/>
      <c r="T1342" s="1056"/>
      <c r="U1342" s="1056"/>
      <c r="V1342" s="1056"/>
      <c r="W1342" s="1056"/>
      <c r="X1342" s="1056"/>
      <c r="Y1342" s="1056"/>
      <c r="Z1342" s="1056"/>
      <c r="AA1342" s="1056"/>
      <c r="AB1342" s="1056"/>
      <c r="AC1342" s="1056"/>
      <c r="AD1342" s="1056"/>
      <c r="AE1342" s="1056"/>
      <c r="AF1342" s="264"/>
    </row>
    <row r="1343" spans="1:32" s="268" customFormat="1" ht="15" x14ac:dyDescent="0.25">
      <c r="A1343" s="264"/>
      <c r="B1343" s="264"/>
      <c r="C1343" s="1056"/>
      <c r="D1343" s="1056"/>
      <c r="E1343" s="1056"/>
      <c r="F1343" s="1056"/>
      <c r="G1343" s="1056"/>
      <c r="H1343" s="1056"/>
      <c r="I1343" s="1056"/>
      <c r="J1343" s="1056"/>
      <c r="K1343" s="1056"/>
      <c r="L1343" s="1056"/>
      <c r="M1343" s="274"/>
      <c r="P1343" s="264"/>
      <c r="Q1343" s="264"/>
      <c r="R1343" s="264"/>
      <c r="S1343" s="264"/>
      <c r="T1343" s="1056"/>
      <c r="U1343" s="1056"/>
      <c r="V1343" s="1056"/>
      <c r="W1343" s="1056"/>
      <c r="X1343" s="1056"/>
      <c r="Y1343" s="1056"/>
      <c r="Z1343" s="1056"/>
      <c r="AA1343" s="1056"/>
      <c r="AB1343" s="1056"/>
      <c r="AC1343" s="1056"/>
      <c r="AD1343" s="1056"/>
      <c r="AE1343" s="1056"/>
      <c r="AF1343" s="264"/>
    </row>
    <row r="1344" spans="1:32" s="268" customFormat="1" ht="15" x14ac:dyDescent="0.25">
      <c r="A1344" s="264"/>
      <c r="B1344" s="264"/>
      <c r="C1344" s="1056"/>
      <c r="D1344" s="1056"/>
      <c r="E1344" s="1056"/>
      <c r="F1344" s="1056"/>
      <c r="G1344" s="1056"/>
      <c r="H1344" s="1056"/>
      <c r="I1344" s="1056"/>
      <c r="J1344" s="1056"/>
      <c r="K1344" s="1056"/>
      <c r="L1344" s="1056"/>
      <c r="M1344" s="274"/>
      <c r="P1344" s="264"/>
      <c r="Q1344" s="264"/>
      <c r="R1344" s="264"/>
      <c r="S1344" s="264"/>
      <c r="T1344" s="1056"/>
      <c r="U1344" s="1056"/>
      <c r="V1344" s="1056"/>
      <c r="W1344" s="1056"/>
      <c r="X1344" s="1056"/>
      <c r="Y1344" s="1056"/>
      <c r="Z1344" s="1056"/>
      <c r="AA1344" s="1056"/>
      <c r="AB1344" s="1056"/>
      <c r="AC1344" s="1056"/>
      <c r="AD1344" s="1056"/>
      <c r="AE1344" s="1056"/>
      <c r="AF1344" s="264"/>
    </row>
    <row r="1345" spans="1:32" s="268" customFormat="1" ht="15" x14ac:dyDescent="0.25">
      <c r="A1345" s="264"/>
      <c r="B1345" s="264"/>
      <c r="C1345" s="1056"/>
      <c r="D1345" s="1056"/>
      <c r="E1345" s="1056"/>
      <c r="F1345" s="1056"/>
      <c r="G1345" s="1056"/>
      <c r="H1345" s="1056"/>
      <c r="I1345" s="1056"/>
      <c r="J1345" s="1056"/>
      <c r="K1345" s="1056"/>
      <c r="L1345" s="1056"/>
      <c r="M1345" s="274"/>
      <c r="P1345" s="264"/>
      <c r="Q1345" s="264"/>
      <c r="R1345" s="264"/>
      <c r="S1345" s="264"/>
      <c r="T1345" s="1056"/>
      <c r="U1345" s="1056"/>
      <c r="V1345" s="1056"/>
      <c r="W1345" s="1056"/>
      <c r="X1345" s="1056"/>
      <c r="Y1345" s="1056"/>
      <c r="Z1345" s="1056"/>
      <c r="AA1345" s="1056"/>
      <c r="AB1345" s="1056"/>
      <c r="AC1345" s="1056"/>
      <c r="AD1345" s="1056"/>
      <c r="AE1345" s="1056"/>
      <c r="AF1345" s="264"/>
    </row>
    <row r="1346" spans="1:32" s="268" customFormat="1" ht="15" x14ac:dyDescent="0.25">
      <c r="A1346" s="264"/>
      <c r="B1346" s="264"/>
      <c r="C1346" s="1056"/>
      <c r="D1346" s="1056"/>
      <c r="E1346" s="1056"/>
      <c r="F1346" s="1056"/>
      <c r="G1346" s="1056"/>
      <c r="H1346" s="1056"/>
      <c r="I1346" s="1056"/>
      <c r="J1346" s="1056"/>
      <c r="K1346" s="1056"/>
      <c r="L1346" s="1056"/>
      <c r="M1346" s="274"/>
      <c r="P1346" s="264"/>
      <c r="Q1346" s="264"/>
      <c r="R1346" s="264"/>
      <c r="S1346" s="264"/>
      <c r="T1346" s="1056"/>
      <c r="U1346" s="1056"/>
      <c r="V1346" s="1056"/>
      <c r="W1346" s="1056"/>
      <c r="X1346" s="1056"/>
      <c r="Y1346" s="1056"/>
      <c r="Z1346" s="1056"/>
      <c r="AA1346" s="1056"/>
      <c r="AB1346" s="1056"/>
      <c r="AC1346" s="1056"/>
      <c r="AD1346" s="1056"/>
      <c r="AE1346" s="1056"/>
      <c r="AF1346" s="264"/>
    </row>
    <row r="1347" spans="1:32" s="268" customFormat="1" ht="15" x14ac:dyDescent="0.25">
      <c r="A1347" s="264"/>
      <c r="B1347" s="264"/>
      <c r="C1347" s="1056"/>
      <c r="D1347" s="1056"/>
      <c r="E1347" s="1056"/>
      <c r="F1347" s="1056"/>
      <c r="G1347" s="1056"/>
      <c r="H1347" s="1056"/>
      <c r="I1347" s="1056"/>
      <c r="J1347" s="1056"/>
      <c r="K1347" s="1056"/>
      <c r="L1347" s="1056"/>
      <c r="M1347" s="274"/>
      <c r="P1347" s="264"/>
      <c r="Q1347" s="264"/>
      <c r="R1347" s="264"/>
      <c r="S1347" s="264"/>
      <c r="T1347" s="1056"/>
      <c r="U1347" s="1056"/>
      <c r="V1347" s="1056"/>
      <c r="W1347" s="1056"/>
      <c r="X1347" s="1056"/>
      <c r="Y1347" s="1056"/>
      <c r="Z1347" s="1056"/>
      <c r="AA1347" s="1056"/>
      <c r="AB1347" s="1056"/>
      <c r="AC1347" s="1056"/>
      <c r="AD1347" s="1056"/>
      <c r="AE1347" s="1056"/>
      <c r="AF1347" s="264"/>
    </row>
    <row r="1348" spans="1:32" s="268" customFormat="1" ht="15" x14ac:dyDescent="0.25">
      <c r="A1348" s="264"/>
      <c r="B1348" s="264"/>
      <c r="C1348" s="1056"/>
      <c r="D1348" s="1056"/>
      <c r="E1348" s="1056"/>
      <c r="F1348" s="1056"/>
      <c r="G1348" s="1056"/>
      <c r="H1348" s="1056"/>
      <c r="I1348" s="1056"/>
      <c r="J1348" s="1056"/>
      <c r="K1348" s="1056"/>
      <c r="L1348" s="1056"/>
      <c r="M1348" s="274"/>
      <c r="P1348" s="264"/>
      <c r="Q1348" s="264"/>
      <c r="R1348" s="264"/>
      <c r="S1348" s="264"/>
      <c r="T1348" s="1056"/>
      <c r="U1348" s="1056"/>
      <c r="V1348" s="1056"/>
      <c r="W1348" s="1056"/>
      <c r="X1348" s="1056"/>
      <c r="Y1348" s="1056"/>
      <c r="Z1348" s="1056"/>
      <c r="AA1348" s="1056"/>
      <c r="AB1348" s="1056"/>
      <c r="AC1348" s="1056"/>
      <c r="AD1348" s="1056"/>
      <c r="AE1348" s="1056"/>
      <c r="AF1348" s="264"/>
    </row>
    <row r="1349" spans="1:32" s="268" customFormat="1" ht="15" x14ac:dyDescent="0.25">
      <c r="A1349" s="264"/>
      <c r="B1349" s="264"/>
      <c r="C1349" s="1056"/>
      <c r="D1349" s="1056"/>
      <c r="E1349" s="1056"/>
      <c r="F1349" s="1056"/>
      <c r="G1349" s="1056"/>
      <c r="H1349" s="1056"/>
      <c r="I1349" s="1056"/>
      <c r="J1349" s="1056"/>
      <c r="K1349" s="1056"/>
      <c r="L1349" s="1056"/>
      <c r="M1349" s="274"/>
      <c r="P1349" s="264"/>
      <c r="Q1349" s="264"/>
      <c r="R1349" s="264"/>
      <c r="S1349" s="264"/>
      <c r="T1349" s="1056"/>
      <c r="U1349" s="1056"/>
      <c r="V1349" s="1056"/>
      <c r="W1349" s="1056"/>
      <c r="X1349" s="1056"/>
      <c r="Y1349" s="1056"/>
      <c r="Z1349" s="1056"/>
      <c r="AA1349" s="1056"/>
      <c r="AB1349" s="1056"/>
      <c r="AC1349" s="1056"/>
      <c r="AD1349" s="1056"/>
      <c r="AE1349" s="1056"/>
      <c r="AF1349" s="264"/>
    </row>
    <row r="1350" spans="1:32" s="268" customFormat="1" ht="15" x14ac:dyDescent="0.25">
      <c r="A1350" s="264"/>
      <c r="B1350" s="264"/>
      <c r="C1350" s="1056"/>
      <c r="D1350" s="1056"/>
      <c r="E1350" s="1056"/>
      <c r="F1350" s="1056"/>
      <c r="G1350" s="1056"/>
      <c r="H1350" s="1056"/>
      <c r="I1350" s="1056"/>
      <c r="J1350" s="1056"/>
      <c r="K1350" s="1056"/>
      <c r="L1350" s="1056"/>
      <c r="M1350" s="274"/>
      <c r="P1350" s="264"/>
      <c r="Q1350" s="264"/>
      <c r="R1350" s="264"/>
      <c r="S1350" s="264"/>
      <c r="T1350" s="1056"/>
      <c r="U1350" s="1056"/>
      <c r="V1350" s="1056"/>
      <c r="W1350" s="1056"/>
      <c r="X1350" s="1056"/>
      <c r="Y1350" s="1056"/>
      <c r="Z1350" s="1056"/>
      <c r="AA1350" s="1056"/>
      <c r="AB1350" s="1056"/>
      <c r="AC1350" s="1056"/>
      <c r="AD1350" s="1056"/>
      <c r="AE1350" s="1056"/>
      <c r="AF1350" s="264"/>
    </row>
    <row r="1351" spans="1:32" s="268" customFormat="1" ht="15" x14ac:dyDescent="0.25">
      <c r="A1351" s="264"/>
      <c r="B1351" s="264"/>
      <c r="C1351" s="1056"/>
      <c r="D1351" s="1056"/>
      <c r="E1351" s="1056"/>
      <c r="F1351" s="1056"/>
      <c r="G1351" s="1056"/>
      <c r="H1351" s="1056"/>
      <c r="I1351" s="1056"/>
      <c r="J1351" s="1056"/>
      <c r="K1351" s="1056"/>
      <c r="L1351" s="1056"/>
      <c r="M1351" s="274"/>
      <c r="P1351" s="264"/>
      <c r="Q1351" s="264"/>
      <c r="R1351" s="264"/>
      <c r="S1351" s="264"/>
      <c r="T1351" s="1056"/>
      <c r="U1351" s="1056"/>
      <c r="V1351" s="1056"/>
      <c r="W1351" s="1056"/>
      <c r="X1351" s="1056"/>
      <c r="Y1351" s="1056"/>
      <c r="Z1351" s="1056"/>
      <c r="AA1351" s="1056"/>
      <c r="AB1351" s="1056"/>
      <c r="AC1351" s="1056"/>
      <c r="AD1351" s="1056"/>
      <c r="AE1351" s="1056"/>
      <c r="AF1351" s="264"/>
    </row>
    <row r="1352" spans="1:32" s="268" customFormat="1" ht="15" x14ac:dyDescent="0.25">
      <c r="A1352" s="264"/>
      <c r="B1352" s="264"/>
      <c r="C1352" s="1056"/>
      <c r="D1352" s="1056"/>
      <c r="E1352" s="1056"/>
      <c r="F1352" s="1056"/>
      <c r="G1352" s="1056"/>
      <c r="H1352" s="1056"/>
      <c r="I1352" s="1056"/>
      <c r="J1352" s="1056"/>
      <c r="K1352" s="1056"/>
      <c r="L1352" s="1056"/>
      <c r="M1352" s="274"/>
      <c r="P1352" s="264"/>
      <c r="Q1352" s="264"/>
      <c r="R1352" s="264"/>
      <c r="S1352" s="264"/>
      <c r="T1352" s="1056"/>
      <c r="U1352" s="1056"/>
      <c r="V1352" s="1056"/>
      <c r="W1352" s="1056"/>
      <c r="X1352" s="1056"/>
      <c r="Y1352" s="1056"/>
      <c r="Z1352" s="1056"/>
      <c r="AA1352" s="1056"/>
      <c r="AB1352" s="1056"/>
      <c r="AC1352" s="1056"/>
      <c r="AD1352" s="1056"/>
      <c r="AE1352" s="1056"/>
      <c r="AF1352" s="264"/>
    </row>
    <row r="1353" spans="1:32" s="268" customFormat="1" ht="15" x14ac:dyDescent="0.25">
      <c r="A1353" s="264"/>
      <c r="B1353" s="264"/>
      <c r="C1353" s="1056"/>
      <c r="D1353" s="1056"/>
      <c r="E1353" s="1056"/>
      <c r="F1353" s="1056"/>
      <c r="G1353" s="1056"/>
      <c r="H1353" s="1056"/>
      <c r="I1353" s="1056"/>
      <c r="J1353" s="1056"/>
      <c r="K1353" s="1056"/>
      <c r="L1353" s="1056"/>
      <c r="M1353" s="274"/>
      <c r="P1353" s="264"/>
      <c r="Q1353" s="264"/>
      <c r="R1353" s="264"/>
      <c r="S1353" s="264"/>
      <c r="T1353" s="1056"/>
      <c r="U1353" s="1056"/>
      <c r="V1353" s="1056"/>
      <c r="W1353" s="1056"/>
      <c r="X1353" s="1056"/>
      <c r="Y1353" s="1056"/>
      <c r="Z1353" s="1056"/>
      <c r="AA1353" s="1056"/>
      <c r="AB1353" s="1056"/>
      <c r="AC1353" s="1056"/>
      <c r="AD1353" s="1056"/>
      <c r="AE1353" s="1056"/>
      <c r="AF1353" s="264"/>
    </row>
    <row r="1354" spans="1:32" s="268" customFormat="1" ht="15" x14ac:dyDescent="0.25">
      <c r="A1354" s="264"/>
      <c r="B1354" s="264"/>
      <c r="C1354" s="1056"/>
      <c r="D1354" s="1056"/>
      <c r="E1354" s="1056"/>
      <c r="F1354" s="1056"/>
      <c r="G1354" s="1056"/>
      <c r="H1354" s="1056"/>
      <c r="I1354" s="1056"/>
      <c r="J1354" s="1056"/>
      <c r="K1354" s="1056"/>
      <c r="L1354" s="1056"/>
      <c r="M1354" s="274"/>
      <c r="P1354" s="264"/>
      <c r="Q1354" s="264"/>
      <c r="R1354" s="264"/>
      <c r="S1354" s="264"/>
      <c r="T1354" s="1056"/>
      <c r="U1354" s="1056"/>
      <c r="V1354" s="1056"/>
      <c r="W1354" s="1056"/>
      <c r="X1354" s="1056"/>
      <c r="Y1354" s="1056"/>
      <c r="Z1354" s="1056"/>
      <c r="AA1354" s="1056"/>
      <c r="AB1354" s="1056"/>
      <c r="AC1354" s="1056"/>
      <c r="AD1354" s="1056"/>
      <c r="AE1354" s="1056"/>
      <c r="AF1354" s="264"/>
    </row>
    <row r="1355" spans="1:32" s="268" customFormat="1" ht="15" x14ac:dyDescent="0.25">
      <c r="A1355" s="264"/>
      <c r="B1355" s="264"/>
      <c r="C1355" s="1056"/>
      <c r="D1355" s="1056"/>
      <c r="E1355" s="1056"/>
      <c r="F1355" s="1056"/>
      <c r="G1355" s="1056"/>
      <c r="H1355" s="1056"/>
      <c r="I1355" s="1056"/>
      <c r="J1355" s="1056"/>
      <c r="K1355" s="1056"/>
      <c r="L1355" s="1056"/>
      <c r="M1355" s="274"/>
      <c r="P1355" s="264"/>
      <c r="Q1355" s="264"/>
      <c r="R1355" s="264"/>
      <c r="S1355" s="264"/>
      <c r="T1355" s="1056"/>
      <c r="U1355" s="1056"/>
      <c r="V1355" s="1056"/>
      <c r="W1355" s="1056"/>
      <c r="X1355" s="1056"/>
      <c r="Y1355" s="1056"/>
      <c r="Z1355" s="1056"/>
      <c r="AA1355" s="1056"/>
      <c r="AB1355" s="1056"/>
      <c r="AC1355" s="1056"/>
      <c r="AD1355" s="1056"/>
      <c r="AE1355" s="1056"/>
      <c r="AF1355" s="264"/>
    </row>
    <row r="1356" spans="1:32" s="268" customFormat="1" ht="15" x14ac:dyDescent="0.25">
      <c r="A1356" s="264"/>
      <c r="B1356" s="264"/>
      <c r="C1356" s="1056"/>
      <c r="D1356" s="1056"/>
      <c r="E1356" s="1056"/>
      <c r="F1356" s="1056"/>
      <c r="G1356" s="1056"/>
      <c r="H1356" s="1056"/>
      <c r="I1356" s="1056"/>
      <c r="J1356" s="1056"/>
      <c r="K1356" s="1056"/>
      <c r="L1356" s="1056"/>
      <c r="M1356" s="274"/>
      <c r="P1356" s="264"/>
      <c r="Q1356" s="264"/>
      <c r="R1356" s="264"/>
      <c r="S1356" s="264"/>
      <c r="T1356" s="1056"/>
      <c r="U1356" s="1056"/>
      <c r="V1356" s="1056"/>
      <c r="W1356" s="1056"/>
      <c r="X1356" s="1056"/>
      <c r="Y1356" s="1056"/>
      <c r="Z1356" s="1056"/>
      <c r="AA1356" s="1056"/>
      <c r="AB1356" s="1056"/>
      <c r="AC1356" s="1056"/>
      <c r="AD1356" s="1056"/>
      <c r="AE1356" s="1056"/>
      <c r="AF1356" s="264"/>
    </row>
    <row r="1357" spans="1:32" s="268" customFormat="1" ht="15" x14ac:dyDescent="0.25">
      <c r="A1357" s="264"/>
      <c r="B1357" s="264"/>
      <c r="C1357" s="1056"/>
      <c r="D1357" s="1056"/>
      <c r="E1357" s="1056"/>
      <c r="F1357" s="1056"/>
      <c r="G1357" s="1056"/>
      <c r="H1357" s="1056"/>
      <c r="I1357" s="1056"/>
      <c r="J1357" s="1056"/>
      <c r="K1357" s="1056"/>
      <c r="L1357" s="1056"/>
      <c r="M1357" s="274"/>
      <c r="P1357" s="264"/>
      <c r="Q1357" s="264"/>
      <c r="R1357" s="264"/>
      <c r="S1357" s="264"/>
      <c r="T1357" s="1056"/>
      <c r="U1357" s="1056"/>
      <c r="V1357" s="1056"/>
      <c r="W1357" s="1056"/>
      <c r="X1357" s="1056"/>
      <c r="Y1357" s="1056"/>
      <c r="Z1357" s="1056"/>
      <c r="AA1357" s="1056"/>
      <c r="AB1357" s="1056"/>
      <c r="AC1357" s="1056"/>
      <c r="AD1357" s="1056"/>
      <c r="AE1357" s="1056"/>
      <c r="AF1357" s="264"/>
    </row>
    <row r="1358" spans="1:32" s="268" customFormat="1" ht="15" x14ac:dyDescent="0.25">
      <c r="A1358" s="264"/>
      <c r="B1358" s="264"/>
      <c r="C1358" s="1056"/>
      <c r="D1358" s="1056"/>
      <c r="E1358" s="1056"/>
      <c r="F1358" s="1056"/>
      <c r="G1358" s="1056"/>
      <c r="H1358" s="1056"/>
      <c r="I1358" s="1056"/>
      <c r="J1358" s="1056"/>
      <c r="K1358" s="1056"/>
      <c r="L1358" s="1056"/>
      <c r="M1358" s="274"/>
      <c r="P1358" s="264"/>
      <c r="Q1358" s="264"/>
      <c r="R1358" s="264"/>
      <c r="S1358" s="264"/>
      <c r="T1358" s="1056"/>
      <c r="U1358" s="1056"/>
      <c r="V1358" s="1056"/>
      <c r="W1358" s="1056"/>
      <c r="X1358" s="1056"/>
      <c r="Y1358" s="1056"/>
      <c r="Z1358" s="1056"/>
      <c r="AA1358" s="1056"/>
      <c r="AB1358" s="1056"/>
      <c r="AC1358" s="1056"/>
      <c r="AD1358" s="1056"/>
      <c r="AE1358" s="1056"/>
      <c r="AF1358" s="264"/>
    </row>
    <row r="1359" spans="1:32" s="268" customFormat="1" ht="15" x14ac:dyDescent="0.25">
      <c r="A1359" s="264"/>
      <c r="B1359" s="264"/>
      <c r="C1359" s="1056"/>
      <c r="D1359" s="1056"/>
      <c r="E1359" s="1056"/>
      <c r="F1359" s="1056"/>
      <c r="G1359" s="1056"/>
      <c r="H1359" s="1056"/>
      <c r="I1359" s="1056"/>
      <c r="J1359" s="1056"/>
      <c r="K1359" s="1056"/>
      <c r="L1359" s="1056"/>
      <c r="M1359" s="274"/>
      <c r="P1359" s="264"/>
      <c r="Q1359" s="264"/>
      <c r="R1359" s="264"/>
      <c r="S1359" s="264"/>
      <c r="T1359" s="1056"/>
      <c r="U1359" s="1056"/>
      <c r="V1359" s="1056"/>
      <c r="W1359" s="1056"/>
      <c r="X1359" s="1056"/>
      <c r="Y1359" s="1056"/>
      <c r="Z1359" s="1056"/>
      <c r="AA1359" s="1056"/>
      <c r="AB1359" s="1056"/>
      <c r="AC1359" s="1056"/>
      <c r="AD1359" s="1056"/>
      <c r="AE1359" s="1056"/>
      <c r="AF1359" s="264"/>
    </row>
    <row r="1360" spans="1:32" s="268" customFormat="1" ht="15" x14ac:dyDescent="0.25">
      <c r="A1360" s="264"/>
      <c r="B1360" s="264"/>
      <c r="C1360" s="1056"/>
      <c r="D1360" s="1056"/>
      <c r="E1360" s="1056"/>
      <c r="F1360" s="1056"/>
      <c r="G1360" s="1056"/>
      <c r="H1360" s="1056"/>
      <c r="I1360" s="1056"/>
      <c r="J1360" s="1056"/>
      <c r="K1360" s="1056"/>
      <c r="L1360" s="1056"/>
      <c r="M1360" s="274"/>
      <c r="P1360" s="264"/>
      <c r="Q1360" s="264"/>
      <c r="R1360" s="264"/>
      <c r="S1360" s="264"/>
      <c r="T1360" s="1056"/>
      <c r="U1360" s="1056"/>
      <c r="V1360" s="1056"/>
      <c r="W1360" s="1056"/>
      <c r="X1360" s="1056"/>
      <c r="Y1360" s="1056"/>
      <c r="Z1360" s="1056"/>
      <c r="AA1360" s="1056"/>
      <c r="AB1360" s="1056"/>
      <c r="AC1360" s="1056"/>
      <c r="AD1360" s="1056"/>
      <c r="AE1360" s="1056"/>
      <c r="AF1360" s="264"/>
    </row>
    <row r="1361" spans="1:32" s="268" customFormat="1" ht="15" x14ac:dyDescent="0.25">
      <c r="A1361" s="264"/>
      <c r="B1361" s="264"/>
      <c r="C1361" s="1056"/>
      <c r="D1361" s="1056"/>
      <c r="E1361" s="1056"/>
      <c r="F1361" s="1056"/>
      <c r="G1361" s="1056"/>
      <c r="H1361" s="1056"/>
      <c r="I1361" s="1056"/>
      <c r="J1361" s="1056"/>
      <c r="K1361" s="1056"/>
      <c r="L1361" s="1056"/>
      <c r="M1361" s="274"/>
      <c r="P1361" s="264"/>
      <c r="Q1361" s="264"/>
      <c r="R1361" s="264"/>
      <c r="S1361" s="264"/>
      <c r="T1361" s="1056"/>
      <c r="U1361" s="1056"/>
      <c r="V1361" s="1056"/>
      <c r="W1361" s="1056"/>
      <c r="X1361" s="1056"/>
      <c r="Y1361" s="1056"/>
      <c r="Z1361" s="1056"/>
      <c r="AA1361" s="1056"/>
      <c r="AB1361" s="1056"/>
      <c r="AC1361" s="1056"/>
      <c r="AD1361" s="1056"/>
      <c r="AE1361" s="1056"/>
      <c r="AF1361" s="264"/>
    </row>
    <row r="1362" spans="1:32" s="268" customFormat="1" ht="15" x14ac:dyDescent="0.25">
      <c r="A1362" s="264"/>
      <c r="B1362" s="264"/>
      <c r="C1362" s="1056"/>
      <c r="D1362" s="1056"/>
      <c r="E1362" s="1056"/>
      <c r="F1362" s="1056"/>
      <c r="G1362" s="1056"/>
      <c r="H1362" s="1056"/>
      <c r="I1362" s="1056"/>
      <c r="J1362" s="1056"/>
      <c r="K1362" s="1056"/>
      <c r="L1362" s="1056"/>
      <c r="M1362" s="274"/>
      <c r="P1362" s="264"/>
      <c r="Q1362" s="264"/>
      <c r="R1362" s="264"/>
      <c r="S1362" s="264"/>
      <c r="T1362" s="1056"/>
      <c r="U1362" s="1056"/>
      <c r="V1362" s="1056"/>
      <c r="W1362" s="1056"/>
      <c r="X1362" s="1056"/>
      <c r="Y1362" s="1056"/>
      <c r="Z1362" s="1056"/>
      <c r="AA1362" s="1056"/>
      <c r="AB1362" s="1056"/>
      <c r="AC1362" s="1056"/>
      <c r="AD1362" s="1056"/>
      <c r="AE1362" s="1056"/>
      <c r="AF1362" s="264"/>
    </row>
    <row r="1363" spans="1:32" s="268" customFormat="1" ht="15" x14ac:dyDescent="0.25">
      <c r="A1363" s="264"/>
      <c r="B1363" s="264"/>
      <c r="C1363" s="1056"/>
      <c r="D1363" s="1056"/>
      <c r="E1363" s="1056"/>
      <c r="F1363" s="1056"/>
      <c r="G1363" s="1056"/>
      <c r="H1363" s="1056"/>
      <c r="I1363" s="1056"/>
      <c r="J1363" s="1056"/>
      <c r="K1363" s="1056"/>
      <c r="L1363" s="1056"/>
      <c r="M1363" s="274"/>
      <c r="P1363" s="264"/>
      <c r="Q1363" s="264"/>
      <c r="R1363" s="264"/>
      <c r="S1363" s="264"/>
      <c r="T1363" s="1056"/>
      <c r="U1363" s="1056"/>
      <c r="V1363" s="1056"/>
      <c r="W1363" s="1056"/>
      <c r="X1363" s="1056"/>
      <c r="Y1363" s="1056"/>
      <c r="Z1363" s="1056"/>
      <c r="AA1363" s="1056"/>
      <c r="AB1363" s="1056"/>
      <c r="AC1363" s="1056"/>
      <c r="AD1363" s="1056"/>
      <c r="AE1363" s="1056"/>
      <c r="AF1363" s="264"/>
    </row>
    <row r="1364" spans="1:32" s="268" customFormat="1" ht="15" x14ac:dyDescent="0.25">
      <c r="A1364" s="264"/>
      <c r="B1364" s="264"/>
      <c r="C1364" s="1056"/>
      <c r="D1364" s="1056"/>
      <c r="E1364" s="1056"/>
      <c r="F1364" s="1056"/>
      <c r="G1364" s="1056"/>
      <c r="H1364" s="1056"/>
      <c r="I1364" s="1056"/>
      <c r="J1364" s="1056"/>
      <c r="K1364" s="1056"/>
      <c r="L1364" s="1056"/>
      <c r="M1364" s="274"/>
      <c r="P1364" s="264"/>
      <c r="Q1364" s="264"/>
      <c r="R1364" s="264"/>
      <c r="S1364" s="264"/>
      <c r="T1364" s="1056"/>
      <c r="U1364" s="1056"/>
      <c r="V1364" s="1056"/>
      <c r="W1364" s="1056"/>
      <c r="X1364" s="1056"/>
      <c r="Y1364" s="1056"/>
      <c r="Z1364" s="1056"/>
      <c r="AA1364" s="1056"/>
      <c r="AB1364" s="1056"/>
      <c r="AC1364" s="1056"/>
      <c r="AD1364" s="1056"/>
      <c r="AE1364" s="1056"/>
      <c r="AF1364" s="264"/>
    </row>
    <row r="1365" spans="1:32" s="268" customFormat="1" ht="15" x14ac:dyDescent="0.25">
      <c r="A1365" s="264"/>
      <c r="B1365" s="264"/>
      <c r="C1365" s="1056"/>
      <c r="D1365" s="1056"/>
      <c r="E1365" s="1056"/>
      <c r="F1365" s="1056"/>
      <c r="G1365" s="1056"/>
      <c r="H1365" s="1056"/>
      <c r="I1365" s="1056"/>
      <c r="J1365" s="1056"/>
      <c r="K1365" s="1056"/>
      <c r="L1365" s="1056"/>
      <c r="M1365" s="274"/>
      <c r="P1365" s="264"/>
      <c r="Q1365" s="264"/>
      <c r="R1365" s="264"/>
      <c r="S1365" s="264"/>
      <c r="T1365" s="1056"/>
      <c r="U1365" s="1056"/>
      <c r="V1365" s="1056"/>
      <c r="W1365" s="1056"/>
      <c r="X1365" s="1056"/>
      <c r="Y1365" s="1056"/>
      <c r="Z1365" s="1056"/>
      <c r="AA1365" s="1056"/>
      <c r="AB1365" s="1056"/>
      <c r="AC1365" s="1056"/>
      <c r="AD1365" s="1056"/>
      <c r="AE1365" s="1056"/>
      <c r="AF1365" s="264"/>
    </row>
    <row r="1366" spans="1:32" s="268" customFormat="1" ht="15" x14ac:dyDescent="0.25">
      <c r="A1366" s="264"/>
      <c r="B1366" s="264"/>
      <c r="C1366" s="1056"/>
      <c r="D1366" s="1056"/>
      <c r="E1366" s="1056"/>
      <c r="F1366" s="1056"/>
      <c r="G1366" s="1056"/>
      <c r="H1366" s="1056"/>
      <c r="I1366" s="1056"/>
      <c r="J1366" s="1056"/>
      <c r="K1366" s="1056"/>
      <c r="L1366" s="1056"/>
      <c r="M1366" s="274"/>
      <c r="P1366" s="264"/>
      <c r="Q1366" s="264"/>
      <c r="R1366" s="264"/>
      <c r="S1366" s="264"/>
      <c r="T1366" s="1056"/>
      <c r="U1366" s="1056"/>
      <c r="V1366" s="1056"/>
      <c r="W1366" s="1056"/>
      <c r="X1366" s="1056"/>
      <c r="Y1366" s="1056"/>
      <c r="Z1366" s="1056"/>
      <c r="AA1366" s="1056"/>
      <c r="AB1366" s="1056"/>
      <c r="AC1366" s="1056"/>
      <c r="AD1366" s="1056"/>
      <c r="AE1366" s="1056"/>
      <c r="AF1366" s="264"/>
    </row>
    <row r="1367" spans="1:32" s="268" customFormat="1" ht="15" x14ac:dyDescent="0.25">
      <c r="A1367" s="264"/>
      <c r="B1367" s="264"/>
      <c r="C1367" s="1056"/>
      <c r="D1367" s="1056"/>
      <c r="E1367" s="1056"/>
      <c r="F1367" s="1056"/>
      <c r="G1367" s="1056"/>
      <c r="H1367" s="1056"/>
      <c r="I1367" s="1056"/>
      <c r="J1367" s="1056"/>
      <c r="K1367" s="1056"/>
      <c r="L1367" s="1056"/>
      <c r="M1367" s="274"/>
      <c r="P1367" s="264"/>
      <c r="Q1367" s="264"/>
      <c r="R1367" s="264"/>
      <c r="S1367" s="264"/>
      <c r="T1367" s="1056"/>
      <c r="U1367" s="1056"/>
      <c r="V1367" s="1056"/>
      <c r="W1367" s="1056"/>
      <c r="X1367" s="1056"/>
      <c r="Y1367" s="1056"/>
      <c r="Z1367" s="1056"/>
      <c r="AA1367" s="1056"/>
      <c r="AB1367" s="1056"/>
      <c r="AC1367" s="1056"/>
      <c r="AD1367" s="1056"/>
      <c r="AE1367" s="1056"/>
      <c r="AF1367" s="264"/>
    </row>
    <row r="1368" spans="1:32" s="268" customFormat="1" ht="15" x14ac:dyDescent="0.25">
      <c r="A1368" s="264"/>
      <c r="B1368" s="264"/>
      <c r="C1368" s="1056"/>
      <c r="D1368" s="1056"/>
      <c r="E1368" s="1056"/>
      <c r="F1368" s="1056"/>
      <c r="G1368" s="1056"/>
      <c r="H1368" s="1056"/>
      <c r="I1368" s="1056"/>
      <c r="J1368" s="1056"/>
      <c r="K1368" s="1056"/>
      <c r="L1368" s="1056"/>
      <c r="M1368" s="274"/>
      <c r="P1368" s="264"/>
      <c r="Q1368" s="264"/>
      <c r="R1368" s="264"/>
      <c r="S1368" s="264"/>
      <c r="T1368" s="1056"/>
      <c r="U1368" s="1056"/>
      <c r="V1368" s="1056"/>
      <c r="W1368" s="1056"/>
      <c r="X1368" s="1056"/>
      <c r="Y1368" s="1056"/>
      <c r="Z1368" s="1056"/>
      <c r="AA1368" s="1056"/>
      <c r="AB1368" s="1056"/>
      <c r="AC1368" s="1056"/>
      <c r="AD1368" s="1056"/>
      <c r="AE1368" s="1056"/>
      <c r="AF1368" s="264"/>
    </row>
    <row r="1369" spans="1:32" s="268" customFormat="1" ht="15" x14ac:dyDescent="0.25">
      <c r="A1369" s="264"/>
      <c r="B1369" s="264"/>
      <c r="C1369" s="1056"/>
      <c r="D1369" s="1056"/>
      <c r="E1369" s="1056"/>
      <c r="F1369" s="1056"/>
      <c r="G1369" s="1056"/>
      <c r="H1369" s="1056"/>
      <c r="I1369" s="1056"/>
      <c r="J1369" s="1056"/>
      <c r="K1369" s="1056"/>
      <c r="L1369" s="1056"/>
      <c r="M1369" s="274"/>
      <c r="P1369" s="264"/>
      <c r="Q1369" s="264"/>
      <c r="R1369" s="264"/>
      <c r="S1369" s="264"/>
      <c r="T1369" s="1056"/>
      <c r="U1369" s="1056"/>
      <c r="V1369" s="1056"/>
      <c r="W1369" s="1056"/>
      <c r="X1369" s="1056"/>
      <c r="Y1369" s="1056"/>
      <c r="Z1369" s="1056"/>
      <c r="AA1369" s="1056"/>
      <c r="AB1369" s="1056"/>
      <c r="AC1369" s="1056"/>
      <c r="AD1369" s="1056"/>
      <c r="AE1369" s="1056"/>
      <c r="AF1369" s="264"/>
    </row>
    <row r="1370" spans="1:32" s="268" customFormat="1" ht="15" x14ac:dyDescent="0.25">
      <c r="A1370" s="264"/>
      <c r="B1370" s="264"/>
      <c r="C1370" s="1056"/>
      <c r="D1370" s="1056"/>
      <c r="E1370" s="1056"/>
      <c r="F1370" s="1056"/>
      <c r="G1370" s="1056"/>
      <c r="H1370" s="1056"/>
      <c r="I1370" s="1056"/>
      <c r="J1370" s="1056"/>
      <c r="K1370" s="1056"/>
      <c r="L1370" s="1056"/>
      <c r="M1370" s="274"/>
      <c r="P1370" s="264"/>
      <c r="Q1370" s="264"/>
      <c r="R1370" s="264"/>
      <c r="S1370" s="264"/>
      <c r="T1370" s="1056"/>
      <c r="U1370" s="1056"/>
      <c r="V1370" s="1056"/>
      <c r="W1370" s="1056"/>
      <c r="X1370" s="1056"/>
      <c r="Y1370" s="1056"/>
      <c r="Z1370" s="1056"/>
      <c r="AA1370" s="1056"/>
      <c r="AB1370" s="1056"/>
      <c r="AC1370" s="1056"/>
      <c r="AD1370" s="1056"/>
      <c r="AE1370" s="1056"/>
      <c r="AF1370" s="264"/>
    </row>
    <row r="1371" spans="1:32" s="268" customFormat="1" ht="15" x14ac:dyDescent="0.25">
      <c r="A1371" s="264"/>
      <c r="B1371" s="264"/>
      <c r="C1371" s="1056"/>
      <c r="D1371" s="1056"/>
      <c r="E1371" s="1056"/>
      <c r="F1371" s="1056"/>
      <c r="G1371" s="1056"/>
      <c r="H1371" s="1056"/>
      <c r="I1371" s="1056"/>
      <c r="J1371" s="1056"/>
      <c r="K1371" s="1056"/>
      <c r="L1371" s="1056"/>
      <c r="M1371" s="274"/>
      <c r="P1371" s="264"/>
      <c r="Q1371" s="264"/>
      <c r="R1371" s="264"/>
      <c r="S1371" s="264"/>
      <c r="T1371" s="1056"/>
      <c r="U1371" s="1056"/>
      <c r="V1371" s="1056"/>
      <c r="W1371" s="1056"/>
      <c r="X1371" s="1056"/>
      <c r="Y1371" s="1056"/>
      <c r="Z1371" s="1056"/>
      <c r="AA1371" s="1056"/>
      <c r="AB1371" s="1056"/>
      <c r="AC1371" s="1056"/>
      <c r="AD1371" s="1056"/>
      <c r="AE1371" s="1056"/>
      <c r="AF1371" s="264"/>
    </row>
    <row r="1372" spans="1:32" s="268" customFormat="1" ht="15" x14ac:dyDescent="0.25">
      <c r="A1372" s="264"/>
      <c r="B1372" s="264"/>
      <c r="C1372" s="1056"/>
      <c r="D1372" s="1056"/>
      <c r="E1372" s="1056"/>
      <c r="F1372" s="1056"/>
      <c r="G1372" s="1056"/>
      <c r="H1372" s="1056"/>
      <c r="I1372" s="1056"/>
      <c r="J1372" s="1056"/>
      <c r="K1372" s="1056"/>
      <c r="L1372" s="1056"/>
      <c r="M1372" s="274"/>
      <c r="P1372" s="264"/>
      <c r="Q1372" s="264"/>
      <c r="R1372" s="264"/>
      <c r="S1372" s="264"/>
      <c r="T1372" s="1056"/>
      <c r="U1372" s="1056"/>
      <c r="V1372" s="1056"/>
      <c r="W1372" s="1056"/>
      <c r="X1372" s="1056"/>
      <c r="Y1372" s="1056"/>
      <c r="Z1372" s="1056"/>
      <c r="AA1372" s="1056"/>
      <c r="AB1372" s="1056"/>
      <c r="AC1372" s="1056"/>
      <c r="AD1372" s="1056"/>
      <c r="AE1372" s="1056"/>
      <c r="AF1372" s="264"/>
    </row>
    <row r="1373" spans="1:32" s="268" customFormat="1" ht="15" x14ac:dyDescent="0.25">
      <c r="A1373" s="264"/>
      <c r="B1373" s="264"/>
      <c r="C1373" s="1056"/>
      <c r="D1373" s="1056"/>
      <c r="E1373" s="1056"/>
      <c r="F1373" s="1056"/>
      <c r="G1373" s="1056"/>
      <c r="H1373" s="1056"/>
      <c r="I1373" s="1056"/>
      <c r="J1373" s="1056"/>
      <c r="K1373" s="1056"/>
      <c r="L1373" s="1056"/>
      <c r="M1373" s="274"/>
      <c r="P1373" s="264"/>
      <c r="Q1373" s="264"/>
      <c r="R1373" s="264"/>
      <c r="S1373" s="264"/>
      <c r="T1373" s="1056"/>
      <c r="U1373" s="1056"/>
      <c r="V1373" s="1056"/>
      <c r="W1373" s="1056"/>
      <c r="X1373" s="1056"/>
      <c r="Y1373" s="1056"/>
      <c r="Z1373" s="1056"/>
      <c r="AA1373" s="1056"/>
      <c r="AB1373" s="1056"/>
      <c r="AC1373" s="1056"/>
      <c r="AD1373" s="1056"/>
      <c r="AE1373" s="1056"/>
      <c r="AF1373" s="264"/>
    </row>
    <row r="1374" spans="1:32" s="268" customFormat="1" ht="15" x14ac:dyDescent="0.25">
      <c r="A1374" s="264"/>
      <c r="B1374" s="264"/>
      <c r="C1374" s="1056"/>
      <c r="D1374" s="1056"/>
      <c r="E1374" s="1056"/>
      <c r="F1374" s="1056"/>
      <c r="G1374" s="1056"/>
      <c r="H1374" s="1056"/>
      <c r="I1374" s="1056"/>
      <c r="J1374" s="1056"/>
      <c r="K1374" s="1056"/>
      <c r="L1374" s="1056"/>
      <c r="M1374" s="274"/>
      <c r="P1374" s="264"/>
      <c r="Q1374" s="264"/>
      <c r="R1374" s="264"/>
      <c r="S1374" s="264"/>
      <c r="T1374" s="1056"/>
      <c r="U1374" s="1056"/>
      <c r="V1374" s="1056"/>
      <c r="W1374" s="1056"/>
      <c r="X1374" s="1056"/>
      <c r="Y1374" s="1056"/>
      <c r="Z1374" s="1056"/>
      <c r="AA1374" s="1056"/>
      <c r="AB1374" s="1056"/>
      <c r="AC1374" s="1056"/>
      <c r="AD1374" s="1056"/>
      <c r="AE1374" s="1056"/>
      <c r="AF1374" s="264"/>
    </row>
    <row r="1375" spans="1:32" s="268" customFormat="1" ht="15" x14ac:dyDescent="0.25">
      <c r="A1375" s="264"/>
      <c r="B1375" s="264"/>
      <c r="C1375" s="1056"/>
      <c r="D1375" s="1056"/>
      <c r="E1375" s="1056"/>
      <c r="F1375" s="1056"/>
      <c r="G1375" s="1056"/>
      <c r="H1375" s="1056"/>
      <c r="I1375" s="1056"/>
      <c r="J1375" s="1056"/>
      <c r="K1375" s="1056"/>
      <c r="L1375" s="1056"/>
      <c r="M1375" s="274"/>
      <c r="P1375" s="264"/>
      <c r="Q1375" s="264"/>
      <c r="R1375" s="264"/>
      <c r="S1375" s="264"/>
      <c r="T1375" s="1056"/>
      <c r="U1375" s="1056"/>
      <c r="V1375" s="1056"/>
      <c r="W1375" s="1056"/>
      <c r="X1375" s="1056"/>
      <c r="Y1375" s="1056"/>
      <c r="Z1375" s="1056"/>
      <c r="AA1375" s="1056"/>
      <c r="AB1375" s="1056"/>
      <c r="AC1375" s="1056"/>
      <c r="AD1375" s="1056"/>
      <c r="AE1375" s="1056"/>
      <c r="AF1375" s="264"/>
    </row>
    <row r="1376" spans="1:32" s="268" customFormat="1" ht="15" x14ac:dyDescent="0.25">
      <c r="A1376" s="264"/>
      <c r="B1376" s="264"/>
      <c r="C1376" s="1056"/>
      <c r="D1376" s="1056"/>
      <c r="E1376" s="1056"/>
      <c r="F1376" s="1056"/>
      <c r="G1376" s="1056"/>
      <c r="H1376" s="1056"/>
      <c r="I1376" s="1056"/>
      <c r="J1376" s="1056"/>
      <c r="K1376" s="1056"/>
      <c r="L1376" s="1056"/>
      <c r="M1376" s="274"/>
      <c r="P1376" s="264"/>
      <c r="Q1376" s="264"/>
      <c r="R1376" s="264"/>
      <c r="S1376" s="264"/>
      <c r="T1376" s="1056"/>
      <c r="U1376" s="1056"/>
      <c r="V1376" s="1056"/>
      <c r="W1376" s="1056"/>
      <c r="X1376" s="1056"/>
      <c r="Y1376" s="1056"/>
      <c r="Z1376" s="1056"/>
      <c r="AA1376" s="1056"/>
      <c r="AB1376" s="1056"/>
      <c r="AC1376" s="1056"/>
      <c r="AD1376" s="1056"/>
      <c r="AE1376" s="1056"/>
      <c r="AF1376" s="264"/>
    </row>
    <row r="1377" spans="1:32" s="268" customFormat="1" ht="15" x14ac:dyDescent="0.25">
      <c r="A1377" s="264"/>
      <c r="B1377" s="264"/>
      <c r="C1377" s="1056"/>
      <c r="D1377" s="1056"/>
      <c r="E1377" s="1056"/>
      <c r="F1377" s="1056"/>
      <c r="G1377" s="1056"/>
      <c r="H1377" s="1056"/>
      <c r="I1377" s="1056"/>
      <c r="J1377" s="1056"/>
      <c r="K1377" s="1056"/>
      <c r="L1377" s="1056"/>
      <c r="M1377" s="274"/>
      <c r="P1377" s="264"/>
      <c r="Q1377" s="264"/>
      <c r="R1377" s="264"/>
      <c r="S1377" s="264"/>
      <c r="T1377" s="1056"/>
      <c r="U1377" s="1056"/>
      <c r="V1377" s="1056"/>
      <c r="W1377" s="1056"/>
      <c r="X1377" s="1056"/>
      <c r="Y1377" s="1056"/>
      <c r="Z1377" s="1056"/>
      <c r="AA1377" s="1056"/>
      <c r="AB1377" s="1056"/>
      <c r="AC1377" s="1056"/>
      <c r="AD1377" s="1056"/>
      <c r="AE1377" s="1056"/>
      <c r="AF1377" s="264"/>
    </row>
    <row r="1378" spans="1:32" s="268" customFormat="1" ht="15" x14ac:dyDescent="0.25">
      <c r="A1378" s="264"/>
      <c r="B1378" s="264"/>
      <c r="C1378" s="1056"/>
      <c r="D1378" s="1056"/>
      <c r="E1378" s="1056"/>
      <c r="F1378" s="1056"/>
      <c r="G1378" s="1056"/>
      <c r="H1378" s="1056"/>
      <c r="I1378" s="1056"/>
      <c r="J1378" s="1056"/>
      <c r="K1378" s="1056"/>
      <c r="L1378" s="1056"/>
      <c r="M1378" s="274"/>
      <c r="P1378" s="264"/>
      <c r="Q1378" s="264"/>
      <c r="R1378" s="264"/>
      <c r="S1378" s="264"/>
      <c r="T1378" s="1056"/>
      <c r="U1378" s="1056"/>
      <c r="V1378" s="1056"/>
      <c r="W1378" s="1056"/>
      <c r="X1378" s="1056"/>
      <c r="Y1378" s="1056"/>
      <c r="Z1378" s="1056"/>
      <c r="AA1378" s="1056"/>
      <c r="AB1378" s="1056"/>
      <c r="AC1378" s="1056"/>
      <c r="AD1378" s="1056"/>
      <c r="AE1378" s="1056"/>
      <c r="AF1378" s="264"/>
    </row>
    <row r="1379" spans="1:32" s="268" customFormat="1" ht="15" x14ac:dyDescent="0.25">
      <c r="A1379" s="264"/>
      <c r="B1379" s="264"/>
      <c r="C1379" s="1056"/>
      <c r="D1379" s="1056"/>
      <c r="E1379" s="1056"/>
      <c r="F1379" s="1056"/>
      <c r="G1379" s="1056"/>
      <c r="H1379" s="1056"/>
      <c r="I1379" s="1056"/>
      <c r="J1379" s="1056"/>
      <c r="K1379" s="1056"/>
      <c r="L1379" s="1056"/>
      <c r="M1379" s="274"/>
      <c r="P1379" s="264"/>
      <c r="Q1379" s="264"/>
      <c r="R1379" s="264"/>
      <c r="S1379" s="264"/>
      <c r="T1379" s="1056"/>
      <c r="U1379" s="1056"/>
      <c r="V1379" s="1056"/>
      <c r="W1379" s="1056"/>
      <c r="X1379" s="1056"/>
      <c r="Y1379" s="1056"/>
      <c r="Z1379" s="1056"/>
      <c r="AA1379" s="1056"/>
      <c r="AB1379" s="1056"/>
      <c r="AC1379" s="1056"/>
      <c r="AD1379" s="1056"/>
      <c r="AE1379" s="1056"/>
      <c r="AF1379" s="264"/>
    </row>
    <row r="1380" spans="1:32" s="268" customFormat="1" ht="15" x14ac:dyDescent="0.25">
      <c r="A1380" s="264"/>
      <c r="B1380" s="264"/>
      <c r="C1380" s="1056"/>
      <c r="D1380" s="1056"/>
      <c r="E1380" s="1056"/>
      <c r="F1380" s="1056"/>
      <c r="G1380" s="1056"/>
      <c r="H1380" s="1056"/>
      <c r="I1380" s="1056"/>
      <c r="J1380" s="1056"/>
      <c r="K1380" s="1056"/>
      <c r="L1380" s="1056"/>
      <c r="M1380" s="274"/>
      <c r="P1380" s="264"/>
      <c r="Q1380" s="264"/>
      <c r="R1380" s="264"/>
      <c r="S1380" s="264"/>
      <c r="T1380" s="1056"/>
      <c r="U1380" s="1056"/>
      <c r="V1380" s="1056"/>
      <c r="W1380" s="1056"/>
      <c r="X1380" s="1056"/>
      <c r="Y1380" s="1056"/>
      <c r="Z1380" s="1056"/>
      <c r="AA1380" s="1056"/>
      <c r="AB1380" s="1056"/>
      <c r="AC1380" s="1056"/>
      <c r="AD1380" s="1056"/>
      <c r="AE1380" s="1056"/>
      <c r="AF1380" s="264"/>
    </row>
    <row r="1381" spans="1:32" s="268" customFormat="1" ht="15" x14ac:dyDescent="0.25">
      <c r="A1381" s="264"/>
      <c r="B1381" s="264"/>
      <c r="C1381" s="1056"/>
      <c r="D1381" s="1056"/>
      <c r="E1381" s="1056"/>
      <c r="F1381" s="1056"/>
      <c r="G1381" s="1056"/>
      <c r="H1381" s="1056"/>
      <c r="I1381" s="1056"/>
      <c r="J1381" s="1056"/>
      <c r="K1381" s="1056"/>
      <c r="L1381" s="1056"/>
      <c r="M1381" s="274"/>
      <c r="P1381" s="264"/>
      <c r="Q1381" s="264"/>
      <c r="R1381" s="264"/>
      <c r="S1381" s="264"/>
      <c r="T1381" s="1056"/>
      <c r="U1381" s="1056"/>
      <c r="V1381" s="1056"/>
      <c r="W1381" s="1056"/>
      <c r="X1381" s="1056"/>
      <c r="Y1381" s="1056"/>
      <c r="Z1381" s="1056"/>
      <c r="AA1381" s="1056"/>
      <c r="AB1381" s="1056"/>
      <c r="AC1381" s="1056"/>
      <c r="AD1381" s="1056"/>
      <c r="AE1381" s="1056"/>
      <c r="AF1381" s="264"/>
    </row>
    <row r="1382" spans="1:32" s="268" customFormat="1" ht="15" x14ac:dyDescent="0.25">
      <c r="A1382" s="264"/>
      <c r="B1382" s="264"/>
      <c r="C1382" s="1056"/>
      <c r="D1382" s="1056"/>
      <c r="E1382" s="1056"/>
      <c r="F1382" s="1056"/>
      <c r="G1382" s="1056"/>
      <c r="H1382" s="1056"/>
      <c r="I1382" s="1056"/>
      <c r="J1382" s="1056"/>
      <c r="K1382" s="1056"/>
      <c r="L1382" s="1056"/>
      <c r="M1382" s="274"/>
      <c r="P1382" s="264"/>
      <c r="Q1382" s="264"/>
      <c r="R1382" s="264"/>
      <c r="S1382" s="264"/>
      <c r="T1382" s="1056"/>
      <c r="U1382" s="1056"/>
      <c r="V1382" s="1056"/>
      <c r="W1382" s="1056"/>
      <c r="X1382" s="1056"/>
      <c r="Y1382" s="1056"/>
      <c r="Z1382" s="1056"/>
      <c r="AA1382" s="1056"/>
      <c r="AB1382" s="1056"/>
      <c r="AC1382" s="1056"/>
      <c r="AD1382" s="1056"/>
      <c r="AE1382" s="1056"/>
      <c r="AF1382" s="264"/>
    </row>
    <row r="1383" spans="1:32" s="268" customFormat="1" ht="15" x14ac:dyDescent="0.25">
      <c r="A1383" s="264"/>
      <c r="B1383" s="264"/>
      <c r="C1383" s="1056"/>
      <c r="D1383" s="1056"/>
      <c r="E1383" s="1056"/>
      <c r="F1383" s="1056"/>
      <c r="G1383" s="1056"/>
      <c r="H1383" s="1056"/>
      <c r="I1383" s="1056"/>
      <c r="J1383" s="1056"/>
      <c r="K1383" s="1056"/>
      <c r="L1383" s="1056"/>
      <c r="M1383" s="274"/>
      <c r="P1383" s="264"/>
      <c r="Q1383" s="264"/>
      <c r="R1383" s="264"/>
      <c r="S1383" s="264"/>
      <c r="T1383" s="1056"/>
      <c r="U1383" s="1056"/>
      <c r="V1383" s="1056"/>
      <c r="W1383" s="1056"/>
      <c r="X1383" s="1056"/>
      <c r="Y1383" s="1056"/>
      <c r="Z1383" s="1056"/>
      <c r="AA1383" s="1056"/>
      <c r="AB1383" s="1056"/>
      <c r="AC1383" s="1056"/>
      <c r="AD1383" s="1056"/>
      <c r="AE1383" s="1056"/>
      <c r="AF1383" s="264"/>
    </row>
    <row r="1384" spans="1:32" s="268" customFormat="1" ht="15" x14ac:dyDescent="0.25">
      <c r="A1384" s="264"/>
      <c r="B1384" s="264"/>
      <c r="C1384" s="1056"/>
      <c r="D1384" s="1056"/>
      <c r="E1384" s="1056"/>
      <c r="F1384" s="1056"/>
      <c r="G1384" s="1056"/>
      <c r="H1384" s="1056"/>
      <c r="I1384" s="1056"/>
      <c r="J1384" s="1056"/>
      <c r="K1384" s="1056"/>
      <c r="L1384" s="1056"/>
      <c r="M1384" s="274"/>
      <c r="P1384" s="264"/>
      <c r="Q1384" s="264"/>
      <c r="R1384" s="264"/>
      <c r="S1384" s="264"/>
      <c r="T1384" s="1056"/>
      <c r="U1384" s="1056"/>
      <c r="V1384" s="1056"/>
      <c r="W1384" s="1056"/>
      <c r="X1384" s="1056"/>
      <c r="Y1384" s="1056"/>
      <c r="Z1384" s="1056"/>
      <c r="AA1384" s="1056"/>
      <c r="AB1384" s="1056"/>
      <c r="AC1384" s="1056"/>
      <c r="AD1384" s="1056"/>
      <c r="AE1384" s="1056"/>
      <c r="AF1384" s="264"/>
    </row>
    <row r="1385" spans="1:32" s="268" customFormat="1" ht="15" x14ac:dyDescent="0.25">
      <c r="A1385" s="264"/>
      <c r="B1385" s="264"/>
      <c r="C1385" s="1056"/>
      <c r="D1385" s="1056"/>
      <c r="E1385" s="1056"/>
      <c r="F1385" s="1056"/>
      <c r="G1385" s="1056"/>
      <c r="H1385" s="1056"/>
      <c r="I1385" s="1056"/>
      <c r="J1385" s="1056"/>
      <c r="K1385" s="1056"/>
      <c r="L1385" s="1056"/>
      <c r="M1385" s="274"/>
      <c r="P1385" s="264"/>
      <c r="Q1385" s="264"/>
      <c r="R1385" s="264"/>
      <c r="S1385" s="264"/>
      <c r="T1385" s="1056"/>
      <c r="U1385" s="1056"/>
      <c r="V1385" s="1056"/>
      <c r="W1385" s="1056"/>
      <c r="X1385" s="1056"/>
      <c r="Y1385" s="1056"/>
      <c r="Z1385" s="1056"/>
      <c r="AA1385" s="1056"/>
      <c r="AB1385" s="1056"/>
      <c r="AC1385" s="1056"/>
      <c r="AD1385" s="1056"/>
      <c r="AE1385" s="1056"/>
      <c r="AF1385" s="264"/>
    </row>
    <row r="1386" spans="1:32" s="268" customFormat="1" ht="15" x14ac:dyDescent="0.25">
      <c r="A1386" s="264"/>
      <c r="B1386" s="264"/>
      <c r="C1386" s="1056"/>
      <c r="D1386" s="1056"/>
      <c r="E1386" s="1056"/>
      <c r="F1386" s="1056"/>
      <c r="G1386" s="1056"/>
      <c r="H1386" s="1056"/>
      <c r="I1386" s="1056"/>
      <c r="J1386" s="1056"/>
      <c r="K1386" s="1056"/>
      <c r="L1386" s="1056"/>
      <c r="M1386" s="274"/>
      <c r="P1386" s="264"/>
      <c r="Q1386" s="264"/>
      <c r="R1386" s="264"/>
      <c r="S1386" s="264"/>
      <c r="T1386" s="1056"/>
      <c r="U1386" s="1056"/>
      <c r="V1386" s="1056"/>
      <c r="W1386" s="1056"/>
      <c r="X1386" s="1056"/>
      <c r="Y1386" s="1056"/>
      <c r="Z1386" s="1056"/>
      <c r="AA1386" s="1056"/>
      <c r="AB1386" s="1056"/>
      <c r="AC1386" s="1056"/>
      <c r="AD1386" s="1056"/>
      <c r="AE1386" s="1056"/>
      <c r="AF1386" s="264"/>
    </row>
    <row r="1387" spans="1:32" s="268" customFormat="1" ht="15" x14ac:dyDescent="0.25">
      <c r="A1387" s="264"/>
      <c r="B1387" s="264"/>
      <c r="C1387" s="1056"/>
      <c r="D1387" s="1056"/>
      <c r="E1387" s="1056"/>
      <c r="F1387" s="1056"/>
      <c r="G1387" s="1056"/>
      <c r="H1387" s="1056"/>
      <c r="I1387" s="1056"/>
      <c r="J1387" s="1056"/>
      <c r="K1387" s="1056"/>
      <c r="L1387" s="1056"/>
      <c r="M1387" s="274"/>
      <c r="P1387" s="264"/>
      <c r="Q1387" s="264"/>
      <c r="R1387" s="264"/>
      <c r="S1387" s="264"/>
      <c r="T1387" s="1056"/>
      <c r="U1387" s="1056"/>
      <c r="V1387" s="1056"/>
      <c r="W1387" s="1056"/>
      <c r="X1387" s="1056"/>
      <c r="Y1387" s="1056"/>
      <c r="Z1387" s="1056"/>
      <c r="AA1387" s="1056"/>
      <c r="AB1387" s="1056"/>
      <c r="AC1387" s="1056"/>
      <c r="AD1387" s="1056"/>
      <c r="AE1387" s="1056"/>
      <c r="AF1387" s="264"/>
    </row>
    <row r="1388" spans="1:32" s="268" customFormat="1" ht="15" x14ac:dyDescent="0.25">
      <c r="A1388" s="264"/>
      <c r="B1388" s="264"/>
      <c r="C1388" s="1056"/>
      <c r="D1388" s="1056"/>
      <c r="E1388" s="1056"/>
      <c r="F1388" s="1056"/>
      <c r="G1388" s="1056"/>
      <c r="H1388" s="1056"/>
      <c r="I1388" s="1056"/>
      <c r="J1388" s="1056"/>
      <c r="K1388" s="1056"/>
      <c r="L1388" s="1056"/>
      <c r="M1388" s="274"/>
      <c r="P1388" s="264"/>
      <c r="Q1388" s="264"/>
      <c r="R1388" s="264"/>
      <c r="S1388" s="264"/>
      <c r="T1388" s="1056"/>
      <c r="U1388" s="1056"/>
      <c r="V1388" s="1056"/>
      <c r="W1388" s="1056"/>
      <c r="X1388" s="1056"/>
      <c r="Y1388" s="1056"/>
      <c r="Z1388" s="1056"/>
      <c r="AA1388" s="1056"/>
      <c r="AB1388" s="1056"/>
      <c r="AC1388" s="1056"/>
      <c r="AD1388" s="1056"/>
      <c r="AE1388" s="1056"/>
      <c r="AF1388" s="264"/>
    </row>
    <row r="1389" spans="1:32" s="268" customFormat="1" ht="15" x14ac:dyDescent="0.25">
      <c r="A1389" s="264"/>
      <c r="B1389" s="264"/>
      <c r="C1389" s="1056"/>
      <c r="D1389" s="1056"/>
      <c r="E1389" s="1056"/>
      <c r="F1389" s="1056"/>
      <c r="G1389" s="1056"/>
      <c r="H1389" s="1056"/>
      <c r="I1389" s="1056"/>
      <c r="J1389" s="1056"/>
      <c r="K1389" s="1056"/>
      <c r="L1389" s="1056"/>
      <c r="M1389" s="274"/>
      <c r="P1389" s="264"/>
      <c r="Q1389" s="264"/>
      <c r="R1389" s="264"/>
      <c r="S1389" s="264"/>
      <c r="T1389" s="1056"/>
      <c r="U1389" s="1056"/>
      <c r="V1389" s="1056"/>
      <c r="W1389" s="1056"/>
      <c r="X1389" s="1056"/>
      <c r="Y1389" s="1056"/>
      <c r="Z1389" s="1056"/>
      <c r="AA1389" s="1056"/>
      <c r="AB1389" s="1056"/>
      <c r="AC1389" s="1056"/>
      <c r="AD1389" s="1056"/>
      <c r="AE1389" s="1056"/>
      <c r="AF1389" s="264"/>
    </row>
    <row r="1390" spans="1:32" s="268" customFormat="1" ht="15" x14ac:dyDescent="0.25">
      <c r="A1390" s="264"/>
      <c r="B1390" s="264"/>
      <c r="C1390" s="1056"/>
      <c r="D1390" s="1056"/>
      <c r="E1390" s="1056"/>
      <c r="F1390" s="1056"/>
      <c r="G1390" s="1056"/>
      <c r="H1390" s="1056"/>
      <c r="I1390" s="1056"/>
      <c r="J1390" s="1056"/>
      <c r="K1390" s="1056"/>
      <c r="L1390" s="1056"/>
      <c r="M1390" s="274"/>
      <c r="P1390" s="264"/>
      <c r="Q1390" s="264"/>
      <c r="R1390" s="264"/>
      <c r="S1390" s="264"/>
      <c r="T1390" s="1056"/>
      <c r="U1390" s="1056"/>
      <c r="V1390" s="1056"/>
      <c r="W1390" s="1056"/>
      <c r="X1390" s="1056"/>
      <c r="Y1390" s="1056"/>
      <c r="Z1390" s="1056"/>
      <c r="AA1390" s="1056"/>
      <c r="AB1390" s="1056"/>
      <c r="AC1390" s="1056"/>
      <c r="AD1390" s="1056"/>
      <c r="AE1390" s="1056"/>
      <c r="AF1390" s="264"/>
    </row>
    <row r="1391" spans="1:32" s="268" customFormat="1" ht="15" x14ac:dyDescent="0.25">
      <c r="A1391" s="264"/>
      <c r="B1391" s="264"/>
      <c r="C1391" s="1056"/>
      <c r="D1391" s="1056"/>
      <c r="E1391" s="1056"/>
      <c r="F1391" s="1056"/>
      <c r="G1391" s="1056"/>
      <c r="H1391" s="1056"/>
      <c r="I1391" s="1056"/>
      <c r="J1391" s="1056"/>
      <c r="K1391" s="1056"/>
      <c r="L1391" s="1056"/>
      <c r="M1391" s="274"/>
      <c r="P1391" s="264"/>
      <c r="Q1391" s="264"/>
      <c r="R1391" s="264"/>
      <c r="S1391" s="264"/>
      <c r="T1391" s="1056"/>
      <c r="U1391" s="1056"/>
      <c r="V1391" s="1056"/>
      <c r="W1391" s="1056"/>
      <c r="X1391" s="1056"/>
      <c r="Y1391" s="1056"/>
      <c r="Z1391" s="1056"/>
      <c r="AA1391" s="1056"/>
      <c r="AB1391" s="1056"/>
      <c r="AC1391" s="1056"/>
      <c r="AD1391" s="1056"/>
      <c r="AE1391" s="1056"/>
      <c r="AF1391" s="264"/>
    </row>
    <row r="1392" spans="1:32" s="268" customFormat="1" ht="15" x14ac:dyDescent="0.25">
      <c r="A1392" s="264"/>
      <c r="B1392" s="264"/>
      <c r="C1392" s="1056"/>
      <c r="D1392" s="1056"/>
      <c r="E1392" s="1056"/>
      <c r="F1392" s="1056"/>
      <c r="G1392" s="1056"/>
      <c r="H1392" s="1056"/>
      <c r="I1392" s="1056"/>
      <c r="J1392" s="1056"/>
      <c r="K1392" s="1056"/>
      <c r="L1392" s="1056"/>
      <c r="M1392" s="274"/>
      <c r="P1392" s="264"/>
      <c r="Q1392" s="264"/>
      <c r="R1392" s="264"/>
      <c r="S1392" s="264"/>
      <c r="T1392" s="1056"/>
      <c r="U1392" s="1056"/>
      <c r="V1392" s="1056"/>
      <c r="W1392" s="1056"/>
      <c r="X1392" s="1056"/>
      <c r="Y1392" s="1056"/>
      <c r="Z1392" s="1056"/>
      <c r="AA1392" s="1056"/>
      <c r="AB1392" s="1056"/>
      <c r="AC1392" s="1056"/>
      <c r="AD1392" s="1056"/>
      <c r="AE1392" s="1056"/>
      <c r="AF1392" s="264"/>
    </row>
    <row r="1393" spans="1:32" s="268" customFormat="1" ht="15" x14ac:dyDescent="0.25">
      <c r="A1393" s="264"/>
      <c r="B1393" s="264"/>
      <c r="C1393" s="1056"/>
      <c r="D1393" s="1056"/>
      <c r="E1393" s="1056"/>
      <c r="F1393" s="1056"/>
      <c r="G1393" s="1056"/>
      <c r="H1393" s="1056"/>
      <c r="I1393" s="1056"/>
      <c r="J1393" s="1056"/>
      <c r="K1393" s="1056"/>
      <c r="L1393" s="1056"/>
      <c r="M1393" s="274"/>
      <c r="P1393" s="264"/>
      <c r="Q1393" s="264"/>
      <c r="R1393" s="264"/>
      <c r="S1393" s="264"/>
      <c r="T1393" s="1056"/>
      <c r="U1393" s="1056"/>
      <c r="V1393" s="1056"/>
      <c r="W1393" s="1056"/>
      <c r="X1393" s="1056"/>
      <c r="Y1393" s="1056"/>
      <c r="Z1393" s="1056"/>
      <c r="AA1393" s="1056"/>
      <c r="AB1393" s="1056"/>
      <c r="AC1393" s="1056"/>
      <c r="AD1393" s="1056"/>
      <c r="AE1393" s="1056"/>
      <c r="AF1393" s="264"/>
    </row>
    <row r="1394" spans="1:32" s="268" customFormat="1" ht="15" x14ac:dyDescent="0.25">
      <c r="A1394" s="264"/>
      <c r="B1394" s="264"/>
      <c r="C1394" s="1056"/>
      <c r="D1394" s="1056"/>
      <c r="E1394" s="1056"/>
      <c r="F1394" s="1056"/>
      <c r="G1394" s="1056"/>
      <c r="H1394" s="1056"/>
      <c r="I1394" s="1056"/>
      <c r="J1394" s="1056"/>
      <c r="K1394" s="1056"/>
      <c r="L1394" s="1056"/>
      <c r="M1394" s="274"/>
      <c r="P1394" s="264"/>
      <c r="Q1394" s="264"/>
      <c r="R1394" s="264"/>
      <c r="S1394" s="264"/>
      <c r="T1394" s="1056"/>
      <c r="U1394" s="1056"/>
      <c r="V1394" s="1056"/>
      <c r="W1394" s="1056"/>
      <c r="X1394" s="1056"/>
      <c r="Y1394" s="1056"/>
      <c r="Z1394" s="1056"/>
      <c r="AA1394" s="1056"/>
      <c r="AB1394" s="1056"/>
      <c r="AC1394" s="1056"/>
      <c r="AD1394" s="1056"/>
      <c r="AE1394" s="1056"/>
      <c r="AF1394" s="264"/>
    </row>
    <row r="1395" spans="1:32" s="268" customFormat="1" ht="15" x14ac:dyDescent="0.25">
      <c r="A1395" s="264"/>
      <c r="B1395" s="264"/>
      <c r="C1395" s="1056"/>
      <c r="D1395" s="1056"/>
      <c r="E1395" s="1056"/>
      <c r="F1395" s="1056"/>
      <c r="G1395" s="1056"/>
      <c r="H1395" s="1056"/>
      <c r="I1395" s="1056"/>
      <c r="J1395" s="1056"/>
      <c r="K1395" s="1056"/>
      <c r="L1395" s="1056"/>
      <c r="M1395" s="274"/>
      <c r="P1395" s="264"/>
      <c r="Q1395" s="264"/>
      <c r="R1395" s="264"/>
      <c r="S1395" s="264"/>
      <c r="T1395" s="1056"/>
      <c r="U1395" s="1056"/>
      <c r="V1395" s="1056"/>
      <c r="W1395" s="1056"/>
      <c r="X1395" s="1056"/>
      <c r="Y1395" s="1056"/>
      <c r="Z1395" s="1056"/>
      <c r="AA1395" s="1056"/>
      <c r="AB1395" s="1056"/>
      <c r="AC1395" s="1056"/>
      <c r="AD1395" s="1056"/>
      <c r="AE1395" s="1056"/>
      <c r="AF1395" s="264"/>
    </row>
    <row r="1396" spans="1:32" s="268" customFormat="1" ht="15" x14ac:dyDescent="0.25">
      <c r="A1396" s="264"/>
      <c r="B1396" s="264"/>
      <c r="C1396" s="1056"/>
      <c r="D1396" s="1056"/>
      <c r="E1396" s="1056"/>
      <c r="F1396" s="1056"/>
      <c r="G1396" s="1056"/>
      <c r="H1396" s="1056"/>
      <c r="I1396" s="1056"/>
      <c r="J1396" s="1056"/>
      <c r="K1396" s="1056"/>
      <c r="L1396" s="1056"/>
      <c r="M1396" s="274"/>
      <c r="P1396" s="264"/>
      <c r="Q1396" s="264"/>
      <c r="R1396" s="264"/>
      <c r="S1396" s="264"/>
      <c r="T1396" s="1056"/>
      <c r="U1396" s="1056"/>
      <c r="V1396" s="1056"/>
      <c r="W1396" s="1056"/>
      <c r="X1396" s="1056"/>
      <c r="Y1396" s="1056"/>
      <c r="Z1396" s="1056"/>
      <c r="AA1396" s="1056"/>
      <c r="AB1396" s="1056"/>
      <c r="AC1396" s="1056"/>
      <c r="AD1396" s="1056"/>
      <c r="AE1396" s="1056"/>
      <c r="AF1396" s="264"/>
    </row>
    <row r="1397" spans="1:32" s="268" customFormat="1" ht="15" x14ac:dyDescent="0.25">
      <c r="A1397" s="264"/>
      <c r="B1397" s="264"/>
      <c r="C1397" s="1056"/>
      <c r="D1397" s="1056"/>
      <c r="E1397" s="1056"/>
      <c r="F1397" s="1056"/>
      <c r="G1397" s="1056"/>
      <c r="H1397" s="1056"/>
      <c r="I1397" s="1056"/>
      <c r="J1397" s="1056"/>
      <c r="K1397" s="1056"/>
      <c r="L1397" s="1056"/>
      <c r="M1397" s="274"/>
      <c r="P1397" s="264"/>
      <c r="Q1397" s="264"/>
      <c r="R1397" s="264"/>
      <c r="S1397" s="264"/>
      <c r="T1397" s="1056"/>
      <c r="U1397" s="1056"/>
      <c r="V1397" s="1056"/>
      <c r="W1397" s="1056"/>
      <c r="X1397" s="1056"/>
      <c r="Y1397" s="1056"/>
      <c r="Z1397" s="1056"/>
      <c r="AA1397" s="1056"/>
      <c r="AB1397" s="1056"/>
      <c r="AC1397" s="1056"/>
      <c r="AD1397" s="1056"/>
      <c r="AE1397" s="1056"/>
      <c r="AF1397" s="264"/>
    </row>
    <row r="1398" spans="1:32" s="268" customFormat="1" ht="15" x14ac:dyDescent="0.25">
      <c r="A1398" s="264"/>
      <c r="B1398" s="264"/>
      <c r="C1398" s="1056"/>
      <c r="D1398" s="1056"/>
      <c r="E1398" s="1056"/>
      <c r="F1398" s="1056"/>
      <c r="G1398" s="1056"/>
      <c r="H1398" s="1056"/>
      <c r="I1398" s="1056"/>
      <c r="J1398" s="1056"/>
      <c r="K1398" s="1056"/>
      <c r="L1398" s="1056"/>
      <c r="M1398" s="274"/>
      <c r="P1398" s="264"/>
      <c r="Q1398" s="264"/>
      <c r="R1398" s="264"/>
      <c r="S1398" s="264"/>
      <c r="T1398" s="1056"/>
      <c r="U1398" s="1056"/>
      <c r="V1398" s="1056"/>
      <c r="W1398" s="1056"/>
      <c r="X1398" s="1056"/>
      <c r="Y1398" s="1056"/>
      <c r="Z1398" s="1056"/>
      <c r="AA1398" s="1056"/>
      <c r="AB1398" s="1056"/>
      <c r="AC1398" s="1056"/>
      <c r="AD1398" s="1056"/>
      <c r="AE1398" s="1056"/>
      <c r="AF1398" s="264"/>
    </row>
    <row r="1399" spans="1:32" s="268" customFormat="1" ht="15" x14ac:dyDescent="0.25">
      <c r="A1399" s="264"/>
      <c r="B1399" s="264"/>
      <c r="C1399" s="1056"/>
      <c r="D1399" s="1056"/>
      <c r="E1399" s="1056"/>
      <c r="F1399" s="1056"/>
      <c r="G1399" s="1056"/>
      <c r="H1399" s="1056"/>
      <c r="I1399" s="1056"/>
      <c r="J1399" s="1056"/>
      <c r="K1399" s="1056"/>
      <c r="L1399" s="1056"/>
      <c r="M1399" s="274"/>
      <c r="P1399" s="264"/>
      <c r="Q1399" s="264"/>
      <c r="R1399" s="264"/>
      <c r="S1399" s="264"/>
      <c r="T1399" s="1056"/>
      <c r="U1399" s="1056"/>
      <c r="V1399" s="1056"/>
      <c r="W1399" s="1056"/>
      <c r="X1399" s="1056"/>
      <c r="Y1399" s="1056"/>
      <c r="Z1399" s="1056"/>
      <c r="AA1399" s="1056"/>
      <c r="AB1399" s="1056"/>
      <c r="AC1399" s="1056"/>
      <c r="AD1399" s="1056"/>
      <c r="AE1399" s="1056"/>
      <c r="AF1399" s="264"/>
    </row>
    <row r="1400" spans="1:32" s="268" customFormat="1" ht="15" x14ac:dyDescent="0.25">
      <c r="A1400" s="264"/>
      <c r="B1400" s="264"/>
      <c r="C1400" s="1056"/>
      <c r="D1400" s="1056"/>
      <c r="E1400" s="1056"/>
      <c r="F1400" s="1056"/>
      <c r="G1400" s="1056"/>
      <c r="H1400" s="1056"/>
      <c r="I1400" s="1056"/>
      <c r="J1400" s="1056"/>
      <c r="K1400" s="1056"/>
      <c r="L1400" s="1056"/>
      <c r="M1400" s="274"/>
      <c r="P1400" s="264"/>
      <c r="Q1400" s="264"/>
      <c r="R1400" s="264"/>
      <c r="S1400" s="264"/>
      <c r="T1400" s="1056"/>
      <c r="U1400" s="1056"/>
      <c r="V1400" s="1056"/>
      <c r="W1400" s="1056"/>
      <c r="X1400" s="1056"/>
      <c r="Y1400" s="1056"/>
      <c r="Z1400" s="1056"/>
      <c r="AA1400" s="1056"/>
      <c r="AB1400" s="1056"/>
      <c r="AC1400" s="1056"/>
      <c r="AD1400" s="1056"/>
      <c r="AE1400" s="1056"/>
      <c r="AF1400" s="264"/>
    </row>
    <row r="1401" spans="1:32" s="268" customFormat="1" ht="15" x14ac:dyDescent="0.25">
      <c r="A1401" s="264"/>
      <c r="B1401" s="264"/>
      <c r="C1401" s="1056"/>
      <c r="D1401" s="1056"/>
      <c r="E1401" s="1056"/>
      <c r="F1401" s="1056"/>
      <c r="G1401" s="1056"/>
      <c r="H1401" s="1056"/>
      <c r="I1401" s="1056"/>
      <c r="J1401" s="1056"/>
      <c r="K1401" s="1056"/>
      <c r="L1401" s="1056"/>
      <c r="M1401" s="274"/>
      <c r="P1401" s="264"/>
      <c r="Q1401" s="264"/>
      <c r="R1401" s="264"/>
      <c r="S1401" s="264"/>
      <c r="T1401" s="1056"/>
      <c r="U1401" s="1056"/>
      <c r="V1401" s="1056"/>
      <c r="W1401" s="1056"/>
      <c r="X1401" s="1056"/>
      <c r="Y1401" s="1056"/>
      <c r="Z1401" s="1056"/>
      <c r="AA1401" s="1056"/>
      <c r="AB1401" s="1056"/>
      <c r="AC1401" s="1056"/>
      <c r="AD1401" s="1056"/>
      <c r="AE1401" s="1056"/>
      <c r="AF1401" s="264"/>
    </row>
    <row r="1402" spans="1:32" s="268" customFormat="1" ht="15" x14ac:dyDescent="0.25">
      <c r="A1402" s="264"/>
      <c r="B1402" s="264"/>
      <c r="C1402" s="1056"/>
      <c r="D1402" s="1056"/>
      <c r="E1402" s="1056"/>
      <c r="F1402" s="1056"/>
      <c r="G1402" s="1056"/>
      <c r="H1402" s="1056"/>
      <c r="I1402" s="1056"/>
      <c r="J1402" s="1056"/>
      <c r="K1402" s="1056"/>
      <c r="L1402" s="1056"/>
      <c r="M1402" s="274"/>
      <c r="P1402" s="264"/>
      <c r="Q1402" s="264"/>
      <c r="R1402" s="264"/>
      <c r="S1402" s="264"/>
      <c r="T1402" s="1056"/>
      <c r="U1402" s="1056"/>
      <c r="V1402" s="1056"/>
      <c r="W1402" s="1056"/>
      <c r="X1402" s="1056"/>
      <c r="Y1402" s="1056"/>
      <c r="Z1402" s="1056"/>
      <c r="AA1402" s="1056"/>
      <c r="AB1402" s="1056"/>
      <c r="AC1402" s="1056"/>
      <c r="AD1402" s="1056"/>
      <c r="AE1402" s="1056"/>
      <c r="AF1402" s="264"/>
    </row>
    <row r="1403" spans="1:32" s="268" customFormat="1" ht="15" x14ac:dyDescent="0.25">
      <c r="A1403" s="264"/>
      <c r="B1403" s="264"/>
      <c r="C1403" s="1056"/>
      <c r="D1403" s="1056"/>
      <c r="E1403" s="1056"/>
      <c r="F1403" s="1056"/>
      <c r="G1403" s="1056"/>
      <c r="H1403" s="1056"/>
      <c r="I1403" s="1056"/>
      <c r="J1403" s="1056"/>
      <c r="K1403" s="1056"/>
      <c r="L1403" s="1056"/>
      <c r="M1403" s="274"/>
      <c r="P1403" s="264"/>
      <c r="Q1403" s="264"/>
      <c r="R1403" s="264"/>
      <c r="S1403" s="264"/>
      <c r="T1403" s="1056"/>
      <c r="U1403" s="1056"/>
      <c r="V1403" s="1056"/>
      <c r="W1403" s="1056"/>
      <c r="X1403" s="1056"/>
      <c r="Y1403" s="1056"/>
      <c r="Z1403" s="1056"/>
      <c r="AA1403" s="1056"/>
      <c r="AB1403" s="1056"/>
      <c r="AC1403" s="1056"/>
      <c r="AD1403" s="1056"/>
      <c r="AE1403" s="1056"/>
      <c r="AF1403" s="264"/>
    </row>
    <row r="1404" spans="1:32" s="268" customFormat="1" ht="15" x14ac:dyDescent="0.25">
      <c r="A1404" s="264"/>
      <c r="B1404" s="264"/>
      <c r="C1404" s="1056"/>
      <c r="D1404" s="1056"/>
      <c r="E1404" s="1056"/>
      <c r="F1404" s="1056"/>
      <c r="G1404" s="1056"/>
      <c r="H1404" s="1056"/>
      <c r="I1404" s="1056"/>
      <c r="J1404" s="1056"/>
      <c r="K1404" s="1056"/>
      <c r="L1404" s="1056"/>
      <c r="M1404" s="274"/>
      <c r="P1404" s="264"/>
      <c r="Q1404" s="264"/>
      <c r="R1404" s="264"/>
      <c r="S1404" s="264"/>
      <c r="T1404" s="1056"/>
      <c r="U1404" s="1056"/>
      <c r="V1404" s="1056"/>
      <c r="W1404" s="1056"/>
      <c r="X1404" s="1056"/>
      <c r="Y1404" s="1056"/>
      <c r="Z1404" s="1056"/>
      <c r="AA1404" s="1056"/>
      <c r="AB1404" s="1056"/>
      <c r="AC1404" s="1056"/>
      <c r="AD1404" s="1056"/>
      <c r="AE1404" s="1056"/>
      <c r="AF1404" s="264"/>
    </row>
    <row r="1405" spans="1:32" s="268" customFormat="1" ht="15" x14ac:dyDescent="0.25">
      <c r="A1405" s="264"/>
      <c r="B1405" s="264"/>
      <c r="C1405" s="1056"/>
      <c r="D1405" s="1056"/>
      <c r="E1405" s="1056"/>
      <c r="F1405" s="1056"/>
      <c r="G1405" s="1056"/>
      <c r="H1405" s="1056"/>
      <c r="I1405" s="1056"/>
      <c r="J1405" s="1056"/>
      <c r="K1405" s="1056"/>
      <c r="L1405" s="1056"/>
      <c r="M1405" s="274"/>
      <c r="P1405" s="264"/>
      <c r="Q1405" s="264"/>
      <c r="R1405" s="264"/>
      <c r="S1405" s="264"/>
      <c r="T1405" s="1056"/>
      <c r="U1405" s="1056"/>
      <c r="V1405" s="1056"/>
      <c r="W1405" s="1056"/>
      <c r="X1405" s="1056"/>
      <c r="Y1405" s="1056"/>
      <c r="Z1405" s="1056"/>
      <c r="AA1405" s="1056"/>
      <c r="AB1405" s="1056"/>
      <c r="AC1405" s="1056"/>
      <c r="AD1405" s="1056"/>
      <c r="AE1405" s="1056"/>
      <c r="AF1405" s="264"/>
    </row>
    <row r="1406" spans="1:32" s="268" customFormat="1" ht="15" x14ac:dyDescent="0.25">
      <c r="A1406" s="264"/>
      <c r="B1406" s="264"/>
      <c r="C1406" s="1056"/>
      <c r="D1406" s="1056"/>
      <c r="E1406" s="1056"/>
      <c r="F1406" s="1056"/>
      <c r="G1406" s="1056"/>
      <c r="H1406" s="1056"/>
      <c r="I1406" s="1056"/>
      <c r="J1406" s="1056"/>
      <c r="K1406" s="1056"/>
      <c r="L1406" s="1056"/>
      <c r="M1406" s="274"/>
      <c r="P1406" s="264"/>
      <c r="Q1406" s="264"/>
      <c r="R1406" s="264"/>
      <c r="S1406" s="264"/>
      <c r="T1406" s="1056"/>
      <c r="U1406" s="1056"/>
      <c r="V1406" s="1056"/>
      <c r="W1406" s="1056"/>
      <c r="X1406" s="1056"/>
      <c r="Y1406" s="1056"/>
      <c r="Z1406" s="1056"/>
      <c r="AA1406" s="1056"/>
      <c r="AB1406" s="1056"/>
      <c r="AC1406" s="1056"/>
      <c r="AD1406" s="1056"/>
      <c r="AE1406" s="1056"/>
      <c r="AF1406" s="264"/>
    </row>
    <row r="1407" spans="1:32" s="268" customFormat="1" ht="15" x14ac:dyDescent="0.25">
      <c r="A1407" s="264"/>
      <c r="B1407" s="264"/>
      <c r="C1407" s="1056"/>
      <c r="D1407" s="1056"/>
      <c r="E1407" s="1056"/>
      <c r="F1407" s="1056"/>
      <c r="G1407" s="1056"/>
      <c r="H1407" s="1056"/>
      <c r="I1407" s="1056"/>
      <c r="J1407" s="1056"/>
      <c r="K1407" s="1056"/>
      <c r="L1407" s="1056"/>
      <c r="M1407" s="274"/>
      <c r="P1407" s="264"/>
      <c r="Q1407" s="264"/>
      <c r="R1407" s="264"/>
      <c r="S1407" s="264"/>
      <c r="T1407" s="1056"/>
      <c r="U1407" s="1056"/>
      <c r="V1407" s="1056"/>
      <c r="W1407" s="1056"/>
      <c r="X1407" s="1056"/>
      <c r="Y1407" s="1056"/>
      <c r="Z1407" s="1056"/>
      <c r="AA1407" s="1056"/>
      <c r="AB1407" s="1056"/>
      <c r="AC1407" s="1056"/>
      <c r="AD1407" s="1056"/>
      <c r="AE1407" s="1056"/>
      <c r="AF1407" s="264"/>
    </row>
    <row r="1408" spans="1:32" s="268" customFormat="1" ht="15" x14ac:dyDescent="0.25">
      <c r="A1408" s="264"/>
      <c r="B1408" s="264"/>
      <c r="C1408" s="1056"/>
      <c r="D1408" s="1056"/>
      <c r="E1408" s="1056"/>
      <c r="F1408" s="1056"/>
      <c r="G1408" s="1056"/>
      <c r="H1408" s="1056"/>
      <c r="I1408" s="1056"/>
      <c r="J1408" s="1056"/>
      <c r="K1408" s="1056"/>
      <c r="L1408" s="1056"/>
      <c r="M1408" s="274"/>
      <c r="P1408" s="264"/>
      <c r="Q1408" s="264"/>
      <c r="R1408" s="264"/>
      <c r="S1408" s="264"/>
      <c r="T1408" s="1056"/>
      <c r="U1408" s="1056"/>
      <c r="V1408" s="1056"/>
      <c r="W1408" s="1056"/>
      <c r="X1408" s="1056"/>
      <c r="Y1408" s="1056"/>
      <c r="Z1408" s="1056"/>
      <c r="AA1408" s="1056"/>
      <c r="AB1408" s="1056"/>
      <c r="AC1408" s="1056"/>
      <c r="AD1408" s="1056"/>
      <c r="AE1408" s="1056"/>
      <c r="AF1408" s="264"/>
    </row>
    <row r="1409" spans="1:32" s="268" customFormat="1" ht="15" x14ac:dyDescent="0.25">
      <c r="A1409" s="264"/>
      <c r="B1409" s="264"/>
      <c r="C1409" s="1056"/>
      <c r="D1409" s="1056"/>
      <c r="E1409" s="1056"/>
      <c r="F1409" s="1056"/>
      <c r="G1409" s="1056"/>
      <c r="H1409" s="1056"/>
      <c r="I1409" s="1056"/>
      <c r="J1409" s="1056"/>
      <c r="K1409" s="1056"/>
      <c r="L1409" s="1056"/>
      <c r="M1409" s="274"/>
      <c r="P1409" s="264"/>
      <c r="Q1409" s="264"/>
      <c r="R1409" s="264"/>
      <c r="S1409" s="264"/>
      <c r="T1409" s="1056"/>
      <c r="U1409" s="1056"/>
      <c r="V1409" s="1056"/>
      <c r="W1409" s="1056"/>
      <c r="X1409" s="1056"/>
      <c r="Y1409" s="1056"/>
      <c r="Z1409" s="1056"/>
      <c r="AA1409" s="1056"/>
      <c r="AB1409" s="1056"/>
      <c r="AC1409" s="1056"/>
      <c r="AD1409" s="1056"/>
      <c r="AE1409" s="1056"/>
      <c r="AF1409" s="264"/>
    </row>
    <row r="1410" spans="1:32" s="268" customFormat="1" ht="15" x14ac:dyDescent="0.25">
      <c r="A1410" s="264"/>
      <c r="B1410" s="264"/>
      <c r="C1410" s="1056"/>
      <c r="D1410" s="1056"/>
      <c r="E1410" s="1056"/>
      <c r="F1410" s="1056"/>
      <c r="G1410" s="1056"/>
      <c r="H1410" s="1056"/>
      <c r="I1410" s="1056"/>
      <c r="J1410" s="1056"/>
      <c r="K1410" s="1056"/>
      <c r="L1410" s="1056"/>
      <c r="M1410" s="274"/>
      <c r="P1410" s="264"/>
      <c r="Q1410" s="264"/>
      <c r="R1410" s="264"/>
      <c r="S1410" s="264"/>
      <c r="T1410" s="1056"/>
      <c r="U1410" s="1056"/>
      <c r="V1410" s="1056"/>
      <c r="W1410" s="1056"/>
      <c r="X1410" s="1056"/>
      <c r="Y1410" s="1056"/>
      <c r="Z1410" s="1056"/>
      <c r="AA1410" s="1056"/>
      <c r="AB1410" s="1056"/>
      <c r="AC1410" s="1056"/>
      <c r="AD1410" s="1056"/>
      <c r="AE1410" s="1056"/>
      <c r="AF1410" s="264"/>
    </row>
    <row r="1411" spans="1:32" s="268" customFormat="1" ht="15" x14ac:dyDescent="0.25">
      <c r="A1411" s="264"/>
      <c r="B1411" s="264"/>
      <c r="C1411" s="1056"/>
      <c r="D1411" s="1056"/>
      <c r="E1411" s="1056"/>
      <c r="F1411" s="1056"/>
      <c r="G1411" s="1056"/>
      <c r="H1411" s="1056"/>
      <c r="I1411" s="1056"/>
      <c r="J1411" s="1056"/>
      <c r="K1411" s="1056"/>
      <c r="L1411" s="1056"/>
      <c r="M1411" s="274"/>
      <c r="P1411" s="264"/>
      <c r="Q1411" s="264"/>
      <c r="R1411" s="264"/>
      <c r="S1411" s="264"/>
      <c r="T1411" s="1056"/>
      <c r="U1411" s="1056"/>
      <c r="V1411" s="1056"/>
      <c r="W1411" s="1056"/>
      <c r="X1411" s="1056"/>
      <c r="Y1411" s="1056"/>
      <c r="Z1411" s="1056"/>
      <c r="AA1411" s="1056"/>
      <c r="AB1411" s="1056"/>
      <c r="AC1411" s="1056"/>
      <c r="AD1411" s="1056"/>
      <c r="AE1411" s="1056"/>
      <c r="AF1411" s="264"/>
    </row>
    <row r="1412" spans="1:32" s="268" customFormat="1" ht="15" x14ac:dyDescent="0.25">
      <c r="A1412" s="264"/>
      <c r="B1412" s="264"/>
      <c r="C1412" s="1056"/>
      <c r="D1412" s="1056"/>
      <c r="E1412" s="1056"/>
      <c r="F1412" s="1056"/>
      <c r="G1412" s="1056"/>
      <c r="H1412" s="1056"/>
      <c r="I1412" s="1056"/>
      <c r="J1412" s="1056"/>
      <c r="K1412" s="1056"/>
      <c r="L1412" s="1056"/>
      <c r="M1412" s="274"/>
      <c r="P1412" s="264"/>
      <c r="Q1412" s="264"/>
      <c r="R1412" s="264"/>
      <c r="S1412" s="264"/>
      <c r="T1412" s="1056"/>
      <c r="U1412" s="1056"/>
      <c r="V1412" s="1056"/>
      <c r="W1412" s="1056"/>
      <c r="X1412" s="1056"/>
      <c r="Y1412" s="1056"/>
      <c r="Z1412" s="1056"/>
      <c r="AA1412" s="1056"/>
      <c r="AB1412" s="1056"/>
      <c r="AC1412" s="1056"/>
      <c r="AD1412" s="1056"/>
      <c r="AE1412" s="1056"/>
      <c r="AF1412" s="264"/>
    </row>
    <row r="1413" spans="1:32" s="268" customFormat="1" ht="15" x14ac:dyDescent="0.25">
      <c r="A1413" s="264"/>
      <c r="B1413" s="264"/>
      <c r="C1413" s="1056"/>
      <c r="D1413" s="1056"/>
      <c r="E1413" s="1056"/>
      <c r="F1413" s="1056"/>
      <c r="G1413" s="1056"/>
      <c r="H1413" s="1056"/>
      <c r="I1413" s="1056"/>
      <c r="J1413" s="1056"/>
      <c r="K1413" s="1056"/>
      <c r="L1413" s="1056"/>
      <c r="M1413" s="274"/>
      <c r="P1413" s="264"/>
      <c r="Q1413" s="264"/>
      <c r="R1413" s="264"/>
      <c r="S1413" s="264"/>
      <c r="T1413" s="1056"/>
      <c r="U1413" s="1056"/>
      <c r="V1413" s="1056"/>
      <c r="W1413" s="1056"/>
      <c r="X1413" s="1056"/>
      <c r="Y1413" s="1056"/>
      <c r="Z1413" s="1056"/>
      <c r="AA1413" s="1056"/>
      <c r="AB1413" s="1056"/>
      <c r="AC1413" s="1056"/>
      <c r="AD1413" s="1056"/>
      <c r="AE1413" s="1056"/>
      <c r="AF1413" s="264"/>
    </row>
    <row r="1414" spans="1:32" s="268" customFormat="1" ht="15" x14ac:dyDescent="0.25">
      <c r="A1414" s="264"/>
      <c r="B1414" s="264"/>
      <c r="C1414" s="1056"/>
      <c r="D1414" s="1056"/>
      <c r="E1414" s="1056"/>
      <c r="F1414" s="1056"/>
      <c r="G1414" s="1056"/>
      <c r="H1414" s="1056"/>
      <c r="I1414" s="1056"/>
      <c r="J1414" s="1056"/>
      <c r="K1414" s="1056"/>
      <c r="L1414" s="1056"/>
      <c r="M1414" s="274"/>
      <c r="P1414" s="264"/>
      <c r="Q1414" s="264"/>
      <c r="R1414" s="264"/>
      <c r="S1414" s="264"/>
      <c r="T1414" s="1056"/>
      <c r="U1414" s="1056"/>
      <c r="V1414" s="1056"/>
      <c r="W1414" s="1056"/>
      <c r="X1414" s="1056"/>
      <c r="Y1414" s="1056"/>
      <c r="Z1414" s="1056"/>
      <c r="AA1414" s="1056"/>
      <c r="AB1414" s="1056"/>
      <c r="AC1414" s="1056"/>
      <c r="AD1414" s="1056"/>
      <c r="AE1414" s="1056"/>
      <c r="AF1414" s="264"/>
    </row>
    <row r="1415" spans="1:32" s="268" customFormat="1" ht="15" x14ac:dyDescent="0.25">
      <c r="A1415" s="264"/>
      <c r="B1415" s="264"/>
      <c r="C1415" s="1056"/>
      <c r="D1415" s="1056"/>
      <c r="E1415" s="1056"/>
      <c r="F1415" s="1056"/>
      <c r="G1415" s="1056"/>
      <c r="H1415" s="1056"/>
      <c r="I1415" s="1056"/>
      <c r="J1415" s="1056"/>
      <c r="K1415" s="1056"/>
      <c r="L1415" s="1056"/>
      <c r="M1415" s="274"/>
      <c r="P1415" s="264"/>
      <c r="Q1415" s="264"/>
      <c r="R1415" s="264"/>
      <c r="S1415" s="264"/>
      <c r="T1415" s="1056"/>
      <c r="U1415" s="1056"/>
      <c r="V1415" s="1056"/>
      <c r="W1415" s="1056"/>
      <c r="X1415" s="1056"/>
      <c r="Y1415" s="1056"/>
      <c r="Z1415" s="1056"/>
      <c r="AA1415" s="1056"/>
      <c r="AB1415" s="1056"/>
      <c r="AC1415" s="1056"/>
      <c r="AD1415" s="1056"/>
      <c r="AE1415" s="1056"/>
      <c r="AF1415" s="264"/>
    </row>
    <row r="1416" spans="1:32" s="268" customFormat="1" ht="15" x14ac:dyDescent="0.25">
      <c r="A1416" s="264"/>
      <c r="B1416" s="264"/>
      <c r="C1416" s="1056"/>
      <c r="D1416" s="1056"/>
      <c r="E1416" s="1056"/>
      <c r="F1416" s="1056"/>
      <c r="G1416" s="1056"/>
      <c r="H1416" s="1056"/>
      <c r="I1416" s="1056"/>
      <c r="J1416" s="1056"/>
      <c r="K1416" s="1056"/>
      <c r="L1416" s="1056"/>
      <c r="M1416" s="274"/>
      <c r="P1416" s="264"/>
      <c r="Q1416" s="264"/>
      <c r="R1416" s="264"/>
      <c r="S1416" s="264"/>
      <c r="T1416" s="1056"/>
      <c r="U1416" s="1056"/>
      <c r="V1416" s="1056"/>
      <c r="W1416" s="1056"/>
      <c r="X1416" s="1056"/>
      <c r="Y1416" s="1056"/>
      <c r="Z1416" s="1056"/>
      <c r="AA1416" s="1056"/>
      <c r="AB1416" s="1056"/>
      <c r="AC1416" s="1056"/>
      <c r="AD1416" s="1056"/>
      <c r="AE1416" s="1056"/>
      <c r="AF1416" s="264"/>
    </row>
    <row r="1417" spans="1:32" s="268" customFormat="1" ht="15" x14ac:dyDescent="0.25">
      <c r="A1417" s="264"/>
      <c r="B1417" s="264"/>
      <c r="C1417" s="1056"/>
      <c r="D1417" s="1056"/>
      <c r="E1417" s="1056"/>
      <c r="F1417" s="1056"/>
      <c r="G1417" s="1056"/>
      <c r="H1417" s="1056"/>
      <c r="I1417" s="1056"/>
      <c r="J1417" s="1056"/>
      <c r="K1417" s="1056"/>
      <c r="L1417" s="1056"/>
      <c r="M1417" s="274"/>
      <c r="P1417" s="264"/>
      <c r="Q1417" s="264"/>
      <c r="R1417" s="264"/>
      <c r="S1417" s="264"/>
      <c r="T1417" s="1056"/>
      <c r="U1417" s="1056"/>
      <c r="V1417" s="1056"/>
      <c r="W1417" s="1056"/>
      <c r="X1417" s="1056"/>
      <c r="Y1417" s="1056"/>
      <c r="Z1417" s="1056"/>
      <c r="AA1417" s="1056"/>
      <c r="AB1417" s="1056"/>
      <c r="AC1417" s="1056"/>
      <c r="AD1417" s="1056"/>
      <c r="AE1417" s="1056"/>
      <c r="AF1417" s="264"/>
    </row>
    <row r="1418" spans="1:32" s="268" customFormat="1" ht="15" x14ac:dyDescent="0.25">
      <c r="A1418" s="264"/>
      <c r="B1418" s="264"/>
      <c r="C1418" s="1056"/>
      <c r="D1418" s="1056"/>
      <c r="E1418" s="1056"/>
      <c r="F1418" s="1056"/>
      <c r="G1418" s="1056"/>
      <c r="H1418" s="1056"/>
      <c r="I1418" s="1056"/>
      <c r="J1418" s="1056"/>
      <c r="K1418" s="1056"/>
      <c r="L1418" s="1056"/>
      <c r="M1418" s="274"/>
      <c r="P1418" s="264"/>
      <c r="Q1418" s="264"/>
      <c r="R1418" s="264"/>
      <c r="S1418" s="264"/>
      <c r="T1418" s="1056"/>
      <c r="U1418" s="1056"/>
      <c r="V1418" s="1056"/>
      <c r="W1418" s="1056"/>
      <c r="X1418" s="1056"/>
      <c r="Y1418" s="1056"/>
      <c r="Z1418" s="1056"/>
      <c r="AA1418" s="1056"/>
      <c r="AB1418" s="1056"/>
      <c r="AC1418" s="1056"/>
      <c r="AD1418" s="1056"/>
      <c r="AE1418" s="1056"/>
      <c r="AF1418" s="264"/>
    </row>
    <row r="1419" spans="1:32" s="268" customFormat="1" ht="15" x14ac:dyDescent="0.25">
      <c r="A1419" s="264"/>
      <c r="B1419" s="264"/>
      <c r="C1419" s="1056"/>
      <c r="D1419" s="1056"/>
      <c r="E1419" s="1056"/>
      <c r="F1419" s="1056"/>
      <c r="G1419" s="1056"/>
      <c r="H1419" s="1056"/>
      <c r="I1419" s="1056"/>
      <c r="J1419" s="1056"/>
      <c r="K1419" s="1056"/>
      <c r="L1419" s="1056"/>
      <c r="M1419" s="274"/>
      <c r="P1419" s="264"/>
      <c r="Q1419" s="264"/>
      <c r="R1419" s="264"/>
      <c r="S1419" s="264"/>
      <c r="T1419" s="1056"/>
      <c r="U1419" s="1056"/>
      <c r="V1419" s="1056"/>
      <c r="W1419" s="1056"/>
      <c r="X1419" s="1056"/>
      <c r="Y1419" s="1056"/>
      <c r="Z1419" s="1056"/>
      <c r="AA1419" s="1056"/>
      <c r="AB1419" s="1056"/>
      <c r="AC1419" s="1056"/>
      <c r="AD1419" s="1056"/>
      <c r="AE1419" s="1056"/>
      <c r="AF1419" s="264"/>
    </row>
    <row r="1420" spans="1:32" s="268" customFormat="1" ht="15" x14ac:dyDescent="0.25">
      <c r="A1420" s="264"/>
      <c r="B1420" s="264"/>
      <c r="C1420" s="1056"/>
      <c r="D1420" s="1056"/>
      <c r="E1420" s="1056"/>
      <c r="F1420" s="1056"/>
      <c r="G1420" s="1056"/>
      <c r="H1420" s="1056"/>
      <c r="I1420" s="1056"/>
      <c r="J1420" s="1056"/>
      <c r="K1420" s="1056"/>
      <c r="L1420" s="1056"/>
      <c r="M1420" s="274"/>
      <c r="P1420" s="264"/>
      <c r="Q1420" s="264"/>
      <c r="R1420" s="264"/>
      <c r="S1420" s="264"/>
      <c r="T1420" s="1056"/>
      <c r="U1420" s="1056"/>
      <c r="V1420" s="1056"/>
      <c r="W1420" s="1056"/>
      <c r="X1420" s="1056"/>
      <c r="Y1420" s="1056"/>
      <c r="Z1420" s="1056"/>
      <c r="AA1420" s="1056"/>
      <c r="AB1420" s="1056"/>
      <c r="AC1420" s="1056"/>
      <c r="AD1420" s="1056"/>
      <c r="AE1420" s="1056"/>
      <c r="AF1420" s="264"/>
    </row>
    <row r="1421" spans="1:32" s="268" customFormat="1" ht="15" x14ac:dyDescent="0.25">
      <c r="A1421" s="264"/>
      <c r="B1421" s="264"/>
      <c r="C1421" s="1056"/>
      <c r="D1421" s="1056"/>
      <c r="E1421" s="1056"/>
      <c r="F1421" s="1056"/>
      <c r="G1421" s="1056"/>
      <c r="H1421" s="1056"/>
      <c r="I1421" s="1056"/>
      <c r="J1421" s="1056"/>
      <c r="K1421" s="1056"/>
      <c r="L1421" s="1056"/>
      <c r="M1421" s="274"/>
      <c r="P1421" s="264"/>
      <c r="Q1421" s="264"/>
      <c r="R1421" s="264"/>
      <c r="S1421" s="264"/>
      <c r="T1421" s="1056"/>
      <c r="U1421" s="1056"/>
      <c r="V1421" s="1056"/>
      <c r="W1421" s="1056"/>
      <c r="X1421" s="1056"/>
      <c r="Y1421" s="1056"/>
      <c r="Z1421" s="1056"/>
      <c r="AA1421" s="1056"/>
      <c r="AB1421" s="1056"/>
      <c r="AC1421" s="1056"/>
      <c r="AD1421" s="1056"/>
      <c r="AE1421" s="1056"/>
      <c r="AF1421" s="264"/>
    </row>
    <row r="1422" spans="1:32" s="268" customFormat="1" ht="15" x14ac:dyDescent="0.25">
      <c r="A1422" s="264"/>
      <c r="B1422" s="264"/>
      <c r="C1422" s="1056"/>
      <c r="D1422" s="1056"/>
      <c r="E1422" s="1056"/>
      <c r="F1422" s="1056"/>
      <c r="G1422" s="1056"/>
      <c r="H1422" s="1056"/>
      <c r="I1422" s="1056"/>
      <c r="J1422" s="1056"/>
      <c r="K1422" s="1056"/>
      <c r="L1422" s="1056"/>
      <c r="M1422" s="274"/>
      <c r="P1422" s="264"/>
      <c r="Q1422" s="264"/>
      <c r="R1422" s="264"/>
      <c r="S1422" s="264"/>
      <c r="T1422" s="1056"/>
      <c r="U1422" s="1056"/>
      <c r="V1422" s="1056"/>
      <c r="W1422" s="1056"/>
      <c r="X1422" s="1056"/>
      <c r="Y1422" s="1056"/>
      <c r="Z1422" s="1056"/>
      <c r="AA1422" s="1056"/>
      <c r="AB1422" s="1056"/>
      <c r="AC1422" s="1056"/>
      <c r="AD1422" s="1056"/>
      <c r="AE1422" s="1056"/>
      <c r="AF1422" s="264"/>
    </row>
    <row r="1423" spans="1:32" s="268" customFormat="1" ht="15" x14ac:dyDescent="0.25">
      <c r="A1423" s="264"/>
      <c r="B1423" s="264"/>
      <c r="C1423" s="1056"/>
      <c r="D1423" s="1056"/>
      <c r="E1423" s="1056"/>
      <c r="F1423" s="1056"/>
      <c r="G1423" s="1056"/>
      <c r="H1423" s="1056"/>
      <c r="I1423" s="1056"/>
      <c r="J1423" s="1056"/>
      <c r="K1423" s="1056"/>
      <c r="L1423" s="1056"/>
      <c r="M1423" s="274"/>
      <c r="P1423" s="264"/>
      <c r="Q1423" s="264"/>
      <c r="R1423" s="264"/>
      <c r="S1423" s="264"/>
      <c r="T1423" s="1056"/>
      <c r="U1423" s="1056"/>
      <c r="V1423" s="1056"/>
      <c r="W1423" s="1056"/>
      <c r="X1423" s="1056"/>
      <c r="Y1423" s="1056"/>
      <c r="Z1423" s="1056"/>
      <c r="AA1423" s="1056"/>
      <c r="AB1423" s="1056"/>
      <c r="AC1423" s="1056"/>
      <c r="AD1423" s="1056"/>
      <c r="AE1423" s="1056"/>
      <c r="AF1423" s="264"/>
    </row>
    <row r="1424" spans="1:32" s="268" customFormat="1" ht="15" x14ac:dyDescent="0.25">
      <c r="A1424" s="264"/>
      <c r="B1424" s="264"/>
      <c r="C1424" s="1056"/>
      <c r="D1424" s="1056"/>
      <c r="E1424" s="1056"/>
      <c r="F1424" s="1056"/>
      <c r="G1424" s="1056"/>
      <c r="H1424" s="1056"/>
      <c r="I1424" s="1056"/>
      <c r="J1424" s="1056"/>
      <c r="K1424" s="1056"/>
      <c r="L1424" s="1056"/>
      <c r="M1424" s="274"/>
      <c r="P1424" s="264"/>
      <c r="Q1424" s="264"/>
      <c r="R1424" s="264"/>
      <c r="S1424" s="264"/>
      <c r="T1424" s="1056"/>
      <c r="U1424" s="1056"/>
      <c r="V1424" s="1056"/>
      <c r="W1424" s="1056"/>
      <c r="X1424" s="1056"/>
      <c r="Y1424" s="1056"/>
      <c r="Z1424" s="1056"/>
      <c r="AA1424" s="1056"/>
      <c r="AB1424" s="1056"/>
      <c r="AC1424" s="1056"/>
      <c r="AD1424" s="1056"/>
      <c r="AE1424" s="1056"/>
      <c r="AF1424" s="264"/>
    </row>
    <row r="1425" spans="1:32" s="268" customFormat="1" ht="15" x14ac:dyDescent="0.25">
      <c r="A1425" s="264"/>
      <c r="B1425" s="264"/>
      <c r="C1425" s="1056"/>
      <c r="D1425" s="1056"/>
      <c r="E1425" s="1056"/>
      <c r="F1425" s="1056"/>
      <c r="G1425" s="1056"/>
      <c r="H1425" s="1056"/>
      <c r="I1425" s="1056"/>
      <c r="J1425" s="1056"/>
      <c r="K1425" s="1056"/>
      <c r="L1425" s="1056"/>
      <c r="M1425" s="274"/>
      <c r="P1425" s="264"/>
      <c r="Q1425" s="264"/>
      <c r="R1425" s="264"/>
      <c r="S1425" s="264"/>
      <c r="T1425" s="1056"/>
      <c r="U1425" s="1056"/>
      <c r="V1425" s="1056"/>
      <c r="W1425" s="1056"/>
      <c r="X1425" s="1056"/>
      <c r="Y1425" s="1056"/>
      <c r="Z1425" s="1056"/>
      <c r="AA1425" s="1056"/>
      <c r="AB1425" s="1056"/>
      <c r="AC1425" s="1056"/>
      <c r="AD1425" s="1056"/>
      <c r="AE1425" s="1056"/>
      <c r="AF1425" s="264"/>
    </row>
    <row r="1426" spans="1:32" s="268" customFormat="1" ht="15" x14ac:dyDescent="0.25">
      <c r="A1426" s="264"/>
      <c r="B1426" s="264"/>
      <c r="C1426" s="1056"/>
      <c r="D1426" s="1056"/>
      <c r="E1426" s="1056"/>
      <c r="F1426" s="1056"/>
      <c r="G1426" s="1056"/>
      <c r="H1426" s="1056"/>
      <c r="I1426" s="1056"/>
      <c r="J1426" s="1056"/>
      <c r="K1426" s="1056"/>
      <c r="L1426" s="1056"/>
      <c r="M1426" s="274"/>
      <c r="P1426" s="264"/>
      <c r="Q1426" s="264"/>
      <c r="R1426" s="264"/>
      <c r="S1426" s="264"/>
      <c r="T1426" s="1056"/>
      <c r="U1426" s="1056"/>
      <c r="V1426" s="1056"/>
      <c r="W1426" s="1056"/>
      <c r="X1426" s="1056"/>
      <c r="Y1426" s="1056"/>
      <c r="Z1426" s="1056"/>
      <c r="AA1426" s="1056"/>
      <c r="AB1426" s="1056"/>
      <c r="AC1426" s="1056"/>
      <c r="AD1426" s="1056"/>
      <c r="AE1426" s="1056"/>
      <c r="AF1426" s="264"/>
    </row>
    <row r="1427" spans="1:32" s="268" customFormat="1" ht="15" x14ac:dyDescent="0.25">
      <c r="A1427" s="264"/>
      <c r="B1427" s="264"/>
      <c r="C1427" s="1056"/>
      <c r="D1427" s="1056"/>
      <c r="E1427" s="1056"/>
      <c r="F1427" s="1056"/>
      <c r="G1427" s="1056"/>
      <c r="H1427" s="1056"/>
      <c r="I1427" s="1056"/>
      <c r="J1427" s="1056"/>
      <c r="K1427" s="1056"/>
      <c r="L1427" s="1056"/>
      <c r="M1427" s="274"/>
      <c r="P1427" s="264"/>
      <c r="Q1427" s="264"/>
      <c r="R1427" s="264"/>
      <c r="S1427" s="264"/>
      <c r="T1427" s="1056"/>
      <c r="U1427" s="1056"/>
      <c r="V1427" s="1056"/>
      <c r="W1427" s="1056"/>
      <c r="X1427" s="1056"/>
      <c r="Y1427" s="1056"/>
      <c r="Z1427" s="1056"/>
      <c r="AA1427" s="1056"/>
      <c r="AB1427" s="1056"/>
      <c r="AC1427" s="1056"/>
      <c r="AD1427" s="1056"/>
      <c r="AE1427" s="1056"/>
      <c r="AF1427" s="264"/>
    </row>
    <row r="1428" spans="1:32" s="268" customFormat="1" ht="15" x14ac:dyDescent="0.25">
      <c r="A1428" s="264"/>
      <c r="B1428" s="264"/>
      <c r="C1428" s="1056"/>
      <c r="D1428" s="1056"/>
      <c r="E1428" s="1056"/>
      <c r="F1428" s="1056"/>
      <c r="G1428" s="1056"/>
      <c r="H1428" s="1056"/>
      <c r="I1428" s="1056"/>
      <c r="J1428" s="1056"/>
      <c r="K1428" s="1056"/>
      <c r="L1428" s="1056"/>
      <c r="M1428" s="274"/>
      <c r="P1428" s="264"/>
      <c r="Q1428" s="264"/>
      <c r="R1428" s="264"/>
      <c r="S1428" s="264"/>
      <c r="T1428" s="1056"/>
      <c r="U1428" s="1056"/>
      <c r="V1428" s="1056"/>
      <c r="W1428" s="1056"/>
      <c r="X1428" s="1056"/>
      <c r="Y1428" s="1056"/>
      <c r="Z1428" s="1056"/>
      <c r="AA1428" s="1056"/>
      <c r="AB1428" s="1056"/>
      <c r="AC1428" s="1056"/>
      <c r="AD1428" s="1056"/>
      <c r="AE1428" s="1056"/>
      <c r="AF1428" s="264"/>
    </row>
    <row r="1429" spans="1:32" s="268" customFormat="1" ht="15" x14ac:dyDescent="0.25">
      <c r="A1429" s="264"/>
      <c r="B1429" s="264"/>
      <c r="C1429" s="1056"/>
      <c r="D1429" s="1056"/>
      <c r="E1429" s="1056"/>
      <c r="F1429" s="1056"/>
      <c r="G1429" s="1056"/>
      <c r="H1429" s="1056"/>
      <c r="I1429" s="1056"/>
      <c r="J1429" s="1056"/>
      <c r="K1429" s="1056"/>
      <c r="L1429" s="1056"/>
      <c r="M1429" s="274"/>
      <c r="P1429" s="264"/>
      <c r="Q1429" s="264"/>
      <c r="R1429" s="264"/>
      <c r="S1429" s="264"/>
      <c r="T1429" s="1056"/>
      <c r="U1429" s="1056"/>
      <c r="V1429" s="1056"/>
      <c r="W1429" s="1056"/>
      <c r="X1429" s="1056"/>
      <c r="Y1429" s="1056"/>
      <c r="Z1429" s="1056"/>
      <c r="AA1429" s="1056"/>
      <c r="AB1429" s="1056"/>
      <c r="AC1429" s="1056"/>
      <c r="AD1429" s="1056"/>
      <c r="AE1429" s="1056"/>
      <c r="AF1429" s="264"/>
    </row>
    <row r="1430" spans="1:32" s="268" customFormat="1" ht="15" x14ac:dyDescent="0.25">
      <c r="A1430" s="264"/>
      <c r="B1430" s="264"/>
      <c r="C1430" s="1056"/>
      <c r="D1430" s="1056"/>
      <c r="E1430" s="1056"/>
      <c r="F1430" s="1056"/>
      <c r="G1430" s="1056"/>
      <c r="H1430" s="1056"/>
      <c r="I1430" s="1056"/>
      <c r="J1430" s="1056"/>
      <c r="K1430" s="1056"/>
      <c r="L1430" s="1056"/>
      <c r="M1430" s="274"/>
      <c r="P1430" s="264"/>
      <c r="Q1430" s="264"/>
      <c r="R1430" s="264"/>
      <c r="S1430" s="264"/>
      <c r="T1430" s="1056"/>
      <c r="U1430" s="1056"/>
      <c r="V1430" s="1056"/>
      <c r="W1430" s="1056"/>
      <c r="X1430" s="1056"/>
      <c r="Y1430" s="1056"/>
      <c r="Z1430" s="1056"/>
      <c r="AA1430" s="1056"/>
      <c r="AB1430" s="1056"/>
      <c r="AC1430" s="1056"/>
      <c r="AD1430" s="1056"/>
      <c r="AE1430" s="1056"/>
      <c r="AF1430" s="264"/>
    </row>
    <row r="1431" spans="1:32" s="268" customFormat="1" ht="15" x14ac:dyDescent="0.25">
      <c r="A1431" s="264"/>
      <c r="B1431" s="264"/>
      <c r="C1431" s="1056"/>
      <c r="D1431" s="1056"/>
      <c r="E1431" s="1056"/>
      <c r="F1431" s="1056"/>
      <c r="G1431" s="1056"/>
      <c r="H1431" s="1056"/>
      <c r="I1431" s="1056"/>
      <c r="J1431" s="1056"/>
      <c r="K1431" s="1056"/>
      <c r="L1431" s="1056"/>
      <c r="M1431" s="274"/>
      <c r="P1431" s="264"/>
      <c r="Q1431" s="264"/>
      <c r="R1431" s="264"/>
      <c r="S1431" s="264"/>
      <c r="T1431" s="1056"/>
      <c r="U1431" s="1056"/>
      <c r="V1431" s="1056"/>
      <c r="W1431" s="1056"/>
      <c r="X1431" s="1056"/>
      <c r="Y1431" s="1056"/>
      <c r="Z1431" s="1056"/>
      <c r="AA1431" s="1056"/>
      <c r="AB1431" s="1056"/>
      <c r="AC1431" s="1056"/>
      <c r="AD1431" s="1056"/>
      <c r="AE1431" s="1056"/>
      <c r="AF1431" s="264"/>
    </row>
    <row r="1432" spans="1:32" s="268" customFormat="1" ht="15" x14ac:dyDescent="0.25">
      <c r="A1432" s="264"/>
      <c r="B1432" s="264"/>
      <c r="C1432" s="1056"/>
      <c r="D1432" s="1056"/>
      <c r="E1432" s="1056"/>
      <c r="F1432" s="1056"/>
      <c r="G1432" s="1056"/>
      <c r="H1432" s="1056"/>
      <c r="I1432" s="1056"/>
      <c r="J1432" s="1056"/>
      <c r="K1432" s="1056"/>
      <c r="L1432" s="1056"/>
      <c r="M1432" s="274"/>
      <c r="P1432" s="264"/>
      <c r="Q1432" s="264"/>
      <c r="R1432" s="264"/>
      <c r="S1432" s="264"/>
      <c r="T1432" s="1056"/>
      <c r="U1432" s="1056"/>
      <c r="V1432" s="1056"/>
      <c r="W1432" s="1056"/>
      <c r="X1432" s="1056"/>
      <c r="Y1432" s="1056"/>
      <c r="Z1432" s="1056"/>
      <c r="AA1432" s="1056"/>
      <c r="AB1432" s="1056"/>
      <c r="AC1432" s="1056"/>
      <c r="AD1432" s="1056"/>
      <c r="AE1432" s="1056"/>
      <c r="AF1432" s="264"/>
    </row>
    <row r="1433" spans="1:32" s="268" customFormat="1" ht="15" x14ac:dyDescent="0.25">
      <c r="A1433" s="264"/>
      <c r="B1433" s="264"/>
      <c r="C1433" s="1056"/>
      <c r="D1433" s="1056"/>
      <c r="E1433" s="1056"/>
      <c r="F1433" s="1056"/>
      <c r="G1433" s="1056"/>
      <c r="H1433" s="1056"/>
      <c r="I1433" s="1056"/>
      <c r="J1433" s="1056"/>
      <c r="K1433" s="1056"/>
      <c r="L1433" s="1056"/>
      <c r="M1433" s="274"/>
      <c r="P1433" s="264"/>
      <c r="Q1433" s="264"/>
      <c r="R1433" s="264"/>
      <c r="S1433" s="264"/>
      <c r="T1433" s="1056"/>
      <c r="U1433" s="1056"/>
      <c r="V1433" s="1056"/>
      <c r="W1433" s="1056"/>
      <c r="X1433" s="1056"/>
      <c r="Y1433" s="1056"/>
      <c r="Z1433" s="1056"/>
      <c r="AA1433" s="1056"/>
      <c r="AB1433" s="1056"/>
      <c r="AC1433" s="1056"/>
      <c r="AD1433" s="1056"/>
      <c r="AE1433" s="1056"/>
      <c r="AF1433" s="264"/>
    </row>
    <row r="1434" spans="1:32" s="268" customFormat="1" ht="15" x14ac:dyDescent="0.25">
      <c r="A1434" s="264"/>
      <c r="B1434" s="264"/>
      <c r="C1434" s="1056"/>
      <c r="D1434" s="1056"/>
      <c r="E1434" s="1056"/>
      <c r="F1434" s="1056"/>
      <c r="G1434" s="1056"/>
      <c r="H1434" s="1056"/>
      <c r="I1434" s="1056"/>
      <c r="J1434" s="1056"/>
      <c r="K1434" s="1056"/>
      <c r="L1434" s="1056"/>
      <c r="M1434" s="274"/>
      <c r="P1434" s="264"/>
      <c r="Q1434" s="264"/>
      <c r="R1434" s="264"/>
      <c r="S1434" s="264"/>
      <c r="T1434" s="1056"/>
      <c r="U1434" s="1056"/>
      <c r="V1434" s="1056"/>
      <c r="W1434" s="1056"/>
      <c r="X1434" s="1056"/>
      <c r="Y1434" s="1056"/>
      <c r="Z1434" s="1056"/>
      <c r="AA1434" s="1056"/>
      <c r="AB1434" s="1056"/>
      <c r="AC1434" s="1056"/>
      <c r="AD1434" s="1056"/>
      <c r="AE1434" s="1056"/>
      <c r="AF1434" s="264"/>
    </row>
    <row r="1435" spans="1:32" s="268" customFormat="1" ht="15" x14ac:dyDescent="0.25">
      <c r="A1435" s="264"/>
      <c r="B1435" s="264"/>
      <c r="C1435" s="1056"/>
      <c r="D1435" s="1056"/>
      <c r="E1435" s="1056"/>
      <c r="F1435" s="1056"/>
      <c r="G1435" s="1056"/>
      <c r="H1435" s="1056"/>
      <c r="I1435" s="1056"/>
      <c r="J1435" s="1056"/>
      <c r="K1435" s="1056"/>
      <c r="L1435" s="1056"/>
      <c r="M1435" s="274"/>
      <c r="P1435" s="264"/>
      <c r="Q1435" s="264"/>
      <c r="R1435" s="264"/>
      <c r="S1435" s="264"/>
      <c r="T1435" s="1056"/>
      <c r="U1435" s="1056"/>
      <c r="V1435" s="1056"/>
      <c r="W1435" s="1056"/>
      <c r="X1435" s="1056"/>
      <c r="Y1435" s="1056"/>
      <c r="Z1435" s="1056"/>
      <c r="AA1435" s="1056"/>
      <c r="AB1435" s="1056"/>
      <c r="AC1435" s="1056"/>
      <c r="AD1435" s="1056"/>
      <c r="AE1435" s="1056"/>
      <c r="AF1435" s="264"/>
    </row>
    <row r="1436" spans="1:32" s="268" customFormat="1" ht="15" x14ac:dyDescent="0.25">
      <c r="A1436" s="264"/>
      <c r="B1436" s="264"/>
      <c r="C1436" s="1056"/>
      <c r="D1436" s="1056"/>
      <c r="E1436" s="1056"/>
      <c r="F1436" s="1056"/>
      <c r="G1436" s="1056"/>
      <c r="H1436" s="1056"/>
      <c r="I1436" s="1056"/>
      <c r="J1436" s="1056"/>
      <c r="K1436" s="1056"/>
      <c r="L1436" s="1056"/>
      <c r="M1436" s="274"/>
      <c r="P1436" s="264"/>
      <c r="Q1436" s="264"/>
      <c r="R1436" s="264"/>
      <c r="S1436" s="264"/>
      <c r="T1436" s="1056"/>
      <c r="U1436" s="1056"/>
      <c r="V1436" s="1056"/>
      <c r="W1436" s="1056"/>
      <c r="X1436" s="1056"/>
      <c r="Y1436" s="1056"/>
      <c r="Z1436" s="1056"/>
      <c r="AA1436" s="1056"/>
      <c r="AB1436" s="1056"/>
      <c r="AC1436" s="1056"/>
      <c r="AD1436" s="1056"/>
      <c r="AE1436" s="1056"/>
      <c r="AF1436" s="264"/>
    </row>
    <row r="1437" spans="1:32" s="268" customFormat="1" ht="15" x14ac:dyDescent="0.25">
      <c r="A1437" s="264"/>
      <c r="B1437" s="264"/>
      <c r="C1437" s="1056"/>
      <c r="D1437" s="1056"/>
      <c r="E1437" s="1056"/>
      <c r="F1437" s="1056"/>
      <c r="G1437" s="1056"/>
      <c r="H1437" s="1056"/>
      <c r="I1437" s="1056"/>
      <c r="J1437" s="1056"/>
      <c r="K1437" s="1056"/>
      <c r="L1437" s="1056"/>
      <c r="M1437" s="274"/>
      <c r="P1437" s="264"/>
      <c r="Q1437" s="264"/>
      <c r="R1437" s="264"/>
      <c r="S1437" s="264"/>
      <c r="T1437" s="1056"/>
      <c r="U1437" s="1056"/>
      <c r="V1437" s="1056"/>
      <c r="W1437" s="1056"/>
      <c r="X1437" s="1056"/>
      <c r="Y1437" s="1056"/>
      <c r="Z1437" s="1056"/>
      <c r="AA1437" s="1056"/>
      <c r="AB1437" s="1056"/>
      <c r="AC1437" s="1056"/>
      <c r="AD1437" s="1056"/>
      <c r="AE1437" s="1056"/>
      <c r="AF1437" s="264"/>
    </row>
    <row r="1438" spans="1:32" s="268" customFormat="1" ht="15" x14ac:dyDescent="0.25">
      <c r="A1438" s="264"/>
      <c r="B1438" s="264"/>
      <c r="C1438" s="1056"/>
      <c r="D1438" s="1056"/>
      <c r="E1438" s="1056"/>
      <c r="F1438" s="1056"/>
      <c r="G1438" s="1056"/>
      <c r="H1438" s="1056"/>
      <c r="I1438" s="1056"/>
      <c r="J1438" s="1056"/>
      <c r="K1438" s="1056"/>
      <c r="L1438" s="1056"/>
      <c r="M1438" s="274"/>
      <c r="P1438" s="264"/>
      <c r="Q1438" s="264"/>
      <c r="R1438" s="264"/>
      <c r="S1438" s="264"/>
      <c r="T1438" s="1056"/>
      <c r="U1438" s="1056"/>
      <c r="V1438" s="1056"/>
      <c r="W1438" s="1056"/>
      <c r="X1438" s="1056"/>
      <c r="Y1438" s="1056"/>
      <c r="Z1438" s="1056"/>
      <c r="AA1438" s="1056"/>
      <c r="AB1438" s="1056"/>
      <c r="AC1438" s="1056"/>
      <c r="AD1438" s="1056"/>
      <c r="AE1438" s="1056"/>
      <c r="AF1438" s="264"/>
    </row>
    <row r="1439" spans="1:32" s="268" customFormat="1" ht="15" x14ac:dyDescent="0.25">
      <c r="A1439" s="264"/>
      <c r="B1439" s="264"/>
      <c r="C1439" s="1056"/>
      <c r="D1439" s="1056"/>
      <c r="E1439" s="1056"/>
      <c r="F1439" s="1056"/>
      <c r="G1439" s="1056"/>
      <c r="H1439" s="1056"/>
      <c r="I1439" s="1056"/>
      <c r="J1439" s="1056"/>
      <c r="K1439" s="1056"/>
      <c r="L1439" s="1056"/>
      <c r="M1439" s="274"/>
      <c r="P1439" s="264"/>
      <c r="Q1439" s="264"/>
      <c r="R1439" s="264"/>
      <c r="S1439" s="264"/>
      <c r="T1439" s="1056"/>
      <c r="U1439" s="1056"/>
      <c r="V1439" s="1056"/>
      <c r="W1439" s="1056"/>
      <c r="X1439" s="1056"/>
      <c r="Y1439" s="1056"/>
      <c r="Z1439" s="1056"/>
      <c r="AA1439" s="1056"/>
      <c r="AB1439" s="1056"/>
      <c r="AC1439" s="1056"/>
      <c r="AD1439" s="1056"/>
      <c r="AE1439" s="1056"/>
      <c r="AF1439" s="264"/>
    </row>
    <row r="1440" spans="1:32" s="268" customFormat="1" ht="15" x14ac:dyDescent="0.25">
      <c r="A1440" s="264"/>
      <c r="B1440" s="264"/>
      <c r="C1440" s="1056"/>
      <c r="D1440" s="1056"/>
      <c r="E1440" s="1056"/>
      <c r="F1440" s="1056"/>
      <c r="G1440" s="1056"/>
      <c r="H1440" s="1056"/>
      <c r="I1440" s="1056"/>
      <c r="J1440" s="1056"/>
      <c r="K1440" s="1056"/>
      <c r="L1440" s="1056"/>
      <c r="M1440" s="274"/>
      <c r="P1440" s="264"/>
      <c r="Q1440" s="264"/>
      <c r="R1440" s="264"/>
      <c r="S1440" s="264"/>
      <c r="T1440" s="1056"/>
      <c r="U1440" s="1056"/>
      <c r="V1440" s="1056"/>
      <c r="W1440" s="1056"/>
      <c r="X1440" s="1056"/>
      <c r="Y1440" s="1056"/>
      <c r="Z1440" s="1056"/>
      <c r="AA1440" s="1056"/>
      <c r="AB1440" s="1056"/>
      <c r="AC1440" s="1056"/>
      <c r="AD1440" s="1056"/>
      <c r="AE1440" s="1056"/>
      <c r="AF1440" s="264"/>
    </row>
    <row r="1441" spans="1:32" s="268" customFormat="1" ht="15" x14ac:dyDescent="0.25">
      <c r="A1441" s="264"/>
      <c r="B1441" s="264"/>
      <c r="C1441" s="1056"/>
      <c r="D1441" s="1056"/>
      <c r="E1441" s="1056"/>
      <c r="F1441" s="1056"/>
      <c r="G1441" s="1056"/>
      <c r="H1441" s="1056"/>
      <c r="I1441" s="1056"/>
      <c r="J1441" s="1056"/>
      <c r="K1441" s="1056"/>
      <c r="L1441" s="1056"/>
      <c r="M1441" s="274"/>
      <c r="P1441" s="264"/>
      <c r="Q1441" s="264"/>
      <c r="R1441" s="264"/>
      <c r="S1441" s="264"/>
      <c r="T1441" s="1056"/>
      <c r="U1441" s="1056"/>
      <c r="V1441" s="1056"/>
      <c r="W1441" s="1056"/>
      <c r="X1441" s="1056"/>
      <c r="Y1441" s="1056"/>
      <c r="Z1441" s="1056"/>
      <c r="AA1441" s="1056"/>
      <c r="AB1441" s="1056"/>
      <c r="AC1441" s="1056"/>
      <c r="AD1441" s="1056"/>
      <c r="AE1441" s="1056"/>
      <c r="AF1441" s="264"/>
    </row>
    <row r="1442" spans="1:32" s="268" customFormat="1" ht="15" x14ac:dyDescent="0.25">
      <c r="A1442" s="264"/>
      <c r="B1442" s="264"/>
      <c r="C1442" s="1056"/>
      <c r="D1442" s="1056"/>
      <c r="E1442" s="1056"/>
      <c r="F1442" s="1056"/>
      <c r="G1442" s="1056"/>
      <c r="H1442" s="1056"/>
      <c r="I1442" s="1056"/>
      <c r="J1442" s="1056"/>
      <c r="K1442" s="1056"/>
      <c r="L1442" s="1056"/>
      <c r="M1442" s="274"/>
      <c r="P1442" s="264"/>
      <c r="Q1442" s="264"/>
      <c r="R1442" s="264"/>
      <c r="S1442" s="264"/>
      <c r="T1442" s="1056"/>
      <c r="U1442" s="1056"/>
      <c r="V1442" s="1056"/>
      <c r="W1442" s="1056"/>
      <c r="X1442" s="1056"/>
      <c r="Y1442" s="1056"/>
      <c r="Z1442" s="1056"/>
      <c r="AA1442" s="1056"/>
      <c r="AB1442" s="1056"/>
      <c r="AC1442" s="1056"/>
      <c r="AD1442" s="1056"/>
      <c r="AE1442" s="1056"/>
      <c r="AF1442" s="264"/>
    </row>
    <row r="1443" spans="1:32" s="268" customFormat="1" ht="15" x14ac:dyDescent="0.25">
      <c r="A1443" s="264"/>
      <c r="B1443" s="264"/>
      <c r="C1443" s="1056"/>
      <c r="D1443" s="1056"/>
      <c r="E1443" s="1056"/>
      <c r="F1443" s="1056"/>
      <c r="G1443" s="1056"/>
      <c r="H1443" s="1056"/>
      <c r="I1443" s="1056"/>
      <c r="J1443" s="1056"/>
      <c r="K1443" s="1056"/>
      <c r="L1443" s="1056"/>
      <c r="M1443" s="274"/>
      <c r="P1443" s="264"/>
      <c r="Q1443" s="264"/>
      <c r="R1443" s="264"/>
      <c r="S1443" s="264"/>
      <c r="T1443" s="1056"/>
      <c r="U1443" s="1056"/>
      <c r="V1443" s="1056"/>
      <c r="W1443" s="1056"/>
      <c r="X1443" s="1056"/>
      <c r="Y1443" s="1056"/>
      <c r="Z1443" s="1056"/>
      <c r="AA1443" s="1056"/>
      <c r="AB1443" s="1056"/>
      <c r="AC1443" s="1056"/>
      <c r="AD1443" s="1056"/>
      <c r="AE1443" s="1056"/>
      <c r="AF1443" s="264"/>
    </row>
    <row r="1444" spans="1:32" s="268" customFormat="1" ht="15" x14ac:dyDescent="0.25">
      <c r="A1444" s="264"/>
      <c r="B1444" s="264"/>
      <c r="C1444" s="1056"/>
      <c r="D1444" s="1056"/>
      <c r="E1444" s="1056"/>
      <c r="F1444" s="1056"/>
      <c r="G1444" s="1056"/>
      <c r="H1444" s="1056"/>
      <c r="I1444" s="1056"/>
      <c r="J1444" s="1056"/>
      <c r="K1444" s="1056"/>
      <c r="L1444" s="1056"/>
      <c r="M1444" s="274"/>
      <c r="P1444" s="264"/>
      <c r="Q1444" s="264"/>
      <c r="R1444" s="264"/>
      <c r="S1444" s="264"/>
      <c r="T1444" s="1056"/>
      <c r="U1444" s="1056"/>
      <c r="V1444" s="1056"/>
      <c r="W1444" s="1056"/>
      <c r="X1444" s="1056"/>
      <c r="Y1444" s="1056"/>
      <c r="Z1444" s="1056"/>
      <c r="AA1444" s="1056"/>
      <c r="AB1444" s="1056"/>
      <c r="AC1444" s="1056"/>
      <c r="AD1444" s="1056"/>
      <c r="AE1444" s="1056"/>
      <c r="AF1444" s="264"/>
    </row>
    <row r="1445" spans="1:32" s="268" customFormat="1" ht="15" x14ac:dyDescent="0.25">
      <c r="A1445" s="264"/>
      <c r="B1445" s="264"/>
      <c r="C1445" s="1056"/>
      <c r="D1445" s="1056"/>
      <c r="E1445" s="1056"/>
      <c r="F1445" s="1056"/>
      <c r="G1445" s="1056"/>
      <c r="H1445" s="1056"/>
      <c r="I1445" s="1056"/>
      <c r="J1445" s="1056"/>
      <c r="K1445" s="1056"/>
      <c r="L1445" s="1056"/>
      <c r="M1445" s="274"/>
      <c r="P1445" s="264"/>
      <c r="Q1445" s="264"/>
      <c r="R1445" s="264"/>
      <c r="S1445" s="264"/>
      <c r="T1445" s="1056"/>
      <c r="U1445" s="1056"/>
      <c r="V1445" s="1056"/>
      <c r="W1445" s="1056"/>
      <c r="X1445" s="1056"/>
      <c r="Y1445" s="1056"/>
      <c r="Z1445" s="1056"/>
      <c r="AA1445" s="1056"/>
      <c r="AB1445" s="1056"/>
      <c r="AC1445" s="1056"/>
      <c r="AD1445" s="1056"/>
      <c r="AE1445" s="1056"/>
      <c r="AF1445" s="264"/>
    </row>
    <row r="1446" spans="1:32" s="268" customFormat="1" ht="15" x14ac:dyDescent="0.25">
      <c r="A1446" s="264"/>
      <c r="B1446" s="264"/>
      <c r="C1446" s="1056"/>
      <c r="D1446" s="1056"/>
      <c r="E1446" s="1056"/>
      <c r="F1446" s="1056"/>
      <c r="G1446" s="1056"/>
      <c r="H1446" s="1056"/>
      <c r="I1446" s="1056"/>
      <c r="J1446" s="1056"/>
      <c r="K1446" s="1056"/>
      <c r="L1446" s="1056"/>
      <c r="M1446" s="274"/>
      <c r="P1446" s="264"/>
      <c r="Q1446" s="264"/>
      <c r="R1446" s="264"/>
      <c r="S1446" s="264"/>
      <c r="T1446" s="1056"/>
      <c r="U1446" s="1056"/>
      <c r="V1446" s="1056"/>
      <c r="W1446" s="1056"/>
      <c r="X1446" s="1056"/>
      <c r="Y1446" s="1056"/>
      <c r="Z1446" s="1056"/>
      <c r="AA1446" s="1056"/>
      <c r="AB1446" s="1056"/>
      <c r="AC1446" s="1056"/>
      <c r="AD1446" s="1056"/>
      <c r="AE1446" s="1056"/>
      <c r="AF1446" s="264"/>
    </row>
    <row r="1447" spans="1:32" s="268" customFormat="1" ht="15" x14ac:dyDescent="0.25">
      <c r="A1447" s="264"/>
      <c r="B1447" s="264"/>
      <c r="C1447" s="1056"/>
      <c r="D1447" s="1056"/>
      <c r="E1447" s="1056"/>
      <c r="F1447" s="1056"/>
      <c r="G1447" s="1056"/>
      <c r="H1447" s="1056"/>
      <c r="I1447" s="1056"/>
      <c r="J1447" s="1056"/>
      <c r="K1447" s="1056"/>
      <c r="L1447" s="1056"/>
      <c r="M1447" s="274"/>
      <c r="P1447" s="264"/>
      <c r="Q1447" s="264"/>
      <c r="R1447" s="264"/>
      <c r="S1447" s="264"/>
      <c r="T1447" s="1056"/>
      <c r="U1447" s="1056"/>
      <c r="V1447" s="1056"/>
      <c r="W1447" s="1056"/>
      <c r="X1447" s="1056"/>
      <c r="Y1447" s="1056"/>
      <c r="Z1447" s="1056"/>
      <c r="AA1447" s="1056"/>
      <c r="AB1447" s="1056"/>
      <c r="AC1447" s="1056"/>
      <c r="AD1447" s="1056"/>
      <c r="AE1447" s="1056"/>
      <c r="AF1447" s="264"/>
    </row>
    <row r="1448" spans="1:32" s="268" customFormat="1" ht="15" x14ac:dyDescent="0.25">
      <c r="A1448" s="264"/>
      <c r="B1448" s="264"/>
      <c r="C1448" s="1056"/>
      <c r="D1448" s="1056"/>
      <c r="E1448" s="1056"/>
      <c r="F1448" s="1056"/>
      <c r="G1448" s="1056"/>
      <c r="H1448" s="1056"/>
      <c r="I1448" s="1056"/>
      <c r="J1448" s="1056"/>
      <c r="K1448" s="1056"/>
      <c r="L1448" s="1056"/>
      <c r="M1448" s="274"/>
      <c r="P1448" s="264"/>
      <c r="Q1448" s="264"/>
      <c r="R1448" s="264"/>
      <c r="S1448" s="264"/>
      <c r="T1448" s="1056"/>
      <c r="U1448" s="1056"/>
      <c r="V1448" s="1056"/>
      <c r="W1448" s="1056"/>
      <c r="X1448" s="1056"/>
      <c r="Y1448" s="1056"/>
      <c r="Z1448" s="1056"/>
      <c r="AA1448" s="1056"/>
      <c r="AB1448" s="1056"/>
      <c r="AC1448" s="1056"/>
      <c r="AD1448" s="1056"/>
      <c r="AE1448" s="1056"/>
      <c r="AF1448" s="264"/>
    </row>
    <row r="1449" spans="1:32" s="268" customFormat="1" ht="15" x14ac:dyDescent="0.25">
      <c r="A1449" s="264"/>
      <c r="B1449" s="264"/>
      <c r="C1449" s="1056"/>
      <c r="D1449" s="1056"/>
      <c r="E1449" s="1056"/>
      <c r="F1449" s="1056"/>
      <c r="G1449" s="1056"/>
      <c r="H1449" s="1056"/>
      <c r="I1449" s="1056"/>
      <c r="J1449" s="1056"/>
      <c r="K1449" s="1056"/>
      <c r="L1449" s="1056"/>
      <c r="M1449" s="274"/>
      <c r="P1449" s="264"/>
      <c r="Q1449" s="264"/>
      <c r="R1449" s="264"/>
      <c r="S1449" s="264"/>
      <c r="T1449" s="1056"/>
      <c r="U1449" s="1056"/>
      <c r="V1449" s="1056"/>
      <c r="W1449" s="1056"/>
      <c r="X1449" s="1056"/>
      <c r="Y1449" s="1056"/>
      <c r="Z1449" s="1056"/>
      <c r="AA1449" s="1056"/>
      <c r="AB1449" s="1056"/>
      <c r="AC1449" s="1056"/>
      <c r="AD1449" s="1056"/>
      <c r="AE1449" s="1056"/>
      <c r="AF1449" s="264"/>
    </row>
    <row r="1450" spans="1:32" s="268" customFormat="1" ht="15" x14ac:dyDescent="0.25">
      <c r="A1450" s="264"/>
      <c r="B1450" s="264"/>
      <c r="C1450" s="1056"/>
      <c r="D1450" s="1056"/>
      <c r="E1450" s="1056"/>
      <c r="F1450" s="1056"/>
      <c r="G1450" s="1056"/>
      <c r="H1450" s="1056"/>
      <c r="I1450" s="1056"/>
      <c r="J1450" s="1056"/>
      <c r="K1450" s="1056"/>
      <c r="L1450" s="1056"/>
      <c r="M1450" s="274"/>
      <c r="P1450" s="264"/>
      <c r="Q1450" s="264"/>
      <c r="R1450" s="264"/>
      <c r="S1450" s="264"/>
      <c r="T1450" s="1056"/>
      <c r="U1450" s="1056"/>
      <c r="V1450" s="1056"/>
      <c r="W1450" s="1056"/>
      <c r="X1450" s="1056"/>
      <c r="Y1450" s="1056"/>
      <c r="Z1450" s="1056"/>
      <c r="AA1450" s="1056"/>
      <c r="AB1450" s="1056"/>
      <c r="AC1450" s="1056"/>
      <c r="AD1450" s="1056"/>
      <c r="AE1450" s="1056"/>
      <c r="AF1450" s="264"/>
    </row>
    <row r="1451" spans="1:32" s="268" customFormat="1" ht="15" x14ac:dyDescent="0.25">
      <c r="A1451" s="264"/>
      <c r="B1451" s="264"/>
      <c r="C1451" s="1056"/>
      <c r="D1451" s="1056"/>
      <c r="E1451" s="1056"/>
      <c r="F1451" s="1056"/>
      <c r="G1451" s="1056"/>
      <c r="H1451" s="1056"/>
      <c r="I1451" s="1056"/>
      <c r="J1451" s="1056"/>
      <c r="K1451" s="1056"/>
      <c r="L1451" s="1056"/>
      <c r="M1451" s="274"/>
      <c r="P1451" s="264"/>
      <c r="Q1451" s="264"/>
      <c r="R1451" s="264"/>
      <c r="S1451" s="264"/>
      <c r="T1451" s="1056"/>
      <c r="U1451" s="1056"/>
      <c r="V1451" s="1056"/>
      <c r="W1451" s="1056"/>
      <c r="X1451" s="1056"/>
      <c r="Y1451" s="1056"/>
      <c r="Z1451" s="1056"/>
      <c r="AA1451" s="1056"/>
      <c r="AB1451" s="1056"/>
      <c r="AC1451" s="1056"/>
      <c r="AD1451" s="1056"/>
      <c r="AE1451" s="1056"/>
      <c r="AF1451" s="264"/>
    </row>
    <row r="1452" spans="1:32" s="268" customFormat="1" ht="15" x14ac:dyDescent="0.25">
      <c r="A1452" s="264"/>
      <c r="B1452" s="264"/>
      <c r="C1452" s="1056"/>
      <c r="D1452" s="1056"/>
      <c r="E1452" s="1056"/>
      <c r="F1452" s="1056"/>
      <c r="G1452" s="1056"/>
      <c r="H1452" s="1056"/>
      <c r="I1452" s="1056"/>
      <c r="J1452" s="1056"/>
      <c r="K1452" s="1056"/>
      <c r="L1452" s="1056"/>
      <c r="M1452" s="274"/>
      <c r="P1452" s="264"/>
      <c r="Q1452" s="264"/>
      <c r="R1452" s="264"/>
      <c r="S1452" s="264"/>
      <c r="T1452" s="1056"/>
      <c r="U1452" s="1056"/>
      <c r="V1452" s="1056"/>
      <c r="W1452" s="1056"/>
      <c r="X1452" s="1056"/>
      <c r="Y1452" s="1056"/>
      <c r="Z1452" s="1056"/>
      <c r="AA1452" s="1056"/>
      <c r="AB1452" s="1056"/>
      <c r="AC1452" s="1056"/>
      <c r="AD1452" s="1056"/>
      <c r="AE1452" s="1056"/>
      <c r="AF1452" s="264"/>
    </row>
    <row r="1453" spans="1:32" s="268" customFormat="1" ht="15" x14ac:dyDescent="0.25">
      <c r="A1453" s="264"/>
      <c r="B1453" s="264"/>
      <c r="C1453" s="1056"/>
      <c r="D1453" s="1056"/>
      <c r="E1453" s="1056"/>
      <c r="F1453" s="1056"/>
      <c r="G1453" s="1056"/>
      <c r="H1453" s="1056"/>
      <c r="I1453" s="1056"/>
      <c r="J1453" s="1056"/>
      <c r="K1453" s="1056"/>
      <c r="L1453" s="1056"/>
      <c r="M1453" s="274"/>
      <c r="P1453" s="264"/>
      <c r="Q1453" s="264"/>
      <c r="R1453" s="264"/>
      <c r="S1453" s="264"/>
      <c r="T1453" s="1056"/>
      <c r="U1453" s="1056"/>
      <c r="V1453" s="1056"/>
      <c r="W1453" s="1056"/>
      <c r="X1453" s="1056"/>
      <c r="Y1453" s="1056"/>
      <c r="Z1453" s="1056"/>
      <c r="AA1453" s="1056"/>
      <c r="AB1453" s="1056"/>
      <c r="AC1453" s="1056"/>
      <c r="AD1453" s="1056"/>
      <c r="AE1453" s="1056"/>
      <c r="AF1453" s="264"/>
    </row>
    <row r="1454" spans="1:32" s="268" customFormat="1" ht="15" x14ac:dyDescent="0.25">
      <c r="A1454" s="264"/>
      <c r="B1454" s="264"/>
      <c r="C1454" s="1056"/>
      <c r="D1454" s="1056"/>
      <c r="E1454" s="1056"/>
      <c r="F1454" s="1056"/>
      <c r="G1454" s="1056"/>
      <c r="H1454" s="1056"/>
      <c r="I1454" s="1056"/>
      <c r="J1454" s="1056"/>
      <c r="K1454" s="1056"/>
      <c r="L1454" s="1056"/>
      <c r="M1454" s="274"/>
      <c r="P1454" s="264"/>
      <c r="Q1454" s="264"/>
      <c r="R1454" s="264"/>
      <c r="S1454" s="264"/>
      <c r="T1454" s="1056"/>
      <c r="U1454" s="1056"/>
      <c r="V1454" s="1056"/>
      <c r="W1454" s="1056"/>
      <c r="X1454" s="1056"/>
      <c r="Y1454" s="1056"/>
      <c r="Z1454" s="1056"/>
      <c r="AA1454" s="1056"/>
      <c r="AB1454" s="1056"/>
      <c r="AC1454" s="1056"/>
      <c r="AD1454" s="1056"/>
      <c r="AE1454" s="1056"/>
      <c r="AF1454" s="264"/>
    </row>
    <row r="1455" spans="1:32" s="268" customFormat="1" ht="15" x14ac:dyDescent="0.25">
      <c r="A1455" s="264"/>
      <c r="B1455" s="264"/>
      <c r="C1455" s="1056"/>
      <c r="D1455" s="1056"/>
      <c r="E1455" s="1056"/>
      <c r="F1455" s="1056"/>
      <c r="G1455" s="1056"/>
      <c r="H1455" s="1056"/>
      <c r="I1455" s="1056"/>
      <c r="J1455" s="1056"/>
      <c r="K1455" s="1056"/>
      <c r="L1455" s="1056"/>
      <c r="M1455" s="274"/>
      <c r="P1455" s="264"/>
      <c r="Q1455" s="264"/>
      <c r="R1455" s="264"/>
      <c r="S1455" s="264"/>
      <c r="T1455" s="1056"/>
      <c r="U1455" s="1056"/>
      <c r="V1455" s="1056"/>
      <c r="W1455" s="1056"/>
      <c r="X1455" s="1056"/>
      <c r="Y1455" s="1056"/>
      <c r="Z1455" s="1056"/>
      <c r="AA1455" s="1056"/>
      <c r="AB1455" s="1056"/>
      <c r="AC1455" s="1056"/>
      <c r="AD1455" s="1056"/>
      <c r="AE1455" s="1056"/>
      <c r="AF1455" s="264"/>
    </row>
    <row r="1456" spans="1:32" s="268" customFormat="1" ht="15" x14ac:dyDescent="0.25">
      <c r="A1456" s="264"/>
      <c r="B1456" s="264"/>
      <c r="C1456" s="1056"/>
      <c r="D1456" s="1056"/>
      <c r="E1456" s="1056"/>
      <c r="F1456" s="1056"/>
      <c r="G1456" s="1056"/>
      <c r="H1456" s="1056"/>
      <c r="I1456" s="1056"/>
      <c r="J1456" s="1056"/>
      <c r="K1456" s="1056"/>
      <c r="L1456" s="1056"/>
      <c r="M1456" s="274"/>
      <c r="P1456" s="264"/>
      <c r="Q1456" s="264"/>
      <c r="R1456" s="264"/>
      <c r="S1456" s="264"/>
      <c r="T1456" s="1056"/>
      <c r="U1456" s="1056"/>
      <c r="V1456" s="1056"/>
      <c r="W1456" s="1056"/>
      <c r="X1456" s="1056"/>
      <c r="Y1456" s="1056"/>
      <c r="Z1456" s="1056"/>
      <c r="AA1456" s="1056"/>
      <c r="AB1456" s="1056"/>
      <c r="AC1456" s="1056"/>
      <c r="AD1456" s="1056"/>
      <c r="AE1456" s="1056"/>
      <c r="AF1456" s="264"/>
    </row>
    <row r="1457" spans="1:32" s="268" customFormat="1" ht="15" x14ac:dyDescent="0.25">
      <c r="A1457" s="264"/>
      <c r="B1457" s="264"/>
      <c r="C1457" s="1056"/>
      <c r="D1457" s="1056"/>
      <c r="E1457" s="1056"/>
      <c r="F1457" s="1056"/>
      <c r="G1457" s="1056"/>
      <c r="H1457" s="1056"/>
      <c r="I1457" s="1056"/>
      <c r="J1457" s="1056"/>
      <c r="K1457" s="1056"/>
      <c r="L1457" s="1056"/>
      <c r="M1457" s="274"/>
      <c r="P1457" s="264"/>
      <c r="Q1457" s="264"/>
      <c r="R1457" s="264"/>
      <c r="S1457" s="264"/>
      <c r="T1457" s="1056"/>
      <c r="U1457" s="1056"/>
      <c r="V1457" s="1056"/>
      <c r="W1457" s="1056"/>
      <c r="X1457" s="1056"/>
      <c r="Y1457" s="1056"/>
      <c r="Z1457" s="1056"/>
      <c r="AA1457" s="1056"/>
      <c r="AB1457" s="1056"/>
      <c r="AC1457" s="1056"/>
      <c r="AD1457" s="1056"/>
      <c r="AE1457" s="1056"/>
      <c r="AF1457" s="264"/>
    </row>
    <row r="1458" spans="1:32" s="268" customFormat="1" ht="15" x14ac:dyDescent="0.25">
      <c r="A1458" s="264"/>
      <c r="B1458" s="264"/>
      <c r="C1458" s="1056"/>
      <c r="D1458" s="1056"/>
      <c r="E1458" s="1056"/>
      <c r="F1458" s="1056"/>
      <c r="G1458" s="1056"/>
      <c r="H1458" s="1056"/>
      <c r="I1458" s="1056"/>
      <c r="J1458" s="1056"/>
      <c r="K1458" s="1056"/>
      <c r="L1458" s="1056"/>
      <c r="M1458" s="274"/>
      <c r="P1458" s="264"/>
      <c r="Q1458" s="264"/>
      <c r="R1458" s="264"/>
      <c r="S1458" s="264"/>
      <c r="T1458" s="1056"/>
      <c r="U1458" s="1056"/>
      <c r="V1458" s="1056"/>
      <c r="W1458" s="1056"/>
      <c r="X1458" s="1056"/>
      <c r="Y1458" s="1056"/>
      <c r="Z1458" s="1056"/>
      <c r="AA1458" s="1056"/>
      <c r="AB1458" s="1056"/>
      <c r="AC1458" s="1056"/>
      <c r="AD1458" s="1056"/>
      <c r="AE1458" s="1056"/>
      <c r="AF1458" s="264"/>
    </row>
    <row r="1459" spans="1:32" s="268" customFormat="1" ht="15" x14ac:dyDescent="0.25">
      <c r="A1459" s="264"/>
      <c r="B1459" s="264"/>
      <c r="C1459" s="1056"/>
      <c r="D1459" s="1056"/>
      <c r="E1459" s="1056"/>
      <c r="F1459" s="1056"/>
      <c r="G1459" s="1056"/>
      <c r="H1459" s="1056"/>
      <c r="I1459" s="1056"/>
      <c r="J1459" s="1056"/>
      <c r="K1459" s="1056"/>
      <c r="L1459" s="1056"/>
      <c r="M1459" s="274"/>
      <c r="P1459" s="264"/>
      <c r="Q1459" s="264"/>
      <c r="R1459" s="264"/>
      <c r="S1459" s="264"/>
      <c r="T1459" s="1056"/>
      <c r="U1459" s="1056"/>
      <c r="V1459" s="1056"/>
      <c r="W1459" s="1056"/>
      <c r="X1459" s="1056"/>
      <c r="Y1459" s="1056"/>
      <c r="Z1459" s="1056"/>
      <c r="AA1459" s="1056"/>
      <c r="AB1459" s="1056"/>
      <c r="AC1459" s="1056"/>
      <c r="AD1459" s="1056"/>
      <c r="AE1459" s="1056"/>
      <c r="AF1459" s="264"/>
    </row>
    <row r="1460" spans="1:32" s="268" customFormat="1" ht="15" x14ac:dyDescent="0.25">
      <c r="A1460" s="264"/>
      <c r="B1460" s="264"/>
      <c r="C1460" s="1056"/>
      <c r="D1460" s="1056"/>
      <c r="E1460" s="1056"/>
      <c r="F1460" s="1056"/>
      <c r="G1460" s="1056"/>
      <c r="H1460" s="1056"/>
      <c r="I1460" s="1056"/>
      <c r="J1460" s="1056"/>
      <c r="K1460" s="1056"/>
      <c r="L1460" s="1056"/>
      <c r="M1460" s="274"/>
      <c r="P1460" s="264"/>
      <c r="Q1460" s="264"/>
      <c r="R1460" s="264"/>
      <c r="S1460" s="264"/>
      <c r="T1460" s="1056"/>
      <c r="U1460" s="1056"/>
      <c r="V1460" s="1056"/>
      <c r="W1460" s="1056"/>
      <c r="X1460" s="1056"/>
      <c r="Y1460" s="1056"/>
      <c r="Z1460" s="1056"/>
      <c r="AA1460" s="1056"/>
      <c r="AB1460" s="1056"/>
      <c r="AC1460" s="1056"/>
      <c r="AD1460" s="1056"/>
      <c r="AE1460" s="1056"/>
      <c r="AF1460" s="264"/>
    </row>
    <row r="1461" spans="1:32" s="268" customFormat="1" ht="15" x14ac:dyDescent="0.25">
      <c r="A1461" s="264"/>
      <c r="B1461" s="264"/>
      <c r="C1461" s="1056"/>
      <c r="D1461" s="1056"/>
      <c r="E1461" s="1056"/>
      <c r="F1461" s="1056"/>
      <c r="G1461" s="1056"/>
      <c r="H1461" s="1056"/>
      <c r="I1461" s="1056"/>
      <c r="J1461" s="1056"/>
      <c r="K1461" s="1056"/>
      <c r="L1461" s="1056"/>
      <c r="M1461" s="274"/>
      <c r="P1461" s="264"/>
      <c r="Q1461" s="264"/>
      <c r="R1461" s="264"/>
      <c r="S1461" s="264"/>
      <c r="T1461" s="1056"/>
      <c r="U1461" s="1056"/>
      <c r="V1461" s="1056"/>
      <c r="W1461" s="1056"/>
      <c r="X1461" s="1056"/>
      <c r="Y1461" s="1056"/>
      <c r="Z1461" s="1056"/>
      <c r="AA1461" s="1056"/>
      <c r="AB1461" s="1056"/>
      <c r="AC1461" s="1056"/>
      <c r="AD1461" s="1056"/>
      <c r="AE1461" s="1056"/>
      <c r="AF1461" s="264"/>
    </row>
    <row r="1462" spans="1:32" s="268" customFormat="1" ht="15" x14ac:dyDescent="0.25">
      <c r="A1462" s="264"/>
      <c r="B1462" s="264"/>
      <c r="C1462" s="1056"/>
      <c r="D1462" s="1056"/>
      <c r="E1462" s="1056"/>
      <c r="F1462" s="1056"/>
      <c r="G1462" s="1056"/>
      <c r="H1462" s="1056"/>
      <c r="I1462" s="1056"/>
      <c r="J1462" s="1056"/>
      <c r="K1462" s="1056"/>
      <c r="L1462" s="1056"/>
      <c r="M1462" s="274"/>
      <c r="P1462" s="264"/>
      <c r="Q1462" s="264"/>
      <c r="R1462" s="264"/>
      <c r="S1462" s="264"/>
      <c r="T1462" s="1056"/>
      <c r="U1462" s="1056"/>
      <c r="V1462" s="1056"/>
      <c r="W1462" s="1056"/>
      <c r="X1462" s="1056"/>
      <c r="Y1462" s="1056"/>
      <c r="Z1462" s="1056"/>
      <c r="AA1462" s="1056"/>
      <c r="AB1462" s="1056"/>
      <c r="AC1462" s="1056"/>
      <c r="AD1462" s="1056"/>
      <c r="AE1462" s="1056"/>
      <c r="AF1462" s="264"/>
    </row>
    <row r="1463" spans="1:32" s="268" customFormat="1" ht="15" x14ac:dyDescent="0.25">
      <c r="A1463" s="264"/>
      <c r="B1463" s="264"/>
      <c r="C1463" s="1056"/>
      <c r="D1463" s="1056"/>
      <c r="E1463" s="1056"/>
      <c r="F1463" s="1056"/>
      <c r="G1463" s="1056"/>
      <c r="H1463" s="1056"/>
      <c r="I1463" s="1056"/>
      <c r="J1463" s="1056"/>
      <c r="K1463" s="1056"/>
      <c r="L1463" s="1056"/>
      <c r="M1463" s="274"/>
      <c r="P1463" s="264"/>
      <c r="Q1463" s="264"/>
      <c r="R1463" s="264"/>
      <c r="S1463" s="264"/>
      <c r="T1463" s="1056"/>
      <c r="U1463" s="1056"/>
      <c r="V1463" s="1056"/>
      <c r="W1463" s="1056"/>
      <c r="X1463" s="1056"/>
      <c r="Y1463" s="1056"/>
      <c r="Z1463" s="1056"/>
      <c r="AA1463" s="1056"/>
      <c r="AB1463" s="1056"/>
      <c r="AC1463" s="1056"/>
      <c r="AD1463" s="1056"/>
      <c r="AE1463" s="1056"/>
      <c r="AF1463" s="264"/>
    </row>
    <row r="1464" spans="1:32" s="268" customFormat="1" ht="15" x14ac:dyDescent="0.25">
      <c r="A1464" s="264"/>
      <c r="B1464" s="264"/>
      <c r="C1464" s="1056"/>
      <c r="D1464" s="1056"/>
      <c r="E1464" s="1056"/>
      <c r="F1464" s="1056"/>
      <c r="G1464" s="1056"/>
      <c r="H1464" s="1056"/>
      <c r="I1464" s="1056"/>
      <c r="J1464" s="1056"/>
      <c r="K1464" s="1056"/>
      <c r="L1464" s="1056"/>
      <c r="M1464" s="274"/>
      <c r="P1464" s="264"/>
      <c r="Q1464" s="264"/>
      <c r="R1464" s="264"/>
      <c r="S1464" s="264"/>
      <c r="T1464" s="1056"/>
      <c r="U1464" s="1056"/>
      <c r="V1464" s="1056"/>
      <c r="W1464" s="1056"/>
      <c r="X1464" s="1056"/>
      <c r="Y1464" s="1056"/>
      <c r="Z1464" s="1056"/>
      <c r="AA1464" s="1056"/>
      <c r="AB1464" s="1056"/>
      <c r="AC1464" s="1056"/>
      <c r="AD1464" s="1056"/>
      <c r="AE1464" s="1056"/>
      <c r="AF1464" s="264"/>
    </row>
    <row r="1465" spans="1:32" s="268" customFormat="1" ht="15" x14ac:dyDescent="0.25">
      <c r="A1465" s="264"/>
      <c r="B1465" s="264"/>
      <c r="C1465" s="1056"/>
      <c r="D1465" s="1056"/>
      <c r="E1465" s="1056"/>
      <c r="F1465" s="1056"/>
      <c r="G1465" s="1056"/>
      <c r="H1465" s="1056"/>
      <c r="I1465" s="1056"/>
      <c r="J1465" s="1056"/>
      <c r="K1465" s="1056"/>
      <c r="L1465" s="1056"/>
      <c r="M1465" s="274"/>
      <c r="P1465" s="264"/>
      <c r="Q1465" s="264"/>
      <c r="R1465" s="264"/>
      <c r="S1465" s="264"/>
      <c r="T1465" s="1056"/>
      <c r="U1465" s="1056"/>
      <c r="V1465" s="1056"/>
      <c r="W1465" s="1056"/>
      <c r="X1465" s="1056"/>
      <c r="Y1465" s="1056"/>
      <c r="Z1465" s="1056"/>
      <c r="AA1465" s="1056"/>
      <c r="AB1465" s="1056"/>
      <c r="AC1465" s="1056"/>
      <c r="AD1465" s="1056"/>
      <c r="AE1465" s="1056"/>
      <c r="AF1465" s="264"/>
    </row>
    <row r="1466" spans="1:32" s="268" customFormat="1" ht="15" x14ac:dyDescent="0.25">
      <c r="A1466" s="264"/>
      <c r="B1466" s="264"/>
      <c r="C1466" s="1056"/>
      <c r="D1466" s="1056"/>
      <c r="E1466" s="1056"/>
      <c r="F1466" s="1056"/>
      <c r="G1466" s="1056"/>
      <c r="H1466" s="1056"/>
      <c r="I1466" s="1056"/>
      <c r="J1466" s="1056"/>
      <c r="K1466" s="1056"/>
      <c r="L1466" s="1056"/>
      <c r="M1466" s="274"/>
      <c r="P1466" s="264"/>
      <c r="Q1466" s="264"/>
      <c r="R1466" s="264"/>
      <c r="S1466" s="264"/>
      <c r="T1466" s="1056"/>
      <c r="U1466" s="1056"/>
      <c r="V1466" s="1056"/>
      <c r="W1466" s="1056"/>
      <c r="X1466" s="1056"/>
      <c r="Y1466" s="1056"/>
      <c r="Z1466" s="1056"/>
      <c r="AA1466" s="1056"/>
      <c r="AB1466" s="1056"/>
      <c r="AC1466" s="1056"/>
      <c r="AD1466" s="1056"/>
      <c r="AE1466" s="1056"/>
      <c r="AF1466" s="264"/>
    </row>
    <row r="1467" spans="1:32" s="268" customFormat="1" ht="15" x14ac:dyDescent="0.25">
      <c r="A1467" s="264"/>
      <c r="B1467" s="264"/>
      <c r="C1467" s="1056"/>
      <c r="D1467" s="1056"/>
      <c r="E1467" s="1056"/>
      <c r="F1467" s="1056"/>
      <c r="G1467" s="1056"/>
      <c r="H1467" s="1056"/>
      <c r="I1467" s="1056"/>
      <c r="J1467" s="1056"/>
      <c r="K1467" s="1056"/>
      <c r="L1467" s="1056"/>
      <c r="M1467" s="274"/>
      <c r="P1467" s="264"/>
      <c r="Q1467" s="264"/>
      <c r="R1467" s="264"/>
      <c r="S1467" s="264"/>
      <c r="T1467" s="1056"/>
      <c r="U1467" s="1056"/>
      <c r="V1467" s="1056"/>
      <c r="W1467" s="1056"/>
      <c r="X1467" s="1056"/>
      <c r="Y1467" s="1056"/>
      <c r="Z1467" s="1056"/>
      <c r="AA1467" s="1056"/>
      <c r="AB1467" s="1056"/>
      <c r="AC1467" s="1056"/>
      <c r="AD1467" s="1056"/>
      <c r="AE1467" s="1056"/>
      <c r="AF1467" s="264"/>
    </row>
    <row r="1468" spans="1:32" s="268" customFormat="1" ht="15" x14ac:dyDescent="0.25">
      <c r="A1468" s="264"/>
      <c r="B1468" s="264"/>
      <c r="C1468" s="1056"/>
      <c r="D1468" s="1056"/>
      <c r="E1468" s="1056"/>
      <c r="F1468" s="1056"/>
      <c r="G1468" s="1056"/>
      <c r="H1468" s="1056"/>
      <c r="I1468" s="1056"/>
      <c r="J1468" s="1056"/>
      <c r="K1468" s="1056"/>
      <c r="L1468" s="1056"/>
      <c r="M1468" s="274"/>
      <c r="P1468" s="264"/>
      <c r="Q1468" s="264"/>
      <c r="R1468" s="264"/>
      <c r="S1468" s="264"/>
      <c r="T1468" s="1056"/>
      <c r="U1468" s="1056"/>
      <c r="V1468" s="1056"/>
      <c r="W1468" s="1056"/>
      <c r="X1468" s="1056"/>
      <c r="Y1468" s="1056"/>
      <c r="Z1468" s="1056"/>
      <c r="AA1468" s="1056"/>
      <c r="AB1468" s="1056"/>
      <c r="AC1468" s="1056"/>
      <c r="AD1468" s="1056"/>
      <c r="AE1468" s="1056"/>
      <c r="AF1468" s="264"/>
    </row>
    <row r="1469" spans="1:32" s="268" customFormat="1" ht="15" x14ac:dyDescent="0.25">
      <c r="A1469" s="264"/>
      <c r="B1469" s="264"/>
      <c r="C1469" s="1056"/>
      <c r="D1469" s="1056"/>
      <c r="E1469" s="1056"/>
      <c r="F1469" s="1056"/>
      <c r="G1469" s="1056"/>
      <c r="H1469" s="1056"/>
      <c r="I1469" s="1056"/>
      <c r="J1469" s="1056"/>
      <c r="K1469" s="1056"/>
      <c r="L1469" s="1056"/>
      <c r="M1469" s="274"/>
      <c r="P1469" s="264"/>
      <c r="Q1469" s="264"/>
      <c r="R1469" s="264"/>
      <c r="S1469" s="264"/>
      <c r="T1469" s="1056"/>
      <c r="U1469" s="1056"/>
      <c r="V1469" s="1056"/>
      <c r="W1469" s="1056"/>
      <c r="X1469" s="1056"/>
      <c r="Y1469" s="1056"/>
      <c r="Z1469" s="1056"/>
      <c r="AA1469" s="1056"/>
      <c r="AB1469" s="1056"/>
      <c r="AC1469" s="1056"/>
      <c r="AD1469" s="1056"/>
      <c r="AE1469" s="1056"/>
      <c r="AF1469" s="264"/>
    </row>
    <row r="1470" spans="1:32" s="268" customFormat="1" ht="15" x14ac:dyDescent="0.25">
      <c r="A1470" s="264"/>
      <c r="B1470" s="264"/>
      <c r="C1470" s="1056"/>
      <c r="D1470" s="1056"/>
      <c r="E1470" s="1056"/>
      <c r="F1470" s="1056"/>
      <c r="G1470" s="1056"/>
      <c r="H1470" s="1056"/>
      <c r="I1470" s="1056"/>
      <c r="J1470" s="1056"/>
      <c r="K1470" s="1056"/>
      <c r="L1470" s="1056"/>
      <c r="M1470" s="274"/>
      <c r="P1470" s="264"/>
      <c r="Q1470" s="264"/>
      <c r="R1470" s="264"/>
      <c r="S1470" s="264"/>
      <c r="T1470" s="1056"/>
      <c r="U1470" s="1056"/>
      <c r="V1470" s="1056"/>
      <c r="W1470" s="1056"/>
      <c r="X1470" s="1056"/>
      <c r="Y1470" s="1056"/>
      <c r="Z1470" s="1056"/>
      <c r="AA1470" s="1056"/>
      <c r="AB1470" s="1056"/>
      <c r="AC1470" s="1056"/>
      <c r="AD1470" s="1056"/>
      <c r="AE1470" s="1056"/>
      <c r="AF1470" s="264"/>
    </row>
    <row r="1471" spans="1:32" s="268" customFormat="1" ht="15" x14ac:dyDescent="0.25">
      <c r="A1471" s="264"/>
      <c r="B1471" s="264"/>
      <c r="C1471" s="1056"/>
      <c r="D1471" s="1056"/>
      <c r="E1471" s="1056"/>
      <c r="F1471" s="1056"/>
      <c r="G1471" s="1056"/>
      <c r="H1471" s="1056"/>
      <c r="I1471" s="1056"/>
      <c r="J1471" s="1056"/>
      <c r="K1471" s="1056"/>
      <c r="L1471" s="1056"/>
      <c r="M1471" s="274"/>
      <c r="P1471" s="264"/>
      <c r="Q1471" s="264"/>
      <c r="R1471" s="264"/>
      <c r="S1471" s="264"/>
      <c r="T1471" s="1056"/>
      <c r="U1471" s="1056"/>
      <c r="V1471" s="1056"/>
      <c r="W1471" s="1056"/>
      <c r="X1471" s="1056"/>
      <c r="Y1471" s="1056"/>
      <c r="Z1471" s="1056"/>
      <c r="AA1471" s="1056"/>
      <c r="AB1471" s="1056"/>
      <c r="AC1471" s="1056"/>
      <c r="AD1471" s="1056"/>
      <c r="AE1471" s="1056"/>
      <c r="AF1471" s="264"/>
    </row>
    <row r="1472" spans="1:32" s="268" customFormat="1" ht="15" x14ac:dyDescent="0.25">
      <c r="A1472" s="264"/>
      <c r="B1472" s="264"/>
      <c r="C1472" s="1056"/>
      <c r="D1472" s="1056"/>
      <c r="E1472" s="1056"/>
      <c r="F1472" s="1056"/>
      <c r="G1472" s="1056"/>
      <c r="H1472" s="1056"/>
      <c r="I1472" s="1056"/>
      <c r="J1472" s="1056"/>
      <c r="K1472" s="1056"/>
      <c r="L1472" s="1056"/>
      <c r="M1472" s="274"/>
      <c r="P1472" s="264"/>
      <c r="Q1472" s="264"/>
      <c r="R1472" s="264"/>
      <c r="S1472" s="264"/>
      <c r="T1472" s="1056"/>
      <c r="U1472" s="1056"/>
      <c r="V1472" s="1056"/>
      <c r="W1472" s="1056"/>
      <c r="X1472" s="1056"/>
      <c r="Y1472" s="1056"/>
      <c r="Z1472" s="1056"/>
      <c r="AA1472" s="1056"/>
      <c r="AB1472" s="1056"/>
      <c r="AC1472" s="1056"/>
      <c r="AD1472" s="1056"/>
      <c r="AE1472" s="1056"/>
      <c r="AF1472" s="264"/>
    </row>
    <row r="1473" spans="1:32" s="268" customFormat="1" ht="15" x14ac:dyDescent="0.25">
      <c r="A1473" s="264"/>
      <c r="B1473" s="264"/>
      <c r="C1473" s="1056"/>
      <c r="D1473" s="1056"/>
      <c r="E1473" s="1056"/>
      <c r="F1473" s="1056"/>
      <c r="G1473" s="1056"/>
      <c r="H1473" s="1056"/>
      <c r="I1473" s="1056"/>
      <c r="J1473" s="1056"/>
      <c r="K1473" s="1056"/>
      <c r="L1473" s="1056"/>
      <c r="M1473" s="274"/>
      <c r="P1473" s="264"/>
      <c r="Q1473" s="264"/>
      <c r="R1473" s="264"/>
      <c r="S1473" s="264"/>
      <c r="T1473" s="1056"/>
      <c r="U1473" s="1056"/>
      <c r="V1473" s="1056"/>
      <c r="W1473" s="1056"/>
      <c r="X1473" s="1056"/>
      <c r="Y1473" s="1056"/>
      <c r="Z1473" s="1056"/>
      <c r="AA1473" s="1056"/>
      <c r="AB1473" s="1056"/>
      <c r="AC1473" s="1056"/>
      <c r="AD1473" s="1056"/>
      <c r="AE1473" s="1056"/>
      <c r="AF1473" s="264"/>
    </row>
    <row r="1474" spans="1:32" s="268" customFormat="1" ht="15" x14ac:dyDescent="0.25">
      <c r="A1474" s="264"/>
      <c r="B1474" s="264"/>
      <c r="C1474" s="1056"/>
      <c r="D1474" s="1056"/>
      <c r="E1474" s="1056"/>
      <c r="F1474" s="1056"/>
      <c r="G1474" s="1056"/>
      <c r="H1474" s="1056"/>
      <c r="I1474" s="1056"/>
      <c r="J1474" s="1056"/>
      <c r="K1474" s="1056"/>
      <c r="L1474" s="1056"/>
      <c r="M1474" s="274"/>
      <c r="P1474" s="264"/>
      <c r="Q1474" s="264"/>
      <c r="R1474" s="264"/>
      <c r="S1474" s="264"/>
      <c r="T1474" s="1056"/>
      <c r="U1474" s="1056"/>
      <c r="V1474" s="1056"/>
      <c r="W1474" s="1056"/>
      <c r="X1474" s="1056"/>
      <c r="Y1474" s="1056"/>
      <c r="Z1474" s="1056"/>
      <c r="AA1474" s="1056"/>
      <c r="AB1474" s="1056"/>
      <c r="AC1474" s="1056"/>
      <c r="AD1474" s="1056"/>
      <c r="AE1474" s="1056"/>
      <c r="AF1474" s="264"/>
    </row>
    <row r="1475" spans="1:32" s="268" customFormat="1" ht="15" x14ac:dyDescent="0.25">
      <c r="A1475" s="264"/>
      <c r="B1475" s="264"/>
      <c r="C1475" s="1056"/>
      <c r="D1475" s="1056"/>
      <c r="E1475" s="1056"/>
      <c r="F1475" s="1056"/>
      <c r="G1475" s="1056"/>
      <c r="H1475" s="1056"/>
      <c r="I1475" s="1056"/>
      <c r="J1475" s="1056"/>
      <c r="K1475" s="1056"/>
      <c r="L1475" s="1056"/>
      <c r="M1475" s="274"/>
      <c r="P1475" s="264"/>
      <c r="Q1475" s="264"/>
      <c r="R1475" s="264"/>
      <c r="S1475" s="264"/>
      <c r="T1475" s="1056"/>
      <c r="U1475" s="1056"/>
      <c r="V1475" s="1056"/>
      <c r="W1475" s="1056"/>
      <c r="X1475" s="1056"/>
      <c r="Y1475" s="1056"/>
      <c r="Z1475" s="1056"/>
      <c r="AA1475" s="1056"/>
      <c r="AB1475" s="1056"/>
      <c r="AC1475" s="1056"/>
      <c r="AD1475" s="1056"/>
      <c r="AE1475" s="1056"/>
      <c r="AF1475" s="264"/>
    </row>
    <row r="1476" spans="1:32" s="268" customFormat="1" ht="15" x14ac:dyDescent="0.25">
      <c r="A1476" s="264"/>
      <c r="B1476" s="264"/>
      <c r="C1476" s="1056"/>
      <c r="D1476" s="1056"/>
      <c r="E1476" s="1056"/>
      <c r="F1476" s="1056"/>
      <c r="G1476" s="1056"/>
      <c r="H1476" s="1056"/>
      <c r="I1476" s="1056"/>
      <c r="J1476" s="1056"/>
      <c r="K1476" s="1056"/>
      <c r="L1476" s="1056"/>
      <c r="M1476" s="274"/>
      <c r="P1476" s="264"/>
      <c r="Q1476" s="264"/>
      <c r="R1476" s="264"/>
      <c r="S1476" s="264"/>
      <c r="T1476" s="1056"/>
      <c r="U1476" s="1056"/>
      <c r="V1476" s="1056"/>
      <c r="W1476" s="1056"/>
      <c r="X1476" s="1056"/>
      <c r="Y1476" s="1056"/>
      <c r="Z1476" s="1056"/>
      <c r="AA1476" s="1056"/>
      <c r="AB1476" s="1056"/>
      <c r="AC1476" s="1056"/>
      <c r="AD1476" s="1056"/>
      <c r="AE1476" s="1056"/>
      <c r="AF1476" s="264"/>
    </row>
    <row r="1477" spans="1:32" s="268" customFormat="1" ht="15" x14ac:dyDescent="0.25">
      <c r="A1477" s="264"/>
      <c r="B1477" s="264"/>
      <c r="C1477" s="1056"/>
      <c r="D1477" s="1056"/>
      <c r="E1477" s="1056"/>
      <c r="F1477" s="1056"/>
      <c r="G1477" s="1056"/>
      <c r="H1477" s="1056"/>
      <c r="I1477" s="1056"/>
      <c r="J1477" s="1056"/>
      <c r="K1477" s="1056"/>
      <c r="L1477" s="1056"/>
      <c r="M1477" s="274"/>
      <c r="P1477" s="264"/>
      <c r="Q1477" s="264"/>
      <c r="R1477" s="264"/>
      <c r="S1477" s="264"/>
      <c r="T1477" s="1056"/>
      <c r="U1477" s="1056"/>
      <c r="V1477" s="1056"/>
      <c r="W1477" s="1056"/>
      <c r="X1477" s="1056"/>
      <c r="Y1477" s="1056"/>
      <c r="Z1477" s="1056"/>
      <c r="AA1477" s="1056"/>
      <c r="AB1477" s="1056"/>
      <c r="AC1477" s="1056"/>
      <c r="AD1477" s="1056"/>
      <c r="AE1477" s="1056"/>
      <c r="AF1477" s="264"/>
    </row>
    <row r="1478" spans="1:32" s="268" customFormat="1" ht="15" x14ac:dyDescent="0.25">
      <c r="A1478" s="264"/>
      <c r="B1478" s="264"/>
      <c r="C1478" s="1056"/>
      <c r="D1478" s="1056"/>
      <c r="E1478" s="1056"/>
      <c r="F1478" s="1056"/>
      <c r="G1478" s="1056"/>
      <c r="H1478" s="1056"/>
      <c r="I1478" s="1056"/>
      <c r="J1478" s="1056"/>
      <c r="K1478" s="1056"/>
      <c r="L1478" s="1056"/>
      <c r="M1478" s="274"/>
      <c r="P1478" s="264"/>
      <c r="Q1478" s="264"/>
      <c r="R1478" s="264"/>
      <c r="S1478" s="264"/>
      <c r="T1478" s="1056"/>
      <c r="U1478" s="1056"/>
      <c r="V1478" s="1056"/>
      <c r="W1478" s="1056"/>
      <c r="X1478" s="1056"/>
      <c r="Y1478" s="1056"/>
      <c r="Z1478" s="1056"/>
      <c r="AA1478" s="1056"/>
      <c r="AB1478" s="1056"/>
      <c r="AC1478" s="1056"/>
      <c r="AD1478" s="1056"/>
      <c r="AE1478" s="1056"/>
      <c r="AF1478" s="264"/>
    </row>
    <row r="1479" spans="1:32" s="268" customFormat="1" ht="15" x14ac:dyDescent="0.25">
      <c r="A1479" s="264"/>
      <c r="B1479" s="264"/>
      <c r="C1479" s="1056"/>
      <c r="D1479" s="1056"/>
      <c r="E1479" s="1056"/>
      <c r="F1479" s="1056"/>
      <c r="G1479" s="1056"/>
      <c r="H1479" s="1056"/>
      <c r="I1479" s="1056"/>
      <c r="J1479" s="1056"/>
      <c r="K1479" s="1056"/>
      <c r="L1479" s="1056"/>
      <c r="M1479" s="274"/>
      <c r="P1479" s="264"/>
      <c r="Q1479" s="264"/>
      <c r="R1479" s="264"/>
      <c r="S1479" s="264"/>
      <c r="T1479" s="1056"/>
      <c r="U1479" s="1056"/>
      <c r="V1479" s="1056"/>
      <c r="W1479" s="1056"/>
      <c r="X1479" s="1056"/>
      <c r="Y1479" s="1056"/>
      <c r="Z1479" s="1056"/>
      <c r="AA1479" s="1056"/>
      <c r="AB1479" s="1056"/>
      <c r="AC1479" s="1056"/>
      <c r="AD1479" s="1056"/>
      <c r="AE1479" s="1056"/>
      <c r="AF1479" s="264"/>
    </row>
    <row r="1480" spans="1:32" s="268" customFormat="1" ht="15" x14ac:dyDescent="0.25">
      <c r="A1480" s="264"/>
      <c r="B1480" s="264"/>
      <c r="C1480" s="1056"/>
      <c r="D1480" s="1056"/>
      <c r="E1480" s="1056"/>
      <c r="F1480" s="1056"/>
      <c r="G1480" s="1056"/>
      <c r="H1480" s="1056"/>
      <c r="I1480" s="1056"/>
      <c r="J1480" s="1056"/>
      <c r="K1480" s="1056"/>
      <c r="L1480" s="1056"/>
      <c r="M1480" s="274"/>
      <c r="P1480" s="264"/>
      <c r="Q1480" s="264"/>
      <c r="R1480" s="264"/>
      <c r="S1480" s="264"/>
      <c r="T1480" s="1056"/>
      <c r="U1480" s="1056"/>
      <c r="V1480" s="1056"/>
      <c r="W1480" s="1056"/>
      <c r="X1480" s="1056"/>
      <c r="Y1480" s="1056"/>
      <c r="Z1480" s="1056"/>
      <c r="AA1480" s="1056"/>
      <c r="AB1480" s="1056"/>
      <c r="AC1480" s="1056"/>
      <c r="AD1480" s="1056"/>
      <c r="AE1480" s="1056"/>
      <c r="AF1480" s="264"/>
    </row>
    <row r="1481" spans="1:32" s="268" customFormat="1" ht="15" x14ac:dyDescent="0.25">
      <c r="A1481" s="264"/>
      <c r="B1481" s="264"/>
      <c r="C1481" s="1056"/>
      <c r="D1481" s="1056"/>
      <c r="E1481" s="1056"/>
      <c r="F1481" s="1056"/>
      <c r="G1481" s="1056"/>
      <c r="H1481" s="1056"/>
      <c r="I1481" s="1056"/>
      <c r="J1481" s="1056"/>
      <c r="K1481" s="1056"/>
      <c r="L1481" s="1056"/>
      <c r="M1481" s="274"/>
      <c r="P1481" s="264"/>
      <c r="Q1481" s="264"/>
      <c r="R1481" s="264"/>
      <c r="S1481" s="264"/>
      <c r="T1481" s="1056"/>
      <c r="U1481" s="1056"/>
      <c r="V1481" s="1056"/>
      <c r="W1481" s="1056"/>
      <c r="X1481" s="1056"/>
      <c r="Y1481" s="1056"/>
      <c r="Z1481" s="1056"/>
      <c r="AA1481" s="1056"/>
      <c r="AB1481" s="1056"/>
      <c r="AC1481" s="1056"/>
      <c r="AD1481" s="1056"/>
      <c r="AE1481" s="1056"/>
      <c r="AF1481" s="264"/>
    </row>
    <row r="1482" spans="1:32" s="268" customFormat="1" ht="15" x14ac:dyDescent="0.25">
      <c r="A1482" s="264"/>
      <c r="B1482" s="264"/>
      <c r="C1482" s="1056"/>
      <c r="D1482" s="1056"/>
      <c r="E1482" s="1056"/>
      <c r="F1482" s="1056"/>
      <c r="G1482" s="1056"/>
      <c r="H1482" s="1056"/>
      <c r="I1482" s="1056"/>
      <c r="J1482" s="1056"/>
      <c r="K1482" s="1056"/>
      <c r="L1482" s="1056"/>
      <c r="M1482" s="274"/>
      <c r="P1482" s="264"/>
      <c r="Q1482" s="264"/>
      <c r="R1482" s="264"/>
      <c r="S1482" s="264"/>
      <c r="T1482" s="1056"/>
      <c r="U1482" s="1056"/>
      <c r="V1482" s="1056"/>
      <c r="W1482" s="1056"/>
      <c r="X1482" s="1056"/>
      <c r="Y1482" s="1056"/>
      <c r="Z1482" s="1056"/>
      <c r="AA1482" s="1056"/>
      <c r="AB1482" s="1056"/>
      <c r="AC1482" s="1056"/>
      <c r="AD1482" s="1056"/>
      <c r="AE1482" s="1056"/>
      <c r="AF1482" s="264"/>
    </row>
    <row r="1483" spans="1:32" s="268" customFormat="1" ht="15" x14ac:dyDescent="0.25">
      <c r="A1483" s="264"/>
      <c r="B1483" s="264"/>
      <c r="C1483" s="1056"/>
      <c r="D1483" s="1056"/>
      <c r="E1483" s="1056"/>
      <c r="F1483" s="1056"/>
      <c r="G1483" s="1056"/>
      <c r="H1483" s="1056"/>
      <c r="I1483" s="1056"/>
      <c r="J1483" s="1056"/>
      <c r="K1483" s="1056"/>
      <c r="L1483" s="1056"/>
      <c r="M1483" s="274"/>
      <c r="P1483" s="264"/>
      <c r="Q1483" s="264"/>
      <c r="R1483" s="264"/>
      <c r="S1483" s="264"/>
      <c r="T1483" s="1056"/>
      <c r="U1483" s="1056"/>
      <c r="V1483" s="1056"/>
      <c r="W1483" s="1056"/>
      <c r="X1483" s="1056"/>
      <c r="Y1483" s="1056"/>
      <c r="Z1483" s="1056"/>
      <c r="AA1483" s="1056"/>
      <c r="AB1483" s="1056"/>
      <c r="AC1483" s="1056"/>
      <c r="AD1483" s="1056"/>
      <c r="AE1483" s="1056"/>
      <c r="AF1483" s="264"/>
    </row>
    <row r="1484" spans="1:32" s="268" customFormat="1" ht="15" x14ac:dyDescent="0.25">
      <c r="A1484" s="264"/>
      <c r="B1484" s="264"/>
      <c r="C1484" s="1056"/>
      <c r="D1484" s="1056"/>
      <c r="E1484" s="1056"/>
      <c r="F1484" s="1056"/>
      <c r="G1484" s="1056"/>
      <c r="H1484" s="1056"/>
      <c r="I1484" s="1056"/>
      <c r="J1484" s="1056"/>
      <c r="K1484" s="1056"/>
      <c r="L1484" s="1056"/>
      <c r="M1484" s="274"/>
      <c r="P1484" s="264"/>
      <c r="Q1484" s="264"/>
      <c r="R1484" s="264"/>
      <c r="S1484" s="264"/>
      <c r="T1484" s="1056"/>
      <c r="U1484" s="1056"/>
      <c r="V1484" s="1056"/>
      <c r="W1484" s="1056"/>
      <c r="X1484" s="1056"/>
      <c r="Y1484" s="1056"/>
      <c r="Z1484" s="1056"/>
      <c r="AA1484" s="1056"/>
      <c r="AB1484" s="1056"/>
      <c r="AC1484" s="1056"/>
      <c r="AD1484" s="1056"/>
      <c r="AE1484" s="1056"/>
      <c r="AF1484" s="264"/>
    </row>
    <row r="1485" spans="1:32" s="268" customFormat="1" ht="15" x14ac:dyDescent="0.25">
      <c r="A1485" s="264"/>
      <c r="B1485" s="264"/>
      <c r="C1485" s="1056"/>
      <c r="D1485" s="1056"/>
      <c r="E1485" s="1056"/>
      <c r="F1485" s="1056"/>
      <c r="G1485" s="1056"/>
      <c r="H1485" s="1056"/>
      <c r="I1485" s="1056"/>
      <c r="J1485" s="1056"/>
      <c r="K1485" s="1056"/>
      <c r="L1485" s="1056"/>
      <c r="M1485" s="274"/>
      <c r="P1485" s="264"/>
      <c r="Q1485" s="264"/>
      <c r="R1485" s="264"/>
      <c r="S1485" s="264"/>
      <c r="T1485" s="1056"/>
      <c r="U1485" s="1056"/>
      <c r="V1485" s="1056"/>
      <c r="W1485" s="1056"/>
      <c r="X1485" s="1056"/>
      <c r="Y1485" s="1056"/>
      <c r="Z1485" s="1056"/>
      <c r="AA1485" s="1056"/>
      <c r="AB1485" s="1056"/>
      <c r="AC1485" s="1056"/>
      <c r="AD1485" s="1056"/>
      <c r="AE1485" s="1056"/>
      <c r="AF1485" s="264"/>
    </row>
    <row r="1486" spans="1:32" s="268" customFormat="1" ht="15" x14ac:dyDescent="0.25">
      <c r="A1486" s="264"/>
      <c r="B1486" s="264"/>
      <c r="C1486" s="1056"/>
      <c r="D1486" s="1056"/>
      <c r="E1486" s="1056"/>
      <c r="F1486" s="1056"/>
      <c r="G1486" s="1056"/>
      <c r="H1486" s="1056"/>
      <c r="I1486" s="1056"/>
      <c r="J1486" s="1056"/>
      <c r="K1486" s="1056"/>
      <c r="L1486" s="1056"/>
      <c r="M1486" s="274"/>
      <c r="P1486" s="264"/>
      <c r="Q1486" s="264"/>
      <c r="R1486" s="264"/>
      <c r="S1486" s="264"/>
      <c r="T1486" s="1056"/>
      <c r="U1486" s="1056"/>
      <c r="V1486" s="1056"/>
      <c r="W1486" s="1056"/>
      <c r="X1486" s="1056"/>
      <c r="Y1486" s="1056"/>
      <c r="Z1486" s="1056"/>
      <c r="AA1486" s="1056"/>
      <c r="AB1486" s="1056"/>
      <c r="AC1486" s="1056"/>
      <c r="AD1486" s="1056"/>
      <c r="AE1486" s="1056"/>
      <c r="AF1486" s="264"/>
    </row>
    <row r="1487" spans="1:32" s="268" customFormat="1" ht="15" x14ac:dyDescent="0.25">
      <c r="A1487" s="264"/>
      <c r="B1487" s="264"/>
      <c r="C1487" s="1056"/>
      <c r="D1487" s="1056"/>
      <c r="E1487" s="1056"/>
      <c r="F1487" s="1056"/>
      <c r="G1487" s="1056"/>
      <c r="H1487" s="1056"/>
      <c r="I1487" s="1056"/>
      <c r="J1487" s="1056"/>
      <c r="K1487" s="1056"/>
      <c r="L1487" s="1056"/>
      <c r="M1487" s="274"/>
      <c r="P1487" s="264"/>
      <c r="Q1487" s="264"/>
      <c r="R1487" s="264"/>
      <c r="S1487" s="264"/>
      <c r="T1487" s="1056"/>
      <c r="U1487" s="1056"/>
      <c r="V1487" s="1056"/>
      <c r="W1487" s="1056"/>
      <c r="X1487" s="1056"/>
      <c r="Y1487" s="1056"/>
      <c r="Z1487" s="1056"/>
      <c r="AA1487" s="1056"/>
      <c r="AB1487" s="1056"/>
      <c r="AC1487" s="1056"/>
      <c r="AD1487" s="1056"/>
      <c r="AE1487" s="1056"/>
      <c r="AF1487" s="264"/>
    </row>
    <row r="1488" spans="1:32" s="268" customFormat="1" ht="15" x14ac:dyDescent="0.25">
      <c r="A1488" s="264"/>
      <c r="B1488" s="264"/>
      <c r="C1488" s="1056"/>
      <c r="D1488" s="1056"/>
      <c r="E1488" s="1056"/>
      <c r="F1488" s="1056"/>
      <c r="G1488" s="1056"/>
      <c r="H1488" s="1056"/>
      <c r="I1488" s="1056"/>
      <c r="J1488" s="1056"/>
      <c r="K1488" s="1056"/>
      <c r="L1488" s="1056"/>
      <c r="M1488" s="274"/>
      <c r="P1488" s="264"/>
      <c r="Q1488" s="264"/>
      <c r="R1488" s="264"/>
      <c r="S1488" s="264"/>
      <c r="T1488" s="1056"/>
      <c r="U1488" s="1056"/>
      <c r="V1488" s="1056"/>
      <c r="W1488" s="1056"/>
      <c r="X1488" s="1056"/>
      <c r="Y1488" s="1056"/>
      <c r="Z1488" s="1056"/>
      <c r="AA1488" s="1056"/>
      <c r="AB1488" s="1056"/>
      <c r="AC1488" s="1056"/>
      <c r="AD1488" s="1056"/>
      <c r="AE1488" s="1056"/>
      <c r="AF1488" s="264"/>
    </row>
    <row r="1489" spans="1:32" s="268" customFormat="1" ht="15" x14ac:dyDescent="0.25">
      <c r="A1489" s="264"/>
      <c r="B1489" s="264"/>
      <c r="C1489" s="1056"/>
      <c r="D1489" s="1056"/>
      <c r="E1489" s="1056"/>
      <c r="F1489" s="1056"/>
      <c r="G1489" s="1056"/>
      <c r="H1489" s="1056"/>
      <c r="I1489" s="1056"/>
      <c r="J1489" s="1056"/>
      <c r="K1489" s="1056"/>
      <c r="L1489" s="1056"/>
      <c r="M1489" s="274"/>
      <c r="P1489" s="264"/>
      <c r="Q1489" s="264"/>
      <c r="R1489" s="264"/>
      <c r="S1489" s="264"/>
      <c r="T1489" s="1056"/>
      <c r="U1489" s="1056"/>
      <c r="V1489" s="1056"/>
      <c r="W1489" s="1056"/>
      <c r="X1489" s="1056"/>
      <c r="Y1489" s="1056"/>
      <c r="Z1489" s="1056"/>
      <c r="AA1489" s="1056"/>
      <c r="AB1489" s="1056"/>
      <c r="AC1489" s="1056"/>
      <c r="AD1489" s="1056"/>
      <c r="AE1489" s="1056"/>
      <c r="AF1489" s="264"/>
    </row>
    <row r="1490" spans="1:32" s="268" customFormat="1" ht="15" x14ac:dyDescent="0.25">
      <c r="A1490" s="264"/>
      <c r="B1490" s="264"/>
      <c r="C1490" s="1056"/>
      <c r="D1490" s="1056"/>
      <c r="E1490" s="1056"/>
      <c r="F1490" s="1056"/>
      <c r="G1490" s="1056"/>
      <c r="H1490" s="1056"/>
      <c r="I1490" s="1056"/>
      <c r="J1490" s="1056"/>
      <c r="K1490" s="1056"/>
      <c r="L1490" s="1056"/>
      <c r="M1490" s="274"/>
      <c r="P1490" s="264"/>
      <c r="Q1490" s="264"/>
      <c r="R1490" s="264"/>
      <c r="S1490" s="264"/>
      <c r="T1490" s="1056"/>
      <c r="U1490" s="1056"/>
      <c r="V1490" s="1056"/>
      <c r="W1490" s="1056"/>
      <c r="X1490" s="1056"/>
      <c r="Y1490" s="1056"/>
      <c r="Z1490" s="1056"/>
      <c r="AA1490" s="1056"/>
      <c r="AB1490" s="1056"/>
      <c r="AC1490" s="1056"/>
      <c r="AD1490" s="1056"/>
      <c r="AE1490" s="1056"/>
      <c r="AF1490" s="264"/>
    </row>
    <row r="1491" spans="1:32" s="268" customFormat="1" ht="15" x14ac:dyDescent="0.25">
      <c r="A1491" s="264"/>
      <c r="B1491" s="264"/>
      <c r="C1491" s="1056"/>
      <c r="D1491" s="1056"/>
      <c r="E1491" s="1056"/>
      <c r="F1491" s="1056"/>
      <c r="G1491" s="1056"/>
      <c r="H1491" s="1056"/>
      <c r="I1491" s="1056"/>
      <c r="J1491" s="1056"/>
      <c r="K1491" s="1056"/>
      <c r="L1491" s="1056"/>
      <c r="M1491" s="274"/>
      <c r="P1491" s="264"/>
      <c r="Q1491" s="264"/>
      <c r="R1491" s="264"/>
      <c r="S1491" s="264"/>
      <c r="T1491" s="1056"/>
      <c r="U1491" s="1056"/>
      <c r="V1491" s="1056"/>
      <c r="W1491" s="1056"/>
      <c r="X1491" s="1056"/>
      <c r="Y1491" s="1056"/>
      <c r="Z1491" s="1056"/>
      <c r="AA1491" s="1056"/>
      <c r="AB1491" s="1056"/>
      <c r="AC1491" s="1056"/>
      <c r="AD1491" s="1056"/>
      <c r="AE1491" s="1056"/>
      <c r="AF1491" s="264"/>
    </row>
    <row r="1492" spans="1:32" s="268" customFormat="1" ht="15" x14ac:dyDescent="0.25">
      <c r="A1492" s="264"/>
      <c r="B1492" s="264"/>
      <c r="C1492" s="1056"/>
      <c r="D1492" s="1056"/>
      <c r="E1492" s="1056"/>
      <c r="F1492" s="1056"/>
      <c r="G1492" s="1056"/>
      <c r="H1492" s="1056"/>
      <c r="I1492" s="1056"/>
      <c r="J1492" s="1056"/>
      <c r="K1492" s="1056"/>
      <c r="L1492" s="1056"/>
      <c r="M1492" s="274"/>
      <c r="P1492" s="264"/>
      <c r="Q1492" s="264"/>
      <c r="R1492" s="264"/>
      <c r="S1492" s="264"/>
      <c r="T1492" s="1056"/>
      <c r="U1492" s="1056"/>
      <c r="V1492" s="1056"/>
      <c r="W1492" s="1056"/>
      <c r="X1492" s="1056"/>
      <c r="Y1492" s="1056"/>
      <c r="Z1492" s="1056"/>
      <c r="AA1492" s="1056"/>
      <c r="AB1492" s="1056"/>
      <c r="AC1492" s="1056"/>
      <c r="AD1492" s="1056"/>
      <c r="AE1492" s="1056"/>
      <c r="AF1492" s="264"/>
    </row>
    <row r="1493" spans="1:32" s="268" customFormat="1" ht="15" x14ac:dyDescent="0.25">
      <c r="A1493" s="264"/>
      <c r="B1493" s="264"/>
      <c r="C1493" s="1056"/>
      <c r="D1493" s="1056"/>
      <c r="E1493" s="1056"/>
      <c r="F1493" s="1056"/>
      <c r="G1493" s="1056"/>
      <c r="H1493" s="1056"/>
      <c r="I1493" s="1056"/>
      <c r="J1493" s="1056"/>
      <c r="K1493" s="1056"/>
      <c r="L1493" s="1056"/>
      <c r="M1493" s="274"/>
      <c r="P1493" s="264"/>
      <c r="Q1493" s="264"/>
      <c r="R1493" s="264"/>
      <c r="S1493" s="264"/>
      <c r="T1493" s="1056"/>
      <c r="U1493" s="1056"/>
      <c r="V1493" s="1056"/>
      <c r="W1493" s="1056"/>
      <c r="X1493" s="1056"/>
      <c r="Y1493" s="1056"/>
      <c r="Z1493" s="1056"/>
      <c r="AA1493" s="1056"/>
      <c r="AB1493" s="1056"/>
      <c r="AC1493" s="1056"/>
      <c r="AD1493" s="1056"/>
      <c r="AE1493" s="1056"/>
      <c r="AF1493" s="264"/>
    </row>
    <row r="1494" spans="1:32" s="268" customFormat="1" ht="15" x14ac:dyDescent="0.25">
      <c r="A1494" s="264"/>
      <c r="B1494" s="264"/>
      <c r="C1494" s="1056"/>
      <c r="D1494" s="1056"/>
      <c r="E1494" s="1056"/>
      <c r="F1494" s="1056"/>
      <c r="G1494" s="1056"/>
      <c r="H1494" s="1056"/>
      <c r="I1494" s="1056"/>
      <c r="J1494" s="1056"/>
      <c r="K1494" s="1056"/>
      <c r="L1494" s="1056"/>
      <c r="M1494" s="274"/>
      <c r="P1494" s="264"/>
      <c r="Q1494" s="264"/>
      <c r="R1494" s="264"/>
      <c r="S1494" s="264"/>
      <c r="T1494" s="1056"/>
      <c r="U1494" s="1056"/>
      <c r="V1494" s="1056"/>
      <c r="W1494" s="1056"/>
      <c r="X1494" s="1056"/>
      <c r="Y1494" s="1056"/>
      <c r="Z1494" s="1056"/>
      <c r="AA1494" s="1056"/>
      <c r="AB1494" s="1056"/>
      <c r="AC1494" s="1056"/>
      <c r="AD1494" s="1056"/>
      <c r="AE1494" s="1056"/>
      <c r="AF1494" s="264"/>
    </row>
    <row r="1495" spans="1:32" s="268" customFormat="1" ht="15" x14ac:dyDescent="0.25">
      <c r="A1495" s="264"/>
      <c r="B1495" s="264"/>
      <c r="C1495" s="1056"/>
      <c r="D1495" s="1056"/>
      <c r="E1495" s="1056"/>
      <c r="F1495" s="1056"/>
      <c r="G1495" s="1056"/>
      <c r="H1495" s="1056"/>
      <c r="I1495" s="1056"/>
      <c r="J1495" s="1056"/>
      <c r="K1495" s="1056"/>
      <c r="L1495" s="1056"/>
      <c r="M1495" s="274"/>
      <c r="P1495" s="264"/>
      <c r="Q1495" s="264"/>
      <c r="R1495" s="264"/>
      <c r="S1495" s="264"/>
      <c r="T1495" s="1056"/>
      <c r="U1495" s="1056"/>
      <c r="V1495" s="1056"/>
      <c r="W1495" s="1056"/>
      <c r="X1495" s="1056"/>
      <c r="Y1495" s="1056"/>
      <c r="Z1495" s="1056"/>
      <c r="AA1495" s="1056"/>
      <c r="AB1495" s="1056"/>
      <c r="AC1495" s="1056"/>
      <c r="AD1495" s="1056"/>
      <c r="AE1495" s="1056"/>
      <c r="AF1495" s="264"/>
    </row>
    <row r="1496" spans="1:32" s="268" customFormat="1" ht="15" x14ac:dyDescent="0.25">
      <c r="A1496" s="264"/>
      <c r="B1496" s="264"/>
      <c r="C1496" s="1056"/>
      <c r="D1496" s="1056"/>
      <c r="E1496" s="1056"/>
      <c r="F1496" s="1056"/>
      <c r="G1496" s="1056"/>
      <c r="H1496" s="1056"/>
      <c r="I1496" s="1056"/>
      <c r="J1496" s="1056"/>
      <c r="K1496" s="1056"/>
      <c r="L1496" s="1056"/>
      <c r="M1496" s="274"/>
      <c r="P1496" s="264"/>
      <c r="Q1496" s="264"/>
      <c r="R1496" s="264"/>
      <c r="S1496" s="264"/>
      <c r="T1496" s="1056"/>
      <c r="U1496" s="1056"/>
      <c r="V1496" s="1056"/>
      <c r="W1496" s="1056"/>
      <c r="X1496" s="1056"/>
      <c r="Y1496" s="1056"/>
      <c r="Z1496" s="1056"/>
      <c r="AA1496" s="1056"/>
      <c r="AB1496" s="1056"/>
      <c r="AC1496" s="1056"/>
      <c r="AD1496" s="1056"/>
      <c r="AE1496" s="1056"/>
      <c r="AF1496" s="264"/>
    </row>
    <row r="1497" spans="1:32" s="268" customFormat="1" ht="15" x14ac:dyDescent="0.25">
      <c r="A1497" s="264"/>
      <c r="B1497" s="264"/>
      <c r="C1497" s="1056"/>
      <c r="D1497" s="1056"/>
      <c r="E1497" s="1056"/>
      <c r="F1497" s="1056"/>
      <c r="G1497" s="1056"/>
      <c r="H1497" s="1056"/>
      <c r="I1497" s="1056"/>
      <c r="J1497" s="1056"/>
      <c r="K1497" s="1056"/>
      <c r="L1497" s="1056"/>
      <c r="M1497" s="274"/>
      <c r="P1497" s="264"/>
      <c r="Q1497" s="264"/>
      <c r="R1497" s="264"/>
      <c r="S1497" s="264"/>
      <c r="T1497" s="1056"/>
      <c r="U1497" s="1056"/>
      <c r="V1497" s="1056"/>
      <c r="W1497" s="1056"/>
      <c r="X1497" s="1056"/>
      <c r="Y1497" s="1056"/>
      <c r="Z1497" s="1056"/>
      <c r="AA1497" s="1056"/>
      <c r="AB1497" s="1056"/>
      <c r="AC1497" s="1056"/>
      <c r="AD1497" s="1056"/>
      <c r="AE1497" s="1056"/>
      <c r="AF1497" s="264"/>
    </row>
    <row r="1498" spans="1:32" s="268" customFormat="1" ht="15" x14ac:dyDescent="0.25">
      <c r="A1498" s="264"/>
      <c r="B1498" s="264"/>
      <c r="C1498" s="1056"/>
      <c r="D1498" s="1056"/>
      <c r="E1498" s="1056"/>
      <c r="F1498" s="1056"/>
      <c r="G1498" s="1056"/>
      <c r="H1498" s="1056"/>
      <c r="I1498" s="1056"/>
      <c r="J1498" s="1056"/>
      <c r="K1498" s="1056"/>
      <c r="L1498" s="1056"/>
      <c r="M1498" s="274"/>
      <c r="P1498" s="264"/>
      <c r="Q1498" s="264"/>
      <c r="R1498" s="264"/>
      <c r="S1498" s="264"/>
      <c r="T1498" s="1056"/>
      <c r="U1498" s="1056"/>
      <c r="V1498" s="1056"/>
      <c r="W1498" s="1056"/>
      <c r="X1498" s="1056"/>
      <c r="Y1498" s="1056"/>
      <c r="Z1498" s="1056"/>
      <c r="AA1498" s="1056"/>
      <c r="AB1498" s="1056"/>
      <c r="AC1498" s="1056"/>
      <c r="AD1498" s="1056"/>
      <c r="AE1498" s="1056"/>
      <c r="AF1498" s="264"/>
    </row>
    <row r="1499" spans="1:32" s="268" customFormat="1" ht="15" x14ac:dyDescent="0.25">
      <c r="A1499" s="264"/>
      <c r="B1499" s="264"/>
      <c r="C1499" s="1056"/>
      <c r="D1499" s="1056"/>
      <c r="E1499" s="1056"/>
      <c r="F1499" s="1056"/>
      <c r="G1499" s="1056"/>
      <c r="H1499" s="1056"/>
      <c r="I1499" s="1056"/>
      <c r="J1499" s="1056"/>
      <c r="K1499" s="1056"/>
      <c r="L1499" s="1056"/>
      <c r="M1499" s="274"/>
      <c r="P1499" s="264"/>
      <c r="Q1499" s="264"/>
      <c r="R1499" s="264"/>
      <c r="S1499" s="264"/>
      <c r="T1499" s="1056"/>
      <c r="U1499" s="1056"/>
      <c r="V1499" s="1056"/>
      <c r="W1499" s="1056"/>
      <c r="X1499" s="1056"/>
      <c r="Y1499" s="1056"/>
      <c r="Z1499" s="1056"/>
      <c r="AA1499" s="1056"/>
      <c r="AB1499" s="1056"/>
      <c r="AC1499" s="1056"/>
      <c r="AD1499" s="1056"/>
      <c r="AE1499" s="1056"/>
      <c r="AF1499" s="264"/>
    </row>
    <row r="1500" spans="1:32" s="268" customFormat="1" ht="15" x14ac:dyDescent="0.25">
      <c r="A1500" s="264"/>
      <c r="B1500" s="264"/>
      <c r="C1500" s="1056"/>
      <c r="D1500" s="1056"/>
      <c r="E1500" s="1056"/>
      <c r="F1500" s="1056"/>
      <c r="G1500" s="1056"/>
      <c r="H1500" s="1056"/>
      <c r="I1500" s="1056"/>
      <c r="J1500" s="1056"/>
      <c r="K1500" s="1056"/>
      <c r="L1500" s="1056"/>
      <c r="M1500" s="274"/>
      <c r="P1500" s="264"/>
      <c r="Q1500" s="264"/>
      <c r="R1500" s="264"/>
      <c r="S1500" s="264"/>
      <c r="T1500" s="1056"/>
      <c r="U1500" s="1056"/>
      <c r="V1500" s="1056"/>
      <c r="W1500" s="1056"/>
      <c r="X1500" s="1056"/>
      <c r="Y1500" s="1056"/>
      <c r="Z1500" s="1056"/>
      <c r="AA1500" s="1056"/>
      <c r="AB1500" s="1056"/>
      <c r="AC1500" s="1056"/>
      <c r="AD1500" s="1056"/>
      <c r="AE1500" s="1056"/>
      <c r="AF1500" s="264"/>
    </row>
    <row r="1501" spans="1:32" s="268" customFormat="1" ht="15" x14ac:dyDescent="0.25">
      <c r="A1501" s="264"/>
      <c r="B1501" s="264"/>
      <c r="C1501" s="1056"/>
      <c r="D1501" s="1056"/>
      <c r="E1501" s="1056"/>
      <c r="F1501" s="1056"/>
      <c r="G1501" s="1056"/>
      <c r="H1501" s="1056"/>
      <c r="I1501" s="1056"/>
      <c r="J1501" s="1056"/>
      <c r="K1501" s="1056"/>
      <c r="L1501" s="1056"/>
      <c r="M1501" s="274"/>
      <c r="P1501" s="264"/>
      <c r="Q1501" s="264"/>
      <c r="R1501" s="264"/>
      <c r="S1501" s="264"/>
      <c r="T1501" s="1056"/>
      <c r="U1501" s="1056"/>
      <c r="V1501" s="1056"/>
      <c r="W1501" s="1056"/>
      <c r="X1501" s="1056"/>
      <c r="Y1501" s="1056"/>
      <c r="Z1501" s="1056"/>
      <c r="AA1501" s="1056"/>
      <c r="AB1501" s="1056"/>
      <c r="AC1501" s="1056"/>
      <c r="AD1501" s="1056"/>
      <c r="AE1501" s="1056"/>
      <c r="AF1501" s="264"/>
    </row>
    <row r="1502" spans="1:32" s="268" customFormat="1" ht="15" x14ac:dyDescent="0.25">
      <c r="A1502" s="264"/>
      <c r="B1502" s="264"/>
      <c r="C1502" s="1056"/>
      <c r="D1502" s="1056"/>
      <c r="E1502" s="1056"/>
      <c r="F1502" s="1056"/>
      <c r="G1502" s="1056"/>
      <c r="H1502" s="1056"/>
      <c r="I1502" s="1056"/>
      <c r="J1502" s="1056"/>
      <c r="K1502" s="1056"/>
      <c r="L1502" s="1056"/>
      <c r="M1502" s="274"/>
      <c r="P1502" s="264"/>
      <c r="Q1502" s="264"/>
      <c r="R1502" s="264"/>
      <c r="S1502" s="264"/>
      <c r="T1502" s="1056"/>
      <c r="U1502" s="1056"/>
      <c r="V1502" s="1056"/>
      <c r="W1502" s="1056"/>
      <c r="X1502" s="1056"/>
      <c r="Y1502" s="1056"/>
      <c r="Z1502" s="1056"/>
      <c r="AA1502" s="1056"/>
      <c r="AB1502" s="1056"/>
      <c r="AC1502" s="1056"/>
      <c r="AD1502" s="1056"/>
      <c r="AE1502" s="1056"/>
      <c r="AF1502" s="264"/>
    </row>
    <row r="1503" spans="1:32" s="268" customFormat="1" ht="15" x14ac:dyDescent="0.25">
      <c r="A1503" s="264"/>
      <c r="B1503" s="264"/>
      <c r="C1503" s="1056"/>
      <c r="D1503" s="1056"/>
      <c r="E1503" s="1056"/>
      <c r="F1503" s="1056"/>
      <c r="G1503" s="1056"/>
      <c r="H1503" s="1056"/>
      <c r="I1503" s="1056"/>
      <c r="J1503" s="1056"/>
      <c r="K1503" s="1056"/>
      <c r="L1503" s="1056"/>
      <c r="M1503" s="274"/>
      <c r="P1503" s="264"/>
      <c r="Q1503" s="264"/>
      <c r="R1503" s="264"/>
      <c r="S1503" s="264"/>
      <c r="T1503" s="1056"/>
      <c r="U1503" s="1056"/>
      <c r="V1503" s="1056"/>
      <c r="W1503" s="1056"/>
      <c r="X1503" s="1056"/>
      <c r="Y1503" s="1056"/>
      <c r="Z1503" s="1056"/>
      <c r="AA1503" s="1056"/>
      <c r="AB1503" s="1056"/>
      <c r="AC1503" s="1056"/>
      <c r="AD1503" s="1056"/>
      <c r="AE1503" s="1056"/>
      <c r="AF1503" s="264"/>
    </row>
    <row r="1504" spans="1:32" s="268" customFormat="1" ht="15" x14ac:dyDescent="0.25">
      <c r="A1504" s="264"/>
      <c r="B1504" s="264"/>
      <c r="C1504" s="1056"/>
      <c r="D1504" s="1056"/>
      <c r="E1504" s="1056"/>
      <c r="F1504" s="1056"/>
      <c r="G1504" s="1056"/>
      <c r="H1504" s="1056"/>
      <c r="I1504" s="1056"/>
      <c r="J1504" s="1056"/>
      <c r="K1504" s="1056"/>
      <c r="L1504" s="1056"/>
      <c r="M1504" s="274"/>
      <c r="P1504" s="264"/>
      <c r="Q1504" s="264"/>
      <c r="R1504" s="264"/>
      <c r="S1504" s="264"/>
      <c r="T1504" s="1056"/>
      <c r="U1504" s="1056"/>
      <c r="V1504" s="1056"/>
      <c r="W1504" s="1056"/>
      <c r="X1504" s="1056"/>
      <c r="Y1504" s="1056"/>
      <c r="Z1504" s="1056"/>
      <c r="AA1504" s="1056"/>
      <c r="AB1504" s="1056"/>
      <c r="AC1504" s="1056"/>
      <c r="AD1504" s="1056"/>
      <c r="AE1504" s="1056"/>
      <c r="AF1504" s="264"/>
    </row>
    <row r="1505" spans="1:32" s="268" customFormat="1" ht="15" x14ac:dyDescent="0.25">
      <c r="A1505" s="264"/>
      <c r="B1505" s="264"/>
      <c r="C1505" s="1056"/>
      <c r="D1505" s="1056"/>
      <c r="E1505" s="1056"/>
      <c r="F1505" s="1056"/>
      <c r="G1505" s="1056"/>
      <c r="H1505" s="1056"/>
      <c r="I1505" s="1056"/>
      <c r="J1505" s="1056"/>
      <c r="K1505" s="1056"/>
      <c r="L1505" s="1056"/>
      <c r="M1505" s="274"/>
      <c r="P1505" s="264"/>
      <c r="Q1505" s="264"/>
      <c r="R1505" s="264"/>
      <c r="S1505" s="264"/>
      <c r="T1505" s="1056"/>
      <c r="U1505" s="1056"/>
      <c r="V1505" s="1056"/>
      <c r="W1505" s="1056"/>
      <c r="X1505" s="1056"/>
      <c r="Y1505" s="1056"/>
      <c r="Z1505" s="1056"/>
      <c r="AA1505" s="1056"/>
      <c r="AB1505" s="1056"/>
      <c r="AC1505" s="1056"/>
      <c r="AD1505" s="1056"/>
      <c r="AE1505" s="1056"/>
      <c r="AF1505" s="264"/>
    </row>
    <row r="1506" spans="1:32" s="268" customFormat="1" ht="15" x14ac:dyDescent="0.25">
      <c r="A1506" s="264"/>
      <c r="B1506" s="264"/>
      <c r="C1506" s="1056"/>
      <c r="D1506" s="1056"/>
      <c r="E1506" s="1056"/>
      <c r="F1506" s="1056"/>
      <c r="G1506" s="1056"/>
      <c r="H1506" s="1056"/>
      <c r="I1506" s="1056"/>
      <c r="J1506" s="1056"/>
      <c r="K1506" s="1056"/>
      <c r="L1506" s="1056"/>
      <c r="M1506" s="274"/>
      <c r="P1506" s="264"/>
      <c r="Q1506" s="264"/>
      <c r="R1506" s="264"/>
      <c r="S1506" s="264"/>
      <c r="T1506" s="1056"/>
      <c r="U1506" s="1056"/>
      <c r="V1506" s="1056"/>
      <c r="W1506" s="1056"/>
      <c r="X1506" s="1056"/>
      <c r="Y1506" s="1056"/>
      <c r="Z1506" s="1056"/>
      <c r="AA1506" s="1056"/>
      <c r="AB1506" s="1056"/>
      <c r="AC1506" s="1056"/>
      <c r="AD1506" s="1056"/>
      <c r="AE1506" s="1056"/>
      <c r="AF1506" s="264"/>
    </row>
    <row r="1507" spans="1:32" s="268" customFormat="1" ht="15" x14ac:dyDescent="0.25">
      <c r="A1507" s="264"/>
      <c r="B1507" s="264"/>
      <c r="C1507" s="1056"/>
      <c r="D1507" s="1056"/>
      <c r="E1507" s="1056"/>
      <c r="F1507" s="1056"/>
      <c r="G1507" s="1056"/>
      <c r="H1507" s="1056"/>
      <c r="I1507" s="1056"/>
      <c r="J1507" s="1056"/>
      <c r="K1507" s="1056"/>
      <c r="L1507" s="1056"/>
      <c r="M1507" s="274"/>
      <c r="P1507" s="264"/>
      <c r="Q1507" s="264"/>
      <c r="R1507" s="264"/>
      <c r="S1507" s="264"/>
      <c r="T1507" s="1056"/>
      <c r="U1507" s="1056"/>
      <c r="V1507" s="1056"/>
      <c r="W1507" s="1056"/>
      <c r="X1507" s="1056"/>
      <c r="Y1507" s="1056"/>
      <c r="Z1507" s="1056"/>
      <c r="AA1507" s="1056"/>
      <c r="AB1507" s="1056"/>
      <c r="AC1507" s="1056"/>
      <c r="AD1507" s="1056"/>
      <c r="AE1507" s="1056"/>
      <c r="AF1507" s="264"/>
    </row>
    <row r="1508" spans="1:32" s="268" customFormat="1" ht="15" x14ac:dyDescent="0.25">
      <c r="A1508" s="264"/>
      <c r="B1508" s="264"/>
      <c r="C1508" s="1056"/>
      <c r="D1508" s="1056"/>
      <c r="E1508" s="1056"/>
      <c r="F1508" s="1056"/>
      <c r="G1508" s="1056"/>
      <c r="H1508" s="1056"/>
      <c r="I1508" s="1056"/>
      <c r="J1508" s="1056"/>
      <c r="K1508" s="1056"/>
      <c r="L1508" s="1056"/>
      <c r="M1508" s="274"/>
      <c r="P1508" s="264"/>
      <c r="Q1508" s="264"/>
      <c r="R1508" s="264"/>
      <c r="S1508" s="264"/>
      <c r="T1508" s="1056"/>
      <c r="U1508" s="1056"/>
      <c r="V1508" s="1056"/>
      <c r="W1508" s="1056"/>
      <c r="X1508" s="1056"/>
      <c r="Y1508" s="1056"/>
      <c r="Z1508" s="1056"/>
      <c r="AA1508" s="1056"/>
      <c r="AB1508" s="1056"/>
      <c r="AC1508" s="1056"/>
      <c r="AD1508" s="1056"/>
      <c r="AE1508" s="1056"/>
      <c r="AF1508" s="264"/>
    </row>
    <row r="1509" spans="1:32" s="268" customFormat="1" ht="15" x14ac:dyDescent="0.25">
      <c r="A1509" s="264"/>
      <c r="B1509" s="264"/>
      <c r="C1509" s="1056"/>
      <c r="D1509" s="1056"/>
      <c r="E1509" s="1056"/>
      <c r="F1509" s="1056"/>
      <c r="G1509" s="1056"/>
      <c r="H1509" s="1056"/>
      <c r="I1509" s="1056"/>
      <c r="J1509" s="1056"/>
      <c r="K1509" s="1056"/>
      <c r="L1509" s="1056"/>
      <c r="M1509" s="274"/>
      <c r="P1509" s="264"/>
      <c r="Q1509" s="264"/>
      <c r="R1509" s="264"/>
      <c r="S1509" s="264"/>
      <c r="T1509" s="1056"/>
      <c r="U1509" s="1056"/>
      <c r="V1509" s="1056"/>
      <c r="W1509" s="1056"/>
      <c r="X1509" s="1056"/>
      <c r="Y1509" s="1056"/>
      <c r="Z1509" s="1056"/>
      <c r="AA1509" s="1056"/>
      <c r="AB1509" s="1056"/>
      <c r="AC1509" s="1056"/>
      <c r="AD1509" s="1056"/>
      <c r="AE1509" s="1056"/>
      <c r="AF1509" s="264"/>
    </row>
    <row r="1510" spans="1:32" s="268" customFormat="1" ht="15" x14ac:dyDescent="0.25">
      <c r="A1510" s="264"/>
      <c r="B1510" s="264"/>
      <c r="C1510" s="1056"/>
      <c r="D1510" s="1056"/>
      <c r="E1510" s="1056"/>
      <c r="F1510" s="1056"/>
      <c r="G1510" s="1056"/>
      <c r="H1510" s="1056"/>
      <c r="I1510" s="1056"/>
      <c r="J1510" s="1056"/>
      <c r="K1510" s="1056"/>
      <c r="L1510" s="1056"/>
      <c r="M1510" s="274"/>
      <c r="P1510" s="264"/>
      <c r="Q1510" s="264"/>
      <c r="R1510" s="264"/>
      <c r="S1510" s="264"/>
      <c r="T1510" s="1056"/>
      <c r="U1510" s="1056"/>
      <c r="V1510" s="1056"/>
      <c r="W1510" s="1056"/>
      <c r="X1510" s="1056"/>
      <c r="Y1510" s="1056"/>
      <c r="Z1510" s="1056"/>
      <c r="AA1510" s="1056"/>
      <c r="AB1510" s="1056"/>
      <c r="AC1510" s="1056"/>
      <c r="AD1510" s="1056"/>
      <c r="AE1510" s="1056"/>
      <c r="AF1510" s="264"/>
    </row>
    <row r="1511" spans="1:32" s="268" customFormat="1" ht="15" x14ac:dyDescent="0.25">
      <c r="A1511" s="264"/>
      <c r="B1511" s="264"/>
      <c r="C1511" s="1056"/>
      <c r="D1511" s="1056"/>
      <c r="E1511" s="1056"/>
      <c r="F1511" s="1056"/>
      <c r="G1511" s="1056"/>
      <c r="H1511" s="1056"/>
      <c r="I1511" s="1056"/>
      <c r="J1511" s="1056"/>
      <c r="K1511" s="1056"/>
      <c r="L1511" s="1056"/>
      <c r="M1511" s="274"/>
      <c r="P1511" s="264"/>
      <c r="Q1511" s="264"/>
      <c r="R1511" s="264"/>
      <c r="S1511" s="264"/>
      <c r="T1511" s="1056"/>
      <c r="U1511" s="1056"/>
      <c r="V1511" s="1056"/>
      <c r="W1511" s="1056"/>
      <c r="X1511" s="1056"/>
      <c r="Y1511" s="1056"/>
      <c r="Z1511" s="1056"/>
      <c r="AA1511" s="1056"/>
      <c r="AB1511" s="1056"/>
      <c r="AC1511" s="1056"/>
      <c r="AD1511" s="1056"/>
      <c r="AE1511" s="1056"/>
      <c r="AF1511" s="264"/>
    </row>
    <row r="1512" spans="1:32" s="268" customFormat="1" ht="15" x14ac:dyDescent="0.25">
      <c r="A1512" s="264"/>
      <c r="B1512" s="264"/>
      <c r="C1512" s="1056"/>
      <c r="D1512" s="1056"/>
      <c r="E1512" s="1056"/>
      <c r="F1512" s="1056"/>
      <c r="G1512" s="1056"/>
      <c r="H1512" s="1056"/>
      <c r="I1512" s="1056"/>
      <c r="J1512" s="1056"/>
      <c r="K1512" s="1056"/>
      <c r="L1512" s="1056"/>
      <c r="M1512" s="274"/>
      <c r="P1512" s="264"/>
      <c r="Q1512" s="264"/>
      <c r="R1512" s="264"/>
      <c r="S1512" s="264"/>
      <c r="T1512" s="1056"/>
      <c r="U1512" s="1056"/>
      <c r="V1512" s="1056"/>
      <c r="W1512" s="1056"/>
      <c r="X1512" s="1056"/>
      <c r="Y1512" s="1056"/>
      <c r="Z1512" s="1056"/>
      <c r="AA1512" s="1056"/>
      <c r="AB1512" s="1056"/>
      <c r="AC1512" s="1056"/>
      <c r="AD1512" s="1056"/>
      <c r="AE1512" s="1056"/>
      <c r="AF1512" s="264"/>
    </row>
    <row r="1513" spans="1:32" s="268" customFormat="1" ht="15" x14ac:dyDescent="0.25">
      <c r="A1513" s="264"/>
      <c r="B1513" s="264"/>
      <c r="C1513" s="1056"/>
      <c r="D1513" s="1056"/>
      <c r="E1513" s="1056"/>
      <c r="F1513" s="1056"/>
      <c r="G1513" s="1056"/>
      <c r="H1513" s="1056"/>
      <c r="I1513" s="1056"/>
      <c r="J1513" s="1056"/>
      <c r="K1513" s="1056"/>
      <c r="L1513" s="1056"/>
      <c r="M1513" s="274"/>
      <c r="P1513" s="264"/>
      <c r="Q1513" s="264"/>
      <c r="R1513" s="264"/>
      <c r="S1513" s="264"/>
      <c r="T1513" s="1056"/>
      <c r="U1513" s="1056"/>
      <c r="V1513" s="1056"/>
      <c r="W1513" s="1056"/>
      <c r="X1513" s="1056"/>
      <c r="Y1513" s="1056"/>
      <c r="Z1513" s="1056"/>
      <c r="AA1513" s="1056"/>
      <c r="AB1513" s="1056"/>
      <c r="AC1513" s="1056"/>
      <c r="AD1513" s="1056"/>
      <c r="AE1513" s="1056"/>
      <c r="AF1513" s="264"/>
    </row>
    <row r="1514" spans="1:32" s="268" customFormat="1" ht="15" x14ac:dyDescent="0.25">
      <c r="A1514" s="264"/>
      <c r="B1514" s="264"/>
      <c r="C1514" s="1056"/>
      <c r="D1514" s="1056"/>
      <c r="E1514" s="1056"/>
      <c r="F1514" s="1056"/>
      <c r="G1514" s="1056"/>
      <c r="H1514" s="1056"/>
      <c r="I1514" s="1056"/>
      <c r="J1514" s="1056"/>
      <c r="K1514" s="1056"/>
      <c r="L1514" s="1056"/>
      <c r="M1514" s="274"/>
      <c r="P1514" s="264"/>
      <c r="Q1514" s="264"/>
      <c r="R1514" s="264"/>
      <c r="S1514" s="264"/>
      <c r="T1514" s="1056"/>
      <c r="U1514" s="1056"/>
      <c r="V1514" s="1056"/>
      <c r="W1514" s="1056"/>
      <c r="X1514" s="1056"/>
      <c r="Y1514" s="1056"/>
      <c r="Z1514" s="1056"/>
      <c r="AA1514" s="1056"/>
      <c r="AB1514" s="1056"/>
      <c r="AC1514" s="1056"/>
      <c r="AD1514" s="1056"/>
      <c r="AE1514" s="1056"/>
      <c r="AF1514" s="264"/>
    </row>
    <row r="1515" spans="1:32" s="268" customFormat="1" ht="15" x14ac:dyDescent="0.25">
      <c r="A1515" s="264"/>
      <c r="B1515" s="264"/>
      <c r="C1515" s="1056"/>
      <c r="D1515" s="1056"/>
      <c r="E1515" s="1056"/>
      <c r="F1515" s="1056"/>
      <c r="G1515" s="1056"/>
      <c r="H1515" s="1056"/>
      <c r="I1515" s="1056"/>
      <c r="J1515" s="1056"/>
      <c r="K1515" s="1056"/>
      <c r="L1515" s="1056"/>
      <c r="M1515" s="274"/>
      <c r="P1515" s="264"/>
      <c r="Q1515" s="264"/>
      <c r="R1515" s="264"/>
      <c r="S1515" s="264"/>
      <c r="T1515" s="1056"/>
      <c r="U1515" s="1056"/>
      <c r="V1515" s="1056"/>
      <c r="W1515" s="1056"/>
      <c r="X1515" s="1056"/>
      <c r="Y1515" s="1056"/>
      <c r="Z1515" s="1056"/>
      <c r="AA1515" s="1056"/>
      <c r="AB1515" s="1056"/>
      <c r="AC1515" s="1056"/>
      <c r="AD1515" s="1056"/>
      <c r="AE1515" s="1056"/>
      <c r="AF1515" s="264"/>
    </row>
    <row r="1516" spans="1:32" s="268" customFormat="1" ht="15" x14ac:dyDescent="0.25">
      <c r="A1516" s="264"/>
      <c r="B1516" s="264"/>
      <c r="C1516" s="1056"/>
      <c r="D1516" s="1056"/>
      <c r="E1516" s="1056"/>
      <c r="F1516" s="1056"/>
      <c r="G1516" s="1056"/>
      <c r="H1516" s="1056"/>
      <c r="I1516" s="1056"/>
      <c r="J1516" s="1056"/>
      <c r="K1516" s="1056"/>
      <c r="L1516" s="1056"/>
      <c r="M1516" s="274"/>
      <c r="P1516" s="264"/>
      <c r="Q1516" s="264"/>
      <c r="R1516" s="264"/>
      <c r="S1516" s="264"/>
      <c r="T1516" s="1056"/>
      <c r="U1516" s="1056"/>
      <c r="V1516" s="1056"/>
      <c r="W1516" s="1056"/>
      <c r="X1516" s="1056"/>
      <c r="Y1516" s="1056"/>
      <c r="Z1516" s="1056"/>
      <c r="AA1516" s="1056"/>
      <c r="AB1516" s="1056"/>
      <c r="AC1516" s="1056"/>
      <c r="AD1516" s="1056"/>
      <c r="AE1516" s="1056"/>
      <c r="AF1516" s="264"/>
    </row>
    <row r="1517" spans="1:32" s="268" customFormat="1" ht="15" x14ac:dyDescent="0.25">
      <c r="A1517" s="264"/>
      <c r="B1517" s="264"/>
      <c r="C1517" s="1056"/>
      <c r="D1517" s="1056"/>
      <c r="E1517" s="1056"/>
      <c r="F1517" s="1056"/>
      <c r="G1517" s="1056"/>
      <c r="H1517" s="1056"/>
      <c r="I1517" s="1056"/>
      <c r="J1517" s="1056"/>
      <c r="K1517" s="1056"/>
      <c r="L1517" s="1056"/>
      <c r="M1517" s="274"/>
      <c r="P1517" s="264"/>
      <c r="Q1517" s="264"/>
      <c r="R1517" s="264"/>
      <c r="S1517" s="264"/>
      <c r="T1517" s="1056"/>
      <c r="U1517" s="1056"/>
      <c r="V1517" s="1056"/>
      <c r="W1517" s="1056"/>
      <c r="X1517" s="1056"/>
      <c r="Y1517" s="1056"/>
      <c r="Z1517" s="1056"/>
      <c r="AA1517" s="1056"/>
      <c r="AB1517" s="1056"/>
      <c r="AC1517" s="1056"/>
      <c r="AD1517" s="1056"/>
      <c r="AE1517" s="1056"/>
      <c r="AF1517" s="264"/>
    </row>
    <row r="1518" spans="1:32" s="268" customFormat="1" ht="15" x14ac:dyDescent="0.25">
      <c r="A1518" s="264"/>
      <c r="B1518" s="264"/>
      <c r="C1518" s="1056"/>
      <c r="D1518" s="1056"/>
      <c r="E1518" s="1056"/>
      <c r="F1518" s="1056"/>
      <c r="G1518" s="1056"/>
      <c r="H1518" s="1056"/>
      <c r="I1518" s="1056"/>
      <c r="J1518" s="1056"/>
      <c r="K1518" s="1056"/>
      <c r="L1518" s="1056"/>
      <c r="M1518" s="274"/>
      <c r="P1518" s="264"/>
      <c r="Q1518" s="264"/>
      <c r="R1518" s="264"/>
      <c r="S1518" s="264"/>
      <c r="T1518" s="1056"/>
      <c r="U1518" s="1056"/>
      <c r="V1518" s="1056"/>
      <c r="W1518" s="1056"/>
      <c r="X1518" s="1056"/>
      <c r="Y1518" s="1056"/>
      <c r="Z1518" s="1056"/>
      <c r="AA1518" s="1056"/>
      <c r="AB1518" s="1056"/>
      <c r="AC1518" s="1056"/>
      <c r="AD1518" s="1056"/>
      <c r="AE1518" s="1056"/>
      <c r="AF1518" s="264"/>
    </row>
    <row r="1519" spans="1:32" s="268" customFormat="1" ht="15" x14ac:dyDescent="0.25">
      <c r="A1519" s="264"/>
      <c r="B1519" s="264"/>
      <c r="C1519" s="1056"/>
      <c r="D1519" s="1056"/>
      <c r="E1519" s="1056"/>
      <c r="F1519" s="1056"/>
      <c r="G1519" s="1056"/>
      <c r="H1519" s="1056"/>
      <c r="I1519" s="1056"/>
      <c r="J1519" s="1056"/>
      <c r="K1519" s="1056"/>
      <c r="L1519" s="1056"/>
      <c r="M1519" s="274"/>
      <c r="P1519" s="264"/>
      <c r="Q1519" s="264"/>
      <c r="R1519" s="264"/>
      <c r="S1519" s="264"/>
      <c r="T1519" s="1056"/>
      <c r="U1519" s="1056"/>
      <c r="V1519" s="1056"/>
      <c r="W1519" s="1056"/>
      <c r="X1519" s="1056"/>
      <c r="Y1519" s="1056"/>
      <c r="Z1519" s="1056"/>
      <c r="AA1519" s="1056"/>
      <c r="AB1519" s="1056"/>
      <c r="AC1519" s="1056"/>
      <c r="AD1519" s="1056"/>
      <c r="AE1519" s="1056"/>
      <c r="AF1519" s="264"/>
    </row>
    <row r="1520" spans="1:32" s="268" customFormat="1" ht="15" x14ac:dyDescent="0.25">
      <c r="A1520" s="264"/>
      <c r="B1520" s="264"/>
      <c r="C1520" s="1056"/>
      <c r="D1520" s="1056"/>
      <c r="E1520" s="1056"/>
      <c r="F1520" s="1056"/>
      <c r="G1520" s="1056"/>
      <c r="H1520" s="1056"/>
      <c r="I1520" s="1056"/>
      <c r="J1520" s="1056"/>
      <c r="K1520" s="1056"/>
      <c r="L1520" s="1056"/>
      <c r="M1520" s="274"/>
      <c r="P1520" s="264"/>
      <c r="Q1520" s="264"/>
      <c r="R1520" s="264"/>
      <c r="S1520" s="264"/>
      <c r="T1520" s="1056"/>
      <c r="U1520" s="1056"/>
      <c r="V1520" s="1056"/>
      <c r="W1520" s="1056"/>
      <c r="X1520" s="1056"/>
      <c r="Y1520" s="1056"/>
      <c r="Z1520" s="1056"/>
      <c r="AA1520" s="1056"/>
      <c r="AB1520" s="1056"/>
      <c r="AC1520" s="1056"/>
      <c r="AD1520" s="1056"/>
      <c r="AE1520" s="1056"/>
      <c r="AF1520" s="264"/>
    </row>
    <row r="1521" spans="1:32" s="268" customFormat="1" ht="15" x14ac:dyDescent="0.25">
      <c r="A1521" s="264"/>
      <c r="B1521" s="264"/>
      <c r="C1521" s="1056"/>
      <c r="D1521" s="1056"/>
      <c r="E1521" s="1056"/>
      <c r="F1521" s="1056"/>
      <c r="G1521" s="1056"/>
      <c r="H1521" s="1056"/>
      <c r="I1521" s="1056"/>
      <c r="J1521" s="1056"/>
      <c r="K1521" s="1056"/>
      <c r="L1521" s="1056"/>
      <c r="M1521" s="274"/>
      <c r="P1521" s="264"/>
      <c r="Q1521" s="264"/>
      <c r="R1521" s="264"/>
      <c r="S1521" s="264"/>
      <c r="T1521" s="1056"/>
      <c r="U1521" s="1056"/>
      <c r="V1521" s="1056"/>
      <c r="W1521" s="1056"/>
      <c r="X1521" s="1056"/>
      <c r="Y1521" s="1056"/>
      <c r="Z1521" s="1056"/>
      <c r="AA1521" s="1056"/>
      <c r="AB1521" s="1056"/>
      <c r="AC1521" s="1056"/>
      <c r="AD1521" s="1056"/>
      <c r="AE1521" s="1056"/>
      <c r="AF1521" s="264"/>
    </row>
    <row r="1522" spans="1:32" s="268" customFormat="1" ht="15" x14ac:dyDescent="0.25">
      <c r="A1522" s="264"/>
      <c r="B1522" s="264"/>
      <c r="C1522" s="1056"/>
      <c r="D1522" s="1056"/>
      <c r="E1522" s="1056"/>
      <c r="F1522" s="1056"/>
      <c r="G1522" s="1056"/>
      <c r="H1522" s="1056"/>
      <c r="I1522" s="1056"/>
      <c r="J1522" s="1056"/>
      <c r="K1522" s="1056"/>
      <c r="L1522" s="1056"/>
      <c r="M1522" s="274"/>
      <c r="P1522" s="264"/>
      <c r="Q1522" s="264"/>
      <c r="R1522" s="264"/>
      <c r="S1522" s="264"/>
      <c r="T1522" s="1056"/>
      <c r="U1522" s="1056"/>
      <c r="V1522" s="1056"/>
      <c r="W1522" s="1056"/>
      <c r="X1522" s="1056"/>
      <c r="Y1522" s="1056"/>
      <c r="Z1522" s="1056"/>
      <c r="AA1522" s="1056"/>
      <c r="AB1522" s="1056"/>
      <c r="AC1522" s="1056"/>
      <c r="AD1522" s="1056"/>
      <c r="AE1522" s="1056"/>
      <c r="AF1522" s="264"/>
    </row>
    <row r="1523" spans="1:32" s="268" customFormat="1" ht="15" x14ac:dyDescent="0.25">
      <c r="A1523" s="264"/>
      <c r="B1523" s="264"/>
      <c r="C1523" s="1056"/>
      <c r="D1523" s="1056"/>
      <c r="E1523" s="1056"/>
      <c r="F1523" s="1056"/>
      <c r="G1523" s="1056"/>
      <c r="H1523" s="1056"/>
      <c r="I1523" s="1056"/>
      <c r="J1523" s="1056"/>
      <c r="K1523" s="1056"/>
      <c r="L1523" s="1056"/>
      <c r="M1523" s="274"/>
      <c r="P1523" s="264"/>
      <c r="Q1523" s="264"/>
      <c r="R1523" s="264"/>
      <c r="S1523" s="264"/>
      <c r="T1523" s="1056"/>
      <c r="U1523" s="1056"/>
      <c r="V1523" s="1056"/>
      <c r="W1523" s="1056"/>
      <c r="X1523" s="1056"/>
      <c r="Y1523" s="1056"/>
      <c r="Z1523" s="1056"/>
      <c r="AA1523" s="1056"/>
      <c r="AB1523" s="1056"/>
      <c r="AC1523" s="1056"/>
      <c r="AD1523" s="1056"/>
      <c r="AE1523" s="1056"/>
      <c r="AF1523" s="264"/>
    </row>
    <row r="1524" spans="1:32" s="268" customFormat="1" ht="15" x14ac:dyDescent="0.25">
      <c r="A1524" s="264"/>
      <c r="B1524" s="264"/>
      <c r="C1524" s="1056"/>
      <c r="D1524" s="1056"/>
      <c r="E1524" s="1056"/>
      <c r="F1524" s="1056"/>
      <c r="G1524" s="1056"/>
      <c r="H1524" s="1056"/>
      <c r="I1524" s="1056"/>
      <c r="J1524" s="1056"/>
      <c r="K1524" s="1056"/>
      <c r="L1524" s="1056"/>
      <c r="M1524" s="274"/>
      <c r="P1524" s="264"/>
      <c r="Q1524" s="264"/>
      <c r="R1524" s="264"/>
      <c r="S1524" s="264"/>
      <c r="T1524" s="1056"/>
      <c r="U1524" s="1056"/>
      <c r="V1524" s="1056"/>
      <c r="W1524" s="1056"/>
      <c r="X1524" s="1056"/>
      <c r="Y1524" s="1056"/>
      <c r="Z1524" s="1056"/>
      <c r="AA1524" s="1056"/>
      <c r="AB1524" s="1056"/>
      <c r="AC1524" s="1056"/>
      <c r="AD1524" s="1056"/>
      <c r="AE1524" s="1056"/>
      <c r="AF1524" s="264"/>
    </row>
    <row r="1525" spans="1:32" s="268" customFormat="1" ht="15" x14ac:dyDescent="0.25">
      <c r="A1525" s="264"/>
      <c r="B1525" s="264"/>
      <c r="C1525" s="1056"/>
      <c r="D1525" s="1056"/>
      <c r="E1525" s="1056"/>
      <c r="F1525" s="1056"/>
      <c r="G1525" s="1056"/>
      <c r="H1525" s="1056"/>
      <c r="I1525" s="1056"/>
      <c r="J1525" s="1056"/>
      <c r="K1525" s="1056"/>
      <c r="L1525" s="1056"/>
      <c r="M1525" s="274"/>
      <c r="P1525" s="264"/>
      <c r="Q1525" s="264"/>
      <c r="R1525" s="264"/>
      <c r="S1525" s="264"/>
      <c r="T1525" s="1056"/>
      <c r="U1525" s="1056"/>
      <c r="V1525" s="1056"/>
      <c r="W1525" s="1056"/>
      <c r="X1525" s="1056"/>
      <c r="Y1525" s="1056"/>
      <c r="Z1525" s="1056"/>
      <c r="AA1525" s="1056"/>
      <c r="AB1525" s="1056"/>
      <c r="AC1525" s="1056"/>
      <c r="AD1525" s="1056"/>
      <c r="AE1525" s="1056"/>
      <c r="AF1525" s="264"/>
    </row>
    <row r="1526" spans="1:32" s="268" customFormat="1" ht="15" x14ac:dyDescent="0.25">
      <c r="A1526" s="264"/>
      <c r="B1526" s="264"/>
      <c r="C1526" s="1056"/>
      <c r="D1526" s="1056"/>
      <c r="E1526" s="1056"/>
      <c r="F1526" s="1056"/>
      <c r="G1526" s="1056"/>
      <c r="H1526" s="1056"/>
      <c r="I1526" s="1056"/>
      <c r="J1526" s="1056"/>
      <c r="K1526" s="1056"/>
      <c r="L1526" s="1056"/>
      <c r="M1526" s="274"/>
      <c r="P1526" s="264"/>
      <c r="Q1526" s="264"/>
      <c r="R1526" s="264"/>
      <c r="S1526" s="264"/>
      <c r="T1526" s="1056"/>
      <c r="U1526" s="1056"/>
      <c r="V1526" s="1056"/>
      <c r="W1526" s="1056"/>
      <c r="X1526" s="1056"/>
      <c r="Y1526" s="1056"/>
      <c r="Z1526" s="1056"/>
      <c r="AA1526" s="1056"/>
      <c r="AB1526" s="1056"/>
      <c r="AC1526" s="1056"/>
      <c r="AD1526" s="1056"/>
      <c r="AE1526" s="1056"/>
      <c r="AF1526" s="264"/>
    </row>
    <row r="1527" spans="1:32" s="268" customFormat="1" ht="15" x14ac:dyDescent="0.25">
      <c r="A1527" s="264"/>
      <c r="B1527" s="264"/>
      <c r="C1527" s="1056"/>
      <c r="D1527" s="1056"/>
      <c r="E1527" s="1056"/>
      <c r="F1527" s="1056"/>
      <c r="G1527" s="1056"/>
      <c r="H1527" s="1056"/>
      <c r="I1527" s="1056"/>
      <c r="J1527" s="1056"/>
      <c r="K1527" s="1056"/>
      <c r="L1527" s="1056"/>
      <c r="M1527" s="274"/>
      <c r="P1527" s="264"/>
      <c r="Q1527" s="264"/>
      <c r="R1527" s="264"/>
      <c r="S1527" s="264"/>
      <c r="T1527" s="1056"/>
      <c r="U1527" s="1056"/>
      <c r="V1527" s="1056"/>
      <c r="W1527" s="1056"/>
      <c r="X1527" s="1056"/>
      <c r="Y1527" s="1056"/>
      <c r="Z1527" s="1056"/>
      <c r="AA1527" s="1056"/>
      <c r="AB1527" s="1056"/>
      <c r="AC1527" s="1056"/>
      <c r="AD1527" s="1056"/>
      <c r="AE1527" s="1056"/>
      <c r="AF1527" s="264"/>
    </row>
    <row r="1528" spans="1:32" s="268" customFormat="1" ht="15" x14ac:dyDescent="0.25">
      <c r="A1528" s="264"/>
      <c r="B1528" s="264"/>
      <c r="C1528" s="1056"/>
      <c r="D1528" s="1056"/>
      <c r="E1528" s="1056"/>
      <c r="F1528" s="1056"/>
      <c r="G1528" s="1056"/>
      <c r="H1528" s="1056"/>
      <c r="I1528" s="1056"/>
      <c r="J1528" s="1056"/>
      <c r="K1528" s="1056"/>
      <c r="L1528" s="1056"/>
      <c r="M1528" s="274"/>
      <c r="P1528" s="264"/>
      <c r="Q1528" s="264"/>
      <c r="R1528" s="264"/>
      <c r="S1528" s="264"/>
      <c r="T1528" s="1056"/>
      <c r="U1528" s="1056"/>
      <c r="V1528" s="1056"/>
      <c r="W1528" s="1056"/>
      <c r="X1528" s="1056"/>
      <c r="Y1528" s="1056"/>
      <c r="Z1528" s="1056"/>
      <c r="AA1528" s="1056"/>
      <c r="AB1528" s="1056"/>
      <c r="AC1528" s="1056"/>
      <c r="AD1528" s="1056"/>
      <c r="AE1528" s="1056"/>
      <c r="AF1528" s="264"/>
    </row>
    <row r="1529" spans="1:32" s="268" customFormat="1" ht="15" x14ac:dyDescent="0.25">
      <c r="A1529" s="264"/>
      <c r="B1529" s="264"/>
      <c r="C1529" s="1056"/>
      <c r="D1529" s="1056"/>
      <c r="E1529" s="1056"/>
      <c r="F1529" s="1056"/>
      <c r="G1529" s="1056"/>
      <c r="H1529" s="1056"/>
      <c r="I1529" s="1056"/>
      <c r="J1529" s="1056"/>
      <c r="K1529" s="1056"/>
      <c r="L1529" s="1056"/>
      <c r="M1529" s="274"/>
      <c r="P1529" s="264"/>
      <c r="Q1529" s="264"/>
      <c r="R1529" s="264"/>
      <c r="S1529" s="264"/>
      <c r="T1529" s="1056"/>
      <c r="U1529" s="1056"/>
      <c r="V1529" s="1056"/>
      <c r="W1529" s="1056"/>
      <c r="X1529" s="1056"/>
      <c r="Y1529" s="1056"/>
      <c r="Z1529" s="1056"/>
      <c r="AA1529" s="1056"/>
      <c r="AB1529" s="1056"/>
      <c r="AC1529" s="1056"/>
      <c r="AD1529" s="1056"/>
      <c r="AE1529" s="1056"/>
      <c r="AF1529" s="264"/>
    </row>
    <row r="1530" spans="1:32" s="268" customFormat="1" ht="15" x14ac:dyDescent="0.25">
      <c r="A1530" s="264"/>
      <c r="B1530" s="264"/>
      <c r="C1530" s="1056"/>
      <c r="D1530" s="1056"/>
      <c r="E1530" s="1056"/>
      <c r="F1530" s="1056"/>
      <c r="G1530" s="1056"/>
      <c r="H1530" s="1056"/>
      <c r="I1530" s="1056"/>
      <c r="J1530" s="1056"/>
      <c r="K1530" s="1056"/>
      <c r="L1530" s="1056"/>
      <c r="M1530" s="274"/>
      <c r="P1530" s="264"/>
      <c r="Q1530" s="264"/>
      <c r="R1530" s="264"/>
      <c r="S1530" s="264"/>
      <c r="T1530" s="1056"/>
      <c r="U1530" s="1056"/>
      <c r="V1530" s="1056"/>
      <c r="W1530" s="1056"/>
      <c r="X1530" s="1056"/>
      <c r="Y1530" s="1056"/>
      <c r="Z1530" s="1056"/>
      <c r="AA1530" s="1056"/>
      <c r="AB1530" s="1056"/>
      <c r="AC1530" s="1056"/>
      <c r="AD1530" s="1056"/>
      <c r="AE1530" s="1056"/>
      <c r="AF1530" s="264"/>
    </row>
    <row r="1531" spans="1:32" s="268" customFormat="1" ht="15" x14ac:dyDescent="0.25">
      <c r="A1531" s="264"/>
      <c r="B1531" s="264"/>
      <c r="C1531" s="1056"/>
      <c r="D1531" s="1056"/>
      <c r="E1531" s="1056"/>
      <c r="F1531" s="1056"/>
      <c r="G1531" s="1056"/>
      <c r="H1531" s="1056"/>
      <c r="I1531" s="1056"/>
      <c r="J1531" s="1056"/>
      <c r="K1531" s="1056"/>
      <c r="L1531" s="1056"/>
      <c r="M1531" s="274"/>
      <c r="P1531" s="264"/>
      <c r="Q1531" s="264"/>
      <c r="R1531" s="264"/>
      <c r="S1531" s="264"/>
      <c r="T1531" s="1056"/>
      <c r="U1531" s="1056"/>
      <c r="V1531" s="1056"/>
      <c r="W1531" s="1056"/>
      <c r="X1531" s="1056"/>
      <c r="Y1531" s="1056"/>
      <c r="Z1531" s="1056"/>
      <c r="AA1531" s="1056"/>
      <c r="AB1531" s="1056"/>
      <c r="AC1531" s="1056"/>
      <c r="AD1531" s="1056"/>
      <c r="AE1531" s="1056"/>
      <c r="AF1531" s="264"/>
    </row>
    <row r="1532" spans="1:32" s="268" customFormat="1" ht="15" x14ac:dyDescent="0.25">
      <c r="A1532" s="264"/>
      <c r="B1532" s="264"/>
      <c r="C1532" s="1056"/>
      <c r="D1532" s="1056"/>
      <c r="E1532" s="1056"/>
      <c r="F1532" s="1056"/>
      <c r="G1532" s="1056"/>
      <c r="H1532" s="1056"/>
      <c r="I1532" s="1056"/>
      <c r="J1532" s="1056"/>
      <c r="K1532" s="1056"/>
      <c r="L1532" s="1056"/>
      <c r="M1532" s="274"/>
      <c r="P1532" s="264"/>
      <c r="Q1532" s="264"/>
      <c r="R1532" s="264"/>
      <c r="S1532" s="264"/>
      <c r="T1532" s="1056"/>
      <c r="U1532" s="1056"/>
      <c r="V1532" s="1056"/>
      <c r="W1532" s="1056"/>
      <c r="X1532" s="1056"/>
      <c r="Y1532" s="1056"/>
      <c r="Z1532" s="1056"/>
      <c r="AA1532" s="1056"/>
      <c r="AB1532" s="1056"/>
      <c r="AC1532" s="1056"/>
      <c r="AD1532" s="1056"/>
      <c r="AE1532" s="1056"/>
      <c r="AF1532" s="264"/>
    </row>
    <row r="1533" spans="1:32" s="268" customFormat="1" ht="15" x14ac:dyDescent="0.25">
      <c r="A1533" s="264"/>
      <c r="B1533" s="264"/>
      <c r="C1533" s="1056"/>
      <c r="D1533" s="1056"/>
      <c r="E1533" s="1056"/>
      <c r="F1533" s="1056"/>
      <c r="G1533" s="1056"/>
      <c r="H1533" s="1056"/>
      <c r="I1533" s="1056"/>
      <c r="J1533" s="1056"/>
      <c r="K1533" s="1056"/>
      <c r="L1533" s="1056"/>
      <c r="M1533" s="274"/>
      <c r="P1533" s="264"/>
      <c r="Q1533" s="264"/>
      <c r="R1533" s="264"/>
      <c r="S1533" s="264"/>
      <c r="T1533" s="1056"/>
      <c r="U1533" s="1056"/>
      <c r="V1533" s="1056"/>
      <c r="W1533" s="1056"/>
      <c r="X1533" s="1056"/>
      <c r="Y1533" s="1056"/>
      <c r="Z1533" s="1056"/>
      <c r="AA1533" s="1056"/>
      <c r="AB1533" s="1056"/>
      <c r="AC1533" s="1056"/>
      <c r="AD1533" s="1056"/>
      <c r="AE1533" s="1056"/>
      <c r="AF1533" s="264"/>
    </row>
    <row r="1534" spans="1:32" s="268" customFormat="1" ht="15" x14ac:dyDescent="0.25">
      <c r="A1534" s="264"/>
      <c r="B1534" s="264"/>
      <c r="C1534" s="1056"/>
      <c r="D1534" s="1056"/>
      <c r="E1534" s="1056"/>
      <c r="F1534" s="1056"/>
      <c r="G1534" s="1056"/>
      <c r="H1534" s="1056"/>
      <c r="I1534" s="1056"/>
      <c r="J1534" s="1056"/>
      <c r="K1534" s="1056"/>
      <c r="L1534" s="1056"/>
      <c r="M1534" s="274"/>
      <c r="P1534" s="264"/>
      <c r="Q1534" s="264"/>
      <c r="R1534" s="264"/>
      <c r="S1534" s="264"/>
      <c r="T1534" s="1056"/>
      <c r="U1534" s="1056"/>
      <c r="V1534" s="1056"/>
      <c r="W1534" s="1056"/>
      <c r="X1534" s="1056"/>
      <c r="Y1534" s="1056"/>
      <c r="Z1534" s="1056"/>
      <c r="AA1534" s="1056"/>
      <c r="AB1534" s="1056"/>
      <c r="AC1534" s="1056"/>
      <c r="AD1534" s="1056"/>
      <c r="AE1534" s="1056"/>
      <c r="AF1534" s="264"/>
    </row>
    <row r="1535" spans="1:32" s="268" customFormat="1" ht="15" x14ac:dyDescent="0.25">
      <c r="A1535" s="264"/>
      <c r="B1535" s="264"/>
      <c r="C1535" s="1056"/>
      <c r="D1535" s="1056"/>
      <c r="E1535" s="1056"/>
      <c r="F1535" s="1056"/>
      <c r="G1535" s="1056"/>
      <c r="H1535" s="1056"/>
      <c r="I1535" s="1056"/>
      <c r="J1535" s="1056"/>
      <c r="K1535" s="1056"/>
      <c r="L1535" s="1056"/>
      <c r="M1535" s="274"/>
      <c r="P1535" s="264"/>
      <c r="Q1535" s="264"/>
      <c r="R1535" s="264"/>
      <c r="S1535" s="264"/>
      <c r="T1535" s="1056"/>
      <c r="U1535" s="1056"/>
      <c r="V1535" s="1056"/>
      <c r="W1535" s="1056"/>
      <c r="X1535" s="1056"/>
      <c r="Y1535" s="1056"/>
      <c r="Z1535" s="1056"/>
      <c r="AA1535" s="1056"/>
      <c r="AB1535" s="1056"/>
      <c r="AC1535" s="1056"/>
      <c r="AD1535" s="1056"/>
      <c r="AE1535" s="1056"/>
      <c r="AF1535" s="264"/>
    </row>
    <row r="1536" spans="1:32" s="268" customFormat="1" ht="15" x14ac:dyDescent="0.25">
      <c r="A1536" s="264"/>
      <c r="B1536" s="264"/>
      <c r="C1536" s="1056"/>
      <c r="D1536" s="1056"/>
      <c r="E1536" s="1056"/>
      <c r="F1536" s="1056"/>
      <c r="G1536" s="1056"/>
      <c r="H1536" s="1056"/>
      <c r="I1536" s="1056"/>
      <c r="J1536" s="1056"/>
      <c r="K1536" s="1056"/>
      <c r="L1536" s="1056"/>
      <c r="M1536" s="274"/>
      <c r="P1536" s="264"/>
      <c r="Q1536" s="264"/>
      <c r="R1536" s="264"/>
      <c r="S1536" s="264"/>
      <c r="T1536" s="1056"/>
      <c r="U1536" s="1056"/>
      <c r="V1536" s="1056"/>
      <c r="W1536" s="1056"/>
      <c r="X1536" s="1056"/>
      <c r="Y1536" s="1056"/>
      <c r="Z1536" s="1056"/>
      <c r="AA1536" s="1056"/>
      <c r="AB1536" s="1056"/>
      <c r="AC1536" s="1056"/>
      <c r="AD1536" s="1056"/>
      <c r="AE1536" s="1056"/>
      <c r="AF1536" s="264"/>
    </row>
    <row r="1537" spans="1:32" s="268" customFormat="1" ht="15" x14ac:dyDescent="0.25">
      <c r="A1537" s="264"/>
      <c r="B1537" s="264"/>
      <c r="C1537" s="1056"/>
      <c r="D1537" s="1056"/>
      <c r="E1537" s="1056"/>
      <c r="F1537" s="1056"/>
      <c r="G1537" s="1056"/>
      <c r="H1537" s="1056"/>
      <c r="I1537" s="1056"/>
      <c r="J1537" s="1056"/>
      <c r="K1537" s="1056"/>
      <c r="L1537" s="1056"/>
      <c r="M1537" s="274"/>
      <c r="P1537" s="264"/>
      <c r="Q1537" s="264"/>
      <c r="R1537" s="264"/>
      <c r="S1537" s="264"/>
      <c r="T1537" s="1056"/>
      <c r="U1537" s="1056"/>
      <c r="V1537" s="1056"/>
      <c r="W1537" s="1056"/>
      <c r="X1537" s="1056"/>
      <c r="Y1537" s="1056"/>
      <c r="Z1537" s="1056"/>
      <c r="AA1537" s="1056"/>
      <c r="AB1537" s="1056"/>
      <c r="AC1537" s="1056"/>
      <c r="AD1537" s="1056"/>
      <c r="AE1537" s="1056"/>
      <c r="AF1537" s="264"/>
    </row>
    <row r="1538" spans="1:32" s="268" customFormat="1" ht="15" x14ac:dyDescent="0.25">
      <c r="A1538" s="264"/>
      <c r="B1538" s="264"/>
      <c r="C1538" s="1056"/>
      <c r="D1538" s="1056"/>
      <c r="E1538" s="1056"/>
      <c r="F1538" s="1056"/>
      <c r="G1538" s="1056"/>
      <c r="H1538" s="1056"/>
      <c r="I1538" s="1056"/>
      <c r="J1538" s="1056"/>
      <c r="K1538" s="1056"/>
      <c r="L1538" s="1056"/>
      <c r="M1538" s="274"/>
      <c r="P1538" s="264"/>
      <c r="Q1538" s="264"/>
      <c r="R1538" s="264"/>
      <c r="S1538" s="264"/>
      <c r="T1538" s="1056"/>
      <c r="U1538" s="1056"/>
      <c r="V1538" s="1056"/>
      <c r="W1538" s="1056"/>
      <c r="X1538" s="1056"/>
      <c r="Y1538" s="1056"/>
      <c r="Z1538" s="1056"/>
      <c r="AA1538" s="1056"/>
      <c r="AB1538" s="1056"/>
      <c r="AC1538" s="1056"/>
      <c r="AD1538" s="1056"/>
      <c r="AE1538" s="1056"/>
      <c r="AF1538" s="264"/>
    </row>
    <row r="1539" spans="1:32" s="268" customFormat="1" ht="15" x14ac:dyDescent="0.25">
      <c r="A1539" s="264"/>
      <c r="B1539" s="264"/>
      <c r="C1539" s="1056"/>
      <c r="D1539" s="1056"/>
      <c r="E1539" s="1056"/>
      <c r="F1539" s="1056"/>
      <c r="G1539" s="1056"/>
      <c r="H1539" s="1056"/>
      <c r="I1539" s="1056"/>
      <c r="J1539" s="1056"/>
      <c r="K1539" s="1056"/>
      <c r="L1539" s="1056"/>
      <c r="M1539" s="274"/>
      <c r="P1539" s="264"/>
      <c r="Q1539" s="264"/>
      <c r="R1539" s="264"/>
      <c r="S1539" s="264"/>
      <c r="T1539" s="1056"/>
      <c r="U1539" s="1056"/>
      <c r="V1539" s="1056"/>
      <c r="W1539" s="1056"/>
      <c r="X1539" s="1056"/>
      <c r="Y1539" s="1056"/>
      <c r="Z1539" s="1056"/>
      <c r="AA1539" s="1056"/>
      <c r="AB1539" s="1056"/>
      <c r="AC1539" s="1056"/>
      <c r="AD1539" s="1056"/>
      <c r="AE1539" s="1056"/>
      <c r="AF1539" s="264"/>
    </row>
    <row r="1540" spans="1:32" s="268" customFormat="1" ht="15" x14ac:dyDescent="0.25">
      <c r="A1540" s="264"/>
      <c r="B1540" s="264"/>
      <c r="C1540" s="1056"/>
      <c r="D1540" s="1056"/>
      <c r="E1540" s="1056"/>
      <c r="F1540" s="1056"/>
      <c r="G1540" s="1056"/>
      <c r="H1540" s="1056"/>
      <c r="I1540" s="1056"/>
      <c r="J1540" s="1056"/>
      <c r="K1540" s="1056"/>
      <c r="L1540" s="1056"/>
      <c r="M1540" s="274"/>
      <c r="P1540" s="264"/>
      <c r="Q1540" s="264"/>
      <c r="R1540" s="264"/>
      <c r="S1540" s="264"/>
      <c r="T1540" s="1056"/>
      <c r="U1540" s="1056"/>
      <c r="V1540" s="1056"/>
      <c r="W1540" s="1056"/>
      <c r="X1540" s="1056"/>
      <c r="Y1540" s="1056"/>
      <c r="Z1540" s="1056"/>
      <c r="AA1540" s="1056"/>
      <c r="AB1540" s="1056"/>
      <c r="AC1540" s="1056"/>
      <c r="AD1540" s="1056"/>
      <c r="AE1540" s="1056"/>
      <c r="AF1540" s="264"/>
    </row>
    <row r="1541" spans="1:32" s="268" customFormat="1" ht="15" x14ac:dyDescent="0.25">
      <c r="A1541" s="264"/>
      <c r="B1541" s="264"/>
      <c r="C1541" s="1056"/>
      <c r="D1541" s="1056"/>
      <c r="E1541" s="1056"/>
      <c r="F1541" s="1056"/>
      <c r="G1541" s="1056"/>
      <c r="H1541" s="1056"/>
      <c r="I1541" s="1056"/>
      <c r="J1541" s="1056"/>
      <c r="K1541" s="1056"/>
      <c r="L1541" s="1056"/>
      <c r="M1541" s="274"/>
      <c r="P1541" s="264"/>
      <c r="Q1541" s="264"/>
      <c r="R1541" s="264"/>
      <c r="S1541" s="264"/>
      <c r="T1541" s="1056"/>
      <c r="U1541" s="1056"/>
      <c r="V1541" s="1056"/>
      <c r="W1541" s="1056"/>
      <c r="X1541" s="1056"/>
      <c r="Y1541" s="1056"/>
      <c r="Z1541" s="1056"/>
      <c r="AA1541" s="1056"/>
      <c r="AB1541" s="1056"/>
      <c r="AC1541" s="1056"/>
      <c r="AD1541" s="1056"/>
      <c r="AE1541" s="1056"/>
      <c r="AF1541" s="264"/>
    </row>
    <row r="1542" spans="1:32" s="268" customFormat="1" ht="15" x14ac:dyDescent="0.25">
      <c r="A1542" s="264"/>
      <c r="B1542" s="264"/>
      <c r="C1542" s="1056"/>
      <c r="D1542" s="1056"/>
      <c r="E1542" s="1056"/>
      <c r="F1542" s="1056"/>
      <c r="G1542" s="1056"/>
      <c r="H1542" s="1056"/>
      <c r="I1542" s="1056"/>
      <c r="J1542" s="1056"/>
      <c r="K1542" s="1056"/>
      <c r="L1542" s="1056"/>
      <c r="M1542" s="274"/>
      <c r="P1542" s="264"/>
      <c r="Q1542" s="264"/>
      <c r="R1542" s="264"/>
      <c r="S1542" s="264"/>
      <c r="T1542" s="1056"/>
      <c r="U1542" s="1056"/>
      <c r="V1542" s="1056"/>
      <c r="W1542" s="1056"/>
      <c r="X1542" s="1056"/>
      <c r="Y1542" s="1056"/>
      <c r="Z1542" s="1056"/>
      <c r="AA1542" s="1056"/>
      <c r="AB1542" s="1056"/>
      <c r="AC1542" s="1056"/>
      <c r="AD1542" s="1056"/>
      <c r="AE1542" s="1056"/>
      <c r="AF1542" s="264"/>
    </row>
    <row r="1543" spans="1:32" s="268" customFormat="1" ht="15" x14ac:dyDescent="0.25">
      <c r="A1543" s="264"/>
      <c r="B1543" s="264"/>
      <c r="C1543" s="1056"/>
      <c r="D1543" s="1056"/>
      <c r="E1543" s="1056"/>
      <c r="F1543" s="1056"/>
      <c r="G1543" s="1056"/>
      <c r="H1543" s="1056"/>
      <c r="I1543" s="1056"/>
      <c r="J1543" s="1056"/>
      <c r="K1543" s="1056"/>
      <c r="L1543" s="1056"/>
      <c r="M1543" s="274"/>
      <c r="P1543" s="264"/>
      <c r="Q1543" s="264"/>
      <c r="R1543" s="264"/>
      <c r="S1543" s="264"/>
      <c r="T1543" s="1056"/>
      <c r="U1543" s="1056"/>
      <c r="V1543" s="1056"/>
      <c r="W1543" s="1056"/>
      <c r="X1543" s="1056"/>
      <c r="Y1543" s="1056"/>
      <c r="Z1543" s="1056"/>
      <c r="AA1543" s="1056"/>
      <c r="AB1543" s="1056"/>
      <c r="AC1543" s="1056"/>
      <c r="AD1543" s="1056"/>
      <c r="AE1543" s="1056"/>
      <c r="AF1543" s="264"/>
    </row>
    <row r="1544" spans="1:32" s="268" customFormat="1" ht="15" x14ac:dyDescent="0.25">
      <c r="A1544" s="264"/>
      <c r="B1544" s="264"/>
      <c r="C1544" s="1056"/>
      <c r="D1544" s="1056"/>
      <c r="E1544" s="1056"/>
      <c r="F1544" s="1056"/>
      <c r="G1544" s="1056"/>
      <c r="H1544" s="1056"/>
      <c r="I1544" s="1056"/>
      <c r="J1544" s="1056"/>
      <c r="K1544" s="1056"/>
      <c r="L1544" s="1056"/>
      <c r="M1544" s="274"/>
      <c r="P1544" s="264"/>
      <c r="Q1544" s="264"/>
      <c r="R1544" s="264"/>
      <c r="S1544" s="264"/>
      <c r="T1544" s="1056"/>
      <c r="U1544" s="1056"/>
      <c r="V1544" s="1056"/>
      <c r="W1544" s="1056"/>
      <c r="X1544" s="1056"/>
      <c r="Y1544" s="1056"/>
      <c r="Z1544" s="1056"/>
      <c r="AA1544" s="1056"/>
      <c r="AB1544" s="1056"/>
      <c r="AC1544" s="1056"/>
      <c r="AD1544" s="1056"/>
      <c r="AE1544" s="1056"/>
      <c r="AF1544" s="264"/>
    </row>
    <row r="1545" spans="1:32" s="268" customFormat="1" ht="15" x14ac:dyDescent="0.25">
      <c r="A1545" s="264"/>
      <c r="B1545" s="264"/>
      <c r="C1545" s="1056"/>
      <c r="D1545" s="1056"/>
      <c r="E1545" s="1056"/>
      <c r="F1545" s="1056"/>
      <c r="G1545" s="1056"/>
      <c r="H1545" s="1056"/>
      <c r="I1545" s="1056"/>
      <c r="J1545" s="1056"/>
      <c r="K1545" s="1056"/>
      <c r="L1545" s="1056"/>
      <c r="M1545" s="274"/>
      <c r="P1545" s="264"/>
      <c r="Q1545" s="264"/>
      <c r="R1545" s="264"/>
      <c r="S1545" s="264"/>
      <c r="T1545" s="1056"/>
      <c r="U1545" s="1056"/>
      <c r="V1545" s="1056"/>
      <c r="W1545" s="1056"/>
      <c r="X1545" s="1056"/>
      <c r="Y1545" s="1056"/>
      <c r="Z1545" s="1056"/>
      <c r="AA1545" s="1056"/>
      <c r="AB1545" s="1056"/>
      <c r="AC1545" s="1056"/>
      <c r="AD1545" s="1056"/>
      <c r="AE1545" s="1056"/>
      <c r="AF1545" s="264"/>
    </row>
    <row r="1546" spans="1:32" s="268" customFormat="1" ht="15" x14ac:dyDescent="0.25">
      <c r="A1546" s="264"/>
      <c r="B1546" s="264"/>
      <c r="C1546" s="1056"/>
      <c r="D1546" s="1056"/>
      <c r="E1546" s="1056"/>
      <c r="F1546" s="1056"/>
      <c r="G1546" s="1056"/>
      <c r="H1546" s="1056"/>
      <c r="I1546" s="1056"/>
      <c r="J1546" s="1056"/>
      <c r="K1546" s="1056"/>
      <c r="L1546" s="1056"/>
      <c r="M1546" s="274"/>
      <c r="P1546" s="264"/>
      <c r="Q1546" s="264"/>
      <c r="R1546" s="264"/>
      <c r="S1546" s="264"/>
      <c r="T1546" s="1056"/>
      <c r="U1546" s="1056"/>
      <c r="V1546" s="1056"/>
      <c r="W1546" s="1056"/>
      <c r="X1546" s="1056"/>
      <c r="Y1546" s="1056"/>
      <c r="Z1546" s="1056"/>
      <c r="AA1546" s="1056"/>
      <c r="AB1546" s="1056"/>
      <c r="AC1546" s="1056"/>
      <c r="AD1546" s="1056"/>
      <c r="AE1546" s="1056"/>
      <c r="AF1546" s="264"/>
    </row>
    <row r="1547" spans="1:32" s="268" customFormat="1" ht="15" x14ac:dyDescent="0.25">
      <c r="A1547" s="264"/>
      <c r="B1547" s="264"/>
      <c r="C1547" s="1056"/>
      <c r="D1547" s="1056"/>
      <c r="E1547" s="1056"/>
      <c r="F1547" s="1056"/>
      <c r="G1547" s="1056"/>
      <c r="H1547" s="1056"/>
      <c r="I1547" s="1056"/>
      <c r="J1547" s="1056"/>
      <c r="K1547" s="1056"/>
      <c r="L1547" s="1056"/>
      <c r="M1547" s="274"/>
      <c r="P1547" s="264"/>
      <c r="Q1547" s="264"/>
      <c r="R1547" s="264"/>
      <c r="S1547" s="264"/>
      <c r="T1547" s="1056"/>
      <c r="U1547" s="1056"/>
      <c r="V1547" s="1056"/>
      <c r="W1547" s="1056"/>
      <c r="X1547" s="1056"/>
      <c r="Y1547" s="1056"/>
      <c r="Z1547" s="1056"/>
      <c r="AA1547" s="1056"/>
      <c r="AB1547" s="1056"/>
      <c r="AC1547" s="1056"/>
      <c r="AD1547" s="1056"/>
      <c r="AE1547" s="1056"/>
      <c r="AF1547" s="264"/>
    </row>
    <row r="1548" spans="1:32" s="268" customFormat="1" ht="15" x14ac:dyDescent="0.25">
      <c r="A1548" s="264"/>
      <c r="B1548" s="264"/>
      <c r="C1548" s="1056"/>
      <c r="D1548" s="1056"/>
      <c r="E1548" s="1056"/>
      <c r="F1548" s="1056"/>
      <c r="G1548" s="1056"/>
      <c r="H1548" s="1056"/>
      <c r="I1548" s="1056"/>
      <c r="J1548" s="1056"/>
      <c r="K1548" s="1056"/>
      <c r="L1548" s="1056"/>
      <c r="M1548" s="274"/>
      <c r="P1548" s="264"/>
      <c r="Q1548" s="264"/>
      <c r="R1548" s="264"/>
      <c r="S1548" s="264"/>
      <c r="T1548" s="1056"/>
      <c r="U1548" s="1056"/>
      <c r="V1548" s="1056"/>
      <c r="W1548" s="1056"/>
      <c r="X1548" s="1056"/>
      <c r="Y1548" s="1056"/>
      <c r="Z1548" s="1056"/>
      <c r="AA1548" s="1056"/>
      <c r="AB1548" s="1056"/>
      <c r="AC1548" s="1056"/>
      <c r="AD1548" s="1056"/>
      <c r="AE1548" s="1056"/>
      <c r="AF1548" s="264"/>
    </row>
    <row r="1549" spans="1:32" s="268" customFormat="1" ht="15" x14ac:dyDescent="0.25">
      <c r="A1549" s="264"/>
      <c r="B1549" s="264"/>
      <c r="C1549" s="1056"/>
      <c r="D1549" s="1056"/>
      <c r="E1549" s="1056"/>
      <c r="F1549" s="1056"/>
      <c r="G1549" s="1056"/>
      <c r="H1549" s="1056"/>
      <c r="I1549" s="1056"/>
      <c r="J1549" s="1056"/>
      <c r="K1549" s="1056"/>
      <c r="L1549" s="1056"/>
      <c r="M1549" s="274"/>
      <c r="P1549" s="264"/>
      <c r="Q1549" s="264"/>
      <c r="R1549" s="264"/>
      <c r="S1549" s="264"/>
      <c r="T1549" s="1056"/>
      <c r="U1549" s="1056"/>
      <c r="V1549" s="1056"/>
      <c r="W1549" s="1056"/>
      <c r="X1549" s="1056"/>
      <c r="Y1549" s="1056"/>
      <c r="Z1549" s="1056"/>
      <c r="AA1549" s="1056"/>
      <c r="AB1549" s="1056"/>
      <c r="AC1549" s="1056"/>
      <c r="AD1549" s="1056"/>
      <c r="AE1549" s="1056"/>
      <c r="AF1549" s="264"/>
    </row>
    <row r="1550" spans="1:32" s="268" customFormat="1" ht="15" x14ac:dyDescent="0.25">
      <c r="A1550" s="264"/>
      <c r="B1550" s="264"/>
      <c r="C1550" s="1056"/>
      <c r="D1550" s="1056"/>
      <c r="E1550" s="1056"/>
      <c r="F1550" s="1056"/>
      <c r="G1550" s="1056"/>
      <c r="H1550" s="1056"/>
      <c r="I1550" s="1056"/>
      <c r="J1550" s="1056"/>
      <c r="K1550" s="1056"/>
      <c r="L1550" s="1056"/>
      <c r="M1550" s="274"/>
      <c r="P1550" s="264"/>
      <c r="Q1550" s="264"/>
      <c r="R1550" s="264"/>
      <c r="S1550" s="264"/>
      <c r="T1550" s="1056"/>
      <c r="U1550" s="1056"/>
      <c r="V1550" s="1056"/>
      <c r="W1550" s="1056"/>
      <c r="X1550" s="1056"/>
      <c r="Y1550" s="1056"/>
      <c r="Z1550" s="1056"/>
      <c r="AA1550" s="1056"/>
      <c r="AB1550" s="1056"/>
      <c r="AC1550" s="1056"/>
      <c r="AD1550" s="1056"/>
      <c r="AE1550" s="1056"/>
      <c r="AF1550" s="264"/>
    </row>
    <row r="1551" spans="1:32" s="268" customFormat="1" ht="15" x14ac:dyDescent="0.25">
      <c r="A1551" s="264"/>
      <c r="B1551" s="264"/>
      <c r="C1551" s="1056"/>
      <c r="D1551" s="1056"/>
      <c r="E1551" s="1056"/>
      <c r="F1551" s="1056"/>
      <c r="G1551" s="1056"/>
      <c r="H1551" s="1056"/>
      <c r="I1551" s="1056"/>
      <c r="J1551" s="1056"/>
      <c r="K1551" s="1056"/>
      <c r="L1551" s="1056"/>
      <c r="M1551" s="274"/>
      <c r="P1551" s="264"/>
      <c r="Q1551" s="264"/>
      <c r="R1551" s="264"/>
      <c r="S1551" s="264"/>
      <c r="T1551" s="1056"/>
      <c r="U1551" s="1056"/>
      <c r="V1551" s="1056"/>
      <c r="W1551" s="1056"/>
      <c r="X1551" s="1056"/>
      <c r="Y1551" s="1056"/>
      <c r="Z1551" s="1056"/>
      <c r="AA1551" s="1056"/>
      <c r="AB1551" s="1056"/>
      <c r="AC1551" s="1056"/>
      <c r="AD1551" s="1056"/>
      <c r="AE1551" s="1056"/>
      <c r="AF1551" s="264"/>
    </row>
    <row r="1552" spans="1:32" s="268" customFormat="1" ht="15" x14ac:dyDescent="0.25">
      <c r="A1552" s="264"/>
      <c r="B1552" s="264"/>
      <c r="C1552" s="1056"/>
      <c r="D1552" s="1056"/>
      <c r="E1552" s="1056"/>
      <c r="F1552" s="1056"/>
      <c r="G1552" s="1056"/>
      <c r="H1552" s="1056"/>
      <c r="I1552" s="1056"/>
      <c r="J1552" s="1056"/>
      <c r="K1552" s="1056"/>
      <c r="L1552" s="1056"/>
      <c r="M1552" s="274"/>
      <c r="P1552" s="264"/>
      <c r="Q1552" s="264"/>
      <c r="R1552" s="264"/>
      <c r="S1552" s="264"/>
      <c r="T1552" s="1056"/>
      <c r="U1552" s="1056"/>
      <c r="V1552" s="1056"/>
      <c r="W1552" s="1056"/>
      <c r="X1552" s="1056"/>
      <c r="Y1552" s="1056"/>
      <c r="Z1552" s="1056"/>
      <c r="AA1552" s="1056"/>
      <c r="AB1552" s="1056"/>
      <c r="AC1552" s="1056"/>
      <c r="AD1552" s="1056"/>
      <c r="AE1552" s="1056"/>
      <c r="AF1552" s="264"/>
    </row>
    <row r="1553" spans="1:32" s="268" customFormat="1" ht="15" x14ac:dyDescent="0.25">
      <c r="A1553" s="264"/>
      <c r="B1553" s="264"/>
      <c r="C1553" s="1056"/>
      <c r="D1553" s="1056"/>
      <c r="E1553" s="1056"/>
      <c r="F1553" s="1056"/>
      <c r="G1553" s="1056"/>
      <c r="H1553" s="1056"/>
      <c r="I1553" s="1056"/>
      <c r="J1553" s="1056"/>
      <c r="K1553" s="1056"/>
      <c r="L1553" s="1056"/>
      <c r="M1553" s="274"/>
      <c r="P1553" s="264"/>
      <c r="Q1553" s="264"/>
      <c r="R1553" s="264"/>
      <c r="S1553" s="264"/>
      <c r="T1553" s="1056"/>
      <c r="U1553" s="1056"/>
      <c r="V1553" s="1056"/>
      <c r="W1553" s="1056"/>
      <c r="X1553" s="1056"/>
      <c r="Y1553" s="1056"/>
      <c r="Z1553" s="1056"/>
      <c r="AA1553" s="1056"/>
      <c r="AB1553" s="1056"/>
      <c r="AC1553" s="1056"/>
      <c r="AD1553" s="1056"/>
      <c r="AE1553" s="1056"/>
      <c r="AF1553" s="264"/>
    </row>
    <row r="1554" spans="1:32" s="268" customFormat="1" ht="15" x14ac:dyDescent="0.25">
      <c r="A1554" s="264"/>
      <c r="B1554" s="264"/>
      <c r="C1554" s="1056"/>
      <c r="D1554" s="1056"/>
      <c r="E1554" s="1056"/>
      <c r="F1554" s="1056"/>
      <c r="G1554" s="1056"/>
      <c r="H1554" s="1056"/>
      <c r="I1554" s="1056"/>
      <c r="J1554" s="1056"/>
      <c r="K1554" s="1056"/>
      <c r="L1554" s="1056"/>
      <c r="M1554" s="274"/>
      <c r="P1554" s="264"/>
      <c r="Q1554" s="264"/>
      <c r="R1554" s="264"/>
      <c r="S1554" s="264"/>
      <c r="T1554" s="1056"/>
      <c r="U1554" s="1056"/>
      <c r="V1554" s="1056"/>
      <c r="W1554" s="1056"/>
      <c r="X1554" s="1056"/>
      <c r="Y1554" s="1056"/>
      <c r="Z1554" s="1056"/>
      <c r="AA1554" s="1056"/>
      <c r="AB1554" s="1056"/>
      <c r="AC1554" s="1056"/>
      <c r="AD1554" s="1056"/>
      <c r="AE1554" s="1056"/>
      <c r="AF1554" s="264"/>
    </row>
    <row r="1555" spans="1:32" s="268" customFormat="1" ht="15" x14ac:dyDescent="0.25">
      <c r="A1555" s="264"/>
      <c r="B1555" s="264"/>
      <c r="C1555" s="1056"/>
      <c r="D1555" s="1056"/>
      <c r="E1555" s="1056"/>
      <c r="F1555" s="1056"/>
      <c r="G1555" s="1056"/>
      <c r="H1555" s="1056"/>
      <c r="I1555" s="1056"/>
      <c r="J1555" s="1056"/>
      <c r="K1555" s="1056"/>
      <c r="L1555" s="1056"/>
      <c r="M1555" s="274"/>
      <c r="P1555" s="264"/>
      <c r="Q1555" s="264"/>
      <c r="R1555" s="264"/>
      <c r="S1555" s="264"/>
      <c r="T1555" s="1056"/>
      <c r="U1555" s="1056"/>
      <c r="V1555" s="1056"/>
      <c r="W1555" s="1056"/>
      <c r="X1555" s="1056"/>
      <c r="Y1555" s="1056"/>
      <c r="Z1555" s="1056"/>
      <c r="AA1555" s="1056"/>
      <c r="AB1555" s="1056"/>
      <c r="AC1555" s="1056"/>
      <c r="AD1555" s="1056"/>
      <c r="AE1555" s="1056"/>
      <c r="AF1555" s="264"/>
    </row>
    <row r="1556" spans="1:32" s="268" customFormat="1" ht="15" x14ac:dyDescent="0.25">
      <c r="A1556" s="264"/>
      <c r="B1556" s="264"/>
      <c r="C1556" s="1056"/>
      <c r="D1556" s="1056"/>
      <c r="E1556" s="1056"/>
      <c r="F1556" s="1056"/>
      <c r="G1556" s="1056"/>
      <c r="H1556" s="1056"/>
      <c r="I1556" s="1056"/>
      <c r="J1556" s="1056"/>
      <c r="K1556" s="1056"/>
      <c r="L1556" s="1056"/>
      <c r="M1556" s="274"/>
      <c r="P1556" s="264"/>
      <c r="Q1556" s="264"/>
      <c r="R1556" s="264"/>
      <c r="S1556" s="264"/>
      <c r="T1556" s="1056"/>
      <c r="U1556" s="1056"/>
      <c r="V1556" s="1056"/>
      <c r="W1556" s="1056"/>
      <c r="X1556" s="1056"/>
      <c r="Y1556" s="1056"/>
      <c r="Z1556" s="1056"/>
      <c r="AA1556" s="1056"/>
      <c r="AB1556" s="1056"/>
      <c r="AC1556" s="1056"/>
      <c r="AD1556" s="1056"/>
      <c r="AE1556" s="1056"/>
      <c r="AF1556" s="264"/>
    </row>
    <row r="1557" spans="1:32" s="268" customFormat="1" ht="15" x14ac:dyDescent="0.25">
      <c r="A1557" s="264"/>
      <c r="B1557" s="264"/>
      <c r="C1557" s="1056"/>
      <c r="D1557" s="1056"/>
      <c r="E1557" s="1056"/>
      <c r="F1557" s="1056"/>
      <c r="G1557" s="1056"/>
      <c r="H1557" s="1056"/>
      <c r="I1557" s="1056"/>
      <c r="J1557" s="1056"/>
      <c r="K1557" s="1056"/>
      <c r="L1557" s="1056"/>
      <c r="M1557" s="274"/>
      <c r="P1557" s="264"/>
      <c r="Q1557" s="264"/>
      <c r="R1557" s="264"/>
      <c r="S1557" s="264"/>
      <c r="T1557" s="1056"/>
      <c r="U1557" s="1056"/>
      <c r="V1557" s="1056"/>
      <c r="W1557" s="1056"/>
      <c r="X1557" s="1056"/>
      <c r="Y1557" s="1056"/>
      <c r="Z1557" s="1056"/>
      <c r="AA1557" s="1056"/>
      <c r="AB1557" s="1056"/>
      <c r="AC1557" s="1056"/>
      <c r="AD1557" s="1056"/>
      <c r="AE1557" s="1056"/>
      <c r="AF1557" s="264"/>
    </row>
    <row r="1558" spans="1:32" s="268" customFormat="1" ht="15" x14ac:dyDescent="0.25">
      <c r="A1558" s="264"/>
      <c r="B1558" s="264"/>
      <c r="C1558" s="1056"/>
      <c r="D1558" s="1056"/>
      <c r="E1558" s="1056"/>
      <c r="F1558" s="1056"/>
      <c r="G1558" s="1056"/>
      <c r="H1558" s="1056"/>
      <c r="I1558" s="1056"/>
      <c r="J1558" s="1056"/>
      <c r="K1558" s="1056"/>
      <c r="L1558" s="1056"/>
      <c r="M1558" s="274"/>
      <c r="P1558" s="264"/>
      <c r="Q1558" s="264"/>
      <c r="R1558" s="264"/>
      <c r="S1558" s="264"/>
      <c r="T1558" s="1056"/>
      <c r="U1558" s="1056"/>
      <c r="V1558" s="1056"/>
      <c r="W1558" s="1056"/>
      <c r="X1558" s="1056"/>
      <c r="Y1558" s="1056"/>
      <c r="Z1558" s="1056"/>
      <c r="AA1558" s="1056"/>
      <c r="AB1558" s="1056"/>
      <c r="AC1558" s="1056"/>
      <c r="AD1558" s="1056"/>
      <c r="AE1558" s="1056"/>
      <c r="AF1558" s="264"/>
    </row>
    <row r="1559" spans="1:32" s="268" customFormat="1" ht="15" x14ac:dyDescent="0.25">
      <c r="A1559" s="264"/>
      <c r="B1559" s="264"/>
      <c r="C1559" s="1056"/>
      <c r="D1559" s="1056"/>
      <c r="E1559" s="1056"/>
      <c r="F1559" s="1056"/>
      <c r="G1559" s="1056"/>
      <c r="H1559" s="1056"/>
      <c r="I1559" s="1056"/>
      <c r="J1559" s="1056"/>
      <c r="K1559" s="1056"/>
      <c r="L1559" s="1056"/>
      <c r="M1559" s="274"/>
      <c r="P1559" s="264"/>
      <c r="Q1559" s="264"/>
      <c r="R1559" s="264"/>
      <c r="S1559" s="264"/>
      <c r="T1559" s="1056"/>
      <c r="U1559" s="1056"/>
      <c r="V1559" s="1056"/>
      <c r="W1559" s="1056"/>
      <c r="X1559" s="1056"/>
      <c r="Y1559" s="1056"/>
      <c r="Z1559" s="1056"/>
      <c r="AA1559" s="1056"/>
      <c r="AB1559" s="1056"/>
      <c r="AC1559" s="1056"/>
      <c r="AD1559" s="1056"/>
      <c r="AE1559" s="1056"/>
      <c r="AF1559" s="264"/>
    </row>
    <row r="1560" spans="1:32" s="268" customFormat="1" ht="15" x14ac:dyDescent="0.25">
      <c r="A1560" s="264"/>
      <c r="B1560" s="264"/>
      <c r="C1560" s="1056"/>
      <c r="D1560" s="1056"/>
      <c r="E1560" s="1056"/>
      <c r="F1560" s="1056"/>
      <c r="G1560" s="1056"/>
      <c r="H1560" s="1056"/>
      <c r="I1560" s="1056"/>
      <c r="J1560" s="1056"/>
      <c r="K1560" s="1056"/>
      <c r="L1560" s="1056"/>
      <c r="M1560" s="274"/>
      <c r="P1560" s="264"/>
      <c r="Q1560" s="264"/>
      <c r="R1560" s="264"/>
      <c r="S1560" s="264"/>
      <c r="T1560" s="1056"/>
      <c r="U1560" s="1056"/>
      <c r="V1560" s="1056"/>
      <c r="W1560" s="1056"/>
      <c r="X1560" s="1056"/>
      <c r="Y1560" s="1056"/>
      <c r="Z1560" s="1056"/>
      <c r="AA1560" s="1056"/>
      <c r="AB1560" s="1056"/>
      <c r="AC1560" s="1056"/>
      <c r="AD1560" s="1056"/>
      <c r="AE1560" s="1056"/>
      <c r="AF1560" s="264"/>
    </row>
    <row r="1561" spans="1:32" s="268" customFormat="1" ht="15" x14ac:dyDescent="0.25">
      <c r="A1561" s="264"/>
      <c r="B1561" s="264"/>
      <c r="C1561" s="1056"/>
      <c r="D1561" s="1056"/>
      <c r="E1561" s="1056"/>
      <c r="F1561" s="1056"/>
      <c r="G1561" s="1056"/>
      <c r="H1561" s="1056"/>
      <c r="I1561" s="1056"/>
      <c r="J1561" s="1056"/>
      <c r="K1561" s="1056"/>
      <c r="L1561" s="1056"/>
      <c r="M1561" s="274"/>
      <c r="P1561" s="264"/>
      <c r="Q1561" s="264"/>
      <c r="R1561" s="264"/>
      <c r="S1561" s="264"/>
      <c r="T1561" s="1056"/>
      <c r="U1561" s="1056"/>
      <c r="V1561" s="1056"/>
      <c r="W1561" s="1056"/>
      <c r="X1561" s="1056"/>
      <c r="Y1561" s="1056"/>
      <c r="Z1561" s="1056"/>
      <c r="AA1561" s="1056"/>
      <c r="AB1561" s="1056"/>
      <c r="AC1561" s="1056"/>
      <c r="AD1561" s="1056"/>
      <c r="AE1561" s="1056"/>
      <c r="AF1561" s="264"/>
    </row>
    <row r="1562" spans="1:32" s="268" customFormat="1" ht="15" x14ac:dyDescent="0.25">
      <c r="A1562" s="264"/>
      <c r="B1562" s="264"/>
      <c r="C1562" s="1056"/>
      <c r="D1562" s="1056"/>
      <c r="E1562" s="1056"/>
      <c r="F1562" s="1056"/>
      <c r="G1562" s="1056"/>
      <c r="H1562" s="1056"/>
      <c r="I1562" s="1056"/>
      <c r="J1562" s="1056"/>
      <c r="K1562" s="1056"/>
      <c r="L1562" s="1056"/>
      <c r="M1562" s="274"/>
      <c r="P1562" s="264"/>
      <c r="Q1562" s="264"/>
      <c r="R1562" s="264"/>
      <c r="S1562" s="264"/>
      <c r="T1562" s="1056"/>
      <c r="U1562" s="1056"/>
      <c r="V1562" s="1056"/>
      <c r="W1562" s="1056"/>
      <c r="X1562" s="1056"/>
      <c r="Y1562" s="1056"/>
      <c r="Z1562" s="1056"/>
      <c r="AA1562" s="1056"/>
      <c r="AB1562" s="1056"/>
      <c r="AC1562" s="1056"/>
      <c r="AD1562" s="1056"/>
      <c r="AE1562" s="1056"/>
      <c r="AF1562" s="264"/>
    </row>
    <row r="1563" spans="1:32" s="268" customFormat="1" ht="15" x14ac:dyDescent="0.25">
      <c r="A1563" s="264"/>
      <c r="B1563" s="264"/>
      <c r="C1563" s="1056"/>
      <c r="D1563" s="1056"/>
      <c r="E1563" s="1056"/>
      <c r="F1563" s="1056"/>
      <c r="G1563" s="1056"/>
      <c r="H1563" s="1056"/>
      <c r="I1563" s="1056"/>
      <c r="J1563" s="1056"/>
      <c r="K1563" s="1056"/>
      <c r="L1563" s="1056"/>
      <c r="M1563" s="274"/>
      <c r="P1563" s="264"/>
      <c r="Q1563" s="264"/>
      <c r="R1563" s="264"/>
      <c r="S1563" s="264"/>
      <c r="T1563" s="1056"/>
      <c r="U1563" s="1056"/>
      <c r="V1563" s="1056"/>
      <c r="W1563" s="1056"/>
      <c r="X1563" s="1056"/>
      <c r="Y1563" s="1056"/>
      <c r="Z1563" s="1056"/>
      <c r="AA1563" s="1056"/>
      <c r="AB1563" s="1056"/>
      <c r="AC1563" s="1056"/>
      <c r="AD1563" s="1056"/>
      <c r="AE1563" s="1056"/>
      <c r="AF1563" s="264"/>
    </row>
    <row r="1564" spans="1:32" s="268" customFormat="1" ht="15" x14ac:dyDescent="0.25">
      <c r="A1564" s="264"/>
      <c r="B1564" s="264"/>
      <c r="C1564" s="1056"/>
      <c r="D1564" s="1056"/>
      <c r="E1564" s="1056"/>
      <c r="F1564" s="1056"/>
      <c r="G1564" s="1056"/>
      <c r="H1564" s="1056"/>
      <c r="I1564" s="1056"/>
      <c r="J1564" s="1056"/>
      <c r="K1564" s="1056"/>
      <c r="L1564" s="1056"/>
      <c r="M1564" s="274"/>
      <c r="P1564" s="264"/>
      <c r="Q1564" s="264"/>
      <c r="R1564" s="264"/>
      <c r="S1564" s="264"/>
      <c r="T1564" s="1056"/>
      <c r="U1564" s="1056"/>
      <c r="V1564" s="1056"/>
      <c r="W1564" s="1056"/>
      <c r="X1564" s="1056"/>
      <c r="Y1564" s="1056"/>
      <c r="Z1564" s="1056"/>
      <c r="AA1564" s="1056"/>
      <c r="AB1564" s="1056"/>
      <c r="AC1564" s="1056"/>
      <c r="AD1564" s="1056"/>
      <c r="AE1564" s="1056"/>
      <c r="AF1564" s="264"/>
    </row>
    <row r="1565" spans="1:32" s="268" customFormat="1" ht="15" x14ac:dyDescent="0.25">
      <c r="A1565" s="264"/>
      <c r="B1565" s="264"/>
      <c r="C1565" s="1056"/>
      <c r="D1565" s="1056"/>
      <c r="E1565" s="1056"/>
      <c r="F1565" s="1056"/>
      <c r="G1565" s="1056"/>
      <c r="H1565" s="1056"/>
      <c r="I1565" s="1056"/>
      <c r="J1565" s="1056"/>
      <c r="K1565" s="1056"/>
      <c r="L1565" s="1056"/>
      <c r="M1565" s="274"/>
      <c r="P1565" s="264"/>
      <c r="Q1565" s="264"/>
      <c r="R1565" s="264"/>
      <c r="S1565" s="264"/>
      <c r="T1565" s="1056"/>
      <c r="U1565" s="1056"/>
      <c r="V1565" s="1056"/>
      <c r="W1565" s="1056"/>
      <c r="X1565" s="1056"/>
      <c r="Y1565" s="1056"/>
      <c r="Z1565" s="1056"/>
      <c r="AA1565" s="1056"/>
      <c r="AB1565" s="1056"/>
      <c r="AC1565" s="1056"/>
      <c r="AD1565" s="1056"/>
      <c r="AE1565" s="1056"/>
      <c r="AF1565" s="264"/>
    </row>
    <row r="1566" spans="1:32" s="268" customFormat="1" ht="15" x14ac:dyDescent="0.25">
      <c r="A1566" s="264"/>
      <c r="B1566" s="264"/>
      <c r="C1566" s="1056"/>
      <c r="D1566" s="1056"/>
      <c r="E1566" s="1056"/>
      <c r="F1566" s="1056"/>
      <c r="G1566" s="1056"/>
      <c r="H1566" s="1056"/>
      <c r="I1566" s="1056"/>
      <c r="J1566" s="1056"/>
      <c r="K1566" s="1056"/>
      <c r="L1566" s="1056"/>
      <c r="M1566" s="274"/>
      <c r="P1566" s="264"/>
      <c r="Q1566" s="264"/>
      <c r="R1566" s="264"/>
      <c r="S1566" s="264"/>
      <c r="T1566" s="1056"/>
      <c r="U1566" s="1056"/>
      <c r="V1566" s="1056"/>
      <c r="W1566" s="1056"/>
      <c r="X1566" s="1056"/>
      <c r="Y1566" s="1056"/>
      <c r="Z1566" s="1056"/>
      <c r="AA1566" s="1056"/>
      <c r="AB1566" s="1056"/>
      <c r="AC1566" s="1056"/>
      <c r="AD1566" s="1056"/>
      <c r="AE1566" s="1056"/>
      <c r="AF1566" s="264"/>
    </row>
    <row r="1567" spans="1:32" s="268" customFormat="1" ht="15" x14ac:dyDescent="0.25">
      <c r="A1567" s="264"/>
      <c r="B1567" s="264"/>
      <c r="C1567" s="1056"/>
      <c r="D1567" s="1056"/>
      <c r="E1567" s="1056"/>
      <c r="F1567" s="1056"/>
      <c r="G1567" s="1056"/>
      <c r="H1567" s="1056"/>
      <c r="I1567" s="1056"/>
      <c r="J1567" s="1056"/>
      <c r="K1567" s="1056"/>
      <c r="L1567" s="1056"/>
      <c r="M1567" s="274"/>
      <c r="P1567" s="264"/>
      <c r="Q1567" s="264"/>
      <c r="R1567" s="264"/>
      <c r="S1567" s="264"/>
      <c r="T1567" s="1056"/>
      <c r="U1567" s="1056"/>
      <c r="V1567" s="1056"/>
      <c r="W1567" s="1056"/>
      <c r="X1567" s="1056"/>
      <c r="Y1567" s="1056"/>
      <c r="Z1567" s="1056"/>
      <c r="AA1567" s="1056"/>
      <c r="AB1567" s="1056"/>
      <c r="AC1567" s="1056"/>
      <c r="AD1567" s="1056"/>
      <c r="AE1567" s="1056"/>
      <c r="AF1567" s="264"/>
    </row>
    <row r="1568" spans="1:32" s="268" customFormat="1" ht="15" x14ac:dyDescent="0.25">
      <c r="A1568" s="264"/>
      <c r="B1568" s="264"/>
      <c r="C1568" s="1056"/>
      <c r="D1568" s="1056"/>
      <c r="E1568" s="1056"/>
      <c r="F1568" s="1056"/>
      <c r="G1568" s="1056"/>
      <c r="H1568" s="1056"/>
      <c r="I1568" s="1056"/>
      <c r="J1568" s="1056"/>
      <c r="K1568" s="1056"/>
      <c r="L1568" s="1056"/>
      <c r="M1568" s="274"/>
      <c r="P1568" s="264"/>
      <c r="Q1568" s="264"/>
      <c r="R1568" s="264"/>
      <c r="S1568" s="264"/>
      <c r="T1568" s="1056"/>
      <c r="U1568" s="1056"/>
      <c r="V1568" s="1056"/>
      <c r="W1568" s="1056"/>
      <c r="X1568" s="1056"/>
      <c r="Y1568" s="1056"/>
      <c r="Z1568" s="1056"/>
      <c r="AA1568" s="1056"/>
      <c r="AB1568" s="1056"/>
      <c r="AC1568" s="1056"/>
      <c r="AD1568" s="1056"/>
      <c r="AE1568" s="1056"/>
      <c r="AF1568" s="264"/>
    </row>
    <row r="1569" spans="1:32" s="268" customFormat="1" ht="15" x14ac:dyDescent="0.25">
      <c r="A1569" s="264"/>
      <c r="B1569" s="264"/>
      <c r="C1569" s="1056"/>
      <c r="D1569" s="1056"/>
      <c r="E1569" s="1056"/>
      <c r="F1569" s="1056"/>
      <c r="G1569" s="1056"/>
      <c r="H1569" s="1056"/>
      <c r="I1569" s="1056"/>
      <c r="J1569" s="1056"/>
      <c r="K1569" s="1056"/>
      <c r="L1569" s="1056"/>
      <c r="M1569" s="274"/>
      <c r="P1569" s="264"/>
      <c r="Q1569" s="264"/>
      <c r="R1569" s="264"/>
      <c r="S1569" s="264"/>
      <c r="T1569" s="1056"/>
      <c r="U1569" s="1056"/>
      <c r="V1569" s="1056"/>
      <c r="W1569" s="1056"/>
      <c r="X1569" s="1056"/>
      <c r="Y1569" s="1056"/>
      <c r="Z1569" s="1056"/>
      <c r="AA1569" s="1056"/>
      <c r="AB1569" s="1056"/>
      <c r="AC1569" s="1056"/>
      <c r="AD1569" s="1056"/>
      <c r="AE1569" s="1056"/>
      <c r="AF1569" s="264"/>
    </row>
    <row r="1570" spans="1:32" s="268" customFormat="1" ht="15" x14ac:dyDescent="0.25">
      <c r="A1570" s="264"/>
      <c r="B1570" s="264"/>
      <c r="C1570" s="1056"/>
      <c r="D1570" s="1056"/>
      <c r="E1570" s="1056"/>
      <c r="F1570" s="1056"/>
      <c r="G1570" s="1056"/>
      <c r="H1570" s="1056"/>
      <c r="I1570" s="1056"/>
      <c r="J1570" s="1056"/>
      <c r="K1570" s="1056"/>
      <c r="L1570" s="1056"/>
      <c r="M1570" s="274"/>
      <c r="P1570" s="264"/>
      <c r="Q1570" s="264"/>
      <c r="R1570" s="264"/>
      <c r="S1570" s="264"/>
      <c r="T1570" s="1056"/>
      <c r="U1570" s="1056"/>
      <c r="V1570" s="1056"/>
      <c r="W1570" s="1056"/>
      <c r="X1570" s="1056"/>
      <c r="Y1570" s="1056"/>
      <c r="Z1570" s="1056"/>
      <c r="AA1570" s="1056"/>
      <c r="AB1570" s="1056"/>
      <c r="AC1570" s="1056"/>
      <c r="AD1570" s="1056"/>
      <c r="AE1570" s="1056"/>
      <c r="AF1570" s="264"/>
    </row>
    <row r="1571" spans="1:32" s="268" customFormat="1" ht="15" x14ac:dyDescent="0.25">
      <c r="A1571" s="264"/>
      <c r="B1571" s="264"/>
      <c r="C1571" s="1056"/>
      <c r="D1571" s="1056"/>
      <c r="E1571" s="1056"/>
      <c r="F1571" s="1056"/>
      <c r="G1571" s="1056"/>
      <c r="H1571" s="1056"/>
      <c r="I1571" s="1056"/>
      <c r="J1571" s="1056"/>
      <c r="K1571" s="1056"/>
      <c r="L1571" s="1056"/>
      <c r="M1571" s="274"/>
      <c r="P1571" s="264"/>
      <c r="Q1571" s="264"/>
      <c r="R1571" s="264"/>
      <c r="S1571" s="264"/>
      <c r="T1571" s="1056"/>
      <c r="U1571" s="1056"/>
      <c r="V1571" s="1056"/>
      <c r="W1571" s="1056"/>
      <c r="X1571" s="1056"/>
      <c r="Y1571" s="1056"/>
      <c r="Z1571" s="1056"/>
      <c r="AA1571" s="1056"/>
      <c r="AB1571" s="1056"/>
      <c r="AC1571" s="1056"/>
      <c r="AD1571" s="1056"/>
      <c r="AE1571" s="1056"/>
      <c r="AF1571" s="264"/>
    </row>
    <row r="1572" spans="1:32" s="268" customFormat="1" ht="15" x14ac:dyDescent="0.25">
      <c r="A1572" s="264"/>
      <c r="B1572" s="264"/>
      <c r="C1572" s="1056"/>
      <c r="D1572" s="1056"/>
      <c r="E1572" s="1056"/>
      <c r="F1572" s="1056"/>
      <c r="G1572" s="1056"/>
      <c r="H1572" s="1056"/>
      <c r="I1572" s="1056"/>
      <c r="J1572" s="1056"/>
      <c r="K1572" s="1056"/>
      <c r="L1572" s="1056"/>
      <c r="M1572" s="274"/>
      <c r="P1572" s="264"/>
      <c r="Q1572" s="264"/>
      <c r="R1572" s="264"/>
      <c r="S1572" s="264"/>
      <c r="T1572" s="1056"/>
      <c r="U1572" s="1056"/>
      <c r="V1572" s="1056"/>
      <c r="W1572" s="1056"/>
      <c r="X1572" s="1056"/>
      <c r="Y1572" s="1056"/>
      <c r="Z1572" s="1056"/>
      <c r="AA1572" s="1056"/>
      <c r="AB1572" s="1056"/>
      <c r="AC1572" s="1056"/>
      <c r="AD1572" s="1056"/>
      <c r="AE1572" s="1056"/>
      <c r="AF1572" s="264"/>
    </row>
    <row r="1573" spans="1:32" s="268" customFormat="1" ht="15" x14ac:dyDescent="0.25">
      <c r="A1573" s="264"/>
      <c r="B1573" s="264"/>
      <c r="C1573" s="1056"/>
      <c r="D1573" s="1056"/>
      <c r="E1573" s="1056"/>
      <c r="F1573" s="1056"/>
      <c r="G1573" s="1056"/>
      <c r="H1573" s="1056"/>
      <c r="I1573" s="1056"/>
      <c r="J1573" s="1056"/>
      <c r="K1573" s="1056"/>
      <c r="L1573" s="1056"/>
      <c r="M1573" s="274"/>
      <c r="P1573" s="264"/>
      <c r="Q1573" s="264"/>
      <c r="R1573" s="264"/>
      <c r="S1573" s="264"/>
      <c r="T1573" s="1056"/>
      <c r="U1573" s="1056"/>
      <c r="V1573" s="1056"/>
      <c r="W1573" s="1056"/>
      <c r="X1573" s="1056"/>
      <c r="Y1573" s="1056"/>
      <c r="Z1573" s="1056"/>
      <c r="AA1573" s="1056"/>
      <c r="AB1573" s="1056"/>
      <c r="AC1573" s="1056"/>
      <c r="AD1573" s="1056"/>
      <c r="AE1573" s="1056"/>
      <c r="AF1573" s="264"/>
    </row>
    <row r="1574" spans="1:32" s="268" customFormat="1" ht="15" x14ac:dyDescent="0.25">
      <c r="A1574" s="264"/>
      <c r="B1574" s="264"/>
      <c r="C1574" s="1056"/>
      <c r="D1574" s="1056"/>
      <c r="E1574" s="1056"/>
      <c r="F1574" s="1056"/>
      <c r="G1574" s="1056"/>
      <c r="H1574" s="1056"/>
      <c r="I1574" s="1056"/>
      <c r="J1574" s="1056"/>
      <c r="K1574" s="1056"/>
      <c r="L1574" s="1056"/>
      <c r="M1574" s="274"/>
      <c r="P1574" s="264"/>
      <c r="Q1574" s="264"/>
      <c r="R1574" s="264"/>
      <c r="S1574" s="264"/>
      <c r="T1574" s="1056"/>
      <c r="U1574" s="1056"/>
      <c r="V1574" s="1056"/>
      <c r="W1574" s="1056"/>
      <c r="X1574" s="1056"/>
      <c r="Y1574" s="1056"/>
      <c r="Z1574" s="1056"/>
      <c r="AA1574" s="1056"/>
      <c r="AB1574" s="1056"/>
      <c r="AC1574" s="1056"/>
      <c r="AD1574" s="1056"/>
      <c r="AE1574" s="1056"/>
      <c r="AF1574" s="264"/>
    </row>
    <row r="1575" spans="1:32" s="268" customFormat="1" ht="15" x14ac:dyDescent="0.25">
      <c r="A1575" s="264"/>
      <c r="B1575" s="264"/>
      <c r="C1575" s="1056"/>
      <c r="D1575" s="1056"/>
      <c r="E1575" s="1056"/>
      <c r="F1575" s="1056"/>
      <c r="G1575" s="1056"/>
      <c r="H1575" s="1056"/>
      <c r="I1575" s="1056"/>
      <c r="J1575" s="1056"/>
      <c r="K1575" s="1056"/>
      <c r="L1575" s="1056"/>
      <c r="M1575" s="274"/>
      <c r="P1575" s="264"/>
      <c r="Q1575" s="264"/>
      <c r="R1575" s="264"/>
      <c r="S1575" s="264"/>
      <c r="T1575" s="1056"/>
      <c r="U1575" s="1056"/>
      <c r="V1575" s="1056"/>
      <c r="W1575" s="1056"/>
      <c r="X1575" s="1056"/>
      <c r="Y1575" s="1056"/>
      <c r="Z1575" s="1056"/>
      <c r="AA1575" s="1056"/>
      <c r="AB1575" s="1056"/>
      <c r="AC1575" s="1056"/>
      <c r="AD1575" s="1056"/>
      <c r="AE1575" s="1056"/>
      <c r="AF1575" s="264"/>
    </row>
    <row r="1576" spans="1:32" s="268" customFormat="1" ht="15" x14ac:dyDescent="0.25">
      <c r="A1576" s="264"/>
      <c r="B1576" s="264"/>
      <c r="C1576" s="1056"/>
      <c r="D1576" s="1056"/>
      <c r="E1576" s="1056"/>
      <c r="F1576" s="1056"/>
      <c r="G1576" s="1056"/>
      <c r="H1576" s="1056"/>
      <c r="I1576" s="1056"/>
      <c r="J1576" s="1056"/>
      <c r="K1576" s="1056"/>
      <c r="L1576" s="1056"/>
      <c r="M1576" s="274"/>
      <c r="P1576" s="264"/>
      <c r="Q1576" s="264"/>
      <c r="R1576" s="264"/>
      <c r="S1576" s="264"/>
      <c r="T1576" s="1056"/>
      <c r="U1576" s="1056"/>
      <c r="V1576" s="1056"/>
      <c r="W1576" s="1056"/>
      <c r="X1576" s="1056"/>
      <c r="Y1576" s="1056"/>
      <c r="Z1576" s="1056"/>
      <c r="AA1576" s="1056"/>
      <c r="AB1576" s="1056"/>
      <c r="AC1576" s="1056"/>
      <c r="AD1576" s="1056"/>
      <c r="AE1576" s="1056"/>
      <c r="AF1576" s="264"/>
    </row>
    <row r="1577" spans="1:32" s="268" customFormat="1" ht="15" x14ac:dyDescent="0.25">
      <c r="A1577" s="264"/>
      <c r="B1577" s="264"/>
      <c r="C1577" s="1056"/>
      <c r="D1577" s="1056"/>
      <c r="E1577" s="1056"/>
      <c r="F1577" s="1056"/>
      <c r="G1577" s="1056"/>
      <c r="H1577" s="1056"/>
      <c r="I1577" s="1056"/>
      <c r="J1577" s="1056"/>
      <c r="K1577" s="1056"/>
      <c r="L1577" s="1056"/>
      <c r="M1577" s="274"/>
      <c r="P1577" s="264"/>
      <c r="Q1577" s="264"/>
      <c r="R1577" s="264"/>
      <c r="S1577" s="264"/>
      <c r="T1577" s="1056"/>
      <c r="U1577" s="1056"/>
      <c r="V1577" s="1056"/>
      <c r="W1577" s="1056"/>
      <c r="X1577" s="1056"/>
      <c r="Y1577" s="1056"/>
      <c r="Z1577" s="1056"/>
      <c r="AA1577" s="1056"/>
      <c r="AB1577" s="1056"/>
      <c r="AC1577" s="1056"/>
      <c r="AD1577" s="1056"/>
      <c r="AE1577" s="1056"/>
      <c r="AF1577" s="264"/>
    </row>
    <row r="1578" spans="1:32" s="268" customFormat="1" ht="15" x14ac:dyDescent="0.25">
      <c r="A1578" s="264"/>
      <c r="B1578" s="264"/>
      <c r="C1578" s="1056"/>
      <c r="D1578" s="1056"/>
      <c r="E1578" s="1056"/>
      <c r="F1578" s="1056"/>
      <c r="G1578" s="1056"/>
      <c r="H1578" s="1056"/>
      <c r="I1578" s="1056"/>
      <c r="J1578" s="1056"/>
      <c r="K1578" s="1056"/>
      <c r="L1578" s="1056"/>
      <c r="M1578" s="274"/>
      <c r="P1578" s="264"/>
      <c r="Q1578" s="264"/>
      <c r="R1578" s="264"/>
      <c r="S1578" s="264"/>
      <c r="T1578" s="1056"/>
      <c r="U1578" s="1056"/>
      <c r="V1578" s="1056"/>
      <c r="W1578" s="1056"/>
      <c r="X1578" s="1056"/>
      <c r="Y1578" s="1056"/>
      <c r="Z1578" s="1056"/>
      <c r="AA1578" s="1056"/>
      <c r="AB1578" s="1056"/>
      <c r="AC1578" s="1056"/>
      <c r="AD1578" s="1056"/>
      <c r="AE1578" s="1056"/>
      <c r="AF1578" s="264"/>
    </row>
    <row r="1579" spans="1:32" s="268" customFormat="1" ht="15" x14ac:dyDescent="0.25">
      <c r="A1579" s="264"/>
      <c r="B1579" s="264"/>
      <c r="C1579" s="1056"/>
      <c r="D1579" s="1056"/>
      <c r="E1579" s="1056"/>
      <c r="F1579" s="1056"/>
      <c r="G1579" s="1056"/>
      <c r="H1579" s="1056"/>
      <c r="I1579" s="1056"/>
      <c r="J1579" s="1056"/>
      <c r="K1579" s="1056"/>
      <c r="L1579" s="1056"/>
      <c r="M1579" s="274"/>
      <c r="P1579" s="264"/>
      <c r="Q1579" s="264"/>
      <c r="R1579" s="264"/>
      <c r="S1579" s="264"/>
      <c r="T1579" s="1056"/>
      <c r="U1579" s="1056"/>
      <c r="V1579" s="1056"/>
      <c r="W1579" s="1056"/>
      <c r="X1579" s="1056"/>
      <c r="Y1579" s="1056"/>
      <c r="Z1579" s="1056"/>
      <c r="AA1579" s="1056"/>
      <c r="AB1579" s="1056"/>
      <c r="AC1579" s="1056"/>
      <c r="AD1579" s="1056"/>
      <c r="AE1579" s="1056"/>
      <c r="AF1579" s="264"/>
    </row>
    <row r="1580" spans="1:32" s="268" customFormat="1" ht="15" x14ac:dyDescent="0.25">
      <c r="A1580" s="264"/>
      <c r="B1580" s="264"/>
      <c r="C1580" s="1056"/>
      <c r="D1580" s="1056"/>
      <c r="E1580" s="1056"/>
      <c r="F1580" s="1056"/>
      <c r="G1580" s="1056"/>
      <c r="H1580" s="1056"/>
      <c r="I1580" s="1056"/>
      <c r="J1580" s="1056"/>
      <c r="K1580" s="1056"/>
      <c r="L1580" s="1056"/>
      <c r="M1580" s="274"/>
      <c r="P1580" s="264"/>
      <c r="Q1580" s="264"/>
      <c r="R1580" s="264"/>
      <c r="S1580" s="264"/>
      <c r="T1580" s="1056"/>
      <c r="U1580" s="1056"/>
      <c r="V1580" s="1056"/>
      <c r="W1580" s="1056"/>
      <c r="X1580" s="1056"/>
      <c r="Y1580" s="1056"/>
      <c r="Z1580" s="1056"/>
      <c r="AA1580" s="1056"/>
      <c r="AB1580" s="1056"/>
      <c r="AC1580" s="1056"/>
      <c r="AD1580" s="1056"/>
      <c r="AE1580" s="1056"/>
      <c r="AF1580" s="264"/>
    </row>
    <row r="1581" spans="1:32" s="268" customFormat="1" ht="15" x14ac:dyDescent="0.25">
      <c r="A1581" s="264"/>
      <c r="B1581" s="264"/>
      <c r="C1581" s="1056"/>
      <c r="D1581" s="1056"/>
      <c r="E1581" s="1056"/>
      <c r="F1581" s="1056"/>
      <c r="G1581" s="1056"/>
      <c r="H1581" s="1056"/>
      <c r="I1581" s="1056"/>
      <c r="J1581" s="1056"/>
      <c r="K1581" s="1056"/>
      <c r="L1581" s="1056"/>
      <c r="M1581" s="274"/>
      <c r="P1581" s="264"/>
      <c r="Q1581" s="264"/>
      <c r="R1581" s="264"/>
      <c r="S1581" s="264"/>
      <c r="T1581" s="1056"/>
      <c r="U1581" s="1056"/>
      <c r="V1581" s="1056"/>
      <c r="W1581" s="1056"/>
      <c r="X1581" s="1056"/>
      <c r="Y1581" s="1056"/>
      <c r="Z1581" s="1056"/>
      <c r="AA1581" s="1056"/>
      <c r="AB1581" s="1056"/>
      <c r="AC1581" s="1056"/>
      <c r="AD1581" s="1056"/>
      <c r="AE1581" s="1056"/>
      <c r="AF1581" s="264"/>
    </row>
    <row r="1582" spans="1:32" s="268" customFormat="1" ht="15" x14ac:dyDescent="0.25">
      <c r="A1582" s="264"/>
      <c r="B1582" s="264"/>
      <c r="C1582" s="1056"/>
      <c r="D1582" s="1056"/>
      <c r="E1582" s="1056"/>
      <c r="F1582" s="1056"/>
      <c r="G1582" s="1056"/>
      <c r="H1582" s="1056"/>
      <c r="I1582" s="1056"/>
      <c r="J1582" s="1056"/>
      <c r="K1582" s="1056"/>
      <c r="L1582" s="1056"/>
      <c r="M1582" s="274"/>
      <c r="P1582" s="264"/>
      <c r="Q1582" s="264"/>
      <c r="R1582" s="264"/>
      <c r="S1582" s="264"/>
      <c r="T1582" s="1056"/>
      <c r="U1582" s="1056"/>
      <c r="V1582" s="1056"/>
      <c r="W1582" s="1056"/>
      <c r="X1582" s="1056"/>
      <c r="Y1582" s="1056"/>
      <c r="Z1582" s="1056"/>
      <c r="AA1582" s="1056"/>
      <c r="AB1582" s="1056"/>
      <c r="AC1582" s="1056"/>
      <c r="AD1582" s="1056"/>
      <c r="AE1582" s="1056"/>
      <c r="AF1582" s="264"/>
    </row>
    <row r="1583" spans="1:32" s="268" customFormat="1" ht="15" x14ac:dyDescent="0.25">
      <c r="A1583" s="264"/>
      <c r="B1583" s="264"/>
      <c r="C1583" s="1056"/>
      <c r="D1583" s="1056"/>
      <c r="E1583" s="1056"/>
      <c r="F1583" s="1056"/>
      <c r="G1583" s="1056"/>
      <c r="H1583" s="1056"/>
      <c r="I1583" s="1056"/>
      <c r="J1583" s="1056"/>
      <c r="K1583" s="1056"/>
      <c r="L1583" s="1056"/>
      <c r="M1583" s="274"/>
      <c r="P1583" s="264"/>
      <c r="Q1583" s="264"/>
      <c r="R1583" s="264"/>
      <c r="S1583" s="264"/>
      <c r="T1583" s="1056"/>
      <c r="U1583" s="1056"/>
      <c r="V1583" s="1056"/>
      <c r="W1583" s="1056"/>
      <c r="X1583" s="1056"/>
      <c r="Y1583" s="1056"/>
      <c r="Z1583" s="1056"/>
      <c r="AA1583" s="1056"/>
      <c r="AB1583" s="1056"/>
      <c r="AC1583" s="1056"/>
      <c r="AD1583" s="1056"/>
      <c r="AE1583" s="1056"/>
      <c r="AF1583" s="264"/>
    </row>
    <row r="1584" spans="1:32" s="268" customFormat="1" ht="15" x14ac:dyDescent="0.25">
      <c r="A1584" s="264"/>
      <c r="B1584" s="264"/>
      <c r="C1584" s="1056"/>
      <c r="D1584" s="1056"/>
      <c r="E1584" s="1056"/>
      <c r="F1584" s="1056"/>
      <c r="G1584" s="1056"/>
      <c r="H1584" s="1056"/>
      <c r="I1584" s="1056"/>
      <c r="J1584" s="1056"/>
      <c r="K1584" s="1056"/>
      <c r="L1584" s="1056"/>
      <c r="M1584" s="274"/>
      <c r="P1584" s="264"/>
      <c r="Q1584" s="264"/>
      <c r="R1584" s="264"/>
      <c r="S1584" s="264"/>
      <c r="T1584" s="1056"/>
      <c r="U1584" s="1056"/>
      <c r="V1584" s="1056"/>
      <c r="W1584" s="1056"/>
      <c r="X1584" s="1056"/>
      <c r="Y1584" s="1056"/>
      <c r="Z1584" s="1056"/>
      <c r="AA1584" s="1056"/>
      <c r="AB1584" s="1056"/>
      <c r="AC1584" s="1056"/>
      <c r="AD1584" s="1056"/>
      <c r="AE1584" s="1056"/>
      <c r="AF1584" s="264"/>
    </row>
    <row r="1585" spans="1:32" s="268" customFormat="1" ht="15" x14ac:dyDescent="0.25">
      <c r="A1585" s="264"/>
      <c r="B1585" s="264"/>
      <c r="C1585" s="1056"/>
      <c r="D1585" s="1056"/>
      <c r="E1585" s="1056"/>
      <c r="F1585" s="1056"/>
      <c r="G1585" s="1056"/>
      <c r="H1585" s="1056"/>
      <c r="I1585" s="1056"/>
      <c r="J1585" s="1056"/>
      <c r="K1585" s="1056"/>
      <c r="L1585" s="1056"/>
      <c r="M1585" s="274"/>
      <c r="P1585" s="264"/>
      <c r="Q1585" s="264"/>
      <c r="R1585" s="264"/>
      <c r="S1585" s="264"/>
      <c r="T1585" s="1056"/>
      <c r="U1585" s="1056"/>
      <c r="V1585" s="1056"/>
      <c r="W1585" s="1056"/>
      <c r="X1585" s="1056"/>
      <c r="Y1585" s="1056"/>
      <c r="Z1585" s="1056"/>
      <c r="AA1585" s="1056"/>
      <c r="AB1585" s="1056"/>
      <c r="AC1585" s="1056"/>
      <c r="AD1585" s="1056"/>
      <c r="AE1585" s="1056"/>
      <c r="AF1585" s="264"/>
    </row>
    <row r="1586" spans="1:32" s="268" customFormat="1" ht="15" x14ac:dyDescent="0.25">
      <c r="A1586" s="264"/>
      <c r="B1586" s="264"/>
      <c r="C1586" s="1056"/>
      <c r="D1586" s="1056"/>
      <c r="E1586" s="1056"/>
      <c r="F1586" s="1056"/>
      <c r="G1586" s="1056"/>
      <c r="H1586" s="1056"/>
      <c r="I1586" s="1056"/>
      <c r="J1586" s="1056"/>
      <c r="K1586" s="1056"/>
      <c r="L1586" s="1056"/>
      <c r="M1586" s="274"/>
      <c r="P1586" s="264"/>
      <c r="Q1586" s="264"/>
      <c r="R1586" s="264"/>
      <c r="S1586" s="264"/>
      <c r="T1586" s="1056"/>
      <c r="U1586" s="1056"/>
      <c r="V1586" s="1056"/>
      <c r="W1586" s="1056"/>
      <c r="X1586" s="1056"/>
      <c r="Y1586" s="1056"/>
      <c r="Z1586" s="1056"/>
      <c r="AA1586" s="1056"/>
      <c r="AB1586" s="1056"/>
      <c r="AC1586" s="1056"/>
      <c r="AD1586" s="1056"/>
      <c r="AE1586" s="1056"/>
      <c r="AF1586" s="264"/>
    </row>
    <row r="1587" spans="1:32" s="268" customFormat="1" ht="15" x14ac:dyDescent="0.25">
      <c r="A1587" s="264"/>
      <c r="B1587" s="264"/>
      <c r="C1587" s="1056"/>
      <c r="D1587" s="1056"/>
      <c r="E1587" s="1056"/>
      <c r="F1587" s="1056"/>
      <c r="G1587" s="1056"/>
      <c r="H1587" s="1056"/>
      <c r="I1587" s="1056"/>
      <c r="J1587" s="1056"/>
      <c r="K1587" s="1056"/>
      <c r="L1587" s="1056"/>
      <c r="M1587" s="274"/>
      <c r="P1587" s="264"/>
      <c r="Q1587" s="264"/>
      <c r="R1587" s="264"/>
      <c r="S1587" s="264"/>
      <c r="T1587" s="1056"/>
      <c r="U1587" s="1056"/>
      <c r="V1587" s="1056"/>
      <c r="W1587" s="1056"/>
      <c r="X1587" s="1056"/>
      <c r="Y1587" s="1056"/>
      <c r="Z1587" s="1056"/>
      <c r="AA1587" s="1056"/>
      <c r="AB1587" s="1056"/>
      <c r="AC1587" s="1056"/>
      <c r="AD1587" s="1056"/>
      <c r="AE1587" s="1056"/>
      <c r="AF1587" s="264"/>
    </row>
    <row r="1588" spans="1:32" s="268" customFormat="1" ht="15" x14ac:dyDescent="0.25">
      <c r="A1588" s="264"/>
      <c r="B1588" s="264"/>
      <c r="C1588" s="1056"/>
      <c r="D1588" s="1056"/>
      <c r="E1588" s="1056"/>
      <c r="F1588" s="1056"/>
      <c r="G1588" s="1056"/>
      <c r="H1588" s="1056"/>
      <c r="I1588" s="1056"/>
      <c r="J1588" s="1056"/>
      <c r="K1588" s="1056"/>
      <c r="L1588" s="1056"/>
      <c r="M1588" s="274"/>
      <c r="P1588" s="264"/>
      <c r="Q1588" s="264"/>
      <c r="R1588" s="264"/>
      <c r="S1588" s="264"/>
      <c r="T1588" s="1056"/>
      <c r="U1588" s="1056"/>
      <c r="V1588" s="1056"/>
      <c r="W1588" s="1056"/>
      <c r="X1588" s="1056"/>
      <c r="Y1588" s="1056"/>
      <c r="Z1588" s="1056"/>
      <c r="AA1588" s="1056"/>
      <c r="AB1588" s="1056"/>
      <c r="AC1588" s="1056"/>
      <c r="AD1588" s="1056"/>
      <c r="AE1588" s="1056"/>
      <c r="AF1588" s="264"/>
    </row>
    <row r="1589" spans="1:32" s="268" customFormat="1" ht="15" x14ac:dyDescent="0.25">
      <c r="A1589" s="264"/>
      <c r="B1589" s="264"/>
      <c r="C1589" s="1056"/>
      <c r="D1589" s="1056"/>
      <c r="E1589" s="1056"/>
      <c r="F1589" s="1056"/>
      <c r="G1589" s="1056"/>
      <c r="H1589" s="1056"/>
      <c r="I1589" s="1056"/>
      <c r="J1589" s="1056"/>
      <c r="K1589" s="1056"/>
      <c r="L1589" s="1056"/>
      <c r="M1589" s="274"/>
      <c r="P1589" s="264"/>
      <c r="Q1589" s="264"/>
      <c r="R1589" s="264"/>
      <c r="S1589" s="264"/>
      <c r="T1589" s="1056"/>
      <c r="U1589" s="1056"/>
      <c r="V1589" s="1056"/>
      <c r="W1589" s="1056"/>
      <c r="X1589" s="1056"/>
      <c r="Y1589" s="1056"/>
      <c r="Z1589" s="1056"/>
      <c r="AA1589" s="1056"/>
      <c r="AB1589" s="1056"/>
      <c r="AC1589" s="1056"/>
      <c r="AD1589" s="1056"/>
      <c r="AE1589" s="1056"/>
      <c r="AF1589" s="264"/>
    </row>
    <row r="1590" spans="1:32" s="268" customFormat="1" ht="15" x14ac:dyDescent="0.25">
      <c r="A1590" s="264"/>
      <c r="B1590" s="264"/>
      <c r="C1590" s="1056"/>
      <c r="D1590" s="1056"/>
      <c r="E1590" s="1056"/>
      <c r="F1590" s="1056"/>
      <c r="G1590" s="1056"/>
      <c r="H1590" s="1056"/>
      <c r="I1590" s="1056"/>
      <c r="J1590" s="1056"/>
      <c r="K1590" s="1056"/>
      <c r="L1590" s="1056"/>
      <c r="M1590" s="274"/>
      <c r="P1590" s="264"/>
      <c r="Q1590" s="264"/>
      <c r="R1590" s="264"/>
      <c r="S1590" s="264"/>
      <c r="T1590" s="1056"/>
      <c r="U1590" s="1056"/>
      <c r="V1590" s="1056"/>
      <c r="W1590" s="1056"/>
      <c r="X1590" s="1056"/>
      <c r="Y1590" s="1056"/>
      <c r="Z1590" s="1056"/>
      <c r="AA1590" s="1056"/>
      <c r="AB1590" s="1056"/>
      <c r="AC1590" s="1056"/>
      <c r="AD1590" s="1056"/>
      <c r="AE1590" s="1056"/>
      <c r="AF1590" s="264"/>
    </row>
    <row r="1591" spans="1:32" s="268" customFormat="1" ht="15" x14ac:dyDescent="0.25">
      <c r="A1591" s="264"/>
      <c r="B1591" s="264"/>
      <c r="C1591" s="1056"/>
      <c r="D1591" s="1056"/>
      <c r="E1591" s="1056"/>
      <c r="F1591" s="1056"/>
      <c r="G1591" s="1056"/>
      <c r="H1591" s="1056"/>
      <c r="I1591" s="1056"/>
      <c r="J1591" s="1056"/>
      <c r="K1591" s="1056"/>
      <c r="L1591" s="1056"/>
      <c r="M1591" s="274"/>
      <c r="P1591" s="264"/>
      <c r="Q1591" s="264"/>
      <c r="R1591" s="264"/>
      <c r="S1591" s="264"/>
      <c r="T1591" s="1056"/>
      <c r="U1591" s="1056"/>
      <c r="V1591" s="1056"/>
      <c r="W1591" s="1056"/>
      <c r="X1591" s="1056"/>
      <c r="Y1591" s="1056"/>
      <c r="Z1591" s="1056"/>
      <c r="AA1591" s="1056"/>
      <c r="AB1591" s="1056"/>
      <c r="AC1591" s="1056"/>
      <c r="AD1591" s="1056"/>
      <c r="AE1591" s="1056"/>
      <c r="AF1591" s="264"/>
    </row>
    <row r="1592" spans="1:32" s="268" customFormat="1" ht="15" x14ac:dyDescent="0.25">
      <c r="A1592" s="264"/>
      <c r="B1592" s="264"/>
      <c r="C1592" s="1056"/>
      <c r="D1592" s="1056"/>
      <c r="E1592" s="1056"/>
      <c r="F1592" s="1056"/>
      <c r="G1592" s="1056"/>
      <c r="H1592" s="1056"/>
      <c r="I1592" s="1056"/>
      <c r="J1592" s="1056"/>
      <c r="K1592" s="1056"/>
      <c r="L1592" s="1056"/>
      <c r="M1592" s="274"/>
      <c r="P1592" s="264"/>
      <c r="Q1592" s="264"/>
      <c r="R1592" s="264"/>
      <c r="S1592" s="264"/>
      <c r="T1592" s="1056"/>
      <c r="U1592" s="1056"/>
      <c r="V1592" s="1056"/>
      <c r="W1592" s="1056"/>
      <c r="X1592" s="1056"/>
      <c r="Y1592" s="1056"/>
      <c r="Z1592" s="1056"/>
      <c r="AA1592" s="1056"/>
      <c r="AB1592" s="1056"/>
      <c r="AC1592" s="1056"/>
      <c r="AD1592" s="1056"/>
      <c r="AE1592" s="1056"/>
      <c r="AF1592" s="264"/>
    </row>
    <row r="1593" spans="1:32" s="268" customFormat="1" ht="15" x14ac:dyDescent="0.25">
      <c r="A1593" s="264"/>
      <c r="B1593" s="264"/>
      <c r="C1593" s="1056"/>
      <c r="D1593" s="1056"/>
      <c r="E1593" s="1056"/>
      <c r="F1593" s="1056"/>
      <c r="G1593" s="1056"/>
      <c r="H1593" s="1056"/>
      <c r="I1593" s="1056"/>
      <c r="J1593" s="1056"/>
      <c r="K1593" s="1056"/>
      <c r="L1593" s="1056"/>
      <c r="M1593" s="274"/>
      <c r="P1593" s="264"/>
      <c r="Q1593" s="264"/>
      <c r="R1593" s="264"/>
      <c r="S1593" s="264"/>
      <c r="T1593" s="1056"/>
      <c r="U1593" s="1056"/>
      <c r="V1593" s="1056"/>
      <c r="W1593" s="1056"/>
      <c r="X1593" s="1056"/>
      <c r="Y1593" s="1056"/>
      <c r="Z1593" s="1056"/>
      <c r="AA1593" s="1056"/>
      <c r="AB1593" s="1056"/>
      <c r="AC1593" s="1056"/>
      <c r="AD1593" s="1056"/>
      <c r="AE1593" s="1056"/>
      <c r="AF1593" s="264"/>
    </row>
    <row r="1594" spans="1:32" s="268" customFormat="1" ht="15" x14ac:dyDescent="0.25">
      <c r="A1594" s="264"/>
      <c r="B1594" s="264"/>
      <c r="C1594" s="1056"/>
      <c r="D1594" s="1056"/>
      <c r="E1594" s="1056"/>
      <c r="F1594" s="1056"/>
      <c r="G1594" s="1056"/>
      <c r="H1594" s="1056"/>
      <c r="I1594" s="1056"/>
      <c r="J1594" s="1056"/>
      <c r="K1594" s="1056"/>
      <c r="L1594" s="1056"/>
      <c r="M1594" s="274"/>
      <c r="P1594" s="264"/>
      <c r="Q1594" s="264"/>
      <c r="R1594" s="264"/>
      <c r="S1594" s="264"/>
      <c r="T1594" s="1056"/>
      <c r="U1594" s="1056"/>
      <c r="V1594" s="1056"/>
      <c r="W1594" s="1056"/>
      <c r="X1594" s="1056"/>
      <c r="Y1594" s="1056"/>
      <c r="Z1594" s="1056"/>
      <c r="AA1594" s="1056"/>
      <c r="AB1594" s="1056"/>
      <c r="AC1594" s="1056"/>
      <c r="AD1594" s="1056"/>
      <c r="AE1594" s="1056"/>
      <c r="AF1594" s="264"/>
    </row>
    <row r="1595" spans="1:32" s="268" customFormat="1" ht="15" x14ac:dyDescent="0.25">
      <c r="A1595" s="264"/>
      <c r="B1595" s="264"/>
      <c r="C1595" s="1056"/>
      <c r="D1595" s="1056"/>
      <c r="E1595" s="1056"/>
      <c r="F1595" s="1056"/>
      <c r="G1595" s="1056"/>
      <c r="H1595" s="1056"/>
      <c r="I1595" s="1056"/>
      <c r="J1595" s="1056"/>
      <c r="K1595" s="1056"/>
      <c r="L1595" s="1056"/>
      <c r="M1595" s="274"/>
      <c r="P1595" s="264"/>
      <c r="Q1595" s="264"/>
      <c r="R1595" s="264"/>
      <c r="S1595" s="264"/>
      <c r="T1595" s="1056"/>
      <c r="U1595" s="1056"/>
      <c r="V1595" s="1056"/>
      <c r="W1595" s="1056"/>
      <c r="X1595" s="1056"/>
      <c r="Y1595" s="1056"/>
      <c r="Z1595" s="1056"/>
      <c r="AA1595" s="1056"/>
      <c r="AB1595" s="1056"/>
      <c r="AC1595" s="1056"/>
      <c r="AD1595" s="1056"/>
      <c r="AE1595" s="1056"/>
      <c r="AF1595" s="264"/>
    </row>
    <row r="1596" spans="1:32" s="268" customFormat="1" ht="15" x14ac:dyDescent="0.25">
      <c r="A1596" s="264"/>
      <c r="B1596" s="264"/>
      <c r="C1596" s="1056"/>
      <c r="D1596" s="1056"/>
      <c r="E1596" s="1056"/>
      <c r="F1596" s="1056"/>
      <c r="G1596" s="1056"/>
      <c r="H1596" s="1056"/>
      <c r="I1596" s="1056"/>
      <c r="J1596" s="1056"/>
      <c r="K1596" s="1056"/>
      <c r="L1596" s="1056"/>
      <c r="M1596" s="274"/>
      <c r="P1596" s="264"/>
      <c r="Q1596" s="264"/>
      <c r="R1596" s="264"/>
      <c r="S1596" s="264"/>
      <c r="T1596" s="1056"/>
      <c r="U1596" s="1056"/>
      <c r="V1596" s="1056"/>
      <c r="W1596" s="1056"/>
      <c r="X1596" s="1056"/>
      <c r="Y1596" s="1056"/>
      <c r="Z1596" s="1056"/>
      <c r="AA1596" s="1056"/>
      <c r="AB1596" s="1056"/>
      <c r="AC1596" s="1056"/>
      <c r="AD1596" s="1056"/>
      <c r="AE1596" s="1056"/>
      <c r="AF1596" s="264"/>
    </row>
    <row r="1597" spans="1:32" s="268" customFormat="1" ht="15" x14ac:dyDescent="0.25">
      <c r="A1597" s="264"/>
      <c r="B1597" s="264"/>
      <c r="C1597" s="1056"/>
      <c r="D1597" s="1056"/>
      <c r="E1597" s="1056"/>
      <c r="F1597" s="1056"/>
      <c r="G1597" s="1056"/>
      <c r="H1597" s="1056"/>
      <c r="I1597" s="1056"/>
      <c r="J1597" s="1056"/>
      <c r="K1597" s="1056"/>
      <c r="L1597" s="1056"/>
      <c r="M1597" s="274"/>
      <c r="P1597" s="264"/>
      <c r="Q1597" s="264"/>
      <c r="R1597" s="264"/>
      <c r="S1597" s="264"/>
      <c r="T1597" s="1056"/>
      <c r="U1597" s="1056"/>
      <c r="V1597" s="1056"/>
      <c r="W1597" s="1056"/>
      <c r="X1597" s="1056"/>
      <c r="Y1597" s="1056"/>
      <c r="Z1597" s="1056"/>
      <c r="AA1597" s="1056"/>
      <c r="AB1597" s="1056"/>
      <c r="AC1597" s="1056"/>
      <c r="AD1597" s="1056"/>
      <c r="AE1597" s="1056"/>
      <c r="AF1597" s="264"/>
    </row>
    <row r="1598" spans="1:32" s="268" customFormat="1" ht="15" x14ac:dyDescent="0.25">
      <c r="A1598" s="264"/>
      <c r="B1598" s="264"/>
      <c r="C1598" s="1056"/>
      <c r="D1598" s="1056"/>
      <c r="E1598" s="1056"/>
      <c r="F1598" s="1056"/>
      <c r="G1598" s="1056"/>
      <c r="H1598" s="1056"/>
      <c r="I1598" s="1056"/>
      <c r="J1598" s="1056"/>
      <c r="K1598" s="1056"/>
      <c r="L1598" s="1056"/>
      <c r="M1598" s="274"/>
      <c r="P1598" s="264"/>
      <c r="Q1598" s="264"/>
      <c r="R1598" s="264"/>
      <c r="S1598" s="264"/>
      <c r="T1598" s="1056"/>
      <c r="U1598" s="1056"/>
      <c r="V1598" s="1056"/>
      <c r="W1598" s="1056"/>
      <c r="X1598" s="1056"/>
      <c r="Y1598" s="1056"/>
      <c r="Z1598" s="1056"/>
      <c r="AA1598" s="1056"/>
      <c r="AB1598" s="1056"/>
      <c r="AC1598" s="1056"/>
      <c r="AD1598" s="1056"/>
      <c r="AE1598" s="1056"/>
      <c r="AF1598" s="264"/>
    </row>
    <row r="1599" spans="1:32" s="268" customFormat="1" ht="15" x14ac:dyDescent="0.25">
      <c r="A1599" s="264"/>
      <c r="B1599" s="264"/>
      <c r="C1599" s="1056"/>
      <c r="D1599" s="1056"/>
      <c r="E1599" s="1056"/>
      <c r="F1599" s="1056"/>
      <c r="G1599" s="1056"/>
      <c r="H1599" s="1056"/>
      <c r="I1599" s="1056"/>
      <c r="J1599" s="1056"/>
      <c r="K1599" s="1056"/>
      <c r="L1599" s="1056"/>
      <c r="M1599" s="274"/>
      <c r="P1599" s="264"/>
      <c r="Q1599" s="264"/>
      <c r="R1599" s="264"/>
      <c r="S1599" s="264"/>
      <c r="T1599" s="1056"/>
      <c r="U1599" s="1056"/>
      <c r="V1599" s="1056"/>
      <c r="W1599" s="1056"/>
      <c r="X1599" s="1056"/>
      <c r="Y1599" s="1056"/>
      <c r="Z1599" s="1056"/>
      <c r="AA1599" s="1056"/>
      <c r="AB1599" s="1056"/>
      <c r="AC1599" s="1056"/>
      <c r="AD1599" s="1056"/>
      <c r="AE1599" s="1056"/>
      <c r="AF1599" s="264"/>
    </row>
    <row r="1600" spans="1:32" s="268" customFormat="1" ht="15" x14ac:dyDescent="0.25">
      <c r="A1600" s="264"/>
      <c r="B1600" s="264"/>
      <c r="C1600" s="1056"/>
      <c r="D1600" s="1056"/>
      <c r="E1600" s="1056"/>
      <c r="F1600" s="1056"/>
      <c r="G1600" s="1056"/>
      <c r="H1600" s="1056"/>
      <c r="I1600" s="1056"/>
      <c r="J1600" s="1056"/>
      <c r="K1600" s="1056"/>
      <c r="L1600" s="1056"/>
      <c r="M1600" s="274"/>
      <c r="P1600" s="264"/>
      <c r="Q1600" s="264"/>
      <c r="R1600" s="264"/>
      <c r="S1600" s="264"/>
      <c r="T1600" s="1056"/>
      <c r="U1600" s="1056"/>
      <c r="V1600" s="1056"/>
      <c r="W1600" s="1056"/>
      <c r="X1600" s="1056"/>
      <c r="Y1600" s="1056"/>
      <c r="Z1600" s="1056"/>
      <c r="AA1600" s="1056"/>
      <c r="AB1600" s="1056"/>
      <c r="AC1600" s="1056"/>
      <c r="AD1600" s="1056"/>
      <c r="AE1600" s="1056"/>
      <c r="AF1600" s="264"/>
    </row>
    <row r="1601" spans="1:32" s="268" customFormat="1" ht="15" x14ac:dyDescent="0.25">
      <c r="A1601" s="264"/>
      <c r="B1601" s="264"/>
      <c r="C1601" s="1056"/>
      <c r="D1601" s="1056"/>
      <c r="E1601" s="1056"/>
      <c r="F1601" s="1056"/>
      <c r="G1601" s="1056"/>
      <c r="H1601" s="1056"/>
      <c r="I1601" s="1056"/>
      <c r="J1601" s="1056"/>
      <c r="K1601" s="1056"/>
      <c r="L1601" s="1056"/>
      <c r="M1601" s="274"/>
      <c r="P1601" s="264"/>
      <c r="Q1601" s="264"/>
      <c r="R1601" s="264"/>
      <c r="S1601" s="264"/>
      <c r="T1601" s="1056"/>
      <c r="U1601" s="1056"/>
      <c r="V1601" s="1056"/>
      <c r="W1601" s="1056"/>
      <c r="X1601" s="1056"/>
      <c r="Y1601" s="1056"/>
      <c r="Z1601" s="1056"/>
      <c r="AA1601" s="1056"/>
      <c r="AB1601" s="1056"/>
      <c r="AC1601" s="1056"/>
      <c r="AD1601" s="1056"/>
      <c r="AE1601" s="1056"/>
      <c r="AF1601" s="264"/>
    </row>
    <row r="1602" spans="1:32" s="268" customFormat="1" ht="15" x14ac:dyDescent="0.25">
      <c r="A1602" s="264"/>
      <c r="B1602" s="264"/>
      <c r="C1602" s="1056"/>
      <c r="D1602" s="1056"/>
      <c r="E1602" s="1056"/>
      <c r="F1602" s="1056"/>
      <c r="G1602" s="1056"/>
      <c r="H1602" s="1056"/>
      <c r="I1602" s="1056"/>
      <c r="J1602" s="1056"/>
      <c r="K1602" s="1056"/>
      <c r="L1602" s="1056"/>
      <c r="M1602" s="274"/>
      <c r="P1602" s="264"/>
      <c r="Q1602" s="264"/>
      <c r="R1602" s="264"/>
      <c r="S1602" s="264"/>
      <c r="T1602" s="1056"/>
      <c r="U1602" s="1056"/>
      <c r="V1602" s="1056"/>
      <c r="W1602" s="1056"/>
      <c r="X1602" s="1056"/>
      <c r="Y1602" s="1056"/>
      <c r="Z1602" s="1056"/>
      <c r="AA1602" s="1056"/>
      <c r="AB1602" s="1056"/>
      <c r="AC1602" s="1056"/>
      <c r="AD1602" s="1056"/>
      <c r="AE1602" s="1056"/>
      <c r="AF1602" s="264"/>
    </row>
    <row r="1603" spans="1:32" s="268" customFormat="1" ht="15" x14ac:dyDescent="0.25">
      <c r="A1603" s="264"/>
      <c r="B1603" s="264"/>
      <c r="C1603" s="1056"/>
      <c r="D1603" s="1056"/>
      <c r="E1603" s="1056"/>
      <c r="F1603" s="1056"/>
      <c r="G1603" s="1056"/>
      <c r="H1603" s="1056"/>
      <c r="I1603" s="1056"/>
      <c r="J1603" s="1056"/>
      <c r="K1603" s="1056"/>
      <c r="L1603" s="1056"/>
      <c r="M1603" s="274"/>
      <c r="P1603" s="264"/>
      <c r="Q1603" s="264"/>
      <c r="R1603" s="264"/>
      <c r="S1603" s="264"/>
      <c r="T1603" s="1056"/>
      <c r="U1603" s="1056"/>
      <c r="V1603" s="1056"/>
      <c r="W1603" s="1056"/>
      <c r="X1603" s="1056"/>
      <c r="Y1603" s="1056"/>
      <c r="Z1603" s="1056"/>
      <c r="AA1603" s="1056"/>
      <c r="AB1603" s="1056"/>
      <c r="AC1603" s="1056"/>
      <c r="AD1603" s="1056"/>
      <c r="AE1603" s="1056"/>
      <c r="AF1603" s="264"/>
    </row>
    <row r="1604" spans="1:32" s="268" customFormat="1" ht="15" x14ac:dyDescent="0.25">
      <c r="A1604" s="264"/>
      <c r="B1604" s="264"/>
      <c r="C1604" s="1056"/>
      <c r="D1604" s="1056"/>
      <c r="E1604" s="1056"/>
      <c r="F1604" s="1056"/>
      <c r="G1604" s="1056"/>
      <c r="H1604" s="1056"/>
      <c r="I1604" s="1056"/>
      <c r="J1604" s="1056"/>
      <c r="K1604" s="1056"/>
      <c r="L1604" s="1056"/>
      <c r="M1604" s="274"/>
      <c r="P1604" s="264"/>
      <c r="Q1604" s="264"/>
      <c r="R1604" s="264"/>
      <c r="S1604" s="264"/>
      <c r="T1604" s="1056"/>
      <c r="U1604" s="1056"/>
      <c r="V1604" s="1056"/>
      <c r="W1604" s="1056"/>
      <c r="X1604" s="1056"/>
      <c r="Y1604" s="1056"/>
      <c r="Z1604" s="1056"/>
      <c r="AA1604" s="1056"/>
      <c r="AB1604" s="1056"/>
      <c r="AC1604" s="1056"/>
      <c r="AD1604" s="1056"/>
      <c r="AE1604" s="1056"/>
      <c r="AF1604" s="264"/>
    </row>
    <row r="1605" spans="1:32" s="268" customFormat="1" ht="15" x14ac:dyDescent="0.25">
      <c r="A1605" s="264"/>
      <c r="B1605" s="264"/>
      <c r="C1605" s="1056"/>
      <c r="D1605" s="1056"/>
      <c r="E1605" s="1056"/>
      <c r="F1605" s="1056"/>
      <c r="G1605" s="1056"/>
      <c r="H1605" s="1056"/>
      <c r="I1605" s="1056"/>
      <c r="J1605" s="1056"/>
      <c r="K1605" s="1056"/>
      <c r="L1605" s="1056"/>
      <c r="M1605" s="274"/>
      <c r="P1605" s="264"/>
      <c r="Q1605" s="264"/>
      <c r="R1605" s="264"/>
      <c r="S1605" s="264"/>
      <c r="T1605" s="1056"/>
      <c r="U1605" s="1056"/>
      <c r="V1605" s="1056"/>
      <c r="W1605" s="1056"/>
      <c r="X1605" s="1056"/>
      <c r="Y1605" s="1056"/>
      <c r="Z1605" s="1056"/>
      <c r="AA1605" s="1056"/>
      <c r="AB1605" s="1056"/>
      <c r="AC1605" s="1056"/>
      <c r="AD1605" s="1056"/>
      <c r="AE1605" s="1056"/>
      <c r="AF1605" s="264"/>
    </row>
    <row r="1606" spans="1:32" s="268" customFormat="1" ht="15" x14ac:dyDescent="0.25">
      <c r="A1606" s="264"/>
      <c r="B1606" s="264"/>
      <c r="C1606" s="1056"/>
      <c r="D1606" s="1056"/>
      <c r="E1606" s="1056"/>
      <c r="F1606" s="1056"/>
      <c r="G1606" s="1056"/>
      <c r="H1606" s="1056"/>
      <c r="I1606" s="1056"/>
      <c r="J1606" s="1056"/>
      <c r="K1606" s="1056"/>
      <c r="L1606" s="1056"/>
      <c r="M1606" s="274"/>
      <c r="P1606" s="264"/>
      <c r="Q1606" s="264"/>
      <c r="R1606" s="264"/>
      <c r="S1606" s="264"/>
      <c r="T1606" s="1056"/>
      <c r="U1606" s="1056"/>
      <c r="V1606" s="1056"/>
      <c r="W1606" s="1056"/>
      <c r="X1606" s="1056"/>
      <c r="Y1606" s="1056"/>
      <c r="Z1606" s="1056"/>
      <c r="AA1606" s="1056"/>
      <c r="AB1606" s="1056"/>
      <c r="AC1606" s="1056"/>
      <c r="AD1606" s="1056"/>
      <c r="AE1606" s="1056"/>
      <c r="AF1606" s="264"/>
    </row>
    <row r="1607" spans="1:32" s="268" customFormat="1" ht="15" x14ac:dyDescent="0.25">
      <c r="A1607" s="264"/>
      <c r="B1607" s="264"/>
      <c r="C1607" s="1056"/>
      <c r="D1607" s="1056"/>
      <c r="E1607" s="1056"/>
      <c r="F1607" s="1056"/>
      <c r="G1607" s="1056"/>
      <c r="H1607" s="1056"/>
      <c r="I1607" s="1056"/>
      <c r="J1607" s="1056"/>
      <c r="K1607" s="1056"/>
      <c r="L1607" s="1056"/>
      <c r="M1607" s="274"/>
      <c r="P1607" s="264"/>
      <c r="Q1607" s="264"/>
      <c r="R1607" s="264"/>
      <c r="S1607" s="264"/>
      <c r="T1607" s="1056"/>
      <c r="U1607" s="1056"/>
      <c r="V1607" s="1056"/>
      <c r="W1607" s="1056"/>
      <c r="X1607" s="1056"/>
      <c r="Y1607" s="1056"/>
      <c r="Z1607" s="1056"/>
      <c r="AA1607" s="1056"/>
      <c r="AB1607" s="1056"/>
      <c r="AC1607" s="1056"/>
      <c r="AD1607" s="1056"/>
      <c r="AE1607" s="1056"/>
      <c r="AF1607" s="264"/>
    </row>
    <row r="1608" spans="1:32" s="268" customFormat="1" ht="15" x14ac:dyDescent="0.25">
      <c r="A1608" s="264"/>
      <c r="B1608" s="264"/>
      <c r="C1608" s="1056"/>
      <c r="D1608" s="1056"/>
      <c r="E1608" s="1056"/>
      <c r="F1608" s="1056"/>
      <c r="G1608" s="1056"/>
      <c r="H1608" s="1056"/>
      <c r="I1608" s="1056"/>
      <c r="J1608" s="1056"/>
      <c r="K1608" s="1056"/>
      <c r="L1608" s="1056"/>
      <c r="M1608" s="274"/>
      <c r="P1608" s="264"/>
      <c r="Q1608" s="264"/>
      <c r="R1608" s="264"/>
      <c r="S1608" s="264"/>
      <c r="T1608" s="1056"/>
      <c r="U1608" s="1056"/>
      <c r="V1608" s="1056"/>
      <c r="W1608" s="1056"/>
      <c r="X1608" s="1056"/>
      <c r="Y1608" s="1056"/>
      <c r="Z1608" s="1056"/>
      <c r="AA1608" s="1056"/>
      <c r="AB1608" s="1056"/>
      <c r="AC1608" s="1056"/>
      <c r="AD1608" s="1056"/>
      <c r="AE1608" s="1056"/>
      <c r="AF1608" s="264"/>
    </row>
    <row r="1609" spans="1:32" s="268" customFormat="1" ht="15" x14ac:dyDescent="0.25">
      <c r="A1609" s="264"/>
      <c r="B1609" s="264"/>
      <c r="C1609" s="1056"/>
      <c r="D1609" s="1056"/>
      <c r="E1609" s="1056"/>
      <c r="F1609" s="1056"/>
      <c r="G1609" s="1056"/>
      <c r="H1609" s="1056"/>
      <c r="I1609" s="1056"/>
      <c r="J1609" s="1056"/>
      <c r="K1609" s="1056"/>
      <c r="L1609" s="1056"/>
      <c r="M1609" s="274"/>
      <c r="P1609" s="264"/>
      <c r="Q1609" s="264"/>
      <c r="R1609" s="264"/>
      <c r="S1609" s="264"/>
      <c r="T1609" s="1056"/>
      <c r="U1609" s="1056"/>
      <c r="V1609" s="1056"/>
      <c r="W1609" s="1056"/>
      <c r="X1609" s="1056"/>
      <c r="Y1609" s="1056"/>
      <c r="Z1609" s="1056"/>
      <c r="AA1609" s="1056"/>
      <c r="AB1609" s="1056"/>
      <c r="AC1609" s="1056"/>
      <c r="AD1609" s="1056"/>
      <c r="AE1609" s="1056"/>
      <c r="AF1609" s="264"/>
    </row>
    <row r="1610" spans="1:32" s="268" customFormat="1" ht="15" x14ac:dyDescent="0.25">
      <c r="A1610" s="264"/>
      <c r="B1610" s="264"/>
      <c r="C1610" s="1056"/>
      <c r="D1610" s="1056"/>
      <c r="E1610" s="1056"/>
      <c r="F1610" s="1056"/>
      <c r="G1610" s="1056"/>
      <c r="H1610" s="1056"/>
      <c r="I1610" s="1056"/>
      <c r="J1610" s="1056"/>
      <c r="K1610" s="1056"/>
      <c r="L1610" s="1056"/>
      <c r="M1610" s="274"/>
      <c r="P1610" s="264"/>
      <c r="Q1610" s="264"/>
      <c r="R1610" s="264"/>
      <c r="S1610" s="264"/>
      <c r="T1610" s="1056"/>
      <c r="U1610" s="1056"/>
      <c r="V1610" s="1056"/>
      <c r="W1610" s="1056"/>
      <c r="X1610" s="1056"/>
      <c r="Y1610" s="1056"/>
      <c r="Z1610" s="1056"/>
      <c r="AA1610" s="1056"/>
      <c r="AB1610" s="1056"/>
      <c r="AC1610" s="1056"/>
      <c r="AD1610" s="1056"/>
      <c r="AE1610" s="1056"/>
      <c r="AF1610" s="264"/>
    </row>
    <row r="1611" spans="1:32" s="268" customFormat="1" ht="15" x14ac:dyDescent="0.25">
      <c r="A1611" s="264"/>
      <c r="B1611" s="264"/>
      <c r="C1611" s="1056"/>
      <c r="D1611" s="1056"/>
      <c r="E1611" s="1056"/>
      <c r="F1611" s="1056"/>
      <c r="G1611" s="1056"/>
      <c r="H1611" s="1056"/>
      <c r="I1611" s="1056"/>
      <c r="J1611" s="1056"/>
      <c r="K1611" s="1056"/>
      <c r="L1611" s="1056"/>
      <c r="M1611" s="274"/>
      <c r="P1611" s="264"/>
      <c r="Q1611" s="264"/>
      <c r="R1611" s="264"/>
      <c r="S1611" s="264"/>
      <c r="T1611" s="1056"/>
      <c r="U1611" s="1056"/>
      <c r="V1611" s="1056"/>
      <c r="W1611" s="1056"/>
      <c r="X1611" s="1056"/>
      <c r="Y1611" s="1056"/>
      <c r="Z1611" s="1056"/>
      <c r="AA1611" s="1056"/>
      <c r="AB1611" s="1056"/>
      <c r="AC1611" s="1056"/>
      <c r="AD1611" s="1056"/>
      <c r="AE1611" s="1056"/>
      <c r="AF1611" s="264"/>
    </row>
    <row r="1612" spans="1:32" s="268" customFormat="1" ht="15" x14ac:dyDescent="0.25">
      <c r="A1612" s="264"/>
      <c r="B1612" s="264"/>
      <c r="C1612" s="1056"/>
      <c r="D1612" s="1056"/>
      <c r="E1612" s="1056"/>
      <c r="F1612" s="1056"/>
      <c r="G1612" s="1056"/>
      <c r="H1612" s="1056"/>
      <c r="I1612" s="1056"/>
      <c r="J1612" s="1056"/>
      <c r="K1612" s="1056"/>
      <c r="L1612" s="1056"/>
      <c r="M1612" s="274"/>
      <c r="P1612" s="264"/>
      <c r="Q1612" s="264"/>
      <c r="R1612" s="264"/>
      <c r="S1612" s="264"/>
      <c r="T1612" s="1056"/>
      <c r="U1612" s="1056"/>
      <c r="V1612" s="1056"/>
      <c r="W1612" s="1056"/>
      <c r="X1612" s="1056"/>
      <c r="Y1612" s="1056"/>
      <c r="Z1612" s="1056"/>
      <c r="AA1612" s="1056"/>
      <c r="AB1612" s="1056"/>
      <c r="AC1612" s="1056"/>
      <c r="AD1612" s="1056"/>
      <c r="AE1612" s="1056"/>
      <c r="AF1612" s="264"/>
    </row>
    <row r="1613" spans="1:32" s="268" customFormat="1" ht="15" x14ac:dyDescent="0.25">
      <c r="A1613" s="264"/>
      <c r="B1613" s="264"/>
      <c r="C1613" s="1056"/>
      <c r="D1613" s="1056"/>
      <c r="E1613" s="1056"/>
      <c r="F1613" s="1056"/>
      <c r="G1613" s="1056"/>
      <c r="H1613" s="1056"/>
      <c r="I1613" s="1056"/>
      <c r="J1613" s="1056"/>
      <c r="K1613" s="1056"/>
      <c r="L1613" s="1056"/>
      <c r="M1613" s="274"/>
      <c r="P1613" s="264"/>
      <c r="Q1613" s="264"/>
      <c r="R1613" s="264"/>
      <c r="S1613" s="264"/>
      <c r="T1613" s="1056"/>
      <c r="U1613" s="1056"/>
      <c r="V1613" s="1056"/>
      <c r="W1613" s="1056"/>
      <c r="X1613" s="1056"/>
      <c r="Y1613" s="1056"/>
      <c r="Z1613" s="1056"/>
      <c r="AA1613" s="1056"/>
      <c r="AB1613" s="1056"/>
      <c r="AC1613" s="1056"/>
      <c r="AD1613" s="1056"/>
      <c r="AE1613" s="1056"/>
      <c r="AF1613" s="264"/>
    </row>
    <row r="1614" spans="1:32" s="268" customFormat="1" ht="15" x14ac:dyDescent="0.25">
      <c r="A1614" s="264"/>
      <c r="B1614" s="264"/>
      <c r="C1614" s="1056"/>
      <c r="D1614" s="1056"/>
      <c r="E1614" s="1056"/>
      <c r="F1614" s="1056"/>
      <c r="G1614" s="1056"/>
      <c r="H1614" s="1056"/>
      <c r="I1614" s="1056"/>
      <c r="J1614" s="1056"/>
      <c r="K1614" s="1056"/>
      <c r="L1614" s="1056"/>
      <c r="M1614" s="274"/>
      <c r="P1614" s="264"/>
      <c r="Q1614" s="264"/>
      <c r="R1614" s="264"/>
      <c r="S1614" s="264"/>
      <c r="T1614" s="1056"/>
      <c r="U1614" s="1056"/>
      <c r="V1614" s="1056"/>
      <c r="W1614" s="1056"/>
      <c r="X1614" s="1056"/>
      <c r="Y1614" s="1056"/>
      <c r="Z1614" s="1056"/>
      <c r="AA1614" s="1056"/>
      <c r="AB1614" s="1056"/>
      <c r="AC1614" s="1056"/>
      <c r="AD1614" s="1056"/>
      <c r="AE1614" s="1056"/>
      <c r="AF1614" s="264"/>
    </row>
    <row r="1615" spans="1:32" s="268" customFormat="1" ht="15" x14ac:dyDescent="0.25">
      <c r="A1615" s="264"/>
      <c r="B1615" s="264"/>
      <c r="C1615" s="1056"/>
      <c r="D1615" s="1056"/>
      <c r="E1615" s="1056"/>
      <c r="F1615" s="1056"/>
      <c r="G1615" s="1056"/>
      <c r="H1615" s="1056"/>
      <c r="I1615" s="1056"/>
      <c r="J1615" s="1056"/>
      <c r="K1615" s="1056"/>
      <c r="L1615" s="1056"/>
      <c r="M1615" s="274"/>
      <c r="P1615" s="264"/>
      <c r="Q1615" s="264"/>
      <c r="R1615" s="264"/>
      <c r="S1615" s="264"/>
      <c r="T1615" s="1056"/>
      <c r="U1615" s="1056"/>
      <c r="V1615" s="1056"/>
      <c r="W1615" s="1056"/>
      <c r="X1615" s="1056"/>
      <c r="Y1615" s="1056"/>
      <c r="Z1615" s="1056"/>
      <c r="AA1615" s="1056"/>
      <c r="AB1615" s="1056"/>
      <c r="AC1615" s="1056"/>
      <c r="AD1615" s="1056"/>
      <c r="AE1615" s="1056"/>
      <c r="AF1615" s="264"/>
    </row>
    <row r="1616" spans="1:32" s="268" customFormat="1" ht="15" x14ac:dyDescent="0.25">
      <c r="A1616" s="264"/>
      <c r="B1616" s="264"/>
      <c r="C1616" s="1056"/>
      <c r="D1616" s="1056"/>
      <c r="E1616" s="1056"/>
      <c r="F1616" s="1056"/>
      <c r="G1616" s="1056"/>
      <c r="H1616" s="1056"/>
      <c r="I1616" s="1056"/>
      <c r="J1616" s="1056"/>
      <c r="K1616" s="1056"/>
      <c r="L1616" s="1056"/>
      <c r="M1616" s="274"/>
      <c r="P1616" s="264"/>
      <c r="Q1616" s="264"/>
      <c r="R1616" s="264"/>
      <c r="S1616" s="264"/>
      <c r="T1616" s="1056"/>
      <c r="U1616" s="1056"/>
      <c r="V1616" s="1056"/>
      <c r="W1616" s="1056"/>
      <c r="X1616" s="1056"/>
      <c r="Y1616" s="1056"/>
      <c r="Z1616" s="1056"/>
      <c r="AA1616" s="1056"/>
      <c r="AB1616" s="1056"/>
      <c r="AC1616" s="1056"/>
      <c r="AD1616" s="1056"/>
      <c r="AE1616" s="1056"/>
      <c r="AF1616" s="264"/>
    </row>
    <row r="1617" spans="1:32" s="268" customFormat="1" ht="15" x14ac:dyDescent="0.25">
      <c r="A1617" s="264"/>
      <c r="B1617" s="264"/>
      <c r="C1617" s="1056"/>
      <c r="D1617" s="1056"/>
      <c r="E1617" s="1056"/>
      <c r="F1617" s="1056"/>
      <c r="G1617" s="1056"/>
      <c r="H1617" s="1056"/>
      <c r="I1617" s="1056"/>
      <c r="J1617" s="1056"/>
      <c r="K1617" s="1056"/>
      <c r="L1617" s="1056"/>
      <c r="M1617" s="274"/>
      <c r="P1617" s="264"/>
      <c r="Q1617" s="264"/>
      <c r="R1617" s="264"/>
      <c r="S1617" s="264"/>
      <c r="T1617" s="1056"/>
      <c r="U1617" s="1056"/>
      <c r="V1617" s="1056"/>
      <c r="W1617" s="1056"/>
      <c r="X1617" s="1056"/>
      <c r="Y1617" s="1056"/>
      <c r="Z1617" s="1056"/>
      <c r="AA1617" s="1056"/>
      <c r="AB1617" s="1056"/>
      <c r="AC1617" s="1056"/>
      <c r="AD1617" s="1056"/>
      <c r="AE1617" s="1056"/>
      <c r="AF1617" s="264"/>
    </row>
    <row r="1618" spans="1:32" s="268" customFormat="1" ht="15" x14ac:dyDescent="0.25">
      <c r="A1618" s="264"/>
      <c r="B1618" s="264"/>
      <c r="C1618" s="1056"/>
      <c r="D1618" s="1056"/>
      <c r="E1618" s="1056"/>
      <c r="F1618" s="1056"/>
      <c r="G1618" s="1056"/>
      <c r="H1618" s="1056"/>
      <c r="I1618" s="1056"/>
      <c r="J1618" s="1056"/>
      <c r="K1618" s="1056"/>
      <c r="L1618" s="1056"/>
      <c r="M1618" s="274"/>
      <c r="P1618" s="264"/>
      <c r="Q1618" s="264"/>
      <c r="R1618" s="264"/>
      <c r="S1618" s="264"/>
      <c r="T1618" s="1056"/>
      <c r="U1618" s="1056"/>
      <c r="V1618" s="1056"/>
      <c r="W1618" s="1056"/>
      <c r="X1618" s="1056"/>
      <c r="Y1618" s="1056"/>
      <c r="Z1618" s="1056"/>
      <c r="AA1618" s="1056"/>
      <c r="AB1618" s="1056"/>
      <c r="AC1618" s="1056"/>
      <c r="AD1618" s="1056"/>
      <c r="AE1618" s="1056"/>
      <c r="AF1618" s="264"/>
    </row>
    <row r="1619" spans="1:32" s="268" customFormat="1" ht="15" x14ac:dyDescent="0.25">
      <c r="A1619" s="264"/>
      <c r="B1619" s="264"/>
      <c r="C1619" s="1056"/>
      <c r="D1619" s="1056"/>
      <c r="E1619" s="1056"/>
      <c r="F1619" s="1056"/>
      <c r="G1619" s="1056"/>
      <c r="H1619" s="1056"/>
      <c r="I1619" s="1056"/>
      <c r="J1619" s="1056"/>
      <c r="K1619" s="1056"/>
      <c r="L1619" s="1056"/>
      <c r="M1619" s="274"/>
      <c r="P1619" s="264"/>
      <c r="Q1619" s="264"/>
      <c r="R1619" s="264"/>
      <c r="S1619" s="264"/>
      <c r="T1619" s="1056"/>
      <c r="U1619" s="1056"/>
      <c r="V1619" s="1056"/>
      <c r="W1619" s="1056"/>
      <c r="X1619" s="1056"/>
      <c r="Y1619" s="1056"/>
      <c r="Z1619" s="1056"/>
      <c r="AA1619" s="1056"/>
      <c r="AB1619" s="1056"/>
      <c r="AC1619" s="1056"/>
      <c r="AD1619" s="1056"/>
      <c r="AE1619" s="1056"/>
      <c r="AF1619" s="264"/>
    </row>
    <row r="1620" spans="1:32" s="268" customFormat="1" ht="15" x14ac:dyDescent="0.25">
      <c r="A1620" s="264"/>
      <c r="B1620" s="264"/>
      <c r="C1620" s="1056"/>
      <c r="D1620" s="1056"/>
      <c r="E1620" s="1056"/>
      <c r="F1620" s="1056"/>
      <c r="G1620" s="1056"/>
      <c r="H1620" s="1056"/>
      <c r="I1620" s="1056"/>
      <c r="J1620" s="1056"/>
      <c r="K1620" s="1056"/>
      <c r="L1620" s="1056"/>
      <c r="M1620" s="274"/>
      <c r="P1620" s="264"/>
      <c r="Q1620" s="264"/>
      <c r="R1620" s="264"/>
      <c r="S1620" s="264"/>
      <c r="T1620" s="1056"/>
      <c r="U1620" s="1056"/>
      <c r="V1620" s="1056"/>
      <c r="W1620" s="1056"/>
      <c r="X1620" s="1056"/>
      <c r="Y1620" s="1056"/>
      <c r="Z1620" s="1056"/>
      <c r="AA1620" s="1056"/>
      <c r="AB1620" s="1056"/>
      <c r="AC1620" s="1056"/>
      <c r="AD1620" s="1056"/>
      <c r="AE1620" s="1056"/>
      <c r="AF1620" s="264"/>
    </row>
    <row r="1621" spans="1:32" s="268" customFormat="1" ht="15" x14ac:dyDescent="0.25">
      <c r="A1621" s="264"/>
      <c r="B1621" s="264"/>
      <c r="C1621" s="1056"/>
      <c r="D1621" s="1056"/>
      <c r="E1621" s="1056"/>
      <c r="F1621" s="1056"/>
      <c r="G1621" s="1056"/>
      <c r="H1621" s="1056"/>
      <c r="I1621" s="1056"/>
      <c r="J1621" s="1056"/>
      <c r="K1621" s="1056"/>
      <c r="L1621" s="1056"/>
      <c r="M1621" s="274"/>
      <c r="P1621" s="264"/>
      <c r="Q1621" s="264"/>
      <c r="R1621" s="264"/>
      <c r="S1621" s="264"/>
      <c r="T1621" s="1056"/>
      <c r="U1621" s="1056"/>
      <c r="V1621" s="1056"/>
      <c r="W1621" s="1056"/>
      <c r="X1621" s="1056"/>
      <c r="Y1621" s="1056"/>
      <c r="Z1621" s="1056"/>
      <c r="AA1621" s="1056"/>
      <c r="AB1621" s="1056"/>
      <c r="AC1621" s="1056"/>
      <c r="AD1621" s="1056"/>
      <c r="AE1621" s="1056"/>
      <c r="AF1621" s="264"/>
    </row>
    <row r="1622" spans="1:32" s="268" customFormat="1" ht="15" x14ac:dyDescent="0.25">
      <c r="A1622" s="264"/>
      <c r="B1622" s="264"/>
      <c r="C1622" s="1056"/>
      <c r="D1622" s="1056"/>
      <c r="E1622" s="1056"/>
      <c r="F1622" s="1056"/>
      <c r="G1622" s="1056"/>
      <c r="H1622" s="1056"/>
      <c r="I1622" s="1056"/>
      <c r="J1622" s="1056"/>
      <c r="K1622" s="1056"/>
      <c r="L1622" s="1056"/>
      <c r="M1622" s="274"/>
      <c r="P1622" s="264"/>
      <c r="Q1622" s="264"/>
      <c r="R1622" s="264"/>
      <c r="S1622" s="264"/>
      <c r="T1622" s="1056"/>
      <c r="U1622" s="1056"/>
      <c r="V1622" s="1056"/>
      <c r="W1622" s="1056"/>
      <c r="X1622" s="1056"/>
      <c r="Y1622" s="1056"/>
      <c r="Z1622" s="1056"/>
      <c r="AA1622" s="1056"/>
      <c r="AB1622" s="1056"/>
      <c r="AC1622" s="1056"/>
      <c r="AD1622" s="1056"/>
      <c r="AE1622" s="1056"/>
      <c r="AF1622" s="264"/>
    </row>
    <row r="1623" spans="1:32" s="268" customFormat="1" ht="15" x14ac:dyDescent="0.25">
      <c r="A1623" s="264"/>
      <c r="B1623" s="264"/>
      <c r="C1623" s="1056"/>
      <c r="D1623" s="1056"/>
      <c r="E1623" s="1056"/>
      <c r="F1623" s="1056"/>
      <c r="G1623" s="1056"/>
      <c r="H1623" s="1056"/>
      <c r="I1623" s="1056"/>
      <c r="J1623" s="1056"/>
      <c r="K1623" s="1056"/>
      <c r="L1623" s="1056"/>
      <c r="M1623" s="274"/>
      <c r="P1623" s="264"/>
      <c r="Q1623" s="264"/>
      <c r="R1623" s="264"/>
      <c r="S1623" s="264"/>
      <c r="T1623" s="1056"/>
      <c r="U1623" s="1056"/>
      <c r="V1623" s="1056"/>
      <c r="W1623" s="1056"/>
      <c r="X1623" s="1056"/>
      <c r="Y1623" s="1056"/>
      <c r="Z1623" s="1056"/>
      <c r="AA1623" s="1056"/>
      <c r="AB1623" s="1056"/>
      <c r="AC1623" s="1056"/>
      <c r="AD1623" s="1056"/>
      <c r="AE1623" s="1056"/>
      <c r="AF1623" s="264"/>
    </row>
    <row r="1624" spans="1:32" s="268" customFormat="1" ht="15" x14ac:dyDescent="0.25">
      <c r="A1624" s="264"/>
      <c r="B1624" s="264"/>
      <c r="C1624" s="1056"/>
      <c r="D1624" s="1056"/>
      <c r="E1624" s="1056"/>
      <c r="F1624" s="1056"/>
      <c r="G1624" s="1056"/>
      <c r="H1624" s="1056"/>
      <c r="I1624" s="1056"/>
      <c r="J1624" s="1056"/>
      <c r="K1624" s="1056"/>
      <c r="L1624" s="1056"/>
      <c r="M1624" s="274"/>
      <c r="P1624" s="264"/>
      <c r="Q1624" s="264"/>
      <c r="R1624" s="264"/>
      <c r="S1624" s="264"/>
      <c r="T1624" s="1056"/>
      <c r="U1624" s="1056"/>
      <c r="V1624" s="1056"/>
      <c r="W1624" s="1056"/>
      <c r="X1624" s="1056"/>
      <c r="Y1624" s="1056"/>
      <c r="Z1624" s="1056"/>
      <c r="AA1624" s="1056"/>
      <c r="AB1624" s="1056"/>
      <c r="AC1624" s="1056"/>
      <c r="AD1624" s="1056"/>
      <c r="AE1624" s="1056"/>
      <c r="AF1624" s="264"/>
    </row>
    <row r="1625" spans="1:32" s="268" customFormat="1" ht="15" x14ac:dyDescent="0.25">
      <c r="A1625" s="264"/>
      <c r="B1625" s="264"/>
      <c r="C1625" s="1056"/>
      <c r="D1625" s="1056"/>
      <c r="E1625" s="1056"/>
      <c r="F1625" s="1056"/>
      <c r="G1625" s="1056"/>
      <c r="H1625" s="1056"/>
      <c r="I1625" s="1056"/>
      <c r="J1625" s="1056"/>
      <c r="K1625" s="1056"/>
      <c r="L1625" s="1056"/>
      <c r="M1625" s="274"/>
      <c r="P1625" s="264"/>
      <c r="Q1625" s="264"/>
      <c r="R1625" s="264"/>
      <c r="S1625" s="264"/>
      <c r="T1625" s="1056"/>
      <c r="U1625" s="1056"/>
      <c r="V1625" s="1056"/>
      <c r="W1625" s="1056"/>
      <c r="X1625" s="1056"/>
      <c r="Y1625" s="1056"/>
      <c r="Z1625" s="1056"/>
      <c r="AA1625" s="1056"/>
      <c r="AB1625" s="1056"/>
      <c r="AC1625" s="1056"/>
      <c r="AD1625" s="1056"/>
      <c r="AE1625" s="1056"/>
      <c r="AF1625" s="264"/>
    </row>
    <row r="1626" spans="1:32" s="268" customFormat="1" ht="15" x14ac:dyDescent="0.25">
      <c r="A1626" s="264"/>
      <c r="B1626" s="264"/>
      <c r="C1626" s="1056"/>
      <c r="D1626" s="1056"/>
      <c r="E1626" s="1056"/>
      <c r="F1626" s="1056"/>
      <c r="G1626" s="1056"/>
      <c r="H1626" s="1056"/>
      <c r="I1626" s="1056"/>
      <c r="J1626" s="1056"/>
      <c r="K1626" s="1056"/>
      <c r="L1626" s="1056"/>
      <c r="M1626" s="274"/>
      <c r="P1626" s="264"/>
      <c r="Q1626" s="264"/>
      <c r="R1626" s="264"/>
      <c r="S1626" s="264"/>
      <c r="T1626" s="1056"/>
      <c r="U1626" s="1056"/>
      <c r="V1626" s="1056"/>
      <c r="W1626" s="1056"/>
      <c r="X1626" s="1056"/>
      <c r="Y1626" s="1056"/>
      <c r="Z1626" s="1056"/>
      <c r="AA1626" s="1056"/>
      <c r="AB1626" s="1056"/>
      <c r="AC1626" s="1056"/>
      <c r="AD1626" s="1056"/>
      <c r="AE1626" s="1056"/>
      <c r="AF1626" s="264"/>
    </row>
    <row r="1627" spans="1:32" s="268" customFormat="1" ht="15" x14ac:dyDescent="0.25">
      <c r="A1627" s="264"/>
      <c r="B1627" s="264"/>
      <c r="C1627" s="1056"/>
      <c r="D1627" s="1056"/>
      <c r="E1627" s="1056"/>
      <c r="F1627" s="1056"/>
      <c r="G1627" s="1056"/>
      <c r="H1627" s="1056"/>
      <c r="I1627" s="1056"/>
      <c r="J1627" s="1056"/>
      <c r="K1627" s="1056"/>
      <c r="L1627" s="1056"/>
      <c r="M1627" s="274"/>
      <c r="P1627" s="264"/>
      <c r="Q1627" s="264"/>
      <c r="R1627" s="264"/>
      <c r="S1627" s="264"/>
      <c r="T1627" s="1056"/>
      <c r="U1627" s="1056"/>
      <c r="V1627" s="1056"/>
      <c r="W1627" s="1056"/>
      <c r="X1627" s="1056"/>
      <c r="Y1627" s="1056"/>
      <c r="Z1627" s="1056"/>
      <c r="AA1627" s="1056"/>
      <c r="AB1627" s="1056"/>
      <c r="AC1627" s="1056"/>
      <c r="AD1627" s="1056"/>
      <c r="AE1627" s="1056"/>
      <c r="AF1627" s="264"/>
    </row>
    <row r="1628" spans="1:32" s="268" customFormat="1" ht="15" x14ac:dyDescent="0.25">
      <c r="A1628" s="264"/>
      <c r="B1628" s="264"/>
      <c r="C1628" s="1056"/>
      <c r="D1628" s="1056"/>
      <c r="E1628" s="1056"/>
      <c r="F1628" s="1056"/>
      <c r="G1628" s="1056"/>
      <c r="H1628" s="1056"/>
      <c r="I1628" s="1056"/>
      <c r="J1628" s="1056"/>
      <c r="K1628" s="1056"/>
      <c r="L1628" s="1056"/>
      <c r="M1628" s="274"/>
      <c r="P1628" s="264"/>
      <c r="Q1628" s="264"/>
      <c r="R1628" s="264"/>
      <c r="S1628" s="264"/>
      <c r="T1628" s="1056"/>
      <c r="U1628" s="1056"/>
      <c r="V1628" s="1056"/>
      <c r="W1628" s="1056"/>
      <c r="X1628" s="1056"/>
      <c r="Y1628" s="1056"/>
      <c r="Z1628" s="1056"/>
      <c r="AA1628" s="1056"/>
      <c r="AB1628" s="1056"/>
      <c r="AC1628" s="1056"/>
      <c r="AD1628" s="1056"/>
      <c r="AE1628" s="1056"/>
      <c r="AF1628" s="264"/>
    </row>
    <row r="1629" spans="1:32" s="268" customFormat="1" ht="15" x14ac:dyDescent="0.25">
      <c r="A1629" s="264"/>
      <c r="B1629" s="264"/>
      <c r="C1629" s="1056"/>
      <c r="D1629" s="1056"/>
      <c r="E1629" s="1056"/>
      <c r="F1629" s="1056"/>
      <c r="G1629" s="1056"/>
      <c r="H1629" s="1056"/>
      <c r="I1629" s="1056"/>
      <c r="J1629" s="1056"/>
      <c r="K1629" s="1056"/>
      <c r="L1629" s="1056"/>
      <c r="M1629" s="274"/>
      <c r="P1629" s="264"/>
      <c r="Q1629" s="264"/>
      <c r="R1629" s="264"/>
      <c r="S1629" s="264"/>
      <c r="T1629" s="1056"/>
      <c r="U1629" s="1056"/>
      <c r="V1629" s="1056"/>
      <c r="W1629" s="1056"/>
      <c r="X1629" s="1056"/>
      <c r="Y1629" s="1056"/>
      <c r="Z1629" s="1056"/>
      <c r="AA1629" s="1056"/>
      <c r="AB1629" s="1056"/>
      <c r="AC1629" s="1056"/>
      <c r="AD1629" s="1056"/>
      <c r="AE1629" s="1056"/>
      <c r="AF1629" s="264"/>
    </row>
    <row r="1630" spans="1:32" s="268" customFormat="1" ht="15" x14ac:dyDescent="0.25">
      <c r="A1630" s="264"/>
      <c r="B1630" s="264"/>
      <c r="C1630" s="1056"/>
      <c r="D1630" s="1056"/>
      <c r="E1630" s="1056"/>
      <c r="F1630" s="1056"/>
      <c r="G1630" s="1056"/>
      <c r="H1630" s="1056"/>
      <c r="I1630" s="1056"/>
      <c r="J1630" s="1056"/>
      <c r="K1630" s="1056"/>
      <c r="L1630" s="1056"/>
      <c r="M1630" s="274"/>
      <c r="P1630" s="264"/>
      <c r="Q1630" s="264"/>
      <c r="R1630" s="264"/>
      <c r="S1630" s="264"/>
      <c r="T1630" s="1056"/>
      <c r="U1630" s="1056"/>
      <c r="V1630" s="1056"/>
      <c r="W1630" s="1056"/>
      <c r="X1630" s="1056"/>
      <c r="Y1630" s="1056"/>
      <c r="Z1630" s="1056"/>
      <c r="AA1630" s="1056"/>
      <c r="AB1630" s="1056"/>
      <c r="AC1630" s="1056"/>
      <c r="AD1630" s="1056"/>
      <c r="AE1630" s="1056"/>
      <c r="AF1630" s="264"/>
    </row>
    <row r="1631" spans="1:32" s="268" customFormat="1" ht="15" x14ac:dyDescent="0.25">
      <c r="A1631" s="264"/>
      <c r="B1631" s="264"/>
      <c r="C1631" s="1056"/>
      <c r="D1631" s="1056"/>
      <c r="E1631" s="1056"/>
      <c r="F1631" s="1056"/>
      <c r="G1631" s="1056"/>
      <c r="H1631" s="1056"/>
      <c r="I1631" s="1056"/>
      <c r="J1631" s="1056"/>
      <c r="K1631" s="1056"/>
      <c r="L1631" s="1056"/>
      <c r="M1631" s="274"/>
      <c r="P1631" s="264"/>
      <c r="Q1631" s="264"/>
      <c r="R1631" s="264"/>
      <c r="S1631" s="264"/>
      <c r="T1631" s="1056"/>
      <c r="U1631" s="1056"/>
      <c r="V1631" s="1056"/>
      <c r="W1631" s="1056"/>
      <c r="X1631" s="1056"/>
      <c r="Y1631" s="1056"/>
      <c r="Z1631" s="1056"/>
      <c r="AA1631" s="1056"/>
      <c r="AB1631" s="1056"/>
      <c r="AC1631" s="1056"/>
      <c r="AD1631" s="1056"/>
      <c r="AE1631" s="1056"/>
      <c r="AF1631" s="264"/>
    </row>
    <row r="1632" spans="1:32" s="268" customFormat="1" ht="15" x14ac:dyDescent="0.25">
      <c r="A1632" s="264"/>
      <c r="B1632" s="264"/>
      <c r="C1632" s="1056"/>
      <c r="D1632" s="1056"/>
      <c r="E1632" s="1056"/>
      <c r="F1632" s="1056"/>
      <c r="G1632" s="1056"/>
      <c r="H1632" s="1056"/>
      <c r="I1632" s="1056"/>
      <c r="J1632" s="1056"/>
      <c r="K1632" s="1056"/>
      <c r="L1632" s="1056"/>
      <c r="M1632" s="274"/>
      <c r="P1632" s="264"/>
      <c r="Q1632" s="264"/>
      <c r="R1632" s="264"/>
      <c r="S1632" s="264"/>
      <c r="T1632" s="1056"/>
      <c r="U1632" s="1056"/>
      <c r="V1632" s="1056"/>
      <c r="W1632" s="1056"/>
      <c r="X1632" s="1056"/>
      <c r="Y1632" s="1056"/>
      <c r="Z1632" s="1056"/>
      <c r="AA1632" s="1056"/>
      <c r="AB1632" s="1056"/>
      <c r="AC1632" s="1056"/>
      <c r="AD1632" s="1056"/>
      <c r="AE1632" s="1056"/>
      <c r="AF1632" s="264"/>
    </row>
    <row r="1633" spans="1:32" s="268" customFormat="1" ht="15" x14ac:dyDescent="0.25">
      <c r="A1633" s="264"/>
      <c r="B1633" s="264"/>
      <c r="C1633" s="1056"/>
      <c r="D1633" s="1056"/>
      <c r="E1633" s="1056"/>
      <c r="F1633" s="1056"/>
      <c r="G1633" s="1056"/>
      <c r="H1633" s="1056"/>
      <c r="I1633" s="1056"/>
      <c r="J1633" s="1056"/>
      <c r="K1633" s="1056"/>
      <c r="L1633" s="1056"/>
      <c r="M1633" s="274"/>
      <c r="P1633" s="264"/>
      <c r="Q1633" s="264"/>
      <c r="R1633" s="264"/>
      <c r="S1633" s="264"/>
      <c r="T1633" s="1056"/>
      <c r="U1633" s="1056"/>
      <c r="V1633" s="1056"/>
      <c r="W1633" s="1056"/>
      <c r="X1633" s="1056"/>
      <c r="Y1633" s="1056"/>
      <c r="Z1633" s="1056"/>
      <c r="AA1633" s="1056"/>
      <c r="AB1633" s="1056"/>
      <c r="AC1633" s="1056"/>
      <c r="AD1633" s="1056"/>
      <c r="AE1633" s="1056"/>
      <c r="AF1633" s="264"/>
    </row>
    <row r="1634" spans="1:32" s="268" customFormat="1" ht="15" x14ac:dyDescent="0.25">
      <c r="A1634" s="264"/>
      <c r="B1634" s="264"/>
      <c r="C1634" s="1056"/>
      <c r="D1634" s="1056"/>
      <c r="E1634" s="1056"/>
      <c r="F1634" s="1056"/>
      <c r="G1634" s="1056"/>
      <c r="H1634" s="1056"/>
      <c r="I1634" s="1056"/>
      <c r="J1634" s="1056"/>
      <c r="K1634" s="1056"/>
      <c r="L1634" s="1056"/>
      <c r="M1634" s="274"/>
      <c r="P1634" s="264"/>
      <c r="Q1634" s="264"/>
      <c r="R1634" s="264"/>
      <c r="S1634" s="264"/>
      <c r="T1634" s="1056"/>
      <c r="U1634" s="1056"/>
      <c r="V1634" s="1056"/>
      <c r="W1634" s="1056"/>
      <c r="X1634" s="1056"/>
      <c r="Y1634" s="1056"/>
      <c r="Z1634" s="1056"/>
      <c r="AA1634" s="1056"/>
      <c r="AB1634" s="1056"/>
      <c r="AC1634" s="1056"/>
      <c r="AD1634" s="1056"/>
      <c r="AE1634" s="1056"/>
      <c r="AF1634" s="264"/>
    </row>
    <row r="1635" spans="1:32" s="268" customFormat="1" ht="15" x14ac:dyDescent="0.25">
      <c r="A1635" s="264"/>
      <c r="B1635" s="264"/>
      <c r="C1635" s="1056"/>
      <c r="D1635" s="1056"/>
      <c r="E1635" s="1056"/>
      <c r="F1635" s="1056"/>
      <c r="G1635" s="1056"/>
      <c r="H1635" s="1056"/>
      <c r="I1635" s="1056"/>
      <c r="J1635" s="1056"/>
      <c r="K1635" s="1056"/>
      <c r="L1635" s="1056"/>
      <c r="M1635" s="274"/>
      <c r="P1635" s="264"/>
      <c r="Q1635" s="264"/>
      <c r="R1635" s="264"/>
      <c r="S1635" s="264"/>
      <c r="T1635" s="1056"/>
      <c r="U1635" s="1056"/>
      <c r="V1635" s="1056"/>
      <c r="W1635" s="1056"/>
      <c r="X1635" s="1056"/>
      <c r="Y1635" s="1056"/>
      <c r="Z1635" s="1056"/>
      <c r="AA1635" s="1056"/>
      <c r="AB1635" s="1056"/>
      <c r="AC1635" s="1056"/>
      <c r="AD1635" s="1056"/>
      <c r="AE1635" s="1056"/>
      <c r="AF1635" s="264"/>
    </row>
    <row r="1636" spans="1:32" s="268" customFormat="1" ht="15" x14ac:dyDescent="0.25">
      <c r="A1636" s="264"/>
      <c r="B1636" s="264"/>
      <c r="C1636" s="1056"/>
      <c r="D1636" s="1056"/>
      <c r="E1636" s="1056"/>
      <c r="F1636" s="1056"/>
      <c r="G1636" s="1056"/>
      <c r="H1636" s="1056"/>
      <c r="I1636" s="1056"/>
      <c r="J1636" s="1056"/>
      <c r="K1636" s="1056"/>
      <c r="L1636" s="1056"/>
      <c r="M1636" s="274"/>
      <c r="P1636" s="264"/>
      <c r="Q1636" s="264"/>
      <c r="R1636" s="264"/>
      <c r="S1636" s="264"/>
      <c r="T1636" s="1056"/>
      <c r="U1636" s="1056"/>
      <c r="V1636" s="1056"/>
      <c r="W1636" s="1056"/>
      <c r="X1636" s="1056"/>
      <c r="Y1636" s="1056"/>
      <c r="Z1636" s="1056"/>
      <c r="AA1636" s="1056"/>
      <c r="AB1636" s="1056"/>
      <c r="AC1636" s="1056"/>
      <c r="AD1636" s="1056"/>
      <c r="AE1636" s="1056"/>
      <c r="AF1636" s="264"/>
    </row>
    <row r="1637" spans="1:32" s="268" customFormat="1" ht="15" x14ac:dyDescent="0.25">
      <c r="A1637" s="264"/>
      <c r="B1637" s="264"/>
      <c r="C1637" s="1056"/>
      <c r="D1637" s="1056"/>
      <c r="E1637" s="1056"/>
      <c r="F1637" s="1056"/>
      <c r="G1637" s="1056"/>
      <c r="H1637" s="1056"/>
      <c r="I1637" s="1056"/>
      <c r="J1637" s="1056"/>
      <c r="K1637" s="1056"/>
      <c r="L1637" s="1056"/>
      <c r="M1637" s="274"/>
      <c r="P1637" s="264"/>
      <c r="Q1637" s="264"/>
      <c r="R1637" s="264"/>
      <c r="S1637" s="264"/>
      <c r="T1637" s="1056"/>
      <c r="U1637" s="1056"/>
      <c r="V1637" s="1056"/>
      <c r="W1637" s="1056"/>
      <c r="X1637" s="1056"/>
      <c r="Y1637" s="1056"/>
      <c r="Z1637" s="1056"/>
      <c r="AA1637" s="1056"/>
      <c r="AB1637" s="1056"/>
      <c r="AC1637" s="1056"/>
      <c r="AD1637" s="1056"/>
      <c r="AE1637" s="1056"/>
      <c r="AF1637" s="264"/>
    </row>
    <row r="1638" spans="1:32" s="268" customFormat="1" ht="15" x14ac:dyDescent="0.25">
      <c r="A1638" s="264"/>
      <c r="B1638" s="264"/>
      <c r="C1638" s="1056"/>
      <c r="D1638" s="1056"/>
      <c r="E1638" s="1056"/>
      <c r="F1638" s="1056"/>
      <c r="G1638" s="1056"/>
      <c r="H1638" s="1056"/>
      <c r="I1638" s="1056"/>
      <c r="J1638" s="1056"/>
      <c r="K1638" s="1056"/>
      <c r="L1638" s="1056"/>
      <c r="M1638" s="274"/>
      <c r="P1638" s="264"/>
      <c r="Q1638" s="264"/>
      <c r="R1638" s="264"/>
      <c r="S1638" s="264"/>
      <c r="T1638" s="1056"/>
      <c r="U1638" s="1056"/>
      <c r="V1638" s="1056"/>
      <c r="W1638" s="1056"/>
      <c r="X1638" s="1056"/>
      <c r="Y1638" s="1056"/>
      <c r="Z1638" s="1056"/>
      <c r="AA1638" s="1056"/>
      <c r="AB1638" s="1056"/>
      <c r="AC1638" s="1056"/>
      <c r="AD1638" s="1056"/>
      <c r="AE1638" s="1056"/>
      <c r="AF1638" s="264"/>
    </row>
    <row r="1639" spans="1:32" s="268" customFormat="1" ht="15" x14ac:dyDescent="0.25">
      <c r="A1639" s="264"/>
      <c r="B1639" s="264"/>
      <c r="C1639" s="1056"/>
      <c r="D1639" s="1056"/>
      <c r="E1639" s="1056"/>
      <c r="F1639" s="1056"/>
      <c r="G1639" s="1056"/>
      <c r="H1639" s="1056"/>
      <c r="I1639" s="1056"/>
      <c r="J1639" s="1056"/>
      <c r="K1639" s="1056"/>
      <c r="L1639" s="1056"/>
      <c r="M1639" s="274"/>
      <c r="P1639" s="264"/>
      <c r="Q1639" s="264"/>
      <c r="R1639" s="264"/>
      <c r="S1639" s="264"/>
      <c r="T1639" s="1056"/>
      <c r="U1639" s="1056"/>
      <c r="V1639" s="1056"/>
      <c r="W1639" s="1056"/>
      <c r="X1639" s="1056"/>
      <c r="Y1639" s="1056"/>
      <c r="Z1639" s="1056"/>
      <c r="AA1639" s="1056"/>
      <c r="AB1639" s="1056"/>
      <c r="AC1639" s="1056"/>
      <c r="AD1639" s="1056"/>
      <c r="AE1639" s="1056"/>
      <c r="AF1639" s="264"/>
    </row>
    <row r="1640" spans="1:32" s="268" customFormat="1" ht="15" x14ac:dyDescent="0.25">
      <c r="A1640" s="264"/>
      <c r="B1640" s="264"/>
      <c r="C1640" s="1056"/>
      <c r="D1640" s="1056"/>
      <c r="E1640" s="1056"/>
      <c r="F1640" s="1056"/>
      <c r="G1640" s="1056"/>
      <c r="H1640" s="1056"/>
      <c r="I1640" s="1056"/>
      <c r="J1640" s="1056"/>
      <c r="K1640" s="1056"/>
      <c r="L1640" s="1056"/>
      <c r="M1640" s="274"/>
      <c r="P1640" s="264"/>
      <c r="Q1640" s="264"/>
      <c r="R1640" s="264"/>
      <c r="S1640" s="264"/>
      <c r="T1640" s="1056"/>
      <c r="U1640" s="1056"/>
      <c r="V1640" s="1056"/>
      <c r="W1640" s="1056"/>
      <c r="X1640" s="1056"/>
      <c r="Y1640" s="1056"/>
      <c r="Z1640" s="1056"/>
      <c r="AA1640" s="1056"/>
      <c r="AB1640" s="1056"/>
      <c r="AC1640" s="1056"/>
      <c r="AD1640" s="1056"/>
      <c r="AE1640" s="1056"/>
      <c r="AF1640" s="264"/>
    </row>
    <row r="1641" spans="1:32" s="268" customFormat="1" ht="15" x14ac:dyDescent="0.25">
      <c r="A1641" s="264"/>
      <c r="B1641" s="264"/>
      <c r="C1641" s="1056"/>
      <c r="D1641" s="1056"/>
      <c r="E1641" s="1056"/>
      <c r="F1641" s="1056"/>
      <c r="G1641" s="1056"/>
      <c r="H1641" s="1056"/>
      <c r="I1641" s="1056"/>
      <c r="J1641" s="1056"/>
      <c r="K1641" s="1056"/>
      <c r="L1641" s="1056"/>
      <c r="M1641" s="274"/>
      <c r="P1641" s="264"/>
      <c r="Q1641" s="264"/>
      <c r="R1641" s="264"/>
      <c r="S1641" s="264"/>
      <c r="T1641" s="1056"/>
      <c r="U1641" s="1056"/>
      <c r="V1641" s="1056"/>
      <c r="W1641" s="1056"/>
      <c r="X1641" s="1056"/>
      <c r="Y1641" s="1056"/>
      <c r="Z1641" s="1056"/>
      <c r="AA1641" s="1056"/>
      <c r="AB1641" s="1056"/>
      <c r="AC1641" s="1056"/>
      <c r="AD1641" s="1056"/>
      <c r="AE1641" s="1056"/>
      <c r="AF1641" s="264"/>
    </row>
    <row r="1642" spans="1:32" s="268" customFormat="1" ht="15" x14ac:dyDescent="0.25">
      <c r="A1642" s="264"/>
      <c r="B1642" s="264"/>
      <c r="C1642" s="1056"/>
      <c r="D1642" s="1056"/>
      <c r="E1642" s="1056"/>
      <c r="F1642" s="1056"/>
      <c r="G1642" s="1056"/>
      <c r="H1642" s="1056"/>
      <c r="I1642" s="1056"/>
      <c r="J1642" s="1056"/>
      <c r="K1642" s="1056"/>
      <c r="L1642" s="1056"/>
      <c r="M1642" s="274"/>
      <c r="P1642" s="264"/>
      <c r="Q1642" s="264"/>
      <c r="R1642" s="264"/>
      <c r="S1642" s="264"/>
      <c r="T1642" s="1056"/>
      <c r="U1642" s="1056"/>
      <c r="V1642" s="1056"/>
      <c r="W1642" s="1056"/>
      <c r="X1642" s="1056"/>
      <c r="Y1642" s="1056"/>
      <c r="Z1642" s="1056"/>
      <c r="AA1642" s="1056"/>
      <c r="AB1642" s="1056"/>
      <c r="AC1642" s="1056"/>
      <c r="AD1642" s="1056"/>
      <c r="AE1642" s="1056"/>
      <c r="AF1642" s="264"/>
    </row>
    <row r="1643" spans="1:32" s="268" customFormat="1" ht="15" x14ac:dyDescent="0.25">
      <c r="A1643" s="264"/>
      <c r="B1643" s="264"/>
      <c r="C1643" s="1056"/>
      <c r="D1643" s="1056"/>
      <c r="E1643" s="1056"/>
      <c r="F1643" s="1056"/>
      <c r="G1643" s="1056"/>
      <c r="H1643" s="1056"/>
      <c r="I1643" s="1056"/>
      <c r="J1643" s="1056"/>
      <c r="K1643" s="1056"/>
      <c r="L1643" s="1056"/>
      <c r="M1643" s="274"/>
      <c r="P1643" s="264"/>
      <c r="Q1643" s="264"/>
      <c r="R1643" s="264"/>
      <c r="S1643" s="264"/>
      <c r="T1643" s="1056"/>
      <c r="U1643" s="1056"/>
      <c r="V1643" s="1056"/>
      <c r="W1643" s="1056"/>
      <c r="X1643" s="1056"/>
      <c r="Y1643" s="1056"/>
      <c r="Z1643" s="1056"/>
      <c r="AA1643" s="1056"/>
      <c r="AB1643" s="1056"/>
      <c r="AC1643" s="1056"/>
      <c r="AD1643" s="1056"/>
      <c r="AE1643" s="1056"/>
      <c r="AF1643" s="264"/>
    </row>
    <row r="1644" spans="1:32" s="268" customFormat="1" ht="15" x14ac:dyDescent="0.25">
      <c r="A1644" s="264"/>
      <c r="B1644" s="264"/>
      <c r="C1644" s="1056"/>
      <c r="D1644" s="1056"/>
      <c r="E1644" s="1056"/>
      <c r="F1644" s="1056"/>
      <c r="G1644" s="1056"/>
      <c r="H1644" s="1056"/>
      <c r="I1644" s="1056"/>
      <c r="J1644" s="1056"/>
      <c r="K1644" s="1056"/>
      <c r="L1644" s="1056"/>
      <c r="M1644" s="274"/>
      <c r="P1644" s="264"/>
      <c r="Q1644" s="264"/>
      <c r="R1644" s="264"/>
      <c r="S1644" s="264"/>
      <c r="T1644" s="1056"/>
      <c r="U1644" s="1056"/>
      <c r="V1644" s="1056"/>
      <c r="W1644" s="1056"/>
      <c r="X1644" s="1056"/>
      <c r="Y1644" s="1056"/>
      <c r="Z1644" s="1056"/>
      <c r="AA1644" s="1056"/>
      <c r="AB1644" s="1056"/>
      <c r="AC1644" s="1056"/>
      <c r="AD1644" s="1056"/>
      <c r="AE1644" s="1056"/>
      <c r="AF1644" s="264"/>
    </row>
    <row r="1645" spans="1:32" s="268" customFormat="1" ht="15" x14ac:dyDescent="0.25">
      <c r="A1645" s="264"/>
      <c r="B1645" s="264"/>
      <c r="C1645" s="1056"/>
      <c r="D1645" s="1056"/>
      <c r="E1645" s="1056"/>
      <c r="F1645" s="1056"/>
      <c r="G1645" s="1056"/>
      <c r="H1645" s="1056"/>
      <c r="I1645" s="1056"/>
      <c r="J1645" s="1056"/>
      <c r="K1645" s="1056"/>
      <c r="L1645" s="1056"/>
      <c r="M1645" s="274"/>
      <c r="P1645" s="264"/>
      <c r="Q1645" s="264"/>
      <c r="R1645" s="264"/>
      <c r="S1645" s="264"/>
      <c r="T1645" s="1056"/>
      <c r="U1645" s="1056"/>
      <c r="V1645" s="1056"/>
      <c r="W1645" s="1056"/>
      <c r="X1645" s="1056"/>
      <c r="Y1645" s="1056"/>
      <c r="Z1645" s="1056"/>
      <c r="AA1645" s="1056"/>
      <c r="AB1645" s="1056"/>
      <c r="AC1645" s="1056"/>
      <c r="AD1645" s="1056"/>
      <c r="AE1645" s="1056"/>
      <c r="AF1645" s="264"/>
    </row>
    <row r="1646" spans="1:32" s="268" customFormat="1" ht="15" x14ac:dyDescent="0.25">
      <c r="A1646" s="264"/>
      <c r="B1646" s="264"/>
      <c r="C1646" s="1056"/>
      <c r="D1646" s="1056"/>
      <c r="E1646" s="1056"/>
      <c r="F1646" s="1056"/>
      <c r="G1646" s="1056"/>
      <c r="H1646" s="1056"/>
      <c r="I1646" s="1056"/>
      <c r="J1646" s="1056"/>
      <c r="K1646" s="1056"/>
      <c r="L1646" s="1056"/>
      <c r="M1646" s="274"/>
      <c r="P1646" s="264"/>
      <c r="Q1646" s="264"/>
      <c r="R1646" s="264"/>
      <c r="S1646" s="264"/>
      <c r="T1646" s="1056"/>
      <c r="U1646" s="1056"/>
      <c r="V1646" s="1056"/>
      <c r="W1646" s="1056"/>
      <c r="X1646" s="1056"/>
      <c r="Y1646" s="1056"/>
      <c r="Z1646" s="1056"/>
      <c r="AA1646" s="1056"/>
      <c r="AB1646" s="1056"/>
      <c r="AC1646" s="1056"/>
      <c r="AD1646" s="1056"/>
      <c r="AE1646" s="1056"/>
      <c r="AF1646" s="264"/>
    </row>
    <row r="1647" spans="1:32" s="268" customFormat="1" ht="15" x14ac:dyDescent="0.25">
      <c r="A1647" s="264"/>
      <c r="B1647" s="264"/>
      <c r="C1647" s="1056"/>
      <c r="D1647" s="1056"/>
      <c r="E1647" s="1056"/>
      <c r="F1647" s="1056"/>
      <c r="G1647" s="1056"/>
      <c r="H1647" s="1056"/>
      <c r="I1647" s="1056"/>
      <c r="J1647" s="1056"/>
      <c r="K1647" s="1056"/>
      <c r="L1647" s="1056"/>
      <c r="M1647" s="274"/>
      <c r="P1647" s="264"/>
      <c r="Q1647" s="264"/>
      <c r="R1647" s="264"/>
      <c r="S1647" s="264"/>
      <c r="T1647" s="1056"/>
      <c r="U1647" s="1056"/>
      <c r="V1647" s="1056"/>
      <c r="W1647" s="1056"/>
      <c r="X1647" s="1056"/>
      <c r="Y1647" s="1056"/>
      <c r="Z1647" s="1056"/>
      <c r="AA1647" s="1056"/>
      <c r="AB1647" s="1056"/>
      <c r="AC1647" s="1056"/>
      <c r="AD1647" s="1056"/>
      <c r="AE1647" s="1056"/>
      <c r="AF1647" s="264"/>
    </row>
    <row r="1648" spans="1:32" s="268" customFormat="1" ht="15" x14ac:dyDescent="0.25">
      <c r="A1648" s="264"/>
      <c r="B1648" s="264"/>
      <c r="C1648" s="1056"/>
      <c r="D1648" s="1056"/>
      <c r="E1648" s="1056"/>
      <c r="F1648" s="1056"/>
      <c r="G1648" s="1056"/>
      <c r="H1648" s="1056"/>
      <c r="I1648" s="1056"/>
      <c r="J1648" s="1056"/>
      <c r="K1648" s="1056"/>
      <c r="L1648" s="1056"/>
      <c r="M1648" s="274"/>
      <c r="P1648" s="264"/>
      <c r="Q1648" s="264"/>
      <c r="R1648" s="264"/>
      <c r="S1648" s="264"/>
      <c r="T1648" s="1056"/>
      <c r="U1648" s="1056"/>
      <c r="V1648" s="1056"/>
      <c r="W1648" s="1056"/>
      <c r="X1648" s="1056"/>
      <c r="Y1648" s="1056"/>
      <c r="Z1648" s="1056"/>
      <c r="AA1648" s="1056"/>
      <c r="AB1648" s="1056"/>
      <c r="AC1648" s="1056"/>
      <c r="AD1648" s="1056"/>
      <c r="AE1648" s="1056"/>
      <c r="AF1648" s="264"/>
    </row>
    <row r="1649" spans="1:32" s="268" customFormat="1" ht="15" x14ac:dyDescent="0.25">
      <c r="A1649" s="264"/>
      <c r="B1649" s="264"/>
      <c r="C1649" s="1056"/>
      <c r="D1649" s="1056"/>
      <c r="E1649" s="1056"/>
      <c r="F1649" s="1056"/>
      <c r="G1649" s="1056"/>
      <c r="H1649" s="1056"/>
      <c r="I1649" s="1056"/>
      <c r="J1649" s="1056"/>
      <c r="K1649" s="1056"/>
      <c r="L1649" s="1056"/>
      <c r="M1649" s="274"/>
      <c r="P1649" s="264"/>
      <c r="Q1649" s="264"/>
      <c r="R1649" s="264"/>
      <c r="S1649" s="264"/>
      <c r="T1649" s="1056"/>
      <c r="U1649" s="1056"/>
      <c r="V1649" s="1056"/>
      <c r="W1649" s="1056"/>
      <c r="X1649" s="1056"/>
      <c r="Y1649" s="1056"/>
      <c r="Z1649" s="1056"/>
      <c r="AA1649" s="1056"/>
      <c r="AB1649" s="1056"/>
      <c r="AC1649" s="1056"/>
      <c r="AD1649" s="1056"/>
      <c r="AE1649" s="1056"/>
      <c r="AF1649" s="264"/>
    </row>
    <row r="1650" spans="1:32" s="268" customFormat="1" ht="15" x14ac:dyDescent="0.25">
      <c r="A1650" s="264"/>
      <c r="B1650" s="264"/>
      <c r="C1650" s="1056"/>
      <c r="D1650" s="1056"/>
      <c r="E1650" s="1056"/>
      <c r="F1650" s="1056"/>
      <c r="G1650" s="1056"/>
      <c r="H1650" s="1056"/>
      <c r="I1650" s="1056"/>
      <c r="J1650" s="1056"/>
      <c r="K1650" s="1056"/>
      <c r="L1650" s="1056"/>
      <c r="M1650" s="274"/>
      <c r="P1650" s="264"/>
      <c r="Q1650" s="264"/>
      <c r="R1650" s="264"/>
      <c r="S1650" s="264"/>
      <c r="T1650" s="1056"/>
      <c r="U1650" s="1056"/>
      <c r="V1650" s="1056"/>
      <c r="W1650" s="1056"/>
      <c r="X1650" s="1056"/>
      <c r="Y1650" s="1056"/>
      <c r="Z1650" s="1056"/>
      <c r="AA1650" s="1056"/>
      <c r="AB1650" s="1056"/>
      <c r="AC1650" s="1056"/>
      <c r="AD1650" s="1056"/>
      <c r="AE1650" s="1056"/>
      <c r="AF1650" s="264"/>
    </row>
    <row r="1651" spans="1:32" s="268" customFormat="1" ht="15" x14ac:dyDescent="0.25">
      <c r="A1651" s="264"/>
      <c r="B1651" s="264"/>
      <c r="C1651" s="1056"/>
      <c r="D1651" s="1056"/>
      <c r="E1651" s="1056"/>
      <c r="F1651" s="1056"/>
      <c r="G1651" s="1056"/>
      <c r="H1651" s="1056"/>
      <c r="I1651" s="1056"/>
      <c r="J1651" s="1056"/>
      <c r="K1651" s="1056"/>
      <c r="L1651" s="1056"/>
      <c r="M1651" s="274"/>
      <c r="P1651" s="264"/>
      <c r="Q1651" s="264"/>
      <c r="R1651" s="264"/>
      <c r="S1651" s="264"/>
      <c r="T1651" s="1056"/>
      <c r="U1651" s="1056"/>
      <c r="V1651" s="1056"/>
      <c r="W1651" s="1056"/>
      <c r="X1651" s="1056"/>
      <c r="Y1651" s="1056"/>
      <c r="Z1651" s="1056"/>
      <c r="AA1651" s="1056"/>
      <c r="AB1651" s="1056"/>
      <c r="AC1651" s="1056"/>
      <c r="AD1651" s="1056"/>
      <c r="AE1651" s="1056"/>
      <c r="AF1651" s="264"/>
    </row>
    <row r="1652" spans="1:32" s="268" customFormat="1" ht="15" x14ac:dyDescent="0.25">
      <c r="A1652" s="264"/>
      <c r="B1652" s="264"/>
      <c r="C1652" s="1056"/>
      <c r="D1652" s="1056"/>
      <c r="E1652" s="1056"/>
      <c r="F1652" s="1056"/>
      <c r="G1652" s="1056"/>
      <c r="H1652" s="1056"/>
      <c r="I1652" s="1056"/>
      <c r="J1652" s="1056"/>
      <c r="K1652" s="1056"/>
      <c r="L1652" s="1056"/>
      <c r="M1652" s="274"/>
      <c r="P1652" s="264"/>
      <c r="Q1652" s="264"/>
      <c r="R1652" s="264"/>
      <c r="S1652" s="264"/>
      <c r="T1652" s="1056"/>
      <c r="U1652" s="1056"/>
      <c r="V1652" s="1056"/>
      <c r="W1652" s="1056"/>
      <c r="X1652" s="1056"/>
      <c r="Y1652" s="1056"/>
      <c r="Z1652" s="1056"/>
      <c r="AA1652" s="1056"/>
      <c r="AB1652" s="1056"/>
      <c r="AC1652" s="1056"/>
      <c r="AD1652" s="1056"/>
      <c r="AE1652" s="1056"/>
      <c r="AF1652" s="264"/>
    </row>
    <row r="1653" spans="1:32" s="268" customFormat="1" ht="15" x14ac:dyDescent="0.25">
      <c r="A1653" s="264"/>
      <c r="B1653" s="264"/>
      <c r="C1653" s="1056"/>
      <c r="D1653" s="1056"/>
      <c r="E1653" s="1056"/>
      <c r="F1653" s="1056"/>
      <c r="G1653" s="1056"/>
      <c r="H1653" s="1056"/>
      <c r="I1653" s="1056"/>
      <c r="J1653" s="1056"/>
      <c r="K1653" s="1056"/>
      <c r="L1653" s="1056"/>
      <c r="M1653" s="274"/>
      <c r="P1653" s="264"/>
      <c r="Q1653" s="264"/>
      <c r="R1653" s="264"/>
      <c r="S1653" s="264"/>
      <c r="T1653" s="1056"/>
      <c r="U1653" s="1056"/>
      <c r="V1653" s="1056"/>
      <c r="W1653" s="1056"/>
      <c r="X1653" s="1056"/>
      <c r="Y1653" s="1056"/>
      <c r="Z1653" s="1056"/>
      <c r="AA1653" s="1056"/>
      <c r="AB1653" s="1056"/>
      <c r="AC1653" s="1056"/>
      <c r="AD1653" s="1056"/>
      <c r="AE1653" s="1056"/>
      <c r="AF1653" s="264"/>
    </row>
    <row r="1654" spans="1:32" s="268" customFormat="1" ht="15" x14ac:dyDescent="0.25">
      <c r="A1654" s="264"/>
      <c r="B1654" s="264"/>
      <c r="C1654" s="1056"/>
      <c r="D1654" s="1056"/>
      <c r="E1654" s="1056"/>
      <c r="F1654" s="1056"/>
      <c r="G1654" s="1056"/>
      <c r="H1654" s="1056"/>
      <c r="I1654" s="1056"/>
      <c r="J1654" s="1056"/>
      <c r="K1654" s="1056"/>
      <c r="L1654" s="1056"/>
      <c r="M1654" s="274"/>
      <c r="P1654" s="264"/>
      <c r="Q1654" s="264"/>
      <c r="R1654" s="264"/>
      <c r="S1654" s="264"/>
      <c r="T1654" s="1056"/>
      <c r="U1654" s="1056"/>
      <c r="V1654" s="1056"/>
      <c r="W1654" s="1056"/>
      <c r="X1654" s="1056"/>
      <c r="Y1654" s="1056"/>
      <c r="Z1654" s="1056"/>
      <c r="AA1654" s="1056"/>
      <c r="AB1654" s="1056"/>
      <c r="AC1654" s="1056"/>
      <c r="AD1654" s="1056"/>
      <c r="AE1654" s="1056"/>
      <c r="AF1654" s="264"/>
    </row>
    <row r="1655" spans="1:32" s="268" customFormat="1" ht="15" x14ac:dyDescent="0.25">
      <c r="A1655" s="264"/>
      <c r="B1655" s="264"/>
      <c r="C1655" s="1056"/>
      <c r="D1655" s="1056"/>
      <c r="E1655" s="1056"/>
      <c r="F1655" s="1056"/>
      <c r="G1655" s="1056"/>
      <c r="H1655" s="1056"/>
      <c r="I1655" s="1056"/>
      <c r="J1655" s="1056"/>
      <c r="K1655" s="1056"/>
      <c r="L1655" s="1056"/>
      <c r="M1655" s="274"/>
      <c r="P1655" s="264"/>
      <c r="Q1655" s="264"/>
      <c r="R1655" s="264"/>
      <c r="S1655" s="264"/>
      <c r="T1655" s="1056"/>
      <c r="U1655" s="1056"/>
      <c r="V1655" s="1056"/>
      <c r="W1655" s="1056"/>
      <c r="X1655" s="1056"/>
      <c r="Y1655" s="1056"/>
      <c r="Z1655" s="1056"/>
      <c r="AA1655" s="1056"/>
      <c r="AB1655" s="1056"/>
      <c r="AC1655" s="1056"/>
      <c r="AD1655" s="1056"/>
      <c r="AE1655" s="1056"/>
      <c r="AF1655" s="264"/>
    </row>
    <row r="1656" spans="1:32" s="268" customFormat="1" ht="15" x14ac:dyDescent="0.25">
      <c r="A1656" s="264"/>
      <c r="B1656" s="264"/>
      <c r="C1656" s="1056"/>
      <c r="D1656" s="1056"/>
      <c r="E1656" s="1056"/>
      <c r="F1656" s="1056"/>
      <c r="G1656" s="1056"/>
      <c r="H1656" s="1056"/>
      <c r="I1656" s="1056"/>
      <c r="J1656" s="1056"/>
      <c r="K1656" s="1056"/>
      <c r="L1656" s="1056"/>
      <c r="M1656" s="274"/>
      <c r="P1656" s="264"/>
      <c r="Q1656" s="264"/>
      <c r="R1656" s="264"/>
      <c r="S1656" s="264"/>
      <c r="T1656" s="1056"/>
      <c r="U1656" s="1056"/>
      <c r="V1656" s="1056"/>
      <c r="W1656" s="1056"/>
      <c r="X1656" s="1056"/>
      <c r="Y1656" s="1056"/>
      <c r="Z1656" s="1056"/>
      <c r="AA1656" s="1056"/>
      <c r="AB1656" s="1056"/>
      <c r="AC1656" s="1056"/>
      <c r="AD1656" s="1056"/>
      <c r="AE1656" s="1056"/>
      <c r="AF1656" s="264"/>
    </row>
    <row r="1657" spans="1:32" s="268" customFormat="1" ht="15" x14ac:dyDescent="0.25">
      <c r="A1657" s="264"/>
      <c r="B1657" s="264"/>
      <c r="C1657" s="1056"/>
      <c r="D1657" s="1056"/>
      <c r="E1657" s="1056"/>
      <c r="F1657" s="1056"/>
      <c r="G1657" s="1056"/>
      <c r="H1657" s="1056"/>
      <c r="I1657" s="1056"/>
      <c r="J1657" s="1056"/>
      <c r="K1657" s="1056"/>
      <c r="L1657" s="1056"/>
      <c r="M1657" s="274"/>
      <c r="P1657" s="264"/>
      <c r="Q1657" s="264"/>
      <c r="R1657" s="264"/>
      <c r="S1657" s="264"/>
      <c r="T1657" s="1056"/>
      <c r="U1657" s="1056"/>
      <c r="V1657" s="1056"/>
      <c r="W1657" s="1056"/>
      <c r="X1657" s="1056"/>
      <c r="Y1657" s="1056"/>
      <c r="Z1657" s="1056"/>
      <c r="AA1657" s="1056"/>
      <c r="AB1657" s="1056"/>
      <c r="AC1657" s="1056"/>
      <c r="AD1657" s="1056"/>
      <c r="AE1657" s="1056"/>
      <c r="AF1657" s="264"/>
    </row>
    <row r="1658" spans="1:32" s="268" customFormat="1" ht="15" x14ac:dyDescent="0.25">
      <c r="A1658" s="264"/>
      <c r="B1658" s="264"/>
      <c r="C1658" s="1056"/>
      <c r="D1658" s="1056"/>
      <c r="E1658" s="1056"/>
      <c r="F1658" s="1056"/>
      <c r="G1658" s="1056"/>
      <c r="H1658" s="1056"/>
      <c r="I1658" s="1056"/>
      <c r="J1658" s="1056"/>
      <c r="K1658" s="1056"/>
      <c r="L1658" s="1056"/>
      <c r="M1658" s="274"/>
      <c r="P1658" s="264"/>
      <c r="Q1658" s="264"/>
      <c r="R1658" s="264"/>
      <c r="S1658" s="264"/>
      <c r="T1658" s="1056"/>
      <c r="U1658" s="1056"/>
      <c r="V1658" s="1056"/>
      <c r="W1658" s="1056"/>
      <c r="X1658" s="1056"/>
      <c r="Y1658" s="1056"/>
      <c r="Z1658" s="1056"/>
      <c r="AA1658" s="1056"/>
      <c r="AB1658" s="1056"/>
      <c r="AC1658" s="1056"/>
      <c r="AD1658" s="1056"/>
      <c r="AE1658" s="1056"/>
      <c r="AF1658" s="264"/>
    </row>
    <row r="1659" spans="1:32" s="268" customFormat="1" ht="15" x14ac:dyDescent="0.25">
      <c r="A1659" s="264"/>
      <c r="B1659" s="264"/>
      <c r="C1659" s="1056"/>
      <c r="D1659" s="1056"/>
      <c r="E1659" s="1056"/>
      <c r="F1659" s="1056"/>
      <c r="G1659" s="1056"/>
      <c r="H1659" s="1056"/>
      <c r="I1659" s="1056"/>
      <c r="J1659" s="1056"/>
      <c r="K1659" s="1056"/>
      <c r="L1659" s="1056"/>
      <c r="M1659" s="274"/>
      <c r="P1659" s="264"/>
      <c r="Q1659" s="264"/>
      <c r="R1659" s="264"/>
      <c r="S1659" s="264"/>
      <c r="T1659" s="1056"/>
      <c r="U1659" s="1056"/>
      <c r="V1659" s="1056"/>
      <c r="W1659" s="1056"/>
      <c r="X1659" s="1056"/>
      <c r="Y1659" s="1056"/>
      <c r="Z1659" s="1056"/>
      <c r="AA1659" s="1056"/>
      <c r="AB1659" s="1056"/>
      <c r="AC1659" s="1056"/>
      <c r="AD1659" s="1056"/>
      <c r="AE1659" s="1056"/>
      <c r="AF1659" s="264"/>
    </row>
    <row r="1660" spans="1:32" s="268" customFormat="1" ht="15" x14ac:dyDescent="0.25">
      <c r="A1660" s="264"/>
      <c r="B1660" s="264"/>
      <c r="C1660" s="1056"/>
      <c r="D1660" s="1056"/>
      <c r="E1660" s="1056"/>
      <c r="F1660" s="1056"/>
      <c r="G1660" s="1056"/>
      <c r="H1660" s="1056"/>
      <c r="I1660" s="1056"/>
      <c r="J1660" s="1056"/>
      <c r="K1660" s="1056"/>
      <c r="L1660" s="1056"/>
      <c r="M1660" s="274"/>
      <c r="P1660" s="264"/>
      <c r="Q1660" s="264"/>
      <c r="R1660" s="264"/>
      <c r="S1660" s="264"/>
      <c r="T1660" s="1056"/>
      <c r="U1660" s="1056"/>
      <c r="V1660" s="1056"/>
      <c r="W1660" s="1056"/>
      <c r="X1660" s="1056"/>
      <c r="Y1660" s="1056"/>
      <c r="Z1660" s="1056"/>
      <c r="AA1660" s="1056"/>
      <c r="AB1660" s="1056"/>
      <c r="AC1660" s="1056"/>
      <c r="AD1660" s="1056"/>
      <c r="AE1660" s="1056"/>
      <c r="AF1660" s="264"/>
    </row>
    <row r="1661" spans="1:32" s="268" customFormat="1" ht="15" x14ac:dyDescent="0.25">
      <c r="A1661" s="264"/>
      <c r="B1661" s="264"/>
      <c r="C1661" s="1056"/>
      <c r="D1661" s="1056"/>
      <c r="E1661" s="1056"/>
      <c r="F1661" s="1056"/>
      <c r="G1661" s="1056"/>
      <c r="H1661" s="1056"/>
      <c r="I1661" s="1056"/>
      <c r="J1661" s="1056"/>
      <c r="K1661" s="1056"/>
      <c r="L1661" s="1056"/>
      <c r="M1661" s="274"/>
      <c r="P1661" s="264"/>
      <c r="Q1661" s="264"/>
      <c r="R1661" s="264"/>
      <c r="S1661" s="264"/>
      <c r="T1661" s="1056"/>
      <c r="U1661" s="1056"/>
      <c r="V1661" s="1056"/>
      <c r="W1661" s="1056"/>
      <c r="X1661" s="1056"/>
      <c r="Y1661" s="1056"/>
      <c r="Z1661" s="1056"/>
      <c r="AA1661" s="1056"/>
      <c r="AB1661" s="1056"/>
      <c r="AC1661" s="1056"/>
      <c r="AD1661" s="1056"/>
      <c r="AE1661" s="1056"/>
      <c r="AF1661" s="264"/>
    </row>
    <row r="1662" spans="1:32" s="268" customFormat="1" ht="15" x14ac:dyDescent="0.25">
      <c r="A1662" s="264"/>
      <c r="B1662" s="264"/>
      <c r="C1662" s="1056"/>
      <c r="D1662" s="1056"/>
      <c r="E1662" s="1056"/>
      <c r="F1662" s="1056"/>
      <c r="G1662" s="1056"/>
      <c r="H1662" s="1056"/>
      <c r="I1662" s="1056"/>
      <c r="J1662" s="1056"/>
      <c r="K1662" s="1056"/>
      <c r="L1662" s="1056"/>
      <c r="M1662" s="274"/>
      <c r="P1662" s="264"/>
      <c r="Q1662" s="264"/>
      <c r="R1662" s="264"/>
      <c r="S1662" s="264"/>
      <c r="T1662" s="1056"/>
      <c r="U1662" s="1056"/>
      <c r="V1662" s="1056"/>
      <c r="W1662" s="1056"/>
      <c r="X1662" s="1056"/>
      <c r="Y1662" s="1056"/>
      <c r="Z1662" s="1056"/>
      <c r="AA1662" s="1056"/>
      <c r="AB1662" s="1056"/>
      <c r="AC1662" s="1056"/>
      <c r="AD1662" s="1056"/>
      <c r="AE1662" s="1056"/>
      <c r="AF1662" s="264"/>
    </row>
    <row r="1663" spans="1:32" s="268" customFormat="1" ht="15" x14ac:dyDescent="0.25">
      <c r="A1663" s="264"/>
      <c r="B1663" s="264"/>
      <c r="C1663" s="1056"/>
      <c r="D1663" s="1056"/>
      <c r="E1663" s="1056"/>
      <c r="F1663" s="1056"/>
      <c r="G1663" s="1056"/>
      <c r="H1663" s="1056"/>
      <c r="I1663" s="1056"/>
      <c r="J1663" s="1056"/>
      <c r="K1663" s="1056"/>
      <c r="L1663" s="1056"/>
      <c r="M1663" s="274"/>
      <c r="P1663" s="264"/>
      <c r="Q1663" s="264"/>
      <c r="R1663" s="264"/>
      <c r="S1663" s="264"/>
      <c r="T1663" s="1056"/>
      <c r="U1663" s="1056"/>
      <c r="V1663" s="1056"/>
      <c r="W1663" s="1056"/>
      <c r="X1663" s="1056"/>
      <c r="Y1663" s="1056"/>
      <c r="Z1663" s="1056"/>
      <c r="AA1663" s="1056"/>
      <c r="AB1663" s="1056"/>
      <c r="AC1663" s="1056"/>
      <c r="AD1663" s="1056"/>
      <c r="AE1663" s="1056"/>
      <c r="AF1663" s="264"/>
    </row>
    <row r="1664" spans="1:32" s="268" customFormat="1" ht="15" x14ac:dyDescent="0.25">
      <c r="A1664" s="264"/>
      <c r="B1664" s="264"/>
      <c r="C1664" s="1056"/>
      <c r="D1664" s="1056"/>
      <c r="E1664" s="1056"/>
      <c r="F1664" s="1056"/>
      <c r="G1664" s="1056"/>
      <c r="H1664" s="1056"/>
      <c r="I1664" s="1056"/>
      <c r="J1664" s="1056"/>
      <c r="K1664" s="1056"/>
      <c r="L1664" s="1056"/>
      <c r="M1664" s="274"/>
      <c r="P1664" s="264"/>
      <c r="Q1664" s="264"/>
      <c r="R1664" s="264"/>
      <c r="S1664" s="264"/>
      <c r="T1664" s="1056"/>
      <c r="U1664" s="1056"/>
      <c r="V1664" s="1056"/>
      <c r="W1664" s="1056"/>
      <c r="X1664" s="1056"/>
      <c r="Y1664" s="1056"/>
      <c r="Z1664" s="1056"/>
      <c r="AA1664" s="1056"/>
      <c r="AB1664" s="1056"/>
      <c r="AC1664" s="1056"/>
      <c r="AD1664" s="1056"/>
      <c r="AE1664" s="1056"/>
      <c r="AF1664" s="264"/>
    </row>
    <row r="1665" spans="1:32" s="268" customFormat="1" ht="15" x14ac:dyDescent="0.25">
      <c r="A1665" s="264"/>
      <c r="B1665" s="264"/>
      <c r="C1665" s="1056"/>
      <c r="D1665" s="1056"/>
      <c r="E1665" s="1056"/>
      <c r="F1665" s="1056"/>
      <c r="G1665" s="1056"/>
      <c r="H1665" s="1056"/>
      <c r="I1665" s="1056"/>
      <c r="J1665" s="1056"/>
      <c r="K1665" s="1056"/>
      <c r="L1665" s="1056"/>
      <c r="M1665" s="274"/>
      <c r="P1665" s="264"/>
      <c r="Q1665" s="264"/>
      <c r="R1665" s="264"/>
      <c r="S1665" s="264"/>
      <c r="T1665" s="1056"/>
      <c r="U1665" s="1056"/>
      <c r="V1665" s="1056"/>
      <c r="W1665" s="1056"/>
      <c r="X1665" s="1056"/>
      <c r="Y1665" s="1056"/>
      <c r="Z1665" s="1056"/>
      <c r="AA1665" s="1056"/>
      <c r="AB1665" s="1056"/>
      <c r="AC1665" s="1056"/>
      <c r="AD1665" s="1056"/>
      <c r="AE1665" s="1056"/>
      <c r="AF1665" s="264"/>
    </row>
    <row r="1666" spans="1:32" s="268" customFormat="1" ht="15" x14ac:dyDescent="0.25">
      <c r="A1666" s="264"/>
      <c r="B1666" s="264"/>
      <c r="C1666" s="1056"/>
      <c r="D1666" s="1056"/>
      <c r="E1666" s="1056"/>
      <c r="F1666" s="1056"/>
      <c r="G1666" s="1056"/>
      <c r="H1666" s="1056"/>
      <c r="I1666" s="1056"/>
      <c r="J1666" s="1056"/>
      <c r="K1666" s="1056"/>
      <c r="L1666" s="1056"/>
      <c r="M1666" s="274"/>
      <c r="P1666" s="264"/>
      <c r="Q1666" s="264"/>
      <c r="R1666" s="264"/>
      <c r="S1666" s="264"/>
      <c r="T1666" s="1056"/>
      <c r="U1666" s="1056"/>
      <c r="V1666" s="1056"/>
      <c r="W1666" s="1056"/>
      <c r="X1666" s="1056"/>
      <c r="Y1666" s="1056"/>
      <c r="Z1666" s="1056"/>
      <c r="AA1666" s="1056"/>
      <c r="AB1666" s="1056"/>
      <c r="AC1666" s="1056"/>
      <c r="AD1666" s="1056"/>
      <c r="AE1666" s="1056"/>
      <c r="AF1666" s="264"/>
    </row>
    <row r="1667" spans="1:32" s="268" customFormat="1" ht="15" x14ac:dyDescent="0.25">
      <c r="A1667" s="264"/>
      <c r="B1667" s="264"/>
      <c r="C1667" s="1056"/>
      <c r="D1667" s="1056"/>
      <c r="E1667" s="1056"/>
      <c r="F1667" s="1056"/>
      <c r="G1667" s="1056"/>
      <c r="H1667" s="1056"/>
      <c r="I1667" s="1056"/>
      <c r="J1667" s="1056"/>
      <c r="K1667" s="1056"/>
      <c r="L1667" s="1056"/>
      <c r="M1667" s="274"/>
      <c r="P1667" s="264"/>
      <c r="Q1667" s="264"/>
      <c r="R1667" s="264"/>
      <c r="S1667" s="264"/>
      <c r="T1667" s="1056"/>
      <c r="U1667" s="1056"/>
      <c r="V1667" s="1056"/>
      <c r="W1667" s="1056"/>
      <c r="X1667" s="1056"/>
      <c r="Y1667" s="1056"/>
      <c r="Z1667" s="1056"/>
      <c r="AA1667" s="1056"/>
      <c r="AB1667" s="1056"/>
      <c r="AC1667" s="1056"/>
      <c r="AD1667" s="1056"/>
      <c r="AE1667" s="1056"/>
      <c r="AF1667" s="264"/>
    </row>
    <row r="1668" spans="1:32" s="268" customFormat="1" ht="15" x14ac:dyDescent="0.25">
      <c r="A1668" s="264"/>
      <c r="B1668" s="264"/>
      <c r="C1668" s="1056"/>
      <c r="D1668" s="1056"/>
      <c r="E1668" s="1056"/>
      <c r="F1668" s="1056"/>
      <c r="G1668" s="1056"/>
      <c r="H1668" s="1056"/>
      <c r="I1668" s="1056"/>
      <c r="J1668" s="1056"/>
      <c r="K1668" s="1056"/>
      <c r="L1668" s="1056"/>
      <c r="M1668" s="274"/>
      <c r="P1668" s="264"/>
      <c r="Q1668" s="264"/>
      <c r="R1668" s="264"/>
      <c r="S1668" s="264"/>
      <c r="T1668" s="1056"/>
      <c r="U1668" s="1056"/>
      <c r="V1668" s="1056"/>
      <c r="W1668" s="1056"/>
      <c r="X1668" s="1056"/>
      <c r="Y1668" s="1056"/>
      <c r="Z1668" s="1056"/>
      <c r="AA1668" s="1056"/>
      <c r="AB1668" s="1056"/>
      <c r="AC1668" s="1056"/>
      <c r="AD1668" s="1056"/>
      <c r="AE1668" s="1056"/>
      <c r="AF1668" s="264"/>
    </row>
    <row r="1669" spans="1:32" s="268" customFormat="1" ht="15" x14ac:dyDescent="0.25">
      <c r="A1669" s="264"/>
      <c r="B1669" s="264"/>
      <c r="C1669" s="1056"/>
      <c r="D1669" s="1056"/>
      <c r="E1669" s="1056"/>
      <c r="F1669" s="1056"/>
      <c r="G1669" s="1056"/>
      <c r="H1669" s="1056"/>
      <c r="I1669" s="1056"/>
      <c r="J1669" s="1056"/>
      <c r="K1669" s="1056"/>
      <c r="L1669" s="1056"/>
      <c r="M1669" s="274"/>
      <c r="P1669" s="264"/>
      <c r="Q1669" s="264"/>
      <c r="R1669" s="264"/>
      <c r="S1669" s="264"/>
      <c r="T1669" s="1056"/>
      <c r="U1669" s="1056"/>
      <c r="V1669" s="1056"/>
      <c r="W1669" s="1056"/>
      <c r="X1669" s="1056"/>
      <c r="Y1669" s="1056"/>
      <c r="Z1669" s="1056"/>
      <c r="AA1669" s="1056"/>
      <c r="AB1669" s="1056"/>
      <c r="AC1669" s="1056"/>
      <c r="AD1669" s="1056"/>
      <c r="AE1669" s="1056"/>
      <c r="AF1669" s="264"/>
    </row>
    <row r="1670" spans="1:32" s="268" customFormat="1" ht="15" x14ac:dyDescent="0.25">
      <c r="A1670" s="264"/>
      <c r="B1670" s="264"/>
      <c r="C1670" s="1056"/>
      <c r="D1670" s="1056"/>
      <c r="E1670" s="1056"/>
      <c r="F1670" s="1056"/>
      <c r="G1670" s="1056"/>
      <c r="H1670" s="1056"/>
      <c r="I1670" s="1056"/>
      <c r="J1670" s="1056"/>
      <c r="K1670" s="1056"/>
      <c r="L1670" s="1056"/>
      <c r="M1670" s="274"/>
      <c r="P1670" s="264"/>
      <c r="Q1670" s="264"/>
      <c r="R1670" s="264"/>
      <c r="S1670" s="264"/>
      <c r="T1670" s="1056"/>
      <c r="U1670" s="1056"/>
      <c r="V1670" s="1056"/>
      <c r="W1670" s="1056"/>
      <c r="X1670" s="1056"/>
      <c r="Y1670" s="1056"/>
      <c r="Z1670" s="1056"/>
      <c r="AA1670" s="1056"/>
      <c r="AB1670" s="1056"/>
      <c r="AC1670" s="1056"/>
      <c r="AD1670" s="1056"/>
      <c r="AE1670" s="1056"/>
      <c r="AF1670" s="264"/>
    </row>
    <row r="1671" spans="1:32" s="268" customFormat="1" ht="15" x14ac:dyDescent="0.25">
      <c r="A1671" s="264"/>
      <c r="B1671" s="264"/>
      <c r="C1671" s="1056"/>
      <c r="D1671" s="1056"/>
      <c r="E1671" s="1056"/>
      <c r="F1671" s="1056"/>
      <c r="G1671" s="1056"/>
      <c r="H1671" s="1056"/>
      <c r="I1671" s="1056"/>
      <c r="J1671" s="1056"/>
      <c r="K1671" s="1056"/>
      <c r="L1671" s="1056"/>
      <c r="M1671" s="274"/>
      <c r="P1671" s="264"/>
      <c r="Q1671" s="264"/>
      <c r="R1671" s="264"/>
      <c r="S1671" s="264"/>
      <c r="T1671" s="1056"/>
      <c r="U1671" s="1056"/>
      <c r="V1671" s="1056"/>
      <c r="W1671" s="1056"/>
      <c r="X1671" s="1056"/>
      <c r="Y1671" s="1056"/>
      <c r="Z1671" s="1056"/>
      <c r="AA1671" s="1056"/>
      <c r="AB1671" s="1056"/>
      <c r="AC1671" s="1056"/>
      <c r="AD1671" s="1056"/>
      <c r="AE1671" s="1056"/>
      <c r="AF1671" s="264"/>
    </row>
    <row r="1672" spans="1:32" s="268" customFormat="1" ht="15" x14ac:dyDescent="0.25">
      <c r="A1672" s="264"/>
      <c r="B1672" s="264"/>
      <c r="C1672" s="1056"/>
      <c r="D1672" s="1056"/>
      <c r="E1672" s="1056"/>
      <c r="F1672" s="1056"/>
      <c r="G1672" s="1056"/>
      <c r="H1672" s="1056"/>
      <c r="I1672" s="1056"/>
      <c r="J1672" s="1056"/>
      <c r="K1672" s="1056"/>
      <c r="L1672" s="1056"/>
      <c r="M1672" s="274"/>
      <c r="P1672" s="264"/>
      <c r="Q1672" s="264"/>
      <c r="R1672" s="264"/>
      <c r="S1672" s="264"/>
      <c r="T1672" s="1056"/>
      <c r="U1672" s="1056"/>
      <c r="V1672" s="1056"/>
      <c r="W1672" s="1056"/>
      <c r="X1672" s="1056"/>
      <c r="Y1672" s="1056"/>
      <c r="Z1672" s="1056"/>
      <c r="AA1672" s="1056"/>
      <c r="AB1672" s="1056"/>
      <c r="AC1672" s="1056"/>
      <c r="AD1672" s="1056"/>
      <c r="AE1672" s="1056"/>
      <c r="AF1672" s="264"/>
    </row>
    <row r="1673" spans="1:32" s="268" customFormat="1" ht="15" x14ac:dyDescent="0.25">
      <c r="A1673" s="264"/>
      <c r="B1673" s="264"/>
      <c r="C1673" s="1056"/>
      <c r="D1673" s="1056"/>
      <c r="E1673" s="1056"/>
      <c r="F1673" s="1056"/>
      <c r="G1673" s="1056"/>
      <c r="H1673" s="1056"/>
      <c r="I1673" s="1056"/>
      <c r="J1673" s="1056"/>
      <c r="K1673" s="1056"/>
      <c r="L1673" s="1056"/>
      <c r="M1673" s="274"/>
      <c r="P1673" s="264"/>
      <c r="Q1673" s="264"/>
      <c r="R1673" s="264"/>
      <c r="S1673" s="264"/>
      <c r="T1673" s="1056"/>
      <c r="U1673" s="1056"/>
      <c r="V1673" s="1056"/>
      <c r="W1673" s="1056"/>
      <c r="X1673" s="1056"/>
      <c r="Y1673" s="1056"/>
      <c r="Z1673" s="1056"/>
      <c r="AA1673" s="1056"/>
      <c r="AB1673" s="1056"/>
      <c r="AC1673" s="1056"/>
      <c r="AD1673" s="1056"/>
      <c r="AE1673" s="1056"/>
      <c r="AF1673" s="264"/>
    </row>
    <row r="1674" spans="1:32" s="268" customFormat="1" ht="15" x14ac:dyDescent="0.25">
      <c r="A1674" s="264"/>
      <c r="B1674" s="264"/>
      <c r="C1674" s="1056"/>
      <c r="D1674" s="1056"/>
      <c r="E1674" s="1056"/>
      <c r="F1674" s="1056"/>
      <c r="G1674" s="1056"/>
      <c r="H1674" s="1056"/>
      <c r="I1674" s="1056"/>
      <c r="J1674" s="1056"/>
      <c r="K1674" s="1056"/>
      <c r="L1674" s="1056"/>
      <c r="M1674" s="274"/>
      <c r="P1674" s="264"/>
      <c r="Q1674" s="264"/>
      <c r="R1674" s="264"/>
      <c r="S1674" s="264"/>
      <c r="T1674" s="1056"/>
      <c r="U1674" s="1056"/>
      <c r="V1674" s="1056"/>
      <c r="W1674" s="1056"/>
      <c r="X1674" s="1056"/>
      <c r="Y1674" s="1056"/>
      <c r="Z1674" s="1056"/>
      <c r="AA1674" s="1056"/>
      <c r="AB1674" s="1056"/>
      <c r="AC1674" s="1056"/>
      <c r="AD1674" s="1056"/>
      <c r="AE1674" s="1056"/>
      <c r="AF1674" s="264"/>
    </row>
    <row r="1675" spans="1:32" s="268" customFormat="1" ht="15" x14ac:dyDescent="0.25">
      <c r="A1675" s="264"/>
      <c r="B1675" s="264"/>
      <c r="C1675" s="1056"/>
      <c r="D1675" s="1056"/>
      <c r="E1675" s="1056"/>
      <c r="F1675" s="1056"/>
      <c r="G1675" s="1056"/>
      <c r="H1675" s="1056"/>
      <c r="I1675" s="1056"/>
      <c r="J1675" s="1056"/>
      <c r="K1675" s="1056"/>
      <c r="L1675" s="1056"/>
      <c r="M1675" s="274"/>
      <c r="P1675" s="264"/>
      <c r="Q1675" s="264"/>
      <c r="R1675" s="264"/>
      <c r="S1675" s="264"/>
      <c r="T1675" s="1056"/>
      <c r="U1675" s="1056"/>
      <c r="V1675" s="1056"/>
      <c r="W1675" s="1056"/>
      <c r="X1675" s="1056"/>
      <c r="Y1675" s="1056"/>
      <c r="Z1675" s="1056"/>
      <c r="AA1675" s="1056"/>
      <c r="AB1675" s="1056"/>
      <c r="AC1675" s="1056"/>
      <c r="AD1675" s="1056"/>
      <c r="AE1675" s="1056"/>
      <c r="AF1675" s="264"/>
    </row>
    <row r="1676" spans="1:32" s="268" customFormat="1" ht="15" x14ac:dyDescent="0.25">
      <c r="A1676" s="264"/>
      <c r="B1676" s="264"/>
      <c r="C1676" s="1056"/>
      <c r="D1676" s="1056"/>
      <c r="E1676" s="1056"/>
      <c r="F1676" s="1056"/>
      <c r="G1676" s="1056"/>
      <c r="H1676" s="1056"/>
      <c r="I1676" s="1056"/>
      <c r="J1676" s="1056"/>
      <c r="K1676" s="1056"/>
      <c r="L1676" s="1056"/>
      <c r="M1676" s="274"/>
      <c r="P1676" s="264"/>
      <c r="Q1676" s="264"/>
      <c r="R1676" s="264"/>
      <c r="S1676" s="264"/>
      <c r="T1676" s="1056"/>
      <c r="U1676" s="1056"/>
      <c r="V1676" s="1056"/>
      <c r="W1676" s="1056"/>
      <c r="X1676" s="1056"/>
      <c r="Y1676" s="1056"/>
      <c r="Z1676" s="1056"/>
      <c r="AA1676" s="1056"/>
      <c r="AB1676" s="1056"/>
      <c r="AC1676" s="1056"/>
      <c r="AD1676" s="1056"/>
      <c r="AE1676" s="1056"/>
      <c r="AF1676" s="264"/>
    </row>
    <row r="1677" spans="1:32" s="268" customFormat="1" ht="15" x14ac:dyDescent="0.25">
      <c r="A1677" s="264"/>
      <c r="B1677" s="264"/>
      <c r="C1677" s="1056"/>
      <c r="D1677" s="1056"/>
      <c r="E1677" s="1056"/>
      <c r="F1677" s="1056"/>
      <c r="G1677" s="1056"/>
      <c r="H1677" s="1056"/>
      <c r="I1677" s="1056"/>
      <c r="J1677" s="1056"/>
      <c r="K1677" s="1056"/>
      <c r="L1677" s="1056"/>
      <c r="M1677" s="274"/>
      <c r="P1677" s="264"/>
      <c r="Q1677" s="264"/>
      <c r="R1677" s="264"/>
      <c r="S1677" s="264"/>
      <c r="T1677" s="1056"/>
      <c r="U1677" s="1056"/>
      <c r="V1677" s="1056"/>
      <c r="W1677" s="1056"/>
      <c r="X1677" s="1056"/>
      <c r="Y1677" s="1056"/>
      <c r="Z1677" s="1056"/>
      <c r="AA1677" s="1056"/>
      <c r="AB1677" s="1056"/>
      <c r="AC1677" s="1056"/>
      <c r="AD1677" s="1056"/>
      <c r="AE1677" s="1056"/>
      <c r="AF1677" s="264"/>
    </row>
    <row r="1678" spans="1:32" s="268" customFormat="1" ht="15" x14ac:dyDescent="0.25">
      <c r="A1678" s="264"/>
      <c r="B1678" s="264"/>
      <c r="C1678" s="1056"/>
      <c r="D1678" s="1056"/>
      <c r="E1678" s="1056"/>
      <c r="F1678" s="1056"/>
      <c r="G1678" s="1056"/>
      <c r="H1678" s="1056"/>
      <c r="I1678" s="1056"/>
      <c r="J1678" s="1056"/>
      <c r="K1678" s="1056"/>
      <c r="L1678" s="1056"/>
      <c r="M1678" s="274"/>
      <c r="P1678" s="264"/>
      <c r="Q1678" s="264"/>
      <c r="R1678" s="264"/>
      <c r="S1678" s="264"/>
      <c r="T1678" s="1056"/>
      <c r="U1678" s="1056"/>
      <c r="V1678" s="1056"/>
      <c r="W1678" s="1056"/>
      <c r="X1678" s="1056"/>
      <c r="Y1678" s="1056"/>
      <c r="Z1678" s="1056"/>
      <c r="AA1678" s="1056"/>
      <c r="AB1678" s="1056"/>
      <c r="AC1678" s="1056"/>
      <c r="AD1678" s="1056"/>
      <c r="AE1678" s="1056"/>
      <c r="AF1678" s="264"/>
    </row>
    <row r="1679" spans="1:32" s="268" customFormat="1" ht="15" x14ac:dyDescent="0.25">
      <c r="A1679" s="264"/>
      <c r="B1679" s="264"/>
      <c r="C1679" s="1056"/>
      <c r="D1679" s="1056"/>
      <c r="E1679" s="1056"/>
      <c r="F1679" s="1056"/>
      <c r="G1679" s="1056"/>
      <c r="H1679" s="1056"/>
      <c r="I1679" s="1056"/>
      <c r="J1679" s="1056"/>
      <c r="K1679" s="1056"/>
      <c r="L1679" s="1056"/>
      <c r="M1679" s="274"/>
      <c r="P1679" s="264"/>
      <c r="Q1679" s="264"/>
      <c r="R1679" s="264"/>
      <c r="S1679" s="264"/>
      <c r="T1679" s="1056"/>
      <c r="U1679" s="1056"/>
      <c r="V1679" s="1056"/>
      <c r="W1679" s="1056"/>
      <c r="X1679" s="1056"/>
      <c r="Y1679" s="1056"/>
      <c r="Z1679" s="1056"/>
      <c r="AA1679" s="1056"/>
      <c r="AB1679" s="1056"/>
      <c r="AC1679" s="1056"/>
      <c r="AD1679" s="1056"/>
      <c r="AE1679" s="1056"/>
      <c r="AF1679" s="264"/>
    </row>
    <row r="1680" spans="1:32" s="268" customFormat="1" ht="15" x14ac:dyDescent="0.25">
      <c r="A1680" s="264"/>
      <c r="B1680" s="264"/>
      <c r="C1680" s="1056"/>
      <c r="D1680" s="1056"/>
      <c r="E1680" s="1056"/>
      <c r="F1680" s="1056"/>
      <c r="G1680" s="1056"/>
      <c r="H1680" s="1056"/>
      <c r="I1680" s="1056"/>
      <c r="J1680" s="1056"/>
      <c r="K1680" s="1056"/>
      <c r="L1680" s="1056"/>
      <c r="M1680" s="274"/>
      <c r="P1680" s="264"/>
      <c r="Q1680" s="264"/>
      <c r="R1680" s="264"/>
      <c r="S1680" s="264"/>
      <c r="T1680" s="1056"/>
      <c r="U1680" s="1056"/>
      <c r="V1680" s="1056"/>
      <c r="W1680" s="1056"/>
      <c r="X1680" s="1056"/>
      <c r="Y1680" s="1056"/>
      <c r="Z1680" s="1056"/>
      <c r="AA1680" s="1056"/>
      <c r="AB1680" s="1056"/>
      <c r="AC1680" s="1056"/>
      <c r="AD1680" s="1056"/>
      <c r="AE1680" s="1056"/>
      <c r="AF1680" s="264"/>
    </row>
    <row r="1681" spans="1:32" s="268" customFormat="1" ht="15" x14ac:dyDescent="0.25">
      <c r="A1681" s="264"/>
      <c r="B1681" s="264"/>
      <c r="C1681" s="1056"/>
      <c r="D1681" s="1056"/>
      <c r="E1681" s="1056"/>
      <c r="F1681" s="1056"/>
      <c r="G1681" s="1056"/>
      <c r="H1681" s="1056"/>
      <c r="I1681" s="1056"/>
      <c r="J1681" s="1056"/>
      <c r="K1681" s="1056"/>
      <c r="L1681" s="1056"/>
      <c r="M1681" s="274"/>
      <c r="P1681" s="264"/>
      <c r="Q1681" s="264"/>
      <c r="R1681" s="264"/>
      <c r="S1681" s="264"/>
      <c r="T1681" s="1056"/>
      <c r="U1681" s="1056"/>
      <c r="V1681" s="1056"/>
      <c r="W1681" s="1056"/>
      <c r="X1681" s="1056"/>
      <c r="Y1681" s="1056"/>
      <c r="Z1681" s="1056"/>
      <c r="AA1681" s="1056"/>
      <c r="AB1681" s="1056"/>
      <c r="AC1681" s="1056"/>
      <c r="AD1681" s="1056"/>
      <c r="AE1681" s="1056"/>
      <c r="AF1681" s="264"/>
    </row>
    <row r="1682" spans="1:32" s="268" customFormat="1" ht="15" x14ac:dyDescent="0.25">
      <c r="A1682" s="264"/>
      <c r="B1682" s="264"/>
      <c r="C1682" s="1056"/>
      <c r="D1682" s="1056"/>
      <c r="E1682" s="1056"/>
      <c r="F1682" s="1056"/>
      <c r="G1682" s="1056"/>
      <c r="H1682" s="1056"/>
      <c r="I1682" s="1056"/>
      <c r="J1682" s="1056"/>
      <c r="K1682" s="1056"/>
      <c r="L1682" s="1056"/>
      <c r="M1682" s="274"/>
      <c r="P1682" s="264"/>
      <c r="Q1682" s="264"/>
      <c r="R1682" s="264"/>
      <c r="S1682" s="264"/>
      <c r="T1682" s="1056"/>
      <c r="U1682" s="1056"/>
      <c r="V1682" s="1056"/>
      <c r="W1682" s="1056"/>
      <c r="X1682" s="1056"/>
      <c r="Y1682" s="1056"/>
      <c r="Z1682" s="1056"/>
      <c r="AA1682" s="1056"/>
      <c r="AB1682" s="1056"/>
      <c r="AC1682" s="1056"/>
      <c r="AD1682" s="1056"/>
      <c r="AE1682" s="1056"/>
      <c r="AF1682" s="264"/>
    </row>
    <row r="1683" spans="1:32" s="268" customFormat="1" ht="15" x14ac:dyDescent="0.25">
      <c r="A1683" s="264"/>
      <c r="B1683" s="264"/>
      <c r="C1683" s="1056"/>
      <c r="D1683" s="1056"/>
      <c r="E1683" s="1056"/>
      <c r="F1683" s="1056"/>
      <c r="G1683" s="1056"/>
      <c r="H1683" s="1056"/>
      <c r="I1683" s="1056"/>
      <c r="J1683" s="1056"/>
      <c r="K1683" s="1056"/>
      <c r="L1683" s="1056"/>
      <c r="M1683" s="274"/>
      <c r="P1683" s="264"/>
      <c r="Q1683" s="264"/>
      <c r="R1683" s="264"/>
      <c r="S1683" s="264"/>
      <c r="T1683" s="1056"/>
      <c r="U1683" s="1056"/>
      <c r="V1683" s="1056"/>
      <c r="W1683" s="1056"/>
      <c r="X1683" s="1056"/>
      <c r="Y1683" s="1056"/>
      <c r="Z1683" s="1056"/>
      <c r="AA1683" s="1056"/>
      <c r="AB1683" s="1056"/>
      <c r="AC1683" s="1056"/>
      <c r="AD1683" s="1056"/>
      <c r="AE1683" s="1056"/>
      <c r="AF1683" s="264"/>
    </row>
    <row r="1684" spans="1:32" s="268" customFormat="1" ht="15" x14ac:dyDescent="0.25">
      <c r="A1684" s="264"/>
      <c r="B1684" s="264"/>
      <c r="C1684" s="1056"/>
      <c r="D1684" s="1056"/>
      <c r="E1684" s="1056"/>
      <c r="F1684" s="1056"/>
      <c r="G1684" s="1056"/>
      <c r="H1684" s="1056"/>
      <c r="I1684" s="1056"/>
      <c r="J1684" s="1056"/>
      <c r="K1684" s="1056"/>
      <c r="L1684" s="1056"/>
      <c r="M1684" s="274"/>
      <c r="P1684" s="264"/>
      <c r="Q1684" s="264"/>
      <c r="R1684" s="264"/>
      <c r="S1684" s="264"/>
      <c r="T1684" s="1056"/>
      <c r="U1684" s="1056"/>
      <c r="V1684" s="1056"/>
      <c r="W1684" s="1056"/>
      <c r="X1684" s="1056"/>
      <c r="Y1684" s="1056"/>
      <c r="Z1684" s="1056"/>
      <c r="AA1684" s="1056"/>
      <c r="AB1684" s="1056"/>
      <c r="AC1684" s="1056"/>
      <c r="AD1684" s="1056"/>
      <c r="AE1684" s="1056"/>
      <c r="AF1684" s="264"/>
    </row>
    <row r="1685" spans="1:32" s="268" customFormat="1" ht="15" x14ac:dyDescent="0.25">
      <c r="A1685" s="264"/>
      <c r="B1685" s="264"/>
      <c r="C1685" s="1056"/>
      <c r="D1685" s="1056"/>
      <c r="E1685" s="1056"/>
      <c r="F1685" s="1056"/>
      <c r="G1685" s="1056"/>
      <c r="H1685" s="1056"/>
      <c r="I1685" s="1056"/>
      <c r="J1685" s="1056"/>
      <c r="K1685" s="1056"/>
      <c r="L1685" s="1056"/>
      <c r="M1685" s="274"/>
      <c r="P1685" s="264"/>
      <c r="Q1685" s="264"/>
      <c r="R1685" s="264"/>
      <c r="S1685" s="264"/>
      <c r="T1685" s="1056"/>
      <c r="U1685" s="1056"/>
      <c r="V1685" s="1056"/>
      <c r="W1685" s="1056"/>
      <c r="X1685" s="1056"/>
      <c r="Y1685" s="1056"/>
      <c r="Z1685" s="1056"/>
      <c r="AA1685" s="1056"/>
      <c r="AB1685" s="1056"/>
      <c r="AC1685" s="1056"/>
      <c r="AD1685" s="1056"/>
      <c r="AE1685" s="1056"/>
      <c r="AF1685" s="264"/>
    </row>
    <row r="1686" spans="1:32" s="268" customFormat="1" ht="15" x14ac:dyDescent="0.25">
      <c r="A1686" s="264"/>
      <c r="B1686" s="264"/>
      <c r="C1686" s="1056"/>
      <c r="D1686" s="1056"/>
      <c r="E1686" s="1056"/>
      <c r="F1686" s="1056"/>
      <c r="G1686" s="1056"/>
      <c r="H1686" s="1056"/>
      <c r="I1686" s="1056"/>
      <c r="J1686" s="1056"/>
      <c r="K1686" s="1056"/>
      <c r="L1686" s="1056"/>
      <c r="M1686" s="274"/>
      <c r="P1686" s="264"/>
      <c r="Q1686" s="264"/>
      <c r="R1686" s="264"/>
      <c r="S1686" s="264"/>
      <c r="T1686" s="1056"/>
      <c r="U1686" s="1056"/>
      <c r="V1686" s="1056"/>
      <c r="W1686" s="1056"/>
      <c r="X1686" s="1056"/>
      <c r="Y1686" s="1056"/>
      <c r="Z1686" s="1056"/>
      <c r="AA1686" s="1056"/>
      <c r="AB1686" s="1056"/>
      <c r="AC1686" s="1056"/>
      <c r="AD1686" s="1056"/>
      <c r="AE1686" s="1056"/>
      <c r="AF1686" s="264"/>
    </row>
    <row r="1687" spans="1:32" s="268" customFormat="1" ht="15" x14ac:dyDescent="0.25">
      <c r="A1687" s="264"/>
      <c r="B1687" s="264"/>
      <c r="C1687" s="1056"/>
      <c r="D1687" s="1056"/>
      <c r="E1687" s="1056"/>
      <c r="F1687" s="1056"/>
      <c r="G1687" s="1056"/>
      <c r="H1687" s="1056"/>
      <c r="I1687" s="1056"/>
      <c r="J1687" s="1056"/>
      <c r="K1687" s="1056"/>
      <c r="L1687" s="1056"/>
      <c r="M1687" s="274"/>
      <c r="P1687" s="264"/>
      <c r="Q1687" s="264"/>
      <c r="R1687" s="264"/>
      <c r="S1687" s="264"/>
      <c r="T1687" s="1056"/>
      <c r="U1687" s="1056"/>
      <c r="V1687" s="1056"/>
      <c r="W1687" s="1056"/>
      <c r="X1687" s="1056"/>
      <c r="Y1687" s="1056"/>
      <c r="Z1687" s="1056"/>
      <c r="AA1687" s="1056"/>
      <c r="AB1687" s="1056"/>
      <c r="AC1687" s="1056"/>
      <c r="AD1687" s="1056"/>
      <c r="AE1687" s="1056"/>
      <c r="AF1687" s="264"/>
    </row>
    <row r="1688" spans="1:32" s="268" customFormat="1" ht="15" x14ac:dyDescent="0.25">
      <c r="A1688" s="264"/>
      <c r="B1688" s="264"/>
      <c r="C1688" s="1056"/>
      <c r="D1688" s="1056"/>
      <c r="E1688" s="1056"/>
      <c r="F1688" s="1056"/>
      <c r="G1688" s="1056"/>
      <c r="H1688" s="1056"/>
      <c r="I1688" s="1056"/>
      <c r="J1688" s="1056"/>
      <c r="K1688" s="1056"/>
      <c r="L1688" s="1056"/>
      <c r="M1688" s="274"/>
      <c r="P1688" s="264"/>
      <c r="Q1688" s="264"/>
      <c r="R1688" s="264"/>
      <c r="S1688" s="264"/>
      <c r="T1688" s="1056"/>
      <c r="U1688" s="1056"/>
      <c r="V1688" s="1056"/>
      <c r="W1688" s="1056"/>
      <c r="X1688" s="1056"/>
      <c r="Y1688" s="1056"/>
      <c r="Z1688" s="1056"/>
      <c r="AA1688" s="1056"/>
      <c r="AB1688" s="1056"/>
      <c r="AC1688" s="1056"/>
      <c r="AD1688" s="1056"/>
      <c r="AE1688" s="1056"/>
      <c r="AF1688" s="264"/>
    </row>
    <row r="1689" spans="1:32" s="268" customFormat="1" ht="15" x14ac:dyDescent="0.25">
      <c r="A1689" s="264"/>
      <c r="B1689" s="264"/>
      <c r="C1689" s="1056"/>
      <c r="D1689" s="1056"/>
      <c r="E1689" s="1056"/>
      <c r="F1689" s="1056"/>
      <c r="G1689" s="1056"/>
      <c r="H1689" s="1056"/>
      <c r="I1689" s="1056"/>
      <c r="J1689" s="1056"/>
      <c r="K1689" s="1056"/>
      <c r="L1689" s="1056"/>
      <c r="M1689" s="274"/>
      <c r="P1689" s="264"/>
      <c r="Q1689" s="264"/>
      <c r="R1689" s="264"/>
      <c r="S1689" s="264"/>
      <c r="T1689" s="1056"/>
      <c r="U1689" s="1056"/>
      <c r="V1689" s="1056"/>
      <c r="W1689" s="1056"/>
      <c r="X1689" s="1056"/>
      <c r="Y1689" s="1056"/>
      <c r="Z1689" s="1056"/>
      <c r="AA1689" s="1056"/>
      <c r="AB1689" s="1056"/>
      <c r="AC1689" s="1056"/>
      <c r="AD1689" s="1056"/>
      <c r="AE1689" s="1056"/>
      <c r="AF1689" s="264"/>
    </row>
    <row r="1690" spans="1:32" s="268" customFormat="1" ht="15" x14ac:dyDescent="0.25">
      <c r="A1690" s="264"/>
      <c r="B1690" s="264"/>
      <c r="C1690" s="1056"/>
      <c r="D1690" s="1056"/>
      <c r="E1690" s="1056"/>
      <c r="F1690" s="1056"/>
      <c r="G1690" s="1056"/>
      <c r="H1690" s="1056"/>
      <c r="I1690" s="1056"/>
      <c r="J1690" s="1056"/>
      <c r="K1690" s="1056"/>
      <c r="L1690" s="1056"/>
      <c r="M1690" s="274"/>
      <c r="P1690" s="264"/>
      <c r="Q1690" s="264"/>
      <c r="R1690" s="264"/>
      <c r="S1690" s="264"/>
      <c r="T1690" s="1056"/>
      <c r="U1690" s="1056"/>
      <c r="V1690" s="1056"/>
      <c r="W1690" s="1056"/>
      <c r="X1690" s="1056"/>
      <c r="Y1690" s="1056"/>
      <c r="Z1690" s="1056"/>
      <c r="AA1690" s="1056"/>
      <c r="AB1690" s="1056"/>
      <c r="AC1690" s="1056"/>
      <c r="AD1690" s="1056"/>
      <c r="AE1690" s="1056"/>
      <c r="AF1690" s="264"/>
    </row>
    <row r="1691" spans="1:32" s="268" customFormat="1" ht="15" x14ac:dyDescent="0.25">
      <c r="A1691" s="264"/>
      <c r="B1691" s="264"/>
      <c r="C1691" s="1056"/>
      <c r="D1691" s="1056"/>
      <c r="E1691" s="1056"/>
      <c r="F1691" s="1056"/>
      <c r="G1691" s="1056"/>
      <c r="H1691" s="1056"/>
      <c r="I1691" s="1056"/>
      <c r="J1691" s="1056"/>
      <c r="K1691" s="1056"/>
      <c r="L1691" s="1056"/>
      <c r="M1691" s="274"/>
      <c r="P1691" s="264"/>
      <c r="Q1691" s="264"/>
      <c r="R1691" s="264"/>
      <c r="S1691" s="264"/>
      <c r="T1691" s="1056"/>
      <c r="U1691" s="1056"/>
      <c r="V1691" s="1056"/>
      <c r="W1691" s="1056"/>
      <c r="X1691" s="1056"/>
      <c r="Y1691" s="1056"/>
      <c r="Z1691" s="1056"/>
      <c r="AA1691" s="1056"/>
      <c r="AB1691" s="1056"/>
      <c r="AC1691" s="1056"/>
      <c r="AD1691" s="1056"/>
      <c r="AE1691" s="1056"/>
      <c r="AF1691" s="264"/>
    </row>
    <row r="1692" spans="1:32" s="268" customFormat="1" ht="15" x14ac:dyDescent="0.25">
      <c r="A1692" s="264"/>
      <c r="B1692" s="264"/>
      <c r="C1692" s="1056"/>
      <c r="D1692" s="1056"/>
      <c r="E1692" s="1056"/>
      <c r="F1692" s="1056"/>
      <c r="G1692" s="1056"/>
      <c r="H1692" s="1056"/>
      <c r="I1692" s="1056"/>
      <c r="J1692" s="1056"/>
      <c r="K1692" s="1056"/>
      <c r="L1692" s="1056"/>
      <c r="M1692" s="274"/>
      <c r="P1692" s="264"/>
      <c r="Q1692" s="264"/>
      <c r="R1692" s="264"/>
      <c r="S1692" s="264"/>
      <c r="T1692" s="1056"/>
      <c r="U1692" s="1056"/>
      <c r="V1692" s="1056"/>
      <c r="W1692" s="1056"/>
      <c r="X1692" s="1056"/>
      <c r="Y1692" s="1056"/>
      <c r="Z1692" s="1056"/>
      <c r="AA1692" s="1056"/>
      <c r="AB1692" s="1056"/>
      <c r="AC1692" s="1056"/>
      <c r="AD1692" s="1056"/>
      <c r="AE1692" s="1056"/>
      <c r="AF1692" s="264"/>
    </row>
    <row r="1693" spans="1:32" s="268" customFormat="1" ht="15" x14ac:dyDescent="0.25">
      <c r="A1693" s="264"/>
      <c r="B1693" s="264"/>
      <c r="C1693" s="1056"/>
      <c r="D1693" s="1056"/>
      <c r="E1693" s="1056"/>
      <c r="F1693" s="1056"/>
      <c r="G1693" s="1056"/>
      <c r="H1693" s="1056"/>
      <c r="I1693" s="1056"/>
      <c r="J1693" s="1056"/>
      <c r="K1693" s="1056"/>
      <c r="L1693" s="1056"/>
      <c r="M1693" s="274"/>
      <c r="P1693" s="264"/>
      <c r="Q1693" s="264"/>
      <c r="R1693" s="264"/>
      <c r="S1693" s="264"/>
      <c r="T1693" s="1056"/>
      <c r="U1693" s="1056"/>
      <c r="V1693" s="1056"/>
      <c r="W1693" s="1056"/>
      <c r="X1693" s="1056"/>
      <c r="Y1693" s="1056"/>
      <c r="Z1693" s="1056"/>
      <c r="AA1693" s="1056"/>
      <c r="AB1693" s="1056"/>
      <c r="AC1693" s="1056"/>
      <c r="AD1693" s="1056"/>
      <c r="AE1693" s="1056"/>
      <c r="AF1693" s="264"/>
    </row>
    <row r="1694" spans="1:32" s="268" customFormat="1" ht="15" x14ac:dyDescent="0.25">
      <c r="A1694" s="264"/>
      <c r="B1694" s="264"/>
      <c r="C1694" s="1056"/>
      <c r="D1694" s="1056"/>
      <c r="E1694" s="1056"/>
      <c r="F1694" s="1056"/>
      <c r="G1694" s="1056"/>
      <c r="H1694" s="1056"/>
      <c r="I1694" s="1056"/>
      <c r="J1694" s="1056"/>
      <c r="K1694" s="1056"/>
      <c r="L1694" s="1056"/>
      <c r="M1694" s="274"/>
      <c r="P1694" s="264"/>
      <c r="Q1694" s="264"/>
      <c r="R1694" s="264"/>
      <c r="S1694" s="264"/>
      <c r="T1694" s="1056"/>
      <c r="U1694" s="1056"/>
      <c r="V1694" s="1056"/>
      <c r="W1694" s="1056"/>
      <c r="X1694" s="1056"/>
      <c r="Y1694" s="1056"/>
      <c r="Z1694" s="1056"/>
      <c r="AA1694" s="1056"/>
      <c r="AB1694" s="1056"/>
      <c r="AC1694" s="1056"/>
      <c r="AD1694" s="1056"/>
      <c r="AE1694" s="1056"/>
      <c r="AF1694" s="264"/>
    </row>
    <row r="1695" spans="1:32" s="268" customFormat="1" ht="15" x14ac:dyDescent="0.25">
      <c r="A1695" s="264"/>
      <c r="B1695" s="264"/>
      <c r="C1695" s="1056"/>
      <c r="D1695" s="1056"/>
      <c r="E1695" s="1056"/>
      <c r="F1695" s="1056"/>
      <c r="G1695" s="1056"/>
      <c r="H1695" s="1056"/>
      <c r="I1695" s="1056"/>
      <c r="J1695" s="1056"/>
      <c r="K1695" s="1056"/>
      <c r="L1695" s="1056"/>
      <c r="M1695" s="274"/>
      <c r="P1695" s="264"/>
      <c r="Q1695" s="264"/>
      <c r="R1695" s="264"/>
      <c r="S1695" s="264"/>
      <c r="T1695" s="1056"/>
      <c r="U1695" s="1056"/>
      <c r="V1695" s="1056"/>
      <c r="W1695" s="1056"/>
      <c r="X1695" s="1056"/>
      <c r="Y1695" s="1056"/>
      <c r="Z1695" s="1056"/>
      <c r="AA1695" s="1056"/>
      <c r="AB1695" s="1056"/>
      <c r="AC1695" s="1056"/>
      <c r="AD1695" s="1056"/>
      <c r="AE1695" s="1056"/>
      <c r="AF1695" s="264"/>
    </row>
    <row r="1696" spans="1:32" s="268" customFormat="1" ht="15" x14ac:dyDescent="0.25">
      <c r="A1696" s="264"/>
      <c r="B1696" s="264"/>
      <c r="C1696" s="1056"/>
      <c r="D1696" s="1056"/>
      <c r="E1696" s="1056"/>
      <c r="F1696" s="1056"/>
      <c r="G1696" s="1056"/>
      <c r="H1696" s="1056"/>
      <c r="I1696" s="1056"/>
      <c r="J1696" s="1056"/>
      <c r="K1696" s="1056"/>
      <c r="L1696" s="1056"/>
      <c r="M1696" s="274"/>
      <c r="P1696" s="264"/>
      <c r="Q1696" s="264"/>
      <c r="R1696" s="264"/>
      <c r="S1696" s="264"/>
      <c r="T1696" s="1056"/>
      <c r="U1696" s="1056"/>
      <c r="V1696" s="1056"/>
      <c r="W1696" s="1056"/>
      <c r="X1696" s="1056"/>
      <c r="Y1696" s="1056"/>
      <c r="Z1696" s="1056"/>
      <c r="AA1696" s="1056"/>
      <c r="AB1696" s="1056"/>
      <c r="AC1696" s="1056"/>
      <c r="AD1696" s="1056"/>
      <c r="AE1696" s="1056"/>
      <c r="AF1696" s="264"/>
    </row>
    <row r="1697" spans="1:32" s="268" customFormat="1" ht="15" x14ac:dyDescent="0.25">
      <c r="A1697" s="264"/>
      <c r="B1697" s="264"/>
      <c r="C1697" s="1056"/>
      <c r="D1697" s="1056"/>
      <c r="E1697" s="1056"/>
      <c r="F1697" s="1056"/>
      <c r="G1697" s="1056"/>
      <c r="H1697" s="1056"/>
      <c r="I1697" s="1056"/>
      <c r="J1697" s="1056"/>
      <c r="K1697" s="1056"/>
      <c r="L1697" s="1056"/>
      <c r="M1697" s="274"/>
      <c r="P1697" s="264"/>
      <c r="Q1697" s="264"/>
      <c r="R1697" s="264"/>
      <c r="S1697" s="264"/>
      <c r="T1697" s="1056"/>
      <c r="U1697" s="1056"/>
      <c r="V1697" s="1056"/>
      <c r="W1697" s="1056"/>
      <c r="X1697" s="1056"/>
      <c r="Y1697" s="1056"/>
      <c r="Z1697" s="1056"/>
      <c r="AA1697" s="1056"/>
      <c r="AB1697" s="1056"/>
      <c r="AC1697" s="1056"/>
      <c r="AD1697" s="1056"/>
      <c r="AE1697" s="1056"/>
      <c r="AF1697" s="264"/>
    </row>
    <row r="1698" spans="1:32" s="268" customFormat="1" ht="15" x14ac:dyDescent="0.25">
      <c r="A1698" s="264"/>
      <c r="B1698" s="264"/>
      <c r="C1698" s="1056"/>
      <c r="D1698" s="1056"/>
      <c r="E1698" s="1056"/>
      <c r="F1698" s="1056"/>
      <c r="G1698" s="1056"/>
      <c r="H1698" s="1056"/>
      <c r="I1698" s="1056"/>
      <c r="J1698" s="1056"/>
      <c r="K1698" s="1056"/>
      <c r="L1698" s="1056"/>
      <c r="M1698" s="274"/>
      <c r="P1698" s="264"/>
      <c r="Q1698" s="264"/>
      <c r="R1698" s="264"/>
      <c r="S1698" s="264"/>
      <c r="T1698" s="1056"/>
      <c r="U1698" s="1056"/>
      <c r="V1698" s="1056"/>
      <c r="W1698" s="1056"/>
      <c r="X1698" s="1056"/>
      <c r="Y1698" s="1056"/>
      <c r="Z1698" s="1056"/>
      <c r="AA1698" s="1056"/>
      <c r="AB1698" s="1056"/>
      <c r="AC1698" s="1056"/>
      <c r="AD1698" s="1056"/>
      <c r="AE1698" s="1056"/>
      <c r="AF1698" s="264"/>
    </row>
    <row r="1699" spans="1:32" s="268" customFormat="1" ht="15" x14ac:dyDescent="0.25">
      <c r="A1699" s="264"/>
      <c r="B1699" s="264"/>
      <c r="C1699" s="1056"/>
      <c r="D1699" s="1056"/>
      <c r="E1699" s="1056"/>
      <c r="F1699" s="1056"/>
      <c r="G1699" s="1056"/>
      <c r="H1699" s="1056"/>
      <c r="I1699" s="1056"/>
      <c r="J1699" s="1056"/>
      <c r="K1699" s="1056"/>
      <c r="L1699" s="1056"/>
      <c r="M1699" s="274"/>
      <c r="P1699" s="264"/>
      <c r="Q1699" s="264"/>
      <c r="R1699" s="264"/>
      <c r="S1699" s="264"/>
      <c r="T1699" s="1056"/>
      <c r="U1699" s="1056"/>
      <c r="V1699" s="1056"/>
      <c r="W1699" s="1056"/>
      <c r="X1699" s="1056"/>
      <c r="Y1699" s="1056"/>
      <c r="Z1699" s="1056"/>
      <c r="AA1699" s="1056"/>
      <c r="AB1699" s="1056"/>
      <c r="AC1699" s="1056"/>
      <c r="AD1699" s="1056"/>
      <c r="AE1699" s="1056"/>
      <c r="AF1699" s="264"/>
    </row>
    <row r="1700" spans="1:32" s="268" customFormat="1" ht="15" x14ac:dyDescent="0.25">
      <c r="A1700" s="264"/>
      <c r="B1700" s="264"/>
      <c r="C1700" s="1056"/>
      <c r="D1700" s="1056"/>
      <c r="E1700" s="1056"/>
      <c r="F1700" s="1056"/>
      <c r="G1700" s="1056"/>
      <c r="H1700" s="1056"/>
      <c r="I1700" s="1056"/>
      <c r="J1700" s="1056"/>
      <c r="K1700" s="1056"/>
      <c r="L1700" s="1056"/>
      <c r="M1700" s="274"/>
      <c r="P1700" s="264"/>
      <c r="Q1700" s="264"/>
      <c r="R1700" s="264"/>
      <c r="S1700" s="264"/>
      <c r="T1700" s="1056"/>
      <c r="U1700" s="1056"/>
      <c r="V1700" s="1056"/>
      <c r="W1700" s="1056"/>
      <c r="X1700" s="1056"/>
      <c r="Y1700" s="1056"/>
      <c r="Z1700" s="1056"/>
      <c r="AA1700" s="1056"/>
      <c r="AB1700" s="1056"/>
      <c r="AC1700" s="1056"/>
      <c r="AD1700" s="1056"/>
      <c r="AE1700" s="1056"/>
      <c r="AF1700" s="264"/>
    </row>
    <row r="1701" spans="1:32" s="268" customFormat="1" ht="15" x14ac:dyDescent="0.25">
      <c r="A1701" s="264"/>
      <c r="B1701" s="264"/>
      <c r="C1701" s="1056"/>
      <c r="D1701" s="1056"/>
      <c r="E1701" s="1056"/>
      <c r="F1701" s="1056"/>
      <c r="G1701" s="1056"/>
      <c r="H1701" s="1056"/>
      <c r="I1701" s="1056"/>
      <c r="J1701" s="1056"/>
      <c r="K1701" s="1056"/>
      <c r="L1701" s="1056"/>
      <c r="M1701" s="274"/>
      <c r="P1701" s="264"/>
      <c r="Q1701" s="264"/>
      <c r="R1701" s="264"/>
      <c r="S1701" s="264"/>
      <c r="T1701" s="1056"/>
      <c r="U1701" s="1056"/>
      <c r="V1701" s="1056"/>
      <c r="W1701" s="1056"/>
      <c r="X1701" s="1056"/>
      <c r="Y1701" s="1056"/>
      <c r="Z1701" s="1056"/>
      <c r="AA1701" s="1056"/>
      <c r="AB1701" s="1056"/>
      <c r="AC1701" s="1056"/>
      <c r="AD1701" s="1056"/>
      <c r="AE1701" s="1056"/>
      <c r="AF1701" s="264"/>
    </row>
    <row r="1702" spans="1:32" s="268" customFormat="1" ht="15" x14ac:dyDescent="0.25">
      <c r="A1702" s="264"/>
      <c r="B1702" s="264"/>
      <c r="C1702" s="1056"/>
      <c r="D1702" s="1056"/>
      <c r="E1702" s="1056"/>
      <c r="F1702" s="1056"/>
      <c r="G1702" s="1056"/>
      <c r="H1702" s="1056"/>
      <c r="I1702" s="1056"/>
      <c r="J1702" s="1056"/>
      <c r="K1702" s="1056"/>
      <c r="L1702" s="1056"/>
      <c r="M1702" s="274"/>
      <c r="P1702" s="264"/>
      <c r="Q1702" s="264"/>
      <c r="R1702" s="264"/>
      <c r="S1702" s="264"/>
      <c r="T1702" s="1056"/>
      <c r="U1702" s="1056"/>
      <c r="V1702" s="1056"/>
      <c r="W1702" s="1056"/>
      <c r="X1702" s="1056"/>
      <c r="Y1702" s="1056"/>
      <c r="Z1702" s="1056"/>
      <c r="AA1702" s="1056"/>
      <c r="AB1702" s="1056"/>
      <c r="AC1702" s="1056"/>
      <c r="AD1702" s="1056"/>
      <c r="AE1702" s="1056"/>
      <c r="AF1702" s="264"/>
    </row>
    <row r="1703" spans="1:32" s="268" customFormat="1" ht="15" x14ac:dyDescent="0.25">
      <c r="A1703" s="264"/>
      <c r="B1703" s="264"/>
      <c r="C1703" s="1056"/>
      <c r="D1703" s="1056"/>
      <c r="E1703" s="1056"/>
      <c r="F1703" s="1056"/>
      <c r="G1703" s="1056"/>
      <c r="H1703" s="1056"/>
      <c r="I1703" s="1056"/>
      <c r="J1703" s="1056"/>
      <c r="K1703" s="1056"/>
      <c r="L1703" s="1056"/>
      <c r="M1703" s="274"/>
      <c r="P1703" s="264"/>
      <c r="Q1703" s="264"/>
      <c r="R1703" s="264"/>
      <c r="S1703" s="264"/>
      <c r="T1703" s="1056"/>
      <c r="U1703" s="1056"/>
      <c r="V1703" s="1056"/>
      <c r="W1703" s="1056"/>
      <c r="X1703" s="1056"/>
      <c r="Y1703" s="1056"/>
      <c r="Z1703" s="1056"/>
      <c r="AA1703" s="1056"/>
      <c r="AB1703" s="1056"/>
      <c r="AC1703" s="1056"/>
      <c r="AD1703" s="1056"/>
      <c r="AE1703" s="1056"/>
      <c r="AF1703" s="264"/>
    </row>
    <row r="1704" spans="1:32" s="268" customFormat="1" ht="15" x14ac:dyDescent="0.25">
      <c r="A1704" s="264"/>
      <c r="B1704" s="264"/>
      <c r="C1704" s="1056"/>
      <c r="D1704" s="1056"/>
      <c r="E1704" s="1056"/>
      <c r="F1704" s="1056"/>
      <c r="G1704" s="1056"/>
      <c r="H1704" s="1056"/>
      <c r="I1704" s="1056"/>
      <c r="J1704" s="1056"/>
      <c r="K1704" s="1056"/>
      <c r="L1704" s="1056"/>
      <c r="M1704" s="274"/>
      <c r="P1704" s="264"/>
      <c r="Q1704" s="264"/>
      <c r="R1704" s="264"/>
      <c r="S1704" s="264"/>
      <c r="T1704" s="1056"/>
      <c r="U1704" s="1056"/>
      <c r="V1704" s="1056"/>
      <c r="W1704" s="1056"/>
      <c r="X1704" s="1056"/>
      <c r="Y1704" s="1056"/>
      <c r="Z1704" s="1056"/>
      <c r="AA1704" s="1056"/>
      <c r="AB1704" s="1056"/>
      <c r="AC1704" s="1056"/>
      <c r="AD1704" s="1056"/>
      <c r="AE1704" s="1056"/>
      <c r="AF1704" s="264"/>
    </row>
    <row r="1705" spans="1:32" s="268" customFormat="1" ht="15" x14ac:dyDescent="0.25">
      <c r="A1705" s="264"/>
      <c r="B1705" s="264"/>
      <c r="C1705" s="1056"/>
      <c r="D1705" s="1056"/>
      <c r="E1705" s="1056"/>
      <c r="F1705" s="1056"/>
      <c r="G1705" s="1056"/>
      <c r="H1705" s="1056"/>
      <c r="I1705" s="1056"/>
      <c r="J1705" s="1056"/>
      <c r="K1705" s="1056"/>
      <c r="L1705" s="1056"/>
      <c r="M1705" s="274"/>
      <c r="P1705" s="264"/>
      <c r="Q1705" s="264"/>
      <c r="R1705" s="264"/>
      <c r="S1705" s="264"/>
      <c r="T1705" s="1056"/>
      <c r="U1705" s="1056"/>
      <c r="V1705" s="1056"/>
      <c r="W1705" s="1056"/>
      <c r="X1705" s="1056"/>
      <c r="Y1705" s="1056"/>
      <c r="Z1705" s="1056"/>
      <c r="AA1705" s="1056"/>
      <c r="AB1705" s="1056"/>
      <c r="AC1705" s="1056"/>
      <c r="AD1705" s="1056"/>
      <c r="AE1705" s="1056"/>
      <c r="AF1705" s="264"/>
    </row>
    <row r="1706" spans="1:32" s="268" customFormat="1" ht="15" x14ac:dyDescent="0.25">
      <c r="A1706" s="264"/>
      <c r="B1706" s="264"/>
      <c r="C1706" s="1056"/>
      <c r="D1706" s="1056"/>
      <c r="E1706" s="1056"/>
      <c r="F1706" s="1056"/>
      <c r="G1706" s="1056"/>
      <c r="H1706" s="1056"/>
      <c r="I1706" s="1056"/>
      <c r="J1706" s="1056"/>
      <c r="K1706" s="1056"/>
      <c r="L1706" s="1056"/>
      <c r="M1706" s="274"/>
      <c r="P1706" s="264"/>
      <c r="Q1706" s="264"/>
      <c r="R1706" s="264"/>
      <c r="S1706" s="264"/>
      <c r="T1706" s="1056"/>
      <c r="U1706" s="1056"/>
      <c r="V1706" s="1056"/>
      <c r="W1706" s="1056"/>
      <c r="X1706" s="1056"/>
      <c r="Y1706" s="1056"/>
      <c r="Z1706" s="1056"/>
      <c r="AA1706" s="1056"/>
      <c r="AB1706" s="1056"/>
      <c r="AC1706" s="1056"/>
      <c r="AD1706" s="1056"/>
      <c r="AE1706" s="1056"/>
      <c r="AF1706" s="264"/>
    </row>
    <row r="1707" spans="1:32" s="268" customFormat="1" ht="15" x14ac:dyDescent="0.25">
      <c r="A1707" s="264"/>
      <c r="B1707" s="264"/>
      <c r="C1707" s="1056"/>
      <c r="D1707" s="1056"/>
      <c r="E1707" s="1056"/>
      <c r="F1707" s="1056"/>
      <c r="G1707" s="1056"/>
      <c r="H1707" s="1056"/>
      <c r="I1707" s="1056"/>
      <c r="J1707" s="1056"/>
      <c r="K1707" s="1056"/>
      <c r="L1707" s="1056"/>
      <c r="M1707" s="274"/>
      <c r="P1707" s="264"/>
      <c r="Q1707" s="264"/>
      <c r="R1707" s="264"/>
      <c r="S1707" s="264"/>
      <c r="T1707" s="1056"/>
      <c r="U1707" s="1056"/>
      <c r="V1707" s="1056"/>
      <c r="W1707" s="1056"/>
      <c r="X1707" s="1056"/>
      <c r="Y1707" s="1056"/>
      <c r="Z1707" s="1056"/>
      <c r="AA1707" s="1056"/>
      <c r="AB1707" s="1056"/>
      <c r="AC1707" s="1056"/>
      <c r="AD1707" s="1056"/>
      <c r="AE1707" s="1056"/>
      <c r="AF1707" s="264"/>
    </row>
    <row r="1708" spans="1:32" s="268" customFormat="1" ht="15" x14ac:dyDescent="0.25">
      <c r="A1708" s="264"/>
      <c r="B1708" s="264"/>
      <c r="C1708" s="1056"/>
      <c r="D1708" s="1056"/>
      <c r="E1708" s="1056"/>
      <c r="F1708" s="1056"/>
      <c r="G1708" s="1056"/>
      <c r="H1708" s="1056"/>
      <c r="I1708" s="1056"/>
      <c r="J1708" s="1056"/>
      <c r="K1708" s="1056"/>
      <c r="L1708" s="1056"/>
      <c r="M1708" s="274"/>
      <c r="P1708" s="264"/>
      <c r="Q1708" s="264"/>
      <c r="R1708" s="264"/>
      <c r="S1708" s="264"/>
      <c r="T1708" s="1056"/>
      <c r="U1708" s="1056"/>
      <c r="V1708" s="1056"/>
      <c r="W1708" s="1056"/>
      <c r="X1708" s="1056"/>
      <c r="Y1708" s="1056"/>
      <c r="Z1708" s="1056"/>
      <c r="AA1708" s="1056"/>
      <c r="AB1708" s="1056"/>
      <c r="AC1708" s="1056"/>
      <c r="AD1708" s="1056"/>
      <c r="AE1708" s="1056"/>
      <c r="AF1708" s="264"/>
    </row>
    <row r="1709" spans="1:32" s="268" customFormat="1" ht="15" x14ac:dyDescent="0.25">
      <c r="A1709" s="264"/>
      <c r="B1709" s="264"/>
      <c r="C1709" s="1056"/>
      <c r="D1709" s="1056"/>
      <c r="E1709" s="1056"/>
      <c r="F1709" s="1056"/>
      <c r="G1709" s="1056"/>
      <c r="H1709" s="1056"/>
      <c r="I1709" s="1056"/>
      <c r="J1709" s="1056"/>
      <c r="K1709" s="1056"/>
      <c r="L1709" s="1056"/>
      <c r="M1709" s="274"/>
      <c r="P1709" s="264"/>
      <c r="Q1709" s="264"/>
      <c r="R1709" s="264"/>
      <c r="S1709" s="264"/>
      <c r="T1709" s="1056"/>
      <c r="U1709" s="1056"/>
      <c r="V1709" s="1056"/>
      <c r="W1709" s="1056"/>
      <c r="X1709" s="1056"/>
      <c r="Y1709" s="1056"/>
      <c r="Z1709" s="1056"/>
      <c r="AA1709" s="1056"/>
      <c r="AB1709" s="1056"/>
      <c r="AC1709" s="1056"/>
      <c r="AD1709" s="1056"/>
      <c r="AE1709" s="1056"/>
      <c r="AF1709" s="264"/>
    </row>
    <row r="1710" spans="1:32" s="268" customFormat="1" ht="15" x14ac:dyDescent="0.25">
      <c r="A1710" s="264"/>
      <c r="B1710" s="264"/>
      <c r="C1710" s="1056"/>
      <c r="D1710" s="1056"/>
      <c r="E1710" s="1056"/>
      <c r="F1710" s="1056"/>
      <c r="G1710" s="1056"/>
      <c r="H1710" s="1056"/>
      <c r="I1710" s="1056"/>
      <c r="J1710" s="1056"/>
      <c r="K1710" s="1056"/>
      <c r="L1710" s="1056"/>
      <c r="M1710" s="274"/>
      <c r="P1710" s="264"/>
      <c r="Q1710" s="264"/>
      <c r="R1710" s="264"/>
      <c r="S1710" s="264"/>
      <c r="T1710" s="1056"/>
      <c r="U1710" s="1056"/>
      <c r="V1710" s="1056"/>
      <c r="W1710" s="1056"/>
      <c r="X1710" s="1056"/>
      <c r="Y1710" s="1056"/>
      <c r="Z1710" s="1056"/>
      <c r="AA1710" s="1056"/>
      <c r="AB1710" s="1056"/>
      <c r="AC1710" s="1056"/>
      <c r="AD1710" s="1056"/>
      <c r="AE1710" s="1056"/>
      <c r="AF1710" s="264"/>
    </row>
    <row r="1711" spans="1:32" s="268" customFormat="1" ht="15" x14ac:dyDescent="0.25">
      <c r="A1711" s="264"/>
      <c r="B1711" s="264"/>
      <c r="C1711" s="1056"/>
      <c r="D1711" s="1056"/>
      <c r="E1711" s="1056"/>
      <c r="F1711" s="1056"/>
      <c r="G1711" s="1056"/>
      <c r="H1711" s="1056"/>
      <c r="I1711" s="1056"/>
      <c r="J1711" s="1056"/>
      <c r="K1711" s="1056"/>
      <c r="L1711" s="1056"/>
      <c r="M1711" s="274"/>
      <c r="P1711" s="264"/>
      <c r="Q1711" s="264"/>
      <c r="R1711" s="264"/>
      <c r="S1711" s="264"/>
      <c r="T1711" s="1056"/>
      <c r="U1711" s="1056"/>
      <c r="V1711" s="1056"/>
      <c r="W1711" s="1056"/>
      <c r="X1711" s="1056"/>
      <c r="Y1711" s="1056"/>
      <c r="Z1711" s="1056"/>
      <c r="AA1711" s="1056"/>
      <c r="AB1711" s="1056"/>
      <c r="AC1711" s="1056"/>
      <c r="AD1711" s="1056"/>
      <c r="AE1711" s="1056"/>
      <c r="AF1711" s="264"/>
    </row>
    <row r="1712" spans="1:32" s="268" customFormat="1" ht="15" x14ac:dyDescent="0.25">
      <c r="A1712" s="264"/>
      <c r="B1712" s="264"/>
      <c r="C1712" s="1056"/>
      <c r="D1712" s="1056"/>
      <c r="E1712" s="1056"/>
      <c r="F1712" s="1056"/>
      <c r="G1712" s="1056"/>
      <c r="H1712" s="1056"/>
      <c r="I1712" s="1056"/>
      <c r="J1712" s="1056"/>
      <c r="K1712" s="1056"/>
      <c r="L1712" s="1056"/>
      <c r="M1712" s="274"/>
      <c r="P1712" s="264"/>
      <c r="Q1712" s="264"/>
      <c r="R1712" s="264"/>
      <c r="S1712" s="264"/>
      <c r="T1712" s="1056"/>
      <c r="U1712" s="1056"/>
      <c r="V1712" s="1056"/>
      <c r="W1712" s="1056"/>
      <c r="X1712" s="1056"/>
      <c r="Y1712" s="1056"/>
      <c r="Z1712" s="1056"/>
      <c r="AA1712" s="1056"/>
      <c r="AB1712" s="1056"/>
      <c r="AC1712" s="1056"/>
      <c r="AD1712" s="1056"/>
      <c r="AE1712" s="1056"/>
      <c r="AF1712" s="264"/>
    </row>
    <row r="1713" spans="1:32" s="268" customFormat="1" ht="15" x14ac:dyDescent="0.25">
      <c r="A1713" s="264"/>
      <c r="B1713" s="264"/>
      <c r="C1713" s="1056"/>
      <c r="D1713" s="1056"/>
      <c r="E1713" s="1056"/>
      <c r="F1713" s="1056"/>
      <c r="G1713" s="1056"/>
      <c r="H1713" s="1056"/>
      <c r="I1713" s="1056"/>
      <c r="J1713" s="1056"/>
      <c r="K1713" s="1056"/>
      <c r="L1713" s="1056"/>
      <c r="M1713" s="274"/>
      <c r="P1713" s="264"/>
      <c r="Q1713" s="264"/>
      <c r="R1713" s="264"/>
      <c r="S1713" s="264"/>
      <c r="T1713" s="1056"/>
      <c r="U1713" s="1056"/>
      <c r="V1713" s="1056"/>
      <c r="W1713" s="1056"/>
      <c r="X1713" s="1056"/>
      <c r="Y1713" s="1056"/>
      <c r="Z1713" s="1056"/>
      <c r="AA1713" s="1056"/>
      <c r="AB1713" s="1056"/>
      <c r="AC1713" s="1056"/>
      <c r="AD1713" s="1056"/>
      <c r="AE1713" s="1056"/>
      <c r="AF1713" s="264"/>
    </row>
    <row r="1714" spans="1:32" s="268" customFormat="1" ht="15" x14ac:dyDescent="0.25">
      <c r="A1714" s="264"/>
      <c r="B1714" s="264"/>
      <c r="C1714" s="1056"/>
      <c r="D1714" s="1056"/>
      <c r="E1714" s="1056"/>
      <c r="F1714" s="1056"/>
      <c r="G1714" s="1056"/>
      <c r="H1714" s="1056"/>
      <c r="I1714" s="1056"/>
      <c r="J1714" s="1056"/>
      <c r="K1714" s="1056"/>
      <c r="L1714" s="1056"/>
      <c r="M1714" s="274"/>
      <c r="P1714" s="264"/>
      <c r="Q1714" s="264"/>
      <c r="R1714" s="264"/>
      <c r="S1714" s="264"/>
      <c r="T1714" s="1056"/>
      <c r="U1714" s="1056"/>
      <c r="V1714" s="1056"/>
      <c r="W1714" s="1056"/>
      <c r="X1714" s="1056"/>
      <c r="Y1714" s="1056"/>
      <c r="Z1714" s="1056"/>
      <c r="AA1714" s="1056"/>
      <c r="AB1714" s="1056"/>
      <c r="AC1714" s="1056"/>
      <c r="AD1714" s="1056"/>
      <c r="AE1714" s="1056"/>
      <c r="AF1714" s="264"/>
    </row>
    <row r="1715" spans="1:32" s="268" customFormat="1" ht="15" x14ac:dyDescent="0.25">
      <c r="A1715" s="264"/>
      <c r="B1715" s="264"/>
      <c r="C1715" s="1056"/>
      <c r="D1715" s="1056"/>
      <c r="E1715" s="1056"/>
      <c r="F1715" s="1056"/>
      <c r="G1715" s="1056"/>
      <c r="H1715" s="1056"/>
      <c r="I1715" s="1056"/>
      <c r="J1715" s="1056"/>
      <c r="K1715" s="1056"/>
      <c r="L1715" s="1056"/>
      <c r="M1715" s="274"/>
      <c r="P1715" s="264"/>
      <c r="Q1715" s="264"/>
      <c r="R1715" s="264"/>
      <c r="S1715" s="264"/>
      <c r="T1715" s="1056"/>
      <c r="U1715" s="1056"/>
      <c r="V1715" s="1056"/>
      <c r="W1715" s="1056"/>
      <c r="X1715" s="1056"/>
      <c r="Y1715" s="1056"/>
      <c r="Z1715" s="1056"/>
      <c r="AA1715" s="1056"/>
      <c r="AB1715" s="1056"/>
      <c r="AC1715" s="1056"/>
      <c r="AD1715" s="1056"/>
      <c r="AE1715" s="1056"/>
      <c r="AF1715" s="264"/>
    </row>
    <row r="1716" spans="1:32" s="268" customFormat="1" ht="15" x14ac:dyDescent="0.25">
      <c r="A1716" s="264"/>
      <c r="B1716" s="264"/>
      <c r="C1716" s="1056"/>
      <c r="D1716" s="1056"/>
      <c r="E1716" s="1056"/>
      <c r="F1716" s="1056"/>
      <c r="G1716" s="1056"/>
      <c r="H1716" s="1056"/>
      <c r="I1716" s="1056"/>
      <c r="J1716" s="1056"/>
      <c r="K1716" s="1056"/>
      <c r="L1716" s="1056"/>
      <c r="M1716" s="274"/>
      <c r="P1716" s="264"/>
      <c r="Q1716" s="264"/>
      <c r="R1716" s="264"/>
      <c r="S1716" s="264"/>
      <c r="T1716" s="1056"/>
      <c r="U1716" s="1056"/>
      <c r="V1716" s="1056"/>
      <c r="W1716" s="1056"/>
      <c r="X1716" s="1056"/>
      <c r="Y1716" s="1056"/>
      <c r="Z1716" s="1056"/>
      <c r="AA1716" s="1056"/>
      <c r="AB1716" s="1056"/>
      <c r="AC1716" s="1056"/>
      <c r="AD1716" s="1056"/>
      <c r="AE1716" s="1056"/>
      <c r="AF1716" s="264"/>
    </row>
    <row r="1717" spans="1:32" s="268" customFormat="1" ht="15" x14ac:dyDescent="0.25">
      <c r="A1717" s="264"/>
      <c r="B1717" s="264"/>
      <c r="C1717" s="1056"/>
      <c r="D1717" s="1056"/>
      <c r="E1717" s="1056"/>
      <c r="F1717" s="1056"/>
      <c r="G1717" s="1056"/>
      <c r="H1717" s="1056"/>
      <c r="I1717" s="1056"/>
      <c r="J1717" s="1056"/>
      <c r="K1717" s="1056"/>
      <c r="L1717" s="1056"/>
      <c r="M1717" s="274"/>
      <c r="P1717" s="264"/>
      <c r="Q1717" s="264"/>
      <c r="R1717" s="264"/>
      <c r="S1717" s="264"/>
      <c r="T1717" s="1056"/>
      <c r="U1717" s="1056"/>
      <c r="V1717" s="1056"/>
      <c r="W1717" s="1056"/>
      <c r="X1717" s="1056"/>
      <c r="Y1717" s="1056"/>
      <c r="Z1717" s="1056"/>
      <c r="AA1717" s="1056"/>
      <c r="AB1717" s="1056"/>
      <c r="AC1717" s="1056"/>
      <c r="AD1717" s="1056"/>
      <c r="AE1717" s="1056"/>
      <c r="AF1717" s="264"/>
    </row>
    <row r="1718" spans="1:32" s="268" customFormat="1" ht="15" x14ac:dyDescent="0.25">
      <c r="A1718" s="264"/>
      <c r="B1718" s="264"/>
      <c r="C1718" s="1056"/>
      <c r="D1718" s="1056"/>
      <c r="E1718" s="1056"/>
      <c r="F1718" s="1056"/>
      <c r="G1718" s="1056"/>
      <c r="H1718" s="1056"/>
      <c r="I1718" s="1056"/>
      <c r="J1718" s="1056"/>
      <c r="K1718" s="1056"/>
      <c r="L1718" s="1056"/>
      <c r="M1718" s="274"/>
      <c r="P1718" s="264"/>
      <c r="Q1718" s="264"/>
      <c r="R1718" s="264"/>
      <c r="S1718" s="264"/>
      <c r="T1718" s="1056"/>
      <c r="U1718" s="1056"/>
      <c r="V1718" s="1056"/>
      <c r="W1718" s="1056"/>
      <c r="X1718" s="1056"/>
      <c r="Y1718" s="1056"/>
      <c r="Z1718" s="1056"/>
      <c r="AA1718" s="1056"/>
      <c r="AB1718" s="1056"/>
      <c r="AC1718" s="1056"/>
      <c r="AD1718" s="1056"/>
      <c r="AE1718" s="1056"/>
      <c r="AF1718" s="264"/>
    </row>
    <row r="1719" spans="1:32" s="268" customFormat="1" ht="15" x14ac:dyDescent="0.25">
      <c r="A1719" s="264"/>
      <c r="B1719" s="264"/>
      <c r="C1719" s="1056"/>
      <c r="D1719" s="1056"/>
      <c r="E1719" s="1056"/>
      <c r="F1719" s="1056"/>
      <c r="G1719" s="1056"/>
      <c r="H1719" s="1056"/>
      <c r="I1719" s="1056"/>
      <c r="J1719" s="1056"/>
      <c r="K1719" s="1056"/>
      <c r="L1719" s="1056"/>
      <c r="M1719" s="274"/>
      <c r="P1719" s="264"/>
      <c r="Q1719" s="264"/>
      <c r="R1719" s="264"/>
      <c r="S1719" s="264"/>
      <c r="T1719" s="1056"/>
      <c r="U1719" s="1056"/>
      <c r="V1719" s="1056"/>
      <c r="W1719" s="1056"/>
      <c r="X1719" s="1056"/>
      <c r="Y1719" s="1056"/>
      <c r="Z1719" s="1056"/>
      <c r="AA1719" s="1056"/>
      <c r="AB1719" s="1056"/>
      <c r="AC1719" s="1056"/>
      <c r="AD1719" s="1056"/>
      <c r="AE1719" s="1056"/>
      <c r="AF1719" s="264"/>
    </row>
    <row r="1720" spans="1:32" s="268" customFormat="1" ht="15" x14ac:dyDescent="0.25">
      <c r="A1720" s="264"/>
      <c r="B1720" s="264"/>
      <c r="C1720" s="1056"/>
      <c r="D1720" s="1056"/>
      <c r="E1720" s="1056"/>
      <c r="F1720" s="1056"/>
      <c r="G1720" s="1056"/>
      <c r="H1720" s="1056"/>
      <c r="I1720" s="1056"/>
      <c r="J1720" s="1056"/>
      <c r="K1720" s="1056"/>
      <c r="L1720" s="1056"/>
      <c r="M1720" s="274"/>
      <c r="P1720" s="264"/>
      <c r="Q1720" s="264"/>
      <c r="R1720" s="264"/>
      <c r="S1720" s="264"/>
      <c r="T1720" s="1056"/>
      <c r="U1720" s="1056"/>
      <c r="V1720" s="1056"/>
      <c r="W1720" s="1056"/>
      <c r="X1720" s="1056"/>
      <c r="Y1720" s="1056"/>
      <c r="Z1720" s="1056"/>
      <c r="AA1720" s="1056"/>
      <c r="AB1720" s="1056"/>
      <c r="AC1720" s="1056"/>
      <c r="AD1720" s="1056"/>
      <c r="AE1720" s="1056"/>
      <c r="AF1720" s="264"/>
    </row>
    <row r="1721" spans="1:32" s="268" customFormat="1" ht="15" x14ac:dyDescent="0.25">
      <c r="A1721" s="264"/>
      <c r="B1721" s="264"/>
      <c r="C1721" s="1056"/>
      <c r="D1721" s="1056"/>
      <c r="E1721" s="1056"/>
      <c r="F1721" s="1056"/>
      <c r="G1721" s="1056"/>
      <c r="H1721" s="1056"/>
      <c r="I1721" s="1056"/>
      <c r="J1721" s="1056"/>
      <c r="K1721" s="1056"/>
      <c r="L1721" s="1056"/>
      <c r="M1721" s="274"/>
      <c r="P1721" s="264"/>
      <c r="Q1721" s="264"/>
      <c r="R1721" s="264"/>
      <c r="S1721" s="264"/>
      <c r="T1721" s="1056"/>
      <c r="U1721" s="1056"/>
      <c r="V1721" s="1056"/>
      <c r="W1721" s="1056"/>
      <c r="X1721" s="1056"/>
      <c r="Y1721" s="1056"/>
      <c r="Z1721" s="1056"/>
      <c r="AA1721" s="1056"/>
      <c r="AB1721" s="1056"/>
      <c r="AC1721" s="1056"/>
      <c r="AD1721" s="1056"/>
      <c r="AE1721" s="1056"/>
      <c r="AF1721" s="264"/>
    </row>
    <row r="1722" spans="1:32" s="268" customFormat="1" ht="15" x14ac:dyDescent="0.25">
      <c r="A1722" s="264"/>
      <c r="B1722" s="264"/>
      <c r="C1722" s="1056"/>
      <c r="D1722" s="1056"/>
      <c r="E1722" s="1056"/>
      <c r="F1722" s="1056"/>
      <c r="G1722" s="1056"/>
      <c r="H1722" s="1056"/>
      <c r="I1722" s="1056"/>
      <c r="J1722" s="1056"/>
      <c r="K1722" s="1056"/>
      <c r="L1722" s="1056"/>
      <c r="M1722" s="274"/>
      <c r="P1722" s="264"/>
      <c r="Q1722" s="264"/>
      <c r="R1722" s="264"/>
      <c r="S1722" s="264"/>
      <c r="T1722" s="1056"/>
      <c r="U1722" s="1056"/>
      <c r="V1722" s="1056"/>
      <c r="W1722" s="1056"/>
      <c r="X1722" s="1056"/>
      <c r="Y1722" s="1056"/>
      <c r="Z1722" s="1056"/>
      <c r="AA1722" s="1056"/>
      <c r="AB1722" s="1056"/>
      <c r="AC1722" s="1056"/>
      <c r="AD1722" s="1056"/>
      <c r="AE1722" s="1056"/>
      <c r="AF1722" s="264"/>
    </row>
    <row r="1723" spans="1:32" s="268" customFormat="1" ht="15" x14ac:dyDescent="0.25">
      <c r="A1723" s="264"/>
      <c r="B1723" s="264"/>
      <c r="C1723" s="1056"/>
      <c r="D1723" s="1056"/>
      <c r="E1723" s="1056"/>
      <c r="F1723" s="1056"/>
      <c r="G1723" s="1056"/>
      <c r="H1723" s="1056"/>
      <c r="I1723" s="1056"/>
      <c r="J1723" s="1056"/>
      <c r="K1723" s="1056"/>
      <c r="L1723" s="1056"/>
      <c r="M1723" s="274"/>
      <c r="P1723" s="264"/>
      <c r="Q1723" s="264"/>
      <c r="R1723" s="264"/>
      <c r="S1723" s="264"/>
      <c r="T1723" s="1056"/>
      <c r="U1723" s="1056"/>
      <c r="V1723" s="1056"/>
      <c r="W1723" s="1056"/>
      <c r="X1723" s="1056"/>
      <c r="Y1723" s="1056"/>
      <c r="Z1723" s="1056"/>
      <c r="AA1723" s="1056"/>
      <c r="AB1723" s="1056"/>
      <c r="AC1723" s="1056"/>
      <c r="AD1723" s="1056"/>
      <c r="AE1723" s="1056"/>
      <c r="AF1723" s="264"/>
    </row>
    <row r="1724" spans="1:32" s="268" customFormat="1" ht="15" x14ac:dyDescent="0.25">
      <c r="A1724" s="264"/>
      <c r="B1724" s="264"/>
      <c r="C1724" s="1056"/>
      <c r="D1724" s="1056"/>
      <c r="E1724" s="1056"/>
      <c r="F1724" s="1056"/>
      <c r="G1724" s="1056"/>
      <c r="H1724" s="1056"/>
      <c r="I1724" s="1056"/>
      <c r="J1724" s="1056"/>
      <c r="K1724" s="1056"/>
      <c r="L1724" s="1056"/>
      <c r="M1724" s="274"/>
      <c r="P1724" s="264"/>
      <c r="Q1724" s="264"/>
      <c r="R1724" s="264"/>
      <c r="S1724" s="264"/>
      <c r="T1724" s="1056"/>
      <c r="U1724" s="1056"/>
      <c r="V1724" s="1056"/>
      <c r="W1724" s="1056"/>
      <c r="X1724" s="1056"/>
      <c r="Y1724" s="1056"/>
      <c r="Z1724" s="1056"/>
      <c r="AA1724" s="1056"/>
      <c r="AB1724" s="1056"/>
      <c r="AC1724" s="1056"/>
      <c r="AD1724" s="1056"/>
      <c r="AE1724" s="1056"/>
      <c r="AF1724" s="264"/>
    </row>
    <row r="1725" spans="1:32" s="268" customFormat="1" ht="15" x14ac:dyDescent="0.25">
      <c r="A1725" s="264"/>
      <c r="B1725" s="264"/>
      <c r="C1725" s="1056"/>
      <c r="D1725" s="1056"/>
      <c r="E1725" s="1056"/>
      <c r="F1725" s="1056"/>
      <c r="G1725" s="1056"/>
      <c r="H1725" s="1056"/>
      <c r="I1725" s="1056"/>
      <c r="J1725" s="1056"/>
      <c r="K1725" s="1056"/>
      <c r="L1725" s="1056"/>
      <c r="M1725" s="274"/>
      <c r="P1725" s="264"/>
      <c r="Q1725" s="264"/>
      <c r="R1725" s="264"/>
      <c r="S1725" s="264"/>
      <c r="T1725" s="1056"/>
      <c r="U1725" s="1056"/>
      <c r="V1725" s="1056"/>
      <c r="W1725" s="1056"/>
      <c r="X1725" s="1056"/>
      <c r="Y1725" s="1056"/>
      <c r="Z1725" s="1056"/>
      <c r="AA1725" s="1056"/>
      <c r="AB1725" s="1056"/>
      <c r="AC1725" s="1056"/>
      <c r="AD1725" s="1056"/>
      <c r="AE1725" s="1056"/>
      <c r="AF1725" s="264"/>
    </row>
    <row r="1726" spans="1:32" s="268" customFormat="1" ht="15" x14ac:dyDescent="0.25">
      <c r="A1726" s="264"/>
      <c r="B1726" s="264"/>
      <c r="C1726" s="1056"/>
      <c r="D1726" s="1056"/>
      <c r="E1726" s="1056"/>
      <c r="F1726" s="1056"/>
      <c r="G1726" s="1056"/>
      <c r="H1726" s="1056"/>
      <c r="I1726" s="1056"/>
      <c r="J1726" s="1056"/>
      <c r="K1726" s="1056"/>
      <c r="L1726" s="1056"/>
      <c r="M1726" s="274"/>
      <c r="P1726" s="264"/>
      <c r="Q1726" s="264"/>
      <c r="R1726" s="264"/>
      <c r="S1726" s="264"/>
      <c r="T1726" s="1056"/>
      <c r="U1726" s="1056"/>
      <c r="V1726" s="1056"/>
      <c r="W1726" s="1056"/>
      <c r="X1726" s="1056"/>
      <c r="Y1726" s="1056"/>
      <c r="Z1726" s="1056"/>
      <c r="AA1726" s="1056"/>
      <c r="AB1726" s="1056"/>
      <c r="AC1726" s="1056"/>
      <c r="AD1726" s="1056"/>
      <c r="AE1726" s="1056"/>
      <c r="AF1726" s="264"/>
    </row>
    <row r="1727" spans="1:32" s="268" customFormat="1" ht="15" x14ac:dyDescent="0.25">
      <c r="A1727" s="264"/>
      <c r="B1727" s="264"/>
      <c r="C1727" s="1056"/>
      <c r="D1727" s="1056"/>
      <c r="E1727" s="1056"/>
      <c r="F1727" s="1056"/>
      <c r="G1727" s="1056"/>
      <c r="H1727" s="1056"/>
      <c r="I1727" s="1056"/>
      <c r="J1727" s="1056"/>
      <c r="K1727" s="1056"/>
      <c r="L1727" s="1056"/>
      <c r="M1727" s="274"/>
      <c r="P1727" s="264"/>
      <c r="Q1727" s="264"/>
      <c r="R1727" s="264"/>
      <c r="S1727" s="264"/>
      <c r="T1727" s="1056"/>
      <c r="U1727" s="1056"/>
      <c r="V1727" s="1056"/>
      <c r="W1727" s="1056"/>
      <c r="X1727" s="1056"/>
      <c r="Y1727" s="1056"/>
      <c r="Z1727" s="1056"/>
      <c r="AA1727" s="1056"/>
      <c r="AB1727" s="1056"/>
      <c r="AC1727" s="1056"/>
      <c r="AD1727" s="1056"/>
      <c r="AE1727" s="1056"/>
      <c r="AF1727" s="264"/>
    </row>
    <row r="1728" spans="1:32" s="268" customFormat="1" ht="15" x14ac:dyDescent="0.25">
      <c r="A1728" s="264"/>
      <c r="B1728" s="264"/>
      <c r="C1728" s="1056"/>
      <c r="D1728" s="1056"/>
      <c r="E1728" s="1056"/>
      <c r="F1728" s="1056"/>
      <c r="G1728" s="1056"/>
      <c r="H1728" s="1056"/>
      <c r="I1728" s="1056"/>
      <c r="J1728" s="1056"/>
      <c r="K1728" s="1056"/>
      <c r="L1728" s="1056"/>
      <c r="M1728" s="274"/>
      <c r="P1728" s="264"/>
      <c r="Q1728" s="264"/>
      <c r="R1728" s="264"/>
      <c r="S1728" s="264"/>
      <c r="T1728" s="1056"/>
      <c r="U1728" s="1056"/>
      <c r="V1728" s="1056"/>
      <c r="W1728" s="1056"/>
      <c r="X1728" s="1056"/>
      <c r="Y1728" s="1056"/>
      <c r="Z1728" s="1056"/>
      <c r="AA1728" s="1056"/>
      <c r="AB1728" s="1056"/>
      <c r="AC1728" s="1056"/>
      <c r="AD1728" s="1056"/>
      <c r="AE1728" s="1056"/>
      <c r="AF1728" s="264"/>
    </row>
    <row r="1729" spans="1:32" s="268" customFormat="1" ht="15" x14ac:dyDescent="0.25">
      <c r="A1729" s="264"/>
      <c r="B1729" s="264"/>
      <c r="C1729" s="1056"/>
      <c r="D1729" s="1056"/>
      <c r="E1729" s="1056"/>
      <c r="F1729" s="1056"/>
      <c r="G1729" s="1056"/>
      <c r="H1729" s="1056"/>
      <c r="I1729" s="1056"/>
      <c r="J1729" s="1056"/>
      <c r="K1729" s="1056"/>
      <c r="L1729" s="1056"/>
      <c r="M1729" s="274"/>
      <c r="P1729" s="264"/>
      <c r="Q1729" s="264"/>
      <c r="R1729" s="264"/>
      <c r="S1729" s="264"/>
      <c r="T1729" s="1056"/>
      <c r="U1729" s="1056"/>
      <c r="V1729" s="1056"/>
      <c r="W1729" s="1056"/>
      <c r="X1729" s="1056"/>
      <c r="Y1729" s="1056"/>
      <c r="Z1729" s="1056"/>
      <c r="AA1729" s="1056"/>
      <c r="AB1729" s="1056"/>
      <c r="AC1729" s="1056"/>
      <c r="AD1729" s="1056"/>
      <c r="AE1729" s="1056"/>
      <c r="AF1729" s="264"/>
    </row>
    <row r="1730" spans="1:32" s="268" customFormat="1" ht="15" x14ac:dyDescent="0.25">
      <c r="A1730" s="264"/>
      <c r="B1730" s="264"/>
      <c r="C1730" s="1056"/>
      <c r="D1730" s="1056"/>
      <c r="E1730" s="1056"/>
      <c r="F1730" s="1056"/>
      <c r="G1730" s="1056"/>
      <c r="H1730" s="1056"/>
      <c r="I1730" s="1056"/>
      <c r="J1730" s="1056"/>
      <c r="K1730" s="1056"/>
      <c r="L1730" s="1056"/>
      <c r="M1730" s="274"/>
      <c r="P1730" s="264"/>
      <c r="Q1730" s="264"/>
      <c r="R1730" s="264"/>
      <c r="S1730" s="264"/>
      <c r="T1730" s="1056"/>
      <c r="U1730" s="1056"/>
      <c r="V1730" s="1056"/>
      <c r="W1730" s="1056"/>
      <c r="X1730" s="1056"/>
      <c r="Y1730" s="1056"/>
      <c r="Z1730" s="1056"/>
      <c r="AA1730" s="1056"/>
      <c r="AB1730" s="1056"/>
      <c r="AC1730" s="1056"/>
      <c r="AD1730" s="1056"/>
      <c r="AE1730" s="1056"/>
      <c r="AF1730" s="264"/>
    </row>
    <row r="1731" spans="1:32" s="268" customFormat="1" ht="15" x14ac:dyDescent="0.25">
      <c r="A1731" s="264"/>
      <c r="B1731" s="264"/>
      <c r="C1731" s="1056"/>
      <c r="D1731" s="1056"/>
      <c r="E1731" s="1056"/>
      <c r="F1731" s="1056"/>
      <c r="G1731" s="1056"/>
      <c r="H1731" s="1056"/>
      <c r="I1731" s="1056"/>
      <c r="J1731" s="1056"/>
      <c r="K1731" s="1056"/>
      <c r="L1731" s="1056"/>
      <c r="M1731" s="274"/>
      <c r="P1731" s="264"/>
      <c r="Q1731" s="264"/>
      <c r="R1731" s="264"/>
      <c r="S1731" s="264"/>
      <c r="T1731" s="1056"/>
      <c r="U1731" s="1056"/>
      <c r="V1731" s="1056"/>
      <c r="W1731" s="1056"/>
      <c r="X1731" s="1056"/>
      <c r="Y1731" s="1056"/>
      <c r="Z1731" s="1056"/>
      <c r="AA1731" s="1056"/>
      <c r="AB1731" s="1056"/>
      <c r="AC1731" s="1056"/>
      <c r="AD1731" s="1056"/>
      <c r="AE1731" s="1056"/>
      <c r="AF1731" s="264"/>
    </row>
    <row r="1732" spans="1:32" s="268" customFormat="1" ht="15" x14ac:dyDescent="0.25">
      <c r="A1732" s="264"/>
      <c r="B1732" s="264"/>
      <c r="C1732" s="1056"/>
      <c r="D1732" s="1056"/>
      <c r="E1732" s="1056"/>
      <c r="F1732" s="1056"/>
      <c r="G1732" s="1056"/>
      <c r="H1732" s="1056"/>
      <c r="I1732" s="1056"/>
      <c r="J1732" s="1056"/>
      <c r="K1732" s="1056"/>
      <c r="L1732" s="1056"/>
      <c r="M1732" s="274"/>
      <c r="P1732" s="264"/>
      <c r="Q1732" s="264"/>
      <c r="R1732" s="264"/>
      <c r="S1732" s="264"/>
      <c r="T1732" s="1056"/>
      <c r="U1732" s="1056"/>
      <c r="V1732" s="1056"/>
      <c r="W1732" s="1056"/>
      <c r="X1732" s="1056"/>
      <c r="Y1732" s="1056"/>
      <c r="Z1732" s="1056"/>
      <c r="AA1732" s="1056"/>
      <c r="AB1732" s="1056"/>
      <c r="AC1732" s="1056"/>
      <c r="AD1732" s="1056"/>
      <c r="AE1732" s="1056"/>
      <c r="AF1732" s="264"/>
    </row>
    <row r="1733" spans="1:32" s="268" customFormat="1" ht="15" x14ac:dyDescent="0.25">
      <c r="A1733" s="264"/>
      <c r="B1733" s="264"/>
      <c r="C1733" s="1056"/>
      <c r="D1733" s="1056"/>
      <c r="E1733" s="1056"/>
      <c r="F1733" s="1056"/>
      <c r="G1733" s="1056"/>
      <c r="H1733" s="1056"/>
      <c r="I1733" s="1056"/>
      <c r="J1733" s="1056"/>
      <c r="K1733" s="1056"/>
      <c r="L1733" s="1056"/>
      <c r="M1733" s="274"/>
      <c r="P1733" s="264"/>
      <c r="Q1733" s="264"/>
      <c r="R1733" s="264"/>
      <c r="S1733" s="264"/>
      <c r="T1733" s="1056"/>
      <c r="U1733" s="1056"/>
      <c r="V1733" s="1056"/>
      <c r="W1733" s="1056"/>
      <c r="X1733" s="1056"/>
      <c r="Y1733" s="1056"/>
      <c r="Z1733" s="1056"/>
      <c r="AA1733" s="1056"/>
      <c r="AB1733" s="1056"/>
      <c r="AC1733" s="1056"/>
      <c r="AD1733" s="1056"/>
      <c r="AE1733" s="1056"/>
      <c r="AF1733" s="264"/>
    </row>
    <row r="1734" spans="1:32" s="268" customFormat="1" ht="15" x14ac:dyDescent="0.25">
      <c r="A1734" s="264"/>
      <c r="B1734" s="264"/>
      <c r="C1734" s="1056"/>
      <c r="D1734" s="1056"/>
      <c r="E1734" s="1056"/>
      <c r="F1734" s="1056"/>
      <c r="G1734" s="1056"/>
      <c r="H1734" s="1056"/>
      <c r="I1734" s="1056"/>
      <c r="J1734" s="1056"/>
      <c r="K1734" s="1056"/>
      <c r="L1734" s="1056"/>
      <c r="M1734" s="274"/>
      <c r="P1734" s="264"/>
      <c r="Q1734" s="264"/>
      <c r="R1734" s="264"/>
      <c r="S1734" s="264"/>
      <c r="T1734" s="1056"/>
      <c r="U1734" s="1056"/>
      <c r="V1734" s="1056"/>
      <c r="W1734" s="1056"/>
      <c r="X1734" s="1056"/>
      <c r="Y1734" s="1056"/>
      <c r="Z1734" s="1056"/>
      <c r="AA1734" s="1056"/>
      <c r="AB1734" s="1056"/>
      <c r="AC1734" s="1056"/>
      <c r="AD1734" s="1056"/>
      <c r="AE1734" s="1056"/>
      <c r="AF1734" s="264"/>
    </row>
    <row r="1735" spans="1:32" s="268" customFormat="1" ht="15" x14ac:dyDescent="0.25">
      <c r="A1735" s="264"/>
      <c r="B1735" s="264"/>
      <c r="C1735" s="1056"/>
      <c r="D1735" s="1056"/>
      <c r="E1735" s="1056"/>
      <c r="F1735" s="1056"/>
      <c r="G1735" s="1056"/>
      <c r="H1735" s="1056"/>
      <c r="I1735" s="1056"/>
      <c r="J1735" s="1056"/>
      <c r="K1735" s="1056"/>
      <c r="L1735" s="1056"/>
      <c r="M1735" s="274"/>
      <c r="P1735" s="264"/>
      <c r="Q1735" s="264"/>
      <c r="R1735" s="264"/>
      <c r="S1735" s="264"/>
      <c r="T1735" s="1056"/>
      <c r="U1735" s="1056"/>
      <c r="V1735" s="1056"/>
      <c r="W1735" s="1056"/>
      <c r="X1735" s="1056"/>
      <c r="Y1735" s="1056"/>
      <c r="Z1735" s="1056"/>
      <c r="AA1735" s="1056"/>
      <c r="AB1735" s="1056"/>
      <c r="AC1735" s="1056"/>
      <c r="AD1735" s="1056"/>
      <c r="AE1735" s="1056"/>
      <c r="AF1735" s="264"/>
    </row>
    <row r="1736" spans="1:32" s="268" customFormat="1" ht="15" x14ac:dyDescent="0.25">
      <c r="A1736" s="264"/>
      <c r="B1736" s="264"/>
      <c r="C1736" s="1056"/>
      <c r="D1736" s="1056"/>
      <c r="E1736" s="1056"/>
      <c r="F1736" s="1056"/>
      <c r="G1736" s="1056"/>
      <c r="H1736" s="1056"/>
      <c r="I1736" s="1056"/>
      <c r="J1736" s="1056"/>
      <c r="K1736" s="1056"/>
      <c r="L1736" s="1056"/>
      <c r="M1736" s="274"/>
      <c r="P1736" s="264"/>
      <c r="Q1736" s="264"/>
      <c r="R1736" s="264"/>
      <c r="S1736" s="264"/>
      <c r="T1736" s="1056"/>
      <c r="U1736" s="1056"/>
      <c r="V1736" s="1056"/>
      <c r="W1736" s="1056"/>
      <c r="X1736" s="1056"/>
      <c r="Y1736" s="1056"/>
      <c r="Z1736" s="1056"/>
      <c r="AA1736" s="1056"/>
      <c r="AB1736" s="1056"/>
      <c r="AC1736" s="1056"/>
      <c r="AD1736" s="1056"/>
      <c r="AE1736" s="1056"/>
      <c r="AF1736" s="264"/>
    </row>
    <row r="1737" spans="1:32" s="268" customFormat="1" ht="15" x14ac:dyDescent="0.25">
      <c r="A1737" s="264"/>
      <c r="B1737" s="264"/>
      <c r="C1737" s="1056"/>
      <c r="D1737" s="1056"/>
      <c r="E1737" s="1056"/>
      <c r="F1737" s="1056"/>
      <c r="G1737" s="1056"/>
      <c r="H1737" s="1056"/>
      <c r="I1737" s="1056"/>
      <c r="J1737" s="1056"/>
      <c r="K1737" s="1056"/>
      <c r="L1737" s="1056"/>
      <c r="M1737" s="274"/>
      <c r="P1737" s="264"/>
      <c r="Q1737" s="264"/>
      <c r="R1737" s="264"/>
      <c r="S1737" s="264"/>
      <c r="T1737" s="1056"/>
      <c r="U1737" s="1056"/>
      <c r="V1737" s="1056"/>
      <c r="W1737" s="1056"/>
      <c r="X1737" s="1056"/>
      <c r="Y1737" s="1056"/>
      <c r="Z1737" s="1056"/>
      <c r="AA1737" s="1056"/>
      <c r="AB1737" s="1056"/>
      <c r="AC1737" s="1056"/>
      <c r="AD1737" s="1056"/>
      <c r="AE1737" s="1056"/>
      <c r="AF1737" s="264"/>
    </row>
    <row r="1738" spans="1:32" s="268" customFormat="1" ht="15" x14ac:dyDescent="0.25">
      <c r="A1738" s="264"/>
      <c r="B1738" s="264"/>
      <c r="C1738" s="1056"/>
      <c r="D1738" s="1056"/>
      <c r="E1738" s="1056"/>
      <c r="F1738" s="1056"/>
      <c r="G1738" s="1056"/>
      <c r="H1738" s="1056"/>
      <c r="I1738" s="1056"/>
      <c r="J1738" s="1056"/>
      <c r="K1738" s="1056"/>
      <c r="L1738" s="1056"/>
      <c r="M1738" s="274"/>
      <c r="P1738" s="264"/>
      <c r="Q1738" s="264"/>
      <c r="R1738" s="264"/>
      <c r="S1738" s="264"/>
      <c r="T1738" s="1056"/>
      <c r="U1738" s="1056"/>
      <c r="V1738" s="1056"/>
      <c r="W1738" s="1056"/>
      <c r="X1738" s="1056"/>
      <c r="Y1738" s="1056"/>
      <c r="Z1738" s="1056"/>
      <c r="AA1738" s="1056"/>
      <c r="AB1738" s="1056"/>
      <c r="AC1738" s="1056"/>
      <c r="AD1738" s="1056"/>
      <c r="AE1738" s="1056"/>
      <c r="AF1738" s="264"/>
    </row>
    <row r="1739" spans="1:32" s="268" customFormat="1" ht="15" x14ac:dyDescent="0.25">
      <c r="A1739" s="264"/>
      <c r="B1739" s="264"/>
      <c r="C1739" s="1056"/>
      <c r="D1739" s="1056"/>
      <c r="E1739" s="1056"/>
      <c r="F1739" s="1056"/>
      <c r="G1739" s="1056"/>
      <c r="H1739" s="1056"/>
      <c r="I1739" s="1056"/>
      <c r="J1739" s="1056"/>
      <c r="K1739" s="1056"/>
      <c r="L1739" s="1056"/>
      <c r="M1739" s="274"/>
      <c r="P1739" s="264"/>
      <c r="Q1739" s="264"/>
      <c r="R1739" s="264"/>
      <c r="S1739" s="264"/>
      <c r="T1739" s="1056"/>
      <c r="U1739" s="1056"/>
      <c r="V1739" s="1056"/>
      <c r="W1739" s="1056"/>
      <c r="X1739" s="1056"/>
      <c r="Y1739" s="1056"/>
      <c r="Z1739" s="1056"/>
      <c r="AA1739" s="1056"/>
      <c r="AB1739" s="1056"/>
      <c r="AC1739" s="1056"/>
      <c r="AD1739" s="1056"/>
      <c r="AE1739" s="1056"/>
      <c r="AF1739" s="264"/>
    </row>
    <row r="1740" spans="1:32" s="268" customFormat="1" ht="15" x14ac:dyDescent="0.25">
      <c r="A1740" s="264"/>
      <c r="B1740" s="264"/>
      <c r="C1740" s="1056"/>
      <c r="D1740" s="1056"/>
      <c r="E1740" s="1056"/>
      <c r="F1740" s="1056"/>
      <c r="G1740" s="1056"/>
      <c r="H1740" s="1056"/>
      <c r="I1740" s="1056"/>
      <c r="J1740" s="1056"/>
      <c r="K1740" s="1056"/>
      <c r="L1740" s="1056"/>
      <c r="M1740" s="274"/>
      <c r="P1740" s="264"/>
      <c r="Q1740" s="264"/>
      <c r="R1740" s="264"/>
      <c r="S1740" s="264"/>
      <c r="T1740" s="1056"/>
      <c r="U1740" s="1056"/>
      <c r="V1740" s="1056"/>
      <c r="W1740" s="1056"/>
      <c r="X1740" s="1056"/>
      <c r="Y1740" s="1056"/>
      <c r="Z1740" s="1056"/>
      <c r="AA1740" s="1056"/>
      <c r="AB1740" s="1056"/>
      <c r="AC1740" s="1056"/>
      <c r="AD1740" s="1056"/>
      <c r="AE1740" s="1056"/>
      <c r="AF1740" s="264"/>
    </row>
    <row r="1741" spans="1:32" s="268" customFormat="1" ht="15" x14ac:dyDescent="0.25">
      <c r="A1741" s="264"/>
      <c r="B1741" s="264"/>
      <c r="C1741" s="1056"/>
      <c r="D1741" s="1056"/>
      <c r="E1741" s="1056"/>
      <c r="F1741" s="1056"/>
      <c r="G1741" s="1056"/>
      <c r="H1741" s="1056"/>
      <c r="I1741" s="1056"/>
      <c r="J1741" s="1056"/>
      <c r="K1741" s="1056"/>
      <c r="L1741" s="1056"/>
      <c r="M1741" s="274"/>
      <c r="P1741" s="264"/>
      <c r="Q1741" s="264"/>
      <c r="R1741" s="264"/>
      <c r="S1741" s="264"/>
      <c r="T1741" s="1056"/>
      <c r="U1741" s="1056"/>
      <c r="V1741" s="1056"/>
      <c r="W1741" s="1056"/>
      <c r="X1741" s="1056"/>
      <c r="Y1741" s="1056"/>
      <c r="Z1741" s="1056"/>
      <c r="AA1741" s="1056"/>
      <c r="AB1741" s="1056"/>
      <c r="AC1741" s="1056"/>
      <c r="AD1741" s="1056"/>
      <c r="AE1741" s="1056"/>
      <c r="AF1741" s="264"/>
    </row>
    <row r="1742" spans="1:32" s="268" customFormat="1" ht="15" x14ac:dyDescent="0.25">
      <c r="A1742" s="264"/>
      <c r="B1742" s="264"/>
      <c r="C1742" s="1056"/>
      <c r="D1742" s="1056"/>
      <c r="E1742" s="1056"/>
      <c r="F1742" s="1056"/>
      <c r="G1742" s="1056"/>
      <c r="H1742" s="1056"/>
      <c r="I1742" s="1056"/>
      <c r="J1742" s="1056"/>
      <c r="K1742" s="1056"/>
      <c r="L1742" s="1056"/>
      <c r="M1742" s="274"/>
      <c r="P1742" s="264"/>
      <c r="Q1742" s="264"/>
      <c r="R1742" s="264"/>
      <c r="S1742" s="264"/>
      <c r="T1742" s="1056"/>
      <c r="U1742" s="1056"/>
      <c r="V1742" s="1056"/>
      <c r="W1742" s="1056"/>
      <c r="X1742" s="1056"/>
      <c r="Y1742" s="1056"/>
      <c r="Z1742" s="1056"/>
      <c r="AA1742" s="1056"/>
      <c r="AB1742" s="1056"/>
      <c r="AC1742" s="1056"/>
      <c r="AD1742" s="1056"/>
      <c r="AE1742" s="1056"/>
      <c r="AF1742" s="264"/>
    </row>
    <row r="1743" spans="1:32" s="268" customFormat="1" ht="15" x14ac:dyDescent="0.25">
      <c r="A1743" s="264"/>
      <c r="B1743" s="264"/>
      <c r="C1743" s="1056"/>
      <c r="D1743" s="1056"/>
      <c r="E1743" s="1056"/>
      <c r="F1743" s="1056"/>
      <c r="G1743" s="1056"/>
      <c r="H1743" s="1056"/>
      <c r="I1743" s="1056"/>
      <c r="J1743" s="1056"/>
      <c r="K1743" s="1056"/>
      <c r="L1743" s="1056"/>
      <c r="M1743" s="274"/>
      <c r="P1743" s="264"/>
      <c r="Q1743" s="264"/>
      <c r="R1743" s="264"/>
      <c r="S1743" s="264"/>
      <c r="T1743" s="1056"/>
      <c r="U1743" s="1056"/>
      <c r="V1743" s="1056"/>
      <c r="W1743" s="1056"/>
      <c r="X1743" s="1056"/>
      <c r="Y1743" s="1056"/>
      <c r="Z1743" s="1056"/>
      <c r="AA1743" s="1056"/>
      <c r="AB1743" s="1056"/>
      <c r="AC1743" s="1056"/>
      <c r="AD1743" s="1056"/>
      <c r="AE1743" s="1056"/>
      <c r="AF1743" s="264"/>
    </row>
    <row r="1744" spans="1:32" s="268" customFormat="1" ht="15" x14ac:dyDescent="0.25">
      <c r="A1744" s="264"/>
      <c r="B1744" s="264"/>
      <c r="C1744" s="1056"/>
      <c r="D1744" s="1056"/>
      <c r="E1744" s="1056"/>
      <c r="F1744" s="1056"/>
      <c r="G1744" s="1056"/>
      <c r="H1744" s="1056"/>
      <c r="I1744" s="1056"/>
      <c r="J1744" s="1056"/>
      <c r="K1744" s="1056"/>
      <c r="L1744" s="1056"/>
      <c r="M1744" s="274"/>
      <c r="P1744" s="264"/>
      <c r="Q1744" s="264"/>
      <c r="R1744" s="264"/>
      <c r="S1744" s="264"/>
      <c r="T1744" s="1056"/>
      <c r="U1744" s="1056"/>
      <c r="V1744" s="1056"/>
      <c r="W1744" s="1056"/>
      <c r="X1744" s="1056"/>
      <c r="Y1744" s="1056"/>
      <c r="Z1744" s="1056"/>
      <c r="AA1744" s="1056"/>
      <c r="AB1744" s="1056"/>
      <c r="AC1744" s="1056"/>
      <c r="AD1744" s="1056"/>
      <c r="AE1744" s="1056"/>
      <c r="AF1744" s="264"/>
    </row>
    <row r="1745" spans="1:32" s="268" customFormat="1" ht="15" x14ac:dyDescent="0.25">
      <c r="A1745" s="264"/>
      <c r="B1745" s="264"/>
      <c r="C1745" s="1056"/>
      <c r="D1745" s="1056"/>
      <c r="E1745" s="1056"/>
      <c r="F1745" s="1056"/>
      <c r="G1745" s="1056"/>
      <c r="H1745" s="1056"/>
      <c r="I1745" s="1056"/>
      <c r="J1745" s="1056"/>
      <c r="K1745" s="1056"/>
      <c r="L1745" s="1056"/>
      <c r="M1745" s="274"/>
      <c r="P1745" s="264"/>
      <c r="Q1745" s="264"/>
      <c r="R1745" s="264"/>
      <c r="S1745" s="264"/>
      <c r="T1745" s="1056"/>
      <c r="U1745" s="1056"/>
      <c r="V1745" s="1056"/>
      <c r="W1745" s="1056"/>
      <c r="X1745" s="1056"/>
      <c r="Y1745" s="1056"/>
      <c r="Z1745" s="1056"/>
      <c r="AA1745" s="1056"/>
      <c r="AB1745" s="1056"/>
      <c r="AC1745" s="1056"/>
      <c r="AD1745" s="1056"/>
      <c r="AE1745" s="1056"/>
      <c r="AF1745" s="264"/>
    </row>
    <row r="1746" spans="1:32" s="268" customFormat="1" ht="15" x14ac:dyDescent="0.25">
      <c r="A1746" s="264"/>
      <c r="B1746" s="264"/>
      <c r="C1746" s="1056"/>
      <c r="D1746" s="1056"/>
      <c r="E1746" s="1056"/>
      <c r="F1746" s="1056"/>
      <c r="G1746" s="1056"/>
      <c r="H1746" s="1056"/>
      <c r="I1746" s="1056"/>
      <c r="J1746" s="1056"/>
      <c r="K1746" s="1056"/>
      <c r="L1746" s="1056"/>
      <c r="M1746" s="274"/>
      <c r="P1746" s="264"/>
      <c r="Q1746" s="264"/>
      <c r="R1746" s="264"/>
      <c r="S1746" s="264"/>
      <c r="T1746" s="1056"/>
      <c r="U1746" s="1056"/>
      <c r="V1746" s="1056"/>
      <c r="W1746" s="1056"/>
      <c r="X1746" s="1056"/>
      <c r="Y1746" s="1056"/>
      <c r="Z1746" s="1056"/>
      <c r="AA1746" s="1056"/>
      <c r="AB1746" s="1056"/>
      <c r="AC1746" s="1056"/>
      <c r="AD1746" s="1056"/>
      <c r="AE1746" s="1056"/>
      <c r="AF1746" s="264"/>
    </row>
    <row r="1747" spans="1:32" s="268" customFormat="1" ht="15" x14ac:dyDescent="0.25">
      <c r="A1747" s="264"/>
      <c r="B1747" s="264"/>
      <c r="C1747" s="1056"/>
      <c r="D1747" s="1056"/>
      <c r="E1747" s="1056"/>
      <c r="F1747" s="1056"/>
      <c r="G1747" s="1056"/>
      <c r="H1747" s="1056"/>
      <c r="I1747" s="1056"/>
      <c r="J1747" s="1056"/>
      <c r="K1747" s="1056"/>
      <c r="L1747" s="1056"/>
      <c r="M1747" s="274"/>
      <c r="P1747" s="264"/>
      <c r="Q1747" s="264"/>
      <c r="R1747" s="264"/>
      <c r="S1747" s="264"/>
      <c r="T1747" s="1056"/>
      <c r="U1747" s="1056"/>
      <c r="V1747" s="1056"/>
      <c r="W1747" s="1056"/>
      <c r="X1747" s="1056"/>
      <c r="Y1747" s="1056"/>
      <c r="Z1747" s="1056"/>
      <c r="AA1747" s="1056"/>
      <c r="AB1747" s="1056"/>
      <c r="AC1747" s="1056"/>
      <c r="AD1747" s="1056"/>
      <c r="AE1747" s="1056"/>
      <c r="AF1747" s="264"/>
    </row>
    <row r="1748" spans="1:32" s="268" customFormat="1" ht="15" x14ac:dyDescent="0.25">
      <c r="A1748" s="264"/>
      <c r="B1748" s="264"/>
      <c r="C1748" s="1056"/>
      <c r="D1748" s="1056"/>
      <c r="E1748" s="1056"/>
      <c r="F1748" s="1056"/>
      <c r="G1748" s="1056"/>
      <c r="H1748" s="1056"/>
      <c r="I1748" s="1056"/>
      <c r="J1748" s="1056"/>
      <c r="K1748" s="1056"/>
      <c r="L1748" s="1056"/>
      <c r="M1748" s="274"/>
      <c r="P1748" s="264"/>
      <c r="Q1748" s="264"/>
      <c r="R1748" s="264"/>
      <c r="S1748" s="264"/>
      <c r="T1748" s="1056"/>
      <c r="U1748" s="1056"/>
      <c r="V1748" s="1056"/>
      <c r="W1748" s="1056"/>
      <c r="X1748" s="1056"/>
      <c r="Y1748" s="1056"/>
      <c r="Z1748" s="1056"/>
      <c r="AA1748" s="1056"/>
      <c r="AB1748" s="1056"/>
      <c r="AC1748" s="1056"/>
      <c r="AD1748" s="1056"/>
      <c r="AE1748" s="1056"/>
      <c r="AF1748" s="264"/>
    </row>
    <row r="1749" spans="1:32" s="268" customFormat="1" ht="15" x14ac:dyDescent="0.25">
      <c r="A1749" s="264"/>
      <c r="B1749" s="264"/>
      <c r="C1749" s="1056"/>
      <c r="D1749" s="1056"/>
      <c r="E1749" s="1056"/>
      <c r="F1749" s="1056"/>
      <c r="G1749" s="1056"/>
      <c r="H1749" s="1056"/>
      <c r="I1749" s="1056"/>
      <c r="J1749" s="1056"/>
      <c r="K1749" s="1056"/>
      <c r="L1749" s="1056"/>
      <c r="M1749" s="274"/>
      <c r="P1749" s="264"/>
      <c r="Q1749" s="264"/>
      <c r="R1749" s="264"/>
      <c r="S1749" s="264"/>
      <c r="T1749" s="1056"/>
      <c r="U1749" s="1056"/>
      <c r="V1749" s="1056"/>
      <c r="W1749" s="1056"/>
      <c r="X1749" s="1056"/>
      <c r="Y1749" s="1056"/>
      <c r="Z1749" s="1056"/>
      <c r="AA1749" s="1056"/>
      <c r="AB1749" s="1056"/>
      <c r="AC1749" s="1056"/>
      <c r="AD1749" s="1056"/>
      <c r="AE1749" s="1056"/>
      <c r="AF1749" s="264"/>
    </row>
    <row r="1750" spans="1:32" s="268" customFormat="1" ht="15" x14ac:dyDescent="0.25">
      <c r="A1750" s="264"/>
      <c r="B1750" s="264"/>
      <c r="C1750" s="1056"/>
      <c r="D1750" s="1056"/>
      <c r="E1750" s="1056"/>
      <c r="F1750" s="1056"/>
      <c r="G1750" s="1056"/>
      <c r="H1750" s="1056"/>
      <c r="I1750" s="1056"/>
      <c r="J1750" s="1056"/>
      <c r="K1750" s="1056"/>
      <c r="L1750" s="1056"/>
      <c r="M1750" s="274"/>
      <c r="P1750" s="264"/>
      <c r="Q1750" s="264"/>
      <c r="R1750" s="264"/>
      <c r="S1750" s="264"/>
      <c r="T1750" s="1056"/>
      <c r="U1750" s="1056"/>
      <c r="V1750" s="1056"/>
      <c r="W1750" s="1056"/>
      <c r="X1750" s="1056"/>
      <c r="Y1750" s="1056"/>
      <c r="Z1750" s="1056"/>
      <c r="AA1750" s="1056"/>
      <c r="AB1750" s="1056"/>
      <c r="AC1750" s="1056"/>
      <c r="AD1750" s="1056"/>
      <c r="AE1750" s="1056"/>
      <c r="AF1750" s="264"/>
    </row>
    <row r="1751" spans="1:32" s="268" customFormat="1" ht="15" x14ac:dyDescent="0.25">
      <c r="A1751" s="264"/>
      <c r="B1751" s="264"/>
      <c r="C1751" s="1056"/>
      <c r="D1751" s="1056"/>
      <c r="E1751" s="1056"/>
      <c r="F1751" s="1056"/>
      <c r="G1751" s="1056"/>
      <c r="H1751" s="1056"/>
      <c r="I1751" s="1056"/>
      <c r="J1751" s="1056"/>
      <c r="K1751" s="1056"/>
      <c r="L1751" s="1056"/>
      <c r="M1751" s="274"/>
      <c r="P1751" s="264"/>
      <c r="Q1751" s="264"/>
      <c r="R1751" s="264"/>
      <c r="S1751" s="264"/>
      <c r="T1751" s="1056"/>
      <c r="U1751" s="1056"/>
      <c r="V1751" s="1056"/>
      <c r="W1751" s="1056"/>
      <c r="X1751" s="1056"/>
      <c r="Y1751" s="1056"/>
      <c r="Z1751" s="1056"/>
      <c r="AA1751" s="1056"/>
      <c r="AB1751" s="1056"/>
      <c r="AC1751" s="1056"/>
      <c r="AD1751" s="1056"/>
      <c r="AE1751" s="1056"/>
      <c r="AF1751" s="264"/>
    </row>
    <row r="1752" spans="1:32" s="268" customFormat="1" ht="15" x14ac:dyDescent="0.25">
      <c r="A1752" s="264"/>
      <c r="B1752" s="264"/>
      <c r="C1752" s="1056"/>
      <c r="D1752" s="1056"/>
      <c r="E1752" s="1056"/>
      <c r="F1752" s="1056"/>
      <c r="G1752" s="1056"/>
      <c r="H1752" s="1056"/>
      <c r="I1752" s="1056"/>
      <c r="J1752" s="1056"/>
      <c r="K1752" s="1056"/>
      <c r="L1752" s="1056"/>
      <c r="M1752" s="274"/>
      <c r="P1752" s="264"/>
      <c r="Q1752" s="264"/>
      <c r="R1752" s="264"/>
      <c r="S1752" s="264"/>
      <c r="T1752" s="1056"/>
      <c r="U1752" s="1056"/>
      <c r="V1752" s="1056"/>
      <c r="W1752" s="1056"/>
      <c r="X1752" s="1056"/>
      <c r="Y1752" s="1056"/>
      <c r="Z1752" s="1056"/>
      <c r="AA1752" s="1056"/>
      <c r="AB1752" s="1056"/>
      <c r="AC1752" s="1056"/>
      <c r="AD1752" s="1056"/>
      <c r="AE1752" s="1056"/>
      <c r="AF1752" s="264"/>
    </row>
    <row r="1753" spans="1:32" s="268" customFormat="1" ht="15" x14ac:dyDescent="0.25">
      <c r="A1753" s="264"/>
      <c r="B1753" s="264"/>
      <c r="C1753" s="1056"/>
      <c r="D1753" s="1056"/>
      <c r="E1753" s="1056"/>
      <c r="F1753" s="1056"/>
      <c r="G1753" s="1056"/>
      <c r="H1753" s="1056"/>
      <c r="I1753" s="1056"/>
      <c r="J1753" s="1056"/>
      <c r="K1753" s="1056"/>
      <c r="L1753" s="1056"/>
      <c r="M1753" s="274"/>
      <c r="P1753" s="264"/>
      <c r="Q1753" s="264"/>
      <c r="R1753" s="264"/>
      <c r="S1753" s="264"/>
      <c r="T1753" s="1056"/>
      <c r="U1753" s="1056"/>
      <c r="V1753" s="1056"/>
      <c r="W1753" s="1056"/>
      <c r="X1753" s="1056"/>
      <c r="Y1753" s="1056"/>
      <c r="Z1753" s="1056"/>
      <c r="AA1753" s="1056"/>
      <c r="AB1753" s="1056"/>
      <c r="AC1753" s="1056"/>
      <c r="AD1753" s="1056"/>
      <c r="AE1753" s="1056"/>
      <c r="AF1753" s="264"/>
    </row>
    <row r="1754" spans="1:32" s="268" customFormat="1" ht="15" x14ac:dyDescent="0.25">
      <c r="A1754" s="264"/>
      <c r="B1754" s="264"/>
      <c r="C1754" s="1056"/>
      <c r="D1754" s="1056"/>
      <c r="E1754" s="1056"/>
      <c r="F1754" s="1056"/>
      <c r="G1754" s="1056"/>
      <c r="H1754" s="1056"/>
      <c r="I1754" s="1056"/>
      <c r="J1754" s="1056"/>
      <c r="K1754" s="1056"/>
      <c r="L1754" s="1056"/>
      <c r="M1754" s="274"/>
      <c r="P1754" s="264"/>
      <c r="Q1754" s="264"/>
      <c r="R1754" s="264"/>
      <c r="S1754" s="264"/>
      <c r="T1754" s="1056"/>
      <c r="U1754" s="1056"/>
      <c r="V1754" s="1056"/>
      <c r="W1754" s="1056"/>
      <c r="X1754" s="1056"/>
      <c r="Y1754" s="1056"/>
      <c r="Z1754" s="1056"/>
      <c r="AA1754" s="1056"/>
      <c r="AB1754" s="1056"/>
      <c r="AC1754" s="1056"/>
      <c r="AD1754" s="1056"/>
      <c r="AE1754" s="1056"/>
      <c r="AF1754" s="264"/>
    </row>
    <row r="1755" spans="1:32" s="268" customFormat="1" ht="15" x14ac:dyDescent="0.25">
      <c r="A1755" s="264"/>
      <c r="B1755" s="264"/>
      <c r="C1755" s="1056"/>
      <c r="D1755" s="1056"/>
      <c r="E1755" s="1056"/>
      <c r="F1755" s="1056"/>
      <c r="G1755" s="1056"/>
      <c r="H1755" s="1056"/>
      <c r="I1755" s="1056"/>
      <c r="J1755" s="1056"/>
      <c r="K1755" s="1056"/>
      <c r="L1755" s="1056"/>
      <c r="M1755" s="274"/>
      <c r="P1755" s="264"/>
      <c r="Q1755" s="264"/>
      <c r="R1755" s="264"/>
      <c r="S1755" s="264"/>
      <c r="T1755" s="1056"/>
      <c r="U1755" s="1056"/>
      <c r="V1755" s="1056"/>
      <c r="W1755" s="1056"/>
      <c r="X1755" s="1056"/>
      <c r="Y1755" s="1056"/>
      <c r="Z1755" s="1056"/>
      <c r="AA1755" s="1056"/>
      <c r="AB1755" s="1056"/>
      <c r="AC1755" s="1056"/>
      <c r="AD1755" s="1056"/>
      <c r="AE1755" s="1056"/>
      <c r="AF1755" s="264"/>
    </row>
    <row r="1756" spans="1:32" s="268" customFormat="1" ht="15" x14ac:dyDescent="0.25">
      <c r="A1756" s="264"/>
      <c r="B1756" s="264"/>
      <c r="C1756" s="1056"/>
      <c r="D1756" s="1056"/>
      <c r="E1756" s="1056"/>
      <c r="F1756" s="1056"/>
      <c r="G1756" s="1056"/>
      <c r="H1756" s="1056"/>
      <c r="I1756" s="1056"/>
      <c r="J1756" s="1056"/>
      <c r="K1756" s="1056"/>
      <c r="L1756" s="1056"/>
      <c r="M1756" s="274"/>
      <c r="P1756" s="264"/>
      <c r="Q1756" s="264"/>
      <c r="R1756" s="264"/>
      <c r="S1756" s="264"/>
      <c r="T1756" s="1056"/>
      <c r="U1756" s="1056"/>
      <c r="V1756" s="1056"/>
      <c r="W1756" s="1056"/>
      <c r="X1756" s="1056"/>
      <c r="Y1756" s="1056"/>
      <c r="Z1756" s="1056"/>
      <c r="AA1756" s="1056"/>
      <c r="AB1756" s="1056"/>
      <c r="AC1756" s="1056"/>
      <c r="AD1756" s="1056"/>
      <c r="AE1756" s="1056"/>
      <c r="AF1756" s="264"/>
    </row>
    <row r="1757" spans="1:32" s="268" customFormat="1" ht="15" x14ac:dyDescent="0.25">
      <c r="A1757" s="264"/>
      <c r="B1757" s="264"/>
      <c r="C1757" s="1056"/>
      <c r="D1757" s="1056"/>
      <c r="E1757" s="1056"/>
      <c r="F1757" s="1056"/>
      <c r="G1757" s="1056"/>
      <c r="H1757" s="1056"/>
      <c r="I1757" s="1056"/>
      <c r="J1757" s="1056"/>
      <c r="K1757" s="1056"/>
      <c r="L1757" s="1056"/>
      <c r="M1757" s="274"/>
      <c r="P1757" s="264"/>
      <c r="Q1757" s="264"/>
      <c r="R1757" s="264"/>
      <c r="S1757" s="264"/>
      <c r="T1757" s="1056"/>
      <c r="U1757" s="1056"/>
      <c r="V1757" s="1056"/>
      <c r="W1757" s="1056"/>
      <c r="X1757" s="1056"/>
      <c r="Y1757" s="1056"/>
      <c r="Z1757" s="1056"/>
      <c r="AA1757" s="1056"/>
      <c r="AB1757" s="1056"/>
      <c r="AC1757" s="1056"/>
      <c r="AD1757" s="1056"/>
      <c r="AE1757" s="1056"/>
      <c r="AF1757" s="264"/>
    </row>
    <row r="1758" spans="1:32" s="268" customFormat="1" ht="15" x14ac:dyDescent="0.25">
      <c r="A1758" s="264"/>
      <c r="B1758" s="264"/>
      <c r="C1758" s="1056"/>
      <c r="D1758" s="1056"/>
      <c r="E1758" s="1056"/>
      <c r="F1758" s="1056"/>
      <c r="G1758" s="1056"/>
      <c r="H1758" s="1056"/>
      <c r="I1758" s="1056"/>
      <c r="J1758" s="1056"/>
      <c r="K1758" s="1056"/>
      <c r="L1758" s="1056"/>
      <c r="M1758" s="274"/>
      <c r="P1758" s="264"/>
      <c r="Q1758" s="264"/>
      <c r="R1758" s="264"/>
      <c r="S1758" s="264"/>
      <c r="T1758" s="1056"/>
      <c r="U1758" s="1056"/>
      <c r="V1758" s="1056"/>
      <c r="W1758" s="1056"/>
      <c r="X1758" s="1056"/>
      <c r="Y1758" s="1056"/>
      <c r="Z1758" s="1056"/>
      <c r="AA1758" s="1056"/>
      <c r="AB1758" s="1056"/>
      <c r="AC1758" s="1056"/>
      <c r="AD1758" s="1056"/>
      <c r="AE1758" s="1056"/>
      <c r="AF1758" s="264"/>
    </row>
    <row r="1759" spans="1:32" s="268" customFormat="1" ht="15" x14ac:dyDescent="0.25">
      <c r="A1759" s="264"/>
      <c r="B1759" s="264"/>
      <c r="C1759" s="1056"/>
      <c r="D1759" s="1056"/>
      <c r="E1759" s="1056"/>
      <c r="F1759" s="1056"/>
      <c r="G1759" s="1056"/>
      <c r="H1759" s="1056"/>
      <c r="I1759" s="1056"/>
      <c r="J1759" s="1056"/>
      <c r="K1759" s="1056"/>
      <c r="L1759" s="1056"/>
      <c r="M1759" s="274"/>
      <c r="P1759" s="264"/>
      <c r="Q1759" s="264"/>
      <c r="R1759" s="264"/>
      <c r="S1759" s="264"/>
      <c r="T1759" s="1056"/>
      <c r="U1759" s="1056"/>
      <c r="V1759" s="1056"/>
      <c r="W1759" s="1056"/>
      <c r="X1759" s="1056"/>
      <c r="Y1759" s="1056"/>
      <c r="Z1759" s="1056"/>
      <c r="AA1759" s="1056"/>
      <c r="AB1759" s="1056"/>
      <c r="AC1759" s="1056"/>
      <c r="AD1759" s="1056"/>
      <c r="AE1759" s="1056"/>
      <c r="AF1759" s="264"/>
    </row>
    <row r="1760" spans="1:32" s="268" customFormat="1" ht="15" x14ac:dyDescent="0.25">
      <c r="A1760" s="264"/>
      <c r="B1760" s="264"/>
      <c r="C1760" s="1056"/>
      <c r="D1760" s="1056"/>
      <c r="E1760" s="1056"/>
      <c r="F1760" s="1056"/>
      <c r="G1760" s="1056"/>
      <c r="H1760" s="1056"/>
      <c r="I1760" s="1056"/>
      <c r="J1760" s="1056"/>
      <c r="K1760" s="1056"/>
      <c r="L1760" s="1056"/>
      <c r="M1760" s="274"/>
      <c r="P1760" s="264"/>
      <c r="Q1760" s="264"/>
      <c r="R1760" s="264"/>
      <c r="S1760" s="264"/>
      <c r="T1760" s="1056"/>
      <c r="U1760" s="1056"/>
      <c r="V1760" s="1056"/>
      <c r="W1760" s="1056"/>
      <c r="X1760" s="1056"/>
      <c r="Y1760" s="1056"/>
      <c r="Z1760" s="1056"/>
      <c r="AA1760" s="1056"/>
      <c r="AB1760" s="1056"/>
      <c r="AC1760" s="1056"/>
      <c r="AD1760" s="1056"/>
      <c r="AE1760" s="1056"/>
      <c r="AF1760" s="264"/>
    </row>
    <row r="1761" spans="1:32" s="268" customFormat="1" ht="15" x14ac:dyDescent="0.25">
      <c r="A1761" s="264"/>
      <c r="B1761" s="264"/>
      <c r="C1761" s="1056"/>
      <c r="D1761" s="1056"/>
      <c r="E1761" s="1056"/>
      <c r="F1761" s="1056"/>
      <c r="G1761" s="1056"/>
      <c r="H1761" s="1056"/>
      <c r="I1761" s="1056"/>
      <c r="J1761" s="1056"/>
      <c r="K1761" s="1056"/>
      <c r="L1761" s="1056"/>
      <c r="M1761" s="274"/>
      <c r="P1761" s="264"/>
      <c r="Q1761" s="264"/>
      <c r="R1761" s="264"/>
      <c r="S1761" s="264"/>
      <c r="T1761" s="1056"/>
      <c r="U1761" s="1056"/>
      <c r="V1761" s="1056"/>
      <c r="W1761" s="1056"/>
      <c r="X1761" s="1056"/>
      <c r="Y1761" s="1056"/>
      <c r="Z1761" s="1056"/>
      <c r="AA1761" s="1056"/>
      <c r="AB1761" s="1056"/>
      <c r="AC1761" s="1056"/>
      <c r="AD1761" s="1056"/>
      <c r="AE1761" s="1056"/>
      <c r="AF1761" s="264"/>
    </row>
    <row r="1762" spans="1:32" s="268" customFormat="1" ht="15" x14ac:dyDescent="0.25">
      <c r="A1762" s="264"/>
      <c r="B1762" s="264"/>
      <c r="C1762" s="1056"/>
      <c r="D1762" s="1056"/>
      <c r="E1762" s="1056"/>
      <c r="F1762" s="1056"/>
      <c r="G1762" s="1056"/>
      <c r="H1762" s="1056"/>
      <c r="I1762" s="1056"/>
      <c r="J1762" s="1056"/>
      <c r="K1762" s="1056"/>
      <c r="L1762" s="1056"/>
      <c r="M1762" s="274"/>
      <c r="P1762" s="264"/>
      <c r="Q1762" s="264"/>
      <c r="R1762" s="264"/>
      <c r="S1762" s="264"/>
      <c r="T1762" s="1056"/>
      <c r="U1762" s="1056"/>
      <c r="V1762" s="1056"/>
      <c r="W1762" s="1056"/>
      <c r="X1762" s="1056"/>
      <c r="Y1762" s="1056"/>
      <c r="Z1762" s="1056"/>
      <c r="AA1762" s="1056"/>
      <c r="AB1762" s="1056"/>
      <c r="AC1762" s="1056"/>
      <c r="AD1762" s="1056"/>
      <c r="AE1762" s="1056"/>
      <c r="AF1762" s="264"/>
    </row>
    <row r="1763" spans="1:32" s="268" customFormat="1" ht="15" x14ac:dyDescent="0.25">
      <c r="A1763" s="264"/>
      <c r="B1763" s="264"/>
      <c r="C1763" s="1056"/>
      <c r="D1763" s="1056"/>
      <c r="E1763" s="1056"/>
      <c r="F1763" s="1056"/>
      <c r="G1763" s="1056"/>
      <c r="H1763" s="1056"/>
      <c r="I1763" s="1056"/>
      <c r="J1763" s="1056"/>
      <c r="K1763" s="1056"/>
      <c r="L1763" s="1056"/>
      <c r="M1763" s="274"/>
      <c r="P1763" s="264"/>
      <c r="Q1763" s="264"/>
      <c r="R1763" s="264"/>
      <c r="S1763" s="264"/>
      <c r="T1763" s="1056"/>
      <c r="U1763" s="1056"/>
      <c r="V1763" s="1056"/>
      <c r="W1763" s="1056"/>
      <c r="X1763" s="1056"/>
      <c r="Y1763" s="1056"/>
      <c r="Z1763" s="1056"/>
      <c r="AA1763" s="1056"/>
      <c r="AB1763" s="1056"/>
      <c r="AC1763" s="1056"/>
      <c r="AD1763" s="1056"/>
      <c r="AE1763" s="1056"/>
      <c r="AF1763" s="264"/>
    </row>
    <row r="1764" spans="1:32" s="268" customFormat="1" ht="15" x14ac:dyDescent="0.25">
      <c r="A1764" s="264"/>
      <c r="B1764" s="264"/>
      <c r="C1764" s="1056"/>
      <c r="D1764" s="1056"/>
      <c r="E1764" s="1056"/>
      <c r="F1764" s="1056"/>
      <c r="G1764" s="1056"/>
      <c r="H1764" s="1056"/>
      <c r="I1764" s="1056"/>
      <c r="J1764" s="1056"/>
      <c r="K1764" s="1056"/>
      <c r="L1764" s="1056"/>
      <c r="M1764" s="274"/>
      <c r="P1764" s="264"/>
      <c r="Q1764" s="264"/>
      <c r="R1764" s="264"/>
      <c r="S1764" s="264"/>
      <c r="T1764" s="1056"/>
      <c r="U1764" s="1056"/>
      <c r="V1764" s="1056"/>
      <c r="W1764" s="1056"/>
      <c r="X1764" s="1056"/>
      <c r="Y1764" s="1056"/>
      <c r="Z1764" s="1056"/>
      <c r="AA1764" s="1056"/>
      <c r="AB1764" s="1056"/>
      <c r="AC1764" s="1056"/>
      <c r="AD1764" s="1056"/>
      <c r="AE1764" s="1056"/>
      <c r="AF1764" s="264"/>
    </row>
    <row r="1765" spans="1:32" s="268" customFormat="1" ht="15" x14ac:dyDescent="0.25">
      <c r="A1765" s="264"/>
      <c r="B1765" s="264"/>
      <c r="C1765" s="1056"/>
      <c r="D1765" s="1056"/>
      <c r="E1765" s="1056"/>
      <c r="F1765" s="1056"/>
      <c r="G1765" s="1056"/>
      <c r="H1765" s="1056"/>
      <c r="I1765" s="1056"/>
      <c r="J1765" s="1056"/>
      <c r="K1765" s="1056"/>
      <c r="L1765" s="1056"/>
      <c r="M1765" s="274"/>
      <c r="P1765" s="264"/>
      <c r="Q1765" s="264"/>
      <c r="R1765" s="264"/>
      <c r="S1765" s="264"/>
      <c r="T1765" s="1056"/>
      <c r="U1765" s="1056"/>
      <c r="V1765" s="1056"/>
      <c r="W1765" s="1056"/>
      <c r="X1765" s="1056"/>
      <c r="Y1765" s="1056"/>
      <c r="Z1765" s="1056"/>
      <c r="AA1765" s="1056"/>
      <c r="AB1765" s="1056"/>
      <c r="AC1765" s="1056"/>
      <c r="AD1765" s="1056"/>
      <c r="AE1765" s="1056"/>
      <c r="AF1765" s="264"/>
    </row>
    <row r="1766" spans="1:32" s="268" customFormat="1" ht="15" x14ac:dyDescent="0.25">
      <c r="A1766" s="264"/>
      <c r="B1766" s="264"/>
      <c r="C1766" s="1056"/>
      <c r="D1766" s="1056"/>
      <c r="E1766" s="1056"/>
      <c r="F1766" s="1056"/>
      <c r="G1766" s="1056"/>
      <c r="H1766" s="1056"/>
      <c r="I1766" s="1056"/>
      <c r="J1766" s="1056"/>
      <c r="K1766" s="1056"/>
      <c r="L1766" s="1056"/>
      <c r="M1766" s="274"/>
      <c r="P1766" s="264"/>
      <c r="Q1766" s="264"/>
      <c r="R1766" s="264"/>
      <c r="S1766" s="264"/>
      <c r="T1766" s="1056"/>
      <c r="U1766" s="1056"/>
      <c r="V1766" s="1056"/>
      <c r="W1766" s="1056"/>
      <c r="X1766" s="1056"/>
      <c r="Y1766" s="1056"/>
      <c r="Z1766" s="1056"/>
      <c r="AA1766" s="1056"/>
      <c r="AB1766" s="1056"/>
      <c r="AC1766" s="1056"/>
      <c r="AD1766" s="1056"/>
      <c r="AE1766" s="1056"/>
      <c r="AF1766" s="264"/>
    </row>
    <row r="1767" spans="1:32" s="268" customFormat="1" ht="15" x14ac:dyDescent="0.25">
      <c r="A1767" s="264"/>
      <c r="B1767" s="264"/>
      <c r="C1767" s="1056"/>
      <c r="D1767" s="1056"/>
      <c r="E1767" s="1056"/>
      <c r="F1767" s="1056"/>
      <c r="G1767" s="1056"/>
      <c r="H1767" s="1056"/>
      <c r="I1767" s="1056"/>
      <c r="J1767" s="1056"/>
      <c r="K1767" s="1056"/>
      <c r="L1767" s="1056"/>
      <c r="M1767" s="274"/>
      <c r="P1767" s="264"/>
      <c r="Q1767" s="264"/>
      <c r="R1767" s="264"/>
      <c r="S1767" s="264"/>
      <c r="T1767" s="1056"/>
      <c r="U1767" s="1056"/>
      <c r="V1767" s="1056"/>
      <c r="W1767" s="1056"/>
      <c r="X1767" s="1056"/>
      <c r="Y1767" s="1056"/>
      <c r="Z1767" s="1056"/>
      <c r="AA1767" s="1056"/>
      <c r="AB1767" s="1056"/>
      <c r="AC1767" s="1056"/>
      <c r="AD1767" s="1056"/>
      <c r="AE1767" s="1056"/>
      <c r="AF1767" s="264"/>
    </row>
    <row r="1768" spans="1:32" s="268" customFormat="1" ht="15" x14ac:dyDescent="0.25">
      <c r="A1768" s="264"/>
      <c r="B1768" s="264"/>
      <c r="C1768" s="1056"/>
      <c r="D1768" s="1056"/>
      <c r="E1768" s="1056"/>
      <c r="F1768" s="1056"/>
      <c r="G1768" s="1056"/>
      <c r="H1768" s="1056"/>
      <c r="I1768" s="1056"/>
      <c r="J1768" s="1056"/>
      <c r="K1768" s="1056"/>
      <c r="L1768" s="1056"/>
      <c r="M1768" s="274"/>
      <c r="P1768" s="264"/>
      <c r="Q1768" s="264"/>
      <c r="R1768" s="264"/>
      <c r="S1768" s="264"/>
      <c r="T1768" s="1056"/>
      <c r="U1768" s="1056"/>
      <c r="V1768" s="1056"/>
      <c r="W1768" s="1056"/>
      <c r="X1768" s="1056"/>
      <c r="Y1768" s="1056"/>
      <c r="Z1768" s="1056"/>
      <c r="AA1768" s="1056"/>
      <c r="AB1768" s="1056"/>
      <c r="AC1768" s="1056"/>
      <c r="AD1768" s="1056"/>
      <c r="AE1768" s="1056"/>
      <c r="AF1768" s="264"/>
    </row>
    <row r="1769" spans="1:32" s="268" customFormat="1" ht="15" x14ac:dyDescent="0.25">
      <c r="A1769" s="264"/>
      <c r="B1769" s="264"/>
      <c r="C1769" s="1056"/>
      <c r="D1769" s="1056"/>
      <c r="E1769" s="1056"/>
      <c r="F1769" s="1056"/>
      <c r="G1769" s="1056"/>
      <c r="H1769" s="1056"/>
      <c r="I1769" s="1056"/>
      <c r="J1769" s="1056"/>
      <c r="K1769" s="1056"/>
      <c r="L1769" s="1056"/>
      <c r="M1769" s="274"/>
      <c r="P1769" s="264"/>
      <c r="Q1769" s="264"/>
      <c r="R1769" s="264"/>
      <c r="S1769" s="264"/>
      <c r="T1769" s="1056"/>
      <c r="U1769" s="1056"/>
      <c r="V1769" s="1056"/>
      <c r="W1769" s="1056"/>
      <c r="X1769" s="1056"/>
      <c r="Y1769" s="1056"/>
      <c r="Z1769" s="1056"/>
      <c r="AA1769" s="1056"/>
      <c r="AB1769" s="1056"/>
      <c r="AC1769" s="1056"/>
      <c r="AD1769" s="1056"/>
      <c r="AE1769" s="1056"/>
      <c r="AF1769" s="264"/>
    </row>
    <row r="1770" spans="1:32" s="268" customFormat="1" ht="15" x14ac:dyDescent="0.25">
      <c r="A1770" s="264"/>
      <c r="B1770" s="264"/>
      <c r="C1770" s="1056"/>
      <c r="D1770" s="1056"/>
      <c r="E1770" s="1056"/>
      <c r="F1770" s="1056"/>
      <c r="G1770" s="1056"/>
      <c r="H1770" s="1056"/>
      <c r="I1770" s="1056"/>
      <c r="J1770" s="1056"/>
      <c r="K1770" s="1056"/>
      <c r="L1770" s="1056"/>
      <c r="M1770" s="274"/>
      <c r="P1770" s="264"/>
      <c r="Q1770" s="264"/>
      <c r="R1770" s="264"/>
      <c r="S1770" s="264"/>
      <c r="T1770" s="1056"/>
      <c r="U1770" s="1056"/>
      <c r="V1770" s="1056"/>
      <c r="W1770" s="1056"/>
      <c r="X1770" s="1056"/>
      <c r="Y1770" s="1056"/>
      <c r="Z1770" s="1056"/>
      <c r="AA1770" s="1056"/>
      <c r="AB1770" s="1056"/>
      <c r="AC1770" s="1056"/>
      <c r="AD1770" s="1056"/>
      <c r="AE1770" s="1056"/>
      <c r="AF1770" s="264"/>
    </row>
    <row r="1771" spans="1:32" s="268" customFormat="1" ht="15" x14ac:dyDescent="0.25">
      <c r="A1771" s="264"/>
      <c r="B1771" s="264"/>
      <c r="C1771" s="1056"/>
      <c r="D1771" s="1056"/>
      <c r="E1771" s="1056"/>
      <c r="F1771" s="1056"/>
      <c r="G1771" s="1056"/>
      <c r="H1771" s="1056"/>
      <c r="I1771" s="1056"/>
      <c r="J1771" s="1056"/>
      <c r="K1771" s="1056"/>
      <c r="L1771" s="1056"/>
      <c r="M1771" s="274"/>
      <c r="P1771" s="264"/>
      <c r="Q1771" s="264"/>
      <c r="R1771" s="264"/>
      <c r="S1771" s="264"/>
      <c r="T1771" s="1056"/>
      <c r="U1771" s="1056"/>
      <c r="V1771" s="1056"/>
      <c r="W1771" s="1056"/>
      <c r="X1771" s="1056"/>
      <c r="Y1771" s="1056"/>
      <c r="Z1771" s="1056"/>
      <c r="AA1771" s="1056"/>
      <c r="AB1771" s="1056"/>
      <c r="AC1771" s="1056"/>
      <c r="AD1771" s="1056"/>
      <c r="AE1771" s="1056"/>
      <c r="AF1771" s="264"/>
    </row>
    <row r="1772" spans="1:32" s="268" customFormat="1" ht="15" x14ac:dyDescent="0.25">
      <c r="A1772" s="264"/>
      <c r="B1772" s="264"/>
      <c r="C1772" s="1056"/>
      <c r="D1772" s="1056"/>
      <c r="E1772" s="1056"/>
      <c r="F1772" s="1056"/>
      <c r="G1772" s="1056"/>
      <c r="H1772" s="1056"/>
      <c r="I1772" s="1056"/>
      <c r="J1772" s="1056"/>
      <c r="K1772" s="1056"/>
      <c r="L1772" s="1056"/>
      <c r="M1772" s="274"/>
      <c r="P1772" s="264"/>
      <c r="Q1772" s="264"/>
      <c r="R1772" s="264"/>
      <c r="S1772" s="264"/>
      <c r="T1772" s="1056"/>
      <c r="U1772" s="1056"/>
      <c r="V1772" s="1056"/>
      <c r="W1772" s="1056"/>
      <c r="X1772" s="1056"/>
      <c r="Y1772" s="1056"/>
      <c r="Z1772" s="1056"/>
      <c r="AA1772" s="1056"/>
      <c r="AB1772" s="1056"/>
      <c r="AC1772" s="1056"/>
      <c r="AD1772" s="1056"/>
      <c r="AE1772" s="1056"/>
      <c r="AF1772" s="264"/>
    </row>
    <row r="1773" spans="1:32" s="268" customFormat="1" ht="15" x14ac:dyDescent="0.25">
      <c r="A1773" s="264"/>
      <c r="B1773" s="264"/>
      <c r="C1773" s="1056"/>
      <c r="D1773" s="1056"/>
      <c r="E1773" s="1056"/>
      <c r="F1773" s="1056"/>
      <c r="G1773" s="1056"/>
      <c r="H1773" s="1056"/>
      <c r="I1773" s="1056"/>
      <c r="J1773" s="1056"/>
      <c r="K1773" s="1056"/>
      <c r="L1773" s="1056"/>
      <c r="M1773" s="274"/>
      <c r="P1773" s="264"/>
      <c r="Q1773" s="264"/>
      <c r="R1773" s="264"/>
      <c r="S1773" s="264"/>
      <c r="T1773" s="1056"/>
      <c r="U1773" s="1056"/>
      <c r="V1773" s="1056"/>
      <c r="W1773" s="1056"/>
      <c r="X1773" s="1056"/>
      <c r="Y1773" s="1056"/>
      <c r="Z1773" s="1056"/>
      <c r="AA1773" s="1056"/>
      <c r="AB1773" s="1056"/>
      <c r="AC1773" s="1056"/>
      <c r="AD1773" s="1056"/>
      <c r="AE1773" s="1056"/>
      <c r="AF1773" s="264"/>
    </row>
    <row r="1774" spans="1:32" s="268" customFormat="1" ht="15" x14ac:dyDescent="0.25">
      <c r="A1774" s="264"/>
      <c r="B1774" s="264"/>
      <c r="C1774" s="1056"/>
      <c r="D1774" s="1056"/>
      <c r="E1774" s="1056"/>
      <c r="F1774" s="1056"/>
      <c r="G1774" s="1056"/>
      <c r="H1774" s="1056"/>
      <c r="I1774" s="1056"/>
      <c r="J1774" s="1056"/>
      <c r="K1774" s="1056"/>
      <c r="L1774" s="1056"/>
      <c r="M1774" s="274"/>
      <c r="P1774" s="264"/>
      <c r="Q1774" s="264"/>
      <c r="R1774" s="264"/>
      <c r="S1774" s="264"/>
      <c r="T1774" s="1056"/>
      <c r="U1774" s="1056"/>
      <c r="V1774" s="1056"/>
      <c r="W1774" s="1056"/>
      <c r="X1774" s="1056"/>
      <c r="Y1774" s="1056"/>
      <c r="Z1774" s="1056"/>
      <c r="AA1774" s="1056"/>
      <c r="AB1774" s="1056"/>
      <c r="AC1774" s="1056"/>
      <c r="AD1774" s="1056"/>
      <c r="AE1774" s="1056"/>
      <c r="AF1774" s="264"/>
    </row>
    <row r="1775" spans="1:32" s="268" customFormat="1" ht="15" x14ac:dyDescent="0.25">
      <c r="A1775" s="264"/>
      <c r="B1775" s="264"/>
      <c r="C1775" s="1056"/>
      <c r="D1775" s="1056"/>
      <c r="E1775" s="1056"/>
      <c r="F1775" s="1056"/>
      <c r="G1775" s="1056"/>
      <c r="H1775" s="1056"/>
      <c r="I1775" s="1056"/>
      <c r="J1775" s="1056"/>
      <c r="K1775" s="1056"/>
      <c r="L1775" s="1056"/>
      <c r="M1775" s="274"/>
      <c r="P1775" s="264"/>
      <c r="Q1775" s="264"/>
      <c r="R1775" s="264"/>
      <c r="S1775" s="264"/>
      <c r="T1775" s="1056"/>
      <c r="U1775" s="1056"/>
      <c r="V1775" s="1056"/>
      <c r="W1775" s="1056"/>
      <c r="X1775" s="1056"/>
      <c r="Y1775" s="1056"/>
      <c r="Z1775" s="1056"/>
      <c r="AA1775" s="1056"/>
      <c r="AB1775" s="1056"/>
      <c r="AC1775" s="1056"/>
      <c r="AD1775" s="1056"/>
      <c r="AE1775" s="1056"/>
      <c r="AF1775" s="264"/>
    </row>
    <row r="1776" spans="1:32" s="268" customFormat="1" ht="15" x14ac:dyDescent="0.25">
      <c r="A1776" s="264"/>
      <c r="B1776" s="264"/>
      <c r="C1776" s="1056"/>
      <c r="D1776" s="1056"/>
      <c r="E1776" s="1056"/>
      <c r="F1776" s="1056"/>
      <c r="G1776" s="1056"/>
      <c r="H1776" s="1056"/>
      <c r="I1776" s="1056"/>
      <c r="J1776" s="1056"/>
      <c r="K1776" s="1056"/>
      <c r="L1776" s="1056"/>
      <c r="M1776" s="274"/>
      <c r="P1776" s="264"/>
      <c r="Q1776" s="264"/>
      <c r="R1776" s="264"/>
      <c r="S1776" s="264"/>
      <c r="T1776" s="1056"/>
      <c r="U1776" s="1056"/>
      <c r="V1776" s="1056"/>
      <c r="W1776" s="1056"/>
      <c r="X1776" s="1056"/>
      <c r="Y1776" s="1056"/>
      <c r="Z1776" s="1056"/>
      <c r="AA1776" s="1056"/>
      <c r="AB1776" s="1056"/>
      <c r="AC1776" s="1056"/>
      <c r="AD1776" s="1056"/>
      <c r="AE1776" s="1056"/>
      <c r="AF1776" s="264"/>
    </row>
    <row r="1777" spans="1:32" s="268" customFormat="1" ht="15" x14ac:dyDescent="0.25">
      <c r="A1777" s="264"/>
      <c r="B1777" s="264"/>
      <c r="C1777" s="1056"/>
      <c r="D1777" s="1056"/>
      <c r="E1777" s="1056"/>
      <c r="F1777" s="1056"/>
      <c r="G1777" s="1056"/>
      <c r="H1777" s="1056"/>
      <c r="I1777" s="1056"/>
      <c r="J1777" s="1056"/>
      <c r="K1777" s="1056"/>
      <c r="L1777" s="1056"/>
      <c r="M1777" s="274"/>
      <c r="P1777" s="264"/>
      <c r="Q1777" s="264"/>
      <c r="R1777" s="264"/>
      <c r="S1777" s="264"/>
      <c r="T1777" s="1056"/>
      <c r="U1777" s="1056"/>
      <c r="V1777" s="1056"/>
      <c r="W1777" s="1056"/>
      <c r="X1777" s="1056"/>
      <c r="Y1777" s="1056"/>
      <c r="Z1777" s="1056"/>
      <c r="AA1777" s="1056"/>
      <c r="AB1777" s="1056"/>
      <c r="AC1777" s="1056"/>
      <c r="AD1777" s="1056"/>
      <c r="AE1777" s="1056"/>
      <c r="AF1777" s="264"/>
    </row>
    <row r="1778" spans="1:32" s="268" customFormat="1" ht="15" x14ac:dyDescent="0.25">
      <c r="A1778" s="264"/>
      <c r="B1778" s="264"/>
      <c r="C1778" s="1056"/>
      <c r="D1778" s="1056"/>
      <c r="E1778" s="1056"/>
      <c r="F1778" s="1056"/>
      <c r="G1778" s="1056"/>
      <c r="H1778" s="1056"/>
      <c r="I1778" s="1056"/>
      <c r="J1778" s="1056"/>
      <c r="K1778" s="1056"/>
      <c r="L1778" s="1056"/>
      <c r="M1778" s="274"/>
      <c r="P1778" s="264"/>
      <c r="Q1778" s="264"/>
      <c r="R1778" s="264"/>
      <c r="S1778" s="264"/>
      <c r="T1778" s="1056"/>
      <c r="U1778" s="1056"/>
      <c r="V1778" s="1056"/>
      <c r="W1778" s="1056"/>
      <c r="X1778" s="1056"/>
      <c r="Y1778" s="1056"/>
      <c r="Z1778" s="1056"/>
      <c r="AA1778" s="1056"/>
      <c r="AB1778" s="1056"/>
      <c r="AC1778" s="1056"/>
      <c r="AD1778" s="1056"/>
      <c r="AE1778" s="1056"/>
      <c r="AF1778" s="264"/>
    </row>
    <row r="1779" spans="1:32" s="268" customFormat="1" ht="15" x14ac:dyDescent="0.25">
      <c r="A1779" s="264"/>
      <c r="B1779" s="264"/>
      <c r="C1779" s="1056"/>
      <c r="D1779" s="1056"/>
      <c r="E1779" s="1056"/>
      <c r="F1779" s="1056"/>
      <c r="G1779" s="1056"/>
      <c r="H1779" s="1056"/>
      <c r="I1779" s="1056"/>
      <c r="J1779" s="1056"/>
      <c r="K1779" s="1056"/>
      <c r="L1779" s="1056"/>
      <c r="M1779" s="274"/>
      <c r="P1779" s="264"/>
      <c r="Q1779" s="264"/>
      <c r="R1779" s="264"/>
      <c r="S1779" s="264"/>
      <c r="T1779" s="1056"/>
      <c r="U1779" s="1056"/>
      <c r="V1779" s="1056"/>
      <c r="W1779" s="1056"/>
      <c r="X1779" s="1056"/>
      <c r="Y1779" s="1056"/>
      <c r="Z1779" s="1056"/>
      <c r="AA1779" s="1056"/>
      <c r="AB1779" s="1056"/>
      <c r="AC1779" s="1056"/>
      <c r="AD1779" s="1056"/>
      <c r="AE1779" s="1056"/>
      <c r="AF1779" s="264"/>
    </row>
    <row r="1780" spans="1:32" s="268" customFormat="1" ht="15" x14ac:dyDescent="0.25">
      <c r="A1780" s="264"/>
      <c r="B1780" s="264"/>
      <c r="C1780" s="1056"/>
      <c r="D1780" s="1056"/>
      <c r="E1780" s="1056"/>
      <c r="F1780" s="1056"/>
      <c r="G1780" s="1056"/>
      <c r="H1780" s="1056"/>
      <c r="I1780" s="1056"/>
      <c r="J1780" s="1056"/>
      <c r="K1780" s="1056"/>
      <c r="L1780" s="1056"/>
      <c r="M1780" s="274"/>
      <c r="P1780" s="264"/>
      <c r="Q1780" s="264"/>
      <c r="R1780" s="264"/>
      <c r="S1780" s="264"/>
      <c r="T1780" s="1056"/>
      <c r="U1780" s="1056"/>
      <c r="V1780" s="1056"/>
      <c r="W1780" s="1056"/>
      <c r="X1780" s="1056"/>
      <c r="Y1780" s="1056"/>
      <c r="Z1780" s="1056"/>
      <c r="AA1780" s="1056"/>
      <c r="AB1780" s="1056"/>
      <c r="AC1780" s="1056"/>
      <c r="AD1780" s="1056"/>
      <c r="AE1780" s="1056"/>
      <c r="AF1780" s="264"/>
    </row>
    <row r="1781" spans="1:32" s="268" customFormat="1" ht="15" x14ac:dyDescent="0.25">
      <c r="A1781" s="264"/>
      <c r="B1781" s="264"/>
      <c r="C1781" s="1056"/>
      <c r="D1781" s="1056"/>
      <c r="E1781" s="1056"/>
      <c r="F1781" s="1056"/>
      <c r="G1781" s="1056"/>
      <c r="H1781" s="1056"/>
      <c r="I1781" s="1056"/>
      <c r="J1781" s="1056"/>
      <c r="K1781" s="1056"/>
      <c r="L1781" s="1056"/>
      <c r="M1781" s="274"/>
      <c r="P1781" s="264"/>
      <c r="Q1781" s="264"/>
      <c r="R1781" s="264"/>
      <c r="S1781" s="264"/>
      <c r="T1781" s="1056"/>
      <c r="U1781" s="1056"/>
      <c r="V1781" s="1056"/>
      <c r="W1781" s="1056"/>
      <c r="X1781" s="1056"/>
      <c r="Y1781" s="1056"/>
      <c r="Z1781" s="1056"/>
      <c r="AA1781" s="1056"/>
      <c r="AB1781" s="1056"/>
      <c r="AC1781" s="1056"/>
      <c r="AD1781" s="1056"/>
      <c r="AE1781" s="1056"/>
      <c r="AF1781" s="264"/>
    </row>
    <row r="1782" spans="1:32" s="268" customFormat="1" ht="15" x14ac:dyDescent="0.25">
      <c r="A1782" s="264"/>
      <c r="B1782" s="264"/>
      <c r="C1782" s="1056"/>
      <c r="D1782" s="1056"/>
      <c r="E1782" s="1056"/>
      <c r="F1782" s="1056"/>
      <c r="G1782" s="1056"/>
      <c r="H1782" s="1056"/>
      <c r="I1782" s="1056"/>
      <c r="J1782" s="1056"/>
      <c r="K1782" s="1056"/>
      <c r="L1782" s="1056"/>
      <c r="M1782" s="274"/>
      <c r="P1782" s="264"/>
      <c r="Q1782" s="264"/>
      <c r="R1782" s="264"/>
      <c r="S1782" s="264"/>
      <c r="T1782" s="1056"/>
      <c r="U1782" s="1056"/>
      <c r="V1782" s="1056"/>
      <c r="W1782" s="1056"/>
      <c r="X1782" s="1056"/>
      <c r="Y1782" s="1056"/>
      <c r="Z1782" s="1056"/>
      <c r="AA1782" s="1056"/>
      <c r="AB1782" s="1056"/>
      <c r="AC1782" s="1056"/>
      <c r="AD1782" s="1056"/>
      <c r="AE1782" s="1056"/>
      <c r="AF1782" s="264"/>
    </row>
    <row r="1783" spans="1:32" s="268" customFormat="1" ht="15" x14ac:dyDescent="0.25">
      <c r="A1783" s="264"/>
      <c r="B1783" s="264"/>
      <c r="C1783" s="1056"/>
      <c r="D1783" s="1056"/>
      <c r="E1783" s="1056"/>
      <c r="F1783" s="1056"/>
      <c r="G1783" s="1056"/>
      <c r="H1783" s="1056"/>
      <c r="I1783" s="1056"/>
      <c r="J1783" s="1056"/>
      <c r="K1783" s="1056"/>
      <c r="L1783" s="1056"/>
      <c r="M1783" s="274"/>
      <c r="P1783" s="264"/>
      <c r="Q1783" s="264"/>
      <c r="R1783" s="264"/>
      <c r="S1783" s="264"/>
      <c r="T1783" s="1056"/>
      <c r="U1783" s="1056"/>
      <c r="V1783" s="1056"/>
      <c r="W1783" s="1056"/>
      <c r="X1783" s="1056"/>
      <c r="Y1783" s="1056"/>
      <c r="Z1783" s="1056"/>
      <c r="AA1783" s="1056"/>
      <c r="AB1783" s="1056"/>
      <c r="AC1783" s="1056"/>
      <c r="AD1783" s="1056"/>
      <c r="AE1783" s="1056"/>
      <c r="AF1783" s="264"/>
    </row>
    <row r="1784" spans="1:32" s="268" customFormat="1" ht="15" x14ac:dyDescent="0.25">
      <c r="A1784" s="264"/>
      <c r="B1784" s="264"/>
      <c r="C1784" s="1056"/>
      <c r="D1784" s="1056"/>
      <c r="E1784" s="1056"/>
      <c r="F1784" s="1056"/>
      <c r="G1784" s="1056"/>
      <c r="H1784" s="1056"/>
      <c r="I1784" s="1056"/>
      <c r="J1784" s="1056"/>
      <c r="K1784" s="1056"/>
      <c r="L1784" s="1056"/>
      <c r="M1784" s="274"/>
      <c r="P1784" s="264"/>
      <c r="Q1784" s="264"/>
      <c r="R1784" s="264"/>
      <c r="S1784" s="264"/>
      <c r="T1784" s="1056"/>
      <c r="U1784" s="1056"/>
      <c r="V1784" s="1056"/>
      <c r="W1784" s="1056"/>
      <c r="X1784" s="1056"/>
      <c r="Y1784" s="1056"/>
      <c r="Z1784" s="1056"/>
      <c r="AA1784" s="1056"/>
      <c r="AB1784" s="1056"/>
      <c r="AC1784" s="1056"/>
      <c r="AD1784" s="1056"/>
      <c r="AE1784" s="1056"/>
      <c r="AF1784" s="264"/>
    </row>
    <row r="1785" spans="1:32" s="268" customFormat="1" ht="15" x14ac:dyDescent="0.25">
      <c r="A1785" s="264"/>
      <c r="B1785" s="264"/>
      <c r="C1785" s="1056"/>
      <c r="D1785" s="1056"/>
      <c r="E1785" s="1056"/>
      <c r="F1785" s="1056"/>
      <c r="G1785" s="1056"/>
      <c r="H1785" s="1056"/>
      <c r="I1785" s="1056"/>
      <c r="J1785" s="1056"/>
      <c r="K1785" s="1056"/>
      <c r="L1785" s="1056"/>
      <c r="M1785" s="274"/>
      <c r="P1785" s="264"/>
      <c r="Q1785" s="264"/>
      <c r="R1785" s="264"/>
      <c r="S1785" s="264"/>
      <c r="T1785" s="1056"/>
      <c r="U1785" s="1056"/>
      <c r="V1785" s="1056"/>
      <c r="W1785" s="1056"/>
      <c r="X1785" s="1056"/>
      <c r="Y1785" s="1056"/>
      <c r="Z1785" s="1056"/>
      <c r="AA1785" s="1056"/>
      <c r="AB1785" s="1056"/>
      <c r="AC1785" s="1056"/>
      <c r="AD1785" s="1056"/>
      <c r="AE1785" s="1056"/>
      <c r="AF1785" s="264"/>
    </row>
    <row r="1786" spans="1:32" s="268" customFormat="1" ht="15" x14ac:dyDescent="0.25">
      <c r="A1786" s="264"/>
      <c r="B1786" s="264"/>
      <c r="C1786" s="1056"/>
      <c r="D1786" s="1056"/>
      <c r="E1786" s="1056"/>
      <c r="F1786" s="1056"/>
      <c r="G1786" s="1056"/>
      <c r="H1786" s="1056"/>
      <c r="I1786" s="1056"/>
      <c r="J1786" s="1056"/>
      <c r="K1786" s="1056"/>
      <c r="L1786" s="1056"/>
      <c r="M1786" s="274"/>
      <c r="P1786" s="264"/>
      <c r="Q1786" s="264"/>
      <c r="R1786" s="264"/>
      <c r="S1786" s="264"/>
      <c r="T1786" s="1056"/>
      <c r="U1786" s="1056"/>
      <c r="V1786" s="1056"/>
      <c r="W1786" s="1056"/>
      <c r="X1786" s="1056"/>
      <c r="Y1786" s="1056"/>
      <c r="Z1786" s="1056"/>
      <c r="AA1786" s="1056"/>
      <c r="AB1786" s="1056"/>
      <c r="AC1786" s="1056"/>
      <c r="AD1786" s="1056"/>
      <c r="AE1786" s="1056"/>
      <c r="AF1786" s="264"/>
    </row>
    <row r="1787" spans="1:32" s="268" customFormat="1" ht="15" x14ac:dyDescent="0.25">
      <c r="A1787" s="264"/>
      <c r="B1787" s="264"/>
      <c r="C1787" s="1056"/>
      <c r="D1787" s="1056"/>
      <c r="E1787" s="1056"/>
      <c r="F1787" s="1056"/>
      <c r="G1787" s="1056"/>
      <c r="H1787" s="1056"/>
      <c r="I1787" s="1056"/>
      <c r="J1787" s="1056"/>
      <c r="K1787" s="1056"/>
      <c r="L1787" s="1056"/>
      <c r="M1787" s="274"/>
      <c r="P1787" s="264"/>
      <c r="Q1787" s="264"/>
      <c r="R1787" s="264"/>
      <c r="S1787" s="264"/>
      <c r="T1787" s="1056"/>
      <c r="U1787" s="1056"/>
      <c r="V1787" s="1056"/>
      <c r="W1787" s="1056"/>
      <c r="X1787" s="1056"/>
      <c r="Y1787" s="1056"/>
      <c r="Z1787" s="1056"/>
      <c r="AA1787" s="1056"/>
      <c r="AB1787" s="1056"/>
      <c r="AC1787" s="1056"/>
      <c r="AD1787" s="1056"/>
      <c r="AE1787" s="1056"/>
      <c r="AF1787" s="264"/>
    </row>
    <row r="1788" spans="1:32" s="268" customFormat="1" ht="15" x14ac:dyDescent="0.25">
      <c r="A1788" s="264"/>
      <c r="B1788" s="264"/>
      <c r="C1788" s="1056"/>
      <c r="D1788" s="1056"/>
      <c r="E1788" s="1056"/>
      <c r="F1788" s="1056"/>
      <c r="G1788" s="1056"/>
      <c r="H1788" s="1056"/>
      <c r="I1788" s="1056"/>
      <c r="J1788" s="1056"/>
      <c r="K1788" s="1056"/>
      <c r="L1788" s="1056"/>
      <c r="M1788" s="274"/>
      <c r="P1788" s="264"/>
      <c r="Q1788" s="264"/>
      <c r="R1788" s="264"/>
      <c r="S1788" s="264"/>
      <c r="T1788" s="1056"/>
      <c r="U1788" s="1056"/>
      <c r="V1788" s="1056"/>
      <c r="W1788" s="1056"/>
      <c r="X1788" s="1056"/>
      <c r="Y1788" s="1056"/>
      <c r="Z1788" s="1056"/>
      <c r="AA1788" s="1056"/>
      <c r="AB1788" s="1056"/>
      <c r="AC1788" s="1056"/>
      <c r="AD1788" s="1056"/>
      <c r="AE1788" s="1056"/>
      <c r="AF1788" s="264"/>
    </row>
    <row r="1789" spans="1:32" s="268" customFormat="1" ht="15" x14ac:dyDescent="0.25">
      <c r="A1789" s="264"/>
      <c r="B1789" s="264"/>
      <c r="C1789" s="1056"/>
      <c r="D1789" s="1056"/>
      <c r="E1789" s="1056"/>
      <c r="F1789" s="1056"/>
      <c r="G1789" s="1056"/>
      <c r="H1789" s="1056"/>
      <c r="I1789" s="1056"/>
      <c r="J1789" s="1056"/>
      <c r="K1789" s="1056"/>
      <c r="L1789" s="1056"/>
      <c r="M1789" s="274"/>
      <c r="P1789" s="264"/>
      <c r="Q1789" s="264"/>
      <c r="R1789" s="264"/>
      <c r="S1789" s="264"/>
      <c r="T1789" s="1056"/>
      <c r="U1789" s="1056"/>
      <c r="V1789" s="1056"/>
      <c r="W1789" s="1056"/>
      <c r="X1789" s="1056"/>
      <c r="Y1789" s="1056"/>
      <c r="Z1789" s="1056"/>
      <c r="AA1789" s="1056"/>
      <c r="AB1789" s="1056"/>
      <c r="AC1789" s="1056"/>
      <c r="AD1789" s="1056"/>
      <c r="AE1789" s="1056"/>
      <c r="AF1789" s="264"/>
    </row>
    <row r="1790" spans="1:32" s="268" customFormat="1" ht="15" x14ac:dyDescent="0.25">
      <c r="A1790" s="264"/>
      <c r="B1790" s="264"/>
      <c r="C1790" s="1056"/>
      <c r="D1790" s="1056"/>
      <c r="E1790" s="1056"/>
      <c r="F1790" s="1056"/>
      <c r="G1790" s="1056"/>
      <c r="H1790" s="1056"/>
      <c r="I1790" s="1056"/>
      <c r="J1790" s="1056"/>
      <c r="K1790" s="1056"/>
      <c r="L1790" s="1056"/>
      <c r="M1790" s="274"/>
      <c r="P1790" s="264"/>
      <c r="Q1790" s="264"/>
      <c r="R1790" s="264"/>
      <c r="S1790" s="264"/>
      <c r="T1790" s="1056"/>
      <c r="U1790" s="1056"/>
      <c r="V1790" s="1056"/>
      <c r="W1790" s="1056"/>
      <c r="X1790" s="1056"/>
      <c r="Y1790" s="1056"/>
      <c r="Z1790" s="1056"/>
      <c r="AA1790" s="1056"/>
      <c r="AB1790" s="1056"/>
      <c r="AC1790" s="1056"/>
      <c r="AD1790" s="1056"/>
      <c r="AE1790" s="1056"/>
      <c r="AF1790" s="264"/>
    </row>
    <row r="1791" spans="1:32" s="268" customFormat="1" ht="15" x14ac:dyDescent="0.25">
      <c r="A1791" s="264"/>
      <c r="B1791" s="264"/>
      <c r="C1791" s="1056"/>
      <c r="D1791" s="1056"/>
      <c r="E1791" s="1056"/>
      <c r="F1791" s="1056"/>
      <c r="G1791" s="1056"/>
      <c r="H1791" s="1056"/>
      <c r="I1791" s="1056"/>
      <c r="J1791" s="1056"/>
      <c r="K1791" s="1056"/>
      <c r="L1791" s="1056"/>
      <c r="M1791" s="274"/>
      <c r="P1791" s="264"/>
      <c r="Q1791" s="264"/>
      <c r="R1791" s="264"/>
      <c r="S1791" s="264"/>
      <c r="T1791" s="1056"/>
      <c r="U1791" s="1056"/>
      <c r="V1791" s="1056"/>
      <c r="W1791" s="1056"/>
      <c r="X1791" s="1056"/>
      <c r="Y1791" s="1056"/>
      <c r="Z1791" s="1056"/>
      <c r="AA1791" s="1056"/>
      <c r="AB1791" s="1056"/>
      <c r="AC1791" s="1056"/>
      <c r="AD1791" s="1056"/>
      <c r="AE1791" s="1056"/>
      <c r="AF1791" s="264"/>
    </row>
    <row r="1792" spans="1:32" s="268" customFormat="1" ht="15" x14ac:dyDescent="0.25">
      <c r="A1792" s="264"/>
      <c r="B1792" s="264"/>
      <c r="C1792" s="1056"/>
      <c r="D1792" s="1056"/>
      <c r="E1792" s="1056"/>
      <c r="F1792" s="1056"/>
      <c r="G1792" s="1056"/>
      <c r="H1792" s="1056"/>
      <c r="I1792" s="1056"/>
      <c r="J1792" s="1056"/>
      <c r="K1792" s="1056"/>
      <c r="L1792" s="1056"/>
      <c r="M1792" s="274"/>
      <c r="P1792" s="264"/>
      <c r="Q1792" s="264"/>
      <c r="R1792" s="264"/>
      <c r="S1792" s="264"/>
      <c r="T1792" s="1056"/>
      <c r="U1792" s="1056"/>
      <c r="V1792" s="1056"/>
      <c r="W1792" s="1056"/>
      <c r="X1792" s="1056"/>
      <c r="Y1792" s="1056"/>
      <c r="Z1792" s="1056"/>
      <c r="AA1792" s="1056"/>
      <c r="AB1792" s="1056"/>
      <c r="AC1792" s="1056"/>
      <c r="AD1792" s="1056"/>
      <c r="AE1792" s="1056"/>
      <c r="AF1792" s="264"/>
    </row>
    <row r="1793" spans="1:32" s="268" customFormat="1" ht="15" x14ac:dyDescent="0.25">
      <c r="A1793" s="264"/>
      <c r="B1793" s="264"/>
      <c r="C1793" s="1056"/>
      <c r="D1793" s="1056"/>
      <c r="E1793" s="1056"/>
      <c r="F1793" s="1056"/>
      <c r="G1793" s="1056"/>
      <c r="H1793" s="1056"/>
      <c r="I1793" s="1056"/>
      <c r="J1793" s="1056"/>
      <c r="K1793" s="1056"/>
      <c r="L1793" s="1056"/>
      <c r="M1793" s="274"/>
      <c r="P1793" s="264"/>
      <c r="Q1793" s="264"/>
      <c r="R1793" s="264"/>
      <c r="S1793" s="264"/>
      <c r="T1793" s="1056"/>
      <c r="U1793" s="1056"/>
      <c r="V1793" s="1056"/>
      <c r="W1793" s="1056"/>
      <c r="X1793" s="1056"/>
      <c r="Y1793" s="1056"/>
      <c r="Z1793" s="1056"/>
      <c r="AA1793" s="1056"/>
      <c r="AB1793" s="1056"/>
      <c r="AC1793" s="1056"/>
      <c r="AD1793" s="1056"/>
      <c r="AE1793" s="1056"/>
      <c r="AF1793" s="264"/>
    </row>
    <row r="1794" spans="1:32" s="268" customFormat="1" ht="15" x14ac:dyDescent="0.25">
      <c r="A1794" s="264"/>
      <c r="B1794" s="264"/>
      <c r="C1794" s="1056"/>
      <c r="D1794" s="1056"/>
      <c r="E1794" s="1056"/>
      <c r="F1794" s="1056"/>
      <c r="G1794" s="1056"/>
      <c r="H1794" s="1056"/>
      <c r="I1794" s="1056"/>
      <c r="J1794" s="1056"/>
      <c r="K1794" s="1056"/>
      <c r="L1794" s="1056"/>
      <c r="M1794" s="274"/>
      <c r="P1794" s="264"/>
      <c r="Q1794" s="264"/>
      <c r="R1794" s="264"/>
      <c r="S1794" s="264"/>
      <c r="T1794" s="1056"/>
      <c r="U1794" s="1056"/>
      <c r="V1794" s="1056"/>
      <c r="W1794" s="1056"/>
      <c r="X1794" s="1056"/>
      <c r="Y1794" s="1056"/>
      <c r="Z1794" s="1056"/>
      <c r="AA1794" s="1056"/>
      <c r="AB1794" s="1056"/>
      <c r="AC1794" s="1056"/>
      <c r="AD1794" s="1056"/>
      <c r="AE1794" s="1056"/>
      <c r="AF1794" s="264"/>
    </row>
    <row r="1795" spans="1:32" s="268" customFormat="1" ht="15" x14ac:dyDescent="0.25">
      <c r="A1795" s="264"/>
      <c r="B1795" s="264"/>
      <c r="C1795" s="1056"/>
      <c r="D1795" s="1056"/>
      <c r="E1795" s="1056"/>
      <c r="F1795" s="1056"/>
      <c r="G1795" s="1056"/>
      <c r="H1795" s="1056"/>
      <c r="I1795" s="1056"/>
      <c r="J1795" s="1056"/>
      <c r="K1795" s="1056"/>
      <c r="L1795" s="1056"/>
      <c r="M1795" s="274"/>
      <c r="P1795" s="264"/>
      <c r="Q1795" s="264"/>
      <c r="R1795" s="264"/>
      <c r="S1795" s="264"/>
      <c r="T1795" s="1056"/>
      <c r="U1795" s="1056"/>
      <c r="V1795" s="1056"/>
      <c r="W1795" s="1056"/>
      <c r="X1795" s="1056"/>
      <c r="Y1795" s="1056"/>
      <c r="Z1795" s="1056"/>
      <c r="AA1795" s="1056"/>
      <c r="AB1795" s="1056"/>
      <c r="AC1795" s="1056"/>
      <c r="AD1795" s="1056"/>
      <c r="AE1795" s="1056"/>
      <c r="AF1795" s="264"/>
    </row>
    <row r="1796" spans="1:32" s="268" customFormat="1" ht="15" x14ac:dyDescent="0.25">
      <c r="A1796" s="264"/>
      <c r="B1796" s="264"/>
      <c r="C1796" s="1056"/>
      <c r="D1796" s="1056"/>
      <c r="E1796" s="1056"/>
      <c r="F1796" s="1056"/>
      <c r="G1796" s="1056"/>
      <c r="H1796" s="1056"/>
      <c r="I1796" s="1056"/>
      <c r="J1796" s="1056"/>
      <c r="K1796" s="1056"/>
      <c r="L1796" s="1056"/>
      <c r="M1796" s="274"/>
      <c r="P1796" s="264"/>
      <c r="Q1796" s="264"/>
      <c r="R1796" s="264"/>
      <c r="S1796" s="264"/>
      <c r="T1796" s="1056"/>
      <c r="U1796" s="1056"/>
      <c r="V1796" s="1056"/>
      <c r="W1796" s="1056"/>
      <c r="X1796" s="1056"/>
      <c r="Y1796" s="1056"/>
      <c r="Z1796" s="1056"/>
      <c r="AA1796" s="1056"/>
      <c r="AB1796" s="1056"/>
      <c r="AC1796" s="1056"/>
      <c r="AD1796" s="1056"/>
      <c r="AE1796" s="1056"/>
      <c r="AF1796" s="264"/>
    </row>
    <row r="1797" spans="1:32" s="268" customFormat="1" ht="15" x14ac:dyDescent="0.25">
      <c r="A1797" s="264"/>
      <c r="B1797" s="264"/>
      <c r="C1797" s="1056"/>
      <c r="D1797" s="1056"/>
      <c r="E1797" s="1056"/>
      <c r="F1797" s="1056"/>
      <c r="G1797" s="1056"/>
      <c r="H1797" s="1056"/>
      <c r="I1797" s="1056"/>
      <c r="J1797" s="1056"/>
      <c r="K1797" s="1056"/>
      <c r="L1797" s="1056"/>
      <c r="M1797" s="274"/>
      <c r="P1797" s="264"/>
      <c r="Q1797" s="264"/>
      <c r="R1797" s="264"/>
      <c r="S1797" s="264"/>
      <c r="T1797" s="1056"/>
      <c r="U1797" s="1056"/>
      <c r="V1797" s="1056"/>
      <c r="W1797" s="1056"/>
      <c r="X1797" s="1056"/>
      <c r="Y1797" s="1056"/>
      <c r="Z1797" s="1056"/>
      <c r="AA1797" s="1056"/>
      <c r="AB1797" s="1056"/>
      <c r="AC1797" s="1056"/>
      <c r="AD1797" s="1056"/>
      <c r="AE1797" s="1056"/>
      <c r="AF1797" s="264"/>
    </row>
    <row r="1798" spans="1:32" s="268" customFormat="1" ht="15" x14ac:dyDescent="0.25">
      <c r="A1798" s="264"/>
      <c r="B1798" s="264"/>
      <c r="C1798" s="1056"/>
      <c r="D1798" s="1056"/>
      <c r="E1798" s="1056"/>
      <c r="F1798" s="1056"/>
      <c r="G1798" s="1056"/>
      <c r="H1798" s="1056"/>
      <c r="I1798" s="1056"/>
      <c r="J1798" s="1056"/>
      <c r="K1798" s="1056"/>
      <c r="L1798" s="1056"/>
      <c r="M1798" s="274"/>
      <c r="P1798" s="264"/>
      <c r="Q1798" s="264"/>
      <c r="R1798" s="264"/>
      <c r="S1798" s="264"/>
      <c r="T1798" s="1056"/>
      <c r="U1798" s="1056"/>
      <c r="V1798" s="1056"/>
      <c r="W1798" s="1056"/>
      <c r="X1798" s="1056"/>
      <c r="Y1798" s="1056"/>
      <c r="Z1798" s="1056"/>
      <c r="AA1798" s="1056"/>
      <c r="AB1798" s="1056"/>
      <c r="AC1798" s="1056"/>
      <c r="AD1798" s="1056"/>
      <c r="AE1798" s="1056"/>
      <c r="AF1798" s="264"/>
    </row>
    <row r="1799" spans="1:32" s="268" customFormat="1" ht="15" x14ac:dyDescent="0.25">
      <c r="A1799" s="264"/>
      <c r="B1799" s="264"/>
      <c r="C1799" s="1056"/>
      <c r="D1799" s="1056"/>
      <c r="E1799" s="1056"/>
      <c r="F1799" s="1056"/>
      <c r="G1799" s="1056"/>
      <c r="H1799" s="1056"/>
      <c r="I1799" s="1056"/>
      <c r="J1799" s="1056"/>
      <c r="K1799" s="1056"/>
      <c r="L1799" s="1056"/>
      <c r="M1799" s="274"/>
      <c r="P1799" s="264"/>
      <c r="Q1799" s="264"/>
      <c r="R1799" s="264"/>
      <c r="S1799" s="264"/>
      <c r="T1799" s="1056"/>
      <c r="U1799" s="1056"/>
      <c r="V1799" s="1056"/>
      <c r="W1799" s="1056"/>
      <c r="X1799" s="1056"/>
      <c r="Y1799" s="1056"/>
      <c r="Z1799" s="1056"/>
      <c r="AA1799" s="1056"/>
      <c r="AB1799" s="1056"/>
      <c r="AC1799" s="1056"/>
      <c r="AD1799" s="1056"/>
      <c r="AE1799" s="1056"/>
      <c r="AF1799" s="264"/>
    </row>
    <row r="1800" spans="1:32" s="268" customFormat="1" ht="15" x14ac:dyDescent="0.25">
      <c r="A1800" s="264"/>
      <c r="B1800" s="264"/>
      <c r="C1800" s="1056"/>
      <c r="D1800" s="1056"/>
      <c r="E1800" s="1056"/>
      <c r="F1800" s="1056"/>
      <c r="G1800" s="1056"/>
      <c r="H1800" s="1056"/>
      <c r="I1800" s="1056"/>
      <c r="J1800" s="1056"/>
      <c r="K1800" s="1056"/>
      <c r="L1800" s="1056"/>
      <c r="M1800" s="274"/>
      <c r="P1800" s="264"/>
      <c r="Q1800" s="264"/>
      <c r="R1800" s="264"/>
      <c r="S1800" s="264"/>
      <c r="T1800" s="1056"/>
      <c r="U1800" s="1056"/>
      <c r="V1800" s="1056"/>
      <c r="W1800" s="1056"/>
      <c r="X1800" s="1056"/>
      <c r="Y1800" s="1056"/>
      <c r="Z1800" s="1056"/>
      <c r="AA1800" s="1056"/>
      <c r="AB1800" s="1056"/>
      <c r="AC1800" s="1056"/>
      <c r="AD1800" s="1056"/>
      <c r="AE1800" s="1056"/>
      <c r="AF1800" s="264"/>
    </row>
    <row r="1801" spans="1:32" s="268" customFormat="1" ht="15" x14ac:dyDescent="0.25">
      <c r="A1801" s="264"/>
      <c r="B1801" s="264"/>
      <c r="C1801" s="1056"/>
      <c r="D1801" s="1056"/>
      <c r="E1801" s="1056"/>
      <c r="F1801" s="1056"/>
      <c r="G1801" s="1056"/>
      <c r="H1801" s="1056"/>
      <c r="I1801" s="1056"/>
      <c r="J1801" s="1056"/>
      <c r="K1801" s="1056"/>
      <c r="L1801" s="1056"/>
      <c r="M1801" s="274"/>
      <c r="P1801" s="264"/>
      <c r="Q1801" s="264"/>
      <c r="R1801" s="264"/>
      <c r="S1801" s="264"/>
      <c r="T1801" s="1056"/>
      <c r="U1801" s="1056"/>
      <c r="V1801" s="1056"/>
      <c r="W1801" s="1056"/>
      <c r="X1801" s="1056"/>
      <c r="Y1801" s="1056"/>
      <c r="Z1801" s="1056"/>
      <c r="AA1801" s="1056"/>
      <c r="AB1801" s="1056"/>
      <c r="AC1801" s="1056"/>
      <c r="AD1801" s="1056"/>
      <c r="AE1801" s="1056"/>
      <c r="AF1801" s="264"/>
    </row>
    <row r="1802" spans="1:32" s="268" customFormat="1" ht="15" x14ac:dyDescent="0.25">
      <c r="A1802" s="264"/>
      <c r="B1802" s="264"/>
      <c r="C1802" s="1056"/>
      <c r="D1802" s="1056"/>
      <c r="E1802" s="1056"/>
      <c r="F1802" s="1056"/>
      <c r="G1802" s="1056"/>
      <c r="H1802" s="1056"/>
      <c r="I1802" s="1056"/>
      <c r="J1802" s="1056"/>
      <c r="K1802" s="1056"/>
      <c r="L1802" s="1056"/>
      <c r="M1802" s="274"/>
      <c r="P1802" s="264"/>
      <c r="Q1802" s="264"/>
      <c r="R1802" s="264"/>
      <c r="S1802" s="264"/>
      <c r="T1802" s="1056"/>
      <c r="U1802" s="1056"/>
      <c r="V1802" s="1056"/>
      <c r="W1802" s="1056"/>
      <c r="X1802" s="1056"/>
      <c r="Y1802" s="1056"/>
      <c r="Z1802" s="1056"/>
      <c r="AA1802" s="1056"/>
      <c r="AB1802" s="1056"/>
      <c r="AC1802" s="1056"/>
      <c r="AD1802" s="1056"/>
      <c r="AE1802" s="1056"/>
      <c r="AF1802" s="264"/>
    </row>
    <row r="1803" spans="1:32" s="268" customFormat="1" ht="15" x14ac:dyDescent="0.25">
      <c r="A1803" s="264"/>
      <c r="B1803" s="264"/>
      <c r="C1803" s="1056"/>
      <c r="D1803" s="1056"/>
      <c r="E1803" s="1056"/>
      <c r="F1803" s="1056"/>
      <c r="G1803" s="1056"/>
      <c r="H1803" s="1056"/>
      <c r="I1803" s="1056"/>
      <c r="J1803" s="1056"/>
      <c r="K1803" s="1056"/>
      <c r="L1803" s="1056"/>
      <c r="M1803" s="274"/>
      <c r="P1803" s="264"/>
      <c r="Q1803" s="264"/>
      <c r="R1803" s="264"/>
      <c r="S1803" s="264"/>
      <c r="T1803" s="1056"/>
      <c r="U1803" s="1056"/>
      <c r="V1803" s="1056"/>
      <c r="W1803" s="1056"/>
      <c r="X1803" s="1056"/>
      <c r="Y1803" s="1056"/>
      <c r="Z1803" s="1056"/>
      <c r="AA1803" s="1056"/>
      <c r="AB1803" s="1056"/>
      <c r="AC1803" s="1056"/>
      <c r="AD1803" s="1056"/>
      <c r="AE1803" s="1056"/>
      <c r="AF1803" s="264"/>
    </row>
    <row r="1804" spans="1:32" s="268" customFormat="1" ht="15" x14ac:dyDescent="0.25">
      <c r="A1804" s="264"/>
      <c r="B1804" s="264"/>
      <c r="C1804" s="1056"/>
      <c r="D1804" s="1056"/>
      <c r="E1804" s="1056"/>
      <c r="F1804" s="1056"/>
      <c r="G1804" s="1056"/>
      <c r="H1804" s="1056"/>
      <c r="I1804" s="1056"/>
      <c r="J1804" s="1056"/>
      <c r="K1804" s="1056"/>
      <c r="L1804" s="1056"/>
      <c r="M1804" s="274"/>
      <c r="P1804" s="264"/>
      <c r="Q1804" s="264"/>
      <c r="R1804" s="264"/>
      <c r="S1804" s="264"/>
      <c r="T1804" s="1056"/>
      <c r="U1804" s="1056"/>
      <c r="V1804" s="1056"/>
      <c r="W1804" s="1056"/>
      <c r="X1804" s="1056"/>
      <c r="Y1804" s="1056"/>
      <c r="Z1804" s="1056"/>
      <c r="AA1804" s="1056"/>
      <c r="AB1804" s="1056"/>
      <c r="AC1804" s="1056"/>
      <c r="AD1804" s="1056"/>
      <c r="AE1804" s="1056"/>
      <c r="AF1804" s="264"/>
    </row>
    <row r="1805" spans="1:32" s="268" customFormat="1" ht="15" x14ac:dyDescent="0.25">
      <c r="A1805" s="264"/>
      <c r="B1805" s="264"/>
      <c r="C1805" s="1056"/>
      <c r="D1805" s="1056"/>
      <c r="E1805" s="1056"/>
      <c r="F1805" s="1056"/>
      <c r="G1805" s="1056"/>
      <c r="H1805" s="1056"/>
      <c r="I1805" s="1056"/>
      <c r="J1805" s="1056"/>
      <c r="K1805" s="1056"/>
      <c r="L1805" s="1056"/>
      <c r="M1805" s="274"/>
      <c r="P1805" s="264"/>
      <c r="Q1805" s="264"/>
      <c r="R1805" s="264"/>
      <c r="S1805" s="264"/>
      <c r="T1805" s="1056"/>
      <c r="U1805" s="1056"/>
      <c r="V1805" s="1056"/>
      <c r="W1805" s="1056"/>
      <c r="X1805" s="1056"/>
      <c r="Y1805" s="1056"/>
      <c r="Z1805" s="1056"/>
      <c r="AA1805" s="1056"/>
      <c r="AB1805" s="1056"/>
      <c r="AC1805" s="1056"/>
      <c r="AD1805" s="1056"/>
      <c r="AE1805" s="1056"/>
      <c r="AF1805" s="264"/>
    </row>
    <row r="1806" spans="1:32" s="268" customFormat="1" ht="15" x14ac:dyDescent="0.25">
      <c r="A1806" s="264"/>
      <c r="B1806" s="264"/>
      <c r="C1806" s="1056"/>
      <c r="D1806" s="1056"/>
      <c r="E1806" s="1056"/>
      <c r="F1806" s="1056"/>
      <c r="G1806" s="1056"/>
      <c r="H1806" s="1056"/>
      <c r="I1806" s="1056"/>
      <c r="J1806" s="1056"/>
      <c r="K1806" s="1056"/>
      <c r="L1806" s="1056"/>
      <c r="M1806" s="274"/>
      <c r="P1806" s="264"/>
      <c r="Q1806" s="264"/>
      <c r="R1806" s="264"/>
      <c r="S1806" s="264"/>
      <c r="T1806" s="1056"/>
      <c r="U1806" s="1056"/>
      <c r="V1806" s="1056"/>
      <c r="W1806" s="1056"/>
      <c r="X1806" s="1056"/>
      <c r="Y1806" s="1056"/>
      <c r="Z1806" s="1056"/>
      <c r="AA1806" s="1056"/>
      <c r="AB1806" s="1056"/>
      <c r="AC1806" s="1056"/>
      <c r="AD1806" s="1056"/>
      <c r="AE1806" s="1056"/>
      <c r="AF1806" s="264"/>
    </row>
    <row r="1807" spans="1:32" s="268" customFormat="1" ht="15" x14ac:dyDescent="0.25">
      <c r="A1807" s="264"/>
      <c r="B1807" s="264"/>
      <c r="C1807" s="1056"/>
      <c r="D1807" s="1056"/>
      <c r="E1807" s="1056"/>
      <c r="F1807" s="1056"/>
      <c r="G1807" s="1056"/>
      <c r="H1807" s="1056"/>
      <c r="I1807" s="1056"/>
      <c r="J1807" s="1056"/>
      <c r="K1807" s="1056"/>
      <c r="L1807" s="1056"/>
      <c r="M1807" s="274"/>
      <c r="P1807" s="264"/>
      <c r="Q1807" s="264"/>
      <c r="R1807" s="264"/>
      <c r="S1807" s="264"/>
      <c r="T1807" s="1056"/>
      <c r="U1807" s="1056"/>
      <c r="V1807" s="1056"/>
      <c r="W1807" s="1056"/>
      <c r="X1807" s="1056"/>
      <c r="Y1807" s="1056"/>
      <c r="Z1807" s="1056"/>
      <c r="AA1807" s="1056"/>
      <c r="AB1807" s="1056"/>
      <c r="AC1807" s="1056"/>
      <c r="AD1807" s="1056"/>
      <c r="AE1807" s="1056"/>
      <c r="AF1807" s="264"/>
    </row>
    <row r="1808" spans="1:32" s="268" customFormat="1" ht="15" x14ac:dyDescent="0.25">
      <c r="A1808" s="264"/>
      <c r="B1808" s="264"/>
      <c r="C1808" s="1056"/>
      <c r="D1808" s="1056"/>
      <c r="E1808" s="1056"/>
      <c r="F1808" s="1056"/>
      <c r="G1808" s="1056"/>
      <c r="H1808" s="1056"/>
      <c r="I1808" s="1056"/>
      <c r="J1808" s="1056"/>
      <c r="K1808" s="1056"/>
      <c r="L1808" s="1056"/>
      <c r="M1808" s="274"/>
      <c r="P1808" s="264"/>
      <c r="Q1808" s="264"/>
      <c r="R1808" s="264"/>
      <c r="S1808" s="264"/>
      <c r="T1808" s="1056"/>
      <c r="U1808" s="1056"/>
      <c r="V1808" s="1056"/>
      <c r="W1808" s="1056"/>
      <c r="X1808" s="1056"/>
      <c r="Y1808" s="1056"/>
      <c r="Z1808" s="1056"/>
      <c r="AA1808" s="1056"/>
      <c r="AB1808" s="1056"/>
      <c r="AC1808" s="1056"/>
      <c r="AD1808" s="1056"/>
      <c r="AE1808" s="1056"/>
      <c r="AF1808" s="264"/>
    </row>
    <row r="1809" spans="1:32" s="268" customFormat="1" ht="15" x14ac:dyDescent="0.25">
      <c r="A1809" s="264"/>
      <c r="B1809" s="264"/>
      <c r="C1809" s="1056"/>
      <c r="D1809" s="1056"/>
      <c r="E1809" s="1056"/>
      <c r="F1809" s="1056"/>
      <c r="G1809" s="1056"/>
      <c r="H1809" s="1056"/>
      <c r="I1809" s="1056"/>
      <c r="J1809" s="1056"/>
      <c r="K1809" s="1056"/>
      <c r="L1809" s="1056"/>
      <c r="M1809" s="274"/>
      <c r="P1809" s="264"/>
      <c r="Q1809" s="264"/>
      <c r="R1809" s="264"/>
      <c r="S1809" s="264"/>
      <c r="T1809" s="1056"/>
      <c r="U1809" s="1056"/>
      <c r="V1809" s="1056"/>
      <c r="W1809" s="1056"/>
      <c r="X1809" s="1056"/>
      <c r="Y1809" s="1056"/>
      <c r="Z1809" s="1056"/>
      <c r="AA1809" s="1056"/>
      <c r="AB1809" s="1056"/>
      <c r="AC1809" s="1056"/>
      <c r="AD1809" s="1056"/>
      <c r="AE1809" s="1056"/>
      <c r="AF1809" s="264"/>
    </row>
    <row r="1810" spans="1:32" s="268" customFormat="1" ht="15" x14ac:dyDescent="0.25">
      <c r="A1810" s="264"/>
      <c r="B1810" s="264"/>
      <c r="C1810" s="1056"/>
      <c r="D1810" s="1056"/>
      <c r="E1810" s="1056"/>
      <c r="F1810" s="1056"/>
      <c r="G1810" s="1056"/>
      <c r="H1810" s="1056"/>
      <c r="I1810" s="1056"/>
      <c r="J1810" s="1056"/>
      <c r="K1810" s="1056"/>
      <c r="L1810" s="1056"/>
      <c r="M1810" s="274"/>
      <c r="P1810" s="264"/>
      <c r="Q1810" s="264"/>
      <c r="R1810" s="264"/>
      <c r="S1810" s="264"/>
      <c r="T1810" s="1056"/>
      <c r="U1810" s="1056"/>
      <c r="V1810" s="1056"/>
      <c r="W1810" s="1056"/>
      <c r="X1810" s="1056"/>
      <c r="Y1810" s="1056"/>
      <c r="Z1810" s="1056"/>
      <c r="AA1810" s="1056"/>
      <c r="AB1810" s="1056"/>
      <c r="AC1810" s="1056"/>
      <c r="AD1810" s="1056"/>
      <c r="AE1810" s="1056"/>
      <c r="AF1810" s="264"/>
    </row>
    <row r="1811" spans="1:32" s="268" customFormat="1" ht="15" x14ac:dyDescent="0.25">
      <c r="A1811" s="264"/>
      <c r="B1811" s="264"/>
      <c r="C1811" s="1056"/>
      <c r="D1811" s="1056"/>
      <c r="E1811" s="1056"/>
      <c r="F1811" s="1056"/>
      <c r="G1811" s="1056"/>
      <c r="H1811" s="1056"/>
      <c r="I1811" s="1056"/>
      <c r="J1811" s="1056"/>
      <c r="K1811" s="1056"/>
      <c r="L1811" s="1056"/>
      <c r="M1811" s="274"/>
      <c r="P1811" s="264"/>
      <c r="Q1811" s="264"/>
      <c r="R1811" s="264"/>
      <c r="S1811" s="264"/>
      <c r="T1811" s="1056"/>
      <c r="U1811" s="1056"/>
      <c r="V1811" s="1056"/>
      <c r="W1811" s="1056"/>
      <c r="X1811" s="1056"/>
      <c r="Y1811" s="1056"/>
      <c r="Z1811" s="1056"/>
      <c r="AA1811" s="1056"/>
      <c r="AB1811" s="1056"/>
      <c r="AC1811" s="1056"/>
      <c r="AD1811" s="1056"/>
      <c r="AE1811" s="1056"/>
      <c r="AF1811" s="264"/>
    </row>
    <row r="1812" spans="1:32" s="268" customFormat="1" ht="15" x14ac:dyDescent="0.25">
      <c r="A1812" s="264"/>
      <c r="B1812" s="264"/>
      <c r="C1812" s="1056"/>
      <c r="D1812" s="1056"/>
      <c r="E1812" s="1056"/>
      <c r="F1812" s="1056"/>
      <c r="G1812" s="1056"/>
      <c r="H1812" s="1056"/>
      <c r="I1812" s="1056"/>
      <c r="J1812" s="1056"/>
      <c r="K1812" s="1056"/>
      <c r="L1812" s="1056"/>
      <c r="M1812" s="274"/>
      <c r="P1812" s="264"/>
      <c r="Q1812" s="264"/>
      <c r="R1812" s="264"/>
      <c r="S1812" s="264"/>
      <c r="T1812" s="1056"/>
      <c r="U1812" s="1056"/>
      <c r="V1812" s="1056"/>
      <c r="W1812" s="1056"/>
      <c r="X1812" s="1056"/>
      <c r="Y1812" s="1056"/>
      <c r="Z1812" s="1056"/>
      <c r="AA1812" s="1056"/>
      <c r="AB1812" s="1056"/>
      <c r="AC1812" s="1056"/>
      <c r="AD1812" s="1056"/>
      <c r="AE1812" s="1056"/>
      <c r="AF1812" s="264"/>
    </row>
    <row r="1813" spans="1:32" s="268" customFormat="1" ht="15" x14ac:dyDescent="0.25">
      <c r="A1813" s="264"/>
      <c r="B1813" s="264"/>
      <c r="C1813" s="1056"/>
      <c r="D1813" s="1056"/>
      <c r="E1813" s="1056"/>
      <c r="F1813" s="1056"/>
      <c r="G1813" s="1056"/>
      <c r="H1813" s="1056"/>
      <c r="I1813" s="1056"/>
      <c r="J1813" s="1056"/>
      <c r="K1813" s="1056"/>
      <c r="L1813" s="1056"/>
      <c r="M1813" s="274"/>
      <c r="P1813" s="264"/>
      <c r="Q1813" s="264"/>
      <c r="R1813" s="264"/>
      <c r="S1813" s="264"/>
      <c r="T1813" s="1056"/>
      <c r="U1813" s="1056"/>
      <c r="V1813" s="1056"/>
      <c r="W1813" s="1056"/>
      <c r="X1813" s="1056"/>
      <c r="Y1813" s="1056"/>
      <c r="Z1813" s="1056"/>
      <c r="AA1813" s="1056"/>
      <c r="AB1813" s="1056"/>
      <c r="AC1813" s="1056"/>
      <c r="AD1813" s="1056"/>
      <c r="AE1813" s="1056"/>
      <c r="AF1813" s="264"/>
    </row>
    <row r="1814" spans="1:32" s="268" customFormat="1" ht="15" x14ac:dyDescent="0.25">
      <c r="A1814" s="264"/>
      <c r="B1814" s="264"/>
      <c r="C1814" s="1056"/>
      <c r="D1814" s="1056"/>
      <c r="E1814" s="1056"/>
      <c r="F1814" s="1056"/>
      <c r="G1814" s="1056"/>
      <c r="H1814" s="1056"/>
      <c r="I1814" s="1056"/>
      <c r="J1814" s="1056"/>
      <c r="K1814" s="1056"/>
      <c r="L1814" s="1056"/>
      <c r="M1814" s="274"/>
      <c r="P1814" s="264"/>
      <c r="Q1814" s="264"/>
      <c r="R1814" s="264"/>
      <c r="S1814" s="264"/>
      <c r="T1814" s="1056"/>
      <c r="U1814" s="1056"/>
      <c r="V1814" s="1056"/>
      <c r="W1814" s="1056"/>
      <c r="X1814" s="1056"/>
      <c r="Y1814" s="1056"/>
      <c r="Z1814" s="1056"/>
      <c r="AA1814" s="1056"/>
      <c r="AB1814" s="1056"/>
      <c r="AC1814" s="1056"/>
      <c r="AD1814" s="1056"/>
      <c r="AE1814" s="1056"/>
      <c r="AF1814" s="264"/>
    </row>
    <row r="1815" spans="1:32" s="268" customFormat="1" ht="15" x14ac:dyDescent="0.25">
      <c r="A1815" s="264"/>
      <c r="B1815" s="264"/>
      <c r="C1815" s="1056"/>
      <c r="D1815" s="1056"/>
      <c r="E1815" s="1056"/>
      <c r="F1815" s="1056"/>
      <c r="G1815" s="1056"/>
      <c r="H1815" s="1056"/>
      <c r="I1815" s="1056"/>
      <c r="J1815" s="1056"/>
      <c r="K1815" s="1056"/>
      <c r="L1815" s="1056"/>
      <c r="M1815" s="274"/>
      <c r="P1815" s="264"/>
      <c r="Q1815" s="264"/>
      <c r="R1815" s="264"/>
      <c r="S1815" s="264"/>
      <c r="T1815" s="1056"/>
      <c r="U1815" s="1056"/>
      <c r="V1815" s="1056"/>
      <c r="W1815" s="1056"/>
      <c r="X1815" s="1056"/>
      <c r="Y1815" s="1056"/>
      <c r="Z1815" s="1056"/>
      <c r="AA1815" s="1056"/>
      <c r="AB1815" s="1056"/>
      <c r="AC1815" s="1056"/>
      <c r="AD1815" s="1056"/>
      <c r="AE1815" s="1056"/>
      <c r="AF1815" s="264"/>
    </row>
    <row r="1816" spans="1:32" s="268" customFormat="1" ht="15" x14ac:dyDescent="0.25">
      <c r="A1816" s="264"/>
      <c r="B1816" s="264"/>
      <c r="C1816" s="1056"/>
      <c r="D1816" s="1056"/>
      <c r="E1816" s="1056"/>
      <c r="F1816" s="1056"/>
      <c r="G1816" s="1056"/>
      <c r="H1816" s="1056"/>
      <c r="I1816" s="1056"/>
      <c r="J1816" s="1056"/>
      <c r="K1816" s="1056"/>
      <c r="L1816" s="1056"/>
      <c r="M1816" s="274"/>
      <c r="P1816" s="264"/>
      <c r="Q1816" s="264"/>
      <c r="R1816" s="264"/>
      <c r="S1816" s="264"/>
      <c r="T1816" s="1056"/>
      <c r="U1816" s="1056"/>
      <c r="V1816" s="1056"/>
      <c r="W1816" s="1056"/>
      <c r="X1816" s="1056"/>
      <c r="Y1816" s="1056"/>
      <c r="Z1816" s="1056"/>
      <c r="AA1816" s="1056"/>
      <c r="AB1816" s="1056"/>
      <c r="AC1816" s="1056"/>
      <c r="AD1816" s="1056"/>
      <c r="AE1816" s="1056"/>
      <c r="AF1816" s="264"/>
    </row>
    <row r="1817" spans="1:32" s="268" customFormat="1" ht="15" x14ac:dyDescent="0.25">
      <c r="A1817" s="264"/>
      <c r="B1817" s="264"/>
      <c r="C1817" s="1056"/>
      <c r="D1817" s="1056"/>
      <c r="E1817" s="1056"/>
      <c r="F1817" s="1056"/>
      <c r="G1817" s="1056"/>
      <c r="H1817" s="1056"/>
      <c r="I1817" s="1056"/>
      <c r="J1817" s="1056"/>
      <c r="K1817" s="1056"/>
      <c r="L1817" s="1056"/>
      <c r="M1817" s="274"/>
      <c r="P1817" s="264"/>
      <c r="Q1817" s="264"/>
      <c r="R1817" s="264"/>
      <c r="S1817" s="264"/>
      <c r="T1817" s="1056"/>
      <c r="U1817" s="1056"/>
      <c r="V1817" s="1056"/>
      <c r="W1817" s="1056"/>
      <c r="X1817" s="1056"/>
      <c r="Y1817" s="1056"/>
      <c r="Z1817" s="1056"/>
      <c r="AA1817" s="1056"/>
      <c r="AB1817" s="1056"/>
      <c r="AC1817" s="1056"/>
      <c r="AD1817" s="1056"/>
      <c r="AE1817" s="1056"/>
      <c r="AF1817" s="264"/>
    </row>
    <row r="1818" spans="1:32" s="268" customFormat="1" ht="15" x14ac:dyDescent="0.25">
      <c r="A1818" s="264"/>
      <c r="B1818" s="264"/>
      <c r="C1818" s="1056"/>
      <c r="D1818" s="1056"/>
      <c r="E1818" s="1056"/>
      <c r="F1818" s="1056"/>
      <c r="G1818" s="1056"/>
      <c r="H1818" s="1056"/>
      <c r="I1818" s="1056"/>
      <c r="J1818" s="1056"/>
      <c r="K1818" s="1056"/>
      <c r="L1818" s="1056"/>
      <c r="M1818" s="274"/>
      <c r="P1818" s="264"/>
      <c r="Q1818" s="264"/>
      <c r="R1818" s="264"/>
      <c r="S1818" s="264"/>
      <c r="T1818" s="1056"/>
      <c r="U1818" s="1056"/>
      <c r="V1818" s="1056"/>
      <c r="W1818" s="1056"/>
      <c r="X1818" s="1056"/>
      <c r="Y1818" s="1056"/>
      <c r="Z1818" s="1056"/>
      <c r="AA1818" s="1056"/>
      <c r="AB1818" s="1056"/>
      <c r="AC1818" s="1056"/>
      <c r="AD1818" s="1056"/>
      <c r="AE1818" s="1056"/>
      <c r="AF1818" s="264"/>
    </row>
    <row r="1819" spans="1:32" s="268" customFormat="1" ht="15" x14ac:dyDescent="0.25">
      <c r="A1819" s="264"/>
      <c r="B1819" s="264"/>
      <c r="C1819" s="1056"/>
      <c r="D1819" s="1056"/>
      <c r="E1819" s="1056"/>
      <c r="F1819" s="1056"/>
      <c r="G1819" s="1056"/>
      <c r="H1819" s="1056"/>
      <c r="I1819" s="1056"/>
      <c r="J1819" s="1056"/>
      <c r="K1819" s="1056"/>
      <c r="L1819" s="1056"/>
      <c r="M1819" s="274"/>
      <c r="P1819" s="264"/>
      <c r="Q1819" s="264"/>
      <c r="R1819" s="264"/>
      <c r="S1819" s="264"/>
      <c r="T1819" s="1056"/>
      <c r="U1819" s="1056"/>
      <c r="V1819" s="1056"/>
      <c r="W1819" s="1056"/>
      <c r="X1819" s="1056"/>
      <c r="Y1819" s="1056"/>
      <c r="Z1819" s="1056"/>
      <c r="AA1819" s="1056"/>
      <c r="AB1819" s="1056"/>
      <c r="AC1819" s="1056"/>
      <c r="AD1819" s="1056"/>
      <c r="AE1819" s="1056"/>
      <c r="AF1819" s="264"/>
    </row>
    <row r="1820" spans="1:32" s="268" customFormat="1" ht="15" x14ac:dyDescent="0.25">
      <c r="A1820" s="264"/>
      <c r="B1820" s="264"/>
      <c r="C1820" s="1056"/>
      <c r="D1820" s="1056"/>
      <c r="E1820" s="1056"/>
      <c r="F1820" s="1056"/>
      <c r="G1820" s="1056"/>
      <c r="H1820" s="1056"/>
      <c r="I1820" s="1056"/>
      <c r="J1820" s="1056"/>
      <c r="K1820" s="1056"/>
      <c r="L1820" s="1056"/>
      <c r="M1820" s="274"/>
      <c r="P1820" s="264"/>
      <c r="Q1820" s="264"/>
      <c r="R1820" s="264"/>
      <c r="S1820" s="264"/>
      <c r="T1820" s="1056"/>
      <c r="U1820" s="1056"/>
      <c r="V1820" s="1056"/>
      <c r="W1820" s="1056"/>
      <c r="X1820" s="1056"/>
      <c r="Y1820" s="1056"/>
      <c r="Z1820" s="1056"/>
      <c r="AA1820" s="1056"/>
      <c r="AB1820" s="1056"/>
      <c r="AC1820" s="1056"/>
      <c r="AD1820" s="1056"/>
      <c r="AE1820" s="1056"/>
      <c r="AF1820" s="264"/>
    </row>
    <row r="1821" spans="1:32" s="268" customFormat="1" ht="15" x14ac:dyDescent="0.25">
      <c r="A1821" s="264"/>
      <c r="B1821" s="264"/>
      <c r="C1821" s="1056"/>
      <c r="D1821" s="1056"/>
      <c r="E1821" s="1056"/>
      <c r="F1821" s="1056"/>
      <c r="G1821" s="1056"/>
      <c r="H1821" s="1056"/>
      <c r="I1821" s="1056"/>
      <c r="J1821" s="1056"/>
      <c r="K1821" s="1056"/>
      <c r="L1821" s="1056"/>
      <c r="M1821" s="274"/>
      <c r="P1821" s="264"/>
      <c r="Q1821" s="264"/>
      <c r="R1821" s="264"/>
      <c r="S1821" s="264"/>
      <c r="T1821" s="1056"/>
      <c r="U1821" s="1056"/>
      <c r="V1821" s="1056"/>
      <c r="W1821" s="1056"/>
      <c r="X1821" s="1056"/>
      <c r="Y1821" s="1056"/>
      <c r="Z1821" s="1056"/>
      <c r="AA1821" s="1056"/>
      <c r="AB1821" s="1056"/>
      <c r="AC1821" s="1056"/>
      <c r="AD1821" s="1056"/>
      <c r="AE1821" s="1056"/>
      <c r="AF1821" s="264"/>
    </row>
    <row r="1822" spans="1:32" s="268" customFormat="1" ht="15" x14ac:dyDescent="0.25">
      <c r="A1822" s="264"/>
      <c r="B1822" s="264"/>
      <c r="C1822" s="1056"/>
      <c r="D1822" s="1056"/>
      <c r="E1822" s="1056"/>
      <c r="F1822" s="1056"/>
      <c r="G1822" s="1056"/>
      <c r="H1822" s="1056"/>
      <c r="I1822" s="1056"/>
      <c r="J1822" s="1056"/>
      <c r="K1822" s="1056"/>
      <c r="L1822" s="1056"/>
      <c r="M1822" s="274"/>
      <c r="P1822" s="264"/>
      <c r="Q1822" s="264"/>
      <c r="R1822" s="264"/>
      <c r="S1822" s="264"/>
      <c r="T1822" s="1056"/>
      <c r="U1822" s="1056"/>
      <c r="V1822" s="1056"/>
      <c r="W1822" s="1056"/>
      <c r="X1822" s="1056"/>
      <c r="Y1822" s="1056"/>
      <c r="Z1822" s="1056"/>
      <c r="AA1822" s="1056"/>
      <c r="AB1822" s="1056"/>
      <c r="AC1822" s="1056"/>
      <c r="AD1822" s="1056"/>
      <c r="AE1822" s="1056"/>
      <c r="AF1822" s="264"/>
    </row>
    <row r="1823" spans="1:32" s="268" customFormat="1" ht="15" x14ac:dyDescent="0.25">
      <c r="A1823" s="264"/>
      <c r="B1823" s="264"/>
      <c r="C1823" s="1056"/>
      <c r="D1823" s="1056"/>
      <c r="E1823" s="1056"/>
      <c r="F1823" s="1056"/>
      <c r="G1823" s="1056"/>
      <c r="H1823" s="1056"/>
      <c r="I1823" s="1056"/>
      <c r="J1823" s="1056"/>
      <c r="K1823" s="1056"/>
      <c r="L1823" s="1056"/>
      <c r="M1823" s="274"/>
      <c r="P1823" s="264"/>
      <c r="Q1823" s="264"/>
      <c r="R1823" s="264"/>
      <c r="S1823" s="264"/>
      <c r="T1823" s="1056"/>
      <c r="U1823" s="1056"/>
      <c r="V1823" s="1056"/>
      <c r="W1823" s="1056"/>
      <c r="X1823" s="1056"/>
      <c r="Y1823" s="1056"/>
      <c r="Z1823" s="1056"/>
      <c r="AA1823" s="1056"/>
      <c r="AB1823" s="1056"/>
      <c r="AC1823" s="1056"/>
      <c r="AD1823" s="1056"/>
      <c r="AE1823" s="1056"/>
      <c r="AF1823" s="264"/>
    </row>
    <row r="1824" spans="1:32" s="268" customFormat="1" ht="15" x14ac:dyDescent="0.25">
      <c r="A1824" s="264"/>
      <c r="B1824" s="264"/>
      <c r="C1824" s="1056"/>
      <c r="D1824" s="1056"/>
      <c r="E1824" s="1056"/>
      <c r="F1824" s="1056"/>
      <c r="G1824" s="1056"/>
      <c r="H1824" s="1056"/>
      <c r="I1824" s="1056"/>
      <c r="J1824" s="1056"/>
      <c r="K1824" s="1056"/>
      <c r="L1824" s="1056"/>
      <c r="M1824" s="274"/>
      <c r="P1824" s="264"/>
      <c r="Q1824" s="264"/>
      <c r="R1824" s="264"/>
      <c r="S1824" s="264"/>
      <c r="T1824" s="1056"/>
      <c r="U1824" s="1056"/>
      <c r="V1824" s="1056"/>
      <c r="W1824" s="1056"/>
      <c r="X1824" s="1056"/>
      <c r="Y1824" s="1056"/>
      <c r="Z1824" s="1056"/>
      <c r="AA1824" s="1056"/>
      <c r="AB1824" s="1056"/>
      <c r="AC1824" s="1056"/>
      <c r="AD1824" s="1056"/>
      <c r="AE1824" s="1056"/>
      <c r="AF1824" s="264"/>
    </row>
    <row r="1825" spans="1:32" s="268" customFormat="1" ht="15" x14ac:dyDescent="0.25">
      <c r="A1825" s="264"/>
      <c r="B1825" s="264"/>
      <c r="C1825" s="1056"/>
      <c r="D1825" s="1056"/>
      <c r="E1825" s="1056"/>
      <c r="F1825" s="1056"/>
      <c r="G1825" s="1056"/>
      <c r="H1825" s="1056"/>
      <c r="I1825" s="1056"/>
      <c r="J1825" s="1056"/>
      <c r="K1825" s="1056"/>
      <c r="L1825" s="1056"/>
      <c r="M1825" s="274"/>
      <c r="P1825" s="264"/>
      <c r="Q1825" s="264"/>
      <c r="R1825" s="264"/>
      <c r="S1825" s="264"/>
      <c r="T1825" s="1056"/>
      <c r="U1825" s="1056"/>
      <c r="V1825" s="1056"/>
      <c r="W1825" s="1056"/>
      <c r="X1825" s="1056"/>
      <c r="Y1825" s="1056"/>
      <c r="Z1825" s="1056"/>
      <c r="AA1825" s="1056"/>
      <c r="AB1825" s="1056"/>
      <c r="AC1825" s="1056"/>
      <c r="AD1825" s="1056"/>
      <c r="AE1825" s="1056"/>
      <c r="AF1825" s="264"/>
    </row>
    <row r="1826" spans="1:32" s="268" customFormat="1" ht="15" x14ac:dyDescent="0.25">
      <c r="A1826" s="264"/>
      <c r="B1826" s="264"/>
      <c r="C1826" s="1056"/>
      <c r="D1826" s="1056"/>
      <c r="E1826" s="1056"/>
      <c r="F1826" s="1056"/>
      <c r="G1826" s="1056"/>
      <c r="H1826" s="1056"/>
      <c r="I1826" s="1056"/>
      <c r="J1826" s="1056"/>
      <c r="K1826" s="1056"/>
      <c r="L1826" s="1056"/>
      <c r="M1826" s="274"/>
      <c r="P1826" s="264"/>
      <c r="Q1826" s="264"/>
      <c r="R1826" s="264"/>
      <c r="S1826" s="264"/>
      <c r="T1826" s="1056"/>
      <c r="U1826" s="1056"/>
      <c r="V1826" s="1056"/>
      <c r="W1826" s="1056"/>
      <c r="X1826" s="1056"/>
      <c r="Y1826" s="1056"/>
      <c r="Z1826" s="1056"/>
      <c r="AA1826" s="1056"/>
      <c r="AB1826" s="1056"/>
      <c r="AC1826" s="1056"/>
      <c r="AD1826" s="1056"/>
      <c r="AE1826" s="1056"/>
      <c r="AF1826" s="264"/>
    </row>
    <row r="1827" spans="1:32" s="268" customFormat="1" ht="15" x14ac:dyDescent="0.25">
      <c r="A1827" s="264"/>
      <c r="B1827" s="264"/>
      <c r="C1827" s="1056"/>
      <c r="D1827" s="1056"/>
      <c r="E1827" s="1056"/>
      <c r="F1827" s="1056"/>
      <c r="G1827" s="1056"/>
      <c r="H1827" s="1056"/>
      <c r="I1827" s="1056"/>
      <c r="J1827" s="1056"/>
      <c r="K1827" s="1056"/>
      <c r="L1827" s="1056"/>
      <c r="M1827" s="274"/>
      <c r="P1827" s="264"/>
      <c r="Q1827" s="264"/>
      <c r="R1827" s="264"/>
      <c r="S1827" s="264"/>
      <c r="T1827" s="1056"/>
      <c r="U1827" s="1056"/>
      <c r="V1827" s="1056"/>
      <c r="W1827" s="1056"/>
      <c r="X1827" s="1056"/>
      <c r="Y1827" s="1056"/>
      <c r="Z1827" s="1056"/>
      <c r="AA1827" s="1056"/>
      <c r="AB1827" s="1056"/>
      <c r="AC1827" s="1056"/>
      <c r="AD1827" s="1056"/>
      <c r="AE1827" s="1056"/>
      <c r="AF1827" s="264"/>
    </row>
    <row r="1828" spans="1:32" s="268" customFormat="1" ht="15" x14ac:dyDescent="0.25">
      <c r="A1828" s="264"/>
      <c r="B1828" s="264"/>
      <c r="C1828" s="1056"/>
      <c r="D1828" s="1056"/>
      <c r="E1828" s="1056"/>
      <c r="F1828" s="1056"/>
      <c r="G1828" s="1056"/>
      <c r="H1828" s="1056"/>
      <c r="I1828" s="1056"/>
      <c r="J1828" s="1056"/>
      <c r="K1828" s="1056"/>
      <c r="L1828" s="1056"/>
      <c r="M1828" s="274"/>
      <c r="P1828" s="264"/>
      <c r="Q1828" s="264"/>
      <c r="R1828" s="264"/>
      <c r="S1828" s="264"/>
      <c r="T1828" s="1056"/>
      <c r="U1828" s="1056"/>
      <c r="V1828" s="1056"/>
      <c r="W1828" s="1056"/>
      <c r="X1828" s="1056"/>
      <c r="Y1828" s="1056"/>
      <c r="Z1828" s="1056"/>
      <c r="AA1828" s="1056"/>
      <c r="AB1828" s="1056"/>
      <c r="AC1828" s="1056"/>
      <c r="AD1828" s="1056"/>
      <c r="AE1828" s="1056"/>
      <c r="AF1828" s="264"/>
    </row>
    <row r="1829" spans="1:32" s="268" customFormat="1" ht="15" x14ac:dyDescent="0.25">
      <c r="A1829" s="264"/>
      <c r="B1829" s="264"/>
      <c r="C1829" s="1056"/>
      <c r="D1829" s="1056"/>
      <c r="E1829" s="1056"/>
      <c r="F1829" s="1056"/>
      <c r="G1829" s="1056"/>
      <c r="H1829" s="1056"/>
      <c r="I1829" s="1056"/>
      <c r="J1829" s="1056"/>
      <c r="K1829" s="1056"/>
      <c r="L1829" s="1056"/>
      <c r="M1829" s="274"/>
      <c r="P1829" s="264"/>
      <c r="Q1829" s="264"/>
      <c r="R1829" s="264"/>
      <c r="S1829" s="264"/>
      <c r="T1829" s="1056"/>
      <c r="U1829" s="1056"/>
      <c r="V1829" s="1056"/>
      <c r="W1829" s="1056"/>
      <c r="X1829" s="1056"/>
      <c r="Y1829" s="1056"/>
      <c r="Z1829" s="1056"/>
      <c r="AA1829" s="1056"/>
      <c r="AB1829" s="1056"/>
      <c r="AC1829" s="1056"/>
      <c r="AD1829" s="1056"/>
      <c r="AE1829" s="1056"/>
      <c r="AF1829" s="264"/>
    </row>
    <row r="1830" spans="1:32" s="268" customFormat="1" ht="15" x14ac:dyDescent="0.25">
      <c r="A1830" s="264"/>
      <c r="B1830" s="264"/>
      <c r="C1830" s="1056"/>
      <c r="D1830" s="1056"/>
      <c r="E1830" s="1056"/>
      <c r="F1830" s="1056"/>
      <c r="G1830" s="1056"/>
      <c r="H1830" s="1056"/>
      <c r="I1830" s="1056"/>
      <c r="J1830" s="1056"/>
      <c r="K1830" s="1056"/>
      <c r="L1830" s="1056"/>
      <c r="M1830" s="274"/>
      <c r="P1830" s="264"/>
      <c r="Q1830" s="264"/>
      <c r="R1830" s="264"/>
      <c r="S1830" s="264"/>
      <c r="T1830" s="1056"/>
      <c r="U1830" s="1056"/>
      <c r="V1830" s="1056"/>
      <c r="W1830" s="1056"/>
      <c r="X1830" s="1056"/>
      <c r="Y1830" s="1056"/>
      <c r="Z1830" s="1056"/>
      <c r="AA1830" s="1056"/>
      <c r="AB1830" s="1056"/>
      <c r="AC1830" s="1056"/>
      <c r="AD1830" s="1056"/>
      <c r="AE1830" s="1056"/>
      <c r="AF1830" s="264"/>
    </row>
    <row r="1831" spans="1:32" s="268" customFormat="1" ht="15" x14ac:dyDescent="0.25">
      <c r="A1831" s="264"/>
      <c r="B1831" s="264"/>
      <c r="C1831" s="1056"/>
      <c r="D1831" s="1056"/>
      <c r="E1831" s="1056"/>
      <c r="F1831" s="1056"/>
      <c r="G1831" s="1056"/>
      <c r="H1831" s="1056"/>
      <c r="I1831" s="1056"/>
      <c r="J1831" s="1056"/>
      <c r="K1831" s="1056"/>
      <c r="L1831" s="1056"/>
      <c r="M1831" s="274"/>
      <c r="P1831" s="264"/>
      <c r="Q1831" s="264"/>
      <c r="R1831" s="264"/>
      <c r="S1831" s="264"/>
      <c r="T1831" s="1056"/>
      <c r="U1831" s="1056"/>
      <c r="V1831" s="1056"/>
      <c r="W1831" s="1056"/>
      <c r="X1831" s="1056"/>
      <c r="Y1831" s="1056"/>
      <c r="Z1831" s="1056"/>
      <c r="AA1831" s="1056"/>
      <c r="AB1831" s="1056"/>
      <c r="AC1831" s="1056"/>
      <c r="AD1831" s="1056"/>
      <c r="AE1831" s="1056"/>
      <c r="AF1831" s="264"/>
    </row>
    <row r="1832" spans="1:32" s="268" customFormat="1" ht="15" x14ac:dyDescent="0.25">
      <c r="A1832" s="264"/>
      <c r="B1832" s="264"/>
      <c r="C1832" s="1056"/>
      <c r="D1832" s="1056"/>
      <c r="E1832" s="1056"/>
      <c r="F1832" s="1056"/>
      <c r="G1832" s="1056"/>
      <c r="H1832" s="1056"/>
      <c r="I1832" s="1056"/>
      <c r="J1832" s="1056"/>
      <c r="K1832" s="1056"/>
      <c r="L1832" s="1056"/>
      <c r="M1832" s="274"/>
      <c r="P1832" s="264"/>
      <c r="Q1832" s="264"/>
      <c r="R1832" s="264"/>
      <c r="S1832" s="264"/>
      <c r="T1832" s="1056"/>
      <c r="U1832" s="1056"/>
      <c r="V1832" s="1056"/>
      <c r="W1832" s="1056"/>
      <c r="X1832" s="1056"/>
      <c r="Y1832" s="1056"/>
      <c r="Z1832" s="1056"/>
      <c r="AA1832" s="1056"/>
      <c r="AB1832" s="1056"/>
      <c r="AC1832" s="1056"/>
      <c r="AD1832" s="1056"/>
      <c r="AE1832" s="1056"/>
      <c r="AF1832" s="264"/>
    </row>
    <row r="1833" spans="1:32" s="268" customFormat="1" ht="15" x14ac:dyDescent="0.25">
      <c r="A1833" s="264"/>
      <c r="B1833" s="264"/>
      <c r="C1833" s="1056"/>
      <c r="D1833" s="1056"/>
      <c r="E1833" s="1056"/>
      <c r="F1833" s="1056"/>
      <c r="G1833" s="1056"/>
      <c r="H1833" s="1056"/>
      <c r="I1833" s="1056"/>
      <c r="J1833" s="1056"/>
      <c r="K1833" s="1056"/>
      <c r="L1833" s="1056"/>
      <c r="M1833" s="274"/>
      <c r="P1833" s="264"/>
      <c r="Q1833" s="264"/>
      <c r="R1833" s="264"/>
      <c r="S1833" s="264"/>
      <c r="T1833" s="1056"/>
      <c r="U1833" s="1056"/>
      <c r="V1833" s="1056"/>
      <c r="W1833" s="1056"/>
      <c r="X1833" s="1056"/>
      <c r="Y1833" s="1056"/>
      <c r="Z1833" s="1056"/>
      <c r="AA1833" s="1056"/>
      <c r="AB1833" s="1056"/>
      <c r="AC1833" s="1056"/>
      <c r="AD1833" s="1056"/>
      <c r="AE1833" s="1056"/>
      <c r="AF1833" s="264"/>
    </row>
    <row r="1834" spans="1:32" s="268" customFormat="1" ht="15" x14ac:dyDescent="0.25">
      <c r="A1834" s="264"/>
      <c r="B1834" s="264"/>
      <c r="C1834" s="1056"/>
      <c r="D1834" s="1056"/>
      <c r="E1834" s="1056"/>
      <c r="F1834" s="1056"/>
      <c r="G1834" s="1056"/>
      <c r="H1834" s="1056"/>
      <c r="I1834" s="1056"/>
      <c r="J1834" s="1056"/>
      <c r="K1834" s="1056"/>
      <c r="L1834" s="1056"/>
      <c r="M1834" s="274"/>
      <c r="P1834" s="264"/>
      <c r="Q1834" s="264"/>
      <c r="R1834" s="264"/>
      <c r="S1834" s="264"/>
      <c r="T1834" s="1056"/>
      <c r="U1834" s="1056"/>
      <c r="V1834" s="1056"/>
      <c r="W1834" s="1056"/>
      <c r="X1834" s="1056"/>
      <c r="Y1834" s="1056"/>
      <c r="Z1834" s="1056"/>
      <c r="AA1834" s="1056"/>
      <c r="AB1834" s="1056"/>
      <c r="AC1834" s="1056"/>
      <c r="AD1834" s="1056"/>
      <c r="AE1834" s="1056"/>
      <c r="AF1834" s="264"/>
    </row>
    <row r="1835" spans="1:32" s="268" customFormat="1" ht="15" x14ac:dyDescent="0.25">
      <c r="A1835" s="264"/>
      <c r="B1835" s="264"/>
      <c r="C1835" s="1056"/>
      <c r="D1835" s="1056"/>
      <c r="E1835" s="1056"/>
      <c r="F1835" s="1056"/>
      <c r="G1835" s="1056"/>
      <c r="H1835" s="1056"/>
      <c r="I1835" s="1056"/>
      <c r="J1835" s="1056"/>
      <c r="K1835" s="1056"/>
      <c r="L1835" s="1056"/>
      <c r="M1835" s="274"/>
      <c r="P1835" s="264"/>
      <c r="Q1835" s="264"/>
      <c r="R1835" s="264"/>
      <c r="S1835" s="264"/>
      <c r="T1835" s="1056"/>
      <c r="U1835" s="1056"/>
      <c r="V1835" s="1056"/>
      <c r="W1835" s="1056"/>
      <c r="X1835" s="1056"/>
      <c r="Y1835" s="1056"/>
      <c r="Z1835" s="1056"/>
      <c r="AA1835" s="1056"/>
      <c r="AB1835" s="1056"/>
      <c r="AC1835" s="1056"/>
      <c r="AD1835" s="1056"/>
      <c r="AE1835" s="1056"/>
      <c r="AF1835" s="264"/>
    </row>
    <row r="1836" spans="1:32" s="268" customFormat="1" ht="15" x14ac:dyDescent="0.25">
      <c r="A1836" s="264"/>
      <c r="B1836" s="264"/>
      <c r="C1836" s="1056"/>
      <c r="D1836" s="1056"/>
      <c r="E1836" s="1056"/>
      <c r="F1836" s="1056"/>
      <c r="G1836" s="1056"/>
      <c r="H1836" s="1056"/>
      <c r="I1836" s="1056"/>
      <c r="J1836" s="1056"/>
      <c r="K1836" s="1056"/>
      <c r="L1836" s="1056"/>
      <c r="M1836" s="274"/>
      <c r="P1836" s="264"/>
      <c r="Q1836" s="264"/>
      <c r="R1836" s="264"/>
      <c r="S1836" s="264"/>
      <c r="T1836" s="1056"/>
      <c r="U1836" s="1056"/>
      <c r="V1836" s="1056"/>
      <c r="W1836" s="1056"/>
      <c r="X1836" s="1056"/>
      <c r="Y1836" s="1056"/>
      <c r="Z1836" s="1056"/>
      <c r="AA1836" s="1056"/>
      <c r="AB1836" s="1056"/>
      <c r="AC1836" s="1056"/>
      <c r="AD1836" s="1056"/>
      <c r="AE1836" s="1056"/>
      <c r="AF1836" s="264"/>
    </row>
    <row r="1837" spans="1:32" s="268" customFormat="1" ht="15" x14ac:dyDescent="0.25">
      <c r="A1837" s="264"/>
      <c r="B1837" s="264"/>
      <c r="C1837" s="1056"/>
      <c r="D1837" s="1056"/>
      <c r="E1837" s="1056"/>
      <c r="F1837" s="1056"/>
      <c r="G1837" s="1056"/>
      <c r="H1837" s="1056"/>
      <c r="I1837" s="1056"/>
      <c r="J1837" s="1056"/>
      <c r="K1837" s="1056"/>
      <c r="L1837" s="1056"/>
      <c r="M1837" s="274"/>
      <c r="P1837" s="264"/>
      <c r="Q1837" s="264"/>
      <c r="R1837" s="264"/>
      <c r="S1837" s="264"/>
      <c r="T1837" s="1056"/>
      <c r="U1837" s="1056"/>
      <c r="V1837" s="1056"/>
      <c r="W1837" s="1056"/>
      <c r="X1837" s="1056"/>
      <c r="Y1837" s="1056"/>
      <c r="Z1837" s="1056"/>
      <c r="AA1837" s="1056"/>
      <c r="AB1837" s="1056"/>
      <c r="AC1837" s="1056"/>
      <c r="AD1837" s="1056"/>
      <c r="AE1837" s="1056"/>
      <c r="AF1837" s="264"/>
    </row>
    <row r="1838" spans="1:32" s="268" customFormat="1" ht="15" x14ac:dyDescent="0.25">
      <c r="A1838" s="264"/>
      <c r="B1838" s="264"/>
      <c r="C1838" s="1056"/>
      <c r="D1838" s="1056"/>
      <c r="E1838" s="1056"/>
      <c r="F1838" s="1056"/>
      <c r="G1838" s="1056"/>
      <c r="H1838" s="1056"/>
      <c r="I1838" s="1056"/>
      <c r="J1838" s="1056"/>
      <c r="K1838" s="1056"/>
      <c r="L1838" s="1056"/>
      <c r="M1838" s="274"/>
      <c r="P1838" s="264"/>
      <c r="Q1838" s="264"/>
      <c r="R1838" s="264"/>
      <c r="S1838" s="264"/>
      <c r="T1838" s="1056"/>
      <c r="U1838" s="1056"/>
      <c r="V1838" s="1056"/>
      <c r="W1838" s="1056"/>
      <c r="X1838" s="1056"/>
      <c r="Y1838" s="1056"/>
      <c r="Z1838" s="1056"/>
      <c r="AA1838" s="1056"/>
      <c r="AB1838" s="1056"/>
      <c r="AC1838" s="1056"/>
      <c r="AD1838" s="1056"/>
      <c r="AE1838" s="1056"/>
      <c r="AF1838" s="264"/>
    </row>
    <row r="1839" spans="1:32" s="268" customFormat="1" ht="15" x14ac:dyDescent="0.25">
      <c r="A1839" s="264"/>
      <c r="B1839" s="264"/>
      <c r="C1839" s="1056"/>
      <c r="D1839" s="1056"/>
      <c r="E1839" s="1056"/>
      <c r="F1839" s="1056"/>
      <c r="G1839" s="1056"/>
      <c r="H1839" s="1056"/>
      <c r="I1839" s="1056"/>
      <c r="J1839" s="1056"/>
      <c r="K1839" s="1056"/>
      <c r="L1839" s="1056"/>
      <c r="M1839" s="274"/>
      <c r="P1839" s="264"/>
      <c r="Q1839" s="264"/>
      <c r="R1839" s="264"/>
      <c r="S1839" s="264"/>
      <c r="T1839" s="1056"/>
      <c r="U1839" s="1056"/>
      <c r="V1839" s="1056"/>
      <c r="W1839" s="1056"/>
      <c r="X1839" s="1056"/>
      <c r="Y1839" s="1056"/>
      <c r="Z1839" s="1056"/>
      <c r="AA1839" s="1056"/>
      <c r="AB1839" s="1056"/>
      <c r="AC1839" s="1056"/>
      <c r="AD1839" s="1056"/>
      <c r="AE1839" s="1056"/>
      <c r="AF1839" s="264"/>
    </row>
    <row r="1840" spans="1:32" s="268" customFormat="1" ht="15" x14ac:dyDescent="0.25">
      <c r="A1840" s="264"/>
      <c r="B1840" s="264"/>
      <c r="C1840" s="1056"/>
      <c r="D1840" s="1056"/>
      <c r="E1840" s="1056"/>
      <c r="F1840" s="1056"/>
      <c r="G1840" s="1056"/>
      <c r="H1840" s="1056"/>
      <c r="I1840" s="1056"/>
      <c r="J1840" s="1056"/>
      <c r="K1840" s="1056"/>
      <c r="L1840" s="1056"/>
      <c r="M1840" s="274"/>
      <c r="P1840" s="264"/>
      <c r="Q1840" s="264"/>
      <c r="R1840" s="264"/>
      <c r="S1840" s="264"/>
      <c r="T1840" s="1056"/>
      <c r="U1840" s="1056"/>
      <c r="V1840" s="1056"/>
      <c r="W1840" s="1056"/>
      <c r="X1840" s="1056"/>
      <c r="Y1840" s="1056"/>
      <c r="Z1840" s="1056"/>
      <c r="AA1840" s="1056"/>
      <c r="AB1840" s="1056"/>
      <c r="AC1840" s="1056"/>
      <c r="AD1840" s="1056"/>
      <c r="AE1840" s="1056"/>
      <c r="AF1840" s="264"/>
    </row>
    <row r="1841" spans="1:32" s="268" customFormat="1" ht="15" x14ac:dyDescent="0.25">
      <c r="A1841" s="264"/>
      <c r="B1841" s="264"/>
      <c r="C1841" s="1056"/>
      <c r="D1841" s="1056"/>
      <c r="E1841" s="1056"/>
      <c r="F1841" s="1056"/>
      <c r="G1841" s="1056"/>
      <c r="H1841" s="1056"/>
      <c r="I1841" s="1056"/>
      <c r="J1841" s="1056"/>
      <c r="K1841" s="1056"/>
      <c r="L1841" s="1056"/>
      <c r="M1841" s="274"/>
      <c r="P1841" s="264"/>
      <c r="Q1841" s="264"/>
      <c r="R1841" s="264"/>
      <c r="S1841" s="264"/>
      <c r="T1841" s="1056"/>
      <c r="U1841" s="1056"/>
      <c r="V1841" s="1056"/>
      <c r="W1841" s="1056"/>
      <c r="X1841" s="1056"/>
      <c r="Y1841" s="1056"/>
      <c r="Z1841" s="1056"/>
      <c r="AA1841" s="1056"/>
      <c r="AB1841" s="1056"/>
      <c r="AC1841" s="1056"/>
      <c r="AD1841" s="1056"/>
      <c r="AE1841" s="1056"/>
      <c r="AF1841" s="264"/>
    </row>
    <row r="1842" spans="1:32" s="268" customFormat="1" ht="15" x14ac:dyDescent="0.25">
      <c r="A1842" s="264"/>
      <c r="B1842" s="264"/>
      <c r="C1842" s="1056"/>
      <c r="D1842" s="1056"/>
      <c r="E1842" s="1056"/>
      <c r="F1842" s="1056"/>
      <c r="G1842" s="1056"/>
      <c r="H1842" s="1056"/>
      <c r="I1842" s="1056"/>
      <c r="J1842" s="1056"/>
      <c r="K1842" s="1056"/>
      <c r="L1842" s="1056"/>
      <c r="M1842" s="274"/>
      <c r="P1842" s="264"/>
      <c r="Q1842" s="264"/>
      <c r="R1842" s="264"/>
      <c r="S1842" s="264"/>
      <c r="T1842" s="1056"/>
      <c r="U1842" s="1056"/>
      <c r="V1842" s="1056"/>
      <c r="W1842" s="1056"/>
      <c r="X1842" s="1056"/>
      <c r="Y1842" s="1056"/>
      <c r="Z1842" s="1056"/>
      <c r="AA1842" s="1056"/>
      <c r="AB1842" s="1056"/>
      <c r="AC1842" s="1056"/>
      <c r="AD1842" s="1056"/>
      <c r="AE1842" s="1056"/>
      <c r="AF1842" s="264"/>
    </row>
    <row r="1843" spans="1:32" s="268" customFormat="1" ht="15" x14ac:dyDescent="0.25">
      <c r="A1843" s="264"/>
      <c r="B1843" s="264"/>
      <c r="C1843" s="1056"/>
      <c r="D1843" s="1056"/>
      <c r="E1843" s="1056"/>
      <c r="F1843" s="1056"/>
      <c r="G1843" s="1056"/>
      <c r="H1843" s="1056"/>
      <c r="I1843" s="1056"/>
      <c r="J1843" s="1056"/>
      <c r="K1843" s="1056"/>
      <c r="L1843" s="1056"/>
      <c r="M1843" s="274"/>
      <c r="P1843" s="264"/>
      <c r="Q1843" s="264"/>
      <c r="R1843" s="264"/>
      <c r="S1843" s="264"/>
      <c r="T1843" s="1056"/>
      <c r="U1843" s="1056"/>
      <c r="V1843" s="1056"/>
      <c r="W1843" s="1056"/>
      <c r="X1843" s="1056"/>
      <c r="Y1843" s="1056"/>
      <c r="Z1843" s="1056"/>
      <c r="AA1843" s="1056"/>
      <c r="AB1843" s="1056"/>
      <c r="AC1843" s="1056"/>
      <c r="AD1843" s="1056"/>
      <c r="AE1843" s="1056"/>
      <c r="AF1843" s="264"/>
    </row>
    <row r="1844" spans="1:32" s="268" customFormat="1" ht="15" x14ac:dyDescent="0.25">
      <c r="A1844" s="264"/>
      <c r="B1844" s="264"/>
      <c r="C1844" s="1056"/>
      <c r="D1844" s="1056"/>
      <c r="E1844" s="1056"/>
      <c r="F1844" s="1056"/>
      <c r="G1844" s="1056"/>
      <c r="H1844" s="1056"/>
      <c r="I1844" s="1056"/>
      <c r="J1844" s="1056"/>
      <c r="K1844" s="1056"/>
      <c r="L1844" s="1056"/>
      <c r="M1844" s="274"/>
      <c r="P1844" s="264"/>
      <c r="Q1844" s="264"/>
      <c r="R1844" s="264"/>
      <c r="S1844" s="264"/>
      <c r="T1844" s="1056"/>
      <c r="U1844" s="1056"/>
      <c r="V1844" s="1056"/>
      <c r="W1844" s="1056"/>
      <c r="X1844" s="1056"/>
      <c r="Y1844" s="1056"/>
      <c r="Z1844" s="1056"/>
      <c r="AA1844" s="1056"/>
      <c r="AB1844" s="1056"/>
      <c r="AC1844" s="1056"/>
      <c r="AD1844" s="1056"/>
      <c r="AE1844" s="1056"/>
      <c r="AF1844" s="264"/>
    </row>
    <row r="1845" spans="1:32" s="268" customFormat="1" ht="15" x14ac:dyDescent="0.25">
      <c r="A1845" s="264"/>
      <c r="B1845" s="264"/>
      <c r="C1845" s="1056"/>
      <c r="D1845" s="1056"/>
      <c r="E1845" s="1056"/>
      <c r="F1845" s="1056"/>
      <c r="G1845" s="1056"/>
      <c r="H1845" s="1056"/>
      <c r="I1845" s="1056"/>
      <c r="J1845" s="1056"/>
      <c r="K1845" s="1056"/>
      <c r="L1845" s="1056"/>
      <c r="M1845" s="274"/>
      <c r="P1845" s="264"/>
      <c r="Q1845" s="264"/>
      <c r="R1845" s="264"/>
      <c r="S1845" s="264"/>
      <c r="T1845" s="1056"/>
      <c r="U1845" s="1056"/>
      <c r="V1845" s="1056"/>
      <c r="W1845" s="1056"/>
      <c r="X1845" s="1056"/>
      <c r="Y1845" s="1056"/>
      <c r="Z1845" s="1056"/>
      <c r="AA1845" s="1056"/>
      <c r="AB1845" s="1056"/>
      <c r="AC1845" s="1056"/>
      <c r="AD1845" s="1056"/>
      <c r="AE1845" s="1056"/>
      <c r="AF1845" s="264"/>
    </row>
    <row r="1846" spans="1:32" s="268" customFormat="1" ht="15" x14ac:dyDescent="0.25">
      <c r="A1846" s="264"/>
      <c r="B1846" s="264"/>
      <c r="C1846" s="1056"/>
      <c r="D1846" s="1056"/>
      <c r="E1846" s="1056"/>
      <c r="F1846" s="1056"/>
      <c r="G1846" s="1056"/>
      <c r="H1846" s="1056"/>
      <c r="I1846" s="1056"/>
      <c r="J1846" s="1056"/>
      <c r="K1846" s="1056"/>
      <c r="L1846" s="1056"/>
      <c r="M1846" s="274"/>
      <c r="P1846" s="264"/>
      <c r="Q1846" s="264"/>
      <c r="R1846" s="264"/>
      <c r="S1846" s="264"/>
      <c r="T1846" s="1056"/>
      <c r="U1846" s="1056"/>
      <c r="V1846" s="1056"/>
      <c r="W1846" s="1056"/>
      <c r="X1846" s="1056"/>
      <c r="Y1846" s="1056"/>
      <c r="Z1846" s="1056"/>
      <c r="AA1846" s="1056"/>
      <c r="AB1846" s="1056"/>
      <c r="AC1846" s="1056"/>
      <c r="AD1846" s="1056"/>
      <c r="AE1846" s="1056"/>
      <c r="AF1846" s="264"/>
    </row>
    <row r="1847" spans="1:32" s="268" customFormat="1" ht="15" x14ac:dyDescent="0.25">
      <c r="A1847" s="264"/>
      <c r="B1847" s="264"/>
      <c r="C1847" s="1056"/>
      <c r="D1847" s="1056"/>
      <c r="E1847" s="1056"/>
      <c r="F1847" s="1056"/>
      <c r="G1847" s="1056"/>
      <c r="H1847" s="1056"/>
      <c r="I1847" s="1056"/>
      <c r="J1847" s="1056"/>
      <c r="K1847" s="1056"/>
      <c r="L1847" s="1056"/>
      <c r="M1847" s="274"/>
      <c r="P1847" s="264"/>
      <c r="Q1847" s="264"/>
      <c r="R1847" s="264"/>
      <c r="S1847" s="264"/>
      <c r="T1847" s="1056"/>
      <c r="U1847" s="1056"/>
      <c r="V1847" s="1056"/>
      <c r="W1847" s="1056"/>
      <c r="X1847" s="1056"/>
      <c r="Y1847" s="1056"/>
      <c r="Z1847" s="1056"/>
      <c r="AA1847" s="1056"/>
      <c r="AB1847" s="1056"/>
      <c r="AC1847" s="1056"/>
      <c r="AD1847" s="1056"/>
      <c r="AE1847" s="1056"/>
      <c r="AF1847" s="264"/>
    </row>
    <row r="1848" spans="1:32" s="268" customFormat="1" ht="15" x14ac:dyDescent="0.25">
      <c r="A1848" s="264"/>
      <c r="B1848" s="264"/>
      <c r="C1848" s="1056"/>
      <c r="D1848" s="1056"/>
      <c r="E1848" s="1056"/>
      <c r="F1848" s="1056"/>
      <c r="G1848" s="1056"/>
      <c r="H1848" s="1056"/>
      <c r="I1848" s="1056"/>
      <c r="J1848" s="1056"/>
      <c r="K1848" s="1056"/>
      <c r="L1848" s="1056"/>
      <c r="M1848" s="274"/>
      <c r="P1848" s="264"/>
      <c r="Q1848" s="264"/>
      <c r="R1848" s="264"/>
      <c r="S1848" s="264"/>
      <c r="T1848" s="1056"/>
      <c r="U1848" s="1056"/>
      <c r="V1848" s="1056"/>
      <c r="W1848" s="1056"/>
      <c r="X1848" s="1056"/>
      <c r="Y1848" s="1056"/>
      <c r="Z1848" s="1056"/>
      <c r="AA1848" s="1056"/>
      <c r="AB1848" s="1056"/>
      <c r="AC1848" s="1056"/>
      <c r="AD1848" s="1056"/>
      <c r="AE1848" s="1056"/>
      <c r="AF1848" s="264"/>
    </row>
    <row r="1849" spans="1:32" s="268" customFormat="1" ht="15" x14ac:dyDescent="0.25">
      <c r="A1849" s="264"/>
      <c r="B1849" s="264"/>
      <c r="C1849" s="1056"/>
      <c r="D1849" s="1056"/>
      <c r="E1849" s="1056"/>
      <c r="F1849" s="1056"/>
      <c r="G1849" s="1056"/>
      <c r="H1849" s="1056"/>
      <c r="I1849" s="1056"/>
      <c r="J1849" s="1056"/>
      <c r="K1849" s="1056"/>
      <c r="L1849" s="1056"/>
      <c r="M1849" s="274"/>
      <c r="P1849" s="264"/>
      <c r="Q1849" s="264"/>
      <c r="R1849" s="264"/>
      <c r="S1849" s="264"/>
      <c r="T1849" s="1056"/>
      <c r="U1849" s="1056"/>
      <c r="V1849" s="1056"/>
      <c r="W1849" s="1056"/>
      <c r="X1849" s="1056"/>
      <c r="Y1849" s="1056"/>
      <c r="Z1849" s="1056"/>
      <c r="AA1849" s="1056"/>
      <c r="AB1849" s="1056"/>
      <c r="AC1849" s="1056"/>
      <c r="AD1849" s="1056"/>
      <c r="AE1849" s="1056"/>
      <c r="AF1849" s="264"/>
    </row>
    <row r="1850" spans="1:32" s="268" customFormat="1" ht="15" x14ac:dyDescent="0.25">
      <c r="A1850" s="264"/>
      <c r="B1850" s="264"/>
      <c r="C1850" s="1056"/>
      <c r="D1850" s="1056"/>
      <c r="E1850" s="1056"/>
      <c r="F1850" s="1056"/>
      <c r="G1850" s="1056"/>
      <c r="H1850" s="1056"/>
      <c r="I1850" s="1056"/>
      <c r="J1850" s="1056"/>
      <c r="K1850" s="1056"/>
      <c r="L1850" s="1056"/>
      <c r="M1850" s="274"/>
      <c r="P1850" s="264"/>
      <c r="Q1850" s="264"/>
      <c r="R1850" s="264"/>
      <c r="S1850" s="264"/>
      <c r="T1850" s="1056"/>
      <c r="U1850" s="1056"/>
      <c r="V1850" s="1056"/>
      <c r="W1850" s="1056"/>
      <c r="X1850" s="1056"/>
      <c r="Y1850" s="1056"/>
      <c r="Z1850" s="1056"/>
      <c r="AA1850" s="1056"/>
      <c r="AB1850" s="1056"/>
      <c r="AC1850" s="1056"/>
      <c r="AD1850" s="1056"/>
      <c r="AE1850" s="1056"/>
      <c r="AF1850" s="264"/>
    </row>
    <row r="1851" spans="1:32" s="268" customFormat="1" ht="15" x14ac:dyDescent="0.25">
      <c r="A1851" s="264"/>
      <c r="B1851" s="264"/>
      <c r="C1851" s="1056"/>
      <c r="D1851" s="1056"/>
      <c r="E1851" s="1056"/>
      <c r="F1851" s="1056"/>
      <c r="G1851" s="1056"/>
      <c r="H1851" s="1056"/>
      <c r="I1851" s="1056"/>
      <c r="J1851" s="1056"/>
      <c r="K1851" s="1056"/>
      <c r="L1851" s="1056"/>
      <c r="M1851" s="274"/>
      <c r="P1851" s="264"/>
      <c r="Q1851" s="264"/>
      <c r="R1851" s="264"/>
      <c r="S1851" s="264"/>
      <c r="T1851" s="1056"/>
      <c r="U1851" s="1056"/>
      <c r="V1851" s="1056"/>
      <c r="W1851" s="1056"/>
      <c r="X1851" s="1056"/>
      <c r="Y1851" s="1056"/>
      <c r="Z1851" s="1056"/>
      <c r="AA1851" s="1056"/>
      <c r="AB1851" s="1056"/>
      <c r="AC1851" s="1056"/>
      <c r="AD1851" s="1056"/>
      <c r="AE1851" s="1056"/>
      <c r="AF1851" s="264"/>
    </row>
    <row r="1852" spans="1:32" s="268" customFormat="1" ht="15" x14ac:dyDescent="0.25">
      <c r="A1852" s="264"/>
      <c r="B1852" s="264"/>
      <c r="C1852" s="1056"/>
      <c r="D1852" s="1056"/>
      <c r="E1852" s="1056"/>
      <c r="F1852" s="1056"/>
      <c r="G1852" s="1056"/>
      <c r="H1852" s="1056"/>
      <c r="I1852" s="1056"/>
      <c r="J1852" s="1056"/>
      <c r="K1852" s="1056"/>
      <c r="L1852" s="1056"/>
      <c r="M1852" s="274"/>
      <c r="P1852" s="264"/>
      <c r="Q1852" s="264"/>
      <c r="R1852" s="264"/>
      <c r="S1852" s="264"/>
      <c r="T1852" s="1056"/>
      <c r="U1852" s="1056"/>
      <c r="V1852" s="1056"/>
      <c r="W1852" s="1056"/>
      <c r="X1852" s="1056"/>
      <c r="Y1852" s="1056"/>
      <c r="Z1852" s="1056"/>
      <c r="AA1852" s="1056"/>
      <c r="AB1852" s="1056"/>
      <c r="AC1852" s="1056"/>
      <c r="AD1852" s="1056"/>
      <c r="AE1852" s="1056"/>
      <c r="AF1852" s="264"/>
    </row>
    <row r="1853" spans="1:32" s="268" customFormat="1" ht="15" x14ac:dyDescent="0.25">
      <c r="A1853" s="264"/>
      <c r="B1853" s="264"/>
      <c r="C1853" s="1056"/>
      <c r="D1853" s="1056"/>
      <c r="E1853" s="1056"/>
      <c r="F1853" s="1056"/>
      <c r="G1853" s="1056"/>
      <c r="H1853" s="1056"/>
      <c r="I1853" s="1056"/>
      <c r="J1853" s="1056"/>
      <c r="K1853" s="1056"/>
      <c r="L1853" s="1056"/>
      <c r="M1853" s="274"/>
      <c r="P1853" s="264"/>
      <c r="Q1853" s="264"/>
      <c r="R1853" s="264"/>
      <c r="S1853" s="264"/>
      <c r="T1853" s="1056"/>
      <c r="U1853" s="1056"/>
      <c r="V1853" s="1056"/>
      <c r="W1853" s="1056"/>
      <c r="X1853" s="1056"/>
      <c r="Y1853" s="1056"/>
      <c r="Z1853" s="1056"/>
      <c r="AA1853" s="1056"/>
      <c r="AB1853" s="1056"/>
      <c r="AC1853" s="1056"/>
      <c r="AD1853" s="1056"/>
      <c r="AE1853" s="1056"/>
      <c r="AF1853" s="264"/>
    </row>
    <row r="1854" spans="1:32" s="268" customFormat="1" ht="15" x14ac:dyDescent="0.25">
      <c r="A1854" s="264"/>
      <c r="B1854" s="264"/>
      <c r="C1854" s="1056"/>
      <c r="D1854" s="1056"/>
      <c r="E1854" s="1056"/>
      <c r="F1854" s="1056"/>
      <c r="G1854" s="1056"/>
      <c r="H1854" s="1056"/>
      <c r="I1854" s="1056"/>
      <c r="J1854" s="1056"/>
      <c r="K1854" s="1056"/>
      <c r="L1854" s="1056"/>
      <c r="M1854" s="274"/>
      <c r="P1854" s="264"/>
      <c r="Q1854" s="264"/>
      <c r="R1854" s="264"/>
      <c r="S1854" s="264"/>
      <c r="T1854" s="1056"/>
      <c r="U1854" s="1056"/>
      <c r="V1854" s="1056"/>
      <c r="W1854" s="1056"/>
      <c r="X1854" s="1056"/>
      <c r="Y1854" s="1056"/>
      <c r="Z1854" s="1056"/>
      <c r="AA1854" s="1056"/>
      <c r="AB1854" s="1056"/>
      <c r="AC1854" s="1056"/>
      <c r="AD1854" s="1056"/>
      <c r="AE1854" s="1056"/>
      <c r="AF1854" s="264"/>
    </row>
    <row r="1855" spans="1:32" s="268" customFormat="1" ht="15" x14ac:dyDescent="0.25">
      <c r="A1855" s="264"/>
      <c r="B1855" s="264"/>
      <c r="C1855" s="1056"/>
      <c r="D1855" s="1056"/>
      <c r="E1855" s="1056"/>
      <c r="F1855" s="1056"/>
      <c r="G1855" s="1056"/>
      <c r="H1855" s="1056"/>
      <c r="I1855" s="1056"/>
      <c r="J1855" s="1056"/>
      <c r="K1855" s="1056"/>
      <c r="L1855" s="1056"/>
      <c r="M1855" s="274"/>
      <c r="P1855" s="264"/>
      <c r="Q1855" s="264"/>
      <c r="R1855" s="264"/>
      <c r="S1855" s="264"/>
      <c r="T1855" s="1056"/>
      <c r="U1855" s="1056"/>
      <c r="V1855" s="1056"/>
      <c r="W1855" s="1056"/>
      <c r="X1855" s="1056"/>
      <c r="Y1855" s="1056"/>
      <c r="Z1855" s="1056"/>
      <c r="AA1855" s="1056"/>
      <c r="AB1855" s="1056"/>
      <c r="AC1855" s="1056"/>
      <c r="AD1855" s="1056"/>
      <c r="AE1855" s="1056"/>
      <c r="AF1855" s="264"/>
    </row>
    <row r="1856" spans="1:32" s="268" customFormat="1" ht="15" x14ac:dyDescent="0.25">
      <c r="A1856" s="264"/>
      <c r="B1856" s="264"/>
      <c r="C1856" s="1056"/>
      <c r="D1856" s="1056"/>
      <c r="E1856" s="1056"/>
      <c r="F1856" s="1056"/>
      <c r="G1856" s="1056"/>
      <c r="H1856" s="1056"/>
      <c r="I1856" s="1056"/>
      <c r="J1856" s="1056"/>
      <c r="K1856" s="1056"/>
      <c r="L1856" s="1056"/>
      <c r="M1856" s="274"/>
      <c r="P1856" s="264"/>
      <c r="Q1856" s="264"/>
      <c r="R1856" s="264"/>
      <c r="S1856" s="264"/>
      <c r="T1856" s="1056"/>
      <c r="U1856" s="1056"/>
      <c r="V1856" s="1056"/>
      <c r="W1856" s="1056"/>
      <c r="X1856" s="1056"/>
      <c r="Y1856" s="1056"/>
      <c r="Z1856" s="1056"/>
      <c r="AA1856" s="1056"/>
      <c r="AB1856" s="1056"/>
      <c r="AC1856" s="1056"/>
      <c r="AD1856" s="1056"/>
      <c r="AE1856" s="1056"/>
      <c r="AF1856" s="264"/>
    </row>
    <row r="1857" spans="1:32" s="268" customFormat="1" ht="15" x14ac:dyDescent="0.25">
      <c r="A1857" s="264"/>
      <c r="B1857" s="264"/>
      <c r="C1857" s="1056"/>
      <c r="D1857" s="1056"/>
      <c r="E1857" s="1056"/>
      <c r="F1857" s="1056"/>
      <c r="G1857" s="1056"/>
      <c r="H1857" s="1056"/>
      <c r="I1857" s="1056"/>
      <c r="J1857" s="1056"/>
      <c r="K1857" s="1056"/>
      <c r="L1857" s="1056"/>
      <c r="M1857" s="274"/>
      <c r="P1857" s="264"/>
      <c r="Q1857" s="264"/>
      <c r="R1857" s="264"/>
      <c r="S1857" s="264"/>
      <c r="T1857" s="1056"/>
      <c r="U1857" s="1056"/>
      <c r="V1857" s="1056"/>
      <c r="W1857" s="1056"/>
      <c r="X1857" s="1056"/>
      <c r="Y1857" s="1056"/>
      <c r="Z1857" s="1056"/>
      <c r="AA1857" s="1056"/>
      <c r="AB1857" s="1056"/>
      <c r="AC1857" s="1056"/>
      <c r="AD1857" s="1056"/>
      <c r="AE1857" s="1056"/>
      <c r="AF1857" s="264"/>
    </row>
    <row r="1858" spans="1:32" s="268" customFormat="1" ht="15" x14ac:dyDescent="0.25">
      <c r="A1858" s="264"/>
      <c r="B1858" s="264"/>
      <c r="C1858" s="1056"/>
      <c r="D1858" s="1056"/>
      <c r="E1858" s="1056"/>
      <c r="F1858" s="1056"/>
      <c r="G1858" s="1056"/>
      <c r="H1858" s="1056"/>
      <c r="I1858" s="1056"/>
      <c r="J1858" s="1056"/>
      <c r="K1858" s="1056"/>
      <c r="L1858" s="1056"/>
      <c r="M1858" s="274"/>
      <c r="P1858" s="264"/>
      <c r="Q1858" s="264"/>
      <c r="R1858" s="264"/>
      <c r="S1858" s="264"/>
      <c r="T1858" s="1056"/>
      <c r="U1858" s="1056"/>
      <c r="V1858" s="1056"/>
      <c r="W1858" s="1056"/>
      <c r="X1858" s="1056"/>
      <c r="Y1858" s="1056"/>
      <c r="Z1858" s="1056"/>
      <c r="AA1858" s="1056"/>
      <c r="AB1858" s="1056"/>
      <c r="AC1858" s="1056"/>
      <c r="AD1858" s="1056"/>
      <c r="AE1858" s="1056"/>
      <c r="AF1858" s="264"/>
    </row>
    <row r="1859" spans="1:32" s="268" customFormat="1" ht="15" x14ac:dyDescent="0.25">
      <c r="A1859" s="264"/>
      <c r="B1859" s="264"/>
      <c r="C1859" s="1056"/>
      <c r="D1859" s="1056"/>
      <c r="E1859" s="1056"/>
      <c r="F1859" s="1056"/>
      <c r="G1859" s="1056"/>
      <c r="H1859" s="1056"/>
      <c r="I1859" s="1056"/>
      <c r="J1859" s="1056"/>
      <c r="K1859" s="1056"/>
      <c r="L1859" s="1056"/>
      <c r="M1859" s="274"/>
      <c r="P1859" s="264"/>
      <c r="Q1859" s="264"/>
      <c r="R1859" s="264"/>
      <c r="S1859" s="264"/>
      <c r="T1859" s="1056"/>
      <c r="U1859" s="1056"/>
      <c r="V1859" s="1056"/>
      <c r="W1859" s="1056"/>
      <c r="X1859" s="1056"/>
      <c r="Y1859" s="1056"/>
      <c r="Z1859" s="1056"/>
      <c r="AA1859" s="1056"/>
      <c r="AB1859" s="1056"/>
      <c r="AC1859" s="1056"/>
      <c r="AD1859" s="1056"/>
      <c r="AE1859" s="1056"/>
      <c r="AF1859" s="264"/>
    </row>
    <row r="1860" spans="1:32" s="268" customFormat="1" ht="15" x14ac:dyDescent="0.25">
      <c r="A1860" s="264"/>
      <c r="B1860" s="264"/>
      <c r="C1860" s="1056"/>
      <c r="D1860" s="1056"/>
      <c r="E1860" s="1056"/>
      <c r="F1860" s="1056"/>
      <c r="G1860" s="1056"/>
      <c r="H1860" s="1056"/>
      <c r="I1860" s="1056"/>
      <c r="J1860" s="1056"/>
      <c r="K1860" s="1056"/>
      <c r="L1860" s="1056"/>
      <c r="M1860" s="274"/>
      <c r="P1860" s="264"/>
      <c r="Q1860" s="264"/>
      <c r="R1860" s="264"/>
      <c r="S1860" s="264"/>
      <c r="T1860" s="1056"/>
      <c r="U1860" s="1056"/>
      <c r="V1860" s="1056"/>
      <c r="W1860" s="1056"/>
      <c r="X1860" s="1056"/>
      <c r="Y1860" s="1056"/>
      <c r="Z1860" s="1056"/>
      <c r="AA1860" s="1056"/>
      <c r="AB1860" s="1056"/>
      <c r="AC1860" s="1056"/>
      <c r="AD1860" s="1056"/>
      <c r="AE1860" s="1056"/>
      <c r="AF1860" s="264"/>
    </row>
    <row r="1861" spans="1:32" s="268" customFormat="1" ht="15" x14ac:dyDescent="0.25">
      <c r="A1861" s="264"/>
      <c r="B1861" s="264"/>
      <c r="C1861" s="1056"/>
      <c r="D1861" s="1056"/>
      <c r="E1861" s="1056"/>
      <c r="F1861" s="1056"/>
      <c r="G1861" s="1056"/>
      <c r="H1861" s="1056"/>
      <c r="I1861" s="1056"/>
      <c r="J1861" s="1056"/>
      <c r="K1861" s="1056"/>
      <c r="L1861" s="1056"/>
      <c r="M1861" s="274"/>
      <c r="P1861" s="264"/>
      <c r="Q1861" s="264"/>
      <c r="R1861" s="264"/>
      <c r="S1861" s="264"/>
      <c r="T1861" s="1056"/>
      <c r="U1861" s="1056"/>
      <c r="V1861" s="1056"/>
      <c r="W1861" s="1056"/>
      <c r="X1861" s="1056"/>
      <c r="Y1861" s="1056"/>
      <c r="Z1861" s="1056"/>
      <c r="AA1861" s="1056"/>
      <c r="AB1861" s="1056"/>
      <c r="AC1861" s="1056"/>
      <c r="AD1861" s="1056"/>
      <c r="AE1861" s="1056"/>
      <c r="AF1861" s="264"/>
    </row>
    <row r="1862" spans="1:32" s="268" customFormat="1" ht="15" x14ac:dyDescent="0.25">
      <c r="A1862" s="264"/>
      <c r="B1862" s="264"/>
      <c r="C1862" s="1056"/>
      <c r="D1862" s="1056"/>
      <c r="E1862" s="1056"/>
      <c r="F1862" s="1056"/>
      <c r="G1862" s="1056"/>
      <c r="H1862" s="1056"/>
      <c r="I1862" s="1056"/>
      <c r="J1862" s="1056"/>
      <c r="K1862" s="1056"/>
      <c r="L1862" s="1056"/>
      <c r="M1862" s="274"/>
      <c r="P1862" s="264"/>
      <c r="Q1862" s="264"/>
      <c r="R1862" s="264"/>
      <c r="S1862" s="264"/>
      <c r="T1862" s="1056"/>
      <c r="U1862" s="1056"/>
      <c r="V1862" s="1056"/>
      <c r="W1862" s="1056"/>
      <c r="X1862" s="1056"/>
      <c r="Y1862" s="1056"/>
      <c r="Z1862" s="1056"/>
      <c r="AA1862" s="1056"/>
      <c r="AB1862" s="1056"/>
      <c r="AC1862" s="1056"/>
      <c r="AD1862" s="1056"/>
      <c r="AE1862" s="1056"/>
      <c r="AF1862" s="264"/>
    </row>
    <row r="1863" spans="1:32" s="268" customFormat="1" ht="15" x14ac:dyDescent="0.25">
      <c r="A1863" s="264"/>
      <c r="B1863" s="264"/>
      <c r="C1863" s="1056"/>
      <c r="D1863" s="1056"/>
      <c r="E1863" s="1056"/>
      <c r="F1863" s="1056"/>
      <c r="G1863" s="1056"/>
      <c r="H1863" s="1056"/>
      <c r="I1863" s="1056"/>
      <c r="J1863" s="1056"/>
      <c r="K1863" s="1056"/>
      <c r="L1863" s="1056"/>
      <c r="M1863" s="274"/>
      <c r="P1863" s="264"/>
      <c r="Q1863" s="264"/>
      <c r="R1863" s="264"/>
      <c r="S1863" s="264"/>
      <c r="T1863" s="1056"/>
      <c r="U1863" s="1056"/>
      <c r="V1863" s="1056"/>
      <c r="W1863" s="1056"/>
      <c r="X1863" s="1056"/>
      <c r="Y1863" s="1056"/>
      <c r="Z1863" s="1056"/>
      <c r="AA1863" s="1056"/>
      <c r="AB1863" s="1056"/>
      <c r="AC1863" s="1056"/>
      <c r="AD1863" s="1056"/>
      <c r="AE1863" s="1056"/>
      <c r="AF1863" s="264"/>
    </row>
    <row r="1864" spans="1:32" s="268" customFormat="1" ht="15" x14ac:dyDescent="0.25">
      <c r="A1864" s="264"/>
      <c r="B1864" s="264"/>
      <c r="C1864" s="1056"/>
      <c r="D1864" s="1056"/>
      <c r="E1864" s="1056"/>
      <c r="F1864" s="1056"/>
      <c r="G1864" s="1056"/>
      <c r="H1864" s="1056"/>
      <c r="I1864" s="1056"/>
      <c r="J1864" s="1056"/>
      <c r="K1864" s="1056"/>
      <c r="L1864" s="1056"/>
      <c r="M1864" s="274"/>
      <c r="P1864" s="264"/>
      <c r="Q1864" s="264"/>
      <c r="R1864" s="264"/>
      <c r="S1864" s="264"/>
      <c r="T1864" s="1056"/>
      <c r="U1864" s="1056"/>
      <c r="V1864" s="1056"/>
      <c r="W1864" s="1056"/>
      <c r="X1864" s="1056"/>
      <c r="Y1864" s="1056"/>
      <c r="Z1864" s="1056"/>
      <c r="AA1864" s="1056"/>
      <c r="AB1864" s="1056"/>
      <c r="AC1864" s="1056"/>
      <c r="AD1864" s="1056"/>
      <c r="AE1864" s="1056"/>
      <c r="AF1864" s="264"/>
    </row>
    <row r="1865" spans="1:32" s="268" customFormat="1" ht="15" x14ac:dyDescent="0.25">
      <c r="A1865" s="264"/>
      <c r="B1865" s="264"/>
      <c r="C1865" s="1056"/>
      <c r="D1865" s="1056"/>
      <c r="E1865" s="1056"/>
      <c r="F1865" s="1056"/>
      <c r="G1865" s="1056"/>
      <c r="H1865" s="1056"/>
      <c r="I1865" s="1056"/>
      <c r="J1865" s="1056"/>
      <c r="K1865" s="1056"/>
      <c r="L1865" s="1056"/>
      <c r="M1865" s="274"/>
      <c r="P1865" s="264"/>
      <c r="Q1865" s="264"/>
      <c r="R1865" s="264"/>
      <c r="S1865" s="264"/>
      <c r="T1865" s="1056"/>
      <c r="U1865" s="1056"/>
      <c r="V1865" s="1056"/>
      <c r="W1865" s="1056"/>
      <c r="X1865" s="1056"/>
      <c r="Y1865" s="1056"/>
      <c r="Z1865" s="1056"/>
      <c r="AA1865" s="1056"/>
      <c r="AB1865" s="1056"/>
      <c r="AC1865" s="1056"/>
      <c r="AD1865" s="1056"/>
      <c r="AE1865" s="1056"/>
      <c r="AF1865" s="264"/>
    </row>
    <row r="1866" spans="1:32" s="268" customFormat="1" ht="15" x14ac:dyDescent="0.25">
      <c r="A1866" s="264"/>
      <c r="B1866" s="264"/>
      <c r="C1866" s="1056"/>
      <c r="D1866" s="1056"/>
      <c r="E1866" s="1056"/>
      <c r="F1866" s="1056"/>
      <c r="G1866" s="1056"/>
      <c r="H1866" s="1056"/>
      <c r="I1866" s="1056"/>
      <c r="J1866" s="1056"/>
      <c r="K1866" s="1056"/>
      <c r="L1866" s="1056"/>
      <c r="M1866" s="274"/>
      <c r="P1866" s="264"/>
      <c r="Q1866" s="264"/>
      <c r="R1866" s="264"/>
      <c r="S1866" s="264"/>
      <c r="T1866" s="1056"/>
      <c r="U1866" s="1056"/>
      <c r="V1866" s="1056"/>
      <c r="W1866" s="1056"/>
      <c r="X1866" s="1056"/>
      <c r="Y1866" s="1056"/>
      <c r="Z1866" s="1056"/>
      <c r="AA1866" s="1056"/>
      <c r="AB1866" s="1056"/>
      <c r="AC1866" s="1056"/>
      <c r="AD1866" s="1056"/>
      <c r="AE1866" s="1056"/>
      <c r="AF1866" s="264"/>
    </row>
    <row r="1867" spans="1:32" s="268" customFormat="1" ht="15" x14ac:dyDescent="0.25">
      <c r="A1867" s="264"/>
      <c r="B1867" s="264"/>
      <c r="C1867" s="1056"/>
      <c r="D1867" s="1056"/>
      <c r="E1867" s="1056"/>
      <c r="F1867" s="1056"/>
      <c r="G1867" s="1056"/>
      <c r="H1867" s="1056"/>
      <c r="I1867" s="1056"/>
      <c r="J1867" s="1056"/>
      <c r="K1867" s="1056"/>
      <c r="L1867" s="1056"/>
      <c r="M1867" s="274"/>
      <c r="P1867" s="264"/>
      <c r="Q1867" s="264"/>
      <c r="R1867" s="264"/>
      <c r="S1867" s="264"/>
      <c r="T1867" s="1056"/>
      <c r="U1867" s="1056"/>
      <c r="V1867" s="1056"/>
      <c r="W1867" s="1056"/>
      <c r="X1867" s="1056"/>
      <c r="Y1867" s="1056"/>
      <c r="Z1867" s="1056"/>
      <c r="AA1867" s="1056"/>
      <c r="AB1867" s="1056"/>
      <c r="AC1867" s="1056"/>
      <c r="AD1867" s="1056"/>
      <c r="AE1867" s="1056"/>
      <c r="AF1867" s="264"/>
    </row>
    <row r="1868" spans="1:32" s="268" customFormat="1" ht="15" x14ac:dyDescent="0.25">
      <c r="A1868" s="264"/>
      <c r="B1868" s="264"/>
      <c r="C1868" s="1056"/>
      <c r="D1868" s="1056"/>
      <c r="E1868" s="1056"/>
      <c r="F1868" s="1056"/>
      <c r="G1868" s="1056"/>
      <c r="H1868" s="1056"/>
      <c r="I1868" s="1056"/>
      <c r="J1868" s="1056"/>
      <c r="K1868" s="1056"/>
      <c r="L1868" s="1056"/>
      <c r="M1868" s="274"/>
      <c r="P1868" s="264"/>
      <c r="Q1868" s="264"/>
      <c r="R1868" s="264"/>
      <c r="S1868" s="264"/>
      <c r="T1868" s="1056"/>
      <c r="U1868" s="1056"/>
      <c r="V1868" s="1056"/>
      <c r="W1868" s="1056"/>
      <c r="X1868" s="1056"/>
      <c r="Y1868" s="1056"/>
      <c r="Z1868" s="1056"/>
      <c r="AA1868" s="1056"/>
      <c r="AB1868" s="1056"/>
      <c r="AC1868" s="1056"/>
      <c r="AD1868" s="1056"/>
      <c r="AE1868" s="1056"/>
      <c r="AF1868" s="264"/>
    </row>
    <row r="1869" spans="1:32" s="268" customFormat="1" ht="15" x14ac:dyDescent="0.25">
      <c r="A1869" s="264"/>
      <c r="B1869" s="264"/>
      <c r="C1869" s="1056"/>
      <c r="D1869" s="1056"/>
      <c r="E1869" s="1056"/>
      <c r="F1869" s="1056"/>
      <c r="G1869" s="1056"/>
      <c r="H1869" s="1056"/>
      <c r="I1869" s="1056"/>
      <c r="J1869" s="1056"/>
      <c r="K1869" s="1056"/>
      <c r="L1869" s="1056"/>
      <c r="M1869" s="274"/>
      <c r="P1869" s="264"/>
      <c r="Q1869" s="264"/>
      <c r="R1869" s="264"/>
      <c r="S1869" s="264"/>
      <c r="T1869" s="1056"/>
      <c r="U1869" s="1056"/>
      <c r="V1869" s="1056"/>
      <c r="W1869" s="1056"/>
      <c r="X1869" s="1056"/>
      <c r="Y1869" s="1056"/>
      <c r="Z1869" s="1056"/>
      <c r="AA1869" s="1056"/>
      <c r="AB1869" s="1056"/>
      <c r="AC1869" s="1056"/>
      <c r="AD1869" s="1056"/>
      <c r="AE1869" s="1056"/>
      <c r="AF1869" s="264"/>
    </row>
    <row r="1870" spans="1:32" s="268" customFormat="1" ht="15" x14ac:dyDescent="0.25">
      <c r="A1870" s="264"/>
      <c r="B1870" s="264"/>
      <c r="C1870" s="1056"/>
      <c r="D1870" s="1056"/>
      <c r="E1870" s="1056"/>
      <c r="F1870" s="1056"/>
      <c r="G1870" s="1056"/>
      <c r="H1870" s="1056"/>
      <c r="I1870" s="1056"/>
      <c r="J1870" s="1056"/>
      <c r="K1870" s="1056"/>
      <c r="L1870" s="1056"/>
      <c r="M1870" s="274"/>
      <c r="P1870" s="264"/>
      <c r="Q1870" s="264"/>
      <c r="R1870" s="264"/>
      <c r="S1870" s="264"/>
      <c r="T1870" s="1056"/>
      <c r="U1870" s="1056"/>
      <c r="V1870" s="1056"/>
      <c r="W1870" s="1056"/>
      <c r="X1870" s="1056"/>
      <c r="Y1870" s="1056"/>
      <c r="Z1870" s="1056"/>
      <c r="AA1870" s="1056"/>
      <c r="AB1870" s="1056"/>
      <c r="AC1870" s="1056"/>
      <c r="AD1870" s="1056"/>
      <c r="AE1870" s="1056"/>
      <c r="AF1870" s="264"/>
    </row>
    <row r="1871" spans="1:32" s="268" customFormat="1" ht="15" x14ac:dyDescent="0.25">
      <c r="A1871" s="264"/>
      <c r="B1871" s="264"/>
      <c r="C1871" s="1056"/>
      <c r="D1871" s="1056"/>
      <c r="E1871" s="1056"/>
      <c r="F1871" s="1056"/>
      <c r="G1871" s="1056"/>
      <c r="H1871" s="1056"/>
      <c r="I1871" s="1056"/>
      <c r="J1871" s="1056"/>
      <c r="K1871" s="1056"/>
      <c r="L1871" s="1056"/>
      <c r="M1871" s="274"/>
      <c r="P1871" s="264"/>
      <c r="Q1871" s="264"/>
      <c r="R1871" s="264"/>
      <c r="S1871" s="264"/>
      <c r="T1871" s="1056"/>
      <c r="U1871" s="1056"/>
      <c r="V1871" s="1056"/>
      <c r="W1871" s="1056"/>
      <c r="X1871" s="1056"/>
      <c r="Y1871" s="1056"/>
      <c r="Z1871" s="1056"/>
      <c r="AA1871" s="1056"/>
      <c r="AB1871" s="1056"/>
      <c r="AC1871" s="1056"/>
      <c r="AD1871" s="1056"/>
      <c r="AE1871" s="1056"/>
      <c r="AF1871" s="264"/>
    </row>
    <row r="1872" spans="1:32" s="268" customFormat="1" ht="15" x14ac:dyDescent="0.25">
      <c r="A1872" s="264"/>
      <c r="B1872" s="264"/>
      <c r="C1872" s="1056"/>
      <c r="D1872" s="1056"/>
      <c r="E1872" s="1056"/>
      <c r="F1872" s="1056"/>
      <c r="G1872" s="1056"/>
      <c r="H1872" s="1056"/>
      <c r="I1872" s="1056"/>
      <c r="J1872" s="1056"/>
      <c r="K1872" s="1056"/>
      <c r="L1872" s="1056"/>
      <c r="M1872" s="274"/>
      <c r="P1872" s="264"/>
      <c r="Q1872" s="264"/>
      <c r="R1872" s="264"/>
      <c r="S1872" s="264"/>
      <c r="T1872" s="1056"/>
      <c r="U1872" s="1056"/>
      <c r="V1872" s="1056"/>
      <c r="W1872" s="1056"/>
      <c r="X1872" s="1056"/>
      <c r="Y1872" s="1056"/>
      <c r="Z1872" s="1056"/>
      <c r="AA1872" s="1056"/>
      <c r="AB1872" s="1056"/>
      <c r="AC1872" s="1056"/>
      <c r="AD1872" s="1056"/>
      <c r="AE1872" s="1056"/>
      <c r="AF1872" s="264"/>
    </row>
    <row r="1873" spans="1:32" s="268" customFormat="1" ht="15" x14ac:dyDescent="0.25">
      <c r="A1873" s="264"/>
      <c r="B1873" s="264"/>
      <c r="C1873" s="1056"/>
      <c r="D1873" s="1056"/>
      <c r="E1873" s="1056"/>
      <c r="F1873" s="1056"/>
      <c r="G1873" s="1056"/>
      <c r="H1873" s="1056"/>
      <c r="I1873" s="1056"/>
      <c r="J1873" s="1056"/>
      <c r="K1873" s="1056"/>
      <c r="L1873" s="1056"/>
      <c r="M1873" s="274"/>
      <c r="P1873" s="264"/>
      <c r="Q1873" s="264"/>
      <c r="R1873" s="264"/>
      <c r="S1873" s="264"/>
      <c r="T1873" s="1056"/>
      <c r="U1873" s="1056"/>
      <c r="V1873" s="1056"/>
      <c r="W1873" s="1056"/>
      <c r="X1873" s="1056"/>
      <c r="Y1873" s="1056"/>
      <c r="Z1873" s="1056"/>
      <c r="AA1873" s="1056"/>
      <c r="AB1873" s="1056"/>
      <c r="AC1873" s="1056"/>
      <c r="AD1873" s="1056"/>
      <c r="AE1873" s="1056"/>
      <c r="AF1873" s="264"/>
    </row>
    <row r="1874" spans="1:32" s="268" customFormat="1" ht="15" x14ac:dyDescent="0.25">
      <c r="A1874" s="264"/>
      <c r="B1874" s="264"/>
      <c r="C1874" s="1056"/>
      <c r="D1874" s="1056"/>
      <c r="E1874" s="1056"/>
      <c r="F1874" s="1056"/>
      <c r="G1874" s="1056"/>
      <c r="H1874" s="1056"/>
      <c r="I1874" s="1056"/>
      <c r="J1874" s="1056"/>
      <c r="K1874" s="1056"/>
      <c r="L1874" s="1056"/>
      <c r="M1874" s="274"/>
      <c r="P1874" s="264"/>
      <c r="Q1874" s="264"/>
      <c r="R1874" s="264"/>
      <c r="S1874" s="264"/>
      <c r="T1874" s="1056"/>
      <c r="U1874" s="1056"/>
      <c r="V1874" s="1056"/>
      <c r="W1874" s="1056"/>
      <c r="X1874" s="1056"/>
      <c r="Y1874" s="1056"/>
      <c r="Z1874" s="1056"/>
      <c r="AA1874" s="1056"/>
      <c r="AB1874" s="1056"/>
      <c r="AC1874" s="1056"/>
      <c r="AD1874" s="1056"/>
      <c r="AE1874" s="1056"/>
      <c r="AF1874" s="264"/>
    </row>
    <row r="1875" spans="1:32" s="268" customFormat="1" ht="15" x14ac:dyDescent="0.25">
      <c r="A1875" s="264"/>
      <c r="B1875" s="264"/>
      <c r="C1875" s="1056"/>
      <c r="D1875" s="1056"/>
      <c r="E1875" s="1056"/>
      <c r="F1875" s="1056"/>
      <c r="G1875" s="1056"/>
      <c r="H1875" s="1056"/>
      <c r="I1875" s="1056"/>
      <c r="J1875" s="1056"/>
      <c r="K1875" s="1056"/>
      <c r="L1875" s="1056"/>
      <c r="M1875" s="274"/>
      <c r="P1875" s="264"/>
      <c r="Q1875" s="264"/>
      <c r="R1875" s="264"/>
      <c r="S1875" s="264"/>
      <c r="T1875" s="1056"/>
      <c r="U1875" s="1056"/>
      <c r="V1875" s="1056"/>
      <c r="W1875" s="1056"/>
      <c r="X1875" s="1056"/>
      <c r="Y1875" s="1056"/>
      <c r="Z1875" s="1056"/>
      <c r="AA1875" s="1056"/>
      <c r="AB1875" s="1056"/>
      <c r="AC1875" s="1056"/>
      <c r="AD1875" s="1056"/>
      <c r="AE1875" s="1056"/>
      <c r="AF1875" s="264"/>
    </row>
    <row r="1876" spans="1:32" s="268" customFormat="1" ht="15" x14ac:dyDescent="0.25">
      <c r="A1876" s="264"/>
      <c r="B1876" s="264"/>
      <c r="C1876" s="1056"/>
      <c r="D1876" s="1056"/>
      <c r="E1876" s="1056"/>
      <c r="F1876" s="1056"/>
      <c r="G1876" s="1056"/>
      <c r="H1876" s="1056"/>
      <c r="I1876" s="1056"/>
      <c r="J1876" s="1056"/>
      <c r="K1876" s="1056"/>
      <c r="L1876" s="1056"/>
      <c r="M1876" s="274"/>
      <c r="P1876" s="264"/>
      <c r="Q1876" s="264"/>
      <c r="R1876" s="264"/>
      <c r="S1876" s="264"/>
      <c r="T1876" s="1056"/>
      <c r="U1876" s="1056"/>
      <c r="V1876" s="1056"/>
      <c r="W1876" s="1056"/>
      <c r="X1876" s="1056"/>
      <c r="Y1876" s="1056"/>
      <c r="Z1876" s="1056"/>
      <c r="AA1876" s="1056"/>
      <c r="AB1876" s="1056"/>
      <c r="AC1876" s="1056"/>
      <c r="AD1876" s="1056"/>
      <c r="AE1876" s="1056"/>
      <c r="AF1876" s="264"/>
    </row>
    <row r="1877" spans="1:32" s="268" customFormat="1" ht="15" x14ac:dyDescent="0.25">
      <c r="A1877" s="264"/>
      <c r="B1877" s="264"/>
      <c r="C1877" s="1056"/>
      <c r="D1877" s="1056"/>
      <c r="E1877" s="1056"/>
      <c r="F1877" s="1056"/>
      <c r="G1877" s="1056"/>
      <c r="H1877" s="1056"/>
      <c r="I1877" s="1056"/>
      <c r="J1877" s="1056"/>
      <c r="K1877" s="1056"/>
      <c r="L1877" s="1056"/>
      <c r="M1877" s="274"/>
      <c r="P1877" s="264"/>
      <c r="Q1877" s="264"/>
      <c r="R1877" s="264"/>
      <c r="S1877" s="264"/>
      <c r="T1877" s="1056"/>
      <c r="U1877" s="1056"/>
      <c r="V1877" s="1056"/>
      <c r="W1877" s="1056"/>
      <c r="X1877" s="1056"/>
      <c r="Y1877" s="1056"/>
      <c r="Z1877" s="1056"/>
      <c r="AA1877" s="1056"/>
      <c r="AB1877" s="1056"/>
      <c r="AC1877" s="1056"/>
      <c r="AD1877" s="1056"/>
      <c r="AE1877" s="1056"/>
      <c r="AF1877" s="264"/>
    </row>
    <row r="1878" spans="1:32" s="268" customFormat="1" ht="15" x14ac:dyDescent="0.25">
      <c r="A1878" s="264"/>
      <c r="B1878" s="264"/>
      <c r="C1878" s="1056"/>
      <c r="D1878" s="1056"/>
      <c r="E1878" s="1056"/>
      <c r="F1878" s="1056"/>
      <c r="G1878" s="1056"/>
      <c r="H1878" s="1056"/>
      <c r="I1878" s="1056"/>
      <c r="J1878" s="1056"/>
      <c r="K1878" s="1056"/>
      <c r="L1878" s="1056"/>
      <c r="M1878" s="274"/>
      <c r="P1878" s="264"/>
      <c r="Q1878" s="264"/>
      <c r="R1878" s="264"/>
      <c r="S1878" s="264"/>
      <c r="T1878" s="1056"/>
      <c r="U1878" s="1056"/>
      <c r="V1878" s="1056"/>
      <c r="W1878" s="1056"/>
      <c r="X1878" s="1056"/>
      <c r="Y1878" s="1056"/>
      <c r="Z1878" s="1056"/>
      <c r="AA1878" s="1056"/>
      <c r="AB1878" s="1056"/>
      <c r="AC1878" s="1056"/>
      <c r="AD1878" s="1056"/>
      <c r="AE1878" s="1056"/>
      <c r="AF1878" s="264"/>
    </row>
    <row r="1879" spans="1:32" s="268" customFormat="1" ht="15" x14ac:dyDescent="0.25">
      <c r="A1879" s="264"/>
      <c r="B1879" s="264"/>
      <c r="C1879" s="1056"/>
      <c r="D1879" s="1056"/>
      <c r="E1879" s="1056"/>
      <c r="F1879" s="1056"/>
      <c r="G1879" s="1056"/>
      <c r="H1879" s="1056"/>
      <c r="I1879" s="1056"/>
      <c r="J1879" s="1056"/>
      <c r="K1879" s="1056"/>
      <c r="L1879" s="1056"/>
      <c r="M1879" s="274"/>
      <c r="P1879" s="264"/>
      <c r="Q1879" s="264"/>
      <c r="R1879" s="264"/>
      <c r="S1879" s="264"/>
      <c r="T1879" s="1056"/>
      <c r="U1879" s="1056"/>
      <c r="V1879" s="1056"/>
      <c r="W1879" s="1056"/>
      <c r="X1879" s="1056"/>
      <c r="Y1879" s="1056"/>
      <c r="Z1879" s="1056"/>
      <c r="AA1879" s="1056"/>
      <c r="AB1879" s="1056"/>
      <c r="AC1879" s="1056"/>
      <c r="AD1879" s="1056"/>
      <c r="AE1879" s="1056"/>
      <c r="AF1879" s="264"/>
    </row>
    <row r="1880" spans="1:32" s="268" customFormat="1" ht="15" x14ac:dyDescent="0.25">
      <c r="A1880" s="264"/>
      <c r="B1880" s="264"/>
      <c r="C1880" s="1056"/>
      <c r="D1880" s="1056"/>
      <c r="E1880" s="1056"/>
      <c r="F1880" s="1056"/>
      <c r="G1880" s="1056"/>
      <c r="H1880" s="1056"/>
      <c r="I1880" s="1056"/>
      <c r="J1880" s="1056"/>
      <c r="K1880" s="1056"/>
      <c r="L1880" s="1056"/>
      <c r="M1880" s="274"/>
      <c r="P1880" s="264"/>
      <c r="Q1880" s="264"/>
      <c r="R1880" s="264"/>
      <c r="S1880" s="264"/>
      <c r="T1880" s="1056"/>
      <c r="U1880" s="1056"/>
      <c r="V1880" s="1056"/>
      <c r="W1880" s="1056"/>
      <c r="X1880" s="1056"/>
      <c r="Y1880" s="1056"/>
      <c r="Z1880" s="1056"/>
      <c r="AA1880" s="1056"/>
      <c r="AB1880" s="1056"/>
      <c r="AC1880" s="1056"/>
      <c r="AD1880" s="1056"/>
      <c r="AE1880" s="1056"/>
      <c r="AF1880" s="264"/>
    </row>
    <row r="1881" spans="1:32" s="268" customFormat="1" ht="15" x14ac:dyDescent="0.25">
      <c r="A1881" s="264"/>
      <c r="B1881" s="264"/>
      <c r="C1881" s="1056"/>
      <c r="D1881" s="1056"/>
      <c r="E1881" s="1056"/>
      <c r="F1881" s="1056"/>
      <c r="G1881" s="1056"/>
      <c r="H1881" s="1056"/>
      <c r="I1881" s="1056"/>
      <c r="J1881" s="1056"/>
      <c r="K1881" s="1056"/>
      <c r="L1881" s="1056"/>
      <c r="M1881" s="274"/>
      <c r="P1881" s="264"/>
      <c r="Q1881" s="264"/>
      <c r="R1881" s="264"/>
      <c r="S1881" s="264"/>
      <c r="T1881" s="1056"/>
      <c r="U1881" s="1056"/>
      <c r="V1881" s="1056"/>
      <c r="W1881" s="1056"/>
      <c r="X1881" s="1056"/>
      <c r="Y1881" s="1056"/>
      <c r="Z1881" s="1056"/>
      <c r="AA1881" s="1056"/>
      <c r="AB1881" s="1056"/>
      <c r="AC1881" s="1056"/>
      <c r="AD1881" s="1056"/>
      <c r="AE1881" s="1056"/>
      <c r="AF1881" s="264"/>
    </row>
    <row r="1882" spans="1:32" s="268" customFormat="1" ht="15" x14ac:dyDescent="0.25">
      <c r="A1882" s="264"/>
      <c r="B1882" s="264"/>
      <c r="C1882" s="1056"/>
      <c r="D1882" s="1056"/>
      <c r="E1882" s="1056"/>
      <c r="F1882" s="1056"/>
      <c r="G1882" s="1056"/>
      <c r="H1882" s="1056"/>
      <c r="I1882" s="1056"/>
      <c r="J1882" s="1056"/>
      <c r="K1882" s="1056"/>
      <c r="L1882" s="1056"/>
      <c r="M1882" s="274"/>
      <c r="P1882" s="264"/>
      <c r="Q1882" s="264"/>
      <c r="R1882" s="264"/>
      <c r="S1882" s="264"/>
      <c r="T1882" s="1056"/>
      <c r="U1882" s="1056"/>
      <c r="V1882" s="1056"/>
      <c r="W1882" s="1056"/>
      <c r="X1882" s="1056"/>
      <c r="Y1882" s="1056"/>
      <c r="Z1882" s="1056"/>
      <c r="AA1882" s="1056"/>
      <c r="AB1882" s="1056"/>
      <c r="AC1882" s="1056"/>
      <c r="AD1882" s="1056"/>
      <c r="AE1882" s="1056"/>
      <c r="AF1882" s="264"/>
    </row>
    <row r="1883" spans="1:32" s="268" customFormat="1" ht="15" x14ac:dyDescent="0.25">
      <c r="A1883" s="264"/>
      <c r="B1883" s="264"/>
      <c r="C1883" s="1056"/>
      <c r="D1883" s="1056"/>
      <c r="E1883" s="1056"/>
      <c r="F1883" s="1056"/>
      <c r="G1883" s="1056"/>
      <c r="H1883" s="1056"/>
      <c r="I1883" s="1056"/>
      <c r="J1883" s="1056"/>
      <c r="K1883" s="1056"/>
      <c r="L1883" s="1056"/>
      <c r="M1883" s="274"/>
      <c r="P1883" s="264"/>
      <c r="Q1883" s="264"/>
      <c r="R1883" s="264"/>
      <c r="S1883" s="264"/>
      <c r="T1883" s="1056"/>
      <c r="U1883" s="1056"/>
      <c r="V1883" s="1056"/>
      <c r="W1883" s="1056"/>
      <c r="X1883" s="1056"/>
      <c r="Y1883" s="1056"/>
      <c r="Z1883" s="1056"/>
      <c r="AA1883" s="1056"/>
      <c r="AB1883" s="1056"/>
      <c r="AC1883" s="1056"/>
      <c r="AD1883" s="1056"/>
      <c r="AE1883" s="1056"/>
      <c r="AF1883" s="264"/>
    </row>
    <row r="1884" spans="1:32" s="268" customFormat="1" ht="15" x14ac:dyDescent="0.25">
      <c r="A1884" s="264"/>
      <c r="B1884" s="264"/>
      <c r="C1884" s="1056"/>
      <c r="D1884" s="1056"/>
      <c r="E1884" s="1056"/>
      <c r="F1884" s="1056"/>
      <c r="G1884" s="1056"/>
      <c r="H1884" s="1056"/>
      <c r="I1884" s="1056"/>
      <c r="J1884" s="1056"/>
      <c r="K1884" s="1056"/>
      <c r="L1884" s="1056"/>
      <c r="M1884" s="274"/>
      <c r="P1884" s="264"/>
      <c r="Q1884" s="264"/>
      <c r="R1884" s="264"/>
      <c r="S1884" s="264"/>
      <c r="T1884" s="1056"/>
      <c r="U1884" s="1056"/>
      <c r="V1884" s="1056"/>
      <c r="W1884" s="1056"/>
      <c r="X1884" s="1056"/>
      <c r="Y1884" s="1056"/>
      <c r="Z1884" s="1056"/>
      <c r="AA1884" s="1056"/>
      <c r="AB1884" s="1056"/>
      <c r="AC1884" s="1056"/>
      <c r="AD1884" s="1056"/>
      <c r="AE1884" s="1056"/>
      <c r="AF1884" s="264"/>
    </row>
    <row r="1885" spans="1:32" s="268" customFormat="1" ht="15" x14ac:dyDescent="0.25">
      <c r="A1885" s="264"/>
      <c r="B1885" s="264"/>
      <c r="C1885" s="1056"/>
      <c r="D1885" s="1056"/>
      <c r="E1885" s="1056"/>
      <c r="F1885" s="1056"/>
      <c r="G1885" s="1056"/>
      <c r="H1885" s="1056"/>
      <c r="I1885" s="1056"/>
      <c r="J1885" s="1056"/>
      <c r="K1885" s="1056"/>
      <c r="L1885" s="1056"/>
      <c r="M1885" s="274"/>
      <c r="P1885" s="264"/>
      <c r="Q1885" s="264"/>
      <c r="R1885" s="264"/>
      <c r="S1885" s="264"/>
      <c r="T1885" s="1056"/>
      <c r="U1885" s="1056"/>
      <c r="V1885" s="1056"/>
      <c r="W1885" s="1056"/>
      <c r="X1885" s="1056"/>
      <c r="Y1885" s="1056"/>
      <c r="Z1885" s="1056"/>
      <c r="AA1885" s="1056"/>
      <c r="AB1885" s="1056"/>
      <c r="AC1885" s="1056"/>
      <c r="AD1885" s="1056"/>
      <c r="AE1885" s="1056"/>
      <c r="AF1885" s="264"/>
    </row>
    <row r="1886" spans="1:32" s="268" customFormat="1" ht="15" x14ac:dyDescent="0.25">
      <c r="A1886" s="264"/>
      <c r="B1886" s="264"/>
      <c r="C1886" s="1056"/>
      <c r="D1886" s="1056"/>
      <c r="E1886" s="1056"/>
      <c r="F1886" s="1056"/>
      <c r="G1886" s="1056"/>
      <c r="H1886" s="1056"/>
      <c r="I1886" s="1056"/>
      <c r="J1886" s="1056"/>
      <c r="K1886" s="1056"/>
      <c r="L1886" s="1056"/>
      <c r="M1886" s="274"/>
      <c r="P1886" s="264"/>
      <c r="Q1886" s="264"/>
      <c r="R1886" s="264"/>
      <c r="S1886" s="264"/>
      <c r="T1886" s="1056"/>
      <c r="U1886" s="1056"/>
      <c r="V1886" s="1056"/>
      <c r="W1886" s="1056"/>
      <c r="X1886" s="1056"/>
      <c r="Y1886" s="1056"/>
      <c r="Z1886" s="1056"/>
      <c r="AA1886" s="1056"/>
      <c r="AB1886" s="1056"/>
      <c r="AC1886" s="1056"/>
      <c r="AD1886" s="1056"/>
      <c r="AE1886" s="1056"/>
      <c r="AF1886" s="264"/>
    </row>
    <row r="1887" spans="1:32" s="268" customFormat="1" ht="15" x14ac:dyDescent="0.25">
      <c r="A1887" s="264"/>
      <c r="B1887" s="264"/>
      <c r="C1887" s="1056"/>
      <c r="D1887" s="1056"/>
      <c r="E1887" s="1056"/>
      <c r="F1887" s="1056"/>
      <c r="G1887" s="1056"/>
      <c r="H1887" s="1056"/>
      <c r="I1887" s="1056"/>
      <c r="J1887" s="1056"/>
      <c r="K1887" s="1056"/>
      <c r="L1887" s="1056"/>
      <c r="M1887" s="274"/>
      <c r="P1887" s="264"/>
      <c r="Q1887" s="264"/>
      <c r="R1887" s="264"/>
      <c r="S1887" s="264"/>
      <c r="T1887" s="1056"/>
      <c r="U1887" s="1056"/>
      <c r="V1887" s="1056"/>
      <c r="W1887" s="1056"/>
      <c r="X1887" s="1056"/>
      <c r="Y1887" s="1056"/>
      <c r="Z1887" s="1056"/>
      <c r="AA1887" s="1056"/>
      <c r="AB1887" s="1056"/>
      <c r="AC1887" s="1056"/>
      <c r="AD1887" s="1056"/>
      <c r="AE1887" s="1056"/>
      <c r="AF1887" s="264"/>
    </row>
    <row r="1888" spans="1:32" s="268" customFormat="1" ht="15" x14ac:dyDescent="0.25">
      <c r="A1888" s="264"/>
      <c r="B1888" s="264"/>
      <c r="C1888" s="1056"/>
      <c r="D1888" s="1056"/>
      <c r="E1888" s="1056"/>
      <c r="F1888" s="1056"/>
      <c r="G1888" s="1056"/>
      <c r="H1888" s="1056"/>
      <c r="I1888" s="1056"/>
      <c r="J1888" s="1056"/>
      <c r="K1888" s="1056"/>
      <c r="L1888" s="1056"/>
      <c r="M1888" s="274"/>
      <c r="P1888" s="264"/>
      <c r="Q1888" s="264"/>
      <c r="R1888" s="264"/>
      <c r="S1888" s="264"/>
      <c r="T1888" s="1056"/>
      <c r="U1888" s="1056"/>
      <c r="V1888" s="1056"/>
      <c r="W1888" s="1056"/>
      <c r="X1888" s="1056"/>
      <c r="Y1888" s="1056"/>
      <c r="Z1888" s="1056"/>
      <c r="AA1888" s="1056"/>
      <c r="AB1888" s="1056"/>
      <c r="AC1888" s="1056"/>
      <c r="AD1888" s="1056"/>
      <c r="AE1888" s="1056"/>
      <c r="AF1888" s="264"/>
    </row>
    <row r="1889" spans="1:32" s="268" customFormat="1" ht="15" x14ac:dyDescent="0.25">
      <c r="A1889" s="264"/>
      <c r="B1889" s="264"/>
      <c r="C1889" s="1056"/>
      <c r="D1889" s="1056"/>
      <c r="E1889" s="1056"/>
      <c r="F1889" s="1056"/>
      <c r="G1889" s="1056"/>
      <c r="H1889" s="1056"/>
      <c r="I1889" s="1056"/>
      <c r="J1889" s="1056"/>
      <c r="K1889" s="1056"/>
      <c r="L1889" s="1056"/>
      <c r="M1889" s="274"/>
      <c r="P1889" s="264"/>
      <c r="Q1889" s="264"/>
      <c r="R1889" s="264"/>
      <c r="S1889" s="264"/>
      <c r="T1889" s="1056"/>
      <c r="U1889" s="1056"/>
      <c r="V1889" s="1056"/>
      <c r="W1889" s="1056"/>
      <c r="X1889" s="1056"/>
      <c r="Y1889" s="1056"/>
      <c r="Z1889" s="1056"/>
      <c r="AA1889" s="1056"/>
      <c r="AB1889" s="1056"/>
      <c r="AC1889" s="1056"/>
      <c r="AD1889" s="1056"/>
      <c r="AE1889" s="1056"/>
      <c r="AF1889" s="264"/>
    </row>
    <row r="1890" spans="1:32" s="268" customFormat="1" ht="15" x14ac:dyDescent="0.25">
      <c r="A1890" s="264"/>
      <c r="B1890" s="264"/>
      <c r="C1890" s="1056"/>
      <c r="D1890" s="1056"/>
      <c r="E1890" s="1056"/>
      <c r="F1890" s="1056"/>
      <c r="G1890" s="1056"/>
      <c r="H1890" s="1056"/>
      <c r="I1890" s="1056"/>
      <c r="J1890" s="1056"/>
      <c r="K1890" s="1056"/>
      <c r="L1890" s="1056"/>
      <c r="M1890" s="274"/>
      <c r="P1890" s="264"/>
      <c r="Q1890" s="264"/>
      <c r="R1890" s="264"/>
      <c r="S1890" s="264"/>
      <c r="T1890" s="1056"/>
      <c r="U1890" s="1056"/>
      <c r="V1890" s="1056"/>
      <c r="W1890" s="1056"/>
      <c r="X1890" s="1056"/>
      <c r="Y1890" s="1056"/>
      <c r="Z1890" s="1056"/>
      <c r="AA1890" s="1056"/>
      <c r="AB1890" s="1056"/>
      <c r="AC1890" s="1056"/>
      <c r="AD1890" s="1056"/>
      <c r="AE1890" s="1056"/>
      <c r="AF1890" s="264"/>
    </row>
    <row r="1891" spans="1:32" s="268" customFormat="1" ht="15" x14ac:dyDescent="0.25">
      <c r="A1891" s="264"/>
      <c r="B1891" s="264"/>
      <c r="C1891" s="1056"/>
      <c r="D1891" s="1056"/>
      <c r="E1891" s="1056"/>
      <c r="F1891" s="1056"/>
      <c r="G1891" s="1056"/>
      <c r="H1891" s="1056"/>
      <c r="I1891" s="1056"/>
      <c r="J1891" s="1056"/>
      <c r="K1891" s="1056"/>
      <c r="L1891" s="1056"/>
      <c r="M1891" s="274"/>
      <c r="P1891" s="264"/>
      <c r="Q1891" s="264"/>
      <c r="R1891" s="264"/>
      <c r="S1891" s="264"/>
      <c r="T1891" s="1056"/>
      <c r="U1891" s="1056"/>
      <c r="V1891" s="1056"/>
      <c r="W1891" s="1056"/>
      <c r="X1891" s="1056"/>
      <c r="Y1891" s="1056"/>
      <c r="Z1891" s="1056"/>
      <c r="AA1891" s="1056"/>
      <c r="AB1891" s="1056"/>
      <c r="AC1891" s="1056"/>
      <c r="AD1891" s="1056"/>
      <c r="AE1891" s="1056"/>
      <c r="AF1891" s="264"/>
    </row>
    <row r="1892" spans="1:32" s="268" customFormat="1" ht="15" x14ac:dyDescent="0.25">
      <c r="A1892" s="264"/>
      <c r="B1892" s="264"/>
      <c r="C1892" s="1056"/>
      <c r="D1892" s="1056"/>
      <c r="E1892" s="1056"/>
      <c r="F1892" s="1056"/>
      <c r="G1892" s="1056"/>
      <c r="H1892" s="1056"/>
      <c r="I1892" s="1056"/>
      <c r="J1892" s="1056"/>
      <c r="K1892" s="1056"/>
      <c r="L1892" s="1056"/>
      <c r="M1892" s="274"/>
      <c r="P1892" s="264"/>
      <c r="Q1892" s="264"/>
      <c r="R1892" s="264"/>
      <c r="S1892" s="264"/>
      <c r="T1892" s="1056"/>
      <c r="U1892" s="1056"/>
      <c r="V1892" s="1056"/>
      <c r="W1892" s="1056"/>
      <c r="X1892" s="1056"/>
      <c r="Y1892" s="1056"/>
      <c r="Z1892" s="1056"/>
      <c r="AA1892" s="1056"/>
      <c r="AB1892" s="1056"/>
      <c r="AC1892" s="1056"/>
      <c r="AD1892" s="1056"/>
      <c r="AE1892" s="1056"/>
      <c r="AF1892" s="264"/>
    </row>
    <row r="1893" spans="1:32" s="268" customFormat="1" ht="15" x14ac:dyDescent="0.25">
      <c r="A1893" s="264"/>
      <c r="B1893" s="264"/>
      <c r="C1893" s="1056"/>
      <c r="D1893" s="1056"/>
      <c r="E1893" s="1056"/>
      <c r="F1893" s="1056"/>
      <c r="G1893" s="1056"/>
      <c r="H1893" s="1056"/>
      <c r="I1893" s="1056"/>
      <c r="J1893" s="1056"/>
      <c r="K1893" s="1056"/>
      <c r="L1893" s="1056"/>
      <c r="M1893" s="274"/>
      <c r="P1893" s="264"/>
      <c r="Q1893" s="264"/>
      <c r="R1893" s="264"/>
      <c r="S1893" s="264"/>
      <c r="T1893" s="1056"/>
      <c r="U1893" s="1056"/>
      <c r="V1893" s="1056"/>
      <c r="W1893" s="1056"/>
      <c r="X1893" s="1056"/>
      <c r="Y1893" s="1056"/>
      <c r="Z1893" s="1056"/>
      <c r="AA1893" s="1056"/>
      <c r="AB1893" s="1056"/>
      <c r="AC1893" s="1056"/>
      <c r="AD1893" s="1056"/>
      <c r="AE1893" s="1056"/>
      <c r="AF1893" s="264"/>
    </row>
    <row r="1894" spans="1:32" s="268" customFormat="1" ht="15" x14ac:dyDescent="0.25">
      <c r="A1894" s="264"/>
      <c r="B1894" s="264"/>
      <c r="C1894" s="1056"/>
      <c r="D1894" s="1056"/>
      <c r="E1894" s="1056"/>
      <c r="F1894" s="1056"/>
      <c r="G1894" s="1056"/>
      <c r="H1894" s="1056"/>
      <c r="I1894" s="1056"/>
      <c r="J1894" s="1056"/>
      <c r="K1894" s="1056"/>
      <c r="L1894" s="1056"/>
      <c r="M1894" s="274"/>
      <c r="P1894" s="264"/>
      <c r="Q1894" s="264"/>
      <c r="R1894" s="264"/>
      <c r="S1894" s="264"/>
      <c r="T1894" s="1056"/>
      <c r="U1894" s="1056"/>
      <c r="V1894" s="1056"/>
      <c r="W1894" s="1056"/>
      <c r="X1894" s="1056"/>
      <c r="Y1894" s="1056"/>
      <c r="Z1894" s="1056"/>
      <c r="AA1894" s="1056"/>
      <c r="AB1894" s="1056"/>
      <c r="AC1894" s="1056"/>
      <c r="AD1894" s="1056"/>
      <c r="AE1894" s="1056"/>
      <c r="AF1894" s="264"/>
    </row>
    <row r="1895" spans="1:32" s="268" customFormat="1" ht="15" x14ac:dyDescent="0.25">
      <c r="A1895" s="264"/>
      <c r="B1895" s="264"/>
      <c r="C1895" s="1056"/>
      <c r="D1895" s="1056"/>
      <c r="E1895" s="1056"/>
      <c r="F1895" s="1056"/>
      <c r="G1895" s="1056"/>
      <c r="H1895" s="1056"/>
      <c r="I1895" s="1056"/>
      <c r="J1895" s="1056"/>
      <c r="K1895" s="1056"/>
      <c r="L1895" s="1056"/>
      <c r="M1895" s="274"/>
      <c r="P1895" s="264"/>
      <c r="Q1895" s="264"/>
      <c r="R1895" s="264"/>
      <c r="S1895" s="264"/>
      <c r="T1895" s="1056"/>
      <c r="U1895" s="1056"/>
      <c r="V1895" s="1056"/>
      <c r="W1895" s="1056"/>
      <c r="X1895" s="1056"/>
      <c r="Y1895" s="1056"/>
      <c r="Z1895" s="1056"/>
      <c r="AA1895" s="1056"/>
      <c r="AB1895" s="1056"/>
      <c r="AC1895" s="1056"/>
      <c r="AD1895" s="1056"/>
      <c r="AE1895" s="1056"/>
      <c r="AF1895" s="264"/>
    </row>
    <row r="1896" spans="1:32" s="268" customFormat="1" ht="15" x14ac:dyDescent="0.25">
      <c r="A1896" s="264"/>
      <c r="B1896" s="264"/>
      <c r="C1896" s="1056"/>
      <c r="D1896" s="1056"/>
      <c r="E1896" s="1056"/>
      <c r="F1896" s="1056"/>
      <c r="G1896" s="1056"/>
      <c r="H1896" s="1056"/>
      <c r="I1896" s="1056"/>
      <c r="J1896" s="1056"/>
      <c r="K1896" s="1056"/>
      <c r="L1896" s="1056"/>
      <c r="M1896" s="274"/>
      <c r="P1896" s="264"/>
      <c r="Q1896" s="264"/>
      <c r="R1896" s="264"/>
      <c r="S1896" s="264"/>
      <c r="T1896" s="1056"/>
      <c r="U1896" s="1056"/>
      <c r="V1896" s="1056"/>
      <c r="W1896" s="1056"/>
      <c r="X1896" s="1056"/>
      <c r="Y1896" s="1056"/>
      <c r="Z1896" s="1056"/>
      <c r="AA1896" s="1056"/>
      <c r="AB1896" s="1056"/>
      <c r="AC1896" s="1056"/>
      <c r="AD1896" s="1056"/>
      <c r="AE1896" s="1056"/>
      <c r="AF1896" s="264"/>
    </row>
    <row r="1897" spans="1:32" s="268" customFormat="1" ht="15" x14ac:dyDescent="0.25">
      <c r="A1897" s="264"/>
      <c r="B1897" s="264"/>
      <c r="C1897" s="1056"/>
      <c r="D1897" s="1056"/>
      <c r="E1897" s="1056"/>
      <c r="F1897" s="1056"/>
      <c r="G1897" s="1056"/>
      <c r="H1897" s="1056"/>
      <c r="I1897" s="1056"/>
      <c r="J1897" s="1056"/>
      <c r="K1897" s="1056"/>
      <c r="L1897" s="1056"/>
      <c r="M1897" s="274"/>
      <c r="P1897" s="264"/>
      <c r="Q1897" s="264"/>
      <c r="R1897" s="264"/>
      <c r="S1897" s="264"/>
      <c r="T1897" s="1056"/>
      <c r="U1897" s="1056"/>
      <c r="V1897" s="1056"/>
      <c r="W1897" s="1056"/>
      <c r="X1897" s="1056"/>
      <c r="Y1897" s="1056"/>
      <c r="Z1897" s="1056"/>
      <c r="AA1897" s="1056"/>
      <c r="AB1897" s="1056"/>
      <c r="AC1897" s="1056"/>
      <c r="AD1897" s="1056"/>
      <c r="AE1897" s="1056"/>
      <c r="AF1897" s="264"/>
    </row>
    <row r="1898" spans="1:32" s="268" customFormat="1" ht="15" x14ac:dyDescent="0.25">
      <c r="A1898" s="264"/>
      <c r="B1898" s="264"/>
      <c r="C1898" s="1056"/>
      <c r="D1898" s="1056"/>
      <c r="E1898" s="1056"/>
      <c r="F1898" s="1056"/>
      <c r="G1898" s="1056"/>
      <c r="H1898" s="1056"/>
      <c r="I1898" s="1056"/>
      <c r="J1898" s="1056"/>
      <c r="K1898" s="1056"/>
      <c r="L1898" s="1056"/>
      <c r="M1898" s="274"/>
      <c r="P1898" s="264"/>
      <c r="Q1898" s="264"/>
      <c r="R1898" s="264"/>
      <c r="S1898" s="264"/>
      <c r="T1898" s="1056"/>
      <c r="U1898" s="1056"/>
      <c r="V1898" s="1056"/>
      <c r="W1898" s="1056"/>
      <c r="X1898" s="1056"/>
      <c r="Y1898" s="1056"/>
      <c r="Z1898" s="1056"/>
      <c r="AA1898" s="1056"/>
      <c r="AB1898" s="1056"/>
      <c r="AC1898" s="1056"/>
      <c r="AD1898" s="1056"/>
      <c r="AE1898" s="1056"/>
      <c r="AF1898" s="264"/>
    </row>
    <row r="1899" spans="1:32" s="268" customFormat="1" ht="15" x14ac:dyDescent="0.25">
      <c r="A1899" s="264"/>
      <c r="B1899" s="264"/>
      <c r="C1899" s="1056"/>
      <c r="D1899" s="1056"/>
      <c r="E1899" s="1056"/>
      <c r="F1899" s="1056"/>
      <c r="G1899" s="1056"/>
      <c r="H1899" s="1056"/>
      <c r="I1899" s="1056"/>
      <c r="J1899" s="1056"/>
      <c r="K1899" s="1056"/>
      <c r="L1899" s="1056"/>
      <c r="M1899" s="274"/>
      <c r="P1899" s="264"/>
      <c r="Q1899" s="264"/>
      <c r="R1899" s="264"/>
      <c r="S1899" s="264"/>
      <c r="T1899" s="1056"/>
      <c r="U1899" s="1056"/>
      <c r="V1899" s="1056"/>
      <c r="W1899" s="1056"/>
      <c r="X1899" s="1056"/>
      <c r="Y1899" s="1056"/>
      <c r="Z1899" s="1056"/>
      <c r="AA1899" s="1056"/>
      <c r="AB1899" s="1056"/>
      <c r="AC1899" s="1056"/>
      <c r="AD1899" s="1056"/>
      <c r="AE1899" s="1056"/>
      <c r="AF1899" s="264"/>
    </row>
    <row r="1900" spans="1:32" s="268" customFormat="1" ht="15" x14ac:dyDescent="0.25">
      <c r="A1900" s="264"/>
      <c r="B1900" s="264"/>
      <c r="C1900" s="1056"/>
      <c r="D1900" s="1056"/>
      <c r="E1900" s="1056"/>
      <c r="F1900" s="1056"/>
      <c r="G1900" s="1056"/>
      <c r="H1900" s="1056"/>
      <c r="I1900" s="1056"/>
      <c r="J1900" s="1056"/>
      <c r="K1900" s="1056"/>
      <c r="L1900" s="1056"/>
      <c r="M1900" s="274"/>
      <c r="P1900" s="264"/>
      <c r="Q1900" s="264"/>
      <c r="R1900" s="264"/>
      <c r="S1900" s="264"/>
      <c r="T1900" s="1056"/>
      <c r="U1900" s="1056"/>
      <c r="V1900" s="1056"/>
      <c r="W1900" s="1056"/>
      <c r="X1900" s="1056"/>
      <c r="Y1900" s="1056"/>
      <c r="Z1900" s="1056"/>
      <c r="AA1900" s="1056"/>
      <c r="AB1900" s="1056"/>
      <c r="AC1900" s="1056"/>
      <c r="AD1900" s="1056"/>
      <c r="AE1900" s="1056"/>
      <c r="AF1900" s="264"/>
    </row>
    <row r="1901" spans="1:32" s="268" customFormat="1" ht="15" x14ac:dyDescent="0.25">
      <c r="A1901" s="264"/>
      <c r="B1901" s="264"/>
      <c r="C1901" s="1056"/>
      <c r="D1901" s="1056"/>
      <c r="E1901" s="1056"/>
      <c r="F1901" s="1056"/>
      <c r="G1901" s="1056"/>
      <c r="H1901" s="1056"/>
      <c r="I1901" s="1056"/>
      <c r="J1901" s="1056"/>
      <c r="K1901" s="1056"/>
      <c r="L1901" s="1056"/>
      <c r="M1901" s="274"/>
      <c r="P1901" s="264"/>
      <c r="Q1901" s="264"/>
      <c r="R1901" s="264"/>
      <c r="S1901" s="264"/>
      <c r="T1901" s="1056"/>
      <c r="U1901" s="1056"/>
      <c r="V1901" s="1056"/>
      <c r="W1901" s="1056"/>
      <c r="X1901" s="1056"/>
      <c r="Y1901" s="1056"/>
      <c r="Z1901" s="1056"/>
      <c r="AA1901" s="1056"/>
      <c r="AB1901" s="1056"/>
      <c r="AC1901" s="1056"/>
      <c r="AD1901" s="1056"/>
      <c r="AE1901" s="1056"/>
      <c r="AF1901" s="264"/>
    </row>
    <row r="1902" spans="1:32" s="268" customFormat="1" ht="15" x14ac:dyDescent="0.25">
      <c r="A1902" s="264"/>
      <c r="B1902" s="264"/>
      <c r="C1902" s="1056"/>
      <c r="D1902" s="1056"/>
      <c r="E1902" s="1056"/>
      <c r="F1902" s="1056"/>
      <c r="G1902" s="1056"/>
      <c r="H1902" s="1056"/>
      <c r="I1902" s="1056"/>
      <c r="J1902" s="1056"/>
      <c r="K1902" s="1056"/>
      <c r="L1902" s="1056"/>
      <c r="M1902" s="274"/>
      <c r="P1902" s="264"/>
      <c r="Q1902" s="264"/>
      <c r="R1902" s="264"/>
      <c r="S1902" s="264"/>
      <c r="T1902" s="1056"/>
      <c r="U1902" s="1056"/>
      <c r="V1902" s="1056"/>
      <c r="W1902" s="1056"/>
      <c r="X1902" s="1056"/>
      <c r="Y1902" s="1056"/>
      <c r="Z1902" s="1056"/>
      <c r="AA1902" s="1056"/>
      <c r="AB1902" s="1056"/>
      <c r="AC1902" s="1056"/>
      <c r="AD1902" s="1056"/>
      <c r="AE1902" s="1056"/>
      <c r="AF1902" s="264"/>
    </row>
    <row r="1903" spans="1:32" s="268" customFormat="1" ht="15" x14ac:dyDescent="0.25">
      <c r="A1903" s="264"/>
      <c r="B1903" s="264"/>
      <c r="C1903" s="1056"/>
      <c r="D1903" s="1056"/>
      <c r="E1903" s="1056"/>
      <c r="F1903" s="1056"/>
      <c r="G1903" s="1056"/>
      <c r="H1903" s="1056"/>
      <c r="I1903" s="1056"/>
      <c r="J1903" s="1056"/>
      <c r="K1903" s="1056"/>
      <c r="L1903" s="1056"/>
      <c r="M1903" s="274"/>
      <c r="P1903" s="264"/>
      <c r="Q1903" s="264"/>
      <c r="R1903" s="264"/>
      <c r="S1903" s="264"/>
      <c r="T1903" s="1056"/>
      <c r="U1903" s="1056"/>
      <c r="V1903" s="1056"/>
      <c r="W1903" s="1056"/>
      <c r="X1903" s="1056"/>
      <c r="Y1903" s="1056"/>
      <c r="Z1903" s="1056"/>
      <c r="AA1903" s="1056"/>
      <c r="AB1903" s="1056"/>
      <c r="AC1903" s="1056"/>
      <c r="AD1903" s="1056"/>
      <c r="AE1903" s="1056"/>
      <c r="AF1903" s="264"/>
    </row>
    <row r="1904" spans="1:32" s="268" customFormat="1" ht="15" x14ac:dyDescent="0.25">
      <c r="A1904" s="264"/>
      <c r="B1904" s="264"/>
      <c r="C1904" s="1056"/>
      <c r="D1904" s="1056"/>
      <c r="E1904" s="1056"/>
      <c r="F1904" s="1056"/>
      <c r="G1904" s="1056"/>
      <c r="H1904" s="1056"/>
      <c r="I1904" s="1056"/>
      <c r="J1904" s="1056"/>
      <c r="K1904" s="1056"/>
      <c r="L1904" s="1056"/>
      <c r="M1904" s="274"/>
      <c r="P1904" s="264"/>
      <c r="Q1904" s="264"/>
      <c r="R1904" s="264"/>
      <c r="S1904" s="264"/>
      <c r="T1904" s="1056"/>
      <c r="U1904" s="1056"/>
      <c r="V1904" s="1056"/>
      <c r="W1904" s="1056"/>
      <c r="X1904" s="1056"/>
      <c r="Y1904" s="1056"/>
      <c r="Z1904" s="1056"/>
      <c r="AA1904" s="1056"/>
      <c r="AB1904" s="1056"/>
      <c r="AC1904" s="1056"/>
      <c r="AD1904" s="1056"/>
      <c r="AE1904" s="1056"/>
      <c r="AF1904" s="264"/>
    </row>
    <row r="1905" spans="1:32" s="268" customFormat="1" ht="15" x14ac:dyDescent="0.25">
      <c r="A1905" s="264"/>
      <c r="B1905" s="264"/>
      <c r="C1905" s="1056"/>
      <c r="D1905" s="1056"/>
      <c r="E1905" s="1056"/>
      <c r="F1905" s="1056"/>
      <c r="G1905" s="1056"/>
      <c r="H1905" s="1056"/>
      <c r="I1905" s="1056"/>
      <c r="J1905" s="1056"/>
      <c r="K1905" s="1056"/>
      <c r="L1905" s="1056"/>
      <c r="M1905" s="274"/>
      <c r="P1905" s="264"/>
      <c r="Q1905" s="264"/>
      <c r="R1905" s="264"/>
      <c r="S1905" s="264"/>
      <c r="T1905" s="1056"/>
      <c r="U1905" s="1056"/>
      <c r="V1905" s="1056"/>
      <c r="W1905" s="1056"/>
      <c r="X1905" s="1056"/>
      <c r="Y1905" s="1056"/>
      <c r="Z1905" s="1056"/>
      <c r="AA1905" s="1056"/>
      <c r="AB1905" s="1056"/>
      <c r="AC1905" s="1056"/>
      <c r="AD1905" s="1056"/>
      <c r="AE1905" s="1056"/>
      <c r="AF1905" s="264"/>
    </row>
    <row r="1906" spans="1:32" s="268" customFormat="1" ht="15" x14ac:dyDescent="0.25">
      <c r="A1906" s="264"/>
      <c r="B1906" s="264"/>
      <c r="C1906" s="1056"/>
      <c r="D1906" s="1056"/>
      <c r="E1906" s="1056"/>
      <c r="F1906" s="1056"/>
      <c r="G1906" s="1056"/>
      <c r="H1906" s="1056"/>
      <c r="I1906" s="1056"/>
      <c r="J1906" s="1056"/>
      <c r="K1906" s="1056"/>
      <c r="L1906" s="1056"/>
      <c r="M1906" s="274"/>
      <c r="P1906" s="264"/>
      <c r="Q1906" s="264"/>
      <c r="R1906" s="264"/>
      <c r="S1906" s="264"/>
      <c r="T1906" s="1056"/>
      <c r="U1906" s="1056"/>
      <c r="V1906" s="1056"/>
      <c r="W1906" s="1056"/>
      <c r="X1906" s="1056"/>
      <c r="Y1906" s="1056"/>
      <c r="Z1906" s="1056"/>
      <c r="AA1906" s="1056"/>
      <c r="AB1906" s="1056"/>
      <c r="AC1906" s="1056"/>
      <c r="AD1906" s="1056"/>
      <c r="AE1906" s="1056"/>
      <c r="AF1906" s="264"/>
    </row>
    <row r="1907" spans="1:32" s="268" customFormat="1" ht="15" x14ac:dyDescent="0.25">
      <c r="A1907" s="264"/>
      <c r="B1907" s="264"/>
      <c r="C1907" s="1056"/>
      <c r="D1907" s="1056"/>
      <c r="E1907" s="1056"/>
      <c r="F1907" s="1056"/>
      <c r="G1907" s="1056"/>
      <c r="H1907" s="1056"/>
      <c r="I1907" s="1056"/>
      <c r="J1907" s="1056"/>
      <c r="K1907" s="1056"/>
      <c r="L1907" s="1056"/>
      <c r="M1907" s="274"/>
      <c r="P1907" s="264"/>
      <c r="Q1907" s="264"/>
      <c r="R1907" s="264"/>
      <c r="S1907" s="264"/>
      <c r="T1907" s="1056"/>
      <c r="U1907" s="1056"/>
      <c r="V1907" s="1056"/>
      <c r="W1907" s="1056"/>
      <c r="X1907" s="1056"/>
      <c r="Y1907" s="1056"/>
      <c r="Z1907" s="1056"/>
      <c r="AA1907" s="1056"/>
      <c r="AB1907" s="1056"/>
      <c r="AC1907" s="1056"/>
      <c r="AD1907" s="1056"/>
      <c r="AE1907" s="1056"/>
      <c r="AF1907" s="264"/>
    </row>
    <row r="1908" spans="1:32" s="268" customFormat="1" ht="15" x14ac:dyDescent="0.25">
      <c r="A1908" s="264"/>
      <c r="B1908" s="264"/>
      <c r="C1908" s="1056"/>
      <c r="D1908" s="1056"/>
      <c r="E1908" s="1056"/>
      <c r="F1908" s="1056"/>
      <c r="G1908" s="1056"/>
      <c r="H1908" s="1056"/>
      <c r="I1908" s="1056"/>
      <c r="J1908" s="1056"/>
      <c r="K1908" s="1056"/>
      <c r="L1908" s="1056"/>
      <c r="M1908" s="274"/>
      <c r="P1908" s="264"/>
      <c r="Q1908" s="264"/>
      <c r="R1908" s="264"/>
      <c r="S1908" s="264"/>
      <c r="T1908" s="1056"/>
      <c r="U1908" s="1056"/>
      <c r="V1908" s="1056"/>
      <c r="W1908" s="1056"/>
      <c r="X1908" s="1056"/>
      <c r="Y1908" s="1056"/>
      <c r="Z1908" s="1056"/>
      <c r="AA1908" s="1056"/>
      <c r="AB1908" s="1056"/>
      <c r="AC1908" s="1056"/>
      <c r="AD1908" s="1056"/>
      <c r="AE1908" s="1056"/>
      <c r="AF1908" s="264"/>
    </row>
    <row r="1909" spans="1:32" s="268" customFormat="1" ht="15" x14ac:dyDescent="0.25">
      <c r="A1909" s="264"/>
      <c r="B1909" s="264"/>
      <c r="C1909" s="1056"/>
      <c r="D1909" s="1056"/>
      <c r="E1909" s="1056"/>
      <c r="F1909" s="1056"/>
      <c r="G1909" s="1056"/>
      <c r="H1909" s="1056"/>
      <c r="I1909" s="1056"/>
      <c r="J1909" s="1056"/>
      <c r="K1909" s="1056"/>
      <c r="L1909" s="1056"/>
      <c r="M1909" s="274"/>
      <c r="P1909" s="264"/>
      <c r="Q1909" s="264"/>
      <c r="R1909" s="264"/>
      <c r="S1909" s="264"/>
      <c r="T1909" s="1056"/>
      <c r="U1909" s="1056"/>
      <c r="V1909" s="1056"/>
      <c r="W1909" s="1056"/>
      <c r="X1909" s="1056"/>
      <c r="Y1909" s="1056"/>
      <c r="Z1909" s="1056"/>
      <c r="AA1909" s="1056"/>
      <c r="AB1909" s="1056"/>
      <c r="AC1909" s="1056"/>
      <c r="AD1909" s="1056"/>
      <c r="AE1909" s="1056"/>
      <c r="AF1909" s="264"/>
    </row>
    <row r="1910" spans="1:32" s="268" customFormat="1" ht="15" x14ac:dyDescent="0.25">
      <c r="A1910" s="264"/>
      <c r="B1910" s="264"/>
      <c r="C1910" s="1056"/>
      <c r="D1910" s="1056"/>
      <c r="E1910" s="1056"/>
      <c r="F1910" s="1056"/>
      <c r="G1910" s="1056"/>
      <c r="H1910" s="1056"/>
      <c r="I1910" s="1056"/>
      <c r="J1910" s="1056"/>
      <c r="K1910" s="1056"/>
      <c r="L1910" s="1056"/>
      <c r="M1910" s="274"/>
      <c r="P1910" s="264"/>
      <c r="Q1910" s="264"/>
      <c r="R1910" s="264"/>
      <c r="S1910" s="264"/>
      <c r="T1910" s="1056"/>
      <c r="U1910" s="1056"/>
      <c r="V1910" s="1056"/>
      <c r="W1910" s="1056"/>
      <c r="X1910" s="1056"/>
      <c r="Y1910" s="1056"/>
      <c r="Z1910" s="1056"/>
      <c r="AA1910" s="1056"/>
      <c r="AB1910" s="1056"/>
      <c r="AC1910" s="1056"/>
      <c r="AD1910" s="1056"/>
      <c r="AE1910" s="1056"/>
      <c r="AF1910" s="264"/>
    </row>
    <row r="1911" spans="1:32" s="268" customFormat="1" ht="15" x14ac:dyDescent="0.25">
      <c r="A1911" s="264"/>
      <c r="B1911" s="264"/>
      <c r="C1911" s="1056"/>
      <c r="D1911" s="1056"/>
      <c r="E1911" s="1056"/>
      <c r="F1911" s="1056"/>
      <c r="G1911" s="1056"/>
      <c r="H1911" s="1056"/>
      <c r="I1911" s="1056"/>
      <c r="J1911" s="1056"/>
      <c r="K1911" s="1056"/>
      <c r="L1911" s="1056"/>
      <c r="M1911" s="274"/>
      <c r="P1911" s="264"/>
      <c r="Q1911" s="264"/>
      <c r="R1911" s="264"/>
      <c r="S1911" s="264"/>
      <c r="T1911" s="1056"/>
      <c r="U1911" s="1056"/>
      <c r="V1911" s="1056"/>
      <c r="W1911" s="1056"/>
      <c r="X1911" s="1056"/>
      <c r="Y1911" s="1056"/>
      <c r="Z1911" s="1056"/>
      <c r="AA1911" s="1056"/>
      <c r="AB1911" s="1056"/>
      <c r="AC1911" s="1056"/>
      <c r="AD1911" s="1056"/>
      <c r="AE1911" s="1056"/>
      <c r="AF1911" s="264"/>
    </row>
    <row r="1912" spans="1:32" s="268" customFormat="1" ht="15" x14ac:dyDescent="0.25">
      <c r="A1912" s="264"/>
      <c r="B1912" s="264"/>
      <c r="C1912" s="1056"/>
      <c r="D1912" s="1056"/>
      <c r="E1912" s="1056"/>
      <c r="F1912" s="1056"/>
      <c r="G1912" s="1056"/>
      <c r="H1912" s="1056"/>
      <c r="I1912" s="1056"/>
      <c r="J1912" s="1056"/>
      <c r="K1912" s="1056"/>
      <c r="L1912" s="1056"/>
      <c r="M1912" s="274"/>
      <c r="P1912" s="264"/>
      <c r="Q1912" s="264"/>
      <c r="R1912" s="264"/>
      <c r="S1912" s="264"/>
      <c r="T1912" s="1056"/>
      <c r="U1912" s="1056"/>
      <c r="V1912" s="1056"/>
      <c r="W1912" s="1056"/>
      <c r="X1912" s="1056"/>
      <c r="Y1912" s="1056"/>
      <c r="Z1912" s="1056"/>
      <c r="AA1912" s="1056"/>
      <c r="AB1912" s="1056"/>
      <c r="AC1912" s="1056"/>
      <c r="AD1912" s="1056"/>
      <c r="AE1912" s="1056"/>
      <c r="AF1912" s="264"/>
    </row>
    <row r="1913" spans="1:32" s="268" customFormat="1" ht="15" x14ac:dyDescent="0.25">
      <c r="A1913" s="264"/>
      <c r="B1913" s="264"/>
      <c r="C1913" s="1056"/>
      <c r="D1913" s="1056"/>
      <c r="E1913" s="1056"/>
      <c r="F1913" s="1056"/>
      <c r="G1913" s="1056"/>
      <c r="H1913" s="1056"/>
      <c r="I1913" s="1056"/>
      <c r="J1913" s="1056"/>
      <c r="K1913" s="1056"/>
      <c r="L1913" s="1056"/>
      <c r="M1913" s="274"/>
      <c r="P1913" s="264"/>
      <c r="Q1913" s="264"/>
      <c r="R1913" s="264"/>
      <c r="S1913" s="264"/>
      <c r="T1913" s="1056"/>
      <c r="U1913" s="1056"/>
      <c r="V1913" s="1056"/>
      <c r="W1913" s="1056"/>
      <c r="X1913" s="1056"/>
      <c r="Y1913" s="1056"/>
      <c r="Z1913" s="1056"/>
      <c r="AA1913" s="1056"/>
      <c r="AB1913" s="1056"/>
      <c r="AC1913" s="1056"/>
      <c r="AD1913" s="1056"/>
      <c r="AE1913" s="1056"/>
      <c r="AF1913" s="264"/>
    </row>
    <row r="1914" spans="1:32" s="268" customFormat="1" ht="15" x14ac:dyDescent="0.25">
      <c r="A1914" s="264"/>
      <c r="B1914" s="264"/>
      <c r="C1914" s="1056"/>
      <c r="D1914" s="1056"/>
      <c r="E1914" s="1056"/>
      <c r="F1914" s="1056"/>
      <c r="G1914" s="1056"/>
      <c r="H1914" s="1056"/>
      <c r="I1914" s="1056"/>
      <c r="J1914" s="1056"/>
      <c r="K1914" s="1056"/>
      <c r="L1914" s="1056"/>
      <c r="M1914" s="274"/>
      <c r="P1914" s="264"/>
      <c r="Q1914" s="264"/>
      <c r="R1914" s="264"/>
      <c r="S1914" s="264"/>
      <c r="T1914" s="1056"/>
      <c r="U1914" s="1056"/>
      <c r="V1914" s="1056"/>
      <c r="W1914" s="1056"/>
      <c r="X1914" s="1056"/>
      <c r="Y1914" s="1056"/>
      <c r="Z1914" s="1056"/>
      <c r="AA1914" s="1056"/>
      <c r="AB1914" s="1056"/>
      <c r="AC1914" s="1056"/>
      <c r="AD1914" s="1056"/>
      <c r="AE1914" s="1056"/>
      <c r="AF1914" s="264"/>
    </row>
    <row r="1915" spans="1:32" s="268" customFormat="1" ht="15" x14ac:dyDescent="0.25">
      <c r="A1915" s="264"/>
      <c r="B1915" s="264"/>
      <c r="C1915" s="1056"/>
      <c r="D1915" s="1056"/>
      <c r="E1915" s="1056"/>
      <c r="F1915" s="1056"/>
      <c r="G1915" s="1056"/>
      <c r="H1915" s="1056"/>
      <c r="I1915" s="1056"/>
      <c r="J1915" s="1056"/>
      <c r="K1915" s="1056"/>
      <c r="L1915" s="1056"/>
      <c r="M1915" s="274"/>
      <c r="P1915" s="264"/>
      <c r="Q1915" s="264"/>
      <c r="R1915" s="264"/>
      <c r="S1915" s="264"/>
      <c r="T1915" s="1056"/>
      <c r="U1915" s="1056"/>
      <c r="V1915" s="1056"/>
      <c r="W1915" s="1056"/>
      <c r="X1915" s="1056"/>
      <c r="Y1915" s="1056"/>
      <c r="Z1915" s="1056"/>
      <c r="AA1915" s="1056"/>
      <c r="AB1915" s="1056"/>
      <c r="AC1915" s="1056"/>
      <c r="AD1915" s="1056"/>
      <c r="AE1915" s="1056"/>
      <c r="AF1915" s="264"/>
    </row>
    <row r="1916" spans="1:32" s="268" customFormat="1" ht="15" x14ac:dyDescent="0.25">
      <c r="A1916" s="264"/>
      <c r="B1916" s="264"/>
      <c r="C1916" s="1056"/>
      <c r="D1916" s="1056"/>
      <c r="E1916" s="1056"/>
      <c r="F1916" s="1056"/>
      <c r="G1916" s="1056"/>
      <c r="H1916" s="1056"/>
      <c r="I1916" s="1056"/>
      <c r="J1916" s="1056"/>
      <c r="K1916" s="1056"/>
      <c r="L1916" s="1056"/>
      <c r="M1916" s="274"/>
      <c r="P1916" s="264"/>
      <c r="Q1916" s="264"/>
      <c r="R1916" s="264"/>
      <c r="S1916" s="264"/>
      <c r="T1916" s="1056"/>
      <c r="U1916" s="1056"/>
      <c r="V1916" s="1056"/>
      <c r="W1916" s="1056"/>
      <c r="X1916" s="1056"/>
      <c r="Y1916" s="1056"/>
      <c r="Z1916" s="1056"/>
      <c r="AA1916" s="1056"/>
      <c r="AB1916" s="1056"/>
      <c r="AC1916" s="1056"/>
      <c r="AD1916" s="1056"/>
      <c r="AE1916" s="1056"/>
      <c r="AF1916" s="264"/>
    </row>
    <row r="1917" spans="1:32" s="268" customFormat="1" ht="15" x14ac:dyDescent="0.25">
      <c r="A1917" s="264"/>
      <c r="B1917" s="264"/>
      <c r="C1917" s="1056"/>
      <c r="D1917" s="1056"/>
      <c r="E1917" s="1056"/>
      <c r="F1917" s="1056"/>
      <c r="G1917" s="1056"/>
      <c r="H1917" s="1056"/>
      <c r="I1917" s="1056"/>
      <c r="J1917" s="1056"/>
      <c r="K1917" s="1056"/>
      <c r="L1917" s="1056"/>
      <c r="M1917" s="274"/>
      <c r="P1917" s="264"/>
      <c r="Q1917" s="264"/>
      <c r="R1917" s="264"/>
      <c r="S1917" s="264"/>
      <c r="T1917" s="1056"/>
      <c r="U1917" s="1056"/>
      <c r="V1917" s="1056"/>
      <c r="W1917" s="1056"/>
      <c r="X1917" s="1056"/>
      <c r="Y1917" s="1056"/>
      <c r="Z1917" s="1056"/>
      <c r="AA1917" s="1056"/>
      <c r="AB1917" s="1056"/>
      <c r="AC1917" s="1056"/>
      <c r="AD1917" s="1056"/>
      <c r="AE1917" s="1056"/>
      <c r="AF1917" s="264"/>
    </row>
    <row r="1918" spans="1:32" s="268" customFormat="1" ht="15" x14ac:dyDescent="0.25">
      <c r="A1918" s="264"/>
      <c r="B1918" s="264"/>
      <c r="C1918" s="1056"/>
      <c r="D1918" s="1056"/>
      <c r="E1918" s="1056"/>
      <c r="F1918" s="1056"/>
      <c r="G1918" s="1056"/>
      <c r="H1918" s="1056"/>
      <c r="I1918" s="1056"/>
      <c r="J1918" s="1056"/>
      <c r="K1918" s="1056"/>
      <c r="L1918" s="1056"/>
      <c r="M1918" s="274"/>
      <c r="P1918" s="264"/>
      <c r="Q1918" s="264"/>
      <c r="R1918" s="264"/>
      <c r="S1918" s="264"/>
      <c r="T1918" s="1056"/>
      <c r="U1918" s="1056"/>
      <c r="V1918" s="1056"/>
      <c r="W1918" s="1056"/>
      <c r="X1918" s="1056"/>
      <c r="Y1918" s="1056"/>
      <c r="Z1918" s="1056"/>
      <c r="AA1918" s="1056"/>
      <c r="AB1918" s="1056"/>
      <c r="AC1918" s="1056"/>
      <c r="AD1918" s="1056"/>
      <c r="AE1918" s="1056"/>
      <c r="AF1918" s="264"/>
    </row>
    <row r="1919" spans="1:32" s="268" customFormat="1" ht="15" x14ac:dyDescent="0.25">
      <c r="A1919" s="264"/>
      <c r="B1919" s="264"/>
      <c r="C1919" s="1056"/>
      <c r="D1919" s="1056"/>
      <c r="E1919" s="1056"/>
      <c r="F1919" s="1056"/>
      <c r="G1919" s="1056"/>
      <c r="H1919" s="1056"/>
      <c r="I1919" s="1056"/>
      <c r="J1919" s="1056"/>
      <c r="K1919" s="1056"/>
      <c r="L1919" s="1056"/>
      <c r="M1919" s="274"/>
      <c r="P1919" s="264"/>
      <c r="Q1919" s="264"/>
      <c r="R1919" s="264"/>
      <c r="S1919" s="264"/>
      <c r="T1919" s="1056"/>
      <c r="U1919" s="1056"/>
      <c r="V1919" s="1056"/>
      <c r="W1919" s="1056"/>
      <c r="X1919" s="1056"/>
      <c r="Y1919" s="1056"/>
      <c r="Z1919" s="1056"/>
      <c r="AA1919" s="1056"/>
      <c r="AB1919" s="1056"/>
      <c r="AC1919" s="1056"/>
      <c r="AD1919" s="1056"/>
      <c r="AE1919" s="1056"/>
      <c r="AF1919" s="264"/>
    </row>
    <row r="1920" spans="1:32" s="268" customFormat="1" ht="15" x14ac:dyDescent="0.25">
      <c r="A1920" s="264"/>
      <c r="B1920" s="264"/>
      <c r="C1920" s="1056"/>
      <c r="D1920" s="1056"/>
      <c r="E1920" s="1056"/>
      <c r="F1920" s="1056"/>
      <c r="G1920" s="1056"/>
      <c r="H1920" s="1056"/>
      <c r="I1920" s="1056"/>
      <c r="J1920" s="1056"/>
      <c r="K1920" s="1056"/>
      <c r="L1920" s="1056"/>
      <c r="M1920" s="274"/>
      <c r="P1920" s="264"/>
      <c r="Q1920" s="264"/>
      <c r="R1920" s="264"/>
      <c r="S1920" s="264"/>
      <c r="T1920" s="1056"/>
      <c r="U1920" s="1056"/>
      <c r="V1920" s="1056"/>
      <c r="W1920" s="1056"/>
      <c r="X1920" s="1056"/>
      <c r="Y1920" s="1056"/>
      <c r="Z1920" s="1056"/>
      <c r="AA1920" s="1056"/>
      <c r="AB1920" s="1056"/>
      <c r="AC1920" s="1056"/>
      <c r="AD1920" s="1056"/>
      <c r="AE1920" s="1056"/>
      <c r="AF1920" s="264"/>
    </row>
    <row r="1921" spans="1:32" s="268" customFormat="1" ht="15" x14ac:dyDescent="0.25">
      <c r="A1921" s="264"/>
      <c r="B1921" s="264"/>
      <c r="C1921" s="1056"/>
      <c r="D1921" s="1056"/>
      <c r="E1921" s="1056"/>
      <c r="F1921" s="1056"/>
      <c r="G1921" s="1056"/>
      <c r="H1921" s="1056"/>
      <c r="I1921" s="1056"/>
      <c r="J1921" s="1056"/>
      <c r="K1921" s="1056"/>
      <c r="L1921" s="1056"/>
      <c r="M1921" s="274"/>
      <c r="P1921" s="264"/>
      <c r="Q1921" s="264"/>
      <c r="R1921" s="264"/>
      <c r="S1921" s="264"/>
      <c r="T1921" s="1056"/>
      <c r="U1921" s="1056"/>
      <c r="V1921" s="1056"/>
      <c r="W1921" s="1056"/>
      <c r="X1921" s="1056"/>
      <c r="Y1921" s="1056"/>
      <c r="Z1921" s="1056"/>
      <c r="AA1921" s="1056"/>
      <c r="AB1921" s="1056"/>
      <c r="AC1921" s="1056"/>
      <c r="AD1921" s="1056"/>
      <c r="AE1921" s="1056"/>
      <c r="AF1921" s="264"/>
    </row>
    <row r="1922" spans="1:32" s="268" customFormat="1" ht="15" x14ac:dyDescent="0.25">
      <c r="A1922" s="264"/>
      <c r="B1922" s="264"/>
      <c r="C1922" s="1056"/>
      <c r="D1922" s="1056"/>
      <c r="E1922" s="1056"/>
      <c r="F1922" s="1056"/>
      <c r="G1922" s="1056"/>
      <c r="H1922" s="1056"/>
      <c r="I1922" s="1056"/>
      <c r="J1922" s="1056"/>
      <c r="K1922" s="1056"/>
      <c r="L1922" s="1056"/>
      <c r="M1922" s="274"/>
      <c r="P1922" s="264"/>
      <c r="Q1922" s="264"/>
      <c r="R1922" s="264"/>
      <c r="S1922" s="264"/>
      <c r="T1922" s="1056"/>
      <c r="U1922" s="1056"/>
      <c r="V1922" s="1056"/>
      <c r="W1922" s="1056"/>
      <c r="X1922" s="1056"/>
      <c r="Y1922" s="1056"/>
      <c r="Z1922" s="1056"/>
      <c r="AA1922" s="1056"/>
      <c r="AB1922" s="1056"/>
      <c r="AC1922" s="1056"/>
      <c r="AD1922" s="1056"/>
      <c r="AE1922" s="1056"/>
      <c r="AF1922" s="264"/>
    </row>
    <row r="1923" spans="1:32" s="268" customFormat="1" ht="15" x14ac:dyDescent="0.25">
      <c r="A1923" s="264"/>
      <c r="B1923" s="264"/>
      <c r="C1923" s="1056"/>
      <c r="D1923" s="1056"/>
      <c r="E1923" s="1056"/>
      <c r="F1923" s="1056"/>
      <c r="G1923" s="1056"/>
      <c r="H1923" s="1056"/>
      <c r="I1923" s="1056"/>
      <c r="J1923" s="1056"/>
      <c r="K1923" s="1056"/>
      <c r="L1923" s="1056"/>
      <c r="M1923" s="274"/>
      <c r="P1923" s="264"/>
      <c r="Q1923" s="264"/>
      <c r="R1923" s="264"/>
      <c r="S1923" s="264"/>
      <c r="T1923" s="1056"/>
      <c r="U1923" s="1056"/>
      <c r="V1923" s="1056"/>
      <c r="W1923" s="1056"/>
      <c r="X1923" s="1056"/>
      <c r="Y1923" s="1056"/>
      <c r="Z1923" s="1056"/>
      <c r="AA1923" s="1056"/>
      <c r="AB1923" s="1056"/>
      <c r="AC1923" s="1056"/>
      <c r="AD1923" s="1056"/>
      <c r="AE1923" s="1056"/>
      <c r="AF1923" s="264"/>
    </row>
    <row r="1924" spans="1:32" s="268" customFormat="1" ht="15" x14ac:dyDescent="0.25">
      <c r="A1924" s="264"/>
      <c r="B1924" s="264"/>
      <c r="C1924" s="1056"/>
      <c r="D1924" s="1056"/>
      <c r="E1924" s="1056"/>
      <c r="F1924" s="1056"/>
      <c r="G1924" s="1056"/>
      <c r="H1924" s="1056"/>
      <c r="I1924" s="1056"/>
      <c r="J1924" s="1056"/>
      <c r="K1924" s="1056"/>
      <c r="L1924" s="1056"/>
      <c r="M1924" s="274"/>
      <c r="P1924" s="264"/>
      <c r="Q1924" s="264"/>
      <c r="R1924" s="264"/>
      <c r="S1924" s="264"/>
      <c r="T1924" s="1056"/>
      <c r="U1924" s="1056"/>
      <c r="V1924" s="1056"/>
      <c r="W1924" s="1056"/>
      <c r="X1924" s="1056"/>
      <c r="Y1924" s="1056"/>
      <c r="Z1924" s="1056"/>
      <c r="AA1924" s="1056"/>
      <c r="AB1924" s="1056"/>
      <c r="AC1924" s="1056"/>
      <c r="AD1924" s="1056"/>
      <c r="AE1924" s="1056"/>
      <c r="AF1924" s="264"/>
    </row>
    <row r="1925" spans="1:32" s="268" customFormat="1" ht="15" x14ac:dyDescent="0.25">
      <c r="A1925" s="264"/>
      <c r="B1925" s="264"/>
      <c r="C1925" s="1056"/>
      <c r="D1925" s="1056"/>
      <c r="E1925" s="1056"/>
      <c r="F1925" s="1056"/>
      <c r="G1925" s="1056"/>
      <c r="H1925" s="1056"/>
      <c r="I1925" s="1056"/>
      <c r="J1925" s="1056"/>
      <c r="K1925" s="1056"/>
      <c r="L1925" s="1056"/>
      <c r="M1925" s="274"/>
      <c r="P1925" s="264"/>
      <c r="Q1925" s="264"/>
      <c r="R1925" s="264"/>
      <c r="S1925" s="264"/>
      <c r="T1925" s="1056"/>
      <c r="U1925" s="1056"/>
      <c r="V1925" s="1056"/>
      <c r="W1925" s="1056"/>
      <c r="X1925" s="1056"/>
      <c r="Y1925" s="1056"/>
      <c r="Z1925" s="1056"/>
      <c r="AA1925" s="1056"/>
      <c r="AB1925" s="1056"/>
      <c r="AC1925" s="1056"/>
      <c r="AD1925" s="1056"/>
      <c r="AE1925" s="1056"/>
      <c r="AF1925" s="264"/>
    </row>
    <row r="1926" spans="1:32" s="268" customFormat="1" ht="15" x14ac:dyDescent="0.25">
      <c r="A1926" s="264"/>
      <c r="B1926" s="264"/>
      <c r="C1926" s="1056"/>
      <c r="D1926" s="1056"/>
      <c r="E1926" s="1056"/>
      <c r="F1926" s="1056"/>
      <c r="G1926" s="1056"/>
      <c r="H1926" s="1056"/>
      <c r="I1926" s="1056"/>
      <c r="J1926" s="1056"/>
      <c r="K1926" s="1056"/>
      <c r="L1926" s="1056"/>
      <c r="M1926" s="274"/>
      <c r="P1926" s="264"/>
      <c r="Q1926" s="264"/>
      <c r="R1926" s="264"/>
      <c r="S1926" s="264"/>
      <c r="T1926" s="1056"/>
      <c r="U1926" s="1056"/>
      <c r="V1926" s="1056"/>
      <c r="W1926" s="1056"/>
      <c r="X1926" s="1056"/>
      <c r="Y1926" s="1056"/>
      <c r="Z1926" s="1056"/>
      <c r="AA1926" s="1056"/>
      <c r="AB1926" s="1056"/>
      <c r="AC1926" s="1056"/>
      <c r="AD1926" s="1056"/>
      <c r="AE1926" s="1056"/>
      <c r="AF1926" s="264"/>
    </row>
    <row r="1927" spans="1:32" s="268" customFormat="1" ht="15" x14ac:dyDescent="0.25">
      <c r="A1927" s="264"/>
      <c r="B1927" s="264"/>
      <c r="C1927" s="1056"/>
      <c r="D1927" s="1056"/>
      <c r="E1927" s="1056"/>
      <c r="F1927" s="1056"/>
      <c r="G1927" s="1056"/>
      <c r="H1927" s="1056"/>
      <c r="I1927" s="1056"/>
      <c r="J1927" s="1056"/>
      <c r="K1927" s="1056"/>
      <c r="L1927" s="1056"/>
      <c r="M1927" s="274"/>
      <c r="P1927" s="264"/>
      <c r="Q1927" s="264"/>
      <c r="R1927" s="264"/>
      <c r="S1927" s="264"/>
      <c r="T1927" s="1056"/>
      <c r="U1927" s="1056"/>
      <c r="V1927" s="1056"/>
      <c r="W1927" s="1056"/>
      <c r="X1927" s="1056"/>
      <c r="Y1927" s="1056"/>
      <c r="Z1927" s="1056"/>
      <c r="AA1927" s="1056"/>
      <c r="AB1927" s="1056"/>
      <c r="AC1927" s="1056"/>
      <c r="AD1927" s="1056"/>
      <c r="AE1927" s="1056"/>
      <c r="AF1927" s="264"/>
    </row>
    <row r="1928" spans="1:32" s="268" customFormat="1" ht="15" x14ac:dyDescent="0.25">
      <c r="A1928" s="264"/>
      <c r="B1928" s="264"/>
      <c r="C1928" s="1056"/>
      <c r="D1928" s="1056"/>
      <c r="E1928" s="1056"/>
      <c r="F1928" s="1056"/>
      <c r="G1928" s="1056"/>
      <c r="H1928" s="1056"/>
      <c r="I1928" s="1056"/>
      <c r="J1928" s="1056"/>
      <c r="K1928" s="1056"/>
      <c r="L1928" s="1056"/>
      <c r="M1928" s="274"/>
      <c r="P1928" s="264"/>
      <c r="Q1928" s="264"/>
      <c r="R1928" s="264"/>
      <c r="S1928" s="264"/>
      <c r="T1928" s="1056"/>
      <c r="U1928" s="1056"/>
      <c r="V1928" s="1056"/>
      <c r="W1928" s="1056"/>
      <c r="X1928" s="1056"/>
      <c r="Y1928" s="1056"/>
      <c r="Z1928" s="1056"/>
      <c r="AA1928" s="1056"/>
      <c r="AB1928" s="1056"/>
      <c r="AC1928" s="1056"/>
      <c r="AD1928" s="1056"/>
      <c r="AE1928" s="1056"/>
      <c r="AF1928" s="264"/>
    </row>
    <row r="1929" spans="1:32" s="268" customFormat="1" ht="15" x14ac:dyDescent="0.25">
      <c r="A1929" s="264"/>
      <c r="B1929" s="264"/>
      <c r="C1929" s="1056"/>
      <c r="D1929" s="1056"/>
      <c r="E1929" s="1056"/>
      <c r="F1929" s="1056"/>
      <c r="G1929" s="1056"/>
      <c r="H1929" s="1056"/>
      <c r="I1929" s="1056"/>
      <c r="J1929" s="1056"/>
      <c r="K1929" s="1056"/>
      <c r="L1929" s="1056"/>
      <c r="M1929" s="274"/>
      <c r="P1929" s="264"/>
      <c r="Q1929" s="264"/>
      <c r="R1929" s="264"/>
      <c r="S1929" s="264"/>
      <c r="T1929" s="1056"/>
      <c r="U1929" s="1056"/>
      <c r="V1929" s="1056"/>
      <c r="W1929" s="1056"/>
      <c r="X1929" s="1056"/>
      <c r="Y1929" s="1056"/>
      <c r="Z1929" s="1056"/>
      <c r="AA1929" s="1056"/>
      <c r="AB1929" s="1056"/>
      <c r="AC1929" s="1056"/>
      <c r="AD1929" s="1056"/>
      <c r="AE1929" s="1056"/>
      <c r="AF1929" s="264"/>
    </row>
    <row r="1930" spans="1:32" s="268" customFormat="1" ht="15" x14ac:dyDescent="0.25">
      <c r="A1930" s="264"/>
      <c r="B1930" s="264"/>
      <c r="C1930" s="1056"/>
      <c r="D1930" s="1056"/>
      <c r="E1930" s="1056"/>
      <c r="F1930" s="1056"/>
      <c r="G1930" s="1056"/>
      <c r="H1930" s="1056"/>
      <c r="I1930" s="1056"/>
      <c r="J1930" s="1056"/>
      <c r="K1930" s="1056"/>
      <c r="L1930" s="1056"/>
      <c r="M1930" s="274"/>
      <c r="P1930" s="264"/>
      <c r="Q1930" s="264"/>
      <c r="R1930" s="264"/>
      <c r="S1930" s="264"/>
      <c r="T1930" s="1056"/>
      <c r="U1930" s="1056"/>
      <c r="V1930" s="1056"/>
      <c r="W1930" s="1056"/>
      <c r="X1930" s="1056"/>
      <c r="Y1930" s="1056"/>
      <c r="Z1930" s="1056"/>
      <c r="AA1930" s="1056"/>
      <c r="AB1930" s="1056"/>
      <c r="AC1930" s="1056"/>
      <c r="AD1930" s="1056"/>
      <c r="AE1930" s="1056"/>
      <c r="AF1930" s="264"/>
    </row>
    <row r="1931" spans="1:32" s="268" customFormat="1" ht="15" x14ac:dyDescent="0.25">
      <c r="A1931" s="264"/>
      <c r="B1931" s="264"/>
      <c r="C1931" s="1056"/>
      <c r="D1931" s="1056"/>
      <c r="E1931" s="1056"/>
      <c r="F1931" s="1056"/>
      <c r="G1931" s="1056"/>
      <c r="H1931" s="1056"/>
      <c r="I1931" s="1056"/>
      <c r="J1931" s="1056"/>
      <c r="K1931" s="1056"/>
      <c r="L1931" s="1056"/>
      <c r="M1931" s="274"/>
      <c r="P1931" s="264"/>
      <c r="Q1931" s="264"/>
      <c r="R1931" s="264"/>
      <c r="S1931" s="264"/>
      <c r="T1931" s="1056"/>
      <c r="U1931" s="1056"/>
      <c r="V1931" s="1056"/>
      <c r="W1931" s="1056"/>
      <c r="X1931" s="1056"/>
      <c r="Y1931" s="1056"/>
      <c r="Z1931" s="1056"/>
      <c r="AA1931" s="1056"/>
      <c r="AB1931" s="1056"/>
      <c r="AC1931" s="1056"/>
      <c r="AD1931" s="1056"/>
      <c r="AE1931" s="1056"/>
      <c r="AF1931" s="264"/>
    </row>
    <row r="1932" spans="1:32" s="268" customFormat="1" ht="15" x14ac:dyDescent="0.25">
      <c r="A1932" s="264"/>
      <c r="B1932" s="264"/>
      <c r="C1932" s="1056"/>
      <c r="D1932" s="1056"/>
      <c r="E1932" s="1056"/>
      <c r="F1932" s="1056"/>
      <c r="G1932" s="1056"/>
      <c r="H1932" s="1056"/>
      <c r="I1932" s="1056"/>
      <c r="J1932" s="1056"/>
      <c r="K1932" s="1056"/>
      <c r="L1932" s="1056"/>
      <c r="M1932" s="274"/>
      <c r="P1932" s="264"/>
      <c r="Q1932" s="264"/>
      <c r="R1932" s="264"/>
      <c r="S1932" s="264"/>
      <c r="T1932" s="1056"/>
      <c r="U1932" s="1056"/>
      <c r="V1932" s="1056"/>
      <c r="W1932" s="1056"/>
      <c r="X1932" s="1056"/>
      <c r="Y1932" s="1056"/>
      <c r="Z1932" s="1056"/>
      <c r="AA1932" s="1056"/>
      <c r="AB1932" s="1056"/>
      <c r="AC1932" s="1056"/>
      <c r="AD1932" s="1056"/>
      <c r="AE1932" s="1056"/>
      <c r="AF1932" s="264"/>
    </row>
    <row r="1933" spans="1:32" s="268" customFormat="1" ht="15" x14ac:dyDescent="0.25">
      <c r="A1933" s="264"/>
      <c r="B1933" s="264"/>
      <c r="C1933" s="1056"/>
      <c r="D1933" s="1056"/>
      <c r="E1933" s="1056"/>
      <c r="F1933" s="1056"/>
      <c r="G1933" s="1056"/>
      <c r="H1933" s="1056"/>
      <c r="I1933" s="1056"/>
      <c r="J1933" s="1056"/>
      <c r="K1933" s="1056"/>
      <c r="L1933" s="1056"/>
      <c r="M1933" s="274"/>
      <c r="P1933" s="264"/>
      <c r="Q1933" s="264"/>
      <c r="R1933" s="264"/>
      <c r="S1933" s="264"/>
      <c r="T1933" s="1056"/>
      <c r="U1933" s="1056"/>
      <c r="V1933" s="1056"/>
      <c r="W1933" s="1056"/>
      <c r="X1933" s="1056"/>
      <c r="Y1933" s="1056"/>
      <c r="Z1933" s="1056"/>
      <c r="AA1933" s="1056"/>
      <c r="AB1933" s="1056"/>
      <c r="AC1933" s="1056"/>
      <c r="AD1933" s="1056"/>
      <c r="AE1933" s="1056"/>
      <c r="AF1933" s="264"/>
    </row>
    <row r="1934" spans="1:32" s="268" customFormat="1" ht="15" x14ac:dyDescent="0.25">
      <c r="A1934" s="264"/>
      <c r="B1934" s="264"/>
      <c r="C1934" s="1056"/>
      <c r="D1934" s="1056"/>
      <c r="E1934" s="1056"/>
      <c r="F1934" s="1056"/>
      <c r="G1934" s="1056"/>
      <c r="H1934" s="1056"/>
      <c r="I1934" s="1056"/>
      <c r="J1934" s="1056"/>
      <c r="K1934" s="1056"/>
      <c r="L1934" s="1056"/>
      <c r="M1934" s="274"/>
      <c r="P1934" s="264"/>
      <c r="Q1934" s="264"/>
      <c r="R1934" s="264"/>
      <c r="S1934" s="264"/>
      <c r="T1934" s="1056"/>
      <c r="U1934" s="1056"/>
      <c r="V1934" s="1056"/>
      <c r="W1934" s="1056"/>
      <c r="X1934" s="1056"/>
      <c r="Y1934" s="1056"/>
      <c r="Z1934" s="1056"/>
      <c r="AA1934" s="1056"/>
      <c r="AB1934" s="1056"/>
      <c r="AC1934" s="1056"/>
      <c r="AD1934" s="1056"/>
      <c r="AE1934" s="1056"/>
      <c r="AF1934" s="264"/>
    </row>
    <row r="1935" spans="1:32" s="268" customFormat="1" ht="15" x14ac:dyDescent="0.25">
      <c r="A1935" s="264"/>
      <c r="B1935" s="264"/>
      <c r="C1935" s="1056"/>
      <c r="D1935" s="1056"/>
      <c r="E1935" s="1056"/>
      <c r="F1935" s="1056"/>
      <c r="G1935" s="1056"/>
      <c r="H1935" s="1056"/>
      <c r="I1935" s="1056"/>
      <c r="J1935" s="1056"/>
      <c r="K1935" s="1056"/>
      <c r="L1935" s="1056"/>
      <c r="M1935" s="274"/>
      <c r="P1935" s="264"/>
      <c r="Q1935" s="264"/>
      <c r="R1935" s="264"/>
      <c r="S1935" s="264"/>
      <c r="T1935" s="1056"/>
      <c r="U1935" s="1056"/>
      <c r="V1935" s="1056"/>
      <c r="W1935" s="1056"/>
      <c r="X1935" s="1056"/>
      <c r="Y1935" s="1056"/>
      <c r="Z1935" s="1056"/>
      <c r="AA1935" s="1056"/>
      <c r="AB1935" s="1056"/>
      <c r="AC1935" s="1056"/>
      <c r="AD1935" s="1056"/>
      <c r="AE1935" s="1056"/>
      <c r="AF1935" s="264"/>
    </row>
    <row r="1936" spans="1:32" s="268" customFormat="1" ht="15" x14ac:dyDescent="0.25">
      <c r="A1936" s="264"/>
      <c r="B1936" s="264"/>
      <c r="C1936" s="1056"/>
      <c r="D1936" s="1056"/>
      <c r="E1936" s="1056"/>
      <c r="F1936" s="1056"/>
      <c r="G1936" s="1056"/>
      <c r="H1936" s="1056"/>
      <c r="I1936" s="1056"/>
      <c r="J1936" s="1056"/>
      <c r="K1936" s="1056"/>
      <c r="L1936" s="1056"/>
      <c r="M1936" s="274"/>
      <c r="P1936" s="264"/>
      <c r="Q1936" s="264"/>
      <c r="R1936" s="264"/>
      <c r="S1936" s="264"/>
      <c r="T1936" s="1056"/>
      <c r="U1936" s="1056"/>
      <c r="V1936" s="1056"/>
      <c r="W1936" s="1056"/>
      <c r="X1936" s="1056"/>
      <c r="Y1936" s="1056"/>
      <c r="Z1936" s="1056"/>
      <c r="AA1936" s="1056"/>
      <c r="AB1936" s="1056"/>
      <c r="AC1936" s="1056"/>
      <c r="AD1936" s="1056"/>
      <c r="AE1936" s="1056"/>
      <c r="AF1936" s="264"/>
    </row>
    <row r="1937" spans="1:32" s="268" customFormat="1" ht="15" x14ac:dyDescent="0.25">
      <c r="A1937" s="264"/>
      <c r="B1937" s="264"/>
      <c r="C1937" s="1056"/>
      <c r="D1937" s="1056"/>
      <c r="E1937" s="1056"/>
      <c r="F1937" s="1056"/>
      <c r="G1937" s="1056"/>
      <c r="H1937" s="1056"/>
      <c r="I1937" s="1056"/>
      <c r="J1937" s="1056"/>
      <c r="K1937" s="1056"/>
      <c r="L1937" s="1056"/>
      <c r="M1937" s="274"/>
      <c r="P1937" s="264"/>
      <c r="Q1937" s="264"/>
      <c r="R1937" s="264"/>
      <c r="S1937" s="264"/>
      <c r="T1937" s="1056"/>
      <c r="U1937" s="1056"/>
      <c r="V1937" s="1056"/>
      <c r="W1937" s="1056"/>
      <c r="X1937" s="1056"/>
      <c r="Y1937" s="1056"/>
      <c r="Z1937" s="1056"/>
      <c r="AA1937" s="1056"/>
      <c r="AB1937" s="1056"/>
      <c r="AC1937" s="1056"/>
      <c r="AD1937" s="1056"/>
      <c r="AE1937" s="1056"/>
      <c r="AF1937" s="264"/>
    </row>
    <row r="1938" spans="1:32" s="268" customFormat="1" ht="15" x14ac:dyDescent="0.25">
      <c r="A1938" s="264"/>
      <c r="B1938" s="264"/>
      <c r="C1938" s="1056"/>
      <c r="D1938" s="1056"/>
      <c r="E1938" s="1056"/>
      <c r="F1938" s="1056"/>
      <c r="G1938" s="1056"/>
      <c r="H1938" s="1056"/>
      <c r="I1938" s="1056"/>
      <c r="J1938" s="1056"/>
      <c r="K1938" s="1056"/>
      <c r="L1938" s="1056"/>
      <c r="M1938" s="274"/>
      <c r="P1938" s="264"/>
      <c r="Q1938" s="264"/>
      <c r="R1938" s="264"/>
      <c r="S1938" s="264"/>
      <c r="T1938" s="1056"/>
      <c r="U1938" s="1056"/>
      <c r="V1938" s="1056"/>
      <c r="W1938" s="1056"/>
      <c r="X1938" s="1056"/>
      <c r="Y1938" s="1056"/>
      <c r="Z1938" s="1056"/>
      <c r="AA1938" s="1056"/>
      <c r="AB1938" s="1056"/>
      <c r="AC1938" s="1056"/>
      <c r="AD1938" s="1056"/>
      <c r="AE1938" s="1056"/>
      <c r="AF1938" s="264"/>
    </row>
    <row r="1939" spans="1:32" s="268" customFormat="1" ht="15" x14ac:dyDescent="0.25">
      <c r="A1939" s="264"/>
      <c r="B1939" s="264"/>
      <c r="C1939" s="1056"/>
      <c r="D1939" s="1056"/>
      <c r="E1939" s="1056"/>
      <c r="F1939" s="1056"/>
      <c r="G1939" s="1056"/>
      <c r="H1939" s="1056"/>
      <c r="I1939" s="1056"/>
      <c r="J1939" s="1056"/>
      <c r="K1939" s="1056"/>
      <c r="L1939" s="1056"/>
      <c r="M1939" s="274"/>
      <c r="P1939" s="264"/>
      <c r="Q1939" s="264"/>
      <c r="R1939" s="264"/>
      <c r="S1939" s="264"/>
      <c r="T1939" s="1056"/>
      <c r="U1939" s="1056"/>
      <c r="V1939" s="1056"/>
      <c r="W1939" s="1056"/>
      <c r="X1939" s="1056"/>
      <c r="Y1939" s="1056"/>
      <c r="Z1939" s="1056"/>
      <c r="AA1939" s="1056"/>
      <c r="AB1939" s="1056"/>
      <c r="AC1939" s="1056"/>
      <c r="AD1939" s="1056"/>
      <c r="AE1939" s="1056"/>
      <c r="AF1939" s="264"/>
    </row>
    <row r="1940" spans="1:32" s="268" customFormat="1" ht="15" x14ac:dyDescent="0.25">
      <c r="A1940" s="264"/>
      <c r="B1940" s="264"/>
      <c r="C1940" s="1056"/>
      <c r="D1940" s="1056"/>
      <c r="E1940" s="1056"/>
      <c r="F1940" s="1056"/>
      <c r="G1940" s="1056"/>
      <c r="H1940" s="1056"/>
      <c r="I1940" s="1056"/>
      <c r="J1940" s="1056"/>
      <c r="K1940" s="1056"/>
      <c r="L1940" s="1056"/>
      <c r="M1940" s="274"/>
      <c r="P1940" s="264"/>
      <c r="Q1940" s="264"/>
      <c r="R1940" s="264"/>
      <c r="S1940" s="264"/>
      <c r="T1940" s="1056"/>
      <c r="U1940" s="1056"/>
      <c r="V1940" s="1056"/>
      <c r="W1940" s="1056"/>
      <c r="X1940" s="1056"/>
      <c r="Y1940" s="1056"/>
      <c r="Z1940" s="1056"/>
      <c r="AA1940" s="1056"/>
      <c r="AB1940" s="1056"/>
      <c r="AC1940" s="1056"/>
      <c r="AD1940" s="1056"/>
      <c r="AE1940" s="1056"/>
      <c r="AF1940" s="264"/>
    </row>
    <row r="1941" spans="1:32" s="268" customFormat="1" ht="15" x14ac:dyDescent="0.25">
      <c r="A1941" s="264"/>
      <c r="B1941" s="264"/>
      <c r="C1941" s="1056"/>
      <c r="D1941" s="1056"/>
      <c r="E1941" s="1056"/>
      <c r="F1941" s="1056"/>
      <c r="G1941" s="1056"/>
      <c r="H1941" s="1056"/>
      <c r="I1941" s="1056"/>
      <c r="J1941" s="1056"/>
      <c r="K1941" s="1056"/>
      <c r="L1941" s="1056"/>
      <c r="M1941" s="274"/>
      <c r="P1941" s="264"/>
      <c r="Q1941" s="264"/>
      <c r="R1941" s="264"/>
      <c r="S1941" s="264"/>
      <c r="T1941" s="1056"/>
      <c r="U1941" s="1056"/>
      <c r="V1941" s="1056"/>
      <c r="W1941" s="1056"/>
      <c r="X1941" s="1056"/>
      <c r="Y1941" s="1056"/>
      <c r="Z1941" s="1056"/>
      <c r="AA1941" s="1056"/>
      <c r="AB1941" s="1056"/>
      <c r="AC1941" s="1056"/>
      <c r="AD1941" s="1056"/>
      <c r="AE1941" s="1056"/>
      <c r="AF1941" s="264"/>
    </row>
    <row r="1942" spans="1:32" s="268" customFormat="1" ht="15" x14ac:dyDescent="0.25">
      <c r="A1942" s="264"/>
      <c r="B1942" s="264"/>
      <c r="C1942" s="1056"/>
      <c r="D1942" s="1056"/>
      <c r="E1942" s="1056"/>
      <c r="F1942" s="1056"/>
      <c r="G1942" s="1056"/>
      <c r="H1942" s="1056"/>
      <c r="I1942" s="1056"/>
      <c r="J1942" s="1056"/>
      <c r="K1942" s="1056"/>
      <c r="L1942" s="1056"/>
      <c r="M1942" s="274"/>
      <c r="P1942" s="264"/>
      <c r="Q1942" s="264"/>
      <c r="R1942" s="264"/>
      <c r="S1942" s="264"/>
      <c r="T1942" s="1056"/>
      <c r="U1942" s="1056"/>
      <c r="V1942" s="1056"/>
      <c r="W1942" s="1056"/>
      <c r="X1942" s="1056"/>
      <c r="Y1942" s="1056"/>
      <c r="Z1942" s="1056"/>
      <c r="AA1942" s="1056"/>
      <c r="AB1942" s="1056"/>
      <c r="AC1942" s="1056"/>
      <c r="AD1942" s="1056"/>
      <c r="AE1942" s="1056"/>
      <c r="AF1942" s="264"/>
    </row>
    <row r="1943" spans="1:32" s="268" customFormat="1" ht="15" x14ac:dyDescent="0.25">
      <c r="A1943" s="264"/>
      <c r="B1943" s="264"/>
      <c r="C1943" s="1056"/>
      <c r="D1943" s="1056"/>
      <c r="E1943" s="1056"/>
      <c r="F1943" s="1056"/>
      <c r="G1943" s="1056"/>
      <c r="H1943" s="1056"/>
      <c r="I1943" s="1056"/>
      <c r="J1943" s="1056"/>
      <c r="K1943" s="1056"/>
      <c r="L1943" s="1056"/>
      <c r="M1943" s="274"/>
      <c r="P1943" s="264"/>
      <c r="Q1943" s="264"/>
      <c r="R1943" s="264"/>
      <c r="S1943" s="264"/>
      <c r="T1943" s="1056"/>
      <c r="U1943" s="1056"/>
      <c r="V1943" s="1056"/>
      <c r="W1943" s="1056"/>
      <c r="X1943" s="1056"/>
      <c r="Y1943" s="1056"/>
      <c r="Z1943" s="1056"/>
      <c r="AA1943" s="1056"/>
      <c r="AB1943" s="1056"/>
      <c r="AC1943" s="1056"/>
      <c r="AD1943" s="1056"/>
      <c r="AE1943" s="1056"/>
      <c r="AF1943" s="264"/>
    </row>
    <row r="1944" spans="1:32" s="268" customFormat="1" ht="15" x14ac:dyDescent="0.25">
      <c r="A1944" s="264"/>
      <c r="B1944" s="264"/>
      <c r="C1944" s="1056"/>
      <c r="D1944" s="1056"/>
      <c r="E1944" s="1056"/>
      <c r="F1944" s="1056"/>
      <c r="G1944" s="1056"/>
      <c r="H1944" s="1056"/>
      <c r="I1944" s="1056"/>
      <c r="J1944" s="1056"/>
      <c r="K1944" s="1056"/>
      <c r="L1944" s="1056"/>
      <c r="M1944" s="274"/>
      <c r="P1944" s="264"/>
      <c r="Q1944" s="264"/>
      <c r="R1944" s="264"/>
      <c r="S1944" s="264"/>
      <c r="T1944" s="1056"/>
      <c r="U1944" s="1056"/>
      <c r="V1944" s="1056"/>
      <c r="W1944" s="1056"/>
      <c r="X1944" s="1056"/>
      <c r="Y1944" s="1056"/>
      <c r="Z1944" s="1056"/>
      <c r="AA1944" s="1056"/>
      <c r="AB1944" s="1056"/>
      <c r="AC1944" s="1056"/>
      <c r="AD1944" s="1056"/>
      <c r="AE1944" s="1056"/>
      <c r="AF1944" s="264"/>
    </row>
    <row r="1945" spans="1:32" s="268" customFormat="1" ht="15" x14ac:dyDescent="0.25">
      <c r="A1945" s="264"/>
      <c r="B1945" s="264"/>
      <c r="C1945" s="1056"/>
      <c r="D1945" s="1056"/>
      <c r="E1945" s="1056"/>
      <c r="F1945" s="1056"/>
      <c r="G1945" s="1056"/>
      <c r="H1945" s="1056"/>
      <c r="I1945" s="1056"/>
      <c r="J1945" s="1056"/>
      <c r="K1945" s="1056"/>
      <c r="L1945" s="1056"/>
      <c r="M1945" s="274"/>
      <c r="P1945" s="264"/>
      <c r="Q1945" s="264"/>
      <c r="R1945" s="264"/>
      <c r="S1945" s="264"/>
      <c r="T1945" s="1056"/>
      <c r="U1945" s="1056"/>
      <c r="V1945" s="1056"/>
      <c r="W1945" s="1056"/>
      <c r="X1945" s="1056"/>
      <c r="Y1945" s="1056"/>
      <c r="Z1945" s="1056"/>
      <c r="AA1945" s="1056"/>
      <c r="AB1945" s="1056"/>
      <c r="AC1945" s="1056"/>
      <c r="AD1945" s="1056"/>
      <c r="AE1945" s="1056"/>
      <c r="AF1945" s="264"/>
    </row>
    <row r="1946" spans="1:32" s="268" customFormat="1" ht="15" x14ac:dyDescent="0.25">
      <c r="A1946" s="264"/>
      <c r="B1946" s="264"/>
      <c r="C1946" s="1056"/>
      <c r="D1946" s="1056"/>
      <c r="E1946" s="1056"/>
      <c r="F1946" s="1056"/>
      <c r="G1946" s="1056"/>
      <c r="H1946" s="1056"/>
      <c r="I1946" s="1056"/>
      <c r="J1946" s="1056"/>
      <c r="K1946" s="1056"/>
      <c r="L1946" s="1056"/>
      <c r="M1946" s="274"/>
      <c r="P1946" s="264"/>
      <c r="Q1946" s="264"/>
      <c r="R1946" s="264"/>
      <c r="S1946" s="264"/>
      <c r="T1946" s="1056"/>
      <c r="U1946" s="1056"/>
      <c r="V1946" s="1056"/>
      <c r="W1946" s="1056"/>
      <c r="X1946" s="1056"/>
      <c r="Y1946" s="1056"/>
      <c r="Z1946" s="1056"/>
      <c r="AA1946" s="1056"/>
      <c r="AB1946" s="1056"/>
      <c r="AC1946" s="1056"/>
      <c r="AD1946" s="1056"/>
      <c r="AE1946" s="1056"/>
      <c r="AF1946" s="264"/>
    </row>
    <row r="1947" spans="1:32" s="268" customFormat="1" ht="15" x14ac:dyDescent="0.25">
      <c r="A1947" s="264"/>
      <c r="B1947" s="264"/>
      <c r="C1947" s="1056"/>
      <c r="D1947" s="1056"/>
      <c r="E1947" s="1056"/>
      <c r="F1947" s="1056"/>
      <c r="G1947" s="1056"/>
      <c r="H1947" s="1056"/>
      <c r="I1947" s="1056"/>
      <c r="J1947" s="1056"/>
      <c r="K1947" s="1056"/>
      <c r="L1947" s="1056"/>
      <c r="M1947" s="274"/>
      <c r="P1947" s="264"/>
      <c r="Q1947" s="264"/>
      <c r="R1947" s="264"/>
      <c r="S1947" s="264"/>
      <c r="T1947" s="1056"/>
      <c r="U1947" s="1056"/>
      <c r="V1947" s="1056"/>
      <c r="W1947" s="1056"/>
      <c r="X1947" s="1056"/>
      <c r="Y1947" s="1056"/>
      <c r="Z1947" s="1056"/>
      <c r="AA1947" s="1056"/>
      <c r="AB1947" s="1056"/>
      <c r="AC1947" s="1056"/>
      <c r="AD1947" s="1056"/>
      <c r="AE1947" s="1056"/>
      <c r="AF1947" s="264"/>
    </row>
    <row r="1948" spans="1:32" s="268" customFormat="1" ht="15" x14ac:dyDescent="0.25">
      <c r="A1948" s="264"/>
      <c r="B1948" s="264"/>
      <c r="C1948" s="1056"/>
      <c r="D1948" s="1056"/>
      <c r="E1948" s="1056"/>
      <c r="F1948" s="1056"/>
      <c r="G1948" s="1056"/>
      <c r="H1948" s="1056"/>
      <c r="I1948" s="1056"/>
      <c r="J1948" s="1056"/>
      <c r="K1948" s="1056"/>
      <c r="L1948" s="1056"/>
      <c r="M1948" s="274"/>
      <c r="P1948" s="264"/>
      <c r="Q1948" s="264"/>
      <c r="R1948" s="264"/>
      <c r="S1948" s="264"/>
      <c r="T1948" s="1056"/>
      <c r="U1948" s="1056"/>
      <c r="V1948" s="1056"/>
      <c r="W1948" s="1056"/>
      <c r="X1948" s="1056"/>
      <c r="Y1948" s="1056"/>
      <c r="Z1948" s="1056"/>
      <c r="AA1948" s="1056"/>
      <c r="AB1948" s="1056"/>
      <c r="AC1948" s="1056"/>
      <c r="AD1948" s="1056"/>
      <c r="AE1948" s="1056"/>
      <c r="AF1948" s="264"/>
    </row>
    <row r="1949" spans="1:32" s="268" customFormat="1" ht="15" x14ac:dyDescent="0.25">
      <c r="A1949" s="264"/>
      <c r="B1949" s="264"/>
      <c r="C1949" s="1056"/>
      <c r="D1949" s="1056"/>
      <c r="E1949" s="1056"/>
      <c r="F1949" s="1056"/>
      <c r="G1949" s="1056"/>
      <c r="H1949" s="1056"/>
      <c r="I1949" s="1056"/>
      <c r="J1949" s="1056"/>
      <c r="K1949" s="1056"/>
      <c r="L1949" s="1056"/>
      <c r="M1949" s="274"/>
      <c r="P1949" s="264"/>
      <c r="Q1949" s="264"/>
      <c r="R1949" s="264"/>
      <c r="S1949" s="264"/>
      <c r="T1949" s="1056"/>
      <c r="U1949" s="1056"/>
      <c r="V1949" s="1056"/>
      <c r="W1949" s="1056"/>
      <c r="X1949" s="1056"/>
      <c r="Y1949" s="1056"/>
      <c r="Z1949" s="1056"/>
      <c r="AA1949" s="1056"/>
      <c r="AB1949" s="1056"/>
      <c r="AC1949" s="1056"/>
      <c r="AD1949" s="1056"/>
      <c r="AE1949" s="1056"/>
      <c r="AF1949" s="264"/>
    </row>
    <row r="1950" spans="1:32" s="268" customFormat="1" ht="15" x14ac:dyDescent="0.25">
      <c r="A1950" s="264"/>
      <c r="B1950" s="264"/>
      <c r="C1950" s="1056"/>
      <c r="D1950" s="1056"/>
      <c r="E1950" s="1056"/>
      <c r="F1950" s="1056"/>
      <c r="G1950" s="1056"/>
      <c r="H1950" s="1056"/>
      <c r="I1950" s="1056"/>
      <c r="J1950" s="1056"/>
      <c r="K1950" s="1056"/>
      <c r="L1950" s="1056"/>
      <c r="M1950" s="274"/>
      <c r="P1950" s="264"/>
      <c r="Q1950" s="264"/>
      <c r="R1950" s="264"/>
      <c r="S1950" s="264"/>
      <c r="T1950" s="1056"/>
      <c r="U1950" s="1056"/>
      <c r="V1950" s="1056"/>
      <c r="W1950" s="1056"/>
      <c r="X1950" s="1056"/>
      <c r="Y1950" s="1056"/>
      <c r="Z1950" s="1056"/>
      <c r="AA1950" s="1056"/>
      <c r="AB1950" s="1056"/>
      <c r="AC1950" s="1056"/>
      <c r="AD1950" s="1056"/>
      <c r="AE1950" s="1056"/>
      <c r="AF1950" s="264"/>
    </row>
    <row r="1951" spans="1:32" s="268" customFormat="1" ht="15" x14ac:dyDescent="0.25">
      <c r="A1951" s="264"/>
      <c r="B1951" s="264"/>
      <c r="C1951" s="1056"/>
      <c r="D1951" s="1056"/>
      <c r="E1951" s="1056"/>
      <c r="F1951" s="1056"/>
      <c r="G1951" s="1056"/>
      <c r="H1951" s="1056"/>
      <c r="I1951" s="1056"/>
      <c r="J1951" s="1056"/>
      <c r="K1951" s="1056"/>
      <c r="L1951" s="1056"/>
      <c r="M1951" s="274"/>
      <c r="P1951" s="264"/>
      <c r="Q1951" s="264"/>
      <c r="R1951" s="264"/>
      <c r="S1951" s="264"/>
      <c r="T1951" s="1056"/>
      <c r="U1951" s="1056"/>
      <c r="V1951" s="1056"/>
      <c r="W1951" s="1056"/>
      <c r="X1951" s="1056"/>
      <c r="Y1951" s="1056"/>
      <c r="Z1951" s="1056"/>
      <c r="AA1951" s="1056"/>
      <c r="AB1951" s="1056"/>
      <c r="AC1951" s="1056"/>
      <c r="AD1951" s="1056"/>
      <c r="AE1951" s="1056"/>
      <c r="AF1951" s="264"/>
    </row>
    <row r="1952" spans="1:32" s="268" customFormat="1" ht="15" x14ac:dyDescent="0.25">
      <c r="A1952" s="264"/>
      <c r="B1952" s="264"/>
      <c r="C1952" s="1056"/>
      <c r="D1952" s="1056"/>
      <c r="E1952" s="1056"/>
      <c r="F1952" s="1056"/>
      <c r="G1952" s="1056"/>
      <c r="H1952" s="1056"/>
      <c r="I1952" s="1056"/>
      <c r="J1952" s="1056"/>
      <c r="K1952" s="1056"/>
      <c r="L1952" s="1056"/>
      <c r="M1952" s="274"/>
      <c r="P1952" s="264"/>
      <c r="Q1952" s="264"/>
      <c r="R1952" s="264"/>
      <c r="S1952" s="264"/>
      <c r="T1952" s="1056"/>
      <c r="U1952" s="1056"/>
      <c r="V1952" s="1056"/>
      <c r="W1952" s="1056"/>
      <c r="X1952" s="1056"/>
      <c r="Y1952" s="1056"/>
      <c r="Z1952" s="1056"/>
      <c r="AA1952" s="1056"/>
      <c r="AB1952" s="1056"/>
      <c r="AC1952" s="1056"/>
      <c r="AD1952" s="1056"/>
      <c r="AE1952" s="1056"/>
      <c r="AF1952" s="264"/>
    </row>
    <row r="1953" spans="1:32" s="268" customFormat="1" ht="15" x14ac:dyDescent="0.25">
      <c r="A1953" s="264"/>
      <c r="B1953" s="264"/>
      <c r="C1953" s="1056"/>
      <c r="D1953" s="1056"/>
      <c r="E1953" s="1056"/>
      <c r="F1953" s="1056"/>
      <c r="G1953" s="1056"/>
      <c r="H1953" s="1056"/>
      <c r="I1953" s="1056"/>
      <c r="J1953" s="1056"/>
      <c r="K1953" s="1056"/>
      <c r="L1953" s="1056"/>
      <c r="M1953" s="274"/>
      <c r="P1953" s="264"/>
      <c r="Q1953" s="264"/>
      <c r="R1953" s="264"/>
      <c r="S1953" s="264"/>
      <c r="T1953" s="1056"/>
      <c r="U1953" s="1056"/>
      <c r="V1953" s="1056"/>
      <c r="W1953" s="1056"/>
      <c r="X1953" s="1056"/>
      <c r="Y1953" s="1056"/>
      <c r="Z1953" s="1056"/>
      <c r="AA1953" s="1056"/>
      <c r="AB1953" s="1056"/>
      <c r="AC1953" s="1056"/>
      <c r="AD1953" s="1056"/>
      <c r="AE1953" s="1056"/>
      <c r="AF1953" s="264"/>
    </row>
    <row r="1954" spans="1:32" s="268" customFormat="1" ht="15" x14ac:dyDescent="0.25">
      <c r="A1954" s="264"/>
      <c r="B1954" s="264"/>
      <c r="C1954" s="1056"/>
      <c r="D1954" s="1056"/>
      <c r="E1954" s="1056"/>
      <c r="F1954" s="1056"/>
      <c r="G1954" s="1056"/>
      <c r="H1954" s="1056"/>
      <c r="I1954" s="1056"/>
      <c r="J1954" s="1056"/>
      <c r="K1954" s="1056"/>
      <c r="L1954" s="1056"/>
      <c r="M1954" s="274"/>
      <c r="P1954" s="264"/>
      <c r="Q1954" s="264"/>
      <c r="R1954" s="264"/>
      <c r="S1954" s="264"/>
      <c r="T1954" s="1056"/>
      <c r="U1954" s="1056"/>
      <c r="V1954" s="1056"/>
      <c r="W1954" s="1056"/>
      <c r="X1954" s="1056"/>
      <c r="Y1954" s="1056"/>
      <c r="Z1954" s="1056"/>
      <c r="AA1954" s="1056"/>
      <c r="AB1954" s="1056"/>
      <c r="AC1954" s="1056"/>
      <c r="AD1954" s="1056"/>
      <c r="AE1954" s="1056"/>
      <c r="AF1954" s="264"/>
    </row>
    <row r="1955" spans="1:32" s="268" customFormat="1" ht="15" x14ac:dyDescent="0.25">
      <c r="A1955" s="264"/>
      <c r="B1955" s="264"/>
      <c r="C1955" s="1056"/>
      <c r="D1955" s="1056"/>
      <c r="E1955" s="1056"/>
      <c r="F1955" s="1056"/>
      <c r="G1955" s="1056"/>
      <c r="H1955" s="1056"/>
      <c r="I1955" s="1056"/>
      <c r="J1955" s="1056"/>
      <c r="K1955" s="1056"/>
      <c r="L1955" s="1056"/>
      <c r="M1955" s="274"/>
      <c r="P1955" s="264"/>
      <c r="Q1955" s="264"/>
      <c r="R1955" s="264"/>
      <c r="S1955" s="264"/>
      <c r="T1955" s="1056"/>
      <c r="U1955" s="1056"/>
      <c r="V1955" s="1056"/>
      <c r="W1955" s="1056"/>
      <c r="X1955" s="1056"/>
      <c r="Y1955" s="1056"/>
      <c r="Z1955" s="1056"/>
      <c r="AA1955" s="1056"/>
      <c r="AB1955" s="1056"/>
      <c r="AC1955" s="1056"/>
      <c r="AD1955" s="1056"/>
      <c r="AE1955" s="1056"/>
      <c r="AF1955" s="264"/>
    </row>
    <row r="1956" spans="1:32" s="268" customFormat="1" ht="15" x14ac:dyDescent="0.25">
      <c r="A1956" s="264"/>
      <c r="B1956" s="264"/>
      <c r="C1956" s="1056"/>
      <c r="D1956" s="1056"/>
      <c r="E1956" s="1056"/>
      <c r="F1956" s="1056"/>
      <c r="G1956" s="1056"/>
      <c r="H1956" s="1056"/>
      <c r="I1956" s="1056"/>
      <c r="J1956" s="1056"/>
      <c r="K1956" s="1056"/>
      <c r="L1956" s="1056"/>
      <c r="M1956" s="274"/>
      <c r="P1956" s="264"/>
      <c r="Q1956" s="264"/>
      <c r="R1956" s="264"/>
      <c r="S1956" s="264"/>
      <c r="T1956" s="1056"/>
      <c r="U1956" s="1056"/>
      <c r="V1956" s="1056"/>
      <c r="W1956" s="1056"/>
      <c r="X1956" s="1056"/>
      <c r="Y1956" s="1056"/>
      <c r="Z1956" s="1056"/>
      <c r="AA1956" s="1056"/>
      <c r="AB1956" s="1056"/>
      <c r="AC1956" s="1056"/>
      <c r="AD1956" s="1056"/>
      <c r="AE1956" s="1056"/>
      <c r="AF1956" s="264"/>
    </row>
    <row r="1957" spans="1:32" s="268" customFormat="1" ht="15" x14ac:dyDescent="0.25">
      <c r="A1957" s="264"/>
      <c r="B1957" s="264"/>
      <c r="C1957" s="1056"/>
      <c r="D1957" s="1056"/>
      <c r="E1957" s="1056"/>
      <c r="F1957" s="1056"/>
      <c r="G1957" s="1056"/>
      <c r="H1957" s="1056"/>
      <c r="I1957" s="1056"/>
      <c r="J1957" s="1056"/>
      <c r="K1957" s="1056"/>
      <c r="L1957" s="1056"/>
      <c r="M1957" s="274"/>
      <c r="P1957" s="264"/>
      <c r="Q1957" s="264"/>
      <c r="R1957" s="264"/>
      <c r="S1957" s="264"/>
      <c r="T1957" s="1056"/>
      <c r="U1957" s="1056"/>
      <c r="V1957" s="1056"/>
      <c r="W1957" s="1056"/>
      <c r="X1957" s="1056"/>
      <c r="Y1957" s="1056"/>
      <c r="Z1957" s="1056"/>
      <c r="AA1957" s="1056"/>
      <c r="AB1957" s="1056"/>
      <c r="AC1957" s="1056"/>
      <c r="AD1957" s="1056"/>
      <c r="AE1957" s="1056"/>
      <c r="AF1957" s="264"/>
    </row>
    <row r="1958" spans="1:32" s="268" customFormat="1" ht="15" x14ac:dyDescent="0.25">
      <c r="A1958" s="264"/>
      <c r="B1958" s="264"/>
      <c r="C1958" s="1056"/>
      <c r="D1958" s="1056"/>
      <c r="E1958" s="1056"/>
      <c r="F1958" s="1056"/>
      <c r="G1958" s="1056"/>
      <c r="H1958" s="1056"/>
      <c r="I1958" s="1056"/>
      <c r="J1958" s="1056"/>
      <c r="K1958" s="1056"/>
      <c r="L1958" s="1056"/>
      <c r="M1958" s="274"/>
      <c r="P1958" s="264"/>
      <c r="Q1958" s="264"/>
      <c r="R1958" s="264"/>
      <c r="S1958" s="264"/>
      <c r="T1958" s="1056"/>
      <c r="U1958" s="1056"/>
      <c r="V1958" s="1056"/>
      <c r="W1958" s="1056"/>
      <c r="X1958" s="1056"/>
      <c r="Y1958" s="1056"/>
      <c r="Z1958" s="1056"/>
      <c r="AA1958" s="1056"/>
      <c r="AB1958" s="1056"/>
      <c r="AC1958" s="1056"/>
      <c r="AD1958" s="1056"/>
      <c r="AE1958" s="1056"/>
      <c r="AF1958" s="264"/>
    </row>
    <row r="1959" spans="1:32" s="268" customFormat="1" ht="15" x14ac:dyDescent="0.25">
      <c r="A1959" s="264"/>
      <c r="B1959" s="264"/>
      <c r="C1959" s="1056"/>
      <c r="D1959" s="1056"/>
      <c r="E1959" s="1056"/>
      <c r="F1959" s="1056"/>
      <c r="G1959" s="1056"/>
      <c r="H1959" s="1056"/>
      <c r="I1959" s="1056"/>
      <c r="J1959" s="1056"/>
      <c r="K1959" s="1056"/>
      <c r="L1959" s="1056"/>
      <c r="M1959" s="274"/>
      <c r="P1959" s="264"/>
      <c r="Q1959" s="264"/>
      <c r="R1959" s="264"/>
      <c r="S1959" s="264"/>
      <c r="T1959" s="1056"/>
      <c r="U1959" s="1056"/>
      <c r="V1959" s="1056"/>
      <c r="W1959" s="1056"/>
      <c r="X1959" s="1056"/>
      <c r="Y1959" s="1056"/>
      <c r="Z1959" s="1056"/>
      <c r="AA1959" s="1056"/>
      <c r="AB1959" s="1056"/>
      <c r="AC1959" s="1056"/>
      <c r="AD1959" s="1056"/>
      <c r="AE1959" s="1056"/>
      <c r="AF1959" s="264"/>
    </row>
    <row r="1960" spans="1:32" s="268" customFormat="1" ht="15" x14ac:dyDescent="0.25">
      <c r="A1960" s="264"/>
      <c r="B1960" s="264"/>
      <c r="C1960" s="1056"/>
      <c r="D1960" s="1056"/>
      <c r="E1960" s="1056"/>
      <c r="F1960" s="1056"/>
      <c r="G1960" s="1056"/>
      <c r="H1960" s="1056"/>
      <c r="I1960" s="1056"/>
      <c r="J1960" s="1056"/>
      <c r="K1960" s="1056"/>
      <c r="L1960" s="1056"/>
      <c r="M1960" s="274"/>
      <c r="P1960" s="264"/>
      <c r="Q1960" s="264"/>
      <c r="R1960" s="264"/>
      <c r="S1960" s="264"/>
      <c r="T1960" s="1056"/>
      <c r="U1960" s="1056"/>
      <c r="V1960" s="1056"/>
      <c r="W1960" s="1056"/>
      <c r="X1960" s="1056"/>
      <c r="Y1960" s="1056"/>
      <c r="Z1960" s="1056"/>
      <c r="AA1960" s="1056"/>
      <c r="AB1960" s="1056"/>
      <c r="AC1960" s="1056"/>
      <c r="AD1960" s="1056"/>
      <c r="AE1960" s="1056"/>
      <c r="AF1960" s="264"/>
    </row>
    <row r="1961" spans="1:32" s="268" customFormat="1" ht="15" x14ac:dyDescent="0.25">
      <c r="A1961" s="264"/>
      <c r="B1961" s="264"/>
      <c r="C1961" s="1056"/>
      <c r="D1961" s="1056"/>
      <c r="E1961" s="1056"/>
      <c r="F1961" s="1056"/>
      <c r="G1961" s="1056"/>
      <c r="H1961" s="1056"/>
      <c r="I1961" s="1056"/>
      <c r="J1961" s="1056"/>
      <c r="K1961" s="1056"/>
      <c r="L1961" s="1056"/>
      <c r="M1961" s="274"/>
      <c r="P1961" s="264"/>
      <c r="Q1961" s="264"/>
      <c r="R1961" s="264"/>
      <c r="S1961" s="264"/>
      <c r="T1961" s="1056"/>
      <c r="U1961" s="1056"/>
      <c r="V1961" s="1056"/>
      <c r="W1961" s="1056"/>
      <c r="X1961" s="1056"/>
      <c r="Y1961" s="1056"/>
      <c r="Z1961" s="1056"/>
      <c r="AA1961" s="1056"/>
      <c r="AB1961" s="1056"/>
      <c r="AC1961" s="1056"/>
      <c r="AD1961" s="1056"/>
      <c r="AE1961" s="1056"/>
      <c r="AF1961" s="264"/>
    </row>
    <row r="1962" spans="1:32" s="268" customFormat="1" ht="15" x14ac:dyDescent="0.25">
      <c r="A1962" s="264"/>
      <c r="B1962" s="264"/>
      <c r="C1962" s="1056"/>
      <c r="D1962" s="1056"/>
      <c r="E1962" s="1056"/>
      <c r="F1962" s="1056"/>
      <c r="G1962" s="1056"/>
      <c r="H1962" s="1056"/>
      <c r="I1962" s="1056"/>
      <c r="J1962" s="1056"/>
      <c r="K1962" s="1056"/>
      <c r="L1962" s="1056"/>
      <c r="M1962" s="274"/>
      <c r="P1962" s="264"/>
      <c r="Q1962" s="264"/>
      <c r="R1962" s="264"/>
      <c r="S1962" s="264"/>
      <c r="T1962" s="1056"/>
      <c r="U1962" s="1056"/>
      <c r="V1962" s="1056"/>
      <c r="W1962" s="1056"/>
      <c r="X1962" s="1056"/>
      <c r="Y1962" s="1056"/>
      <c r="Z1962" s="1056"/>
      <c r="AA1962" s="1056"/>
      <c r="AB1962" s="1056"/>
      <c r="AC1962" s="1056"/>
      <c r="AD1962" s="1056"/>
      <c r="AE1962" s="1056"/>
      <c r="AF1962" s="264"/>
    </row>
    <row r="1963" spans="1:32" s="268" customFormat="1" ht="15" x14ac:dyDescent="0.25">
      <c r="A1963" s="264"/>
      <c r="B1963" s="264"/>
      <c r="C1963" s="1056"/>
      <c r="D1963" s="1056"/>
      <c r="E1963" s="1056"/>
      <c r="F1963" s="1056"/>
      <c r="G1963" s="1056"/>
      <c r="H1963" s="1056"/>
      <c r="I1963" s="1056"/>
      <c r="J1963" s="1056"/>
      <c r="K1963" s="1056"/>
      <c r="L1963" s="1056"/>
      <c r="M1963" s="274"/>
      <c r="P1963" s="264"/>
      <c r="Q1963" s="264"/>
      <c r="R1963" s="264"/>
      <c r="S1963" s="264"/>
      <c r="T1963" s="1056"/>
      <c r="U1963" s="1056"/>
      <c r="V1963" s="1056"/>
      <c r="W1963" s="1056"/>
      <c r="X1963" s="1056"/>
      <c r="Y1963" s="1056"/>
      <c r="Z1963" s="1056"/>
      <c r="AA1963" s="1056"/>
      <c r="AB1963" s="1056"/>
      <c r="AC1963" s="1056"/>
      <c r="AD1963" s="1056"/>
      <c r="AE1963" s="1056"/>
      <c r="AF1963" s="264"/>
    </row>
    <row r="1964" spans="1:32" s="268" customFormat="1" ht="15" x14ac:dyDescent="0.25">
      <c r="A1964" s="264"/>
      <c r="B1964" s="264"/>
      <c r="C1964" s="1056"/>
      <c r="D1964" s="1056"/>
      <c r="E1964" s="1056"/>
      <c r="F1964" s="1056"/>
      <c r="G1964" s="1056"/>
      <c r="H1964" s="1056"/>
      <c r="I1964" s="1056"/>
      <c r="J1964" s="1056"/>
      <c r="K1964" s="1056"/>
      <c r="L1964" s="1056"/>
      <c r="M1964" s="274"/>
      <c r="P1964" s="264"/>
      <c r="Q1964" s="264"/>
      <c r="R1964" s="264"/>
      <c r="S1964" s="264"/>
      <c r="T1964" s="1056"/>
      <c r="U1964" s="1056"/>
      <c r="V1964" s="1056"/>
      <c r="W1964" s="1056"/>
      <c r="X1964" s="1056"/>
      <c r="Y1964" s="1056"/>
      <c r="Z1964" s="1056"/>
      <c r="AA1964" s="1056"/>
      <c r="AB1964" s="1056"/>
      <c r="AC1964" s="1056"/>
      <c r="AD1964" s="1056"/>
      <c r="AE1964" s="1056"/>
      <c r="AF1964" s="264"/>
    </row>
    <row r="1965" spans="1:32" s="268" customFormat="1" ht="15" x14ac:dyDescent="0.25">
      <c r="A1965" s="264"/>
      <c r="B1965" s="264"/>
      <c r="C1965" s="1056"/>
      <c r="D1965" s="1056"/>
      <c r="E1965" s="1056"/>
      <c r="F1965" s="1056"/>
      <c r="G1965" s="1056"/>
      <c r="H1965" s="1056"/>
      <c r="I1965" s="1056"/>
      <c r="J1965" s="1056"/>
      <c r="K1965" s="1056"/>
      <c r="L1965" s="1056"/>
      <c r="M1965" s="274"/>
      <c r="P1965" s="264"/>
      <c r="Q1965" s="264"/>
      <c r="R1965" s="264"/>
      <c r="S1965" s="264"/>
      <c r="T1965" s="1056"/>
      <c r="U1965" s="1056"/>
      <c r="V1965" s="1056"/>
      <c r="W1965" s="1056"/>
      <c r="X1965" s="1056"/>
      <c r="Y1965" s="1056"/>
      <c r="Z1965" s="1056"/>
      <c r="AA1965" s="1056"/>
      <c r="AB1965" s="1056"/>
      <c r="AC1965" s="1056"/>
      <c r="AD1965" s="1056"/>
      <c r="AE1965" s="1056"/>
      <c r="AF1965" s="264"/>
    </row>
    <row r="1966" spans="1:32" s="268" customFormat="1" ht="15" x14ac:dyDescent="0.25">
      <c r="A1966" s="264"/>
      <c r="B1966" s="264"/>
      <c r="C1966" s="1056"/>
      <c r="D1966" s="1056"/>
      <c r="E1966" s="1056"/>
      <c r="F1966" s="1056"/>
      <c r="G1966" s="1056"/>
      <c r="H1966" s="1056"/>
      <c r="I1966" s="1056"/>
      <c r="J1966" s="1056"/>
      <c r="K1966" s="1056"/>
      <c r="L1966" s="1056"/>
      <c r="M1966" s="274"/>
      <c r="P1966" s="264"/>
      <c r="Q1966" s="264"/>
      <c r="R1966" s="264"/>
      <c r="S1966" s="264"/>
      <c r="T1966" s="1056"/>
      <c r="U1966" s="1056"/>
      <c r="V1966" s="1056"/>
      <c r="W1966" s="1056"/>
      <c r="X1966" s="1056"/>
      <c r="Y1966" s="1056"/>
      <c r="Z1966" s="1056"/>
      <c r="AA1966" s="1056"/>
      <c r="AB1966" s="1056"/>
      <c r="AC1966" s="1056"/>
      <c r="AD1966" s="1056"/>
      <c r="AE1966" s="1056"/>
      <c r="AF1966" s="264"/>
    </row>
    <row r="1967" spans="1:32" s="268" customFormat="1" ht="15" x14ac:dyDescent="0.25">
      <c r="A1967" s="264"/>
      <c r="B1967" s="264"/>
      <c r="C1967" s="1056"/>
      <c r="D1967" s="1056"/>
      <c r="E1967" s="1056"/>
      <c r="F1967" s="1056"/>
      <c r="G1967" s="1056"/>
      <c r="H1967" s="1056"/>
      <c r="I1967" s="1056"/>
      <c r="J1967" s="1056"/>
      <c r="K1967" s="1056"/>
      <c r="L1967" s="1056"/>
      <c r="M1967" s="274"/>
      <c r="P1967" s="264"/>
      <c r="Q1967" s="264"/>
      <c r="R1967" s="264"/>
      <c r="S1967" s="264"/>
      <c r="T1967" s="1056"/>
      <c r="U1967" s="1056"/>
      <c r="V1967" s="1056"/>
      <c r="W1967" s="1056"/>
      <c r="X1967" s="1056"/>
      <c r="Y1967" s="1056"/>
      <c r="Z1967" s="1056"/>
      <c r="AA1967" s="1056"/>
      <c r="AB1967" s="1056"/>
      <c r="AC1967" s="1056"/>
      <c r="AD1967" s="1056"/>
      <c r="AE1967" s="1056"/>
      <c r="AF1967" s="264"/>
    </row>
    <row r="1968" spans="1:32" s="268" customFormat="1" ht="15" x14ac:dyDescent="0.25">
      <c r="A1968" s="264"/>
      <c r="B1968" s="264"/>
      <c r="C1968" s="1056"/>
      <c r="D1968" s="1056"/>
      <c r="E1968" s="1056"/>
      <c r="F1968" s="1056"/>
      <c r="G1968" s="1056"/>
      <c r="H1968" s="1056"/>
      <c r="I1968" s="1056"/>
      <c r="J1968" s="1056"/>
      <c r="K1968" s="1056"/>
      <c r="L1968" s="1056"/>
      <c r="M1968" s="274"/>
      <c r="P1968" s="264"/>
      <c r="Q1968" s="264"/>
      <c r="R1968" s="264"/>
      <c r="S1968" s="264"/>
      <c r="T1968" s="1056"/>
      <c r="U1968" s="1056"/>
      <c r="V1968" s="1056"/>
      <c r="W1968" s="1056"/>
      <c r="X1968" s="1056"/>
      <c r="Y1968" s="1056"/>
      <c r="Z1968" s="1056"/>
      <c r="AA1968" s="1056"/>
      <c r="AB1968" s="1056"/>
      <c r="AC1968" s="1056"/>
      <c r="AD1968" s="1056"/>
      <c r="AE1968" s="1056"/>
      <c r="AF1968" s="264"/>
    </row>
    <row r="1969" spans="1:32" s="268" customFormat="1" ht="15" x14ac:dyDescent="0.25">
      <c r="A1969" s="264"/>
      <c r="B1969" s="264"/>
      <c r="C1969" s="1056"/>
      <c r="D1969" s="1056"/>
      <c r="E1969" s="1056"/>
      <c r="F1969" s="1056"/>
      <c r="G1969" s="1056"/>
      <c r="H1969" s="1056"/>
      <c r="I1969" s="1056"/>
      <c r="J1969" s="1056"/>
      <c r="K1969" s="1056"/>
      <c r="L1969" s="1056"/>
      <c r="M1969" s="274"/>
      <c r="P1969" s="264"/>
      <c r="Q1969" s="264"/>
      <c r="R1969" s="264"/>
      <c r="S1969" s="264"/>
      <c r="T1969" s="1056"/>
      <c r="U1969" s="1056"/>
      <c r="V1969" s="1056"/>
      <c r="W1969" s="1056"/>
      <c r="X1969" s="1056"/>
      <c r="Y1969" s="1056"/>
      <c r="Z1969" s="1056"/>
      <c r="AA1969" s="1056"/>
      <c r="AB1969" s="1056"/>
      <c r="AC1969" s="1056"/>
      <c r="AD1969" s="1056"/>
      <c r="AE1969" s="1056"/>
      <c r="AF1969" s="264"/>
    </row>
    <row r="1970" spans="1:32" s="268" customFormat="1" ht="15" x14ac:dyDescent="0.25">
      <c r="A1970" s="264"/>
      <c r="B1970" s="264"/>
      <c r="C1970" s="1056"/>
      <c r="D1970" s="1056"/>
      <c r="E1970" s="1056"/>
      <c r="F1970" s="1056"/>
      <c r="G1970" s="1056"/>
      <c r="H1970" s="1056"/>
      <c r="I1970" s="1056"/>
      <c r="J1970" s="1056"/>
      <c r="K1970" s="1056"/>
      <c r="L1970" s="1056"/>
      <c r="M1970" s="274"/>
      <c r="P1970" s="264"/>
      <c r="Q1970" s="264"/>
      <c r="R1970" s="264"/>
      <c r="S1970" s="264"/>
      <c r="T1970" s="1056"/>
      <c r="U1970" s="1056"/>
      <c r="V1970" s="1056"/>
      <c r="W1970" s="1056"/>
      <c r="X1970" s="1056"/>
      <c r="Y1970" s="1056"/>
      <c r="Z1970" s="1056"/>
      <c r="AA1970" s="1056"/>
      <c r="AB1970" s="1056"/>
      <c r="AC1970" s="1056"/>
      <c r="AD1970" s="1056"/>
      <c r="AE1970" s="1056"/>
      <c r="AF1970" s="264"/>
    </row>
    <row r="1971" spans="1:32" s="268" customFormat="1" ht="15" x14ac:dyDescent="0.25">
      <c r="A1971" s="264"/>
      <c r="B1971" s="264"/>
      <c r="C1971" s="1056"/>
      <c r="D1971" s="1056"/>
      <c r="E1971" s="1056"/>
      <c r="F1971" s="1056"/>
      <c r="G1971" s="1056"/>
      <c r="H1971" s="1056"/>
      <c r="I1971" s="1056"/>
      <c r="J1971" s="1056"/>
      <c r="K1971" s="1056"/>
      <c r="L1971" s="1056"/>
      <c r="M1971" s="274"/>
      <c r="P1971" s="264"/>
      <c r="Q1971" s="264"/>
      <c r="R1971" s="264"/>
      <c r="S1971" s="264"/>
      <c r="T1971" s="1056"/>
      <c r="U1971" s="1056"/>
      <c r="V1971" s="1056"/>
      <c r="W1971" s="1056"/>
      <c r="X1971" s="1056"/>
      <c r="Y1971" s="1056"/>
      <c r="Z1971" s="1056"/>
      <c r="AA1971" s="1056"/>
      <c r="AB1971" s="1056"/>
      <c r="AC1971" s="1056"/>
      <c r="AD1971" s="1056"/>
      <c r="AE1971" s="1056"/>
      <c r="AF1971" s="264"/>
    </row>
    <row r="1972" spans="1:32" s="268" customFormat="1" ht="15" x14ac:dyDescent="0.25">
      <c r="A1972" s="264"/>
      <c r="B1972" s="264"/>
      <c r="C1972" s="1056"/>
      <c r="D1972" s="1056"/>
      <c r="E1972" s="1056"/>
      <c r="F1972" s="1056"/>
      <c r="G1972" s="1056"/>
      <c r="H1972" s="1056"/>
      <c r="I1972" s="1056"/>
      <c r="J1972" s="1056"/>
      <c r="K1972" s="1056"/>
      <c r="L1972" s="1056"/>
      <c r="M1972" s="274"/>
      <c r="P1972" s="264"/>
      <c r="Q1972" s="264"/>
      <c r="R1972" s="264"/>
      <c r="S1972" s="264"/>
      <c r="T1972" s="1056"/>
      <c r="U1972" s="1056"/>
      <c r="V1972" s="1056"/>
      <c r="W1972" s="1056"/>
      <c r="X1972" s="1056"/>
      <c r="Y1972" s="1056"/>
      <c r="Z1972" s="1056"/>
      <c r="AA1972" s="1056"/>
      <c r="AB1972" s="1056"/>
      <c r="AC1972" s="1056"/>
      <c r="AD1972" s="1056"/>
      <c r="AE1972" s="1056"/>
      <c r="AF1972" s="264"/>
    </row>
    <row r="1973" spans="1:32" s="268" customFormat="1" ht="15" x14ac:dyDescent="0.25">
      <c r="A1973" s="264"/>
      <c r="B1973" s="264"/>
      <c r="C1973" s="1056"/>
      <c r="D1973" s="1056"/>
      <c r="E1973" s="1056"/>
      <c r="F1973" s="1056"/>
      <c r="G1973" s="1056"/>
      <c r="H1973" s="1056"/>
      <c r="I1973" s="1056"/>
      <c r="J1973" s="1056"/>
      <c r="K1973" s="1056"/>
      <c r="L1973" s="1056"/>
      <c r="M1973" s="274"/>
      <c r="P1973" s="264"/>
      <c r="Q1973" s="264"/>
      <c r="R1973" s="264"/>
      <c r="S1973" s="264"/>
      <c r="T1973" s="1056"/>
      <c r="U1973" s="1056"/>
      <c r="V1973" s="1056"/>
      <c r="W1973" s="1056"/>
      <c r="X1973" s="1056"/>
      <c r="Y1973" s="1056"/>
      <c r="Z1973" s="1056"/>
      <c r="AA1973" s="1056"/>
      <c r="AB1973" s="1056"/>
      <c r="AC1973" s="1056"/>
      <c r="AD1973" s="1056"/>
      <c r="AE1973" s="1056"/>
      <c r="AF1973" s="264"/>
    </row>
    <row r="1974" spans="1:32" s="268" customFormat="1" ht="15" x14ac:dyDescent="0.25">
      <c r="A1974" s="264"/>
      <c r="B1974" s="264"/>
      <c r="C1974" s="1056"/>
      <c r="D1974" s="1056"/>
      <c r="E1974" s="1056"/>
      <c r="F1974" s="1056"/>
      <c r="G1974" s="1056"/>
      <c r="H1974" s="1056"/>
      <c r="I1974" s="1056"/>
      <c r="J1974" s="1056"/>
      <c r="K1974" s="1056"/>
      <c r="L1974" s="1056"/>
      <c r="M1974" s="274"/>
      <c r="P1974" s="264"/>
      <c r="Q1974" s="264"/>
      <c r="R1974" s="264"/>
      <c r="S1974" s="264"/>
      <c r="T1974" s="1056"/>
      <c r="U1974" s="1056"/>
      <c r="V1974" s="1056"/>
      <c r="W1974" s="1056"/>
      <c r="X1974" s="1056"/>
      <c r="Y1974" s="1056"/>
      <c r="Z1974" s="1056"/>
      <c r="AA1974" s="1056"/>
      <c r="AB1974" s="1056"/>
      <c r="AC1974" s="1056"/>
      <c r="AD1974" s="1056"/>
      <c r="AE1974" s="1056"/>
      <c r="AF1974" s="264"/>
    </row>
    <row r="1975" spans="1:32" s="268" customFormat="1" ht="15" x14ac:dyDescent="0.25">
      <c r="A1975" s="264"/>
      <c r="B1975" s="264"/>
      <c r="C1975" s="1056"/>
      <c r="D1975" s="1056"/>
      <c r="E1975" s="1056"/>
      <c r="F1975" s="1056"/>
      <c r="G1975" s="1056"/>
      <c r="H1975" s="1056"/>
      <c r="I1975" s="1056"/>
      <c r="J1975" s="1056"/>
      <c r="K1975" s="1056"/>
      <c r="L1975" s="1056"/>
      <c r="M1975" s="274"/>
      <c r="P1975" s="264"/>
      <c r="Q1975" s="264"/>
      <c r="R1975" s="264"/>
      <c r="S1975" s="264"/>
      <c r="T1975" s="1056"/>
      <c r="U1975" s="1056"/>
      <c r="V1975" s="1056"/>
      <c r="W1975" s="1056"/>
      <c r="X1975" s="1056"/>
      <c r="Y1975" s="1056"/>
      <c r="Z1975" s="1056"/>
      <c r="AA1975" s="1056"/>
      <c r="AB1975" s="1056"/>
      <c r="AC1975" s="1056"/>
      <c r="AD1975" s="1056"/>
      <c r="AE1975" s="1056"/>
      <c r="AF1975" s="264"/>
    </row>
    <row r="1976" spans="1:32" s="268" customFormat="1" ht="15" x14ac:dyDescent="0.25">
      <c r="A1976" s="264"/>
      <c r="B1976" s="264"/>
      <c r="C1976" s="1056"/>
      <c r="D1976" s="1056"/>
      <c r="E1976" s="1056"/>
      <c r="F1976" s="1056"/>
      <c r="G1976" s="1056"/>
      <c r="H1976" s="1056"/>
      <c r="I1976" s="1056"/>
      <c r="J1976" s="1056"/>
      <c r="K1976" s="1056"/>
      <c r="L1976" s="1056"/>
      <c r="M1976" s="274"/>
      <c r="P1976" s="264"/>
      <c r="Q1976" s="264"/>
      <c r="R1976" s="264"/>
      <c r="S1976" s="264"/>
      <c r="T1976" s="1056"/>
      <c r="U1976" s="1056"/>
      <c r="V1976" s="1056"/>
      <c r="W1976" s="1056"/>
      <c r="X1976" s="1056"/>
      <c r="Y1976" s="1056"/>
      <c r="Z1976" s="1056"/>
      <c r="AA1976" s="1056"/>
      <c r="AB1976" s="1056"/>
      <c r="AC1976" s="1056"/>
      <c r="AD1976" s="1056"/>
      <c r="AE1976" s="1056"/>
      <c r="AF1976" s="264"/>
    </row>
    <row r="1977" spans="1:32" s="268" customFormat="1" ht="15" x14ac:dyDescent="0.25">
      <c r="A1977" s="264"/>
      <c r="B1977" s="264"/>
      <c r="C1977" s="1056"/>
      <c r="D1977" s="1056"/>
      <c r="E1977" s="1056"/>
      <c r="F1977" s="1056"/>
      <c r="G1977" s="1056"/>
      <c r="H1977" s="1056"/>
      <c r="I1977" s="1056"/>
      <c r="J1977" s="1056"/>
      <c r="K1977" s="1056"/>
      <c r="L1977" s="1056"/>
      <c r="M1977" s="274"/>
      <c r="P1977" s="264"/>
      <c r="Q1977" s="264"/>
      <c r="R1977" s="264"/>
      <c r="S1977" s="264"/>
      <c r="T1977" s="1056"/>
      <c r="U1977" s="1056"/>
      <c r="V1977" s="1056"/>
      <c r="W1977" s="1056"/>
      <c r="X1977" s="1056"/>
      <c r="Y1977" s="1056"/>
      <c r="Z1977" s="1056"/>
      <c r="AA1977" s="1056"/>
      <c r="AB1977" s="1056"/>
      <c r="AC1977" s="1056"/>
      <c r="AD1977" s="1056"/>
      <c r="AE1977" s="1056"/>
      <c r="AF1977" s="264"/>
    </row>
    <row r="1978" spans="1:32" s="268" customFormat="1" ht="15" x14ac:dyDescent="0.25">
      <c r="A1978" s="264"/>
      <c r="B1978" s="264"/>
      <c r="C1978" s="1056"/>
      <c r="D1978" s="1056"/>
      <c r="E1978" s="1056"/>
      <c r="F1978" s="1056"/>
      <c r="G1978" s="1056"/>
      <c r="H1978" s="1056"/>
      <c r="I1978" s="1056"/>
      <c r="J1978" s="1056"/>
      <c r="K1978" s="1056"/>
      <c r="L1978" s="1056"/>
      <c r="M1978" s="274"/>
      <c r="P1978" s="264"/>
      <c r="Q1978" s="264"/>
      <c r="R1978" s="264"/>
      <c r="S1978" s="264"/>
      <c r="T1978" s="1056"/>
      <c r="U1978" s="1056"/>
      <c r="V1978" s="1056"/>
      <c r="W1978" s="1056"/>
      <c r="X1978" s="1056"/>
      <c r="Y1978" s="1056"/>
      <c r="Z1978" s="1056"/>
      <c r="AA1978" s="1056"/>
      <c r="AB1978" s="1056"/>
      <c r="AC1978" s="1056"/>
      <c r="AD1978" s="1056"/>
      <c r="AE1978" s="1056"/>
      <c r="AF1978" s="264"/>
    </row>
    <row r="1979" spans="1:32" s="268" customFormat="1" ht="15" x14ac:dyDescent="0.25">
      <c r="A1979" s="264"/>
      <c r="B1979" s="264"/>
      <c r="C1979" s="1056"/>
      <c r="D1979" s="1056"/>
      <c r="E1979" s="1056"/>
      <c r="F1979" s="1056"/>
      <c r="G1979" s="1056"/>
      <c r="H1979" s="1056"/>
      <c r="I1979" s="1056"/>
      <c r="J1979" s="1056"/>
      <c r="K1979" s="1056"/>
      <c r="L1979" s="1056"/>
      <c r="M1979" s="274"/>
      <c r="P1979" s="264"/>
      <c r="Q1979" s="264"/>
      <c r="R1979" s="264"/>
      <c r="S1979" s="264"/>
      <c r="T1979" s="1056"/>
      <c r="U1979" s="1056"/>
      <c r="V1979" s="1056"/>
      <c r="W1979" s="1056"/>
      <c r="X1979" s="1056"/>
      <c r="Y1979" s="1056"/>
      <c r="Z1979" s="1056"/>
      <c r="AA1979" s="1056"/>
      <c r="AB1979" s="1056"/>
      <c r="AC1979" s="1056"/>
      <c r="AD1979" s="1056"/>
      <c r="AE1979" s="1056"/>
      <c r="AF1979" s="264"/>
    </row>
    <row r="1980" spans="1:32" s="268" customFormat="1" ht="15" x14ac:dyDescent="0.25">
      <c r="A1980" s="264"/>
      <c r="B1980" s="264"/>
      <c r="C1980" s="1056"/>
      <c r="D1980" s="1056"/>
      <c r="E1980" s="1056"/>
      <c r="F1980" s="1056"/>
      <c r="G1980" s="1056"/>
      <c r="H1980" s="1056"/>
      <c r="I1980" s="1056"/>
      <c r="J1980" s="1056"/>
      <c r="K1980" s="1056"/>
      <c r="L1980" s="1056"/>
      <c r="M1980" s="274"/>
      <c r="P1980" s="264"/>
      <c r="Q1980" s="264"/>
      <c r="R1980" s="264"/>
      <c r="S1980" s="264"/>
      <c r="T1980" s="1056"/>
      <c r="U1980" s="1056"/>
      <c r="V1980" s="1056"/>
      <c r="W1980" s="1056"/>
      <c r="X1980" s="1056"/>
      <c r="Y1980" s="1056"/>
      <c r="Z1980" s="1056"/>
      <c r="AA1980" s="1056"/>
      <c r="AB1980" s="1056"/>
      <c r="AC1980" s="1056"/>
      <c r="AD1980" s="1056"/>
      <c r="AE1980" s="1056"/>
      <c r="AF1980" s="264"/>
    </row>
    <row r="1981" spans="1:32" s="268" customFormat="1" ht="15" x14ac:dyDescent="0.25">
      <c r="A1981" s="264"/>
      <c r="B1981" s="264"/>
      <c r="C1981" s="1056"/>
      <c r="D1981" s="1056"/>
      <c r="E1981" s="1056"/>
      <c r="F1981" s="1056"/>
      <c r="G1981" s="1056"/>
      <c r="H1981" s="1056"/>
      <c r="I1981" s="1056"/>
      <c r="J1981" s="1056"/>
      <c r="K1981" s="1056"/>
      <c r="L1981" s="1056"/>
      <c r="M1981" s="274"/>
      <c r="P1981" s="264"/>
      <c r="Q1981" s="264"/>
      <c r="R1981" s="264"/>
      <c r="S1981" s="264"/>
      <c r="T1981" s="1056"/>
      <c r="U1981" s="1056"/>
      <c r="V1981" s="1056"/>
      <c r="W1981" s="1056"/>
      <c r="X1981" s="1056"/>
      <c r="Y1981" s="1056"/>
      <c r="Z1981" s="1056"/>
      <c r="AA1981" s="1056"/>
      <c r="AB1981" s="1056"/>
      <c r="AC1981" s="1056"/>
      <c r="AD1981" s="1056"/>
      <c r="AE1981" s="1056"/>
      <c r="AF1981" s="264"/>
    </row>
    <row r="1982" spans="1:32" s="268" customFormat="1" ht="15" x14ac:dyDescent="0.25">
      <c r="A1982" s="264"/>
      <c r="B1982" s="264"/>
      <c r="C1982" s="1056"/>
      <c r="D1982" s="1056"/>
      <c r="E1982" s="1056"/>
      <c r="F1982" s="1056"/>
      <c r="G1982" s="1056"/>
      <c r="H1982" s="1056"/>
      <c r="I1982" s="1056"/>
      <c r="J1982" s="1056"/>
      <c r="K1982" s="1056"/>
      <c r="L1982" s="1056"/>
      <c r="M1982" s="274"/>
      <c r="P1982" s="264"/>
      <c r="Q1982" s="264"/>
      <c r="R1982" s="264"/>
      <c r="S1982" s="264"/>
      <c r="T1982" s="1056"/>
      <c r="U1982" s="1056"/>
      <c r="V1982" s="1056"/>
      <c r="W1982" s="1056"/>
      <c r="X1982" s="1056"/>
      <c r="Y1982" s="1056"/>
      <c r="Z1982" s="1056"/>
      <c r="AA1982" s="1056"/>
      <c r="AB1982" s="1056"/>
      <c r="AC1982" s="1056"/>
      <c r="AD1982" s="1056"/>
      <c r="AE1982" s="1056"/>
      <c r="AF1982" s="264"/>
    </row>
    <row r="1983" spans="1:32" s="268" customFormat="1" ht="15" x14ac:dyDescent="0.25">
      <c r="A1983" s="264"/>
      <c r="B1983" s="264"/>
      <c r="C1983" s="1056"/>
      <c r="D1983" s="1056"/>
      <c r="E1983" s="1056"/>
      <c r="F1983" s="1056"/>
      <c r="G1983" s="1056"/>
      <c r="H1983" s="1056"/>
      <c r="I1983" s="1056"/>
      <c r="J1983" s="1056"/>
      <c r="K1983" s="1056"/>
      <c r="L1983" s="1056"/>
      <c r="M1983" s="274"/>
      <c r="P1983" s="264"/>
      <c r="Q1983" s="264"/>
      <c r="R1983" s="264"/>
      <c r="S1983" s="264"/>
      <c r="T1983" s="1056"/>
      <c r="U1983" s="1056"/>
      <c r="V1983" s="1056"/>
      <c r="W1983" s="1056"/>
      <c r="X1983" s="1056"/>
      <c r="Y1983" s="1056"/>
      <c r="Z1983" s="1056"/>
      <c r="AA1983" s="1056"/>
      <c r="AB1983" s="1056"/>
      <c r="AC1983" s="1056"/>
      <c r="AD1983" s="1056"/>
      <c r="AE1983" s="1056"/>
      <c r="AF1983" s="264"/>
    </row>
    <row r="1984" spans="1:32" s="268" customFormat="1" ht="15" x14ac:dyDescent="0.25">
      <c r="A1984" s="264"/>
      <c r="B1984" s="264"/>
      <c r="C1984" s="1056"/>
      <c r="D1984" s="1056"/>
      <c r="E1984" s="1056"/>
      <c r="F1984" s="1056"/>
      <c r="G1984" s="1056"/>
      <c r="H1984" s="1056"/>
      <c r="I1984" s="1056"/>
      <c r="J1984" s="1056"/>
      <c r="K1984" s="1056"/>
      <c r="L1984" s="1056"/>
      <c r="M1984" s="274"/>
      <c r="P1984" s="264"/>
      <c r="Q1984" s="264"/>
      <c r="R1984" s="264"/>
      <c r="S1984" s="264"/>
      <c r="T1984" s="1056"/>
      <c r="U1984" s="1056"/>
      <c r="V1984" s="1056"/>
      <c r="W1984" s="1056"/>
      <c r="X1984" s="1056"/>
      <c r="Y1984" s="1056"/>
      <c r="Z1984" s="1056"/>
      <c r="AA1984" s="1056"/>
      <c r="AB1984" s="1056"/>
      <c r="AC1984" s="1056"/>
      <c r="AD1984" s="1056"/>
      <c r="AE1984" s="1056"/>
      <c r="AF1984" s="264"/>
    </row>
    <row r="1985" spans="1:32" s="268" customFormat="1" ht="15" x14ac:dyDescent="0.25">
      <c r="A1985" s="264"/>
      <c r="B1985" s="264"/>
      <c r="C1985" s="1056"/>
      <c r="D1985" s="1056"/>
      <c r="E1985" s="1056"/>
      <c r="F1985" s="1056"/>
      <c r="G1985" s="1056"/>
      <c r="H1985" s="1056"/>
      <c r="I1985" s="1056"/>
      <c r="J1985" s="1056"/>
      <c r="K1985" s="1056"/>
      <c r="L1985" s="1056"/>
      <c r="M1985" s="274"/>
      <c r="P1985" s="264"/>
      <c r="Q1985" s="264"/>
      <c r="R1985" s="264"/>
      <c r="S1985" s="264"/>
      <c r="T1985" s="1056"/>
      <c r="U1985" s="1056"/>
      <c r="V1985" s="1056"/>
      <c r="W1985" s="1056"/>
      <c r="X1985" s="1056"/>
      <c r="Y1985" s="1056"/>
      <c r="Z1985" s="1056"/>
      <c r="AA1985" s="1056"/>
      <c r="AB1985" s="1056"/>
      <c r="AC1985" s="1056"/>
      <c r="AD1985" s="1056"/>
      <c r="AE1985" s="1056"/>
      <c r="AF1985" s="264"/>
    </row>
    <row r="1986" spans="1:32" s="268" customFormat="1" ht="15" x14ac:dyDescent="0.25">
      <c r="A1986" s="264"/>
      <c r="B1986" s="264"/>
      <c r="C1986" s="1056"/>
      <c r="D1986" s="1056"/>
      <c r="E1986" s="1056"/>
      <c r="F1986" s="1056"/>
      <c r="G1986" s="1056"/>
      <c r="H1986" s="1056"/>
      <c r="I1986" s="1056"/>
      <c r="J1986" s="1056"/>
      <c r="K1986" s="1056"/>
      <c r="L1986" s="1056"/>
      <c r="M1986" s="274"/>
      <c r="P1986" s="264"/>
      <c r="Q1986" s="264"/>
      <c r="R1986" s="264"/>
      <c r="S1986" s="264"/>
      <c r="T1986" s="1056"/>
      <c r="U1986" s="1056"/>
      <c r="V1986" s="1056"/>
      <c r="W1986" s="1056"/>
      <c r="X1986" s="1056"/>
      <c r="Y1986" s="1056"/>
      <c r="Z1986" s="1056"/>
      <c r="AA1986" s="1056"/>
      <c r="AB1986" s="1056"/>
      <c r="AC1986" s="1056"/>
      <c r="AD1986" s="1056"/>
      <c r="AE1986" s="1056"/>
      <c r="AF1986" s="264"/>
    </row>
    <row r="1987" spans="1:32" s="268" customFormat="1" ht="15" x14ac:dyDescent="0.25">
      <c r="A1987" s="264"/>
      <c r="B1987" s="264"/>
      <c r="C1987" s="1056"/>
      <c r="D1987" s="1056"/>
      <c r="E1987" s="1056"/>
      <c r="F1987" s="1056"/>
      <c r="G1987" s="1056"/>
      <c r="H1987" s="1056"/>
      <c r="I1987" s="1056"/>
      <c r="J1987" s="1056"/>
      <c r="K1987" s="1056"/>
      <c r="L1987" s="1056"/>
      <c r="M1987" s="274"/>
      <c r="P1987" s="264"/>
      <c r="Q1987" s="264"/>
      <c r="R1987" s="264"/>
      <c r="S1987" s="264"/>
      <c r="T1987" s="1056"/>
      <c r="U1987" s="1056"/>
      <c r="V1987" s="1056"/>
      <c r="W1987" s="1056"/>
      <c r="X1987" s="1056"/>
      <c r="Y1987" s="1056"/>
      <c r="Z1987" s="1056"/>
      <c r="AA1987" s="1056"/>
      <c r="AB1987" s="1056"/>
      <c r="AC1987" s="1056"/>
      <c r="AD1987" s="1056"/>
      <c r="AE1987" s="1056"/>
      <c r="AF1987" s="264"/>
    </row>
    <row r="1988" spans="1:32" s="268" customFormat="1" ht="15" x14ac:dyDescent="0.25">
      <c r="A1988" s="264"/>
      <c r="B1988" s="264"/>
      <c r="C1988" s="1056"/>
      <c r="D1988" s="1056"/>
      <c r="E1988" s="1056"/>
      <c r="F1988" s="1056"/>
      <c r="G1988" s="1056"/>
      <c r="H1988" s="1056"/>
      <c r="I1988" s="1056"/>
      <c r="J1988" s="1056"/>
      <c r="K1988" s="1056"/>
      <c r="L1988" s="1056"/>
      <c r="M1988" s="274"/>
      <c r="P1988" s="264"/>
      <c r="Q1988" s="264"/>
      <c r="R1988" s="264"/>
      <c r="S1988" s="264"/>
      <c r="T1988" s="1056"/>
      <c r="U1988" s="1056"/>
      <c r="V1988" s="1056"/>
      <c r="W1988" s="1056"/>
      <c r="X1988" s="1056"/>
      <c r="Y1988" s="1056"/>
      <c r="Z1988" s="1056"/>
      <c r="AA1988" s="1056"/>
      <c r="AB1988" s="1056"/>
      <c r="AC1988" s="1056"/>
      <c r="AD1988" s="1056"/>
      <c r="AE1988" s="1056"/>
      <c r="AF1988" s="264"/>
    </row>
    <row r="1989" spans="1:32" s="268" customFormat="1" ht="15" x14ac:dyDescent="0.25">
      <c r="A1989" s="264"/>
      <c r="B1989" s="264"/>
      <c r="C1989" s="1056"/>
      <c r="D1989" s="1056"/>
      <c r="E1989" s="1056"/>
      <c r="F1989" s="1056"/>
      <c r="G1989" s="1056"/>
      <c r="H1989" s="1056"/>
      <c r="I1989" s="1056"/>
      <c r="J1989" s="1056"/>
      <c r="K1989" s="1056"/>
      <c r="L1989" s="1056"/>
      <c r="M1989" s="274"/>
      <c r="P1989" s="264"/>
      <c r="Q1989" s="264"/>
      <c r="R1989" s="264"/>
      <c r="S1989" s="264"/>
      <c r="T1989" s="1056"/>
      <c r="U1989" s="1056"/>
      <c r="V1989" s="1056"/>
      <c r="W1989" s="1056"/>
      <c r="X1989" s="1056"/>
      <c r="Y1989" s="1056"/>
      <c r="Z1989" s="1056"/>
      <c r="AA1989" s="1056"/>
      <c r="AB1989" s="1056"/>
      <c r="AC1989" s="1056"/>
      <c r="AD1989" s="1056"/>
      <c r="AE1989" s="1056"/>
      <c r="AF1989" s="264"/>
    </row>
    <row r="1990" spans="1:32" s="268" customFormat="1" ht="15" x14ac:dyDescent="0.25">
      <c r="A1990" s="264"/>
      <c r="B1990" s="264"/>
      <c r="C1990" s="1056"/>
      <c r="D1990" s="1056"/>
      <c r="E1990" s="1056"/>
      <c r="F1990" s="1056"/>
      <c r="G1990" s="1056"/>
      <c r="H1990" s="1056"/>
      <c r="I1990" s="1056"/>
      <c r="J1990" s="1056"/>
      <c r="K1990" s="1056"/>
      <c r="L1990" s="1056"/>
      <c r="M1990" s="274"/>
      <c r="P1990" s="264"/>
      <c r="Q1990" s="264"/>
      <c r="R1990" s="264"/>
      <c r="S1990" s="264"/>
      <c r="T1990" s="1056"/>
      <c r="U1990" s="1056"/>
      <c r="V1990" s="1056"/>
      <c r="W1990" s="1056"/>
      <c r="X1990" s="1056"/>
      <c r="Y1990" s="1056"/>
      <c r="Z1990" s="1056"/>
      <c r="AA1990" s="1056"/>
      <c r="AB1990" s="1056"/>
      <c r="AC1990" s="1056"/>
      <c r="AD1990" s="1056"/>
      <c r="AE1990" s="1056"/>
      <c r="AF1990" s="264"/>
    </row>
    <row r="1991" spans="1:32" s="268" customFormat="1" ht="15" x14ac:dyDescent="0.25">
      <c r="A1991" s="264"/>
      <c r="B1991" s="264"/>
      <c r="C1991" s="1056"/>
      <c r="D1991" s="1056"/>
      <c r="E1991" s="1056"/>
      <c r="F1991" s="1056"/>
      <c r="G1991" s="1056"/>
      <c r="H1991" s="1056"/>
      <c r="I1991" s="1056"/>
      <c r="J1991" s="1056"/>
      <c r="K1991" s="1056"/>
      <c r="L1991" s="1056"/>
      <c r="M1991" s="274"/>
      <c r="P1991" s="264"/>
      <c r="Q1991" s="264"/>
      <c r="R1991" s="264"/>
      <c r="S1991" s="264"/>
      <c r="T1991" s="1056"/>
      <c r="U1991" s="1056"/>
      <c r="V1991" s="1056"/>
      <c r="W1991" s="1056"/>
      <c r="X1991" s="1056"/>
      <c r="Y1991" s="1056"/>
      <c r="Z1991" s="1056"/>
      <c r="AA1991" s="1056"/>
      <c r="AB1991" s="1056"/>
      <c r="AC1991" s="1056"/>
      <c r="AD1991" s="1056"/>
      <c r="AE1991" s="1056"/>
      <c r="AF1991" s="264"/>
    </row>
    <row r="1992" spans="1:32" s="268" customFormat="1" ht="15" x14ac:dyDescent="0.25">
      <c r="A1992" s="264"/>
      <c r="B1992" s="264"/>
      <c r="C1992" s="1056"/>
      <c r="D1992" s="1056"/>
      <c r="E1992" s="1056"/>
      <c r="F1992" s="1056"/>
      <c r="G1992" s="1056"/>
      <c r="H1992" s="1056"/>
      <c r="I1992" s="1056"/>
      <c r="J1992" s="1056"/>
      <c r="K1992" s="1056"/>
      <c r="L1992" s="1056"/>
      <c r="M1992" s="274"/>
      <c r="P1992" s="264"/>
      <c r="Q1992" s="264"/>
      <c r="R1992" s="264"/>
      <c r="S1992" s="264"/>
      <c r="T1992" s="1056"/>
      <c r="U1992" s="1056"/>
      <c r="V1992" s="1056"/>
      <c r="W1992" s="1056"/>
      <c r="X1992" s="1056"/>
      <c r="Y1992" s="1056"/>
      <c r="Z1992" s="1056"/>
      <c r="AA1992" s="1056"/>
      <c r="AB1992" s="1056"/>
      <c r="AC1992" s="1056"/>
      <c r="AD1992" s="1056"/>
      <c r="AE1992" s="1056"/>
      <c r="AF1992" s="264"/>
    </row>
    <row r="1993" spans="1:32" s="268" customFormat="1" ht="15" x14ac:dyDescent="0.25">
      <c r="A1993" s="264"/>
      <c r="B1993" s="264"/>
      <c r="C1993" s="1056"/>
      <c r="D1993" s="1056"/>
      <c r="E1993" s="1056"/>
      <c r="F1993" s="1056"/>
      <c r="G1993" s="1056"/>
      <c r="H1993" s="1056"/>
      <c r="I1993" s="1056"/>
      <c r="J1993" s="1056"/>
      <c r="K1993" s="1056"/>
      <c r="L1993" s="1056"/>
      <c r="M1993" s="274"/>
      <c r="P1993" s="264"/>
      <c r="Q1993" s="264"/>
      <c r="R1993" s="264"/>
      <c r="S1993" s="264"/>
      <c r="T1993" s="1056"/>
      <c r="U1993" s="1056"/>
      <c r="V1993" s="1056"/>
      <c r="W1993" s="1056"/>
      <c r="X1993" s="1056"/>
      <c r="Y1993" s="1056"/>
      <c r="Z1993" s="1056"/>
      <c r="AA1993" s="1056"/>
      <c r="AB1993" s="1056"/>
      <c r="AC1993" s="1056"/>
      <c r="AD1993" s="1056"/>
      <c r="AE1993" s="1056"/>
      <c r="AF1993" s="264"/>
    </row>
    <row r="1994" spans="1:32" s="268" customFormat="1" ht="15" x14ac:dyDescent="0.25">
      <c r="A1994" s="264"/>
      <c r="B1994" s="264"/>
      <c r="C1994" s="1056"/>
      <c r="D1994" s="1056"/>
      <c r="E1994" s="1056"/>
      <c r="F1994" s="1056"/>
      <c r="G1994" s="1056"/>
      <c r="H1994" s="1056"/>
      <c r="I1994" s="1056"/>
      <c r="J1994" s="1056"/>
      <c r="K1994" s="1056"/>
      <c r="L1994" s="1056"/>
      <c r="M1994" s="274"/>
      <c r="P1994" s="264"/>
      <c r="Q1994" s="264"/>
      <c r="R1994" s="264"/>
      <c r="S1994" s="264"/>
      <c r="T1994" s="1056"/>
      <c r="U1994" s="1056"/>
      <c r="V1994" s="1056"/>
      <c r="W1994" s="1056"/>
      <c r="X1994" s="1056"/>
      <c r="Y1994" s="1056"/>
      <c r="Z1994" s="1056"/>
      <c r="AA1994" s="1056"/>
      <c r="AB1994" s="1056"/>
      <c r="AC1994" s="1056"/>
      <c r="AD1994" s="1056"/>
      <c r="AE1994" s="1056"/>
      <c r="AF1994" s="264"/>
    </row>
    <row r="1995" spans="1:32" s="268" customFormat="1" ht="15" x14ac:dyDescent="0.25">
      <c r="A1995" s="264"/>
      <c r="B1995" s="264"/>
      <c r="C1995" s="1056"/>
      <c r="D1995" s="1056"/>
      <c r="E1995" s="1056"/>
      <c r="F1995" s="1056"/>
      <c r="G1995" s="1056"/>
      <c r="H1995" s="1056"/>
      <c r="I1995" s="1056"/>
      <c r="J1995" s="1056"/>
      <c r="K1995" s="1056"/>
      <c r="L1995" s="1056"/>
      <c r="M1995" s="274"/>
      <c r="P1995" s="264"/>
      <c r="Q1995" s="264"/>
      <c r="R1995" s="264"/>
      <c r="S1995" s="264"/>
      <c r="T1995" s="1056"/>
      <c r="U1995" s="1056"/>
      <c r="V1995" s="1056"/>
      <c r="W1995" s="1056"/>
      <c r="X1995" s="1056"/>
      <c r="Y1995" s="1056"/>
      <c r="Z1995" s="1056"/>
      <c r="AA1995" s="1056"/>
      <c r="AB1995" s="1056"/>
      <c r="AC1995" s="1056"/>
      <c r="AD1995" s="1056"/>
      <c r="AE1995" s="1056"/>
      <c r="AF1995" s="264"/>
    </row>
    <row r="1996" spans="1:32" s="268" customFormat="1" ht="15" x14ac:dyDescent="0.25">
      <c r="A1996" s="264"/>
      <c r="B1996" s="264"/>
      <c r="C1996" s="1056"/>
      <c r="D1996" s="1056"/>
      <c r="E1996" s="1056"/>
      <c r="F1996" s="1056"/>
      <c r="G1996" s="1056"/>
      <c r="H1996" s="1056"/>
      <c r="I1996" s="1056"/>
      <c r="J1996" s="1056"/>
      <c r="K1996" s="1056"/>
      <c r="L1996" s="1056"/>
      <c r="M1996" s="274"/>
      <c r="P1996" s="264"/>
      <c r="Q1996" s="264"/>
      <c r="R1996" s="264"/>
      <c r="S1996" s="264"/>
      <c r="T1996" s="1056"/>
      <c r="U1996" s="1056"/>
      <c r="V1996" s="1056"/>
      <c r="W1996" s="1056"/>
      <c r="X1996" s="1056"/>
      <c r="Y1996" s="1056"/>
      <c r="Z1996" s="1056"/>
      <c r="AA1996" s="1056"/>
      <c r="AB1996" s="1056"/>
      <c r="AC1996" s="1056"/>
      <c r="AD1996" s="1056"/>
      <c r="AE1996" s="1056"/>
      <c r="AF1996" s="264"/>
    </row>
    <row r="1997" spans="1:32" s="268" customFormat="1" ht="15" x14ac:dyDescent="0.25">
      <c r="A1997" s="264"/>
      <c r="B1997" s="264"/>
      <c r="C1997" s="1056"/>
      <c r="D1997" s="1056"/>
      <c r="E1997" s="1056"/>
      <c r="F1997" s="1056"/>
      <c r="G1997" s="1056"/>
      <c r="H1997" s="1056"/>
      <c r="I1997" s="1056"/>
      <c r="J1997" s="1056"/>
      <c r="K1997" s="1056"/>
      <c r="L1997" s="1056"/>
      <c r="M1997" s="274"/>
      <c r="P1997" s="264"/>
      <c r="Q1997" s="264"/>
      <c r="R1997" s="264"/>
      <c r="S1997" s="264"/>
      <c r="T1997" s="1056"/>
      <c r="U1997" s="1056"/>
      <c r="V1997" s="1056"/>
      <c r="W1997" s="1056"/>
      <c r="X1997" s="1056"/>
      <c r="Y1997" s="1056"/>
      <c r="Z1997" s="1056"/>
      <c r="AA1997" s="1056"/>
      <c r="AB1997" s="1056"/>
      <c r="AC1997" s="1056"/>
      <c r="AD1997" s="1056"/>
      <c r="AE1997" s="1056"/>
      <c r="AF1997" s="264"/>
    </row>
    <row r="1998" spans="1:32" s="268" customFormat="1" ht="15" x14ac:dyDescent="0.25">
      <c r="A1998" s="264"/>
      <c r="B1998" s="264"/>
      <c r="C1998" s="1056"/>
      <c r="D1998" s="1056"/>
      <c r="E1998" s="1056"/>
      <c r="F1998" s="1056"/>
      <c r="G1998" s="1056"/>
      <c r="H1998" s="1056"/>
      <c r="I1998" s="1056"/>
      <c r="J1998" s="1056"/>
      <c r="K1998" s="1056"/>
      <c r="L1998" s="1056"/>
      <c r="M1998" s="274"/>
      <c r="P1998" s="264"/>
      <c r="Q1998" s="264"/>
      <c r="R1998" s="264"/>
      <c r="S1998" s="264"/>
      <c r="T1998" s="1056"/>
      <c r="U1998" s="1056"/>
      <c r="V1998" s="1056"/>
      <c r="W1998" s="1056"/>
      <c r="X1998" s="1056"/>
      <c r="Y1998" s="1056"/>
      <c r="Z1998" s="1056"/>
      <c r="AA1998" s="1056"/>
      <c r="AB1998" s="1056"/>
      <c r="AC1998" s="1056"/>
      <c r="AD1998" s="1056"/>
      <c r="AE1998" s="1056"/>
      <c r="AF1998" s="264"/>
    </row>
    <row r="1999" spans="1:32" s="268" customFormat="1" ht="15" x14ac:dyDescent="0.25">
      <c r="A1999" s="264"/>
      <c r="B1999" s="264"/>
      <c r="C1999" s="1056"/>
      <c r="D1999" s="1056"/>
      <c r="E1999" s="1056"/>
      <c r="F1999" s="1056"/>
      <c r="G1999" s="1056"/>
      <c r="H1999" s="1056"/>
      <c r="I1999" s="1056"/>
      <c r="J1999" s="1056"/>
      <c r="K1999" s="1056"/>
      <c r="L1999" s="1056"/>
      <c r="M1999" s="274"/>
      <c r="P1999" s="264"/>
      <c r="Q1999" s="264"/>
      <c r="R1999" s="264"/>
      <c r="S1999" s="264"/>
      <c r="T1999" s="1056"/>
      <c r="U1999" s="1056"/>
      <c r="V1999" s="1056"/>
      <c r="W1999" s="1056"/>
      <c r="X1999" s="1056"/>
      <c r="Y1999" s="1056"/>
      <c r="Z1999" s="1056"/>
      <c r="AA1999" s="1056"/>
      <c r="AB1999" s="1056"/>
      <c r="AC1999" s="1056"/>
      <c r="AD1999" s="1056"/>
      <c r="AE1999" s="1056"/>
      <c r="AF1999" s="264"/>
    </row>
    <row r="2000" spans="1:32" s="268" customFormat="1" ht="15" x14ac:dyDescent="0.25">
      <c r="A2000" s="264"/>
      <c r="B2000" s="264"/>
      <c r="C2000" s="1056"/>
      <c r="D2000" s="1056"/>
      <c r="E2000" s="1056"/>
      <c r="F2000" s="1056"/>
      <c r="G2000" s="1056"/>
      <c r="H2000" s="1056"/>
      <c r="I2000" s="1056"/>
      <c r="J2000" s="1056"/>
      <c r="K2000" s="1056"/>
      <c r="L2000" s="1056"/>
      <c r="M2000" s="274"/>
      <c r="P2000" s="264"/>
      <c r="Q2000" s="264"/>
      <c r="R2000" s="264"/>
      <c r="S2000" s="264"/>
      <c r="T2000" s="1056"/>
      <c r="U2000" s="1056"/>
      <c r="V2000" s="1056"/>
      <c r="W2000" s="1056"/>
      <c r="X2000" s="1056"/>
      <c r="Y2000" s="1056"/>
      <c r="Z2000" s="1056"/>
      <c r="AA2000" s="1056"/>
      <c r="AB2000" s="1056"/>
      <c r="AC2000" s="1056"/>
      <c r="AD2000" s="1056"/>
      <c r="AE2000" s="1056"/>
      <c r="AF2000" s="264"/>
    </row>
    <row r="2001" spans="1:32" s="268" customFormat="1" ht="15" x14ac:dyDescent="0.25">
      <c r="A2001" s="264"/>
      <c r="B2001" s="264"/>
      <c r="C2001" s="1056"/>
      <c r="D2001" s="1056"/>
      <c r="E2001" s="1056"/>
      <c r="F2001" s="1056"/>
      <c r="G2001" s="1056"/>
      <c r="H2001" s="1056"/>
      <c r="I2001" s="1056"/>
      <c r="J2001" s="1056"/>
      <c r="K2001" s="1056"/>
      <c r="L2001" s="1056"/>
      <c r="M2001" s="274"/>
      <c r="P2001" s="264"/>
      <c r="Q2001" s="264"/>
      <c r="R2001" s="264"/>
      <c r="S2001" s="264"/>
      <c r="T2001" s="1056"/>
      <c r="U2001" s="1056"/>
      <c r="V2001" s="1056"/>
      <c r="W2001" s="1056"/>
      <c r="X2001" s="1056"/>
      <c r="Y2001" s="1056"/>
      <c r="Z2001" s="1056"/>
      <c r="AA2001" s="1056"/>
      <c r="AB2001" s="1056"/>
      <c r="AC2001" s="1056"/>
      <c r="AD2001" s="1056"/>
      <c r="AE2001" s="1056"/>
      <c r="AF2001" s="264"/>
    </row>
    <row r="2002" spans="1:32" s="268" customFormat="1" ht="15" x14ac:dyDescent="0.25">
      <c r="A2002" s="264"/>
      <c r="B2002" s="264"/>
      <c r="C2002" s="1056"/>
      <c r="D2002" s="1056"/>
      <c r="E2002" s="1056"/>
      <c r="F2002" s="1056"/>
      <c r="G2002" s="1056"/>
      <c r="H2002" s="1056"/>
      <c r="I2002" s="1056"/>
      <c r="J2002" s="1056"/>
      <c r="K2002" s="1056"/>
      <c r="L2002" s="1056"/>
      <c r="M2002" s="274"/>
      <c r="P2002" s="264"/>
      <c r="Q2002" s="264"/>
      <c r="R2002" s="264"/>
      <c r="S2002" s="264"/>
      <c r="T2002" s="1056"/>
      <c r="U2002" s="1056"/>
      <c r="V2002" s="1056"/>
      <c r="W2002" s="1056"/>
      <c r="X2002" s="1056"/>
      <c r="Y2002" s="1056"/>
      <c r="Z2002" s="1056"/>
      <c r="AA2002" s="1056"/>
      <c r="AB2002" s="1056"/>
      <c r="AC2002" s="1056"/>
      <c r="AD2002" s="1056"/>
      <c r="AE2002" s="1056"/>
      <c r="AF2002" s="264"/>
    </row>
    <row r="2003" spans="1:32" s="268" customFormat="1" ht="15" x14ac:dyDescent="0.25">
      <c r="A2003" s="264"/>
      <c r="B2003" s="264"/>
      <c r="C2003" s="1056"/>
      <c r="D2003" s="1056"/>
      <c r="E2003" s="1056"/>
      <c r="F2003" s="1056"/>
      <c r="G2003" s="1056"/>
      <c r="H2003" s="1056"/>
      <c r="I2003" s="1056"/>
      <c r="J2003" s="1056"/>
      <c r="K2003" s="1056"/>
      <c r="L2003" s="1056"/>
      <c r="M2003" s="274"/>
      <c r="P2003" s="264"/>
      <c r="Q2003" s="264"/>
      <c r="R2003" s="264"/>
      <c r="S2003" s="264"/>
      <c r="T2003" s="1056"/>
      <c r="U2003" s="1056"/>
      <c r="V2003" s="1056"/>
      <c r="W2003" s="1056"/>
      <c r="X2003" s="1056"/>
      <c r="Y2003" s="1056"/>
      <c r="Z2003" s="1056"/>
      <c r="AA2003" s="1056"/>
      <c r="AB2003" s="1056"/>
      <c r="AC2003" s="1056"/>
      <c r="AD2003" s="1056"/>
      <c r="AE2003" s="1056"/>
      <c r="AF2003" s="264"/>
    </row>
    <row r="2004" spans="1:32" s="268" customFormat="1" ht="15" x14ac:dyDescent="0.25">
      <c r="A2004" s="264"/>
      <c r="B2004" s="264"/>
      <c r="C2004" s="1056"/>
      <c r="D2004" s="1056"/>
      <c r="E2004" s="1056"/>
      <c r="F2004" s="1056"/>
      <c r="G2004" s="1056"/>
      <c r="H2004" s="1056"/>
      <c r="I2004" s="1056"/>
      <c r="J2004" s="1056"/>
      <c r="K2004" s="1056"/>
      <c r="L2004" s="1056"/>
      <c r="M2004" s="274"/>
      <c r="P2004" s="264"/>
      <c r="Q2004" s="264"/>
      <c r="R2004" s="264"/>
      <c r="S2004" s="264"/>
      <c r="T2004" s="1056"/>
      <c r="U2004" s="1056"/>
      <c r="V2004" s="1056"/>
      <c r="W2004" s="1056"/>
      <c r="X2004" s="1056"/>
      <c r="Y2004" s="1056"/>
      <c r="Z2004" s="1056"/>
      <c r="AA2004" s="1056"/>
      <c r="AB2004" s="1056"/>
      <c r="AC2004" s="1056"/>
      <c r="AD2004" s="1056"/>
      <c r="AE2004" s="1056"/>
      <c r="AF2004" s="264"/>
    </row>
    <row r="2005" spans="1:32" s="268" customFormat="1" ht="15" x14ac:dyDescent="0.25">
      <c r="A2005" s="264"/>
      <c r="B2005" s="264"/>
      <c r="C2005" s="1056"/>
      <c r="D2005" s="1056"/>
      <c r="E2005" s="1056"/>
      <c r="F2005" s="1056"/>
      <c r="G2005" s="1056"/>
      <c r="H2005" s="1056"/>
      <c r="I2005" s="1056"/>
      <c r="J2005" s="1056"/>
      <c r="K2005" s="1056"/>
      <c r="L2005" s="1056"/>
      <c r="M2005" s="274"/>
      <c r="P2005" s="264"/>
      <c r="Q2005" s="264"/>
      <c r="R2005" s="264"/>
      <c r="S2005" s="264"/>
      <c r="T2005" s="1056"/>
      <c r="U2005" s="1056"/>
      <c r="V2005" s="1056"/>
      <c r="W2005" s="1056"/>
      <c r="X2005" s="1056"/>
      <c r="Y2005" s="1056"/>
      <c r="Z2005" s="1056"/>
      <c r="AA2005" s="1056"/>
      <c r="AB2005" s="1056"/>
      <c r="AC2005" s="1056"/>
      <c r="AD2005" s="1056"/>
      <c r="AE2005" s="1056"/>
      <c r="AF2005" s="264"/>
    </row>
    <row r="2006" spans="1:32" s="268" customFormat="1" ht="15" x14ac:dyDescent="0.25">
      <c r="A2006" s="264"/>
      <c r="B2006" s="264"/>
      <c r="C2006" s="1056"/>
      <c r="D2006" s="1056"/>
      <c r="E2006" s="1056"/>
      <c r="F2006" s="1056"/>
      <c r="G2006" s="1056"/>
      <c r="H2006" s="1056"/>
      <c r="I2006" s="1056"/>
      <c r="J2006" s="1056"/>
      <c r="K2006" s="1056"/>
      <c r="L2006" s="1056"/>
      <c r="M2006" s="274"/>
      <c r="P2006" s="264"/>
      <c r="Q2006" s="264"/>
      <c r="R2006" s="264"/>
      <c r="S2006" s="264"/>
      <c r="T2006" s="1056"/>
      <c r="U2006" s="1056"/>
      <c r="V2006" s="1056"/>
      <c r="W2006" s="1056"/>
      <c r="X2006" s="1056"/>
      <c r="Y2006" s="1056"/>
      <c r="Z2006" s="1056"/>
      <c r="AA2006" s="1056"/>
      <c r="AB2006" s="1056"/>
      <c r="AC2006" s="1056"/>
      <c r="AD2006" s="1056"/>
      <c r="AE2006" s="1056"/>
      <c r="AF2006" s="264"/>
    </row>
    <row r="2007" spans="1:32" s="268" customFormat="1" ht="15" x14ac:dyDescent="0.25">
      <c r="A2007" s="264"/>
      <c r="B2007" s="264"/>
      <c r="C2007" s="1056"/>
      <c r="D2007" s="1056"/>
      <c r="E2007" s="1056"/>
      <c r="F2007" s="1056"/>
      <c r="G2007" s="1056"/>
      <c r="H2007" s="1056"/>
      <c r="I2007" s="1056"/>
      <c r="J2007" s="1056"/>
      <c r="K2007" s="1056"/>
      <c r="L2007" s="1056"/>
      <c r="M2007" s="274"/>
      <c r="P2007" s="264"/>
      <c r="Q2007" s="264"/>
      <c r="R2007" s="264"/>
      <c r="S2007" s="264"/>
      <c r="T2007" s="1056"/>
      <c r="U2007" s="1056"/>
      <c r="V2007" s="1056"/>
      <c r="W2007" s="1056"/>
      <c r="X2007" s="1056"/>
      <c r="Y2007" s="1056"/>
      <c r="Z2007" s="1056"/>
      <c r="AA2007" s="1056"/>
      <c r="AB2007" s="1056"/>
      <c r="AC2007" s="1056"/>
      <c r="AD2007" s="1056"/>
      <c r="AE2007" s="1056"/>
      <c r="AF2007" s="264"/>
    </row>
    <row r="2008" spans="1:32" s="268" customFormat="1" ht="15" x14ac:dyDescent="0.25">
      <c r="A2008" s="264"/>
      <c r="B2008" s="264"/>
      <c r="C2008" s="1056"/>
      <c r="D2008" s="1056"/>
      <c r="E2008" s="1056"/>
      <c r="F2008" s="1056"/>
      <c r="G2008" s="1056"/>
      <c r="H2008" s="1056"/>
      <c r="I2008" s="1056"/>
      <c r="J2008" s="1056"/>
      <c r="K2008" s="1056"/>
      <c r="L2008" s="1056"/>
      <c r="M2008" s="274"/>
      <c r="P2008" s="264"/>
      <c r="Q2008" s="264"/>
      <c r="R2008" s="264"/>
      <c r="S2008" s="264"/>
      <c r="T2008" s="1056"/>
      <c r="U2008" s="1056"/>
      <c r="V2008" s="1056"/>
      <c r="W2008" s="1056"/>
      <c r="X2008" s="1056"/>
      <c r="Y2008" s="1056"/>
      <c r="Z2008" s="1056"/>
      <c r="AA2008" s="1056"/>
      <c r="AB2008" s="1056"/>
      <c r="AC2008" s="1056"/>
      <c r="AD2008" s="1056"/>
      <c r="AE2008" s="1056"/>
      <c r="AF2008" s="264"/>
    </row>
    <row r="2009" spans="1:32" s="268" customFormat="1" ht="15" x14ac:dyDescent="0.25">
      <c r="A2009" s="264"/>
      <c r="B2009" s="264"/>
      <c r="C2009" s="1056"/>
      <c r="D2009" s="1056"/>
      <c r="E2009" s="1056"/>
      <c r="F2009" s="1056"/>
      <c r="G2009" s="1056"/>
      <c r="H2009" s="1056"/>
      <c r="I2009" s="1056"/>
      <c r="J2009" s="1056"/>
      <c r="K2009" s="1056"/>
      <c r="L2009" s="1056"/>
      <c r="M2009" s="274"/>
      <c r="P2009" s="264"/>
      <c r="Q2009" s="264"/>
      <c r="R2009" s="264"/>
      <c r="S2009" s="264"/>
      <c r="T2009" s="1056"/>
      <c r="U2009" s="1056"/>
      <c r="V2009" s="1056"/>
      <c r="W2009" s="1056"/>
      <c r="X2009" s="1056"/>
      <c r="Y2009" s="1056"/>
      <c r="Z2009" s="1056"/>
      <c r="AA2009" s="1056"/>
      <c r="AB2009" s="1056"/>
      <c r="AC2009" s="1056"/>
      <c r="AD2009" s="1056"/>
      <c r="AE2009" s="1056"/>
      <c r="AF2009" s="264"/>
    </row>
    <row r="2010" spans="1:32" s="268" customFormat="1" ht="15" x14ac:dyDescent="0.25">
      <c r="A2010" s="264"/>
      <c r="B2010" s="264"/>
      <c r="C2010" s="1056"/>
      <c r="D2010" s="1056"/>
      <c r="E2010" s="1056"/>
      <c r="F2010" s="1056"/>
      <c r="G2010" s="1056"/>
      <c r="H2010" s="1056"/>
      <c r="I2010" s="1056"/>
      <c r="J2010" s="1056"/>
      <c r="K2010" s="1056"/>
      <c r="L2010" s="1056"/>
      <c r="M2010" s="274"/>
      <c r="P2010" s="264"/>
      <c r="Q2010" s="264"/>
      <c r="R2010" s="264"/>
      <c r="S2010" s="264"/>
      <c r="T2010" s="1056"/>
      <c r="U2010" s="1056"/>
      <c r="V2010" s="1056"/>
      <c r="W2010" s="1056"/>
      <c r="X2010" s="1056"/>
      <c r="Y2010" s="1056"/>
      <c r="Z2010" s="1056"/>
      <c r="AA2010" s="1056"/>
      <c r="AB2010" s="1056"/>
      <c r="AC2010" s="1056"/>
      <c r="AD2010" s="1056"/>
      <c r="AE2010" s="1056"/>
      <c r="AF2010" s="264"/>
    </row>
    <row r="2011" spans="1:32" s="268" customFormat="1" ht="15" x14ac:dyDescent="0.25">
      <c r="A2011" s="264"/>
      <c r="B2011" s="264"/>
      <c r="C2011" s="1056"/>
      <c r="D2011" s="1056"/>
      <c r="E2011" s="1056"/>
      <c r="F2011" s="1056"/>
      <c r="G2011" s="1056"/>
      <c r="H2011" s="1056"/>
      <c r="I2011" s="1056"/>
      <c r="J2011" s="1056"/>
      <c r="K2011" s="1056"/>
      <c r="L2011" s="1056"/>
      <c r="M2011" s="274"/>
      <c r="P2011" s="264"/>
      <c r="Q2011" s="264"/>
      <c r="R2011" s="264"/>
      <c r="S2011" s="264"/>
      <c r="T2011" s="1056"/>
      <c r="U2011" s="1056"/>
      <c r="V2011" s="1056"/>
      <c r="W2011" s="1056"/>
      <c r="X2011" s="1056"/>
      <c r="Y2011" s="1056"/>
      <c r="Z2011" s="1056"/>
      <c r="AA2011" s="1056"/>
      <c r="AB2011" s="1056"/>
      <c r="AC2011" s="1056"/>
      <c r="AD2011" s="1056"/>
      <c r="AE2011" s="1056"/>
      <c r="AF2011" s="264"/>
    </row>
    <row r="2012" spans="1:32" s="268" customFormat="1" ht="15" x14ac:dyDescent="0.25">
      <c r="A2012" s="264"/>
      <c r="B2012" s="264"/>
      <c r="C2012" s="1056"/>
      <c r="D2012" s="1056"/>
      <c r="E2012" s="1056"/>
      <c r="F2012" s="1056"/>
      <c r="G2012" s="1056"/>
      <c r="H2012" s="1056"/>
      <c r="I2012" s="1056"/>
      <c r="J2012" s="1056"/>
      <c r="K2012" s="1056"/>
      <c r="L2012" s="1056"/>
      <c r="M2012" s="274"/>
      <c r="P2012" s="264"/>
      <c r="Q2012" s="264"/>
      <c r="R2012" s="264"/>
      <c r="S2012" s="264"/>
      <c r="T2012" s="1056"/>
      <c r="U2012" s="1056"/>
      <c r="V2012" s="1056"/>
      <c r="W2012" s="1056"/>
      <c r="X2012" s="1056"/>
      <c r="Y2012" s="1056"/>
      <c r="Z2012" s="1056"/>
      <c r="AA2012" s="1056"/>
      <c r="AB2012" s="1056"/>
      <c r="AC2012" s="1056"/>
      <c r="AD2012" s="1056"/>
      <c r="AE2012" s="1056"/>
      <c r="AF2012" s="264"/>
    </row>
    <row r="2013" spans="1:32" s="268" customFormat="1" ht="15" x14ac:dyDescent="0.25">
      <c r="A2013" s="264"/>
      <c r="B2013" s="264"/>
      <c r="C2013" s="1056"/>
      <c r="D2013" s="1056"/>
      <c r="E2013" s="1056"/>
      <c r="F2013" s="1056"/>
      <c r="G2013" s="1056"/>
      <c r="H2013" s="1056"/>
      <c r="I2013" s="1056"/>
      <c r="J2013" s="1056"/>
      <c r="K2013" s="1056"/>
      <c r="L2013" s="1056"/>
      <c r="M2013" s="274"/>
      <c r="P2013" s="264"/>
      <c r="Q2013" s="264"/>
      <c r="R2013" s="264"/>
      <c r="S2013" s="264"/>
      <c r="T2013" s="1056"/>
      <c r="U2013" s="1056"/>
      <c r="V2013" s="1056"/>
      <c r="W2013" s="1056"/>
      <c r="X2013" s="1056"/>
      <c r="Y2013" s="1056"/>
      <c r="Z2013" s="1056"/>
      <c r="AA2013" s="1056"/>
      <c r="AB2013" s="1056"/>
      <c r="AC2013" s="1056"/>
      <c r="AD2013" s="1056"/>
      <c r="AE2013" s="1056"/>
      <c r="AF2013" s="264"/>
    </row>
    <row r="2014" spans="1:32" s="268" customFormat="1" ht="15" x14ac:dyDescent="0.25">
      <c r="A2014" s="264"/>
      <c r="B2014" s="264"/>
      <c r="C2014" s="1056"/>
      <c r="D2014" s="1056"/>
      <c r="E2014" s="1056"/>
      <c r="F2014" s="1056"/>
      <c r="G2014" s="1056"/>
      <c r="H2014" s="1056"/>
      <c r="I2014" s="1056"/>
      <c r="J2014" s="1056"/>
      <c r="K2014" s="1056"/>
      <c r="L2014" s="1056"/>
      <c r="M2014" s="274"/>
      <c r="P2014" s="264"/>
      <c r="Q2014" s="264"/>
      <c r="R2014" s="264"/>
      <c r="S2014" s="264"/>
      <c r="T2014" s="1056"/>
      <c r="U2014" s="1056"/>
      <c r="V2014" s="1056"/>
      <c r="W2014" s="1056"/>
      <c r="X2014" s="1056"/>
      <c r="Y2014" s="1056"/>
      <c r="Z2014" s="1056"/>
      <c r="AA2014" s="1056"/>
      <c r="AB2014" s="1056"/>
      <c r="AC2014" s="1056"/>
      <c r="AD2014" s="1056"/>
      <c r="AE2014" s="1056"/>
      <c r="AF2014" s="264"/>
    </row>
    <row r="2015" spans="1:32" s="268" customFormat="1" ht="15" x14ac:dyDescent="0.25">
      <c r="A2015" s="264"/>
      <c r="B2015" s="264"/>
      <c r="C2015" s="1056"/>
      <c r="D2015" s="1056"/>
      <c r="E2015" s="1056"/>
      <c r="F2015" s="1056"/>
      <c r="G2015" s="1056"/>
      <c r="H2015" s="1056"/>
      <c r="I2015" s="1056"/>
      <c r="J2015" s="1056"/>
      <c r="K2015" s="1056"/>
      <c r="L2015" s="1056"/>
      <c r="M2015" s="274"/>
      <c r="P2015" s="264"/>
      <c r="Q2015" s="264"/>
      <c r="R2015" s="264"/>
      <c r="S2015" s="264"/>
      <c r="T2015" s="1056"/>
      <c r="U2015" s="1056"/>
      <c r="V2015" s="1056"/>
      <c r="W2015" s="1056"/>
      <c r="X2015" s="1056"/>
      <c r="Y2015" s="1056"/>
      <c r="Z2015" s="1056"/>
      <c r="AA2015" s="1056"/>
      <c r="AB2015" s="1056"/>
      <c r="AC2015" s="1056"/>
      <c r="AD2015" s="1056"/>
      <c r="AE2015" s="1056"/>
      <c r="AF2015" s="264"/>
    </row>
    <row r="2016" spans="1:32" s="268" customFormat="1" ht="15" x14ac:dyDescent="0.25">
      <c r="A2016" s="264"/>
      <c r="B2016" s="264"/>
      <c r="C2016" s="1056"/>
      <c r="D2016" s="1056"/>
      <c r="E2016" s="1056"/>
      <c r="F2016" s="1056"/>
      <c r="G2016" s="1056"/>
      <c r="H2016" s="1056"/>
      <c r="I2016" s="1056"/>
      <c r="J2016" s="1056"/>
      <c r="K2016" s="1056"/>
      <c r="L2016" s="1056"/>
      <c r="M2016" s="274"/>
      <c r="P2016" s="264"/>
      <c r="Q2016" s="264"/>
      <c r="R2016" s="264"/>
      <c r="S2016" s="264"/>
      <c r="T2016" s="1056"/>
      <c r="U2016" s="1056"/>
      <c r="V2016" s="1056"/>
      <c r="W2016" s="1056"/>
      <c r="X2016" s="1056"/>
      <c r="Y2016" s="1056"/>
      <c r="Z2016" s="1056"/>
      <c r="AA2016" s="1056"/>
      <c r="AB2016" s="1056"/>
      <c r="AC2016" s="1056"/>
      <c r="AD2016" s="1056"/>
      <c r="AE2016" s="1056"/>
      <c r="AF2016" s="264"/>
    </row>
    <row r="2017" spans="1:32" s="268" customFormat="1" ht="15" x14ac:dyDescent="0.25">
      <c r="A2017" s="264"/>
      <c r="B2017" s="264"/>
      <c r="C2017" s="1056"/>
      <c r="D2017" s="1056"/>
      <c r="E2017" s="1056"/>
      <c r="F2017" s="1056"/>
      <c r="G2017" s="1056"/>
      <c r="H2017" s="1056"/>
      <c r="I2017" s="1056"/>
      <c r="J2017" s="1056"/>
      <c r="K2017" s="1056"/>
      <c r="L2017" s="1056"/>
      <c r="M2017" s="274"/>
      <c r="P2017" s="264"/>
      <c r="Q2017" s="264"/>
      <c r="R2017" s="264"/>
      <c r="S2017" s="264"/>
      <c r="T2017" s="1056"/>
      <c r="U2017" s="1056"/>
      <c r="V2017" s="1056"/>
      <c r="W2017" s="1056"/>
      <c r="X2017" s="1056"/>
      <c r="Y2017" s="1056"/>
      <c r="Z2017" s="1056"/>
      <c r="AA2017" s="1056"/>
      <c r="AB2017" s="1056"/>
      <c r="AC2017" s="1056"/>
      <c r="AD2017" s="1056"/>
      <c r="AE2017" s="1056"/>
      <c r="AF2017" s="264"/>
    </row>
    <row r="2018" spans="1:32" s="268" customFormat="1" ht="15" x14ac:dyDescent="0.25">
      <c r="A2018" s="264"/>
      <c r="B2018" s="264"/>
      <c r="C2018" s="1056"/>
      <c r="D2018" s="1056"/>
      <c r="E2018" s="1056"/>
      <c r="F2018" s="1056"/>
      <c r="G2018" s="1056"/>
      <c r="H2018" s="1056"/>
      <c r="I2018" s="1056"/>
      <c r="J2018" s="1056"/>
      <c r="K2018" s="1056"/>
      <c r="L2018" s="1056"/>
      <c r="M2018" s="274"/>
      <c r="P2018" s="264"/>
      <c r="Q2018" s="264"/>
      <c r="R2018" s="264"/>
      <c r="S2018" s="264"/>
      <c r="T2018" s="1056"/>
      <c r="U2018" s="1056"/>
      <c r="V2018" s="1056"/>
      <c r="W2018" s="1056"/>
      <c r="X2018" s="1056"/>
      <c r="Y2018" s="1056"/>
      <c r="Z2018" s="1056"/>
      <c r="AA2018" s="1056"/>
      <c r="AB2018" s="1056"/>
      <c r="AC2018" s="1056"/>
      <c r="AD2018" s="1056"/>
      <c r="AE2018" s="1056"/>
      <c r="AF2018" s="264"/>
    </row>
    <row r="2019" spans="1:32" s="268" customFormat="1" ht="15" x14ac:dyDescent="0.25">
      <c r="A2019" s="264"/>
      <c r="B2019" s="264"/>
      <c r="C2019" s="1056"/>
      <c r="D2019" s="1056"/>
      <c r="E2019" s="1056"/>
      <c r="F2019" s="1056"/>
      <c r="G2019" s="1056"/>
      <c r="H2019" s="1056"/>
      <c r="I2019" s="1056"/>
      <c r="J2019" s="1056"/>
      <c r="K2019" s="1056"/>
      <c r="L2019" s="1056"/>
      <c r="M2019" s="274"/>
      <c r="P2019" s="264"/>
      <c r="Q2019" s="264"/>
      <c r="R2019" s="264"/>
      <c r="S2019" s="264"/>
      <c r="T2019" s="1056"/>
      <c r="U2019" s="1056"/>
      <c r="V2019" s="1056"/>
      <c r="W2019" s="1056"/>
      <c r="X2019" s="1056"/>
      <c r="Y2019" s="1056"/>
      <c r="Z2019" s="1056"/>
      <c r="AA2019" s="1056"/>
      <c r="AB2019" s="1056"/>
      <c r="AC2019" s="1056"/>
      <c r="AD2019" s="1056"/>
      <c r="AE2019" s="1056"/>
      <c r="AF2019" s="264"/>
    </row>
    <row r="2020" spans="1:32" s="268" customFormat="1" ht="15" x14ac:dyDescent="0.25">
      <c r="A2020" s="264"/>
      <c r="B2020" s="264"/>
      <c r="C2020" s="1056"/>
      <c r="D2020" s="1056"/>
      <c r="E2020" s="1056"/>
      <c r="F2020" s="1056"/>
      <c r="G2020" s="1056"/>
      <c r="H2020" s="1056"/>
      <c r="I2020" s="1056"/>
      <c r="J2020" s="1056"/>
      <c r="K2020" s="1056"/>
      <c r="L2020" s="1056"/>
      <c r="M2020" s="274"/>
      <c r="P2020" s="264"/>
      <c r="Q2020" s="264"/>
      <c r="R2020" s="264"/>
      <c r="S2020" s="264"/>
      <c r="T2020" s="1056"/>
      <c r="U2020" s="1056"/>
      <c r="V2020" s="1056"/>
      <c r="W2020" s="1056"/>
      <c r="X2020" s="1056"/>
      <c r="Y2020" s="1056"/>
      <c r="Z2020" s="1056"/>
      <c r="AA2020" s="1056"/>
      <c r="AB2020" s="1056"/>
      <c r="AC2020" s="1056"/>
      <c r="AD2020" s="1056"/>
      <c r="AE2020" s="1056"/>
      <c r="AF2020" s="264"/>
    </row>
    <row r="2021" spans="1:32" s="268" customFormat="1" ht="15" x14ac:dyDescent="0.25">
      <c r="A2021" s="264"/>
      <c r="B2021" s="264"/>
      <c r="C2021" s="1056"/>
      <c r="D2021" s="1056"/>
      <c r="E2021" s="1056"/>
      <c r="F2021" s="1056"/>
      <c r="G2021" s="1056"/>
      <c r="H2021" s="1056"/>
      <c r="I2021" s="1056"/>
      <c r="J2021" s="1056"/>
      <c r="K2021" s="1056"/>
      <c r="L2021" s="1056"/>
      <c r="M2021" s="274"/>
      <c r="P2021" s="264"/>
      <c r="Q2021" s="264"/>
      <c r="R2021" s="264"/>
      <c r="S2021" s="264"/>
      <c r="T2021" s="1056"/>
      <c r="U2021" s="1056"/>
      <c r="V2021" s="1056"/>
      <c r="W2021" s="1056"/>
      <c r="X2021" s="1056"/>
      <c r="Y2021" s="1056"/>
      <c r="Z2021" s="1056"/>
      <c r="AA2021" s="1056"/>
      <c r="AB2021" s="1056"/>
      <c r="AC2021" s="1056"/>
      <c r="AD2021" s="1056"/>
      <c r="AE2021" s="1056"/>
      <c r="AF2021" s="264"/>
    </row>
    <row r="2022" spans="1:32" s="268" customFormat="1" ht="15" x14ac:dyDescent="0.25">
      <c r="A2022" s="264"/>
      <c r="B2022" s="264"/>
      <c r="C2022" s="1056"/>
      <c r="D2022" s="1056"/>
      <c r="E2022" s="1056"/>
      <c r="F2022" s="1056"/>
      <c r="G2022" s="1056"/>
      <c r="H2022" s="1056"/>
      <c r="I2022" s="1056"/>
      <c r="J2022" s="1056"/>
      <c r="K2022" s="1056"/>
      <c r="L2022" s="1056"/>
      <c r="M2022" s="274"/>
      <c r="P2022" s="264"/>
      <c r="Q2022" s="264"/>
      <c r="R2022" s="264"/>
      <c r="S2022" s="264"/>
      <c r="T2022" s="1056"/>
      <c r="U2022" s="1056"/>
      <c r="V2022" s="1056"/>
      <c r="W2022" s="1056"/>
      <c r="X2022" s="1056"/>
      <c r="Y2022" s="1056"/>
      <c r="Z2022" s="1056"/>
      <c r="AA2022" s="1056"/>
      <c r="AB2022" s="1056"/>
      <c r="AC2022" s="1056"/>
      <c r="AD2022" s="1056"/>
      <c r="AE2022" s="1056"/>
      <c r="AF2022" s="264"/>
    </row>
    <row r="2023" spans="1:32" s="268" customFormat="1" ht="15" x14ac:dyDescent="0.25">
      <c r="A2023" s="264"/>
      <c r="B2023" s="264"/>
      <c r="C2023" s="1056"/>
      <c r="D2023" s="1056"/>
      <c r="E2023" s="1056"/>
      <c r="F2023" s="1056"/>
      <c r="G2023" s="1056"/>
      <c r="H2023" s="1056"/>
      <c r="I2023" s="1056"/>
      <c r="J2023" s="1056"/>
      <c r="K2023" s="1056"/>
      <c r="L2023" s="1056"/>
      <c r="M2023" s="274"/>
      <c r="P2023" s="264"/>
      <c r="Q2023" s="264"/>
      <c r="R2023" s="264"/>
      <c r="S2023" s="264"/>
      <c r="T2023" s="1056"/>
      <c r="U2023" s="1056"/>
      <c r="V2023" s="1056"/>
      <c r="W2023" s="1056"/>
      <c r="X2023" s="1056"/>
      <c r="Y2023" s="1056"/>
      <c r="Z2023" s="1056"/>
      <c r="AA2023" s="1056"/>
      <c r="AB2023" s="1056"/>
      <c r="AC2023" s="1056"/>
      <c r="AD2023" s="1056"/>
      <c r="AE2023" s="1056"/>
      <c r="AF2023" s="264"/>
    </row>
    <row r="2024" spans="1:32" s="268" customFormat="1" ht="15" x14ac:dyDescent="0.25">
      <c r="A2024" s="264"/>
      <c r="B2024" s="264"/>
      <c r="C2024" s="1056"/>
      <c r="D2024" s="1056"/>
      <c r="E2024" s="1056"/>
      <c r="F2024" s="1056"/>
      <c r="G2024" s="1056"/>
      <c r="H2024" s="1056"/>
      <c r="I2024" s="1056"/>
      <c r="J2024" s="1056"/>
      <c r="K2024" s="1056"/>
      <c r="L2024" s="1056"/>
      <c r="M2024" s="274"/>
      <c r="P2024" s="264"/>
      <c r="Q2024" s="264"/>
      <c r="R2024" s="264"/>
      <c r="S2024" s="264"/>
      <c r="T2024" s="1056"/>
      <c r="U2024" s="1056"/>
      <c r="V2024" s="1056"/>
      <c r="W2024" s="1056"/>
      <c r="X2024" s="1056"/>
      <c r="Y2024" s="1056"/>
      <c r="Z2024" s="1056"/>
      <c r="AA2024" s="1056"/>
      <c r="AB2024" s="1056"/>
      <c r="AC2024" s="1056"/>
      <c r="AD2024" s="1056"/>
      <c r="AE2024" s="1056"/>
      <c r="AF2024" s="264"/>
    </row>
    <row r="2025" spans="1:32" s="268" customFormat="1" ht="15" x14ac:dyDescent="0.25">
      <c r="A2025" s="264"/>
      <c r="B2025" s="264"/>
      <c r="C2025" s="1056"/>
      <c r="D2025" s="1056"/>
      <c r="E2025" s="1056"/>
      <c r="F2025" s="1056"/>
      <c r="G2025" s="1056"/>
      <c r="H2025" s="1056"/>
      <c r="I2025" s="1056"/>
      <c r="J2025" s="1056"/>
      <c r="K2025" s="1056"/>
      <c r="L2025" s="1056"/>
      <c r="M2025" s="274"/>
      <c r="P2025" s="264"/>
      <c r="Q2025" s="264"/>
      <c r="R2025" s="264"/>
      <c r="S2025" s="264"/>
      <c r="T2025" s="1056"/>
      <c r="U2025" s="1056"/>
      <c r="V2025" s="1056"/>
      <c r="W2025" s="1056"/>
      <c r="X2025" s="1056"/>
      <c r="Y2025" s="1056"/>
      <c r="Z2025" s="1056"/>
      <c r="AA2025" s="1056"/>
      <c r="AB2025" s="1056"/>
      <c r="AC2025" s="1056"/>
      <c r="AD2025" s="1056"/>
      <c r="AE2025" s="1056"/>
      <c r="AF2025" s="264"/>
    </row>
    <row r="2026" spans="1:32" s="268" customFormat="1" ht="15" x14ac:dyDescent="0.25">
      <c r="A2026" s="264"/>
      <c r="B2026" s="264"/>
      <c r="C2026" s="1056"/>
      <c r="D2026" s="1056"/>
      <c r="E2026" s="1056"/>
      <c r="F2026" s="1056"/>
      <c r="G2026" s="1056"/>
      <c r="H2026" s="1056"/>
      <c r="I2026" s="1056"/>
      <c r="J2026" s="1056"/>
      <c r="K2026" s="1056"/>
      <c r="L2026" s="1056"/>
      <c r="M2026" s="274"/>
      <c r="P2026" s="264"/>
      <c r="Q2026" s="264"/>
      <c r="R2026" s="264"/>
      <c r="S2026" s="264"/>
      <c r="T2026" s="1056"/>
      <c r="U2026" s="1056"/>
      <c r="V2026" s="1056"/>
      <c r="W2026" s="1056"/>
      <c r="X2026" s="1056"/>
      <c r="Y2026" s="1056"/>
      <c r="Z2026" s="1056"/>
      <c r="AA2026" s="1056"/>
      <c r="AB2026" s="1056"/>
      <c r="AC2026" s="1056"/>
      <c r="AD2026" s="1056"/>
      <c r="AE2026" s="1056"/>
      <c r="AF2026" s="264"/>
    </row>
    <row r="2027" spans="1:32" s="268" customFormat="1" ht="15" x14ac:dyDescent="0.25">
      <c r="A2027" s="264"/>
      <c r="B2027" s="264"/>
      <c r="C2027" s="1056"/>
      <c r="D2027" s="1056"/>
      <c r="E2027" s="1056"/>
      <c r="F2027" s="1056"/>
      <c r="G2027" s="1056"/>
      <c r="H2027" s="1056"/>
      <c r="I2027" s="1056"/>
      <c r="J2027" s="1056"/>
      <c r="K2027" s="1056"/>
      <c r="L2027" s="1056"/>
      <c r="M2027" s="274"/>
      <c r="P2027" s="264"/>
      <c r="Q2027" s="264"/>
      <c r="R2027" s="264"/>
      <c r="S2027" s="264"/>
      <c r="T2027" s="1056"/>
      <c r="U2027" s="1056"/>
      <c r="V2027" s="1056"/>
      <c r="W2027" s="1056"/>
      <c r="X2027" s="1056"/>
      <c r="Y2027" s="1056"/>
      <c r="Z2027" s="1056"/>
      <c r="AA2027" s="1056"/>
      <c r="AB2027" s="1056"/>
      <c r="AC2027" s="1056"/>
      <c r="AD2027" s="1056"/>
      <c r="AE2027" s="1056"/>
      <c r="AF2027" s="264"/>
    </row>
    <row r="2028" spans="1:32" s="268" customFormat="1" ht="15" x14ac:dyDescent="0.25">
      <c r="A2028" s="264"/>
      <c r="B2028" s="264"/>
      <c r="C2028" s="1056"/>
      <c r="D2028" s="1056"/>
      <c r="E2028" s="1056"/>
      <c r="F2028" s="1056"/>
      <c r="G2028" s="1056"/>
      <c r="H2028" s="1056"/>
      <c r="I2028" s="1056"/>
      <c r="J2028" s="1056"/>
      <c r="K2028" s="1056"/>
      <c r="L2028" s="1056"/>
      <c r="M2028" s="274"/>
      <c r="P2028" s="264"/>
      <c r="Q2028" s="264"/>
      <c r="R2028" s="264"/>
      <c r="S2028" s="264"/>
      <c r="T2028" s="1056"/>
      <c r="U2028" s="1056"/>
      <c r="V2028" s="1056"/>
      <c r="W2028" s="1056"/>
      <c r="X2028" s="1056"/>
      <c r="Y2028" s="1056"/>
      <c r="Z2028" s="1056"/>
      <c r="AA2028" s="1056"/>
      <c r="AB2028" s="1056"/>
      <c r="AC2028" s="1056"/>
      <c r="AD2028" s="1056"/>
      <c r="AE2028" s="1056"/>
      <c r="AF2028" s="264"/>
    </row>
    <row r="2029" spans="1:32" s="268" customFormat="1" ht="15" x14ac:dyDescent="0.25">
      <c r="A2029" s="264"/>
      <c r="B2029" s="264"/>
      <c r="C2029" s="1056"/>
      <c r="D2029" s="1056"/>
      <c r="E2029" s="1056"/>
      <c r="F2029" s="1056"/>
      <c r="G2029" s="1056"/>
      <c r="H2029" s="1056"/>
      <c r="I2029" s="1056"/>
      <c r="J2029" s="1056"/>
      <c r="K2029" s="1056"/>
      <c r="L2029" s="1056"/>
      <c r="M2029" s="274"/>
      <c r="P2029" s="264"/>
      <c r="Q2029" s="264"/>
      <c r="R2029" s="264"/>
      <c r="S2029" s="264"/>
      <c r="T2029" s="1056"/>
      <c r="U2029" s="1056"/>
      <c r="V2029" s="1056"/>
      <c r="W2029" s="1056"/>
      <c r="X2029" s="1056"/>
      <c r="Y2029" s="1056"/>
      <c r="Z2029" s="1056"/>
      <c r="AA2029" s="1056"/>
      <c r="AB2029" s="1056"/>
      <c r="AC2029" s="1056"/>
      <c r="AD2029" s="1056"/>
      <c r="AE2029" s="1056"/>
      <c r="AF2029" s="264"/>
    </row>
    <row r="2030" spans="1:32" s="268" customFormat="1" ht="15" x14ac:dyDescent="0.25">
      <c r="A2030" s="264"/>
      <c r="B2030" s="264"/>
      <c r="C2030" s="1056"/>
      <c r="D2030" s="1056"/>
      <c r="E2030" s="1056"/>
      <c r="F2030" s="1056"/>
      <c r="G2030" s="1056"/>
      <c r="H2030" s="1056"/>
      <c r="I2030" s="1056"/>
      <c r="J2030" s="1056"/>
      <c r="K2030" s="1056"/>
      <c r="L2030" s="1056"/>
      <c r="M2030" s="274"/>
      <c r="P2030" s="264"/>
      <c r="Q2030" s="264"/>
      <c r="R2030" s="264"/>
      <c r="S2030" s="264"/>
      <c r="T2030" s="1056"/>
      <c r="U2030" s="1056"/>
      <c r="V2030" s="1056"/>
      <c r="W2030" s="1056"/>
      <c r="X2030" s="1056"/>
      <c r="Y2030" s="1056"/>
      <c r="Z2030" s="1056"/>
      <c r="AA2030" s="1056"/>
      <c r="AB2030" s="1056"/>
      <c r="AC2030" s="1056"/>
      <c r="AD2030" s="1056"/>
      <c r="AE2030" s="1056"/>
      <c r="AF2030" s="264"/>
    </row>
    <row r="2031" spans="1:32" s="268" customFormat="1" ht="15" x14ac:dyDescent="0.25">
      <c r="A2031" s="264"/>
      <c r="B2031" s="264"/>
      <c r="C2031" s="1056"/>
      <c r="D2031" s="1056"/>
      <c r="E2031" s="1056"/>
      <c r="F2031" s="1056"/>
      <c r="G2031" s="1056"/>
      <c r="H2031" s="1056"/>
      <c r="I2031" s="1056"/>
      <c r="J2031" s="1056"/>
      <c r="K2031" s="1056"/>
      <c r="L2031" s="1056"/>
      <c r="M2031" s="274"/>
      <c r="P2031" s="264"/>
      <c r="Q2031" s="264"/>
      <c r="R2031" s="264"/>
      <c r="S2031" s="264"/>
      <c r="T2031" s="1056"/>
      <c r="U2031" s="1056"/>
      <c r="V2031" s="1056"/>
      <c r="W2031" s="1056"/>
      <c r="X2031" s="1056"/>
      <c r="Y2031" s="1056"/>
      <c r="Z2031" s="1056"/>
      <c r="AA2031" s="1056"/>
      <c r="AB2031" s="1056"/>
      <c r="AC2031" s="1056"/>
      <c r="AD2031" s="1056"/>
      <c r="AE2031" s="1056"/>
      <c r="AF2031" s="264"/>
    </row>
    <row r="2032" spans="1:32" s="268" customFormat="1" ht="15" x14ac:dyDescent="0.25">
      <c r="A2032" s="264"/>
      <c r="B2032" s="264"/>
      <c r="C2032" s="1056"/>
      <c r="D2032" s="1056"/>
      <c r="E2032" s="1056"/>
      <c r="F2032" s="1056"/>
      <c r="G2032" s="1056"/>
      <c r="H2032" s="1056"/>
      <c r="I2032" s="1056"/>
      <c r="J2032" s="1056"/>
      <c r="K2032" s="1056"/>
      <c r="L2032" s="1056"/>
      <c r="M2032" s="274"/>
      <c r="P2032" s="264"/>
      <c r="Q2032" s="264"/>
      <c r="R2032" s="264"/>
      <c r="S2032" s="264"/>
      <c r="T2032" s="1056"/>
      <c r="U2032" s="1056"/>
      <c r="V2032" s="1056"/>
      <c r="W2032" s="1056"/>
      <c r="X2032" s="1056"/>
      <c r="Y2032" s="1056"/>
      <c r="Z2032" s="1056"/>
      <c r="AA2032" s="1056"/>
      <c r="AB2032" s="1056"/>
      <c r="AC2032" s="1056"/>
      <c r="AD2032" s="1056"/>
      <c r="AE2032" s="1056"/>
      <c r="AF2032" s="264"/>
    </row>
    <row r="2033" spans="1:32" s="268" customFormat="1" ht="15" x14ac:dyDescent="0.25">
      <c r="A2033" s="264"/>
      <c r="B2033" s="264"/>
      <c r="C2033" s="1056"/>
      <c r="D2033" s="1056"/>
      <c r="E2033" s="1056"/>
      <c r="F2033" s="1056"/>
      <c r="G2033" s="1056"/>
      <c r="H2033" s="1056"/>
      <c r="I2033" s="1056"/>
      <c r="J2033" s="1056"/>
      <c r="K2033" s="1056"/>
      <c r="L2033" s="1056"/>
      <c r="M2033" s="274"/>
      <c r="P2033" s="264"/>
      <c r="Q2033" s="264"/>
      <c r="R2033" s="264"/>
      <c r="S2033" s="264"/>
      <c r="T2033" s="1056"/>
      <c r="U2033" s="1056"/>
      <c r="V2033" s="1056"/>
      <c r="W2033" s="1056"/>
      <c r="X2033" s="1056"/>
      <c r="Y2033" s="1056"/>
      <c r="Z2033" s="1056"/>
      <c r="AA2033" s="1056"/>
      <c r="AB2033" s="1056"/>
      <c r="AC2033" s="1056"/>
      <c r="AD2033" s="1056"/>
      <c r="AE2033" s="1056"/>
      <c r="AF2033" s="264"/>
    </row>
    <row r="2034" spans="1:32" s="268" customFormat="1" ht="15" x14ac:dyDescent="0.25">
      <c r="A2034" s="264"/>
      <c r="B2034" s="264"/>
      <c r="C2034" s="1056"/>
      <c r="D2034" s="1056"/>
      <c r="E2034" s="1056"/>
      <c r="F2034" s="1056"/>
      <c r="G2034" s="1056"/>
      <c r="H2034" s="1056"/>
      <c r="I2034" s="1056"/>
      <c r="J2034" s="1056"/>
      <c r="K2034" s="1056"/>
      <c r="L2034" s="1056"/>
      <c r="M2034" s="274"/>
      <c r="P2034" s="264"/>
      <c r="Q2034" s="264"/>
      <c r="R2034" s="264"/>
      <c r="S2034" s="264"/>
      <c r="T2034" s="1056"/>
      <c r="U2034" s="1056"/>
      <c r="V2034" s="1056"/>
      <c r="W2034" s="1056"/>
      <c r="X2034" s="1056"/>
      <c r="Y2034" s="1056"/>
      <c r="Z2034" s="1056"/>
      <c r="AA2034" s="1056"/>
      <c r="AB2034" s="1056"/>
      <c r="AC2034" s="1056"/>
      <c r="AD2034" s="1056"/>
      <c r="AE2034" s="1056"/>
      <c r="AF2034" s="264"/>
    </row>
    <row r="2035" spans="1:32" s="268" customFormat="1" ht="15" x14ac:dyDescent="0.25">
      <c r="A2035" s="264"/>
      <c r="B2035" s="264"/>
      <c r="C2035" s="1056"/>
      <c r="D2035" s="1056"/>
      <c r="E2035" s="1056"/>
      <c r="F2035" s="1056"/>
      <c r="G2035" s="1056"/>
      <c r="H2035" s="1056"/>
      <c r="I2035" s="1056"/>
      <c r="J2035" s="1056"/>
      <c r="K2035" s="1056"/>
      <c r="L2035" s="1056"/>
      <c r="M2035" s="274"/>
      <c r="P2035" s="264"/>
      <c r="Q2035" s="264"/>
      <c r="R2035" s="264"/>
      <c r="S2035" s="264"/>
      <c r="T2035" s="1056"/>
      <c r="U2035" s="1056"/>
      <c r="V2035" s="1056"/>
      <c r="W2035" s="1056"/>
      <c r="X2035" s="1056"/>
      <c r="Y2035" s="1056"/>
      <c r="Z2035" s="1056"/>
      <c r="AA2035" s="1056"/>
      <c r="AB2035" s="1056"/>
      <c r="AC2035" s="1056"/>
      <c r="AD2035" s="1056"/>
      <c r="AE2035" s="1056"/>
      <c r="AF2035" s="264"/>
    </row>
    <row r="2036" spans="1:32" s="268" customFormat="1" ht="15" x14ac:dyDescent="0.25">
      <c r="A2036" s="264"/>
      <c r="B2036" s="264"/>
      <c r="C2036" s="1056"/>
      <c r="D2036" s="1056"/>
      <c r="E2036" s="1056"/>
      <c r="F2036" s="1056"/>
      <c r="G2036" s="1056"/>
      <c r="H2036" s="1056"/>
      <c r="I2036" s="1056"/>
      <c r="J2036" s="1056"/>
      <c r="K2036" s="1056"/>
      <c r="L2036" s="1056"/>
      <c r="M2036" s="274"/>
      <c r="P2036" s="264"/>
      <c r="Q2036" s="264"/>
      <c r="R2036" s="264"/>
      <c r="S2036" s="264"/>
      <c r="T2036" s="1056"/>
      <c r="U2036" s="1056"/>
      <c r="V2036" s="1056"/>
      <c r="W2036" s="1056"/>
      <c r="X2036" s="1056"/>
      <c r="Y2036" s="1056"/>
      <c r="Z2036" s="1056"/>
      <c r="AA2036" s="1056"/>
      <c r="AB2036" s="1056"/>
      <c r="AC2036" s="1056"/>
      <c r="AD2036" s="1056"/>
      <c r="AE2036" s="1056"/>
      <c r="AF2036" s="264"/>
    </row>
    <row r="2037" spans="1:32" s="268" customFormat="1" ht="15" x14ac:dyDescent="0.25">
      <c r="A2037" s="264"/>
      <c r="B2037" s="264"/>
      <c r="C2037" s="1056"/>
      <c r="D2037" s="1056"/>
      <c r="E2037" s="1056"/>
      <c r="F2037" s="1056"/>
      <c r="G2037" s="1056"/>
      <c r="H2037" s="1056"/>
      <c r="I2037" s="1056"/>
      <c r="J2037" s="1056"/>
      <c r="K2037" s="1056"/>
      <c r="L2037" s="1056"/>
      <c r="M2037" s="274"/>
      <c r="P2037" s="264"/>
      <c r="Q2037" s="264"/>
      <c r="R2037" s="264"/>
      <c r="S2037" s="264"/>
      <c r="T2037" s="1056"/>
      <c r="U2037" s="1056"/>
      <c r="V2037" s="1056"/>
      <c r="W2037" s="1056"/>
      <c r="X2037" s="1056"/>
      <c r="Y2037" s="1056"/>
      <c r="Z2037" s="1056"/>
      <c r="AA2037" s="1056"/>
      <c r="AB2037" s="1056"/>
      <c r="AC2037" s="1056"/>
      <c r="AD2037" s="1056"/>
      <c r="AE2037" s="1056"/>
      <c r="AF2037" s="264"/>
    </row>
    <row r="2038" spans="1:32" s="268" customFormat="1" ht="15" x14ac:dyDescent="0.25">
      <c r="A2038" s="264"/>
      <c r="B2038" s="264"/>
      <c r="C2038" s="1056"/>
      <c r="D2038" s="1056"/>
      <c r="E2038" s="1056"/>
      <c r="F2038" s="1056"/>
      <c r="G2038" s="1056"/>
      <c r="H2038" s="1056"/>
      <c r="I2038" s="1056"/>
      <c r="J2038" s="1056"/>
      <c r="K2038" s="1056"/>
      <c r="L2038" s="1056"/>
      <c r="M2038" s="274"/>
      <c r="P2038" s="264"/>
      <c r="Q2038" s="264"/>
      <c r="R2038" s="264"/>
      <c r="S2038" s="264"/>
      <c r="T2038" s="1056"/>
      <c r="U2038" s="1056"/>
      <c r="V2038" s="1056"/>
      <c r="W2038" s="1056"/>
      <c r="X2038" s="1056"/>
      <c r="Y2038" s="1056"/>
      <c r="Z2038" s="1056"/>
      <c r="AA2038" s="1056"/>
      <c r="AB2038" s="1056"/>
      <c r="AC2038" s="1056"/>
      <c r="AD2038" s="1056"/>
      <c r="AE2038" s="1056"/>
      <c r="AF2038" s="264"/>
    </row>
    <row r="2039" spans="1:32" s="268" customFormat="1" ht="15" x14ac:dyDescent="0.25">
      <c r="A2039" s="264"/>
      <c r="B2039" s="264"/>
      <c r="C2039" s="1056"/>
      <c r="D2039" s="1056"/>
      <c r="E2039" s="1056"/>
      <c r="F2039" s="1056"/>
      <c r="G2039" s="1056"/>
      <c r="H2039" s="1056"/>
      <c r="I2039" s="1056"/>
      <c r="J2039" s="1056"/>
      <c r="K2039" s="1056"/>
      <c r="L2039" s="1056"/>
      <c r="M2039" s="274"/>
      <c r="P2039" s="264"/>
      <c r="Q2039" s="264"/>
      <c r="R2039" s="264"/>
      <c r="S2039" s="264"/>
      <c r="T2039" s="1056"/>
      <c r="U2039" s="1056"/>
      <c r="V2039" s="1056"/>
      <c r="W2039" s="1056"/>
      <c r="X2039" s="1056"/>
      <c r="Y2039" s="1056"/>
      <c r="Z2039" s="1056"/>
      <c r="AA2039" s="1056"/>
      <c r="AB2039" s="1056"/>
      <c r="AC2039" s="1056"/>
      <c r="AD2039" s="1056"/>
      <c r="AE2039" s="1056"/>
      <c r="AF2039" s="264"/>
    </row>
    <row r="2040" spans="1:32" s="268" customFormat="1" ht="15" x14ac:dyDescent="0.25">
      <c r="A2040" s="264"/>
      <c r="B2040" s="264"/>
      <c r="C2040" s="1056"/>
      <c r="D2040" s="1056"/>
      <c r="E2040" s="1056"/>
      <c r="F2040" s="1056"/>
      <c r="G2040" s="1056"/>
      <c r="H2040" s="1056"/>
      <c r="I2040" s="1056"/>
      <c r="J2040" s="1056"/>
      <c r="K2040" s="1056"/>
      <c r="L2040" s="1056"/>
      <c r="M2040" s="274"/>
      <c r="P2040" s="264"/>
      <c r="Q2040" s="264"/>
      <c r="R2040" s="264"/>
      <c r="S2040" s="264"/>
      <c r="T2040" s="1056"/>
      <c r="U2040" s="1056"/>
      <c r="V2040" s="1056"/>
      <c r="W2040" s="1056"/>
      <c r="X2040" s="1056"/>
      <c r="Y2040" s="1056"/>
      <c r="Z2040" s="1056"/>
      <c r="AA2040" s="1056"/>
      <c r="AB2040" s="1056"/>
      <c r="AC2040" s="1056"/>
      <c r="AD2040" s="1056"/>
      <c r="AE2040" s="1056"/>
      <c r="AF2040" s="264"/>
    </row>
    <row r="2041" spans="1:32" s="268" customFormat="1" ht="15" x14ac:dyDescent="0.25">
      <c r="A2041" s="264"/>
      <c r="B2041" s="264"/>
      <c r="C2041" s="1056"/>
      <c r="D2041" s="1056"/>
      <c r="E2041" s="1056"/>
      <c r="F2041" s="1056"/>
      <c r="G2041" s="1056"/>
      <c r="H2041" s="1056"/>
      <c r="I2041" s="1056"/>
      <c r="J2041" s="1056"/>
      <c r="K2041" s="1056"/>
      <c r="L2041" s="1056"/>
      <c r="M2041" s="274"/>
      <c r="P2041" s="264"/>
      <c r="Q2041" s="264"/>
      <c r="R2041" s="264"/>
      <c r="S2041" s="264"/>
      <c r="T2041" s="1056"/>
      <c r="U2041" s="1056"/>
      <c r="V2041" s="1056"/>
      <c r="W2041" s="1056"/>
      <c r="X2041" s="1056"/>
      <c r="Y2041" s="1056"/>
      <c r="Z2041" s="1056"/>
      <c r="AA2041" s="1056"/>
      <c r="AB2041" s="1056"/>
      <c r="AC2041" s="1056"/>
      <c r="AD2041" s="1056"/>
      <c r="AE2041" s="1056"/>
      <c r="AF2041" s="264"/>
    </row>
    <row r="2042" spans="1:32" s="268" customFormat="1" ht="15" x14ac:dyDescent="0.25">
      <c r="A2042" s="264"/>
      <c r="B2042" s="264"/>
      <c r="C2042" s="1056"/>
      <c r="D2042" s="1056"/>
      <c r="E2042" s="1056"/>
      <c r="F2042" s="1056"/>
      <c r="G2042" s="1056"/>
      <c r="H2042" s="1056"/>
      <c r="I2042" s="1056"/>
      <c r="J2042" s="1056"/>
      <c r="K2042" s="1056"/>
      <c r="L2042" s="1056"/>
      <c r="M2042" s="274"/>
      <c r="P2042" s="264"/>
      <c r="Q2042" s="264"/>
      <c r="R2042" s="264"/>
      <c r="S2042" s="264"/>
      <c r="T2042" s="1056"/>
      <c r="U2042" s="1056"/>
      <c r="V2042" s="1056"/>
      <c r="W2042" s="1056"/>
      <c r="X2042" s="1056"/>
      <c r="Y2042" s="1056"/>
      <c r="Z2042" s="1056"/>
      <c r="AA2042" s="1056"/>
      <c r="AB2042" s="1056"/>
      <c r="AC2042" s="1056"/>
      <c r="AD2042" s="1056"/>
      <c r="AE2042" s="1056"/>
      <c r="AF2042" s="264"/>
    </row>
    <row r="2043" spans="1:32" s="268" customFormat="1" ht="15" x14ac:dyDescent="0.25">
      <c r="A2043" s="264"/>
      <c r="B2043" s="264"/>
      <c r="C2043" s="1056"/>
      <c r="D2043" s="1056"/>
      <c r="E2043" s="1056"/>
      <c r="F2043" s="1056"/>
      <c r="G2043" s="1056"/>
      <c r="H2043" s="1056"/>
      <c r="I2043" s="1056"/>
      <c r="J2043" s="1056"/>
      <c r="K2043" s="1056"/>
      <c r="L2043" s="1056"/>
      <c r="M2043" s="274"/>
      <c r="P2043" s="264"/>
      <c r="Q2043" s="264"/>
      <c r="R2043" s="264"/>
      <c r="S2043" s="264"/>
      <c r="T2043" s="1056"/>
      <c r="U2043" s="1056"/>
      <c r="V2043" s="1056"/>
      <c r="W2043" s="1056"/>
      <c r="X2043" s="1056"/>
      <c r="Y2043" s="1056"/>
      <c r="Z2043" s="1056"/>
      <c r="AA2043" s="1056"/>
      <c r="AB2043" s="1056"/>
      <c r="AC2043" s="1056"/>
      <c r="AD2043" s="1056"/>
      <c r="AE2043" s="1056"/>
      <c r="AF2043" s="264"/>
    </row>
    <row r="2044" spans="1:32" s="268" customFormat="1" ht="15" x14ac:dyDescent="0.25">
      <c r="A2044" s="264"/>
      <c r="B2044" s="264"/>
      <c r="C2044" s="1056"/>
      <c r="D2044" s="1056"/>
      <c r="E2044" s="1056"/>
      <c r="F2044" s="1056"/>
      <c r="G2044" s="1056"/>
      <c r="H2044" s="1056"/>
      <c r="I2044" s="1056"/>
      <c r="J2044" s="1056"/>
      <c r="K2044" s="1056"/>
      <c r="L2044" s="1056"/>
      <c r="M2044" s="274"/>
      <c r="P2044" s="264"/>
      <c r="Q2044" s="264"/>
      <c r="R2044" s="264"/>
      <c r="S2044" s="264"/>
      <c r="T2044" s="1056"/>
      <c r="U2044" s="1056"/>
      <c r="V2044" s="1056"/>
      <c r="W2044" s="1056"/>
      <c r="X2044" s="1056"/>
      <c r="Y2044" s="1056"/>
      <c r="Z2044" s="1056"/>
      <c r="AA2044" s="1056"/>
      <c r="AB2044" s="1056"/>
      <c r="AC2044" s="1056"/>
      <c r="AD2044" s="1056"/>
      <c r="AE2044" s="1056"/>
      <c r="AF2044" s="264"/>
    </row>
    <row r="2045" spans="1:32" s="268" customFormat="1" ht="15" x14ac:dyDescent="0.25">
      <c r="A2045" s="264"/>
      <c r="B2045" s="264"/>
      <c r="C2045" s="1056"/>
      <c r="D2045" s="1056"/>
      <c r="E2045" s="1056"/>
      <c r="F2045" s="1056"/>
      <c r="G2045" s="1056"/>
      <c r="H2045" s="1056"/>
      <c r="I2045" s="1056"/>
      <c r="J2045" s="1056"/>
      <c r="K2045" s="1056"/>
      <c r="L2045" s="1056"/>
      <c r="M2045" s="274"/>
      <c r="P2045" s="264"/>
      <c r="Q2045" s="264"/>
      <c r="R2045" s="264"/>
      <c r="S2045" s="264"/>
      <c r="T2045" s="1056"/>
      <c r="U2045" s="1056"/>
      <c r="V2045" s="1056"/>
      <c r="W2045" s="1056"/>
      <c r="X2045" s="1056"/>
      <c r="Y2045" s="1056"/>
      <c r="Z2045" s="1056"/>
      <c r="AA2045" s="1056"/>
      <c r="AB2045" s="1056"/>
      <c r="AC2045" s="1056"/>
      <c r="AD2045" s="1056"/>
      <c r="AE2045" s="1056"/>
      <c r="AF2045" s="264"/>
    </row>
    <row r="2046" spans="1:32" s="268" customFormat="1" ht="15" x14ac:dyDescent="0.25">
      <c r="A2046" s="264"/>
      <c r="B2046" s="264"/>
      <c r="C2046" s="1056"/>
      <c r="D2046" s="1056"/>
      <c r="E2046" s="1056"/>
      <c r="F2046" s="1056"/>
      <c r="G2046" s="1056"/>
      <c r="H2046" s="1056"/>
      <c r="I2046" s="1056"/>
      <c r="J2046" s="1056"/>
      <c r="K2046" s="1056"/>
      <c r="L2046" s="1056"/>
      <c r="M2046" s="274"/>
      <c r="P2046" s="264"/>
      <c r="Q2046" s="264"/>
      <c r="R2046" s="264"/>
      <c r="S2046" s="264"/>
      <c r="T2046" s="1056"/>
      <c r="U2046" s="1056"/>
      <c r="V2046" s="1056"/>
      <c r="W2046" s="1056"/>
      <c r="X2046" s="1056"/>
      <c r="Y2046" s="1056"/>
      <c r="Z2046" s="1056"/>
      <c r="AA2046" s="1056"/>
      <c r="AB2046" s="1056"/>
      <c r="AC2046" s="1056"/>
      <c r="AD2046" s="1056"/>
      <c r="AE2046" s="1056"/>
      <c r="AF2046" s="264"/>
    </row>
    <row r="2047" spans="1:32" s="268" customFormat="1" ht="15" x14ac:dyDescent="0.25">
      <c r="A2047" s="264"/>
      <c r="B2047" s="264"/>
      <c r="C2047" s="1056"/>
      <c r="D2047" s="1056"/>
      <c r="E2047" s="1056"/>
      <c r="F2047" s="1056"/>
      <c r="G2047" s="1056"/>
      <c r="H2047" s="1056"/>
      <c r="I2047" s="1056"/>
      <c r="J2047" s="1056"/>
      <c r="K2047" s="1056"/>
      <c r="L2047" s="1056"/>
      <c r="M2047" s="274"/>
      <c r="P2047" s="264"/>
      <c r="Q2047" s="264"/>
      <c r="R2047" s="264"/>
      <c r="S2047" s="264"/>
      <c r="T2047" s="1056"/>
      <c r="U2047" s="1056"/>
      <c r="V2047" s="1056"/>
      <c r="W2047" s="1056"/>
      <c r="X2047" s="1056"/>
      <c r="Y2047" s="1056"/>
      <c r="Z2047" s="1056"/>
      <c r="AA2047" s="1056"/>
      <c r="AB2047" s="1056"/>
      <c r="AC2047" s="1056"/>
      <c r="AD2047" s="1056"/>
      <c r="AE2047" s="1056"/>
      <c r="AF2047" s="264"/>
    </row>
    <row r="2048" spans="1:32" s="268" customFormat="1" ht="15" x14ac:dyDescent="0.25">
      <c r="A2048" s="264"/>
      <c r="B2048" s="264"/>
      <c r="C2048" s="1056"/>
      <c r="D2048" s="1056"/>
      <c r="E2048" s="1056"/>
      <c r="F2048" s="1056"/>
      <c r="G2048" s="1056"/>
      <c r="H2048" s="1056"/>
      <c r="I2048" s="1056"/>
      <c r="J2048" s="1056"/>
      <c r="K2048" s="1056"/>
      <c r="L2048" s="1056"/>
      <c r="M2048" s="274"/>
      <c r="P2048" s="264"/>
      <c r="Q2048" s="264"/>
      <c r="R2048" s="264"/>
      <c r="S2048" s="264"/>
      <c r="T2048" s="1056"/>
      <c r="U2048" s="1056"/>
      <c r="V2048" s="1056"/>
      <c r="W2048" s="1056"/>
      <c r="X2048" s="1056"/>
      <c r="Y2048" s="1056"/>
      <c r="Z2048" s="1056"/>
      <c r="AA2048" s="1056"/>
      <c r="AB2048" s="1056"/>
      <c r="AC2048" s="1056"/>
      <c r="AD2048" s="1056"/>
      <c r="AE2048" s="1056"/>
      <c r="AF2048" s="264"/>
    </row>
    <row r="2049" spans="1:32" s="268" customFormat="1" ht="15" x14ac:dyDescent="0.25">
      <c r="A2049" s="264"/>
      <c r="B2049" s="264"/>
      <c r="C2049" s="1056"/>
      <c r="D2049" s="1056"/>
      <c r="E2049" s="1056"/>
      <c r="F2049" s="1056"/>
      <c r="G2049" s="1056"/>
      <c r="H2049" s="1056"/>
      <c r="I2049" s="1056"/>
      <c r="J2049" s="1056"/>
      <c r="K2049" s="1056"/>
      <c r="L2049" s="1056"/>
      <c r="M2049" s="274"/>
      <c r="P2049" s="264"/>
      <c r="Q2049" s="264"/>
      <c r="R2049" s="264"/>
      <c r="S2049" s="264"/>
      <c r="T2049" s="1056"/>
      <c r="U2049" s="1056"/>
      <c r="V2049" s="1056"/>
      <c r="W2049" s="1056"/>
      <c r="X2049" s="1056"/>
      <c r="Y2049" s="1056"/>
      <c r="Z2049" s="1056"/>
      <c r="AA2049" s="1056"/>
      <c r="AB2049" s="1056"/>
      <c r="AC2049" s="1056"/>
      <c r="AD2049" s="1056"/>
      <c r="AE2049" s="1056"/>
      <c r="AF2049" s="264"/>
    </row>
    <row r="2050" spans="1:32" s="268" customFormat="1" ht="15" x14ac:dyDescent="0.25">
      <c r="A2050" s="264"/>
      <c r="B2050" s="264"/>
      <c r="C2050" s="1056"/>
      <c r="D2050" s="1056"/>
      <c r="E2050" s="1056"/>
      <c r="F2050" s="1056"/>
      <c r="G2050" s="1056"/>
      <c r="H2050" s="1056"/>
      <c r="I2050" s="1056"/>
      <c r="J2050" s="1056"/>
      <c r="K2050" s="1056"/>
      <c r="L2050" s="1056"/>
      <c r="M2050" s="274"/>
      <c r="P2050" s="264"/>
      <c r="Q2050" s="264"/>
      <c r="R2050" s="264"/>
      <c r="S2050" s="264"/>
      <c r="T2050" s="1056"/>
      <c r="U2050" s="1056"/>
      <c r="V2050" s="1056"/>
      <c r="W2050" s="1056"/>
      <c r="X2050" s="1056"/>
      <c r="Y2050" s="1056"/>
      <c r="Z2050" s="1056"/>
      <c r="AA2050" s="1056"/>
      <c r="AB2050" s="1056"/>
      <c r="AC2050" s="1056"/>
      <c r="AD2050" s="1056"/>
      <c r="AE2050" s="1056"/>
      <c r="AF2050" s="264"/>
    </row>
    <row r="2051" spans="1:32" s="268" customFormat="1" ht="15" x14ac:dyDescent="0.25">
      <c r="A2051" s="264"/>
      <c r="B2051" s="264"/>
      <c r="C2051" s="1056"/>
      <c r="D2051" s="1056"/>
      <c r="E2051" s="1056"/>
      <c r="F2051" s="1056"/>
      <c r="G2051" s="1056"/>
      <c r="H2051" s="1056"/>
      <c r="I2051" s="1056"/>
      <c r="J2051" s="1056"/>
      <c r="K2051" s="1056"/>
      <c r="L2051" s="1056"/>
      <c r="M2051" s="274"/>
      <c r="P2051" s="264"/>
      <c r="Q2051" s="264"/>
      <c r="R2051" s="264"/>
      <c r="S2051" s="264"/>
      <c r="T2051" s="1056"/>
      <c r="U2051" s="1056"/>
      <c r="V2051" s="1056"/>
      <c r="W2051" s="1056"/>
      <c r="X2051" s="1056"/>
      <c r="Y2051" s="1056"/>
      <c r="Z2051" s="1056"/>
      <c r="AA2051" s="1056"/>
      <c r="AB2051" s="1056"/>
      <c r="AC2051" s="1056"/>
      <c r="AD2051" s="1056"/>
      <c r="AE2051" s="1056"/>
      <c r="AF2051" s="264"/>
    </row>
    <row r="2052" spans="1:32" s="268" customFormat="1" ht="15" x14ac:dyDescent="0.25">
      <c r="A2052" s="264"/>
      <c r="B2052" s="264"/>
      <c r="C2052" s="1056"/>
      <c r="D2052" s="1056"/>
      <c r="E2052" s="1056"/>
      <c r="F2052" s="1056"/>
      <c r="G2052" s="1056"/>
      <c r="H2052" s="1056"/>
      <c r="I2052" s="1056"/>
      <c r="J2052" s="1056"/>
      <c r="K2052" s="1056"/>
      <c r="L2052" s="1056"/>
      <c r="M2052" s="274"/>
      <c r="P2052" s="264"/>
      <c r="Q2052" s="264"/>
      <c r="R2052" s="264"/>
      <c r="S2052" s="264"/>
      <c r="T2052" s="1056"/>
      <c r="U2052" s="1056"/>
      <c r="V2052" s="1056"/>
      <c r="W2052" s="1056"/>
      <c r="X2052" s="1056"/>
      <c r="Y2052" s="1056"/>
      <c r="Z2052" s="1056"/>
      <c r="AA2052" s="1056"/>
      <c r="AB2052" s="1056"/>
      <c r="AC2052" s="1056"/>
      <c r="AD2052" s="1056"/>
      <c r="AE2052" s="1056"/>
      <c r="AF2052" s="264"/>
    </row>
    <row r="2053" spans="1:32" s="268" customFormat="1" ht="15" x14ac:dyDescent="0.25">
      <c r="A2053" s="264"/>
      <c r="B2053" s="264"/>
      <c r="C2053" s="1056"/>
      <c r="D2053" s="1056"/>
      <c r="E2053" s="1056"/>
      <c r="F2053" s="1056"/>
      <c r="G2053" s="1056"/>
      <c r="H2053" s="1056"/>
      <c r="I2053" s="1056"/>
      <c r="J2053" s="1056"/>
      <c r="K2053" s="1056"/>
      <c r="L2053" s="1056"/>
      <c r="M2053" s="274"/>
      <c r="P2053" s="264"/>
      <c r="Q2053" s="264"/>
      <c r="R2053" s="264"/>
      <c r="S2053" s="264"/>
      <c r="T2053" s="1056"/>
      <c r="U2053" s="1056"/>
      <c r="V2053" s="1056"/>
      <c r="W2053" s="1056"/>
      <c r="X2053" s="1056"/>
      <c r="Y2053" s="1056"/>
      <c r="Z2053" s="1056"/>
      <c r="AA2053" s="1056"/>
      <c r="AB2053" s="1056"/>
      <c r="AC2053" s="1056"/>
      <c r="AD2053" s="1056"/>
      <c r="AE2053" s="1056"/>
      <c r="AF2053" s="264"/>
    </row>
    <row r="2054" spans="1:32" s="268" customFormat="1" ht="15" x14ac:dyDescent="0.25">
      <c r="A2054" s="264"/>
      <c r="B2054" s="264"/>
      <c r="C2054" s="1056"/>
      <c r="D2054" s="1056"/>
      <c r="E2054" s="1056"/>
      <c r="F2054" s="1056"/>
      <c r="G2054" s="1056"/>
      <c r="H2054" s="1056"/>
      <c r="I2054" s="1056"/>
      <c r="J2054" s="1056"/>
      <c r="K2054" s="1056"/>
      <c r="L2054" s="1056"/>
      <c r="M2054" s="274"/>
      <c r="P2054" s="264"/>
      <c r="Q2054" s="264"/>
      <c r="R2054" s="264"/>
      <c r="S2054" s="264"/>
      <c r="T2054" s="1056"/>
      <c r="U2054" s="1056"/>
      <c r="V2054" s="1056"/>
      <c r="W2054" s="1056"/>
      <c r="X2054" s="1056"/>
      <c r="Y2054" s="1056"/>
      <c r="Z2054" s="1056"/>
      <c r="AA2054" s="1056"/>
      <c r="AB2054" s="1056"/>
      <c r="AC2054" s="1056"/>
      <c r="AD2054" s="1056"/>
      <c r="AE2054" s="1056"/>
      <c r="AF2054" s="264"/>
    </row>
    <row r="2055" spans="1:32" s="268" customFormat="1" ht="15" x14ac:dyDescent="0.25">
      <c r="A2055" s="264"/>
      <c r="B2055" s="264"/>
      <c r="C2055" s="1056"/>
      <c r="D2055" s="1056"/>
      <c r="E2055" s="1056"/>
      <c r="F2055" s="1056"/>
      <c r="G2055" s="1056"/>
      <c r="H2055" s="1056"/>
      <c r="I2055" s="1056"/>
      <c r="J2055" s="1056"/>
      <c r="K2055" s="1056"/>
      <c r="L2055" s="1056"/>
      <c r="M2055" s="274"/>
      <c r="P2055" s="264"/>
      <c r="Q2055" s="264"/>
      <c r="R2055" s="264"/>
      <c r="S2055" s="264"/>
      <c r="T2055" s="1056"/>
      <c r="U2055" s="1056"/>
      <c r="V2055" s="1056"/>
      <c r="W2055" s="1056"/>
      <c r="X2055" s="1056"/>
      <c r="Y2055" s="1056"/>
      <c r="Z2055" s="1056"/>
      <c r="AA2055" s="1056"/>
      <c r="AB2055" s="1056"/>
      <c r="AC2055" s="1056"/>
      <c r="AD2055" s="1056"/>
      <c r="AE2055" s="1056"/>
      <c r="AF2055" s="264"/>
    </row>
    <row r="2056" spans="1:32" s="268" customFormat="1" ht="15" x14ac:dyDescent="0.25">
      <c r="A2056" s="264"/>
      <c r="B2056" s="264"/>
      <c r="C2056" s="1056"/>
      <c r="D2056" s="1056"/>
      <c r="E2056" s="1056"/>
      <c r="F2056" s="1056"/>
      <c r="G2056" s="1056"/>
      <c r="H2056" s="1056"/>
      <c r="I2056" s="1056"/>
      <c r="J2056" s="1056"/>
      <c r="K2056" s="1056"/>
      <c r="L2056" s="1056"/>
      <c r="M2056" s="274"/>
      <c r="P2056" s="264"/>
      <c r="Q2056" s="264"/>
      <c r="R2056" s="264"/>
      <c r="S2056" s="264"/>
      <c r="T2056" s="1056"/>
      <c r="U2056" s="1056"/>
      <c r="V2056" s="1056"/>
      <c r="W2056" s="1056"/>
      <c r="X2056" s="1056"/>
      <c r="Y2056" s="1056"/>
      <c r="Z2056" s="1056"/>
      <c r="AA2056" s="1056"/>
      <c r="AB2056" s="1056"/>
      <c r="AC2056" s="1056"/>
      <c r="AD2056" s="1056"/>
      <c r="AE2056" s="1056"/>
      <c r="AF2056" s="264"/>
    </row>
    <row r="2057" spans="1:32" s="268" customFormat="1" ht="15" x14ac:dyDescent="0.25">
      <c r="A2057" s="264"/>
      <c r="B2057" s="264"/>
      <c r="C2057" s="1056"/>
      <c r="D2057" s="1056"/>
      <c r="E2057" s="1056"/>
      <c r="F2057" s="1056"/>
      <c r="G2057" s="1056"/>
      <c r="H2057" s="1056"/>
      <c r="I2057" s="1056"/>
      <c r="J2057" s="1056"/>
      <c r="K2057" s="1056"/>
      <c r="L2057" s="1056"/>
      <c r="M2057" s="274"/>
      <c r="P2057" s="264"/>
      <c r="Q2057" s="264"/>
      <c r="R2057" s="264"/>
      <c r="S2057" s="264"/>
      <c r="T2057" s="1056"/>
      <c r="U2057" s="1056"/>
      <c r="V2057" s="1056"/>
      <c r="W2057" s="1056"/>
      <c r="X2057" s="1056"/>
      <c r="Y2057" s="1056"/>
      <c r="Z2057" s="1056"/>
      <c r="AA2057" s="1056"/>
      <c r="AB2057" s="1056"/>
      <c r="AC2057" s="1056"/>
      <c r="AD2057" s="1056"/>
      <c r="AE2057" s="1056"/>
      <c r="AF2057" s="264"/>
    </row>
    <row r="2058" spans="1:32" s="268" customFormat="1" ht="15" x14ac:dyDescent="0.25">
      <c r="A2058" s="264"/>
      <c r="B2058" s="264"/>
      <c r="C2058" s="1056"/>
      <c r="D2058" s="1056"/>
      <c r="E2058" s="1056"/>
      <c r="F2058" s="1056"/>
      <c r="G2058" s="1056"/>
      <c r="H2058" s="1056"/>
      <c r="I2058" s="1056"/>
      <c r="J2058" s="1056"/>
      <c r="K2058" s="1056"/>
      <c r="L2058" s="1056"/>
      <c r="M2058" s="274"/>
      <c r="P2058" s="264"/>
      <c r="Q2058" s="264"/>
      <c r="R2058" s="264"/>
      <c r="S2058" s="264"/>
      <c r="T2058" s="1056"/>
      <c r="U2058" s="1056"/>
      <c r="V2058" s="1056"/>
      <c r="W2058" s="1056"/>
      <c r="X2058" s="1056"/>
      <c r="Y2058" s="1056"/>
      <c r="Z2058" s="1056"/>
      <c r="AA2058" s="1056"/>
      <c r="AB2058" s="1056"/>
      <c r="AC2058" s="1056"/>
      <c r="AD2058" s="1056"/>
      <c r="AE2058" s="1056"/>
      <c r="AF2058" s="264"/>
    </row>
    <row r="2059" spans="1:32" s="268" customFormat="1" ht="15" x14ac:dyDescent="0.25">
      <c r="A2059" s="264"/>
      <c r="B2059" s="264"/>
      <c r="C2059" s="1056"/>
      <c r="D2059" s="1056"/>
      <c r="E2059" s="1056"/>
      <c r="F2059" s="1056"/>
      <c r="G2059" s="1056"/>
      <c r="H2059" s="1056"/>
      <c r="I2059" s="1056"/>
      <c r="J2059" s="1056"/>
      <c r="K2059" s="1056"/>
      <c r="L2059" s="1056"/>
      <c r="M2059" s="274"/>
      <c r="P2059" s="264"/>
      <c r="Q2059" s="264"/>
      <c r="R2059" s="264"/>
      <c r="S2059" s="264"/>
      <c r="T2059" s="1056"/>
      <c r="U2059" s="1056"/>
      <c r="V2059" s="1056"/>
      <c r="W2059" s="1056"/>
      <c r="X2059" s="1056"/>
      <c r="Y2059" s="1056"/>
      <c r="Z2059" s="1056"/>
      <c r="AA2059" s="1056"/>
      <c r="AB2059" s="1056"/>
      <c r="AC2059" s="1056"/>
      <c r="AD2059" s="1056"/>
      <c r="AE2059" s="1056"/>
      <c r="AF2059" s="264"/>
    </row>
    <row r="2060" spans="1:32" s="268" customFormat="1" ht="15" x14ac:dyDescent="0.25">
      <c r="A2060" s="264"/>
      <c r="B2060" s="264"/>
      <c r="C2060" s="1056"/>
      <c r="D2060" s="1056"/>
      <c r="E2060" s="1056"/>
      <c r="F2060" s="1056"/>
      <c r="G2060" s="1056"/>
      <c r="H2060" s="1056"/>
      <c r="I2060" s="1056"/>
      <c r="J2060" s="1056"/>
      <c r="K2060" s="1056"/>
      <c r="L2060" s="1056"/>
      <c r="M2060" s="274"/>
      <c r="P2060" s="264"/>
      <c r="Q2060" s="264"/>
      <c r="R2060" s="264"/>
      <c r="S2060" s="264"/>
      <c r="T2060" s="1056"/>
      <c r="U2060" s="1056"/>
      <c r="V2060" s="1056"/>
      <c r="W2060" s="1056"/>
      <c r="X2060" s="1056"/>
      <c r="Y2060" s="1056"/>
      <c r="Z2060" s="1056"/>
      <c r="AA2060" s="1056"/>
      <c r="AB2060" s="1056"/>
      <c r="AC2060" s="1056"/>
      <c r="AD2060" s="1056"/>
      <c r="AE2060" s="1056"/>
      <c r="AF2060" s="264"/>
    </row>
    <row r="2061" spans="1:32" s="268" customFormat="1" ht="15" x14ac:dyDescent="0.25">
      <c r="A2061" s="264"/>
      <c r="B2061" s="264"/>
      <c r="C2061" s="1056"/>
      <c r="D2061" s="1056"/>
      <c r="E2061" s="1056"/>
      <c r="F2061" s="1056"/>
      <c r="G2061" s="1056"/>
      <c r="H2061" s="1056"/>
      <c r="I2061" s="1056"/>
      <c r="J2061" s="1056"/>
      <c r="K2061" s="1056"/>
      <c r="L2061" s="1056"/>
      <c r="M2061" s="274"/>
      <c r="P2061" s="264"/>
      <c r="Q2061" s="264"/>
      <c r="R2061" s="264"/>
      <c r="S2061" s="264"/>
      <c r="T2061" s="1056"/>
      <c r="U2061" s="1056"/>
      <c r="V2061" s="1056"/>
      <c r="W2061" s="1056"/>
      <c r="X2061" s="1056"/>
      <c r="Y2061" s="1056"/>
      <c r="Z2061" s="1056"/>
      <c r="AA2061" s="1056"/>
      <c r="AB2061" s="1056"/>
      <c r="AC2061" s="1056"/>
      <c r="AD2061" s="1056"/>
      <c r="AE2061" s="1056"/>
      <c r="AF2061" s="264"/>
    </row>
    <row r="2062" spans="1:32" s="268" customFormat="1" ht="15" x14ac:dyDescent="0.25">
      <c r="A2062" s="264"/>
      <c r="B2062" s="264"/>
      <c r="C2062" s="1056"/>
      <c r="D2062" s="1056"/>
      <c r="E2062" s="1056"/>
      <c r="F2062" s="1056"/>
      <c r="G2062" s="1056"/>
      <c r="H2062" s="1056"/>
      <c r="I2062" s="1056"/>
      <c r="J2062" s="1056"/>
      <c r="K2062" s="1056"/>
      <c r="L2062" s="1056"/>
      <c r="M2062" s="274"/>
      <c r="P2062" s="264"/>
      <c r="Q2062" s="264"/>
      <c r="R2062" s="264"/>
      <c r="S2062" s="264"/>
      <c r="T2062" s="1056"/>
      <c r="U2062" s="1056"/>
      <c r="V2062" s="1056"/>
      <c r="W2062" s="1056"/>
      <c r="X2062" s="1056"/>
      <c r="Y2062" s="1056"/>
      <c r="Z2062" s="1056"/>
      <c r="AA2062" s="1056"/>
      <c r="AB2062" s="1056"/>
      <c r="AC2062" s="1056"/>
      <c r="AD2062" s="1056"/>
      <c r="AE2062" s="1056"/>
      <c r="AF2062" s="264"/>
    </row>
    <row r="2063" spans="1:32" s="268" customFormat="1" ht="15" x14ac:dyDescent="0.25">
      <c r="A2063" s="264"/>
      <c r="B2063" s="264"/>
      <c r="C2063" s="1056"/>
      <c r="D2063" s="1056"/>
      <c r="E2063" s="1056"/>
      <c r="F2063" s="1056"/>
      <c r="G2063" s="1056"/>
      <c r="H2063" s="1056"/>
      <c r="I2063" s="1056"/>
      <c r="J2063" s="1056"/>
      <c r="K2063" s="1056"/>
      <c r="L2063" s="1056"/>
      <c r="M2063" s="274"/>
      <c r="P2063" s="264"/>
      <c r="Q2063" s="264"/>
      <c r="R2063" s="264"/>
      <c r="S2063" s="264"/>
      <c r="T2063" s="1056"/>
      <c r="U2063" s="1056"/>
      <c r="V2063" s="1056"/>
      <c r="W2063" s="1056"/>
      <c r="X2063" s="1056"/>
      <c r="Y2063" s="1056"/>
      <c r="Z2063" s="1056"/>
      <c r="AA2063" s="1056"/>
      <c r="AB2063" s="1056"/>
      <c r="AC2063" s="1056"/>
      <c r="AD2063" s="1056"/>
      <c r="AE2063" s="1056"/>
      <c r="AF2063" s="264"/>
    </row>
    <row r="2064" spans="1:32" s="268" customFormat="1" ht="15" x14ac:dyDescent="0.25">
      <c r="A2064" s="264"/>
      <c r="B2064" s="264"/>
      <c r="C2064" s="1056"/>
      <c r="D2064" s="1056"/>
      <c r="E2064" s="1056"/>
      <c r="F2064" s="1056"/>
      <c r="G2064" s="1056"/>
      <c r="H2064" s="1056"/>
      <c r="I2064" s="1056"/>
      <c r="J2064" s="1056"/>
      <c r="K2064" s="1056"/>
      <c r="L2064" s="1056"/>
      <c r="M2064" s="274"/>
      <c r="P2064" s="264"/>
      <c r="Q2064" s="264"/>
      <c r="R2064" s="264"/>
      <c r="S2064" s="264"/>
      <c r="T2064" s="1056"/>
      <c r="U2064" s="1056"/>
      <c r="V2064" s="1056"/>
      <c r="W2064" s="1056"/>
      <c r="X2064" s="1056"/>
      <c r="Y2064" s="1056"/>
      <c r="Z2064" s="1056"/>
      <c r="AA2064" s="1056"/>
      <c r="AB2064" s="1056"/>
      <c r="AC2064" s="1056"/>
      <c r="AD2064" s="1056"/>
      <c r="AE2064" s="1056"/>
      <c r="AF2064" s="264"/>
    </row>
    <row r="2065" spans="1:32" s="268" customFormat="1" ht="15" x14ac:dyDescent="0.25">
      <c r="A2065" s="264"/>
      <c r="B2065" s="264"/>
      <c r="C2065" s="1056"/>
      <c r="D2065" s="1056"/>
      <c r="E2065" s="1056"/>
      <c r="F2065" s="1056"/>
      <c r="G2065" s="1056"/>
      <c r="H2065" s="1056"/>
      <c r="I2065" s="1056"/>
      <c r="J2065" s="1056"/>
      <c r="K2065" s="1056"/>
      <c r="L2065" s="1056"/>
      <c r="M2065" s="274"/>
      <c r="P2065" s="264"/>
      <c r="Q2065" s="264"/>
      <c r="R2065" s="264"/>
      <c r="S2065" s="264"/>
      <c r="T2065" s="1056"/>
      <c r="U2065" s="1056"/>
      <c r="V2065" s="1056"/>
      <c r="W2065" s="1056"/>
      <c r="X2065" s="1056"/>
      <c r="Y2065" s="1056"/>
      <c r="Z2065" s="1056"/>
      <c r="AA2065" s="1056"/>
      <c r="AB2065" s="1056"/>
      <c r="AC2065" s="1056"/>
      <c r="AD2065" s="1056"/>
      <c r="AE2065" s="1056"/>
      <c r="AF2065" s="264"/>
    </row>
    <row r="2066" spans="1:32" s="268" customFormat="1" ht="15" x14ac:dyDescent="0.25">
      <c r="A2066" s="264"/>
      <c r="B2066" s="264"/>
      <c r="C2066" s="1056"/>
      <c r="D2066" s="1056"/>
      <c r="E2066" s="1056"/>
      <c r="F2066" s="1056"/>
      <c r="G2066" s="1056"/>
      <c r="H2066" s="1056"/>
      <c r="I2066" s="1056"/>
      <c r="J2066" s="1056"/>
      <c r="K2066" s="1056"/>
      <c r="L2066" s="1056"/>
      <c r="M2066" s="274"/>
      <c r="P2066" s="264"/>
      <c r="Q2066" s="264"/>
      <c r="R2066" s="264"/>
      <c r="S2066" s="264"/>
      <c r="T2066" s="1056"/>
      <c r="U2066" s="1056"/>
      <c r="V2066" s="1056"/>
      <c r="W2066" s="1056"/>
      <c r="X2066" s="1056"/>
      <c r="Y2066" s="1056"/>
      <c r="Z2066" s="1056"/>
      <c r="AA2066" s="1056"/>
      <c r="AB2066" s="1056"/>
      <c r="AC2066" s="1056"/>
      <c r="AD2066" s="1056"/>
      <c r="AE2066" s="1056"/>
      <c r="AF2066" s="264"/>
    </row>
    <row r="2067" spans="1:32" s="268" customFormat="1" ht="15" x14ac:dyDescent="0.25">
      <c r="A2067" s="264"/>
      <c r="B2067" s="264"/>
      <c r="C2067" s="1056"/>
      <c r="D2067" s="1056"/>
      <c r="E2067" s="1056"/>
      <c r="F2067" s="1056"/>
      <c r="G2067" s="1056"/>
      <c r="H2067" s="1056"/>
      <c r="I2067" s="1056"/>
      <c r="J2067" s="1056"/>
      <c r="K2067" s="1056"/>
      <c r="L2067" s="1056"/>
      <c r="M2067" s="274"/>
      <c r="P2067" s="264"/>
      <c r="Q2067" s="264"/>
      <c r="R2067" s="264"/>
      <c r="S2067" s="264"/>
      <c r="T2067" s="1056"/>
      <c r="U2067" s="1056"/>
      <c r="V2067" s="1056"/>
      <c r="W2067" s="1056"/>
      <c r="X2067" s="1056"/>
      <c r="Y2067" s="1056"/>
      <c r="Z2067" s="1056"/>
      <c r="AA2067" s="1056"/>
      <c r="AB2067" s="1056"/>
      <c r="AC2067" s="1056"/>
      <c r="AD2067" s="1056"/>
      <c r="AE2067" s="1056"/>
      <c r="AF2067" s="264"/>
    </row>
    <row r="2068" spans="1:32" s="268" customFormat="1" ht="15" x14ac:dyDescent="0.25">
      <c r="A2068" s="264"/>
      <c r="B2068" s="264"/>
      <c r="C2068" s="1056"/>
      <c r="D2068" s="1056"/>
      <c r="E2068" s="1056"/>
      <c r="F2068" s="1056"/>
      <c r="G2068" s="1056"/>
      <c r="H2068" s="1056"/>
      <c r="I2068" s="1056"/>
      <c r="J2068" s="1056"/>
      <c r="K2068" s="1056"/>
      <c r="L2068" s="1056"/>
      <c r="M2068" s="274"/>
      <c r="P2068" s="264"/>
      <c r="Q2068" s="264"/>
      <c r="R2068" s="264"/>
      <c r="S2068" s="264"/>
      <c r="T2068" s="1056"/>
      <c r="U2068" s="1056"/>
      <c r="V2068" s="1056"/>
      <c r="W2068" s="1056"/>
      <c r="X2068" s="1056"/>
      <c r="Y2068" s="1056"/>
      <c r="Z2068" s="1056"/>
      <c r="AA2068" s="1056"/>
      <c r="AB2068" s="1056"/>
      <c r="AC2068" s="1056"/>
      <c r="AD2068" s="1056"/>
      <c r="AE2068" s="1056"/>
      <c r="AF2068" s="264"/>
    </row>
    <row r="2069" spans="1:32" s="268" customFormat="1" ht="15" x14ac:dyDescent="0.25">
      <c r="A2069" s="264"/>
      <c r="B2069" s="264"/>
      <c r="C2069" s="1056"/>
      <c r="D2069" s="1056"/>
      <c r="E2069" s="1056"/>
      <c r="F2069" s="1056"/>
      <c r="G2069" s="1056"/>
      <c r="H2069" s="1056"/>
      <c r="I2069" s="1056"/>
      <c r="J2069" s="1056"/>
      <c r="K2069" s="1056"/>
      <c r="L2069" s="1056"/>
      <c r="M2069" s="274"/>
      <c r="P2069" s="264"/>
      <c r="Q2069" s="264"/>
      <c r="R2069" s="264"/>
      <c r="S2069" s="264"/>
      <c r="T2069" s="1056"/>
      <c r="U2069" s="1056"/>
      <c r="V2069" s="1056"/>
      <c r="W2069" s="1056"/>
      <c r="X2069" s="1056"/>
      <c r="Y2069" s="1056"/>
      <c r="Z2069" s="1056"/>
      <c r="AA2069" s="1056"/>
      <c r="AB2069" s="1056"/>
      <c r="AC2069" s="1056"/>
      <c r="AD2069" s="1056"/>
      <c r="AE2069" s="1056"/>
      <c r="AF2069" s="264"/>
    </row>
    <row r="2070" spans="1:32" s="268" customFormat="1" ht="15" x14ac:dyDescent="0.25">
      <c r="A2070" s="264"/>
      <c r="B2070" s="264"/>
      <c r="C2070" s="1056"/>
      <c r="D2070" s="1056"/>
      <c r="E2070" s="1056"/>
      <c r="F2070" s="1056"/>
      <c r="G2070" s="1056"/>
      <c r="H2070" s="1056"/>
      <c r="I2070" s="1056"/>
      <c r="J2070" s="1056"/>
      <c r="K2070" s="1056"/>
      <c r="L2070" s="1056"/>
      <c r="M2070" s="274"/>
      <c r="P2070" s="264"/>
      <c r="Q2070" s="264"/>
      <c r="R2070" s="264"/>
      <c r="S2070" s="264"/>
      <c r="T2070" s="1056"/>
      <c r="U2070" s="1056"/>
      <c r="V2070" s="1056"/>
      <c r="W2070" s="1056"/>
      <c r="X2070" s="1056"/>
      <c r="Y2070" s="1056"/>
      <c r="Z2070" s="1056"/>
      <c r="AA2070" s="1056"/>
      <c r="AB2070" s="1056"/>
      <c r="AC2070" s="1056"/>
      <c r="AD2070" s="1056"/>
      <c r="AE2070" s="1056"/>
      <c r="AF2070" s="264"/>
    </row>
    <row r="2071" spans="1:32" s="268" customFormat="1" ht="15" x14ac:dyDescent="0.25">
      <c r="A2071" s="264"/>
      <c r="B2071" s="264"/>
      <c r="C2071" s="1056"/>
      <c r="D2071" s="1056"/>
      <c r="E2071" s="1056"/>
      <c r="F2071" s="1056"/>
      <c r="G2071" s="1056"/>
      <c r="H2071" s="1056"/>
      <c r="I2071" s="1056"/>
      <c r="J2071" s="1056"/>
      <c r="K2071" s="1056"/>
      <c r="L2071" s="1056"/>
      <c r="M2071" s="274"/>
      <c r="P2071" s="264"/>
      <c r="Q2071" s="264"/>
      <c r="R2071" s="264"/>
      <c r="S2071" s="264"/>
      <c r="T2071" s="1056"/>
      <c r="U2071" s="1056"/>
      <c r="V2071" s="1056"/>
      <c r="W2071" s="1056"/>
      <c r="X2071" s="1056"/>
      <c r="Y2071" s="1056"/>
      <c r="Z2071" s="1056"/>
      <c r="AA2071" s="1056"/>
      <c r="AB2071" s="1056"/>
      <c r="AC2071" s="1056"/>
      <c r="AD2071" s="1056"/>
      <c r="AE2071" s="1056"/>
      <c r="AF2071" s="264"/>
    </row>
    <row r="2072" spans="1:32" s="268" customFormat="1" ht="15" x14ac:dyDescent="0.25">
      <c r="A2072" s="264"/>
      <c r="B2072" s="264"/>
      <c r="C2072" s="1056"/>
      <c r="D2072" s="1056"/>
      <c r="E2072" s="1056"/>
      <c r="F2072" s="1056"/>
      <c r="G2072" s="1056"/>
      <c r="H2072" s="1056"/>
      <c r="I2072" s="1056"/>
      <c r="J2072" s="1056"/>
      <c r="K2072" s="1056"/>
      <c r="L2072" s="1056"/>
      <c r="M2072" s="274"/>
      <c r="P2072" s="264"/>
      <c r="Q2072" s="264"/>
      <c r="R2072" s="264"/>
      <c r="S2072" s="264"/>
      <c r="T2072" s="1056"/>
      <c r="U2072" s="1056"/>
      <c r="V2072" s="1056"/>
      <c r="W2072" s="1056"/>
      <c r="X2072" s="1056"/>
      <c r="Y2072" s="1056"/>
      <c r="Z2072" s="1056"/>
      <c r="AA2072" s="1056"/>
      <c r="AB2072" s="1056"/>
      <c r="AC2072" s="1056"/>
      <c r="AD2072" s="1056"/>
      <c r="AE2072" s="1056"/>
      <c r="AF2072" s="264"/>
    </row>
    <row r="2073" spans="1:32" s="268" customFormat="1" ht="15" x14ac:dyDescent="0.25">
      <c r="A2073" s="264"/>
      <c r="B2073" s="264"/>
      <c r="C2073" s="1056"/>
      <c r="D2073" s="1056"/>
      <c r="E2073" s="1056"/>
      <c r="F2073" s="1056"/>
      <c r="G2073" s="1056"/>
      <c r="H2073" s="1056"/>
      <c r="I2073" s="1056"/>
      <c r="J2073" s="1056"/>
      <c r="K2073" s="1056"/>
      <c r="L2073" s="1056"/>
      <c r="M2073" s="274"/>
      <c r="P2073" s="264"/>
      <c r="Q2073" s="264"/>
      <c r="R2073" s="264"/>
      <c r="S2073" s="264"/>
      <c r="T2073" s="1056"/>
      <c r="U2073" s="1056"/>
      <c r="V2073" s="1056"/>
      <c r="W2073" s="1056"/>
      <c r="X2073" s="1056"/>
      <c r="Y2073" s="1056"/>
      <c r="Z2073" s="1056"/>
      <c r="AA2073" s="1056"/>
      <c r="AB2073" s="1056"/>
      <c r="AC2073" s="1056"/>
      <c r="AD2073" s="1056"/>
      <c r="AE2073" s="1056"/>
      <c r="AF2073" s="264"/>
    </row>
    <row r="2074" spans="1:32" s="268" customFormat="1" ht="15" x14ac:dyDescent="0.25">
      <c r="A2074" s="264"/>
      <c r="B2074" s="264"/>
      <c r="C2074" s="1056"/>
      <c r="D2074" s="1056"/>
      <c r="E2074" s="1056"/>
      <c r="F2074" s="1056"/>
      <c r="G2074" s="1056"/>
      <c r="H2074" s="1056"/>
      <c r="I2074" s="1056"/>
      <c r="J2074" s="1056"/>
      <c r="K2074" s="1056"/>
      <c r="L2074" s="1056"/>
      <c r="M2074" s="274"/>
      <c r="P2074" s="264"/>
      <c r="Q2074" s="264"/>
      <c r="R2074" s="264"/>
      <c r="S2074" s="264"/>
      <c r="T2074" s="1056"/>
      <c r="U2074" s="1056"/>
      <c r="V2074" s="1056"/>
      <c r="W2074" s="1056"/>
      <c r="X2074" s="1056"/>
      <c r="Y2074" s="1056"/>
      <c r="Z2074" s="1056"/>
      <c r="AA2074" s="1056"/>
      <c r="AB2074" s="1056"/>
      <c r="AC2074" s="1056"/>
      <c r="AD2074" s="1056"/>
      <c r="AE2074" s="1056"/>
      <c r="AF2074" s="264"/>
    </row>
    <row r="2075" spans="1:32" s="268" customFormat="1" ht="15" x14ac:dyDescent="0.25">
      <c r="A2075" s="264"/>
      <c r="B2075" s="264"/>
      <c r="C2075" s="1056"/>
      <c r="D2075" s="1056"/>
      <c r="E2075" s="1056"/>
      <c r="F2075" s="1056"/>
      <c r="G2075" s="1056"/>
      <c r="H2075" s="1056"/>
      <c r="I2075" s="1056"/>
      <c r="J2075" s="1056"/>
      <c r="K2075" s="1056"/>
      <c r="L2075" s="1056"/>
      <c r="M2075" s="274"/>
      <c r="P2075" s="264"/>
      <c r="Q2075" s="264"/>
      <c r="R2075" s="264"/>
      <c r="S2075" s="264"/>
      <c r="T2075" s="1056"/>
      <c r="U2075" s="1056"/>
      <c r="V2075" s="1056"/>
      <c r="W2075" s="1056"/>
      <c r="X2075" s="1056"/>
      <c r="Y2075" s="1056"/>
      <c r="Z2075" s="1056"/>
      <c r="AA2075" s="1056"/>
      <c r="AB2075" s="1056"/>
      <c r="AC2075" s="1056"/>
      <c r="AD2075" s="1056"/>
      <c r="AE2075" s="1056"/>
      <c r="AF2075" s="264"/>
    </row>
    <row r="2076" spans="1:32" s="268" customFormat="1" ht="15" x14ac:dyDescent="0.25">
      <c r="A2076" s="264"/>
      <c r="B2076" s="264"/>
      <c r="C2076" s="1056"/>
      <c r="D2076" s="1056"/>
      <c r="E2076" s="1056"/>
      <c r="F2076" s="1056"/>
      <c r="G2076" s="1056"/>
      <c r="H2076" s="1056"/>
      <c r="I2076" s="1056"/>
      <c r="J2076" s="1056"/>
      <c r="K2076" s="1056"/>
      <c r="L2076" s="1056"/>
      <c r="M2076" s="274"/>
      <c r="P2076" s="264"/>
      <c r="Q2076" s="264"/>
      <c r="R2076" s="264"/>
      <c r="S2076" s="264"/>
      <c r="T2076" s="1056"/>
      <c r="U2076" s="1056"/>
      <c r="V2076" s="1056"/>
      <c r="W2076" s="1056"/>
      <c r="X2076" s="1056"/>
      <c r="Y2076" s="1056"/>
      <c r="Z2076" s="1056"/>
      <c r="AA2076" s="1056"/>
      <c r="AB2076" s="1056"/>
      <c r="AC2076" s="1056"/>
      <c r="AD2076" s="1056"/>
      <c r="AE2076" s="1056"/>
      <c r="AF2076" s="264"/>
    </row>
    <row r="2077" spans="1:32" s="268" customFormat="1" ht="15" x14ac:dyDescent="0.25">
      <c r="A2077" s="264"/>
      <c r="B2077" s="264"/>
      <c r="C2077" s="1056"/>
      <c r="D2077" s="1056"/>
      <c r="E2077" s="1056"/>
      <c r="F2077" s="1056"/>
      <c r="G2077" s="1056"/>
      <c r="H2077" s="1056"/>
      <c r="I2077" s="1056"/>
      <c r="J2077" s="1056"/>
      <c r="K2077" s="1056"/>
      <c r="L2077" s="1056"/>
      <c r="M2077" s="274"/>
      <c r="P2077" s="264"/>
      <c r="Q2077" s="264"/>
      <c r="R2077" s="264"/>
      <c r="S2077" s="264"/>
      <c r="T2077" s="1056"/>
      <c r="U2077" s="1056"/>
      <c r="V2077" s="1056"/>
      <c r="W2077" s="1056"/>
      <c r="X2077" s="1056"/>
      <c r="Y2077" s="1056"/>
      <c r="Z2077" s="1056"/>
      <c r="AA2077" s="1056"/>
      <c r="AB2077" s="1056"/>
      <c r="AC2077" s="1056"/>
      <c r="AD2077" s="1056"/>
      <c r="AE2077" s="1056"/>
      <c r="AF2077" s="264"/>
    </row>
    <row r="2078" spans="1:32" s="268" customFormat="1" ht="15" x14ac:dyDescent="0.25">
      <c r="A2078" s="264"/>
      <c r="B2078" s="264"/>
      <c r="C2078" s="1056"/>
      <c r="D2078" s="1056"/>
      <c r="E2078" s="1056"/>
      <c r="F2078" s="1056"/>
      <c r="G2078" s="1056"/>
      <c r="H2078" s="1056"/>
      <c r="I2078" s="1056"/>
      <c r="J2078" s="1056"/>
      <c r="K2078" s="1056"/>
      <c r="L2078" s="1056"/>
      <c r="M2078" s="274"/>
      <c r="P2078" s="264"/>
      <c r="Q2078" s="264"/>
      <c r="R2078" s="264"/>
      <c r="S2078" s="264"/>
      <c r="T2078" s="1056"/>
      <c r="U2078" s="1056"/>
      <c r="V2078" s="1056"/>
      <c r="W2078" s="1056"/>
      <c r="X2078" s="1056"/>
      <c r="Y2078" s="1056"/>
      <c r="Z2078" s="1056"/>
      <c r="AA2078" s="1056"/>
      <c r="AB2078" s="1056"/>
      <c r="AC2078" s="1056"/>
      <c r="AD2078" s="1056"/>
      <c r="AE2078" s="1056"/>
      <c r="AF2078" s="264"/>
    </row>
    <row r="2079" spans="1:32" s="268" customFormat="1" ht="15" x14ac:dyDescent="0.25">
      <c r="A2079" s="264"/>
      <c r="B2079" s="264"/>
      <c r="C2079" s="1056"/>
      <c r="D2079" s="1056"/>
      <c r="E2079" s="1056"/>
      <c r="F2079" s="1056"/>
      <c r="G2079" s="1056"/>
      <c r="H2079" s="1056"/>
      <c r="I2079" s="1056"/>
      <c r="J2079" s="1056"/>
      <c r="K2079" s="1056"/>
      <c r="L2079" s="1056"/>
      <c r="M2079" s="274"/>
      <c r="P2079" s="264"/>
      <c r="Q2079" s="264"/>
      <c r="R2079" s="264"/>
      <c r="S2079" s="264"/>
      <c r="T2079" s="1056"/>
      <c r="U2079" s="1056"/>
      <c r="V2079" s="1056"/>
      <c r="W2079" s="1056"/>
      <c r="X2079" s="1056"/>
      <c r="Y2079" s="1056"/>
      <c r="Z2079" s="1056"/>
      <c r="AA2079" s="1056"/>
      <c r="AB2079" s="1056"/>
      <c r="AC2079" s="1056"/>
      <c r="AD2079" s="1056"/>
      <c r="AE2079" s="1056"/>
      <c r="AF2079" s="264"/>
    </row>
    <row r="2080" spans="1:32" s="268" customFormat="1" ht="15" x14ac:dyDescent="0.25">
      <c r="A2080" s="264"/>
      <c r="B2080" s="264"/>
      <c r="C2080" s="1056"/>
      <c r="D2080" s="1056"/>
      <c r="E2080" s="1056"/>
      <c r="F2080" s="1056"/>
      <c r="G2080" s="1056"/>
      <c r="H2080" s="1056"/>
      <c r="I2080" s="1056"/>
      <c r="J2080" s="1056"/>
      <c r="K2080" s="1056"/>
      <c r="L2080" s="1056"/>
      <c r="M2080" s="274"/>
      <c r="P2080" s="264"/>
      <c r="Q2080" s="264"/>
      <c r="R2080" s="264"/>
      <c r="S2080" s="264"/>
      <c r="T2080" s="1056"/>
      <c r="U2080" s="1056"/>
      <c r="V2080" s="1056"/>
      <c r="W2080" s="1056"/>
      <c r="X2080" s="1056"/>
      <c r="Y2080" s="1056"/>
      <c r="Z2080" s="1056"/>
      <c r="AA2080" s="1056"/>
      <c r="AB2080" s="1056"/>
      <c r="AC2080" s="1056"/>
      <c r="AD2080" s="1056"/>
      <c r="AE2080" s="1056"/>
      <c r="AF2080" s="264"/>
    </row>
    <row r="2081" spans="1:32" s="268" customFormat="1" ht="15" x14ac:dyDescent="0.25">
      <c r="A2081" s="264"/>
      <c r="B2081" s="264"/>
      <c r="C2081" s="1056"/>
      <c r="D2081" s="1056"/>
      <c r="E2081" s="1056"/>
      <c r="F2081" s="1056"/>
      <c r="G2081" s="1056"/>
      <c r="H2081" s="1056"/>
      <c r="I2081" s="1056"/>
      <c r="J2081" s="1056"/>
      <c r="K2081" s="1056"/>
      <c r="L2081" s="1056"/>
      <c r="M2081" s="274"/>
      <c r="P2081" s="264"/>
      <c r="Q2081" s="264"/>
      <c r="R2081" s="264"/>
      <c r="S2081" s="264"/>
      <c r="T2081" s="1056"/>
      <c r="U2081" s="1056"/>
      <c r="V2081" s="1056"/>
      <c r="W2081" s="1056"/>
      <c r="X2081" s="1056"/>
      <c r="Y2081" s="1056"/>
      <c r="Z2081" s="1056"/>
      <c r="AA2081" s="1056"/>
      <c r="AB2081" s="1056"/>
      <c r="AC2081" s="1056"/>
      <c r="AD2081" s="1056"/>
      <c r="AE2081" s="1056"/>
      <c r="AF2081" s="264"/>
    </row>
    <row r="2082" spans="1:32" s="268" customFormat="1" ht="15" x14ac:dyDescent="0.25">
      <c r="A2082" s="264"/>
      <c r="B2082" s="264"/>
      <c r="C2082" s="1056"/>
      <c r="D2082" s="1056"/>
      <c r="E2082" s="1056"/>
      <c r="F2082" s="1056"/>
      <c r="G2082" s="1056"/>
      <c r="H2082" s="1056"/>
      <c r="I2082" s="1056"/>
      <c r="J2082" s="1056"/>
      <c r="K2082" s="1056"/>
      <c r="L2082" s="1056"/>
      <c r="M2082" s="274"/>
      <c r="P2082" s="264"/>
      <c r="Q2082" s="264"/>
      <c r="R2082" s="264"/>
      <c r="S2082" s="264"/>
      <c r="T2082" s="1056"/>
      <c r="U2082" s="1056"/>
      <c r="V2082" s="1056"/>
      <c r="W2082" s="1056"/>
      <c r="X2082" s="1056"/>
      <c r="Y2082" s="1056"/>
      <c r="Z2082" s="1056"/>
      <c r="AA2082" s="1056"/>
      <c r="AB2082" s="1056"/>
      <c r="AC2082" s="1056"/>
      <c r="AD2082" s="1056"/>
      <c r="AE2082" s="1056"/>
      <c r="AF2082" s="264"/>
    </row>
    <row r="2083" spans="1:32" s="268" customFormat="1" ht="15" x14ac:dyDescent="0.25">
      <c r="A2083" s="264"/>
      <c r="B2083" s="264"/>
      <c r="C2083" s="1056"/>
      <c r="D2083" s="1056"/>
      <c r="E2083" s="1056"/>
      <c r="F2083" s="1056"/>
      <c r="G2083" s="1056"/>
      <c r="H2083" s="1056"/>
      <c r="I2083" s="1056"/>
      <c r="J2083" s="1056"/>
      <c r="K2083" s="1056"/>
      <c r="L2083" s="1056"/>
      <c r="M2083" s="274"/>
      <c r="P2083" s="264"/>
      <c r="Q2083" s="264"/>
      <c r="R2083" s="264"/>
      <c r="S2083" s="264"/>
      <c r="T2083" s="1056"/>
      <c r="U2083" s="1056"/>
      <c r="V2083" s="1056"/>
      <c r="W2083" s="1056"/>
      <c r="X2083" s="1056"/>
      <c r="Y2083" s="1056"/>
      <c r="Z2083" s="1056"/>
      <c r="AA2083" s="1056"/>
      <c r="AB2083" s="1056"/>
      <c r="AC2083" s="1056"/>
      <c r="AD2083" s="1056"/>
      <c r="AE2083" s="1056"/>
      <c r="AF2083" s="264"/>
    </row>
    <row r="2084" spans="1:32" s="268" customFormat="1" ht="15" x14ac:dyDescent="0.25">
      <c r="A2084" s="264"/>
      <c r="B2084" s="264"/>
      <c r="C2084" s="1056"/>
      <c r="D2084" s="1056"/>
      <c r="E2084" s="1056"/>
      <c r="F2084" s="1056"/>
      <c r="G2084" s="1056"/>
      <c r="H2084" s="1056"/>
      <c r="I2084" s="1056"/>
      <c r="J2084" s="1056"/>
      <c r="K2084" s="1056"/>
      <c r="L2084" s="1056"/>
      <c r="M2084" s="274"/>
      <c r="P2084" s="264"/>
      <c r="Q2084" s="264"/>
      <c r="R2084" s="264"/>
      <c r="S2084" s="264"/>
      <c r="T2084" s="1056"/>
      <c r="U2084" s="1056"/>
      <c r="V2084" s="1056"/>
      <c r="W2084" s="1056"/>
      <c r="X2084" s="1056"/>
      <c r="Y2084" s="1056"/>
      <c r="Z2084" s="1056"/>
      <c r="AA2084" s="1056"/>
      <c r="AB2084" s="1056"/>
      <c r="AC2084" s="1056"/>
      <c r="AD2084" s="1056"/>
      <c r="AE2084" s="1056"/>
      <c r="AF2084" s="264"/>
    </row>
    <row r="2085" spans="1:32" s="268" customFormat="1" ht="15" x14ac:dyDescent="0.25">
      <c r="A2085" s="264"/>
      <c r="B2085" s="264"/>
      <c r="C2085" s="1056"/>
      <c r="D2085" s="1056"/>
      <c r="E2085" s="1056"/>
      <c r="F2085" s="1056"/>
      <c r="G2085" s="1056"/>
      <c r="H2085" s="1056"/>
      <c r="I2085" s="1056"/>
      <c r="J2085" s="1056"/>
      <c r="K2085" s="1056"/>
      <c r="L2085" s="1056"/>
      <c r="M2085" s="274"/>
      <c r="P2085" s="264"/>
      <c r="Q2085" s="264"/>
      <c r="R2085" s="264"/>
      <c r="S2085" s="264"/>
      <c r="T2085" s="1056"/>
      <c r="U2085" s="1056"/>
      <c r="V2085" s="1056"/>
      <c r="W2085" s="1056"/>
      <c r="X2085" s="1056"/>
      <c r="Y2085" s="1056"/>
      <c r="Z2085" s="1056"/>
      <c r="AA2085" s="1056"/>
      <c r="AB2085" s="1056"/>
      <c r="AC2085" s="1056"/>
      <c r="AD2085" s="1056"/>
      <c r="AE2085" s="1056"/>
      <c r="AF2085" s="264"/>
    </row>
    <row r="2086" spans="1:32" s="268" customFormat="1" ht="15" x14ac:dyDescent="0.25">
      <c r="A2086" s="264"/>
      <c r="B2086" s="264"/>
      <c r="C2086" s="1056"/>
      <c r="D2086" s="1056"/>
      <c r="E2086" s="1056"/>
      <c r="F2086" s="1056"/>
      <c r="G2086" s="1056"/>
      <c r="H2086" s="1056"/>
      <c r="I2086" s="1056"/>
      <c r="J2086" s="1056"/>
      <c r="K2086" s="1056"/>
      <c r="L2086" s="1056"/>
      <c r="M2086" s="274"/>
      <c r="P2086" s="264"/>
      <c r="Q2086" s="264"/>
      <c r="R2086" s="264"/>
      <c r="S2086" s="264"/>
      <c r="T2086" s="1056"/>
      <c r="U2086" s="1056"/>
      <c r="V2086" s="1056"/>
      <c r="W2086" s="1056"/>
      <c r="X2086" s="1056"/>
      <c r="Y2086" s="1056"/>
      <c r="Z2086" s="1056"/>
      <c r="AA2086" s="1056"/>
      <c r="AB2086" s="1056"/>
      <c r="AC2086" s="1056"/>
      <c r="AD2086" s="1056"/>
      <c r="AE2086" s="1056"/>
      <c r="AF2086" s="264"/>
    </row>
    <row r="2087" spans="1:32" s="268" customFormat="1" ht="15" x14ac:dyDescent="0.25">
      <c r="A2087" s="264"/>
      <c r="B2087" s="264"/>
      <c r="C2087" s="1056"/>
      <c r="D2087" s="1056"/>
      <c r="E2087" s="1056"/>
      <c r="F2087" s="1056"/>
      <c r="G2087" s="1056"/>
      <c r="H2087" s="1056"/>
      <c r="I2087" s="1056"/>
      <c r="J2087" s="1056"/>
      <c r="K2087" s="1056"/>
      <c r="L2087" s="1056"/>
      <c r="M2087" s="274"/>
      <c r="P2087" s="264"/>
      <c r="Q2087" s="264"/>
      <c r="R2087" s="264"/>
      <c r="S2087" s="264"/>
      <c r="T2087" s="1056"/>
      <c r="U2087" s="1056"/>
      <c r="V2087" s="1056"/>
      <c r="W2087" s="1056"/>
      <c r="X2087" s="1056"/>
      <c r="Y2087" s="1056"/>
      <c r="Z2087" s="1056"/>
      <c r="AA2087" s="1056"/>
      <c r="AB2087" s="1056"/>
      <c r="AC2087" s="1056"/>
      <c r="AD2087" s="1056"/>
      <c r="AE2087" s="1056"/>
      <c r="AF2087" s="264"/>
    </row>
    <row r="2088" spans="1:32" s="268" customFormat="1" ht="15" x14ac:dyDescent="0.25">
      <c r="A2088" s="264"/>
      <c r="B2088" s="264"/>
      <c r="C2088" s="1056"/>
      <c r="D2088" s="1056"/>
      <c r="E2088" s="1056"/>
      <c r="F2088" s="1056"/>
      <c r="G2088" s="1056"/>
      <c r="H2088" s="1056"/>
      <c r="I2088" s="1056"/>
      <c r="J2088" s="1056"/>
      <c r="K2088" s="1056"/>
      <c r="L2088" s="1056"/>
      <c r="M2088" s="274"/>
      <c r="P2088" s="264"/>
      <c r="Q2088" s="264"/>
      <c r="R2088" s="264"/>
      <c r="S2088" s="264"/>
      <c r="T2088" s="1056"/>
      <c r="U2088" s="1056"/>
      <c r="V2088" s="1056"/>
      <c r="W2088" s="1056"/>
      <c r="X2088" s="1056"/>
      <c r="Y2088" s="1056"/>
      <c r="Z2088" s="1056"/>
      <c r="AA2088" s="1056"/>
      <c r="AB2088" s="1056"/>
      <c r="AC2088" s="1056"/>
      <c r="AD2088" s="1056"/>
      <c r="AE2088" s="1056"/>
      <c r="AF2088" s="264"/>
    </row>
    <row r="2089" spans="1:32" s="268" customFormat="1" ht="15" x14ac:dyDescent="0.25">
      <c r="A2089" s="264"/>
      <c r="B2089" s="264"/>
      <c r="C2089" s="1056"/>
      <c r="D2089" s="1056"/>
      <c r="E2089" s="1056"/>
      <c r="F2089" s="1056"/>
      <c r="G2089" s="1056"/>
      <c r="H2089" s="1056"/>
      <c r="I2089" s="1056"/>
      <c r="J2089" s="1056"/>
      <c r="K2089" s="1056"/>
      <c r="L2089" s="1056"/>
      <c r="M2089" s="274"/>
      <c r="P2089" s="264"/>
      <c r="Q2089" s="264"/>
      <c r="R2089" s="264"/>
      <c r="S2089" s="264"/>
      <c r="T2089" s="1056"/>
      <c r="U2089" s="1056"/>
      <c r="V2089" s="1056"/>
      <c r="W2089" s="1056"/>
      <c r="X2089" s="1056"/>
      <c r="Y2089" s="1056"/>
      <c r="Z2089" s="1056"/>
      <c r="AA2089" s="1056"/>
      <c r="AB2089" s="1056"/>
      <c r="AC2089" s="1056"/>
      <c r="AD2089" s="1056"/>
      <c r="AE2089" s="1056"/>
      <c r="AF2089" s="264"/>
    </row>
    <row r="2090" spans="1:32" s="268" customFormat="1" ht="15" x14ac:dyDescent="0.25">
      <c r="A2090" s="264"/>
      <c r="B2090" s="264"/>
      <c r="C2090" s="1056"/>
      <c r="D2090" s="1056"/>
      <c r="E2090" s="1056"/>
      <c r="F2090" s="1056"/>
      <c r="G2090" s="1056"/>
      <c r="H2090" s="1056"/>
      <c r="I2090" s="1056"/>
      <c r="J2090" s="1056"/>
      <c r="K2090" s="1056"/>
      <c r="L2090" s="1056"/>
      <c r="M2090" s="274"/>
      <c r="P2090" s="264"/>
      <c r="Q2090" s="264"/>
      <c r="R2090" s="264"/>
      <c r="S2090" s="264"/>
      <c r="T2090" s="1056"/>
      <c r="U2090" s="1056"/>
      <c r="V2090" s="1056"/>
      <c r="W2090" s="1056"/>
      <c r="X2090" s="1056"/>
      <c r="Y2090" s="1056"/>
      <c r="Z2090" s="1056"/>
      <c r="AA2090" s="1056"/>
      <c r="AB2090" s="1056"/>
      <c r="AC2090" s="1056"/>
      <c r="AD2090" s="1056"/>
      <c r="AE2090" s="1056"/>
      <c r="AF2090" s="264"/>
    </row>
    <row r="2091" spans="1:32" s="268" customFormat="1" ht="15" x14ac:dyDescent="0.25">
      <c r="A2091" s="264"/>
      <c r="B2091" s="264"/>
      <c r="C2091" s="1056"/>
      <c r="D2091" s="1056"/>
      <c r="E2091" s="1056"/>
      <c r="F2091" s="1056"/>
      <c r="G2091" s="1056"/>
      <c r="H2091" s="1056"/>
      <c r="I2091" s="1056"/>
      <c r="J2091" s="1056"/>
      <c r="K2091" s="1056"/>
      <c r="L2091" s="1056"/>
      <c r="M2091" s="274"/>
      <c r="P2091" s="264"/>
      <c r="Q2091" s="264"/>
      <c r="R2091" s="264"/>
      <c r="S2091" s="264"/>
      <c r="T2091" s="1056"/>
      <c r="U2091" s="1056"/>
      <c r="V2091" s="1056"/>
      <c r="W2091" s="1056"/>
      <c r="X2091" s="1056"/>
      <c r="Y2091" s="1056"/>
      <c r="Z2091" s="1056"/>
      <c r="AA2091" s="1056"/>
      <c r="AB2091" s="1056"/>
      <c r="AC2091" s="1056"/>
      <c r="AD2091" s="1056"/>
      <c r="AE2091" s="1056"/>
      <c r="AF2091" s="264"/>
    </row>
    <row r="2092" spans="1:32" s="268" customFormat="1" ht="15" x14ac:dyDescent="0.25">
      <c r="A2092" s="264"/>
      <c r="B2092" s="264"/>
      <c r="C2092" s="1056"/>
      <c r="D2092" s="1056"/>
      <c r="E2092" s="1056"/>
      <c r="F2092" s="1056"/>
      <c r="G2092" s="1056"/>
      <c r="H2092" s="1056"/>
      <c r="I2092" s="1056"/>
      <c r="J2092" s="1056"/>
      <c r="K2092" s="1056"/>
      <c r="L2092" s="1056"/>
      <c r="M2092" s="274"/>
      <c r="P2092" s="264"/>
      <c r="Q2092" s="264"/>
      <c r="R2092" s="264"/>
      <c r="S2092" s="264"/>
      <c r="T2092" s="1056"/>
      <c r="U2092" s="1056"/>
      <c r="V2092" s="1056"/>
      <c r="W2092" s="1056"/>
      <c r="X2092" s="1056"/>
      <c r="Y2092" s="1056"/>
      <c r="Z2092" s="1056"/>
      <c r="AA2092" s="1056"/>
      <c r="AB2092" s="1056"/>
      <c r="AC2092" s="1056"/>
      <c r="AD2092" s="1056"/>
      <c r="AE2092" s="1056"/>
      <c r="AF2092" s="264"/>
    </row>
    <row r="2093" spans="1:32" s="268" customFormat="1" ht="15" x14ac:dyDescent="0.25">
      <c r="A2093" s="264"/>
      <c r="B2093" s="264"/>
      <c r="C2093" s="1056"/>
      <c r="D2093" s="1056"/>
      <c r="E2093" s="1056"/>
      <c r="F2093" s="1056"/>
      <c r="G2093" s="1056"/>
      <c r="H2093" s="1056"/>
      <c r="I2093" s="1056"/>
      <c r="J2093" s="1056"/>
      <c r="K2093" s="1056"/>
      <c r="L2093" s="1056"/>
      <c r="M2093" s="274"/>
      <c r="P2093" s="264"/>
      <c r="Q2093" s="264"/>
      <c r="R2093" s="264"/>
      <c r="S2093" s="264"/>
      <c r="T2093" s="1056"/>
      <c r="U2093" s="1056"/>
      <c r="V2093" s="1056"/>
      <c r="W2093" s="1056"/>
      <c r="X2093" s="1056"/>
      <c r="Y2093" s="1056"/>
      <c r="Z2093" s="1056"/>
      <c r="AA2093" s="1056"/>
      <c r="AB2093" s="1056"/>
      <c r="AC2093" s="1056"/>
      <c r="AD2093" s="1056"/>
      <c r="AE2093" s="1056"/>
      <c r="AF2093" s="264"/>
    </row>
    <row r="2094" spans="1:32" s="268" customFormat="1" ht="15" x14ac:dyDescent="0.25">
      <c r="A2094" s="264"/>
      <c r="B2094" s="264"/>
      <c r="C2094" s="1056"/>
      <c r="D2094" s="1056"/>
      <c r="E2094" s="1056"/>
      <c r="F2094" s="1056"/>
      <c r="G2094" s="1056"/>
      <c r="H2094" s="1056"/>
      <c r="I2094" s="1056"/>
      <c r="J2094" s="1056"/>
      <c r="K2094" s="1056"/>
      <c r="L2094" s="1056"/>
      <c r="M2094" s="274"/>
      <c r="P2094" s="264"/>
      <c r="Q2094" s="264"/>
      <c r="R2094" s="264"/>
      <c r="S2094" s="264"/>
      <c r="T2094" s="1056"/>
      <c r="U2094" s="1056"/>
      <c r="V2094" s="1056"/>
      <c r="W2094" s="1056"/>
      <c r="X2094" s="1056"/>
      <c r="Y2094" s="1056"/>
      <c r="Z2094" s="1056"/>
      <c r="AA2094" s="1056"/>
      <c r="AB2094" s="1056"/>
      <c r="AC2094" s="1056"/>
      <c r="AD2094" s="1056"/>
      <c r="AE2094" s="1056"/>
      <c r="AF2094" s="264"/>
    </row>
    <row r="2095" spans="1:32" s="268" customFormat="1" ht="15" x14ac:dyDescent="0.25">
      <c r="A2095" s="264"/>
      <c r="B2095" s="264"/>
      <c r="C2095" s="1056"/>
      <c r="D2095" s="1056"/>
      <c r="E2095" s="1056"/>
      <c r="F2095" s="1056"/>
      <c r="G2095" s="1056"/>
      <c r="H2095" s="1056"/>
      <c r="I2095" s="1056"/>
      <c r="J2095" s="1056"/>
      <c r="K2095" s="1056"/>
      <c r="L2095" s="1056"/>
      <c r="M2095" s="274"/>
      <c r="P2095" s="264"/>
      <c r="Q2095" s="264"/>
      <c r="R2095" s="264"/>
      <c r="S2095" s="264"/>
      <c r="T2095" s="1056"/>
      <c r="U2095" s="1056"/>
      <c r="V2095" s="1056"/>
      <c r="W2095" s="1056"/>
      <c r="X2095" s="1056"/>
      <c r="Y2095" s="1056"/>
      <c r="Z2095" s="1056"/>
      <c r="AA2095" s="1056"/>
      <c r="AB2095" s="1056"/>
      <c r="AC2095" s="1056"/>
      <c r="AD2095" s="1056"/>
      <c r="AE2095" s="1056"/>
      <c r="AF2095" s="264"/>
    </row>
    <row r="2096" spans="1:32" s="268" customFormat="1" ht="15" x14ac:dyDescent="0.25">
      <c r="A2096" s="264"/>
      <c r="B2096" s="264"/>
      <c r="C2096" s="1056"/>
      <c r="D2096" s="1056"/>
      <c r="E2096" s="1056"/>
      <c r="F2096" s="1056"/>
      <c r="G2096" s="1056"/>
      <c r="H2096" s="1056"/>
      <c r="I2096" s="1056"/>
      <c r="J2096" s="1056"/>
      <c r="K2096" s="1056"/>
      <c r="L2096" s="1056"/>
      <c r="M2096" s="274"/>
      <c r="P2096" s="264"/>
      <c r="Q2096" s="264"/>
      <c r="R2096" s="264"/>
      <c r="S2096" s="264"/>
      <c r="T2096" s="1056"/>
      <c r="U2096" s="1056"/>
      <c r="V2096" s="1056"/>
      <c r="W2096" s="1056"/>
      <c r="X2096" s="1056"/>
      <c r="Y2096" s="1056"/>
      <c r="Z2096" s="1056"/>
      <c r="AA2096" s="1056"/>
      <c r="AB2096" s="1056"/>
      <c r="AC2096" s="1056"/>
      <c r="AD2096" s="1056"/>
      <c r="AE2096" s="1056"/>
      <c r="AF2096" s="264"/>
    </row>
    <row r="2097" spans="1:32" s="268" customFormat="1" ht="15" x14ac:dyDescent="0.25">
      <c r="A2097" s="264"/>
      <c r="B2097" s="264"/>
      <c r="C2097" s="1056"/>
      <c r="D2097" s="1056"/>
      <c r="E2097" s="1056"/>
      <c r="F2097" s="1056"/>
      <c r="G2097" s="1056"/>
      <c r="H2097" s="1056"/>
      <c r="I2097" s="1056"/>
      <c r="J2097" s="1056"/>
      <c r="K2097" s="1056"/>
      <c r="L2097" s="1056"/>
      <c r="M2097" s="274"/>
      <c r="P2097" s="264"/>
      <c r="Q2097" s="264"/>
      <c r="R2097" s="264"/>
      <c r="S2097" s="264"/>
      <c r="T2097" s="1056"/>
      <c r="U2097" s="1056"/>
      <c r="V2097" s="1056"/>
      <c r="W2097" s="1056"/>
      <c r="X2097" s="1056"/>
      <c r="Y2097" s="1056"/>
      <c r="Z2097" s="1056"/>
      <c r="AA2097" s="1056"/>
      <c r="AB2097" s="1056"/>
      <c r="AC2097" s="1056"/>
      <c r="AD2097" s="1056"/>
      <c r="AE2097" s="1056"/>
      <c r="AF2097" s="264"/>
    </row>
    <row r="2098" spans="1:32" s="268" customFormat="1" ht="15" x14ac:dyDescent="0.25">
      <c r="A2098" s="264"/>
      <c r="B2098" s="264"/>
      <c r="C2098" s="1056"/>
      <c r="D2098" s="1056"/>
      <c r="E2098" s="1056"/>
      <c r="F2098" s="1056"/>
      <c r="G2098" s="1056"/>
      <c r="H2098" s="1056"/>
      <c r="I2098" s="1056"/>
      <c r="J2098" s="1056"/>
      <c r="K2098" s="1056"/>
      <c r="L2098" s="1056"/>
      <c r="M2098" s="274"/>
      <c r="P2098" s="264"/>
      <c r="Q2098" s="264"/>
      <c r="R2098" s="264"/>
      <c r="S2098" s="264"/>
      <c r="T2098" s="1056"/>
      <c r="U2098" s="1056"/>
      <c r="V2098" s="1056"/>
      <c r="W2098" s="1056"/>
      <c r="X2098" s="1056"/>
      <c r="Y2098" s="1056"/>
      <c r="Z2098" s="1056"/>
      <c r="AA2098" s="1056"/>
      <c r="AB2098" s="1056"/>
      <c r="AC2098" s="1056"/>
      <c r="AD2098" s="1056"/>
      <c r="AE2098" s="1056"/>
      <c r="AF2098" s="264"/>
    </row>
    <row r="2099" spans="1:32" s="268" customFormat="1" ht="15" x14ac:dyDescent="0.25">
      <c r="A2099" s="264"/>
      <c r="B2099" s="264"/>
      <c r="C2099" s="1056"/>
      <c r="D2099" s="1056"/>
      <c r="E2099" s="1056"/>
      <c r="F2099" s="1056"/>
      <c r="G2099" s="1056"/>
      <c r="H2099" s="1056"/>
      <c r="I2099" s="1056"/>
      <c r="J2099" s="1056"/>
      <c r="K2099" s="1056"/>
      <c r="L2099" s="1056"/>
      <c r="M2099" s="274"/>
      <c r="P2099" s="264"/>
      <c r="Q2099" s="264"/>
      <c r="R2099" s="264"/>
      <c r="S2099" s="264"/>
      <c r="T2099" s="1056"/>
      <c r="U2099" s="1056"/>
      <c r="V2099" s="1056"/>
      <c r="W2099" s="1056"/>
      <c r="X2099" s="1056"/>
      <c r="Y2099" s="1056"/>
      <c r="Z2099" s="1056"/>
      <c r="AA2099" s="1056"/>
      <c r="AB2099" s="1056"/>
      <c r="AC2099" s="1056"/>
      <c r="AD2099" s="1056"/>
      <c r="AE2099" s="1056"/>
      <c r="AF2099" s="264"/>
    </row>
    <row r="2100" spans="1:32" s="268" customFormat="1" ht="15" x14ac:dyDescent="0.25">
      <c r="A2100" s="264"/>
      <c r="B2100" s="264"/>
      <c r="C2100" s="1056"/>
      <c r="D2100" s="1056"/>
      <c r="E2100" s="1056"/>
      <c r="F2100" s="1056"/>
      <c r="G2100" s="1056"/>
      <c r="H2100" s="1056"/>
      <c r="I2100" s="1056"/>
      <c r="J2100" s="1056"/>
      <c r="K2100" s="1056"/>
      <c r="L2100" s="1056"/>
      <c r="M2100" s="274"/>
      <c r="P2100" s="264"/>
      <c r="Q2100" s="264"/>
      <c r="R2100" s="264"/>
      <c r="S2100" s="264"/>
      <c r="T2100" s="1056"/>
      <c r="U2100" s="1056"/>
      <c r="V2100" s="1056"/>
      <c r="W2100" s="1056"/>
      <c r="X2100" s="1056"/>
      <c r="Y2100" s="1056"/>
      <c r="Z2100" s="1056"/>
      <c r="AA2100" s="1056"/>
      <c r="AB2100" s="1056"/>
      <c r="AC2100" s="1056"/>
      <c r="AD2100" s="1056"/>
      <c r="AE2100" s="1056"/>
      <c r="AF2100" s="264"/>
    </row>
    <row r="2101" spans="1:32" s="268" customFormat="1" ht="15" x14ac:dyDescent="0.25">
      <c r="A2101" s="264"/>
      <c r="B2101" s="264"/>
      <c r="C2101" s="1056"/>
      <c r="D2101" s="1056"/>
      <c r="E2101" s="1056"/>
      <c r="F2101" s="1056"/>
      <c r="G2101" s="1056"/>
      <c r="H2101" s="1056"/>
      <c r="I2101" s="1056"/>
      <c r="J2101" s="1056"/>
      <c r="K2101" s="1056"/>
      <c r="L2101" s="1056"/>
      <c r="M2101" s="274"/>
      <c r="P2101" s="264"/>
      <c r="Q2101" s="264"/>
      <c r="R2101" s="264"/>
      <c r="S2101" s="264"/>
      <c r="T2101" s="1056"/>
      <c r="U2101" s="1056"/>
      <c r="V2101" s="1056"/>
      <c r="W2101" s="1056"/>
      <c r="X2101" s="1056"/>
      <c r="Y2101" s="1056"/>
      <c r="Z2101" s="1056"/>
      <c r="AA2101" s="1056"/>
      <c r="AB2101" s="1056"/>
      <c r="AC2101" s="1056"/>
      <c r="AD2101" s="1056"/>
      <c r="AE2101" s="1056"/>
      <c r="AF2101" s="264"/>
    </row>
    <row r="2102" spans="1:32" s="268" customFormat="1" ht="15" x14ac:dyDescent="0.25">
      <c r="A2102" s="264"/>
      <c r="B2102" s="264"/>
      <c r="C2102" s="1056"/>
      <c r="D2102" s="1056"/>
      <c r="E2102" s="1056"/>
      <c r="F2102" s="1056"/>
      <c r="G2102" s="1056"/>
      <c r="H2102" s="1056"/>
      <c r="I2102" s="1056"/>
      <c r="J2102" s="1056"/>
      <c r="K2102" s="1056"/>
      <c r="L2102" s="1056"/>
      <c r="M2102" s="274"/>
      <c r="P2102" s="264"/>
      <c r="Q2102" s="264"/>
      <c r="R2102" s="264"/>
      <c r="S2102" s="264"/>
      <c r="T2102" s="1056"/>
      <c r="U2102" s="1056"/>
      <c r="V2102" s="1056"/>
      <c r="W2102" s="1056"/>
      <c r="X2102" s="1056"/>
      <c r="Y2102" s="1056"/>
      <c r="Z2102" s="1056"/>
      <c r="AA2102" s="1056"/>
      <c r="AB2102" s="1056"/>
      <c r="AC2102" s="1056"/>
      <c r="AD2102" s="1056"/>
      <c r="AE2102" s="1056"/>
      <c r="AF2102" s="264"/>
    </row>
    <row r="2103" spans="1:32" s="268" customFormat="1" ht="15" x14ac:dyDescent="0.25">
      <c r="A2103" s="264"/>
      <c r="B2103" s="264"/>
      <c r="C2103" s="1056"/>
      <c r="D2103" s="1056"/>
      <c r="E2103" s="1056"/>
      <c r="F2103" s="1056"/>
      <c r="G2103" s="1056"/>
      <c r="H2103" s="1056"/>
      <c r="I2103" s="1056"/>
      <c r="J2103" s="1056"/>
      <c r="K2103" s="1056"/>
      <c r="L2103" s="1056"/>
      <c r="M2103" s="274"/>
      <c r="P2103" s="264"/>
      <c r="Q2103" s="264"/>
      <c r="R2103" s="264"/>
      <c r="S2103" s="264"/>
      <c r="T2103" s="1056"/>
      <c r="U2103" s="1056"/>
      <c r="V2103" s="1056"/>
      <c r="W2103" s="1056"/>
      <c r="X2103" s="1056"/>
      <c r="Y2103" s="1056"/>
      <c r="Z2103" s="1056"/>
      <c r="AA2103" s="1056"/>
      <c r="AB2103" s="1056"/>
      <c r="AC2103" s="1056"/>
      <c r="AD2103" s="1056"/>
      <c r="AE2103" s="1056"/>
      <c r="AF2103" s="264"/>
    </row>
    <row r="2104" spans="1:32" s="268" customFormat="1" ht="15" x14ac:dyDescent="0.25">
      <c r="A2104" s="264"/>
      <c r="B2104" s="264"/>
      <c r="C2104" s="1056"/>
      <c r="D2104" s="1056"/>
      <c r="E2104" s="1056"/>
      <c r="F2104" s="1056"/>
      <c r="G2104" s="1056"/>
      <c r="H2104" s="1056"/>
      <c r="I2104" s="1056"/>
      <c r="J2104" s="1056"/>
      <c r="K2104" s="1056"/>
      <c r="L2104" s="1056"/>
      <c r="M2104" s="274"/>
      <c r="P2104" s="264"/>
      <c r="Q2104" s="264"/>
      <c r="R2104" s="264"/>
      <c r="S2104" s="264"/>
      <c r="T2104" s="1056"/>
      <c r="U2104" s="1056"/>
      <c r="V2104" s="1056"/>
      <c r="W2104" s="1056"/>
      <c r="X2104" s="1056"/>
      <c r="Y2104" s="1056"/>
      <c r="Z2104" s="1056"/>
      <c r="AA2104" s="1056"/>
      <c r="AB2104" s="1056"/>
      <c r="AC2104" s="1056"/>
      <c r="AD2104" s="1056"/>
      <c r="AE2104" s="1056"/>
      <c r="AF2104" s="264"/>
    </row>
    <row r="2105" spans="1:32" s="268" customFormat="1" ht="15" x14ac:dyDescent="0.25">
      <c r="A2105" s="264"/>
      <c r="B2105" s="264"/>
      <c r="C2105" s="1056"/>
      <c r="D2105" s="1056"/>
      <c r="E2105" s="1056"/>
      <c r="F2105" s="1056"/>
      <c r="G2105" s="1056"/>
      <c r="H2105" s="1056"/>
      <c r="I2105" s="1056"/>
      <c r="J2105" s="1056"/>
      <c r="K2105" s="1056"/>
      <c r="L2105" s="1056"/>
      <c r="M2105" s="274"/>
      <c r="P2105" s="264"/>
      <c r="Q2105" s="264"/>
      <c r="R2105" s="264"/>
      <c r="S2105" s="264"/>
      <c r="T2105" s="1056"/>
      <c r="U2105" s="1056"/>
      <c r="V2105" s="1056"/>
      <c r="W2105" s="1056"/>
      <c r="X2105" s="1056"/>
      <c r="Y2105" s="1056"/>
      <c r="Z2105" s="1056"/>
      <c r="AA2105" s="1056"/>
      <c r="AB2105" s="1056"/>
      <c r="AC2105" s="1056"/>
      <c r="AD2105" s="1056"/>
      <c r="AE2105" s="1056"/>
      <c r="AF2105" s="264"/>
    </row>
    <row r="2106" spans="1:32" s="268" customFormat="1" ht="15" x14ac:dyDescent="0.25">
      <c r="A2106" s="264"/>
      <c r="B2106" s="264"/>
      <c r="C2106" s="1056"/>
      <c r="D2106" s="1056"/>
      <c r="E2106" s="1056"/>
      <c r="F2106" s="1056"/>
      <c r="G2106" s="1056"/>
      <c r="H2106" s="1056"/>
      <c r="I2106" s="1056"/>
      <c r="J2106" s="1056"/>
      <c r="K2106" s="1056"/>
      <c r="L2106" s="1056"/>
      <c r="M2106" s="274"/>
      <c r="P2106" s="264"/>
      <c r="Q2106" s="264"/>
      <c r="R2106" s="264"/>
      <c r="S2106" s="264"/>
      <c r="T2106" s="1056"/>
      <c r="U2106" s="1056"/>
      <c r="V2106" s="1056"/>
      <c r="W2106" s="1056"/>
      <c r="X2106" s="1056"/>
      <c r="Y2106" s="1056"/>
      <c r="Z2106" s="1056"/>
      <c r="AA2106" s="1056"/>
      <c r="AB2106" s="1056"/>
      <c r="AC2106" s="1056"/>
      <c r="AD2106" s="1056"/>
      <c r="AE2106" s="1056"/>
      <c r="AF2106" s="264"/>
    </row>
    <row r="2107" spans="1:32" s="268" customFormat="1" ht="15" x14ac:dyDescent="0.25">
      <c r="A2107" s="264"/>
      <c r="B2107" s="264"/>
      <c r="C2107" s="1056"/>
      <c r="D2107" s="1056"/>
      <c r="E2107" s="1056"/>
      <c r="F2107" s="1056"/>
      <c r="G2107" s="1056"/>
      <c r="H2107" s="1056"/>
      <c r="I2107" s="1056"/>
      <c r="J2107" s="1056"/>
      <c r="K2107" s="1056"/>
      <c r="L2107" s="1056"/>
      <c r="M2107" s="274"/>
      <c r="P2107" s="264"/>
      <c r="Q2107" s="264"/>
      <c r="R2107" s="264"/>
      <c r="S2107" s="264"/>
      <c r="T2107" s="1056"/>
      <c r="U2107" s="1056"/>
      <c r="V2107" s="1056"/>
      <c r="W2107" s="1056"/>
      <c r="X2107" s="1056"/>
      <c r="Y2107" s="1056"/>
      <c r="Z2107" s="1056"/>
      <c r="AA2107" s="1056"/>
      <c r="AB2107" s="1056"/>
      <c r="AC2107" s="1056"/>
      <c r="AD2107" s="1056"/>
      <c r="AE2107" s="1056"/>
      <c r="AF2107" s="264"/>
    </row>
    <row r="2108" spans="1:32" s="268" customFormat="1" ht="15" x14ac:dyDescent="0.25">
      <c r="A2108" s="264"/>
      <c r="B2108" s="264"/>
      <c r="C2108" s="1056"/>
      <c r="D2108" s="1056"/>
      <c r="E2108" s="1056"/>
      <c r="F2108" s="1056"/>
      <c r="G2108" s="1056"/>
      <c r="H2108" s="1056"/>
      <c r="I2108" s="1056"/>
      <c r="J2108" s="1056"/>
      <c r="K2108" s="1056"/>
      <c r="L2108" s="1056"/>
      <c r="M2108" s="274"/>
      <c r="P2108" s="264"/>
      <c r="Q2108" s="264"/>
      <c r="R2108" s="264"/>
      <c r="S2108" s="264"/>
      <c r="T2108" s="1056"/>
      <c r="U2108" s="1056"/>
      <c r="V2108" s="1056"/>
      <c r="W2108" s="1056"/>
      <c r="X2108" s="1056"/>
      <c r="Y2108" s="1056"/>
      <c r="Z2108" s="1056"/>
      <c r="AA2108" s="1056"/>
      <c r="AB2108" s="1056"/>
      <c r="AC2108" s="1056"/>
      <c r="AD2108" s="1056"/>
      <c r="AE2108" s="1056"/>
      <c r="AF2108" s="264"/>
    </row>
    <row r="2109" spans="1:32" s="268" customFormat="1" ht="15" x14ac:dyDescent="0.25">
      <c r="A2109" s="264"/>
      <c r="B2109" s="264"/>
      <c r="C2109" s="1056"/>
      <c r="D2109" s="1056"/>
      <c r="E2109" s="1056"/>
      <c r="F2109" s="1056"/>
      <c r="G2109" s="1056"/>
      <c r="H2109" s="1056"/>
      <c r="I2109" s="1056"/>
      <c r="J2109" s="1056"/>
      <c r="K2109" s="1056"/>
      <c r="L2109" s="1056"/>
      <c r="M2109" s="274"/>
      <c r="P2109" s="264"/>
      <c r="Q2109" s="264"/>
      <c r="R2109" s="264"/>
      <c r="S2109" s="264"/>
      <c r="T2109" s="1056"/>
      <c r="U2109" s="1056"/>
      <c r="V2109" s="1056"/>
      <c r="W2109" s="1056"/>
      <c r="X2109" s="1056"/>
      <c r="Y2109" s="1056"/>
      <c r="Z2109" s="1056"/>
      <c r="AA2109" s="1056"/>
      <c r="AB2109" s="1056"/>
      <c r="AC2109" s="1056"/>
      <c r="AD2109" s="1056"/>
      <c r="AE2109" s="1056"/>
      <c r="AF2109" s="264"/>
    </row>
    <row r="2110" spans="1:32" s="268" customFormat="1" ht="15" x14ac:dyDescent="0.25">
      <c r="A2110" s="264"/>
      <c r="B2110" s="264"/>
      <c r="C2110" s="1056"/>
      <c r="D2110" s="1056"/>
      <c r="E2110" s="1056"/>
      <c r="F2110" s="1056"/>
      <c r="G2110" s="1056"/>
      <c r="H2110" s="1056"/>
      <c r="I2110" s="1056"/>
      <c r="J2110" s="1056"/>
      <c r="K2110" s="1056"/>
      <c r="L2110" s="1056"/>
      <c r="M2110" s="274"/>
      <c r="P2110" s="264"/>
      <c r="Q2110" s="264"/>
      <c r="R2110" s="264"/>
      <c r="S2110" s="264"/>
      <c r="T2110" s="1056"/>
      <c r="U2110" s="1056"/>
      <c r="V2110" s="1056"/>
      <c r="W2110" s="1056"/>
      <c r="X2110" s="1056"/>
      <c r="Y2110" s="1056"/>
      <c r="Z2110" s="1056"/>
      <c r="AA2110" s="1056"/>
      <c r="AB2110" s="1056"/>
      <c r="AC2110" s="1056"/>
      <c r="AD2110" s="1056"/>
      <c r="AE2110" s="1056"/>
      <c r="AF2110" s="264"/>
    </row>
    <row r="2111" spans="1:32" s="268" customFormat="1" ht="15" x14ac:dyDescent="0.25">
      <c r="A2111" s="264"/>
      <c r="B2111" s="264"/>
      <c r="C2111" s="1056"/>
      <c r="D2111" s="1056"/>
      <c r="E2111" s="1056"/>
      <c r="F2111" s="1056"/>
      <c r="G2111" s="1056"/>
      <c r="H2111" s="1056"/>
      <c r="I2111" s="1056"/>
      <c r="J2111" s="1056"/>
      <c r="K2111" s="1056"/>
      <c r="L2111" s="1056"/>
      <c r="M2111" s="274"/>
      <c r="P2111" s="264"/>
      <c r="Q2111" s="264"/>
      <c r="R2111" s="264"/>
      <c r="S2111" s="264"/>
      <c r="T2111" s="1056"/>
      <c r="U2111" s="1056"/>
      <c r="V2111" s="1056"/>
      <c r="W2111" s="1056"/>
      <c r="X2111" s="1056"/>
      <c r="Y2111" s="1056"/>
      <c r="Z2111" s="1056"/>
      <c r="AA2111" s="1056"/>
      <c r="AB2111" s="1056"/>
      <c r="AC2111" s="1056"/>
      <c r="AD2111" s="1056"/>
      <c r="AE2111" s="1056"/>
      <c r="AF2111" s="264"/>
    </row>
    <row r="2112" spans="1:32" s="268" customFormat="1" ht="15" x14ac:dyDescent="0.25">
      <c r="A2112" s="264"/>
      <c r="B2112" s="264"/>
      <c r="C2112" s="1056"/>
      <c r="D2112" s="1056"/>
      <c r="E2112" s="1056"/>
      <c r="F2112" s="1056"/>
      <c r="G2112" s="1056"/>
      <c r="H2112" s="1056"/>
      <c r="I2112" s="1056"/>
      <c r="J2112" s="1056"/>
      <c r="K2112" s="1056"/>
      <c r="L2112" s="1056"/>
      <c r="M2112" s="274"/>
      <c r="P2112" s="264"/>
      <c r="Q2112" s="264"/>
      <c r="R2112" s="264"/>
      <c r="S2112" s="264"/>
      <c r="T2112" s="1056"/>
      <c r="U2112" s="1056"/>
      <c r="V2112" s="1056"/>
      <c r="W2112" s="1056"/>
      <c r="X2112" s="1056"/>
      <c r="Y2112" s="1056"/>
      <c r="Z2112" s="1056"/>
      <c r="AA2112" s="1056"/>
      <c r="AB2112" s="1056"/>
      <c r="AC2112" s="1056"/>
      <c r="AD2112" s="1056"/>
      <c r="AE2112" s="1056"/>
      <c r="AF2112" s="264"/>
    </row>
    <row r="2113" spans="1:32" s="268" customFormat="1" ht="15" x14ac:dyDescent="0.25">
      <c r="A2113" s="264"/>
      <c r="B2113" s="264"/>
      <c r="C2113" s="1056"/>
      <c r="D2113" s="1056"/>
      <c r="E2113" s="1056"/>
      <c r="F2113" s="1056"/>
      <c r="G2113" s="1056"/>
      <c r="H2113" s="1056"/>
      <c r="I2113" s="1056"/>
      <c r="J2113" s="1056"/>
      <c r="K2113" s="1056"/>
      <c r="L2113" s="1056"/>
      <c r="M2113" s="274"/>
      <c r="P2113" s="264"/>
      <c r="Q2113" s="264"/>
      <c r="R2113" s="264"/>
      <c r="S2113" s="264"/>
      <c r="T2113" s="1056"/>
      <c r="U2113" s="1056"/>
      <c r="V2113" s="1056"/>
      <c r="W2113" s="1056"/>
      <c r="X2113" s="1056"/>
      <c r="Y2113" s="1056"/>
      <c r="Z2113" s="1056"/>
      <c r="AA2113" s="1056"/>
      <c r="AB2113" s="1056"/>
      <c r="AC2113" s="1056"/>
      <c r="AD2113" s="1056"/>
      <c r="AE2113" s="1056"/>
      <c r="AF2113" s="264"/>
    </row>
    <row r="2114" spans="1:32" s="268" customFormat="1" ht="15" x14ac:dyDescent="0.25">
      <c r="A2114" s="264"/>
      <c r="B2114" s="264"/>
      <c r="C2114" s="1056"/>
      <c r="D2114" s="1056"/>
      <c r="E2114" s="1056"/>
      <c r="F2114" s="1056"/>
      <c r="G2114" s="1056"/>
      <c r="H2114" s="1056"/>
      <c r="I2114" s="1056"/>
      <c r="J2114" s="1056"/>
      <c r="K2114" s="1056"/>
      <c r="L2114" s="1056"/>
      <c r="M2114" s="274"/>
      <c r="P2114" s="264"/>
      <c r="Q2114" s="264"/>
      <c r="R2114" s="264"/>
      <c r="S2114" s="264"/>
      <c r="T2114" s="1056"/>
      <c r="U2114" s="1056"/>
      <c r="V2114" s="1056"/>
      <c r="W2114" s="1056"/>
      <c r="X2114" s="1056"/>
      <c r="Y2114" s="1056"/>
      <c r="Z2114" s="1056"/>
      <c r="AA2114" s="1056"/>
      <c r="AB2114" s="1056"/>
      <c r="AC2114" s="1056"/>
      <c r="AD2114" s="1056"/>
      <c r="AE2114" s="1056"/>
      <c r="AF2114" s="264"/>
    </row>
    <row r="2115" spans="1:32" s="268" customFormat="1" ht="15" x14ac:dyDescent="0.25">
      <c r="A2115" s="264"/>
      <c r="B2115" s="264"/>
      <c r="C2115" s="1056"/>
      <c r="D2115" s="1056"/>
      <c r="E2115" s="1056"/>
      <c r="F2115" s="1056"/>
      <c r="G2115" s="1056"/>
      <c r="H2115" s="1056"/>
      <c r="I2115" s="1056"/>
      <c r="J2115" s="1056"/>
      <c r="K2115" s="1056"/>
      <c r="L2115" s="1056"/>
      <c r="M2115" s="274"/>
      <c r="P2115" s="264"/>
      <c r="Q2115" s="264"/>
      <c r="R2115" s="264"/>
      <c r="S2115" s="264"/>
      <c r="T2115" s="1056"/>
      <c r="U2115" s="1056"/>
      <c r="V2115" s="1056"/>
      <c r="W2115" s="1056"/>
      <c r="X2115" s="1056"/>
      <c r="Y2115" s="1056"/>
      <c r="Z2115" s="1056"/>
      <c r="AA2115" s="1056"/>
      <c r="AB2115" s="1056"/>
      <c r="AC2115" s="1056"/>
      <c r="AD2115" s="1056"/>
      <c r="AE2115" s="1056"/>
      <c r="AF2115" s="264"/>
    </row>
    <row r="2116" spans="1:32" s="268" customFormat="1" ht="15" x14ac:dyDescent="0.25">
      <c r="A2116" s="264"/>
      <c r="B2116" s="264"/>
      <c r="C2116" s="1056"/>
      <c r="D2116" s="1056"/>
      <c r="E2116" s="1056"/>
      <c r="F2116" s="1056"/>
      <c r="G2116" s="1056"/>
      <c r="H2116" s="1056"/>
      <c r="I2116" s="1056"/>
      <c r="J2116" s="1056"/>
      <c r="K2116" s="1056"/>
      <c r="L2116" s="1056"/>
      <c r="M2116" s="274"/>
      <c r="P2116" s="264"/>
      <c r="Q2116" s="264"/>
      <c r="R2116" s="264"/>
      <c r="S2116" s="264"/>
      <c r="T2116" s="1056"/>
      <c r="U2116" s="1056"/>
      <c r="V2116" s="1056"/>
      <c r="W2116" s="1056"/>
      <c r="X2116" s="1056"/>
      <c r="Y2116" s="1056"/>
      <c r="Z2116" s="1056"/>
      <c r="AA2116" s="1056"/>
      <c r="AB2116" s="1056"/>
      <c r="AC2116" s="1056"/>
      <c r="AD2116" s="1056"/>
      <c r="AE2116" s="1056"/>
      <c r="AF2116" s="264"/>
    </row>
    <row r="2117" spans="1:32" s="268" customFormat="1" ht="15" x14ac:dyDescent="0.25">
      <c r="A2117" s="264"/>
      <c r="B2117" s="264"/>
      <c r="C2117" s="1056"/>
      <c r="D2117" s="1056"/>
      <c r="E2117" s="1056"/>
      <c r="F2117" s="1056"/>
      <c r="G2117" s="1056"/>
      <c r="H2117" s="1056"/>
      <c r="I2117" s="1056"/>
      <c r="J2117" s="1056"/>
      <c r="K2117" s="1056"/>
      <c r="L2117" s="1056"/>
      <c r="M2117" s="274"/>
      <c r="P2117" s="264"/>
      <c r="Q2117" s="264"/>
      <c r="R2117" s="264"/>
      <c r="S2117" s="264"/>
      <c r="T2117" s="1056"/>
      <c r="U2117" s="1056"/>
      <c r="V2117" s="1056"/>
      <c r="W2117" s="1056"/>
      <c r="X2117" s="1056"/>
      <c r="Y2117" s="1056"/>
      <c r="Z2117" s="1056"/>
      <c r="AA2117" s="1056"/>
      <c r="AB2117" s="1056"/>
      <c r="AC2117" s="1056"/>
      <c r="AD2117" s="1056"/>
      <c r="AE2117" s="1056"/>
      <c r="AF2117" s="264"/>
    </row>
    <row r="2118" spans="1:32" s="268" customFormat="1" ht="15" x14ac:dyDescent="0.25">
      <c r="A2118" s="264"/>
      <c r="B2118" s="264"/>
      <c r="C2118" s="1056"/>
      <c r="D2118" s="1056"/>
      <c r="E2118" s="1056"/>
      <c r="F2118" s="1056"/>
      <c r="G2118" s="1056"/>
      <c r="H2118" s="1056"/>
      <c r="I2118" s="1056"/>
      <c r="J2118" s="1056"/>
      <c r="K2118" s="1056"/>
      <c r="L2118" s="1056"/>
      <c r="M2118" s="274"/>
      <c r="P2118" s="264"/>
      <c r="Q2118" s="264"/>
      <c r="R2118" s="264"/>
      <c r="S2118" s="264"/>
      <c r="T2118" s="1056"/>
      <c r="U2118" s="1056"/>
      <c r="V2118" s="1056"/>
      <c r="W2118" s="1056"/>
      <c r="X2118" s="1056"/>
      <c r="Y2118" s="1056"/>
      <c r="Z2118" s="1056"/>
      <c r="AA2118" s="1056"/>
      <c r="AB2118" s="1056"/>
      <c r="AC2118" s="1056"/>
      <c r="AD2118" s="1056"/>
      <c r="AE2118" s="1056"/>
      <c r="AF2118" s="264"/>
    </row>
    <row r="2119" spans="1:32" s="268" customFormat="1" ht="15" x14ac:dyDescent="0.25">
      <c r="A2119" s="264"/>
      <c r="B2119" s="264"/>
      <c r="C2119" s="1056"/>
      <c r="D2119" s="1056"/>
      <c r="E2119" s="1056"/>
      <c r="F2119" s="1056"/>
      <c r="G2119" s="1056"/>
      <c r="H2119" s="1056"/>
      <c r="I2119" s="1056"/>
      <c r="J2119" s="1056"/>
      <c r="K2119" s="1056"/>
      <c r="L2119" s="1056"/>
      <c r="M2119" s="274"/>
      <c r="P2119" s="264"/>
      <c r="Q2119" s="264"/>
      <c r="R2119" s="264"/>
      <c r="S2119" s="264"/>
      <c r="T2119" s="1056"/>
      <c r="U2119" s="1056"/>
      <c r="V2119" s="1056"/>
      <c r="W2119" s="1056"/>
      <c r="X2119" s="1056"/>
      <c r="Y2119" s="1056"/>
      <c r="Z2119" s="1056"/>
      <c r="AA2119" s="1056"/>
      <c r="AB2119" s="1056"/>
      <c r="AC2119" s="1056"/>
      <c r="AD2119" s="1056"/>
      <c r="AE2119" s="1056"/>
      <c r="AF2119" s="264"/>
    </row>
    <row r="2120" spans="1:32" s="268" customFormat="1" ht="15" x14ac:dyDescent="0.25">
      <c r="A2120" s="264"/>
      <c r="B2120" s="264"/>
      <c r="C2120" s="1056"/>
      <c r="D2120" s="1056"/>
      <c r="E2120" s="1056"/>
      <c r="F2120" s="1056"/>
      <c r="G2120" s="1056"/>
      <c r="H2120" s="1056"/>
      <c r="I2120" s="1056"/>
      <c r="J2120" s="1056"/>
      <c r="K2120" s="1056"/>
      <c r="L2120" s="1056"/>
      <c r="M2120" s="274"/>
      <c r="P2120" s="264"/>
      <c r="Q2120" s="264"/>
      <c r="R2120" s="264"/>
      <c r="S2120" s="264"/>
      <c r="T2120" s="1056"/>
      <c r="U2120" s="1056"/>
      <c r="V2120" s="1056"/>
      <c r="W2120" s="1056"/>
      <c r="X2120" s="1056"/>
      <c r="Y2120" s="1056"/>
      <c r="Z2120" s="1056"/>
      <c r="AA2120" s="1056"/>
      <c r="AB2120" s="1056"/>
      <c r="AC2120" s="1056"/>
      <c r="AD2120" s="1056"/>
      <c r="AE2120" s="1056"/>
      <c r="AF2120" s="264"/>
    </row>
    <row r="2121" spans="1:32" s="268" customFormat="1" ht="15" x14ac:dyDescent="0.25">
      <c r="A2121" s="264"/>
      <c r="B2121" s="264"/>
      <c r="C2121" s="1056"/>
      <c r="D2121" s="1056"/>
      <c r="E2121" s="1056"/>
      <c r="F2121" s="1056"/>
      <c r="G2121" s="1056"/>
      <c r="H2121" s="1056"/>
      <c r="I2121" s="1056"/>
      <c r="J2121" s="1056"/>
      <c r="K2121" s="1056"/>
      <c r="L2121" s="1056"/>
      <c r="M2121" s="274"/>
      <c r="P2121" s="264"/>
      <c r="Q2121" s="264"/>
      <c r="R2121" s="264"/>
      <c r="S2121" s="264"/>
      <c r="T2121" s="1056"/>
      <c r="U2121" s="1056"/>
      <c r="V2121" s="1056"/>
      <c r="W2121" s="1056"/>
      <c r="X2121" s="1056"/>
      <c r="Y2121" s="1056"/>
      <c r="Z2121" s="1056"/>
      <c r="AA2121" s="1056"/>
      <c r="AB2121" s="1056"/>
      <c r="AC2121" s="1056"/>
      <c r="AD2121" s="1056"/>
      <c r="AE2121" s="1056"/>
      <c r="AF2121" s="264"/>
    </row>
    <row r="2122" spans="1:32" s="268" customFormat="1" ht="15" x14ac:dyDescent="0.25">
      <c r="A2122" s="264"/>
      <c r="B2122" s="264"/>
      <c r="C2122" s="1056"/>
      <c r="D2122" s="1056"/>
      <c r="E2122" s="1056"/>
      <c r="F2122" s="1056"/>
      <c r="G2122" s="1056"/>
      <c r="H2122" s="1056"/>
      <c r="I2122" s="1056"/>
      <c r="J2122" s="1056"/>
      <c r="K2122" s="1056"/>
      <c r="L2122" s="1056"/>
      <c r="M2122" s="274"/>
      <c r="P2122" s="264"/>
      <c r="Q2122" s="264"/>
      <c r="R2122" s="264"/>
      <c r="S2122" s="264"/>
      <c r="T2122" s="1056"/>
      <c r="U2122" s="1056"/>
      <c r="V2122" s="1056"/>
      <c r="W2122" s="1056"/>
      <c r="X2122" s="1056"/>
      <c r="Y2122" s="1056"/>
      <c r="Z2122" s="1056"/>
      <c r="AA2122" s="1056"/>
      <c r="AB2122" s="1056"/>
      <c r="AC2122" s="1056"/>
      <c r="AD2122" s="1056"/>
      <c r="AE2122" s="1056"/>
      <c r="AF2122" s="264"/>
    </row>
    <row r="2123" spans="1:32" s="268" customFormat="1" ht="15" x14ac:dyDescent="0.25">
      <c r="A2123" s="264"/>
      <c r="B2123" s="264"/>
      <c r="C2123" s="1056"/>
      <c r="D2123" s="1056"/>
      <c r="E2123" s="1056"/>
      <c r="F2123" s="1056"/>
      <c r="G2123" s="1056"/>
      <c r="H2123" s="1056"/>
      <c r="I2123" s="1056"/>
      <c r="J2123" s="1056"/>
      <c r="K2123" s="1056"/>
      <c r="L2123" s="1056"/>
      <c r="M2123" s="274"/>
      <c r="P2123" s="264"/>
      <c r="Q2123" s="264"/>
      <c r="R2123" s="264"/>
      <c r="S2123" s="264"/>
      <c r="T2123" s="1056"/>
      <c r="U2123" s="1056"/>
      <c r="V2123" s="1056"/>
      <c r="W2123" s="1056"/>
      <c r="X2123" s="1056"/>
      <c r="Y2123" s="1056"/>
      <c r="Z2123" s="1056"/>
      <c r="AA2123" s="1056"/>
      <c r="AB2123" s="1056"/>
      <c r="AC2123" s="1056"/>
      <c r="AD2123" s="1056"/>
      <c r="AE2123" s="1056"/>
      <c r="AF2123" s="264"/>
    </row>
    <row r="2124" spans="1:32" s="268" customFormat="1" ht="15" x14ac:dyDescent="0.25">
      <c r="A2124" s="264"/>
      <c r="B2124" s="264"/>
      <c r="C2124" s="1056"/>
      <c r="D2124" s="1056"/>
      <c r="E2124" s="1056"/>
      <c r="F2124" s="1056"/>
      <c r="G2124" s="1056"/>
      <c r="H2124" s="1056"/>
      <c r="I2124" s="1056"/>
      <c r="J2124" s="1056"/>
      <c r="K2124" s="1056"/>
      <c r="L2124" s="1056"/>
      <c r="M2124" s="274"/>
      <c r="P2124" s="264"/>
      <c r="Q2124" s="264"/>
      <c r="R2124" s="264"/>
      <c r="S2124" s="264"/>
      <c r="T2124" s="1056"/>
      <c r="U2124" s="1056"/>
      <c r="V2124" s="1056"/>
      <c r="W2124" s="1056"/>
      <c r="X2124" s="1056"/>
      <c r="Y2124" s="1056"/>
      <c r="Z2124" s="1056"/>
      <c r="AA2124" s="1056"/>
      <c r="AB2124" s="1056"/>
      <c r="AC2124" s="1056"/>
      <c r="AD2124" s="1056"/>
      <c r="AE2124" s="1056"/>
      <c r="AF2124" s="264"/>
    </row>
    <row r="2125" spans="1:32" s="268" customFormat="1" ht="15" x14ac:dyDescent="0.25">
      <c r="A2125" s="264"/>
      <c r="B2125" s="264"/>
      <c r="C2125" s="1056"/>
      <c r="D2125" s="1056"/>
      <c r="E2125" s="1056"/>
      <c r="F2125" s="1056"/>
      <c r="G2125" s="1056"/>
      <c r="H2125" s="1056"/>
      <c r="I2125" s="1056"/>
      <c r="J2125" s="1056"/>
      <c r="K2125" s="1056"/>
      <c r="L2125" s="1056"/>
      <c r="M2125" s="274"/>
      <c r="P2125" s="264"/>
      <c r="Q2125" s="264"/>
      <c r="R2125" s="264"/>
      <c r="S2125" s="264"/>
      <c r="T2125" s="1056"/>
      <c r="U2125" s="1056"/>
      <c r="V2125" s="1056"/>
      <c r="W2125" s="1056"/>
      <c r="X2125" s="1056"/>
      <c r="Y2125" s="1056"/>
      <c r="Z2125" s="1056"/>
      <c r="AA2125" s="1056"/>
      <c r="AB2125" s="1056"/>
      <c r="AC2125" s="1056"/>
      <c r="AD2125" s="1056"/>
      <c r="AE2125" s="1056"/>
      <c r="AF2125" s="264"/>
    </row>
    <row r="2126" spans="1:32" s="268" customFormat="1" ht="15" x14ac:dyDescent="0.25">
      <c r="A2126" s="264"/>
      <c r="B2126" s="264"/>
      <c r="C2126" s="1056"/>
      <c r="D2126" s="1056"/>
      <c r="E2126" s="1056"/>
      <c r="F2126" s="1056"/>
      <c r="G2126" s="1056"/>
      <c r="H2126" s="1056"/>
      <c r="I2126" s="1056"/>
      <c r="J2126" s="1056"/>
      <c r="K2126" s="1056"/>
      <c r="L2126" s="1056"/>
      <c r="M2126" s="274"/>
      <c r="P2126" s="264"/>
      <c r="Q2126" s="264"/>
      <c r="R2126" s="264"/>
      <c r="S2126" s="264"/>
      <c r="T2126" s="1056"/>
      <c r="U2126" s="1056"/>
      <c r="V2126" s="1056"/>
      <c r="W2126" s="1056"/>
      <c r="X2126" s="1056"/>
      <c r="Y2126" s="1056"/>
      <c r="Z2126" s="1056"/>
      <c r="AA2126" s="1056"/>
      <c r="AB2126" s="1056"/>
      <c r="AC2126" s="1056"/>
      <c r="AD2126" s="1056"/>
      <c r="AE2126" s="1056"/>
      <c r="AF2126" s="264"/>
    </row>
    <row r="2127" spans="1:32" s="268" customFormat="1" ht="15" x14ac:dyDescent="0.25">
      <c r="A2127" s="264"/>
      <c r="B2127" s="264"/>
      <c r="C2127" s="1056"/>
      <c r="D2127" s="1056"/>
      <c r="E2127" s="1056"/>
      <c r="F2127" s="1056"/>
      <c r="G2127" s="1056"/>
      <c r="H2127" s="1056"/>
      <c r="I2127" s="1056"/>
      <c r="J2127" s="1056"/>
      <c r="K2127" s="1056"/>
      <c r="L2127" s="1056"/>
      <c r="M2127" s="274"/>
      <c r="P2127" s="264"/>
      <c r="Q2127" s="264"/>
      <c r="R2127" s="264"/>
      <c r="S2127" s="264"/>
      <c r="T2127" s="1056"/>
      <c r="U2127" s="1056"/>
      <c r="V2127" s="1056"/>
      <c r="W2127" s="1056"/>
      <c r="X2127" s="1056"/>
      <c r="Y2127" s="1056"/>
      <c r="Z2127" s="1056"/>
      <c r="AA2127" s="1056"/>
      <c r="AB2127" s="1056"/>
      <c r="AC2127" s="1056"/>
      <c r="AD2127" s="1056"/>
      <c r="AE2127" s="1056"/>
      <c r="AF2127" s="264"/>
    </row>
    <row r="2128" spans="1:32" s="268" customFormat="1" ht="15" x14ac:dyDescent="0.25">
      <c r="A2128" s="264"/>
      <c r="B2128" s="264"/>
      <c r="C2128" s="1056"/>
      <c r="D2128" s="1056"/>
      <c r="E2128" s="1056"/>
      <c r="F2128" s="1056"/>
      <c r="G2128" s="1056"/>
      <c r="H2128" s="1056"/>
      <c r="I2128" s="1056"/>
      <c r="J2128" s="1056"/>
      <c r="K2128" s="1056"/>
      <c r="L2128" s="1056"/>
      <c r="M2128" s="274"/>
      <c r="P2128" s="264"/>
      <c r="Q2128" s="264"/>
      <c r="R2128" s="264"/>
      <c r="S2128" s="264"/>
      <c r="T2128" s="1056"/>
      <c r="U2128" s="1056"/>
      <c r="V2128" s="1056"/>
      <c r="W2128" s="1056"/>
      <c r="X2128" s="1056"/>
      <c r="Y2128" s="1056"/>
      <c r="Z2128" s="1056"/>
      <c r="AA2128" s="1056"/>
      <c r="AB2128" s="1056"/>
      <c r="AC2128" s="1056"/>
      <c r="AD2128" s="1056"/>
      <c r="AE2128" s="1056"/>
      <c r="AF2128" s="264"/>
    </row>
    <row r="2129" spans="1:32" s="268" customFormat="1" ht="15" x14ac:dyDescent="0.25">
      <c r="A2129" s="264"/>
      <c r="B2129" s="264"/>
      <c r="C2129" s="1056"/>
      <c r="D2129" s="1056"/>
      <c r="E2129" s="1056"/>
      <c r="F2129" s="1056"/>
      <c r="G2129" s="1056"/>
      <c r="H2129" s="1056"/>
      <c r="I2129" s="1056"/>
      <c r="J2129" s="1056"/>
      <c r="K2129" s="1056"/>
      <c r="L2129" s="1056"/>
      <c r="M2129" s="274"/>
      <c r="P2129" s="264"/>
      <c r="Q2129" s="264"/>
      <c r="R2129" s="264"/>
      <c r="S2129" s="264"/>
      <c r="T2129" s="1056"/>
      <c r="U2129" s="1056"/>
      <c r="V2129" s="1056"/>
      <c r="W2129" s="1056"/>
      <c r="X2129" s="1056"/>
      <c r="Y2129" s="1056"/>
      <c r="Z2129" s="1056"/>
      <c r="AA2129" s="1056"/>
      <c r="AB2129" s="1056"/>
      <c r="AC2129" s="1056"/>
      <c r="AD2129" s="1056"/>
      <c r="AE2129" s="1056"/>
      <c r="AF2129" s="264"/>
    </row>
    <row r="2130" spans="1:32" s="268" customFormat="1" ht="15" x14ac:dyDescent="0.25">
      <c r="A2130" s="264"/>
      <c r="B2130" s="264"/>
      <c r="C2130" s="1056"/>
      <c r="D2130" s="1056"/>
      <c r="E2130" s="1056"/>
      <c r="F2130" s="1056"/>
      <c r="G2130" s="1056"/>
      <c r="H2130" s="1056"/>
      <c r="I2130" s="1056"/>
      <c r="J2130" s="1056"/>
      <c r="K2130" s="1056"/>
      <c r="L2130" s="1056"/>
      <c r="M2130" s="274"/>
      <c r="P2130" s="264"/>
      <c r="Q2130" s="264"/>
      <c r="R2130" s="264"/>
      <c r="S2130" s="264"/>
      <c r="T2130" s="1056"/>
      <c r="U2130" s="1056"/>
      <c r="V2130" s="1056"/>
      <c r="W2130" s="1056"/>
      <c r="X2130" s="1056"/>
      <c r="Y2130" s="1056"/>
      <c r="Z2130" s="1056"/>
      <c r="AA2130" s="1056"/>
      <c r="AB2130" s="1056"/>
      <c r="AC2130" s="1056"/>
      <c r="AD2130" s="1056"/>
      <c r="AE2130" s="1056"/>
      <c r="AF2130" s="264"/>
    </row>
    <row r="2131" spans="1:32" s="268" customFormat="1" ht="15" x14ac:dyDescent="0.25">
      <c r="A2131" s="264"/>
      <c r="B2131" s="264"/>
      <c r="C2131" s="1056"/>
      <c r="D2131" s="1056"/>
      <c r="E2131" s="1056"/>
      <c r="F2131" s="1056"/>
      <c r="G2131" s="1056"/>
      <c r="H2131" s="1056"/>
      <c r="I2131" s="1056"/>
      <c r="J2131" s="1056"/>
      <c r="K2131" s="1056"/>
      <c r="L2131" s="1056"/>
      <c r="M2131" s="274"/>
      <c r="P2131" s="264"/>
      <c r="Q2131" s="264"/>
      <c r="R2131" s="264"/>
      <c r="S2131" s="264"/>
      <c r="T2131" s="1056"/>
      <c r="U2131" s="1056"/>
      <c r="V2131" s="1056"/>
      <c r="W2131" s="1056"/>
      <c r="X2131" s="1056"/>
      <c r="Y2131" s="1056"/>
      <c r="Z2131" s="1056"/>
      <c r="AA2131" s="1056"/>
      <c r="AB2131" s="1056"/>
      <c r="AC2131" s="1056"/>
      <c r="AD2131" s="1056"/>
      <c r="AE2131" s="1056"/>
      <c r="AF2131" s="264"/>
    </row>
    <row r="2132" spans="1:32" s="268" customFormat="1" ht="15" x14ac:dyDescent="0.25">
      <c r="A2132" s="264"/>
      <c r="B2132" s="264"/>
      <c r="C2132" s="1056"/>
      <c r="D2132" s="1056"/>
      <c r="E2132" s="1056"/>
      <c r="F2132" s="1056"/>
      <c r="G2132" s="1056"/>
      <c r="H2132" s="1056"/>
      <c r="I2132" s="1056"/>
      <c r="J2132" s="1056"/>
      <c r="K2132" s="1056"/>
      <c r="L2132" s="1056"/>
      <c r="M2132" s="274"/>
      <c r="P2132" s="264"/>
      <c r="Q2132" s="264"/>
      <c r="R2132" s="264"/>
      <c r="S2132" s="264"/>
      <c r="T2132" s="1056"/>
      <c r="U2132" s="1056"/>
      <c r="V2132" s="1056"/>
      <c r="W2132" s="1056"/>
      <c r="X2132" s="1056"/>
      <c r="Y2132" s="1056"/>
      <c r="Z2132" s="1056"/>
      <c r="AA2132" s="1056"/>
      <c r="AB2132" s="1056"/>
      <c r="AC2132" s="1056"/>
      <c r="AD2132" s="1056"/>
      <c r="AE2132" s="1056"/>
      <c r="AF2132" s="264"/>
    </row>
    <row r="2133" spans="1:32" s="268" customFormat="1" ht="15" x14ac:dyDescent="0.25">
      <c r="A2133" s="264"/>
      <c r="B2133" s="264"/>
      <c r="C2133" s="1056"/>
      <c r="D2133" s="1056"/>
      <c r="E2133" s="1056"/>
      <c r="F2133" s="1056"/>
      <c r="G2133" s="1056"/>
      <c r="H2133" s="1056"/>
      <c r="I2133" s="1056"/>
      <c r="J2133" s="1056"/>
      <c r="K2133" s="1056"/>
      <c r="L2133" s="1056"/>
      <c r="M2133" s="274"/>
      <c r="P2133" s="264"/>
      <c r="Q2133" s="264"/>
      <c r="R2133" s="264"/>
      <c r="S2133" s="264"/>
      <c r="T2133" s="1056"/>
      <c r="U2133" s="1056"/>
      <c r="V2133" s="1056"/>
      <c r="W2133" s="1056"/>
      <c r="X2133" s="1056"/>
      <c r="Y2133" s="1056"/>
      <c r="Z2133" s="1056"/>
      <c r="AA2133" s="1056"/>
      <c r="AB2133" s="1056"/>
      <c r="AC2133" s="1056"/>
      <c r="AD2133" s="1056"/>
      <c r="AE2133" s="1056"/>
      <c r="AF2133" s="264"/>
    </row>
    <row r="2134" spans="1:32" s="268" customFormat="1" ht="15" x14ac:dyDescent="0.25">
      <c r="A2134" s="264"/>
      <c r="B2134" s="264"/>
      <c r="C2134" s="1056"/>
      <c r="D2134" s="1056"/>
      <c r="E2134" s="1056"/>
      <c r="F2134" s="1056"/>
      <c r="G2134" s="1056"/>
      <c r="H2134" s="1056"/>
      <c r="I2134" s="1056"/>
      <c r="J2134" s="1056"/>
      <c r="K2134" s="1056"/>
      <c r="L2134" s="1056"/>
      <c r="M2134" s="274"/>
      <c r="P2134" s="264"/>
      <c r="Q2134" s="264"/>
      <c r="R2134" s="264"/>
      <c r="S2134" s="264"/>
      <c r="T2134" s="1056"/>
      <c r="U2134" s="1056"/>
      <c r="V2134" s="1056"/>
      <c r="W2134" s="1056"/>
      <c r="X2134" s="1056"/>
      <c r="Y2134" s="1056"/>
      <c r="Z2134" s="1056"/>
      <c r="AA2134" s="1056"/>
      <c r="AB2134" s="1056"/>
      <c r="AC2134" s="1056"/>
      <c r="AD2134" s="1056"/>
      <c r="AE2134" s="1056"/>
      <c r="AF2134" s="264"/>
    </row>
    <row r="2135" spans="1:32" s="268" customFormat="1" ht="15" x14ac:dyDescent="0.25">
      <c r="A2135" s="264"/>
      <c r="B2135" s="264"/>
      <c r="C2135" s="1056"/>
      <c r="D2135" s="1056"/>
      <c r="E2135" s="1056"/>
      <c r="F2135" s="1056"/>
      <c r="G2135" s="1056"/>
      <c r="H2135" s="1056"/>
      <c r="I2135" s="1056"/>
      <c r="J2135" s="1056"/>
      <c r="K2135" s="1056"/>
      <c r="L2135" s="1056"/>
      <c r="M2135" s="274"/>
      <c r="P2135" s="264"/>
      <c r="Q2135" s="264"/>
      <c r="R2135" s="264"/>
      <c r="S2135" s="264"/>
      <c r="T2135" s="1056"/>
      <c r="U2135" s="1056"/>
      <c r="V2135" s="1056"/>
      <c r="W2135" s="1056"/>
      <c r="X2135" s="1056"/>
      <c r="Y2135" s="1056"/>
      <c r="Z2135" s="1056"/>
      <c r="AA2135" s="1056"/>
      <c r="AB2135" s="1056"/>
      <c r="AC2135" s="1056"/>
      <c r="AD2135" s="1056"/>
      <c r="AE2135" s="1056"/>
      <c r="AF2135" s="264"/>
    </row>
    <row r="2136" spans="1:32" s="268" customFormat="1" ht="15" x14ac:dyDescent="0.25">
      <c r="A2136" s="264"/>
      <c r="B2136" s="264"/>
      <c r="C2136" s="1056"/>
      <c r="D2136" s="1056"/>
      <c r="E2136" s="1056"/>
      <c r="F2136" s="1056"/>
      <c r="G2136" s="1056"/>
      <c r="H2136" s="1056"/>
      <c r="I2136" s="1056"/>
      <c r="J2136" s="1056"/>
      <c r="K2136" s="1056"/>
      <c r="L2136" s="1056"/>
      <c r="M2136" s="274"/>
      <c r="P2136" s="264"/>
      <c r="Q2136" s="264"/>
      <c r="R2136" s="264"/>
      <c r="S2136" s="264"/>
      <c r="T2136" s="1056"/>
      <c r="U2136" s="1056"/>
      <c r="V2136" s="1056"/>
      <c r="W2136" s="1056"/>
      <c r="X2136" s="1056"/>
      <c r="Y2136" s="1056"/>
      <c r="Z2136" s="1056"/>
      <c r="AA2136" s="1056"/>
      <c r="AB2136" s="1056"/>
      <c r="AC2136" s="1056"/>
      <c r="AD2136" s="1056"/>
      <c r="AE2136" s="1056"/>
      <c r="AF2136" s="264"/>
    </row>
    <row r="2137" spans="1:32" s="268" customFormat="1" ht="15" x14ac:dyDescent="0.25">
      <c r="A2137" s="264"/>
      <c r="B2137" s="264"/>
      <c r="C2137" s="1056"/>
      <c r="D2137" s="1056"/>
      <c r="E2137" s="1056"/>
      <c r="F2137" s="1056"/>
      <c r="G2137" s="1056"/>
      <c r="H2137" s="1056"/>
      <c r="I2137" s="1056"/>
      <c r="J2137" s="1056"/>
      <c r="K2137" s="1056"/>
      <c r="L2137" s="1056"/>
      <c r="M2137" s="274"/>
      <c r="P2137" s="264"/>
      <c r="Q2137" s="264"/>
      <c r="R2137" s="264"/>
      <c r="S2137" s="264"/>
      <c r="T2137" s="1056"/>
      <c r="U2137" s="1056"/>
      <c r="V2137" s="1056"/>
      <c r="W2137" s="1056"/>
      <c r="X2137" s="1056"/>
      <c r="Y2137" s="1056"/>
      <c r="Z2137" s="1056"/>
      <c r="AA2137" s="1056"/>
      <c r="AB2137" s="1056"/>
      <c r="AC2137" s="1056"/>
      <c r="AD2137" s="1056"/>
      <c r="AE2137" s="1056"/>
      <c r="AF2137" s="264"/>
    </row>
    <row r="2138" spans="1:32" s="268" customFormat="1" ht="15" x14ac:dyDescent="0.25">
      <c r="A2138" s="264"/>
      <c r="B2138" s="264"/>
      <c r="C2138" s="1056"/>
      <c r="D2138" s="1056"/>
      <c r="E2138" s="1056"/>
      <c r="F2138" s="1056"/>
      <c r="G2138" s="1056"/>
      <c r="H2138" s="1056"/>
      <c r="I2138" s="1056"/>
      <c r="J2138" s="1056"/>
      <c r="K2138" s="1056"/>
      <c r="L2138" s="1056"/>
      <c r="M2138" s="274"/>
      <c r="P2138" s="264"/>
      <c r="Q2138" s="264"/>
      <c r="R2138" s="264"/>
      <c r="S2138" s="264"/>
      <c r="T2138" s="1056"/>
      <c r="U2138" s="1056"/>
      <c r="V2138" s="1056"/>
      <c r="W2138" s="1056"/>
      <c r="X2138" s="1056"/>
      <c r="Y2138" s="1056"/>
      <c r="Z2138" s="1056"/>
      <c r="AA2138" s="1056"/>
      <c r="AB2138" s="1056"/>
      <c r="AC2138" s="1056"/>
      <c r="AD2138" s="1056"/>
      <c r="AE2138" s="1056"/>
      <c r="AF2138" s="264"/>
    </row>
    <row r="2139" spans="1:32" s="268" customFormat="1" ht="15" x14ac:dyDescent="0.25">
      <c r="A2139" s="264"/>
      <c r="B2139" s="264"/>
      <c r="C2139" s="1056"/>
      <c r="D2139" s="1056"/>
      <c r="E2139" s="1056"/>
      <c r="F2139" s="1056"/>
      <c r="G2139" s="1056"/>
      <c r="H2139" s="1056"/>
      <c r="I2139" s="1056"/>
      <c r="J2139" s="1056"/>
      <c r="K2139" s="1056"/>
      <c r="L2139" s="1056"/>
      <c r="M2139" s="274"/>
      <c r="P2139" s="264"/>
      <c r="Q2139" s="264"/>
      <c r="R2139" s="264"/>
      <c r="S2139" s="264"/>
      <c r="T2139" s="1056"/>
      <c r="U2139" s="1056"/>
      <c r="V2139" s="1056"/>
      <c r="W2139" s="1056"/>
      <c r="X2139" s="1056"/>
      <c r="Y2139" s="1056"/>
      <c r="Z2139" s="1056"/>
      <c r="AA2139" s="1056"/>
      <c r="AB2139" s="1056"/>
      <c r="AC2139" s="1056"/>
      <c r="AD2139" s="1056"/>
      <c r="AE2139" s="1056"/>
      <c r="AF2139" s="264"/>
    </row>
    <row r="2140" spans="1:32" s="268" customFormat="1" ht="15" x14ac:dyDescent="0.25">
      <c r="A2140" s="264"/>
      <c r="B2140" s="264"/>
      <c r="C2140" s="1056"/>
      <c r="D2140" s="1056"/>
      <c r="E2140" s="1056"/>
      <c r="F2140" s="1056"/>
      <c r="G2140" s="1056"/>
      <c r="H2140" s="1056"/>
      <c r="I2140" s="1056"/>
      <c r="J2140" s="1056"/>
      <c r="K2140" s="1056"/>
      <c r="L2140" s="1056"/>
      <c r="M2140" s="274"/>
      <c r="P2140" s="264"/>
      <c r="Q2140" s="264"/>
      <c r="R2140" s="264"/>
      <c r="S2140" s="264"/>
      <c r="T2140" s="1056"/>
      <c r="U2140" s="1056"/>
      <c r="V2140" s="1056"/>
      <c r="W2140" s="1056"/>
      <c r="X2140" s="1056"/>
      <c r="Y2140" s="1056"/>
      <c r="Z2140" s="1056"/>
      <c r="AA2140" s="1056"/>
      <c r="AB2140" s="1056"/>
      <c r="AC2140" s="1056"/>
      <c r="AD2140" s="1056"/>
      <c r="AE2140" s="1056"/>
      <c r="AF2140" s="264"/>
    </row>
    <row r="2141" spans="1:32" s="268" customFormat="1" ht="15" x14ac:dyDescent="0.25">
      <c r="A2141" s="264"/>
      <c r="B2141" s="264"/>
      <c r="C2141" s="1056"/>
      <c r="D2141" s="1056"/>
      <c r="E2141" s="1056"/>
      <c r="F2141" s="1056"/>
      <c r="G2141" s="1056"/>
      <c r="H2141" s="1056"/>
      <c r="I2141" s="1056"/>
      <c r="J2141" s="1056"/>
      <c r="K2141" s="1056"/>
      <c r="L2141" s="1056"/>
      <c r="M2141" s="274"/>
      <c r="P2141" s="264"/>
      <c r="Q2141" s="264"/>
      <c r="R2141" s="264"/>
      <c r="S2141" s="264"/>
      <c r="T2141" s="1056"/>
      <c r="U2141" s="1056"/>
      <c r="V2141" s="1056"/>
      <c r="W2141" s="1056"/>
      <c r="X2141" s="1056"/>
      <c r="Y2141" s="1056"/>
      <c r="Z2141" s="1056"/>
      <c r="AA2141" s="1056"/>
      <c r="AB2141" s="1056"/>
      <c r="AC2141" s="1056"/>
      <c r="AD2141" s="1056"/>
      <c r="AE2141" s="1056"/>
      <c r="AF2141" s="264"/>
    </row>
    <row r="2142" spans="1:32" s="268" customFormat="1" ht="15" x14ac:dyDescent="0.25">
      <c r="A2142" s="264"/>
      <c r="B2142" s="264"/>
      <c r="C2142" s="1056"/>
      <c r="D2142" s="1056"/>
      <c r="E2142" s="1056"/>
      <c r="F2142" s="1056"/>
      <c r="G2142" s="1056"/>
      <c r="H2142" s="1056"/>
      <c r="I2142" s="1056"/>
      <c r="J2142" s="1056"/>
      <c r="K2142" s="1056"/>
      <c r="L2142" s="1056"/>
      <c r="M2142" s="274"/>
      <c r="P2142" s="264"/>
      <c r="Q2142" s="264"/>
      <c r="R2142" s="264"/>
      <c r="S2142" s="264"/>
      <c r="T2142" s="1056"/>
      <c r="U2142" s="1056"/>
      <c r="V2142" s="1056"/>
      <c r="W2142" s="1056"/>
      <c r="X2142" s="1056"/>
      <c r="Y2142" s="1056"/>
      <c r="Z2142" s="1056"/>
      <c r="AA2142" s="1056"/>
      <c r="AB2142" s="1056"/>
      <c r="AC2142" s="1056"/>
      <c r="AD2142" s="1056"/>
      <c r="AE2142" s="1056"/>
      <c r="AF2142" s="264"/>
    </row>
    <row r="2143" spans="1:32" s="268" customFormat="1" ht="15" x14ac:dyDescent="0.25">
      <c r="A2143" s="264"/>
      <c r="B2143" s="264"/>
      <c r="C2143" s="1056"/>
      <c r="D2143" s="1056"/>
      <c r="E2143" s="1056"/>
      <c r="F2143" s="1056"/>
      <c r="G2143" s="1056"/>
      <c r="H2143" s="1056"/>
      <c r="I2143" s="1056"/>
      <c r="J2143" s="1056"/>
      <c r="K2143" s="1056"/>
      <c r="L2143" s="1056"/>
      <c r="M2143" s="274"/>
      <c r="P2143" s="264"/>
      <c r="Q2143" s="264"/>
      <c r="R2143" s="264"/>
      <c r="S2143" s="264"/>
      <c r="T2143" s="1056"/>
      <c r="U2143" s="1056"/>
      <c r="V2143" s="1056"/>
      <c r="W2143" s="1056"/>
      <c r="X2143" s="1056"/>
      <c r="Y2143" s="1056"/>
      <c r="Z2143" s="1056"/>
      <c r="AA2143" s="1056"/>
      <c r="AB2143" s="1056"/>
      <c r="AC2143" s="1056"/>
      <c r="AD2143" s="1056"/>
      <c r="AE2143" s="1056"/>
      <c r="AF2143" s="264"/>
    </row>
    <row r="2144" spans="1:32" s="268" customFormat="1" ht="15" x14ac:dyDescent="0.25">
      <c r="A2144" s="264"/>
      <c r="B2144" s="264"/>
      <c r="C2144" s="1056"/>
      <c r="D2144" s="1056"/>
      <c r="E2144" s="1056"/>
      <c r="F2144" s="1056"/>
      <c r="G2144" s="1056"/>
      <c r="H2144" s="1056"/>
      <c r="I2144" s="1056"/>
      <c r="J2144" s="1056"/>
      <c r="K2144" s="1056"/>
      <c r="L2144" s="1056"/>
      <c r="M2144" s="274"/>
      <c r="P2144" s="264"/>
      <c r="Q2144" s="264"/>
      <c r="R2144" s="264"/>
      <c r="S2144" s="264"/>
      <c r="T2144" s="1056"/>
      <c r="U2144" s="1056"/>
      <c r="V2144" s="1056"/>
      <c r="W2144" s="1056"/>
      <c r="X2144" s="1056"/>
      <c r="Y2144" s="1056"/>
      <c r="Z2144" s="1056"/>
      <c r="AA2144" s="1056"/>
      <c r="AB2144" s="1056"/>
      <c r="AC2144" s="1056"/>
      <c r="AD2144" s="1056"/>
      <c r="AE2144" s="1056"/>
      <c r="AF2144" s="264"/>
    </row>
    <row r="2145" spans="1:32" s="268" customFormat="1" ht="15" x14ac:dyDescent="0.25">
      <c r="A2145" s="264"/>
      <c r="B2145" s="264"/>
      <c r="C2145" s="1056"/>
      <c r="D2145" s="1056"/>
      <c r="E2145" s="1056"/>
      <c r="F2145" s="1056"/>
      <c r="G2145" s="1056"/>
      <c r="H2145" s="1056"/>
      <c r="I2145" s="1056"/>
      <c r="J2145" s="1056"/>
      <c r="K2145" s="1056"/>
      <c r="L2145" s="1056"/>
      <c r="M2145" s="274"/>
      <c r="P2145" s="264"/>
      <c r="Q2145" s="264"/>
      <c r="R2145" s="264"/>
      <c r="S2145" s="264"/>
      <c r="T2145" s="1056"/>
      <c r="U2145" s="1056"/>
      <c r="V2145" s="1056"/>
      <c r="W2145" s="1056"/>
      <c r="X2145" s="1056"/>
      <c r="Y2145" s="1056"/>
      <c r="Z2145" s="1056"/>
      <c r="AA2145" s="1056"/>
      <c r="AB2145" s="1056"/>
      <c r="AC2145" s="1056"/>
      <c r="AD2145" s="1056"/>
      <c r="AE2145" s="1056"/>
      <c r="AF2145" s="264"/>
    </row>
    <row r="2146" spans="1:32" s="268" customFormat="1" ht="15" x14ac:dyDescent="0.25">
      <c r="A2146" s="264"/>
      <c r="B2146" s="264"/>
      <c r="C2146" s="1056"/>
      <c r="D2146" s="1056"/>
      <c r="E2146" s="1056"/>
      <c r="F2146" s="1056"/>
      <c r="G2146" s="1056"/>
      <c r="H2146" s="1056"/>
      <c r="I2146" s="1056"/>
      <c r="J2146" s="1056"/>
      <c r="K2146" s="1056"/>
      <c r="L2146" s="1056"/>
      <c r="M2146" s="274"/>
      <c r="P2146" s="264"/>
      <c r="Q2146" s="264"/>
      <c r="R2146" s="264"/>
      <c r="S2146" s="264"/>
      <c r="T2146" s="1056"/>
      <c r="U2146" s="1056"/>
      <c r="V2146" s="1056"/>
      <c r="W2146" s="1056"/>
      <c r="X2146" s="1056"/>
      <c r="Y2146" s="1056"/>
      <c r="Z2146" s="1056"/>
      <c r="AA2146" s="1056"/>
      <c r="AB2146" s="1056"/>
      <c r="AC2146" s="1056"/>
      <c r="AD2146" s="1056"/>
      <c r="AE2146" s="1056"/>
      <c r="AF2146" s="264"/>
    </row>
    <row r="2147" spans="1:32" s="268" customFormat="1" ht="15" x14ac:dyDescent="0.25">
      <c r="A2147" s="264"/>
      <c r="B2147" s="264"/>
      <c r="C2147" s="1056"/>
      <c r="D2147" s="1056"/>
      <c r="E2147" s="1056"/>
      <c r="F2147" s="1056"/>
      <c r="G2147" s="1056"/>
      <c r="H2147" s="1056"/>
      <c r="I2147" s="1056"/>
      <c r="J2147" s="1056"/>
      <c r="K2147" s="1056"/>
      <c r="L2147" s="1056"/>
      <c r="M2147" s="274"/>
      <c r="P2147" s="264"/>
      <c r="Q2147" s="264"/>
      <c r="R2147" s="264"/>
      <c r="S2147" s="264"/>
      <c r="T2147" s="1056"/>
      <c r="U2147" s="1056"/>
      <c r="V2147" s="1056"/>
      <c r="W2147" s="1056"/>
      <c r="X2147" s="1056"/>
      <c r="Y2147" s="1056"/>
      <c r="Z2147" s="1056"/>
      <c r="AA2147" s="1056"/>
      <c r="AB2147" s="1056"/>
      <c r="AC2147" s="1056"/>
      <c r="AD2147" s="1056"/>
      <c r="AE2147" s="1056"/>
      <c r="AF2147" s="264"/>
    </row>
    <row r="2148" spans="1:32" s="268" customFormat="1" ht="15" x14ac:dyDescent="0.25">
      <c r="A2148" s="264"/>
      <c r="B2148" s="264"/>
      <c r="C2148" s="1056"/>
      <c r="D2148" s="1056"/>
      <c r="E2148" s="1056"/>
      <c r="F2148" s="1056"/>
      <c r="G2148" s="1056"/>
      <c r="H2148" s="1056"/>
      <c r="I2148" s="1056"/>
      <c r="J2148" s="1056"/>
      <c r="K2148" s="1056"/>
      <c r="L2148" s="1056"/>
      <c r="M2148" s="274"/>
      <c r="P2148" s="264"/>
      <c r="Q2148" s="264"/>
      <c r="R2148" s="264"/>
      <c r="S2148" s="264"/>
      <c r="T2148" s="1056"/>
      <c r="U2148" s="1056"/>
      <c r="V2148" s="1056"/>
      <c r="W2148" s="1056"/>
      <c r="X2148" s="1056"/>
      <c r="Y2148" s="1056"/>
      <c r="Z2148" s="1056"/>
      <c r="AA2148" s="1056"/>
      <c r="AB2148" s="1056"/>
      <c r="AC2148" s="1056"/>
      <c r="AD2148" s="1056"/>
      <c r="AE2148" s="1056"/>
      <c r="AF2148" s="264"/>
    </row>
    <row r="2149" spans="1:32" s="268" customFormat="1" ht="15" x14ac:dyDescent="0.25">
      <c r="A2149" s="264"/>
      <c r="B2149" s="264"/>
      <c r="C2149" s="1056"/>
      <c r="D2149" s="1056"/>
      <c r="E2149" s="1056"/>
      <c r="F2149" s="1056"/>
      <c r="G2149" s="1056"/>
      <c r="H2149" s="1056"/>
      <c r="I2149" s="1056"/>
      <c r="J2149" s="1056"/>
      <c r="K2149" s="1056"/>
      <c r="L2149" s="1056"/>
      <c r="M2149" s="274"/>
      <c r="P2149" s="264"/>
      <c r="Q2149" s="264"/>
      <c r="R2149" s="264"/>
      <c r="S2149" s="264"/>
      <c r="T2149" s="1056"/>
      <c r="U2149" s="1056"/>
      <c r="V2149" s="1056"/>
      <c r="W2149" s="1056"/>
      <c r="X2149" s="1056"/>
      <c r="Y2149" s="1056"/>
      <c r="Z2149" s="1056"/>
      <c r="AA2149" s="1056"/>
      <c r="AB2149" s="1056"/>
      <c r="AC2149" s="1056"/>
      <c r="AD2149" s="1056"/>
      <c r="AE2149" s="1056"/>
      <c r="AF2149" s="264"/>
    </row>
    <row r="2150" spans="1:32" s="268" customFormat="1" ht="15" x14ac:dyDescent="0.25">
      <c r="A2150" s="264"/>
      <c r="B2150" s="264"/>
      <c r="C2150" s="1056"/>
      <c r="D2150" s="1056"/>
      <c r="E2150" s="1056"/>
      <c r="F2150" s="1056"/>
      <c r="G2150" s="1056"/>
      <c r="H2150" s="1056"/>
      <c r="I2150" s="1056"/>
      <c r="J2150" s="1056"/>
      <c r="K2150" s="1056"/>
      <c r="L2150" s="1056"/>
      <c r="M2150" s="274"/>
      <c r="P2150" s="264"/>
      <c r="Q2150" s="264"/>
      <c r="R2150" s="264"/>
      <c r="S2150" s="264"/>
      <c r="T2150" s="1056"/>
      <c r="U2150" s="1056"/>
      <c r="V2150" s="1056"/>
      <c r="W2150" s="1056"/>
      <c r="X2150" s="1056"/>
      <c r="Y2150" s="1056"/>
      <c r="Z2150" s="1056"/>
      <c r="AA2150" s="1056"/>
      <c r="AB2150" s="1056"/>
      <c r="AC2150" s="1056"/>
      <c r="AD2150" s="1056"/>
      <c r="AE2150" s="1056"/>
      <c r="AF2150" s="264"/>
    </row>
    <row r="2151" spans="1:32" s="268" customFormat="1" ht="15" x14ac:dyDescent="0.25">
      <c r="A2151" s="264"/>
      <c r="B2151" s="264"/>
      <c r="C2151" s="1056"/>
      <c r="D2151" s="1056"/>
      <c r="E2151" s="1056"/>
      <c r="F2151" s="1056"/>
      <c r="G2151" s="1056"/>
      <c r="H2151" s="1056"/>
      <c r="I2151" s="1056"/>
      <c r="J2151" s="1056"/>
      <c r="K2151" s="1056"/>
      <c r="L2151" s="1056"/>
      <c r="M2151" s="274"/>
      <c r="P2151" s="264"/>
      <c r="Q2151" s="264"/>
      <c r="R2151" s="264"/>
      <c r="S2151" s="264"/>
      <c r="T2151" s="1056"/>
      <c r="U2151" s="1056"/>
      <c r="V2151" s="1056"/>
      <c r="W2151" s="1056"/>
      <c r="X2151" s="1056"/>
      <c r="Y2151" s="1056"/>
      <c r="Z2151" s="1056"/>
      <c r="AA2151" s="1056"/>
      <c r="AB2151" s="1056"/>
      <c r="AC2151" s="1056"/>
      <c r="AD2151" s="1056"/>
      <c r="AE2151" s="1056"/>
      <c r="AF2151" s="264"/>
    </row>
    <row r="2152" spans="1:32" s="268" customFormat="1" ht="15" x14ac:dyDescent="0.25">
      <c r="A2152" s="264"/>
      <c r="B2152" s="264"/>
      <c r="C2152" s="1056"/>
      <c r="D2152" s="1056"/>
      <c r="E2152" s="1056"/>
      <c r="F2152" s="1056"/>
      <c r="G2152" s="1056"/>
      <c r="H2152" s="1056"/>
      <c r="I2152" s="1056"/>
      <c r="J2152" s="1056"/>
      <c r="K2152" s="1056"/>
      <c r="L2152" s="1056"/>
      <c r="M2152" s="274"/>
      <c r="P2152" s="264"/>
      <c r="Q2152" s="264"/>
      <c r="R2152" s="264"/>
      <c r="S2152" s="264"/>
      <c r="T2152" s="1056"/>
      <c r="U2152" s="1056"/>
      <c r="V2152" s="1056"/>
      <c r="W2152" s="1056"/>
      <c r="X2152" s="1056"/>
      <c r="Y2152" s="1056"/>
      <c r="Z2152" s="1056"/>
      <c r="AA2152" s="1056"/>
      <c r="AB2152" s="1056"/>
      <c r="AC2152" s="1056"/>
      <c r="AD2152" s="1056"/>
      <c r="AE2152" s="1056"/>
      <c r="AF2152" s="264"/>
    </row>
    <row r="2153" spans="1:32" s="268" customFormat="1" ht="15" x14ac:dyDescent="0.25">
      <c r="A2153" s="264"/>
      <c r="B2153" s="264"/>
      <c r="C2153" s="1056"/>
      <c r="D2153" s="1056"/>
      <c r="E2153" s="1056"/>
      <c r="F2153" s="1056"/>
      <c r="G2153" s="1056"/>
      <c r="H2153" s="1056"/>
      <c r="I2153" s="1056"/>
      <c r="J2153" s="1056"/>
      <c r="K2153" s="1056"/>
      <c r="L2153" s="1056"/>
      <c r="M2153" s="274"/>
      <c r="P2153" s="264"/>
      <c r="Q2153" s="264"/>
      <c r="R2153" s="264"/>
      <c r="S2153" s="264"/>
      <c r="T2153" s="1056"/>
      <c r="U2153" s="1056"/>
      <c r="V2153" s="1056"/>
      <c r="W2153" s="1056"/>
      <c r="X2153" s="1056"/>
      <c r="Y2153" s="1056"/>
      <c r="Z2153" s="1056"/>
      <c r="AA2153" s="1056"/>
      <c r="AB2153" s="1056"/>
      <c r="AC2153" s="1056"/>
      <c r="AD2153" s="1056"/>
      <c r="AE2153" s="1056"/>
      <c r="AF2153" s="264"/>
    </row>
    <row r="2154" spans="1:32" s="268" customFormat="1" ht="15" x14ac:dyDescent="0.25">
      <c r="A2154" s="264"/>
      <c r="B2154" s="264"/>
      <c r="C2154" s="1056"/>
      <c r="D2154" s="1056"/>
      <c r="E2154" s="1056"/>
      <c r="F2154" s="1056"/>
      <c r="G2154" s="1056"/>
      <c r="H2154" s="1056"/>
      <c r="I2154" s="1056"/>
      <c r="J2154" s="1056"/>
      <c r="K2154" s="1056"/>
      <c r="L2154" s="1056"/>
      <c r="M2154" s="274"/>
      <c r="P2154" s="264"/>
      <c r="Q2154" s="264"/>
      <c r="R2154" s="264"/>
      <c r="S2154" s="264"/>
      <c r="T2154" s="1056"/>
      <c r="U2154" s="1056"/>
      <c r="V2154" s="1056"/>
      <c r="W2154" s="1056"/>
      <c r="X2154" s="1056"/>
      <c r="Y2154" s="1056"/>
      <c r="Z2154" s="1056"/>
      <c r="AA2154" s="1056"/>
      <c r="AB2154" s="1056"/>
      <c r="AC2154" s="1056"/>
      <c r="AD2154" s="1056"/>
      <c r="AE2154" s="1056"/>
      <c r="AF2154" s="264"/>
    </row>
    <row r="2155" spans="1:32" s="268" customFormat="1" ht="15" x14ac:dyDescent="0.25">
      <c r="A2155" s="264"/>
      <c r="B2155" s="264"/>
      <c r="C2155" s="1056"/>
      <c r="D2155" s="1056"/>
      <c r="E2155" s="1056"/>
      <c r="F2155" s="1056"/>
      <c r="G2155" s="1056"/>
      <c r="H2155" s="1056"/>
      <c r="I2155" s="1056"/>
      <c r="J2155" s="1056"/>
      <c r="K2155" s="1056"/>
      <c r="L2155" s="1056"/>
      <c r="M2155" s="274"/>
      <c r="P2155" s="264"/>
      <c r="Q2155" s="264"/>
      <c r="R2155" s="264"/>
      <c r="S2155" s="264"/>
      <c r="T2155" s="1056"/>
      <c r="U2155" s="1056"/>
      <c r="V2155" s="1056"/>
      <c r="W2155" s="1056"/>
      <c r="X2155" s="1056"/>
      <c r="Y2155" s="1056"/>
      <c r="Z2155" s="1056"/>
      <c r="AA2155" s="1056"/>
      <c r="AB2155" s="1056"/>
      <c r="AC2155" s="1056"/>
      <c r="AD2155" s="1056"/>
      <c r="AE2155" s="1056"/>
      <c r="AF2155" s="264"/>
    </row>
    <row r="2156" spans="1:32" s="268" customFormat="1" ht="15" x14ac:dyDescent="0.25">
      <c r="A2156" s="264"/>
      <c r="B2156" s="264"/>
      <c r="C2156" s="1056"/>
      <c r="D2156" s="1056"/>
      <c r="E2156" s="1056"/>
      <c r="F2156" s="1056"/>
      <c r="G2156" s="1056"/>
      <c r="H2156" s="1056"/>
      <c r="I2156" s="1056"/>
      <c r="J2156" s="1056"/>
      <c r="K2156" s="1056"/>
      <c r="L2156" s="1056"/>
      <c r="M2156" s="274"/>
      <c r="P2156" s="264"/>
      <c r="Q2156" s="264"/>
      <c r="R2156" s="264"/>
      <c r="S2156" s="264"/>
      <c r="T2156" s="1056"/>
      <c r="U2156" s="1056"/>
      <c r="V2156" s="1056"/>
      <c r="W2156" s="1056"/>
      <c r="X2156" s="1056"/>
      <c r="Y2156" s="1056"/>
      <c r="Z2156" s="1056"/>
      <c r="AA2156" s="1056"/>
      <c r="AB2156" s="1056"/>
      <c r="AC2156" s="1056"/>
      <c r="AD2156" s="1056"/>
      <c r="AE2156" s="1056"/>
      <c r="AF2156" s="264"/>
    </row>
    <row r="2157" spans="1:32" s="268" customFormat="1" ht="15" x14ac:dyDescent="0.25">
      <c r="A2157" s="264"/>
      <c r="B2157" s="264"/>
      <c r="C2157" s="1056"/>
      <c r="D2157" s="1056"/>
      <c r="E2157" s="1056"/>
      <c r="F2157" s="1056"/>
      <c r="G2157" s="1056"/>
      <c r="H2157" s="1056"/>
      <c r="I2157" s="1056"/>
      <c r="J2157" s="1056"/>
      <c r="K2157" s="1056"/>
      <c r="L2157" s="1056"/>
      <c r="M2157" s="274"/>
      <c r="P2157" s="264"/>
      <c r="Q2157" s="264"/>
      <c r="R2157" s="264"/>
      <c r="S2157" s="264"/>
      <c r="T2157" s="1056"/>
      <c r="U2157" s="1056"/>
      <c r="V2157" s="1056"/>
      <c r="W2157" s="1056"/>
      <c r="X2157" s="1056"/>
      <c r="Y2157" s="1056"/>
      <c r="Z2157" s="1056"/>
      <c r="AA2157" s="1056"/>
      <c r="AB2157" s="1056"/>
      <c r="AC2157" s="1056"/>
      <c r="AD2157" s="1056"/>
      <c r="AE2157" s="1056"/>
      <c r="AF2157" s="264"/>
    </row>
    <row r="2158" spans="1:32" s="268" customFormat="1" ht="15" x14ac:dyDescent="0.25">
      <c r="A2158" s="264"/>
      <c r="B2158" s="264"/>
      <c r="C2158" s="1056"/>
      <c r="D2158" s="1056"/>
      <c r="E2158" s="1056"/>
      <c r="F2158" s="1056"/>
      <c r="G2158" s="1056"/>
      <c r="H2158" s="1056"/>
      <c r="I2158" s="1056"/>
      <c r="J2158" s="1056"/>
      <c r="K2158" s="1056"/>
      <c r="L2158" s="1056"/>
      <c r="M2158" s="274"/>
      <c r="P2158" s="264"/>
      <c r="Q2158" s="264"/>
      <c r="R2158" s="264"/>
      <c r="S2158" s="264"/>
      <c r="T2158" s="1056"/>
      <c r="U2158" s="1056"/>
      <c r="V2158" s="1056"/>
      <c r="W2158" s="1056"/>
      <c r="X2158" s="1056"/>
      <c r="Y2158" s="1056"/>
      <c r="Z2158" s="1056"/>
      <c r="AA2158" s="1056"/>
      <c r="AB2158" s="1056"/>
      <c r="AC2158" s="1056"/>
      <c r="AD2158" s="1056"/>
      <c r="AE2158" s="1056"/>
      <c r="AF2158" s="264"/>
    </row>
    <row r="2159" spans="1:32" s="268" customFormat="1" ht="15" x14ac:dyDescent="0.25">
      <c r="A2159" s="264"/>
      <c r="B2159" s="264"/>
      <c r="C2159" s="1056"/>
      <c r="D2159" s="1056"/>
      <c r="E2159" s="1056"/>
      <c r="F2159" s="1056"/>
      <c r="G2159" s="1056"/>
      <c r="H2159" s="1056"/>
      <c r="I2159" s="1056"/>
      <c r="J2159" s="1056"/>
      <c r="K2159" s="1056"/>
      <c r="L2159" s="1056"/>
      <c r="M2159" s="274"/>
      <c r="P2159" s="264"/>
      <c r="Q2159" s="264"/>
      <c r="R2159" s="264"/>
      <c r="S2159" s="264"/>
      <c r="T2159" s="1056"/>
      <c r="U2159" s="1056"/>
      <c r="V2159" s="1056"/>
      <c r="W2159" s="1056"/>
      <c r="X2159" s="1056"/>
      <c r="Y2159" s="1056"/>
      <c r="Z2159" s="1056"/>
      <c r="AA2159" s="1056"/>
      <c r="AB2159" s="1056"/>
      <c r="AC2159" s="1056"/>
      <c r="AD2159" s="1056"/>
      <c r="AE2159" s="1056"/>
      <c r="AF2159" s="264"/>
    </row>
    <row r="2160" spans="1:32" s="268" customFormat="1" ht="15" x14ac:dyDescent="0.25">
      <c r="A2160" s="264"/>
      <c r="B2160" s="264"/>
      <c r="C2160" s="1056"/>
      <c r="D2160" s="1056"/>
      <c r="E2160" s="1056"/>
      <c r="F2160" s="1056"/>
      <c r="G2160" s="1056"/>
      <c r="H2160" s="1056"/>
      <c r="I2160" s="1056"/>
      <c r="J2160" s="1056"/>
      <c r="K2160" s="1056"/>
      <c r="L2160" s="1056"/>
      <c r="M2160" s="274"/>
      <c r="P2160" s="264"/>
      <c r="Q2160" s="264"/>
      <c r="R2160" s="264"/>
      <c r="S2160" s="264"/>
      <c r="T2160" s="1056"/>
      <c r="U2160" s="1056"/>
      <c r="V2160" s="1056"/>
      <c r="W2160" s="1056"/>
      <c r="X2160" s="1056"/>
      <c r="Y2160" s="1056"/>
      <c r="Z2160" s="1056"/>
      <c r="AA2160" s="1056"/>
      <c r="AB2160" s="1056"/>
      <c r="AC2160" s="1056"/>
      <c r="AD2160" s="1056"/>
      <c r="AE2160" s="1056"/>
      <c r="AF2160" s="264"/>
    </row>
    <row r="2161" spans="1:32" s="268" customFormat="1" ht="15" x14ac:dyDescent="0.25">
      <c r="A2161" s="264"/>
      <c r="B2161" s="264"/>
      <c r="C2161" s="1056"/>
      <c r="D2161" s="1056"/>
      <c r="E2161" s="1056"/>
      <c r="F2161" s="1056"/>
      <c r="G2161" s="1056"/>
      <c r="H2161" s="1056"/>
      <c r="I2161" s="1056"/>
      <c r="J2161" s="1056"/>
      <c r="K2161" s="1056"/>
      <c r="L2161" s="1056"/>
      <c r="M2161" s="274"/>
      <c r="P2161" s="264"/>
      <c r="Q2161" s="264"/>
      <c r="R2161" s="264"/>
      <c r="S2161" s="264"/>
      <c r="T2161" s="1056"/>
      <c r="U2161" s="1056"/>
      <c r="V2161" s="1056"/>
      <c r="W2161" s="1056"/>
      <c r="X2161" s="1056"/>
      <c r="Y2161" s="1056"/>
      <c r="Z2161" s="1056"/>
      <c r="AA2161" s="1056"/>
      <c r="AB2161" s="1056"/>
      <c r="AC2161" s="1056"/>
      <c r="AD2161" s="1056"/>
      <c r="AE2161" s="1056"/>
      <c r="AF2161" s="264"/>
    </row>
    <row r="2162" spans="1:32" s="268" customFormat="1" ht="15" x14ac:dyDescent="0.25">
      <c r="A2162" s="264"/>
      <c r="B2162" s="264"/>
      <c r="C2162" s="1056"/>
      <c r="D2162" s="1056"/>
      <c r="E2162" s="1056"/>
      <c r="F2162" s="1056"/>
      <c r="G2162" s="1056"/>
      <c r="H2162" s="1056"/>
      <c r="I2162" s="1056"/>
      <c r="J2162" s="1056"/>
      <c r="K2162" s="1056"/>
      <c r="L2162" s="1056"/>
      <c r="M2162" s="274"/>
      <c r="P2162" s="264"/>
      <c r="Q2162" s="264"/>
      <c r="R2162" s="264"/>
      <c r="S2162" s="264"/>
      <c r="T2162" s="1056"/>
      <c r="U2162" s="1056"/>
      <c r="V2162" s="1056"/>
      <c r="W2162" s="1056"/>
      <c r="X2162" s="1056"/>
      <c r="Y2162" s="1056"/>
      <c r="Z2162" s="1056"/>
      <c r="AA2162" s="1056"/>
      <c r="AB2162" s="1056"/>
      <c r="AC2162" s="1056"/>
      <c r="AD2162" s="1056"/>
      <c r="AE2162" s="1056"/>
      <c r="AF2162" s="264"/>
    </row>
    <row r="2163" spans="1:32" s="268" customFormat="1" ht="15" x14ac:dyDescent="0.25">
      <c r="A2163" s="264"/>
      <c r="B2163" s="264"/>
      <c r="C2163" s="1056"/>
      <c r="D2163" s="1056"/>
      <c r="E2163" s="1056"/>
      <c r="F2163" s="1056"/>
      <c r="G2163" s="1056"/>
      <c r="H2163" s="1056"/>
      <c r="I2163" s="1056"/>
      <c r="J2163" s="1056"/>
      <c r="K2163" s="1056"/>
      <c r="L2163" s="1056"/>
      <c r="M2163" s="274"/>
      <c r="P2163" s="264"/>
      <c r="Q2163" s="264"/>
      <c r="R2163" s="264"/>
      <c r="S2163" s="264"/>
      <c r="T2163" s="1056"/>
      <c r="U2163" s="1056"/>
      <c r="V2163" s="1056"/>
      <c r="W2163" s="1056"/>
      <c r="X2163" s="1056"/>
      <c r="Y2163" s="1056"/>
      <c r="Z2163" s="1056"/>
      <c r="AA2163" s="1056"/>
      <c r="AB2163" s="1056"/>
      <c r="AC2163" s="1056"/>
      <c r="AD2163" s="1056"/>
      <c r="AE2163" s="1056"/>
      <c r="AF2163" s="264"/>
    </row>
    <row r="2164" spans="1:32" s="268" customFormat="1" ht="15" x14ac:dyDescent="0.25">
      <c r="A2164" s="264"/>
      <c r="B2164" s="264"/>
      <c r="C2164" s="1056"/>
      <c r="D2164" s="1056"/>
      <c r="E2164" s="1056"/>
      <c r="F2164" s="1056"/>
      <c r="G2164" s="1056"/>
      <c r="H2164" s="1056"/>
      <c r="I2164" s="1056"/>
      <c r="J2164" s="1056"/>
      <c r="K2164" s="1056"/>
      <c r="L2164" s="1056"/>
      <c r="M2164" s="274"/>
      <c r="P2164" s="264"/>
      <c r="Q2164" s="264"/>
      <c r="R2164" s="264"/>
      <c r="S2164" s="264"/>
      <c r="T2164" s="1056"/>
      <c r="U2164" s="1056"/>
      <c r="V2164" s="1056"/>
      <c r="W2164" s="1056"/>
      <c r="X2164" s="1056"/>
      <c r="Y2164" s="1056"/>
      <c r="Z2164" s="1056"/>
      <c r="AA2164" s="1056"/>
      <c r="AB2164" s="1056"/>
      <c r="AC2164" s="1056"/>
      <c r="AD2164" s="1056"/>
      <c r="AE2164" s="1056"/>
      <c r="AF2164" s="264"/>
    </row>
    <row r="2165" spans="1:32" s="268" customFormat="1" ht="15" x14ac:dyDescent="0.25">
      <c r="A2165" s="264"/>
      <c r="B2165" s="264"/>
      <c r="C2165" s="1056"/>
      <c r="D2165" s="1056"/>
      <c r="E2165" s="1056"/>
      <c r="F2165" s="1056"/>
      <c r="G2165" s="1056"/>
      <c r="H2165" s="1056"/>
      <c r="I2165" s="1056"/>
      <c r="J2165" s="1056"/>
      <c r="K2165" s="1056"/>
      <c r="L2165" s="1056"/>
      <c r="M2165" s="274"/>
      <c r="P2165" s="264"/>
      <c r="Q2165" s="264"/>
      <c r="R2165" s="264"/>
      <c r="S2165" s="264"/>
      <c r="T2165" s="1056"/>
      <c r="U2165" s="1056"/>
      <c r="V2165" s="1056"/>
      <c r="W2165" s="1056"/>
      <c r="X2165" s="1056"/>
      <c r="Y2165" s="1056"/>
      <c r="Z2165" s="1056"/>
      <c r="AA2165" s="1056"/>
      <c r="AB2165" s="1056"/>
      <c r="AC2165" s="1056"/>
      <c r="AD2165" s="1056"/>
      <c r="AE2165" s="1056"/>
      <c r="AF2165" s="264"/>
    </row>
    <row r="2166" spans="1:32" s="268" customFormat="1" ht="15" x14ac:dyDescent="0.25">
      <c r="A2166" s="264"/>
      <c r="B2166" s="264"/>
      <c r="C2166" s="1056"/>
      <c r="D2166" s="1056"/>
      <c r="E2166" s="1056"/>
      <c r="F2166" s="1056"/>
      <c r="G2166" s="1056"/>
      <c r="H2166" s="1056"/>
      <c r="I2166" s="1056"/>
      <c r="J2166" s="1056"/>
      <c r="K2166" s="1056"/>
      <c r="L2166" s="1056"/>
      <c r="M2166" s="274"/>
      <c r="P2166" s="264"/>
      <c r="Q2166" s="264"/>
      <c r="R2166" s="264"/>
      <c r="S2166" s="264"/>
      <c r="T2166" s="1056"/>
      <c r="U2166" s="1056"/>
      <c r="V2166" s="1056"/>
      <c r="W2166" s="1056"/>
      <c r="X2166" s="1056"/>
      <c r="Y2166" s="1056"/>
      <c r="Z2166" s="1056"/>
      <c r="AA2166" s="1056"/>
      <c r="AB2166" s="1056"/>
      <c r="AC2166" s="1056"/>
      <c r="AD2166" s="1056"/>
      <c r="AE2166" s="1056"/>
      <c r="AF2166" s="264"/>
    </row>
    <row r="2167" spans="1:32" s="268" customFormat="1" ht="15" x14ac:dyDescent="0.25">
      <c r="A2167" s="264"/>
      <c r="B2167" s="264"/>
      <c r="C2167" s="1056"/>
      <c r="D2167" s="1056"/>
      <c r="E2167" s="1056"/>
      <c r="F2167" s="1056"/>
      <c r="G2167" s="1056"/>
      <c r="H2167" s="1056"/>
      <c r="I2167" s="1056"/>
      <c r="J2167" s="1056"/>
      <c r="K2167" s="1056"/>
      <c r="L2167" s="1056"/>
      <c r="M2167" s="274"/>
      <c r="P2167" s="264"/>
      <c r="Q2167" s="264"/>
      <c r="R2167" s="264"/>
      <c r="S2167" s="264"/>
      <c r="T2167" s="1056"/>
      <c r="U2167" s="1056"/>
      <c r="V2167" s="1056"/>
      <c r="W2167" s="1056"/>
      <c r="X2167" s="1056"/>
      <c r="Y2167" s="1056"/>
      <c r="Z2167" s="1056"/>
      <c r="AA2167" s="1056"/>
      <c r="AB2167" s="1056"/>
      <c r="AC2167" s="1056"/>
      <c r="AD2167" s="1056"/>
      <c r="AE2167" s="1056"/>
      <c r="AF2167" s="264"/>
    </row>
    <row r="2168" spans="1:32" s="268" customFormat="1" ht="15" x14ac:dyDescent="0.25">
      <c r="A2168" s="264"/>
      <c r="B2168" s="264"/>
      <c r="C2168" s="1056"/>
      <c r="D2168" s="1056"/>
      <c r="E2168" s="1056"/>
      <c r="F2168" s="1056"/>
      <c r="G2168" s="1056"/>
      <c r="H2168" s="1056"/>
      <c r="I2168" s="1056"/>
      <c r="J2168" s="1056"/>
      <c r="K2168" s="1056"/>
      <c r="L2168" s="1056"/>
      <c r="M2168" s="274"/>
      <c r="P2168" s="264"/>
      <c r="Q2168" s="264"/>
      <c r="R2168" s="264"/>
      <c r="S2168" s="264"/>
      <c r="T2168" s="1056"/>
      <c r="U2168" s="1056"/>
      <c r="V2168" s="1056"/>
      <c r="W2168" s="1056"/>
      <c r="X2168" s="1056"/>
      <c r="Y2168" s="1056"/>
      <c r="Z2168" s="1056"/>
      <c r="AA2168" s="1056"/>
      <c r="AB2168" s="1056"/>
      <c r="AC2168" s="1056"/>
      <c r="AD2168" s="1056"/>
      <c r="AE2168" s="1056"/>
      <c r="AF2168" s="264"/>
    </row>
    <row r="2169" spans="1:32" s="268" customFormat="1" ht="15" x14ac:dyDescent="0.25">
      <c r="A2169" s="264"/>
      <c r="B2169" s="264"/>
      <c r="C2169" s="1056"/>
      <c r="D2169" s="1056"/>
      <c r="E2169" s="1056"/>
      <c r="F2169" s="1056"/>
      <c r="G2169" s="1056"/>
      <c r="H2169" s="1056"/>
      <c r="I2169" s="1056"/>
      <c r="J2169" s="1056"/>
      <c r="K2169" s="1056"/>
      <c r="L2169" s="1056"/>
      <c r="M2169" s="274"/>
      <c r="P2169" s="264"/>
      <c r="Q2169" s="264"/>
      <c r="R2169" s="264"/>
      <c r="S2169" s="264"/>
      <c r="T2169" s="1056"/>
      <c r="U2169" s="1056"/>
      <c r="V2169" s="1056"/>
      <c r="W2169" s="1056"/>
      <c r="X2169" s="1056"/>
      <c r="Y2169" s="1056"/>
      <c r="Z2169" s="1056"/>
      <c r="AA2169" s="1056"/>
      <c r="AB2169" s="1056"/>
      <c r="AC2169" s="1056"/>
      <c r="AD2169" s="1056"/>
      <c r="AE2169" s="1056"/>
      <c r="AF2169" s="264"/>
    </row>
    <row r="2170" spans="1:32" s="268" customFormat="1" ht="15" x14ac:dyDescent="0.25">
      <c r="A2170" s="264"/>
      <c r="B2170" s="264"/>
      <c r="C2170" s="1056"/>
      <c r="D2170" s="1056"/>
      <c r="E2170" s="1056"/>
      <c r="F2170" s="1056"/>
      <c r="G2170" s="1056"/>
      <c r="H2170" s="1056"/>
      <c r="I2170" s="1056"/>
      <c r="J2170" s="1056"/>
      <c r="K2170" s="1056"/>
      <c r="L2170" s="1056"/>
      <c r="M2170" s="274"/>
      <c r="P2170" s="264"/>
      <c r="Q2170" s="264"/>
      <c r="R2170" s="264"/>
      <c r="S2170" s="264"/>
      <c r="T2170" s="1056"/>
      <c r="U2170" s="1056"/>
      <c r="V2170" s="1056"/>
      <c r="W2170" s="1056"/>
      <c r="X2170" s="1056"/>
      <c r="Y2170" s="1056"/>
      <c r="Z2170" s="1056"/>
      <c r="AA2170" s="1056"/>
      <c r="AB2170" s="1056"/>
      <c r="AC2170" s="1056"/>
      <c r="AD2170" s="1056"/>
      <c r="AE2170" s="1056"/>
      <c r="AF2170" s="264"/>
    </row>
    <row r="2171" spans="1:32" s="268" customFormat="1" ht="15" x14ac:dyDescent="0.25">
      <c r="A2171" s="264"/>
      <c r="B2171" s="264"/>
      <c r="C2171" s="1056"/>
      <c r="D2171" s="1056"/>
      <c r="E2171" s="1056"/>
      <c r="F2171" s="1056"/>
      <c r="G2171" s="1056"/>
      <c r="H2171" s="1056"/>
      <c r="I2171" s="1056"/>
      <c r="J2171" s="1056"/>
      <c r="K2171" s="1056"/>
      <c r="L2171" s="1056"/>
      <c r="M2171" s="274"/>
      <c r="P2171" s="264"/>
      <c r="Q2171" s="264"/>
      <c r="R2171" s="264"/>
      <c r="S2171" s="264"/>
      <c r="T2171" s="1056"/>
      <c r="U2171" s="1056"/>
      <c r="V2171" s="1056"/>
      <c r="W2171" s="1056"/>
      <c r="X2171" s="1056"/>
      <c r="Y2171" s="1056"/>
      <c r="Z2171" s="1056"/>
      <c r="AA2171" s="1056"/>
      <c r="AB2171" s="1056"/>
      <c r="AC2171" s="1056"/>
      <c r="AD2171" s="1056"/>
      <c r="AE2171" s="1056"/>
      <c r="AF2171" s="264"/>
    </row>
    <row r="2172" spans="1:32" s="268" customFormat="1" ht="15" x14ac:dyDescent="0.25">
      <c r="A2172" s="264"/>
      <c r="B2172" s="264"/>
      <c r="C2172" s="1056"/>
      <c r="D2172" s="1056"/>
      <c r="E2172" s="1056"/>
      <c r="F2172" s="1056"/>
      <c r="G2172" s="1056"/>
      <c r="H2172" s="1056"/>
      <c r="I2172" s="1056"/>
      <c r="J2172" s="1056"/>
      <c r="K2172" s="1056"/>
      <c r="L2172" s="1056"/>
      <c r="M2172" s="274"/>
      <c r="P2172" s="264"/>
      <c r="Q2172" s="264"/>
      <c r="R2172" s="264"/>
      <c r="S2172" s="264"/>
      <c r="T2172" s="1056"/>
      <c r="U2172" s="1056"/>
      <c r="V2172" s="1056"/>
      <c r="W2172" s="1056"/>
      <c r="X2172" s="1056"/>
      <c r="Y2172" s="1056"/>
      <c r="Z2172" s="1056"/>
      <c r="AA2172" s="1056"/>
      <c r="AB2172" s="1056"/>
      <c r="AC2172" s="1056"/>
      <c r="AD2172" s="1056"/>
      <c r="AE2172" s="1056"/>
      <c r="AF2172" s="264"/>
    </row>
    <row r="2173" spans="1:32" s="268" customFormat="1" ht="15" x14ac:dyDescent="0.25">
      <c r="A2173" s="264"/>
      <c r="B2173" s="264"/>
      <c r="C2173" s="1056"/>
      <c r="D2173" s="1056"/>
      <c r="E2173" s="1056"/>
      <c r="F2173" s="1056"/>
      <c r="G2173" s="1056"/>
      <c r="H2173" s="1056"/>
      <c r="I2173" s="1056"/>
      <c r="J2173" s="1056"/>
      <c r="K2173" s="1056"/>
      <c r="L2173" s="1056"/>
      <c r="M2173" s="274"/>
      <c r="P2173" s="264"/>
      <c r="Q2173" s="264"/>
      <c r="R2173" s="264"/>
      <c r="S2173" s="264"/>
      <c r="T2173" s="1056"/>
      <c r="U2173" s="1056"/>
      <c r="V2173" s="1056"/>
      <c r="W2173" s="1056"/>
      <c r="X2173" s="1056"/>
      <c r="Y2173" s="1056"/>
      <c r="Z2173" s="1056"/>
      <c r="AA2173" s="1056"/>
      <c r="AB2173" s="1056"/>
      <c r="AC2173" s="1056"/>
      <c r="AD2173" s="1056"/>
      <c r="AE2173" s="1056"/>
      <c r="AF2173" s="264"/>
    </row>
    <row r="2174" spans="1:32" s="268" customFormat="1" ht="15" x14ac:dyDescent="0.25">
      <c r="A2174" s="264"/>
      <c r="B2174" s="264"/>
      <c r="C2174" s="1056"/>
      <c r="D2174" s="1056"/>
      <c r="E2174" s="1056"/>
      <c r="F2174" s="1056"/>
      <c r="G2174" s="1056"/>
      <c r="H2174" s="1056"/>
      <c r="I2174" s="1056"/>
      <c r="J2174" s="1056"/>
      <c r="K2174" s="1056"/>
      <c r="L2174" s="1056"/>
      <c r="M2174" s="274"/>
      <c r="P2174" s="264"/>
      <c r="Q2174" s="264"/>
      <c r="R2174" s="264"/>
      <c r="S2174" s="264"/>
      <c r="T2174" s="1056"/>
      <c r="U2174" s="1056"/>
      <c r="V2174" s="1056"/>
      <c r="W2174" s="1056"/>
      <c r="X2174" s="1056"/>
      <c r="Y2174" s="1056"/>
      <c r="Z2174" s="1056"/>
      <c r="AA2174" s="1056"/>
      <c r="AB2174" s="1056"/>
      <c r="AC2174" s="1056"/>
      <c r="AD2174" s="1056"/>
      <c r="AE2174" s="1056"/>
      <c r="AF2174" s="264"/>
    </row>
    <row r="2175" spans="1:32" s="268" customFormat="1" ht="15" x14ac:dyDescent="0.25">
      <c r="A2175" s="264"/>
      <c r="B2175" s="264"/>
      <c r="C2175" s="1056"/>
      <c r="D2175" s="1056"/>
      <c r="E2175" s="1056"/>
      <c r="F2175" s="1056"/>
      <c r="G2175" s="1056"/>
      <c r="H2175" s="1056"/>
      <c r="I2175" s="1056"/>
      <c r="J2175" s="1056"/>
      <c r="K2175" s="1056"/>
      <c r="L2175" s="1056"/>
      <c r="M2175" s="274"/>
      <c r="P2175" s="264"/>
      <c r="Q2175" s="264"/>
      <c r="R2175" s="264"/>
      <c r="S2175" s="264"/>
      <c r="T2175" s="1056"/>
      <c r="U2175" s="1056"/>
      <c r="V2175" s="1056"/>
      <c r="W2175" s="1056"/>
      <c r="X2175" s="1056"/>
      <c r="Y2175" s="1056"/>
      <c r="Z2175" s="1056"/>
      <c r="AA2175" s="1056"/>
      <c r="AB2175" s="1056"/>
      <c r="AC2175" s="1056"/>
      <c r="AD2175" s="1056"/>
      <c r="AE2175" s="1056"/>
      <c r="AF2175" s="264"/>
    </row>
    <row r="2176" spans="1:32" s="268" customFormat="1" ht="15" x14ac:dyDescent="0.25">
      <c r="A2176" s="264"/>
      <c r="B2176" s="264"/>
      <c r="C2176" s="1056"/>
      <c r="D2176" s="1056"/>
      <c r="E2176" s="1056"/>
      <c r="F2176" s="1056"/>
      <c r="G2176" s="1056"/>
      <c r="H2176" s="1056"/>
      <c r="I2176" s="1056"/>
      <c r="J2176" s="1056"/>
      <c r="K2176" s="1056"/>
      <c r="L2176" s="1056"/>
      <c r="M2176" s="274"/>
      <c r="P2176" s="264"/>
      <c r="Q2176" s="264"/>
      <c r="R2176" s="264"/>
      <c r="S2176" s="264"/>
      <c r="T2176" s="1056"/>
      <c r="U2176" s="1056"/>
      <c r="V2176" s="1056"/>
      <c r="W2176" s="1056"/>
      <c r="X2176" s="1056"/>
      <c r="Y2176" s="1056"/>
      <c r="Z2176" s="1056"/>
      <c r="AA2176" s="1056"/>
      <c r="AB2176" s="1056"/>
      <c r="AC2176" s="1056"/>
      <c r="AD2176" s="1056"/>
      <c r="AE2176" s="1056"/>
      <c r="AF2176" s="264"/>
    </row>
    <row r="2177" spans="1:32" s="268" customFormat="1" ht="15" x14ac:dyDescent="0.25">
      <c r="A2177" s="264"/>
      <c r="B2177" s="264"/>
      <c r="C2177" s="1056"/>
      <c r="D2177" s="1056"/>
      <c r="E2177" s="1056"/>
      <c r="F2177" s="1056"/>
      <c r="G2177" s="1056"/>
      <c r="H2177" s="1056"/>
      <c r="I2177" s="1056"/>
      <c r="J2177" s="1056"/>
      <c r="K2177" s="1056"/>
      <c r="L2177" s="1056"/>
      <c r="M2177" s="274"/>
      <c r="P2177" s="264"/>
      <c r="Q2177" s="264"/>
      <c r="R2177" s="264"/>
      <c r="S2177" s="264"/>
      <c r="T2177" s="1056"/>
      <c r="U2177" s="1056"/>
      <c r="V2177" s="1056"/>
      <c r="W2177" s="1056"/>
      <c r="X2177" s="1056"/>
      <c r="Y2177" s="1056"/>
      <c r="Z2177" s="1056"/>
      <c r="AA2177" s="1056"/>
      <c r="AB2177" s="1056"/>
      <c r="AC2177" s="1056"/>
      <c r="AD2177" s="1056"/>
      <c r="AE2177" s="1056"/>
      <c r="AF2177" s="264"/>
    </row>
    <row r="2178" spans="1:32" s="268" customFormat="1" ht="15" x14ac:dyDescent="0.25">
      <c r="A2178" s="264"/>
      <c r="B2178" s="264"/>
      <c r="C2178" s="1056"/>
      <c r="D2178" s="1056"/>
      <c r="E2178" s="1056"/>
      <c r="F2178" s="1056"/>
      <c r="G2178" s="1056"/>
      <c r="H2178" s="1056"/>
      <c r="I2178" s="1056"/>
      <c r="J2178" s="1056"/>
      <c r="K2178" s="1056"/>
      <c r="L2178" s="1056"/>
      <c r="M2178" s="274"/>
      <c r="P2178" s="264"/>
      <c r="Q2178" s="264"/>
      <c r="R2178" s="264"/>
      <c r="S2178" s="264"/>
      <c r="T2178" s="1056"/>
      <c r="U2178" s="1056"/>
      <c r="V2178" s="1056"/>
      <c r="W2178" s="1056"/>
      <c r="X2178" s="1056"/>
      <c r="Y2178" s="1056"/>
      <c r="Z2178" s="1056"/>
      <c r="AA2178" s="1056"/>
      <c r="AB2178" s="1056"/>
      <c r="AC2178" s="1056"/>
      <c r="AD2178" s="1056"/>
      <c r="AE2178" s="1056"/>
      <c r="AF2178" s="264"/>
    </row>
    <row r="2179" spans="1:32" s="268" customFormat="1" ht="15" x14ac:dyDescent="0.25">
      <c r="A2179" s="264"/>
      <c r="B2179" s="264"/>
      <c r="C2179" s="1056"/>
      <c r="D2179" s="1056"/>
      <c r="E2179" s="1056"/>
      <c r="F2179" s="1056"/>
      <c r="G2179" s="1056"/>
      <c r="H2179" s="1056"/>
      <c r="I2179" s="1056"/>
      <c r="J2179" s="1056"/>
      <c r="K2179" s="1056"/>
      <c r="L2179" s="1056"/>
      <c r="M2179" s="274"/>
      <c r="P2179" s="264"/>
      <c r="Q2179" s="264"/>
      <c r="R2179" s="264"/>
      <c r="S2179" s="264"/>
      <c r="T2179" s="1056"/>
      <c r="U2179" s="1056"/>
      <c r="V2179" s="1056"/>
      <c r="W2179" s="1056"/>
      <c r="X2179" s="1056"/>
      <c r="Y2179" s="1056"/>
      <c r="Z2179" s="1056"/>
      <c r="AA2179" s="1056"/>
      <c r="AB2179" s="1056"/>
      <c r="AC2179" s="1056"/>
      <c r="AD2179" s="1056"/>
      <c r="AE2179" s="1056"/>
      <c r="AF2179" s="264"/>
    </row>
    <row r="2180" spans="1:32" s="268" customFormat="1" ht="15" x14ac:dyDescent="0.25">
      <c r="A2180" s="264"/>
      <c r="B2180" s="264"/>
      <c r="C2180" s="1056"/>
      <c r="D2180" s="1056"/>
      <c r="E2180" s="1056"/>
      <c r="F2180" s="1056"/>
      <c r="G2180" s="1056"/>
      <c r="H2180" s="1056"/>
      <c r="I2180" s="1056"/>
      <c r="J2180" s="1056"/>
      <c r="K2180" s="1056"/>
      <c r="L2180" s="1056"/>
      <c r="M2180" s="274"/>
      <c r="P2180" s="264"/>
      <c r="Q2180" s="264"/>
      <c r="R2180" s="264"/>
      <c r="S2180" s="264"/>
      <c r="T2180" s="1056"/>
      <c r="U2180" s="1056"/>
      <c r="V2180" s="1056"/>
      <c r="W2180" s="1056"/>
      <c r="X2180" s="1056"/>
      <c r="Y2180" s="1056"/>
      <c r="Z2180" s="1056"/>
      <c r="AA2180" s="1056"/>
      <c r="AB2180" s="1056"/>
      <c r="AC2180" s="1056"/>
      <c r="AD2180" s="1056"/>
      <c r="AE2180" s="1056"/>
      <c r="AF2180" s="264"/>
    </row>
    <row r="2181" spans="1:32" s="268" customFormat="1" ht="15" x14ac:dyDescent="0.25">
      <c r="A2181" s="264"/>
      <c r="B2181" s="264"/>
      <c r="C2181" s="1056"/>
      <c r="D2181" s="1056"/>
      <c r="E2181" s="1056"/>
      <c r="F2181" s="1056"/>
      <c r="G2181" s="1056"/>
      <c r="H2181" s="1056"/>
      <c r="I2181" s="1056"/>
      <c r="J2181" s="1056"/>
      <c r="K2181" s="1056"/>
      <c r="L2181" s="1056"/>
      <c r="M2181" s="274"/>
      <c r="P2181" s="264"/>
      <c r="Q2181" s="264"/>
      <c r="R2181" s="264"/>
      <c r="S2181" s="264"/>
      <c r="T2181" s="1056"/>
      <c r="U2181" s="1056"/>
      <c r="V2181" s="1056"/>
      <c r="W2181" s="1056"/>
      <c r="X2181" s="1056"/>
      <c r="Y2181" s="1056"/>
      <c r="Z2181" s="1056"/>
      <c r="AA2181" s="1056"/>
      <c r="AB2181" s="1056"/>
      <c r="AC2181" s="1056"/>
      <c r="AD2181" s="1056"/>
      <c r="AE2181" s="1056"/>
      <c r="AF2181" s="264"/>
    </row>
    <row r="2182" spans="1:32" s="268" customFormat="1" ht="15" x14ac:dyDescent="0.25">
      <c r="A2182" s="264"/>
      <c r="B2182" s="264"/>
      <c r="C2182" s="1056"/>
      <c r="D2182" s="1056"/>
      <c r="E2182" s="1056"/>
      <c r="F2182" s="1056"/>
      <c r="G2182" s="1056"/>
      <c r="H2182" s="1056"/>
      <c r="I2182" s="1056"/>
      <c r="J2182" s="1056"/>
      <c r="K2182" s="1056"/>
      <c r="L2182" s="1056"/>
      <c r="M2182" s="274"/>
      <c r="P2182" s="264"/>
      <c r="Q2182" s="264"/>
      <c r="R2182" s="264"/>
      <c r="S2182" s="264"/>
      <c r="T2182" s="1056"/>
      <c r="U2182" s="1056"/>
      <c r="V2182" s="1056"/>
      <c r="W2182" s="1056"/>
      <c r="X2182" s="1056"/>
      <c r="Y2182" s="1056"/>
      <c r="Z2182" s="1056"/>
      <c r="AA2182" s="1056"/>
      <c r="AB2182" s="1056"/>
      <c r="AC2182" s="1056"/>
      <c r="AD2182" s="1056"/>
      <c r="AE2182" s="1056"/>
      <c r="AF2182" s="264"/>
    </row>
    <row r="2183" spans="1:32" s="268" customFormat="1" ht="15" x14ac:dyDescent="0.25">
      <c r="A2183" s="264"/>
      <c r="B2183" s="264"/>
      <c r="C2183" s="1056"/>
      <c r="D2183" s="1056"/>
      <c r="E2183" s="1056"/>
      <c r="F2183" s="1056"/>
      <c r="G2183" s="1056"/>
      <c r="H2183" s="1056"/>
      <c r="I2183" s="1056"/>
      <c r="J2183" s="1056"/>
      <c r="K2183" s="1056"/>
      <c r="L2183" s="1056"/>
      <c r="M2183" s="274"/>
      <c r="P2183" s="264"/>
      <c r="Q2183" s="264"/>
      <c r="R2183" s="264"/>
      <c r="S2183" s="264"/>
      <c r="T2183" s="1056"/>
      <c r="U2183" s="1056"/>
      <c r="V2183" s="1056"/>
      <c r="W2183" s="1056"/>
      <c r="X2183" s="1056"/>
      <c r="Y2183" s="1056"/>
      <c r="Z2183" s="1056"/>
      <c r="AA2183" s="1056"/>
      <c r="AB2183" s="1056"/>
      <c r="AC2183" s="1056"/>
      <c r="AD2183" s="1056"/>
      <c r="AE2183" s="1056"/>
      <c r="AF2183" s="264"/>
    </row>
    <row r="2184" spans="1:32" s="268" customFormat="1" ht="15" x14ac:dyDescent="0.25">
      <c r="A2184" s="264"/>
      <c r="B2184" s="264"/>
      <c r="C2184" s="1056"/>
      <c r="D2184" s="1056"/>
      <c r="E2184" s="1056"/>
      <c r="F2184" s="1056"/>
      <c r="G2184" s="1056"/>
      <c r="H2184" s="1056"/>
      <c r="I2184" s="1056"/>
      <c r="J2184" s="1056"/>
      <c r="K2184" s="1056"/>
      <c r="L2184" s="1056"/>
      <c r="M2184" s="274"/>
      <c r="P2184" s="264"/>
      <c r="Q2184" s="264"/>
      <c r="R2184" s="264"/>
      <c r="S2184" s="264"/>
      <c r="T2184" s="1056"/>
      <c r="U2184" s="1056"/>
      <c r="V2184" s="1056"/>
      <c r="W2184" s="1056"/>
      <c r="X2184" s="1056"/>
      <c r="Y2184" s="1056"/>
      <c r="Z2184" s="1056"/>
      <c r="AA2184" s="1056"/>
      <c r="AB2184" s="1056"/>
      <c r="AC2184" s="1056"/>
      <c r="AD2184" s="1056"/>
      <c r="AE2184" s="1056"/>
      <c r="AF2184" s="264"/>
    </row>
    <row r="2185" spans="1:32" s="268" customFormat="1" ht="15" x14ac:dyDescent="0.25">
      <c r="A2185" s="264"/>
      <c r="B2185" s="264"/>
      <c r="C2185" s="1056"/>
      <c r="D2185" s="1056"/>
      <c r="E2185" s="1056"/>
      <c r="F2185" s="1056"/>
      <c r="G2185" s="1056"/>
      <c r="H2185" s="1056"/>
      <c r="I2185" s="1056"/>
      <c r="J2185" s="1056"/>
      <c r="K2185" s="1056"/>
      <c r="L2185" s="1056"/>
      <c r="M2185" s="274"/>
      <c r="P2185" s="264"/>
      <c r="Q2185" s="264"/>
      <c r="R2185" s="264"/>
      <c r="S2185" s="264"/>
      <c r="T2185" s="1056"/>
      <c r="U2185" s="1056"/>
      <c r="V2185" s="1056"/>
      <c r="W2185" s="1056"/>
      <c r="X2185" s="1056"/>
      <c r="Y2185" s="1056"/>
      <c r="Z2185" s="1056"/>
      <c r="AA2185" s="1056"/>
      <c r="AB2185" s="1056"/>
      <c r="AC2185" s="1056"/>
      <c r="AD2185" s="1056"/>
      <c r="AE2185" s="1056"/>
      <c r="AF2185" s="264"/>
    </row>
    <row r="2186" spans="1:32" s="268" customFormat="1" ht="15" x14ac:dyDescent="0.25">
      <c r="A2186" s="264"/>
      <c r="B2186" s="264"/>
      <c r="C2186" s="1056"/>
      <c r="D2186" s="1056"/>
      <c r="E2186" s="1056"/>
      <c r="F2186" s="1056"/>
      <c r="G2186" s="1056"/>
      <c r="H2186" s="1056"/>
      <c r="I2186" s="1056"/>
      <c r="J2186" s="1056"/>
      <c r="K2186" s="1056"/>
      <c r="L2186" s="1056"/>
      <c r="M2186" s="274"/>
      <c r="P2186" s="264"/>
      <c r="Q2186" s="264"/>
      <c r="R2186" s="264"/>
      <c r="S2186" s="264"/>
      <c r="T2186" s="1056"/>
      <c r="U2186" s="1056"/>
      <c r="V2186" s="1056"/>
      <c r="W2186" s="1056"/>
      <c r="X2186" s="1056"/>
      <c r="Y2186" s="1056"/>
      <c r="Z2186" s="1056"/>
      <c r="AA2186" s="1056"/>
      <c r="AB2186" s="1056"/>
      <c r="AC2186" s="1056"/>
      <c r="AD2186" s="1056"/>
      <c r="AE2186" s="1056"/>
      <c r="AF2186" s="264"/>
    </row>
    <row r="2187" spans="1:32" s="268" customFormat="1" ht="15" x14ac:dyDescent="0.25">
      <c r="A2187" s="264"/>
      <c r="B2187" s="264"/>
      <c r="C2187" s="1056"/>
      <c r="D2187" s="1056"/>
      <c r="E2187" s="1056"/>
      <c r="F2187" s="1056"/>
      <c r="G2187" s="1056"/>
      <c r="H2187" s="1056"/>
      <c r="I2187" s="1056"/>
      <c r="J2187" s="1056"/>
      <c r="K2187" s="1056"/>
      <c r="L2187" s="1056"/>
      <c r="M2187" s="274"/>
      <c r="P2187" s="264"/>
      <c r="Q2187" s="264"/>
      <c r="R2187" s="264"/>
      <c r="S2187" s="264"/>
      <c r="T2187" s="1056"/>
      <c r="U2187" s="1056"/>
      <c r="V2187" s="1056"/>
      <c r="W2187" s="1056"/>
      <c r="X2187" s="1056"/>
      <c r="Y2187" s="1056"/>
      <c r="Z2187" s="1056"/>
      <c r="AA2187" s="1056"/>
      <c r="AB2187" s="1056"/>
      <c r="AC2187" s="1056"/>
      <c r="AD2187" s="1056"/>
      <c r="AE2187" s="1056"/>
      <c r="AF2187" s="264"/>
    </row>
    <row r="2188" spans="1:32" s="268" customFormat="1" ht="15" x14ac:dyDescent="0.25">
      <c r="A2188" s="264"/>
      <c r="B2188" s="264"/>
      <c r="C2188" s="1056"/>
      <c r="D2188" s="1056"/>
      <c r="E2188" s="1056"/>
      <c r="F2188" s="1056"/>
      <c r="G2188" s="1056"/>
      <c r="H2188" s="1056"/>
      <c r="I2188" s="1056"/>
      <c r="J2188" s="1056"/>
      <c r="K2188" s="1056"/>
      <c r="L2188" s="1056"/>
      <c r="M2188" s="274"/>
      <c r="P2188" s="264"/>
      <c r="Q2188" s="264"/>
      <c r="R2188" s="264"/>
      <c r="S2188" s="264"/>
      <c r="T2188" s="1056"/>
      <c r="U2188" s="1056"/>
      <c r="V2188" s="1056"/>
      <c r="W2188" s="1056"/>
      <c r="X2188" s="1056"/>
      <c r="Y2188" s="1056"/>
      <c r="Z2188" s="1056"/>
      <c r="AA2188" s="1056"/>
      <c r="AB2188" s="1056"/>
      <c r="AC2188" s="1056"/>
      <c r="AD2188" s="1056"/>
      <c r="AE2188" s="1056"/>
      <c r="AF2188" s="264"/>
    </row>
    <row r="2189" spans="1:32" s="268" customFormat="1" ht="15" x14ac:dyDescent="0.25">
      <c r="A2189" s="264"/>
      <c r="B2189" s="264"/>
      <c r="C2189" s="1056"/>
      <c r="D2189" s="1056"/>
      <c r="E2189" s="1056"/>
      <c r="F2189" s="1056"/>
      <c r="G2189" s="1056"/>
      <c r="H2189" s="1056"/>
      <c r="I2189" s="1056"/>
      <c r="J2189" s="1056"/>
      <c r="K2189" s="1056"/>
      <c r="L2189" s="1056"/>
      <c r="M2189" s="274"/>
      <c r="P2189" s="264"/>
      <c r="Q2189" s="264"/>
      <c r="R2189" s="264"/>
      <c r="S2189" s="264"/>
      <c r="T2189" s="1056"/>
      <c r="U2189" s="1056"/>
      <c r="V2189" s="1056"/>
      <c r="W2189" s="1056"/>
      <c r="X2189" s="1056"/>
      <c r="Y2189" s="1056"/>
      <c r="Z2189" s="1056"/>
      <c r="AA2189" s="1056"/>
      <c r="AB2189" s="1056"/>
      <c r="AC2189" s="1056"/>
      <c r="AD2189" s="1056"/>
      <c r="AE2189" s="1056"/>
      <c r="AF2189" s="264"/>
    </row>
    <row r="2190" spans="1:32" s="268" customFormat="1" ht="15" x14ac:dyDescent="0.25">
      <c r="A2190" s="264"/>
      <c r="B2190" s="264"/>
      <c r="C2190" s="1056"/>
      <c r="D2190" s="1056"/>
      <c r="E2190" s="1056"/>
      <c r="F2190" s="1056"/>
      <c r="G2190" s="1056"/>
      <c r="H2190" s="1056"/>
      <c r="I2190" s="1056"/>
      <c r="J2190" s="1056"/>
      <c r="K2190" s="1056"/>
      <c r="L2190" s="1056"/>
      <c r="M2190" s="274"/>
      <c r="P2190" s="264"/>
      <c r="Q2190" s="264"/>
      <c r="R2190" s="264"/>
      <c r="S2190" s="264"/>
      <c r="T2190" s="1056"/>
      <c r="U2190" s="1056"/>
      <c r="V2190" s="1056"/>
      <c r="W2190" s="1056"/>
      <c r="X2190" s="1056"/>
      <c r="Y2190" s="1056"/>
      <c r="Z2190" s="1056"/>
      <c r="AA2190" s="1056"/>
      <c r="AB2190" s="1056"/>
      <c r="AC2190" s="1056"/>
      <c r="AD2190" s="1056"/>
      <c r="AE2190" s="1056"/>
      <c r="AF2190" s="264"/>
    </row>
    <row r="2191" spans="1:32" s="268" customFormat="1" ht="15" x14ac:dyDescent="0.25">
      <c r="A2191" s="264"/>
      <c r="B2191" s="264"/>
      <c r="C2191" s="1056"/>
      <c r="D2191" s="1056"/>
      <c r="E2191" s="1056"/>
      <c r="F2191" s="1056"/>
      <c r="G2191" s="1056"/>
      <c r="H2191" s="1056"/>
      <c r="I2191" s="1056"/>
      <c r="J2191" s="1056"/>
      <c r="K2191" s="1056"/>
      <c r="L2191" s="1056"/>
      <c r="M2191" s="274"/>
      <c r="P2191" s="264"/>
      <c r="Q2191" s="264"/>
      <c r="R2191" s="264"/>
      <c r="S2191" s="264"/>
      <c r="T2191" s="1056"/>
      <c r="U2191" s="1056"/>
      <c r="V2191" s="1056"/>
      <c r="W2191" s="1056"/>
      <c r="X2191" s="1056"/>
      <c r="Y2191" s="1056"/>
      <c r="Z2191" s="1056"/>
      <c r="AA2191" s="1056"/>
      <c r="AB2191" s="1056"/>
      <c r="AC2191" s="1056"/>
      <c r="AD2191" s="1056"/>
      <c r="AE2191" s="1056"/>
      <c r="AF2191" s="264"/>
    </row>
    <row r="2192" spans="1:32" s="268" customFormat="1" ht="15" x14ac:dyDescent="0.25">
      <c r="A2192" s="264"/>
      <c r="B2192" s="264"/>
      <c r="C2192" s="1056"/>
      <c r="D2192" s="1056"/>
      <c r="E2192" s="1056"/>
      <c r="F2192" s="1056"/>
      <c r="G2192" s="1056"/>
      <c r="H2192" s="1056"/>
      <c r="I2192" s="1056"/>
      <c r="J2192" s="1056"/>
      <c r="K2192" s="1056"/>
      <c r="L2192" s="1056"/>
      <c r="M2192" s="274"/>
      <c r="P2192" s="264"/>
      <c r="Q2192" s="264"/>
      <c r="R2192" s="264"/>
      <c r="S2192" s="264"/>
      <c r="T2192" s="1056"/>
      <c r="U2192" s="1056"/>
      <c r="V2192" s="1056"/>
      <c r="W2192" s="1056"/>
      <c r="X2192" s="1056"/>
      <c r="Y2192" s="1056"/>
      <c r="Z2192" s="1056"/>
      <c r="AA2192" s="1056"/>
      <c r="AB2192" s="1056"/>
      <c r="AC2192" s="1056"/>
      <c r="AD2192" s="1056"/>
      <c r="AE2192" s="1056"/>
      <c r="AF2192" s="264"/>
    </row>
    <row r="2193" spans="1:32" s="268" customFormat="1" ht="15" x14ac:dyDescent="0.25">
      <c r="A2193" s="264"/>
      <c r="B2193" s="264"/>
      <c r="C2193" s="1056"/>
      <c r="D2193" s="1056"/>
      <c r="E2193" s="1056"/>
      <c r="F2193" s="1056"/>
      <c r="G2193" s="1056"/>
      <c r="H2193" s="1056"/>
      <c r="I2193" s="1056"/>
      <c r="J2193" s="1056"/>
      <c r="K2193" s="1056"/>
      <c r="L2193" s="1056"/>
      <c r="M2193" s="274"/>
      <c r="P2193" s="264"/>
      <c r="Q2193" s="264"/>
      <c r="R2193" s="264"/>
      <c r="S2193" s="264"/>
      <c r="T2193" s="1056"/>
      <c r="U2193" s="1056"/>
      <c r="V2193" s="1056"/>
      <c r="W2193" s="1056"/>
      <c r="X2193" s="1056"/>
      <c r="Y2193" s="1056"/>
      <c r="Z2193" s="1056"/>
      <c r="AA2193" s="1056"/>
      <c r="AB2193" s="1056"/>
      <c r="AC2193" s="1056"/>
      <c r="AD2193" s="1056"/>
      <c r="AE2193" s="1056"/>
      <c r="AF2193" s="264"/>
    </row>
    <row r="2194" spans="1:32" s="268" customFormat="1" ht="15" x14ac:dyDescent="0.25">
      <c r="A2194" s="264"/>
      <c r="B2194" s="264"/>
      <c r="C2194" s="1056"/>
      <c r="D2194" s="1056"/>
      <c r="E2194" s="1056"/>
      <c r="F2194" s="1056"/>
      <c r="G2194" s="1056"/>
      <c r="H2194" s="1056"/>
      <c r="I2194" s="1056"/>
      <c r="J2194" s="1056"/>
      <c r="K2194" s="1056"/>
      <c r="L2194" s="1056"/>
      <c r="M2194" s="274"/>
      <c r="P2194" s="264"/>
      <c r="Q2194" s="264"/>
      <c r="R2194" s="264"/>
      <c r="S2194" s="264"/>
      <c r="T2194" s="1056"/>
      <c r="U2194" s="1056"/>
      <c r="V2194" s="1056"/>
      <c r="W2194" s="1056"/>
      <c r="X2194" s="1056"/>
      <c r="Y2194" s="1056"/>
      <c r="Z2194" s="1056"/>
      <c r="AA2194" s="1056"/>
      <c r="AB2194" s="1056"/>
      <c r="AC2194" s="1056"/>
      <c r="AD2194" s="1056"/>
      <c r="AE2194" s="1056"/>
      <c r="AF2194" s="264"/>
    </row>
    <row r="2195" spans="1:32" s="268" customFormat="1" ht="15" x14ac:dyDescent="0.25">
      <c r="A2195" s="264"/>
      <c r="B2195" s="264"/>
      <c r="C2195" s="1056"/>
      <c r="D2195" s="1056"/>
      <c r="E2195" s="1056"/>
      <c r="F2195" s="1056"/>
      <c r="G2195" s="1056"/>
      <c r="H2195" s="1056"/>
      <c r="I2195" s="1056"/>
      <c r="J2195" s="1056"/>
      <c r="K2195" s="1056"/>
      <c r="L2195" s="1056"/>
      <c r="M2195" s="274"/>
      <c r="P2195" s="264"/>
      <c r="Q2195" s="264"/>
      <c r="R2195" s="264"/>
      <c r="S2195" s="264"/>
      <c r="T2195" s="1056"/>
      <c r="U2195" s="1056"/>
      <c r="V2195" s="1056"/>
      <c r="W2195" s="1056"/>
      <c r="X2195" s="1056"/>
      <c r="Y2195" s="1056"/>
      <c r="Z2195" s="1056"/>
      <c r="AA2195" s="1056"/>
      <c r="AB2195" s="1056"/>
      <c r="AC2195" s="1056"/>
      <c r="AD2195" s="1056"/>
      <c r="AE2195" s="1056"/>
      <c r="AF2195" s="264"/>
    </row>
    <row r="2196" spans="1:32" s="268" customFormat="1" ht="15" x14ac:dyDescent="0.25">
      <c r="A2196" s="264"/>
      <c r="B2196" s="264"/>
      <c r="C2196" s="1056"/>
      <c r="D2196" s="1056"/>
      <c r="E2196" s="1056"/>
      <c r="F2196" s="1056"/>
      <c r="G2196" s="1056"/>
      <c r="H2196" s="1056"/>
      <c r="I2196" s="1056"/>
      <c r="J2196" s="1056"/>
      <c r="K2196" s="1056"/>
      <c r="L2196" s="1056"/>
      <c r="M2196" s="274"/>
      <c r="P2196" s="264"/>
      <c r="Q2196" s="264"/>
      <c r="R2196" s="264"/>
      <c r="S2196" s="264"/>
      <c r="T2196" s="1056"/>
      <c r="U2196" s="1056"/>
      <c r="V2196" s="1056"/>
      <c r="W2196" s="1056"/>
      <c r="X2196" s="1056"/>
      <c r="Y2196" s="1056"/>
      <c r="Z2196" s="1056"/>
      <c r="AA2196" s="1056"/>
      <c r="AB2196" s="1056"/>
      <c r="AC2196" s="1056"/>
      <c r="AD2196" s="1056"/>
      <c r="AE2196" s="1056"/>
      <c r="AF2196" s="264"/>
    </row>
    <row r="2197" spans="1:32" s="268" customFormat="1" ht="15" x14ac:dyDescent="0.25">
      <c r="A2197" s="264"/>
      <c r="B2197" s="264"/>
      <c r="C2197" s="1056"/>
      <c r="D2197" s="1056"/>
      <c r="E2197" s="1056"/>
      <c r="F2197" s="1056"/>
      <c r="G2197" s="1056"/>
      <c r="H2197" s="1056"/>
      <c r="I2197" s="1056"/>
      <c r="J2197" s="1056"/>
      <c r="K2197" s="1056"/>
      <c r="L2197" s="1056"/>
      <c r="M2197" s="274"/>
      <c r="P2197" s="264"/>
      <c r="Q2197" s="264"/>
      <c r="R2197" s="264"/>
      <c r="S2197" s="264"/>
      <c r="T2197" s="1056"/>
      <c r="U2197" s="1056"/>
      <c r="V2197" s="1056"/>
      <c r="W2197" s="1056"/>
      <c r="X2197" s="1056"/>
      <c r="Y2197" s="1056"/>
      <c r="Z2197" s="1056"/>
      <c r="AA2197" s="1056"/>
      <c r="AB2197" s="1056"/>
      <c r="AC2197" s="1056"/>
      <c r="AD2197" s="1056"/>
      <c r="AE2197" s="1056"/>
      <c r="AF2197" s="264"/>
    </row>
    <row r="2198" spans="1:32" s="268" customFormat="1" ht="15" x14ac:dyDescent="0.25">
      <c r="A2198" s="264"/>
      <c r="B2198" s="264"/>
      <c r="C2198" s="1056"/>
      <c r="D2198" s="1056"/>
      <c r="E2198" s="1056"/>
      <c r="F2198" s="1056"/>
      <c r="G2198" s="1056"/>
      <c r="H2198" s="1056"/>
      <c r="I2198" s="1056"/>
      <c r="J2198" s="1056"/>
      <c r="K2198" s="1056"/>
      <c r="L2198" s="1056"/>
      <c r="M2198" s="274"/>
      <c r="P2198" s="264"/>
      <c r="Q2198" s="264"/>
      <c r="R2198" s="264"/>
      <c r="S2198" s="264"/>
      <c r="T2198" s="1056"/>
      <c r="U2198" s="1056"/>
      <c r="V2198" s="1056"/>
      <c r="W2198" s="1056"/>
      <c r="X2198" s="1056"/>
      <c r="Y2198" s="1056"/>
      <c r="Z2198" s="1056"/>
      <c r="AA2198" s="1056"/>
      <c r="AB2198" s="1056"/>
      <c r="AC2198" s="1056"/>
      <c r="AD2198" s="1056"/>
      <c r="AE2198" s="1056"/>
      <c r="AF2198" s="264"/>
    </row>
    <row r="2199" spans="1:32" s="268" customFormat="1" ht="15" x14ac:dyDescent="0.25">
      <c r="A2199" s="264"/>
      <c r="B2199" s="264"/>
      <c r="C2199" s="1056"/>
      <c r="D2199" s="1056"/>
      <c r="E2199" s="1056"/>
      <c r="F2199" s="1056"/>
      <c r="G2199" s="1056"/>
      <c r="H2199" s="1056"/>
      <c r="I2199" s="1056"/>
      <c r="J2199" s="1056"/>
      <c r="K2199" s="1056"/>
      <c r="L2199" s="1056"/>
      <c r="M2199" s="274"/>
      <c r="P2199" s="264"/>
      <c r="Q2199" s="264"/>
      <c r="R2199" s="264"/>
      <c r="S2199" s="264"/>
      <c r="T2199" s="1056"/>
      <c r="U2199" s="1056"/>
      <c r="V2199" s="1056"/>
      <c r="W2199" s="1056"/>
      <c r="X2199" s="1056"/>
      <c r="Y2199" s="1056"/>
      <c r="Z2199" s="1056"/>
      <c r="AA2199" s="1056"/>
      <c r="AB2199" s="1056"/>
      <c r="AC2199" s="1056"/>
      <c r="AD2199" s="1056"/>
      <c r="AE2199" s="1056"/>
      <c r="AF2199" s="264"/>
    </row>
    <row r="2200" spans="1:32" s="268" customFormat="1" ht="15" x14ac:dyDescent="0.25">
      <c r="A2200" s="264"/>
      <c r="B2200" s="264"/>
      <c r="C2200" s="1056"/>
      <c r="D2200" s="1056"/>
      <c r="E2200" s="1056"/>
      <c r="F2200" s="1056"/>
      <c r="G2200" s="1056"/>
      <c r="H2200" s="1056"/>
      <c r="I2200" s="1056"/>
      <c r="J2200" s="1056"/>
      <c r="K2200" s="1056"/>
      <c r="L2200" s="1056"/>
      <c r="M2200" s="274"/>
      <c r="P2200" s="264"/>
      <c r="Q2200" s="264"/>
      <c r="R2200" s="264"/>
      <c r="S2200" s="264"/>
      <c r="T2200" s="1056"/>
      <c r="U2200" s="1056"/>
      <c r="V2200" s="1056"/>
      <c r="W2200" s="1056"/>
      <c r="X2200" s="1056"/>
      <c r="Y2200" s="1056"/>
      <c r="Z2200" s="1056"/>
      <c r="AA2200" s="1056"/>
      <c r="AB2200" s="1056"/>
      <c r="AC2200" s="1056"/>
      <c r="AD2200" s="1056"/>
      <c r="AE2200" s="1056"/>
      <c r="AF2200" s="264"/>
    </row>
    <row r="2201" spans="1:32" s="268" customFormat="1" ht="15" x14ac:dyDescent="0.25">
      <c r="A2201" s="264"/>
      <c r="B2201" s="264"/>
      <c r="C2201" s="1056"/>
      <c r="D2201" s="1056"/>
      <c r="E2201" s="1056"/>
      <c r="F2201" s="1056"/>
      <c r="G2201" s="1056"/>
      <c r="H2201" s="1056"/>
      <c r="I2201" s="1056"/>
      <c r="J2201" s="1056"/>
      <c r="K2201" s="1056"/>
      <c r="L2201" s="1056"/>
      <c r="M2201" s="274"/>
      <c r="P2201" s="264"/>
      <c r="Q2201" s="264"/>
      <c r="R2201" s="264"/>
      <c r="S2201" s="264"/>
      <c r="T2201" s="1056"/>
      <c r="U2201" s="1056"/>
      <c r="V2201" s="1056"/>
      <c r="W2201" s="1056"/>
      <c r="X2201" s="1056"/>
      <c r="Y2201" s="1056"/>
      <c r="Z2201" s="1056"/>
      <c r="AA2201" s="1056"/>
      <c r="AB2201" s="1056"/>
      <c r="AC2201" s="1056"/>
      <c r="AD2201" s="1056"/>
      <c r="AE2201" s="1056"/>
      <c r="AF2201" s="264"/>
    </row>
    <row r="2202" spans="1:32" s="268" customFormat="1" ht="15" x14ac:dyDescent="0.25">
      <c r="A2202" s="264"/>
      <c r="B2202" s="264"/>
      <c r="C2202" s="1056"/>
      <c r="D2202" s="1056"/>
      <c r="E2202" s="1056"/>
      <c r="F2202" s="1056"/>
      <c r="G2202" s="1056"/>
      <c r="H2202" s="1056"/>
      <c r="I2202" s="1056"/>
      <c r="J2202" s="1056"/>
      <c r="K2202" s="1056"/>
      <c r="L2202" s="1056"/>
      <c r="M2202" s="274"/>
      <c r="P2202" s="264"/>
      <c r="Q2202" s="264"/>
      <c r="R2202" s="264"/>
      <c r="S2202" s="264"/>
      <c r="T2202" s="1056"/>
      <c r="U2202" s="1056"/>
      <c r="V2202" s="1056"/>
      <c r="W2202" s="1056"/>
      <c r="X2202" s="1056"/>
      <c r="Y2202" s="1056"/>
      <c r="Z2202" s="1056"/>
      <c r="AA2202" s="1056"/>
      <c r="AB2202" s="1056"/>
      <c r="AC2202" s="1056"/>
      <c r="AD2202" s="1056"/>
      <c r="AE2202" s="1056"/>
      <c r="AF2202" s="264"/>
    </row>
    <row r="2203" spans="1:32" s="268" customFormat="1" ht="15" x14ac:dyDescent="0.25">
      <c r="A2203" s="264"/>
      <c r="B2203" s="264"/>
      <c r="C2203" s="1056"/>
      <c r="D2203" s="1056"/>
      <c r="E2203" s="1056"/>
      <c r="F2203" s="1056"/>
      <c r="G2203" s="1056"/>
      <c r="H2203" s="1056"/>
      <c r="I2203" s="1056"/>
      <c r="J2203" s="1056"/>
      <c r="K2203" s="1056"/>
      <c r="L2203" s="1056"/>
      <c r="M2203" s="274"/>
      <c r="P2203" s="264"/>
      <c r="Q2203" s="264"/>
      <c r="R2203" s="264"/>
      <c r="S2203" s="264"/>
      <c r="T2203" s="1056"/>
      <c r="U2203" s="1056"/>
      <c r="V2203" s="1056"/>
      <c r="W2203" s="1056"/>
      <c r="X2203" s="1056"/>
      <c r="Y2203" s="1056"/>
      <c r="Z2203" s="1056"/>
      <c r="AA2203" s="1056"/>
      <c r="AB2203" s="1056"/>
      <c r="AC2203" s="1056"/>
      <c r="AD2203" s="1056"/>
      <c r="AE2203" s="1056"/>
      <c r="AF2203" s="264"/>
    </row>
    <row r="2204" spans="1:32" s="268" customFormat="1" ht="15" x14ac:dyDescent="0.25">
      <c r="A2204" s="264"/>
      <c r="B2204" s="264"/>
      <c r="C2204" s="1056"/>
      <c r="D2204" s="1056"/>
      <c r="E2204" s="1056"/>
      <c r="F2204" s="1056"/>
      <c r="G2204" s="1056"/>
      <c r="H2204" s="1056"/>
      <c r="I2204" s="1056"/>
      <c r="J2204" s="1056"/>
      <c r="K2204" s="1056"/>
      <c r="L2204" s="1056"/>
      <c r="M2204" s="274"/>
      <c r="P2204" s="264"/>
      <c r="Q2204" s="264"/>
      <c r="R2204" s="264"/>
      <c r="S2204" s="264"/>
      <c r="T2204" s="1056"/>
      <c r="U2204" s="1056"/>
      <c r="V2204" s="1056"/>
      <c r="W2204" s="1056"/>
      <c r="X2204" s="1056"/>
      <c r="Y2204" s="1056"/>
      <c r="Z2204" s="1056"/>
      <c r="AA2204" s="1056"/>
      <c r="AB2204" s="1056"/>
      <c r="AC2204" s="1056"/>
      <c r="AD2204" s="1056"/>
      <c r="AE2204" s="1056"/>
      <c r="AF2204" s="264"/>
    </row>
    <row r="2205" spans="1:32" s="268" customFormat="1" ht="15" x14ac:dyDescent="0.25">
      <c r="A2205" s="264"/>
      <c r="B2205" s="264"/>
      <c r="C2205" s="1056"/>
      <c r="D2205" s="1056"/>
      <c r="E2205" s="1056"/>
      <c r="F2205" s="1056"/>
      <c r="G2205" s="1056"/>
      <c r="H2205" s="1056"/>
      <c r="I2205" s="1056"/>
      <c r="J2205" s="1056"/>
      <c r="K2205" s="1056"/>
      <c r="L2205" s="1056"/>
      <c r="M2205" s="274"/>
      <c r="P2205" s="264"/>
      <c r="Q2205" s="264"/>
      <c r="R2205" s="264"/>
      <c r="S2205" s="264"/>
      <c r="T2205" s="1056"/>
      <c r="U2205" s="1056"/>
      <c r="V2205" s="1056"/>
      <c r="W2205" s="1056"/>
      <c r="X2205" s="1056"/>
      <c r="Y2205" s="1056"/>
      <c r="Z2205" s="1056"/>
      <c r="AA2205" s="1056"/>
      <c r="AB2205" s="1056"/>
      <c r="AC2205" s="1056"/>
      <c r="AD2205" s="1056"/>
      <c r="AE2205" s="1056"/>
      <c r="AF2205" s="264"/>
    </row>
    <row r="2206" spans="1:32" s="268" customFormat="1" ht="15" x14ac:dyDescent="0.25">
      <c r="A2206" s="264"/>
      <c r="B2206" s="264"/>
      <c r="C2206" s="1056"/>
      <c r="D2206" s="1056"/>
      <c r="E2206" s="1056"/>
      <c r="F2206" s="1056"/>
      <c r="G2206" s="1056"/>
      <c r="H2206" s="1056"/>
      <c r="I2206" s="1056"/>
      <c r="J2206" s="1056"/>
      <c r="K2206" s="1056"/>
      <c r="L2206" s="1056"/>
      <c r="M2206" s="274"/>
      <c r="P2206" s="264"/>
      <c r="Q2206" s="264"/>
      <c r="R2206" s="264"/>
      <c r="S2206" s="264"/>
      <c r="T2206" s="1056"/>
      <c r="U2206" s="1056"/>
      <c r="V2206" s="1056"/>
      <c r="W2206" s="1056"/>
      <c r="X2206" s="1056"/>
      <c r="Y2206" s="1056"/>
      <c r="Z2206" s="1056"/>
      <c r="AA2206" s="1056"/>
      <c r="AB2206" s="1056"/>
      <c r="AC2206" s="1056"/>
      <c r="AD2206" s="1056"/>
      <c r="AE2206" s="1056"/>
      <c r="AF2206" s="264"/>
    </row>
    <row r="2207" spans="1:32" s="268" customFormat="1" ht="15" x14ac:dyDescent="0.25">
      <c r="A2207" s="264"/>
      <c r="B2207" s="264"/>
      <c r="C2207" s="1056"/>
      <c r="D2207" s="1056"/>
      <c r="E2207" s="1056"/>
      <c r="F2207" s="1056"/>
      <c r="G2207" s="1056"/>
      <c r="H2207" s="1056"/>
      <c r="I2207" s="1056"/>
      <c r="J2207" s="1056"/>
      <c r="K2207" s="1056"/>
      <c r="L2207" s="1056"/>
      <c r="M2207" s="274"/>
      <c r="P2207" s="264"/>
      <c r="Q2207" s="264"/>
      <c r="R2207" s="264"/>
      <c r="S2207" s="264"/>
      <c r="T2207" s="1056"/>
      <c r="U2207" s="1056"/>
      <c r="V2207" s="1056"/>
      <c r="W2207" s="1056"/>
      <c r="X2207" s="1056"/>
      <c r="Y2207" s="1056"/>
      <c r="Z2207" s="1056"/>
      <c r="AA2207" s="1056"/>
      <c r="AB2207" s="1056"/>
      <c r="AC2207" s="1056"/>
      <c r="AD2207" s="1056"/>
      <c r="AE2207" s="1056"/>
      <c r="AF2207" s="264"/>
    </row>
    <row r="2208" spans="1:32" s="268" customFormat="1" ht="15" x14ac:dyDescent="0.25">
      <c r="A2208" s="264"/>
      <c r="B2208" s="264"/>
      <c r="C2208" s="1056"/>
      <c r="D2208" s="1056"/>
      <c r="E2208" s="1056"/>
      <c r="F2208" s="1056"/>
      <c r="G2208" s="1056"/>
      <c r="H2208" s="1056"/>
      <c r="I2208" s="1056"/>
      <c r="J2208" s="1056"/>
      <c r="K2208" s="1056"/>
      <c r="L2208" s="1056"/>
      <c r="M2208" s="274"/>
      <c r="P2208" s="264"/>
      <c r="Q2208" s="264"/>
      <c r="R2208" s="264"/>
      <c r="S2208" s="264"/>
      <c r="T2208" s="1056"/>
      <c r="U2208" s="1056"/>
      <c r="V2208" s="1056"/>
      <c r="W2208" s="1056"/>
      <c r="X2208" s="1056"/>
      <c r="Y2208" s="1056"/>
      <c r="Z2208" s="1056"/>
      <c r="AA2208" s="1056"/>
      <c r="AB2208" s="1056"/>
      <c r="AC2208" s="1056"/>
      <c r="AD2208" s="1056"/>
      <c r="AE2208" s="1056"/>
      <c r="AF2208" s="264"/>
    </row>
    <row r="2209" spans="1:32" s="268" customFormat="1" ht="15" x14ac:dyDescent="0.25">
      <c r="A2209" s="264"/>
      <c r="B2209" s="264"/>
      <c r="C2209" s="1056"/>
      <c r="D2209" s="1056"/>
      <c r="E2209" s="1056"/>
      <c r="F2209" s="1056"/>
      <c r="G2209" s="1056"/>
      <c r="H2209" s="1056"/>
      <c r="I2209" s="1056"/>
      <c r="J2209" s="1056"/>
      <c r="K2209" s="1056"/>
      <c r="L2209" s="1056"/>
      <c r="M2209" s="274"/>
      <c r="P2209" s="264"/>
      <c r="Q2209" s="264"/>
      <c r="R2209" s="264"/>
      <c r="S2209" s="264"/>
      <c r="T2209" s="1056"/>
      <c r="U2209" s="1056"/>
      <c r="V2209" s="1056"/>
      <c r="W2209" s="1056"/>
      <c r="X2209" s="1056"/>
      <c r="Y2209" s="1056"/>
      <c r="Z2209" s="1056"/>
      <c r="AA2209" s="1056"/>
      <c r="AB2209" s="1056"/>
      <c r="AC2209" s="1056"/>
      <c r="AD2209" s="1056"/>
      <c r="AE2209" s="1056"/>
      <c r="AF2209" s="264"/>
    </row>
    <row r="2210" spans="1:32" s="268" customFormat="1" ht="15" x14ac:dyDescent="0.25">
      <c r="A2210" s="264"/>
      <c r="B2210" s="264"/>
      <c r="C2210" s="1056"/>
      <c r="D2210" s="1056"/>
      <c r="E2210" s="1056"/>
      <c r="F2210" s="1056"/>
      <c r="G2210" s="1056"/>
      <c r="H2210" s="1056"/>
      <c r="I2210" s="1056"/>
      <c r="J2210" s="1056"/>
      <c r="K2210" s="1056"/>
      <c r="L2210" s="1056"/>
      <c r="M2210" s="274"/>
      <c r="P2210" s="264"/>
      <c r="Q2210" s="264"/>
      <c r="R2210" s="264"/>
      <c r="S2210" s="264"/>
      <c r="T2210" s="1056"/>
      <c r="U2210" s="1056"/>
      <c r="V2210" s="1056"/>
      <c r="W2210" s="1056"/>
      <c r="X2210" s="1056"/>
      <c r="Y2210" s="1056"/>
      <c r="Z2210" s="1056"/>
      <c r="AA2210" s="1056"/>
      <c r="AB2210" s="1056"/>
      <c r="AC2210" s="1056"/>
      <c r="AD2210" s="1056"/>
      <c r="AE2210" s="1056"/>
      <c r="AF2210" s="264"/>
    </row>
    <row r="2211" spans="1:32" s="268" customFormat="1" ht="15" x14ac:dyDescent="0.25">
      <c r="A2211" s="264"/>
      <c r="B2211" s="264"/>
      <c r="C2211" s="1056"/>
      <c r="D2211" s="1056"/>
      <c r="E2211" s="1056"/>
      <c r="F2211" s="1056"/>
      <c r="G2211" s="1056"/>
      <c r="H2211" s="1056"/>
      <c r="I2211" s="1056"/>
      <c r="J2211" s="1056"/>
      <c r="K2211" s="1056"/>
      <c r="L2211" s="1056"/>
      <c r="M2211" s="274"/>
      <c r="P2211" s="264"/>
      <c r="Q2211" s="264"/>
      <c r="R2211" s="264"/>
      <c r="S2211" s="264"/>
      <c r="T2211" s="1056"/>
      <c r="U2211" s="1056"/>
      <c r="V2211" s="1056"/>
      <c r="W2211" s="1056"/>
      <c r="X2211" s="1056"/>
      <c r="Y2211" s="1056"/>
      <c r="Z2211" s="1056"/>
      <c r="AA2211" s="1056"/>
      <c r="AB2211" s="1056"/>
      <c r="AC2211" s="1056"/>
      <c r="AD2211" s="1056"/>
      <c r="AE2211" s="1056"/>
      <c r="AF2211" s="264"/>
    </row>
    <row r="2212" spans="1:32" s="268" customFormat="1" ht="15" x14ac:dyDescent="0.25">
      <c r="A2212" s="264"/>
      <c r="B2212" s="264"/>
      <c r="C2212" s="1056"/>
      <c r="D2212" s="1056"/>
      <c r="E2212" s="1056"/>
      <c r="F2212" s="1056"/>
      <c r="G2212" s="1056"/>
      <c r="H2212" s="1056"/>
      <c r="I2212" s="1056"/>
      <c r="J2212" s="1056"/>
      <c r="K2212" s="1056"/>
      <c r="L2212" s="1056"/>
      <c r="M2212" s="274"/>
      <c r="P2212" s="264"/>
      <c r="Q2212" s="264"/>
      <c r="R2212" s="264"/>
      <c r="S2212" s="264"/>
      <c r="T2212" s="1056"/>
      <c r="U2212" s="1056"/>
      <c r="V2212" s="1056"/>
      <c r="W2212" s="1056"/>
      <c r="X2212" s="1056"/>
      <c r="Y2212" s="1056"/>
      <c r="Z2212" s="1056"/>
      <c r="AA2212" s="1056"/>
      <c r="AB2212" s="1056"/>
      <c r="AC2212" s="1056"/>
      <c r="AD2212" s="1056"/>
      <c r="AE2212" s="1056"/>
      <c r="AF2212" s="264"/>
    </row>
    <row r="2213" spans="1:32" s="268" customFormat="1" ht="15" x14ac:dyDescent="0.25">
      <c r="A2213" s="264"/>
      <c r="B2213" s="264"/>
      <c r="C2213" s="1056"/>
      <c r="D2213" s="1056"/>
      <c r="E2213" s="1056"/>
      <c r="F2213" s="1056"/>
      <c r="G2213" s="1056"/>
      <c r="H2213" s="1056"/>
      <c r="I2213" s="1056"/>
      <c r="J2213" s="1056"/>
      <c r="K2213" s="1056"/>
      <c r="L2213" s="1056"/>
      <c r="M2213" s="274"/>
      <c r="P2213" s="264"/>
      <c r="Q2213" s="264"/>
      <c r="R2213" s="264"/>
      <c r="S2213" s="264"/>
      <c r="T2213" s="1056"/>
      <c r="U2213" s="1056"/>
      <c r="V2213" s="1056"/>
      <c r="W2213" s="1056"/>
      <c r="X2213" s="1056"/>
      <c r="Y2213" s="1056"/>
      <c r="Z2213" s="1056"/>
      <c r="AA2213" s="1056"/>
      <c r="AB2213" s="1056"/>
      <c r="AC2213" s="1056"/>
      <c r="AD2213" s="1056"/>
      <c r="AE2213" s="1056"/>
      <c r="AF2213" s="264"/>
    </row>
    <row r="2214" spans="1:32" s="268" customFormat="1" ht="15" x14ac:dyDescent="0.25">
      <c r="A2214" s="264"/>
      <c r="B2214" s="264"/>
      <c r="C2214" s="1056"/>
      <c r="D2214" s="1056"/>
      <c r="E2214" s="1056"/>
      <c r="F2214" s="1056"/>
      <c r="G2214" s="1056"/>
      <c r="H2214" s="1056"/>
      <c r="I2214" s="1056"/>
      <c r="J2214" s="1056"/>
      <c r="K2214" s="1056"/>
      <c r="L2214" s="1056"/>
      <c r="M2214" s="274"/>
      <c r="P2214" s="264"/>
      <c r="Q2214" s="264"/>
      <c r="R2214" s="264"/>
      <c r="S2214" s="264"/>
      <c r="T2214" s="1056"/>
      <c r="U2214" s="1056"/>
      <c r="V2214" s="1056"/>
      <c r="W2214" s="1056"/>
      <c r="X2214" s="1056"/>
      <c r="Y2214" s="1056"/>
      <c r="Z2214" s="1056"/>
      <c r="AA2214" s="1056"/>
      <c r="AB2214" s="1056"/>
      <c r="AC2214" s="1056"/>
      <c r="AD2214" s="1056"/>
      <c r="AE2214" s="1056"/>
      <c r="AF2214" s="264"/>
    </row>
    <row r="2215" spans="1:32" s="268" customFormat="1" ht="15" x14ac:dyDescent="0.25">
      <c r="A2215" s="264"/>
      <c r="B2215" s="264"/>
      <c r="C2215" s="1056"/>
      <c r="D2215" s="1056"/>
      <c r="E2215" s="1056"/>
      <c r="F2215" s="1056"/>
      <c r="G2215" s="1056"/>
      <c r="H2215" s="1056"/>
      <c r="I2215" s="1056"/>
      <c r="J2215" s="1056"/>
      <c r="K2215" s="1056"/>
      <c r="L2215" s="1056"/>
      <c r="M2215" s="274"/>
      <c r="P2215" s="264"/>
      <c r="Q2215" s="264"/>
      <c r="R2215" s="264"/>
      <c r="S2215" s="264"/>
      <c r="T2215" s="1056"/>
      <c r="U2215" s="1056"/>
      <c r="V2215" s="1056"/>
      <c r="W2215" s="1056"/>
      <c r="X2215" s="1056"/>
      <c r="Y2215" s="1056"/>
      <c r="Z2215" s="1056"/>
      <c r="AA2215" s="1056"/>
      <c r="AB2215" s="1056"/>
      <c r="AC2215" s="1056"/>
      <c r="AD2215" s="1056"/>
      <c r="AE2215" s="1056"/>
      <c r="AF2215" s="264"/>
    </row>
    <row r="2216" spans="1:32" s="268" customFormat="1" ht="15" x14ac:dyDescent="0.25">
      <c r="A2216" s="264"/>
      <c r="B2216" s="264"/>
      <c r="C2216" s="1056"/>
      <c r="D2216" s="1056"/>
      <c r="E2216" s="1056"/>
      <c r="F2216" s="1056"/>
      <c r="G2216" s="1056"/>
      <c r="H2216" s="1056"/>
      <c r="I2216" s="1056"/>
      <c r="J2216" s="1056"/>
      <c r="K2216" s="1056"/>
      <c r="L2216" s="1056"/>
      <c r="M2216" s="274"/>
      <c r="P2216" s="264"/>
      <c r="Q2216" s="264"/>
      <c r="R2216" s="264"/>
      <c r="S2216" s="264"/>
      <c r="T2216" s="1056"/>
      <c r="U2216" s="1056"/>
      <c r="V2216" s="1056"/>
      <c r="W2216" s="1056"/>
      <c r="X2216" s="1056"/>
      <c r="Y2216" s="1056"/>
      <c r="Z2216" s="1056"/>
      <c r="AA2216" s="1056"/>
      <c r="AB2216" s="1056"/>
      <c r="AC2216" s="1056"/>
      <c r="AD2216" s="1056"/>
      <c r="AE2216" s="1056"/>
      <c r="AF2216" s="264"/>
    </row>
    <row r="2217" spans="1:32" s="268" customFormat="1" ht="15" x14ac:dyDescent="0.25">
      <c r="A2217" s="264"/>
      <c r="B2217" s="264"/>
      <c r="C2217" s="1056"/>
      <c r="D2217" s="1056"/>
      <c r="E2217" s="1056"/>
      <c r="F2217" s="1056"/>
      <c r="G2217" s="1056"/>
      <c r="H2217" s="1056"/>
      <c r="I2217" s="1056"/>
      <c r="J2217" s="1056"/>
      <c r="K2217" s="1056"/>
      <c r="L2217" s="1056"/>
      <c r="M2217" s="274"/>
      <c r="P2217" s="264"/>
      <c r="Q2217" s="264"/>
      <c r="R2217" s="264"/>
      <c r="S2217" s="264"/>
      <c r="T2217" s="1056"/>
      <c r="U2217" s="1056"/>
      <c r="V2217" s="1056"/>
      <c r="W2217" s="1056"/>
      <c r="X2217" s="1056"/>
      <c r="Y2217" s="1056"/>
      <c r="Z2217" s="1056"/>
      <c r="AA2217" s="1056"/>
      <c r="AB2217" s="1056"/>
      <c r="AC2217" s="1056"/>
      <c r="AD2217" s="1056"/>
      <c r="AE2217" s="1056"/>
      <c r="AF2217" s="264"/>
    </row>
    <row r="2218" spans="1:32" s="268" customFormat="1" ht="15" x14ac:dyDescent="0.25">
      <c r="A2218" s="264"/>
      <c r="B2218" s="264"/>
      <c r="C2218" s="1056"/>
      <c r="D2218" s="1056"/>
      <c r="E2218" s="1056"/>
      <c r="F2218" s="1056"/>
      <c r="G2218" s="1056"/>
      <c r="H2218" s="1056"/>
      <c r="I2218" s="1056"/>
      <c r="J2218" s="1056"/>
      <c r="K2218" s="1056"/>
      <c r="L2218" s="1056"/>
      <c r="M2218" s="274"/>
      <c r="P2218" s="264"/>
      <c r="Q2218" s="264"/>
      <c r="R2218" s="264"/>
      <c r="S2218" s="264"/>
      <c r="T2218" s="1056"/>
      <c r="U2218" s="1056"/>
      <c r="V2218" s="1056"/>
      <c r="W2218" s="1056"/>
      <c r="X2218" s="1056"/>
      <c r="Y2218" s="1056"/>
      <c r="Z2218" s="1056"/>
      <c r="AA2218" s="1056"/>
      <c r="AB2218" s="1056"/>
      <c r="AC2218" s="1056"/>
      <c r="AD2218" s="1056"/>
      <c r="AE2218" s="1056"/>
      <c r="AF2218" s="264"/>
    </row>
    <row r="2219" spans="1:32" s="268" customFormat="1" ht="15" x14ac:dyDescent="0.25">
      <c r="A2219" s="264"/>
      <c r="B2219" s="264"/>
      <c r="C2219" s="1056"/>
      <c r="D2219" s="1056"/>
      <c r="E2219" s="1056"/>
      <c r="F2219" s="1056"/>
      <c r="G2219" s="1056"/>
      <c r="H2219" s="1056"/>
      <c r="I2219" s="1056"/>
      <c r="J2219" s="1056"/>
      <c r="K2219" s="1056"/>
      <c r="L2219" s="1056"/>
      <c r="M2219" s="274"/>
      <c r="P2219" s="264"/>
      <c r="Q2219" s="264"/>
      <c r="R2219" s="264"/>
      <c r="S2219" s="264"/>
      <c r="T2219" s="1056"/>
      <c r="U2219" s="1056"/>
      <c r="V2219" s="1056"/>
      <c r="W2219" s="1056"/>
      <c r="X2219" s="1056"/>
      <c r="Y2219" s="1056"/>
      <c r="Z2219" s="1056"/>
      <c r="AA2219" s="1056"/>
      <c r="AB2219" s="1056"/>
      <c r="AC2219" s="1056"/>
      <c r="AD2219" s="1056"/>
      <c r="AE2219" s="1056"/>
      <c r="AF2219" s="264"/>
    </row>
    <row r="2220" spans="1:32" s="268" customFormat="1" ht="15" x14ac:dyDescent="0.25">
      <c r="A2220" s="264"/>
      <c r="B2220" s="264"/>
      <c r="C2220" s="1056"/>
      <c r="D2220" s="1056"/>
      <c r="E2220" s="1056"/>
      <c r="F2220" s="1056"/>
      <c r="G2220" s="1056"/>
      <c r="H2220" s="1056"/>
      <c r="I2220" s="1056"/>
      <c r="J2220" s="1056"/>
      <c r="K2220" s="1056"/>
      <c r="L2220" s="1056"/>
      <c r="M2220" s="274"/>
      <c r="P2220" s="264"/>
      <c r="Q2220" s="264"/>
      <c r="R2220" s="264"/>
      <c r="S2220" s="264"/>
      <c r="T2220" s="1056"/>
      <c r="U2220" s="1056"/>
      <c r="V2220" s="1056"/>
      <c r="W2220" s="1056"/>
      <c r="X2220" s="1056"/>
      <c r="Y2220" s="1056"/>
      <c r="Z2220" s="1056"/>
      <c r="AA2220" s="1056"/>
      <c r="AB2220" s="1056"/>
      <c r="AC2220" s="1056"/>
      <c r="AD2220" s="1056"/>
      <c r="AE2220" s="1056"/>
      <c r="AF2220" s="264"/>
    </row>
    <row r="2221" spans="1:32" s="268" customFormat="1" ht="15" x14ac:dyDescent="0.25">
      <c r="A2221" s="264"/>
      <c r="B2221" s="264"/>
      <c r="C2221" s="1056"/>
      <c r="D2221" s="1056"/>
      <c r="E2221" s="1056"/>
      <c r="F2221" s="1056"/>
      <c r="G2221" s="1056"/>
      <c r="H2221" s="1056"/>
      <c r="I2221" s="1056"/>
      <c r="J2221" s="1056"/>
      <c r="K2221" s="1056"/>
      <c r="L2221" s="1056"/>
      <c r="M2221" s="274"/>
      <c r="P2221" s="264"/>
      <c r="Q2221" s="264"/>
      <c r="R2221" s="264"/>
      <c r="S2221" s="264"/>
      <c r="T2221" s="1056"/>
      <c r="U2221" s="1056"/>
      <c r="V2221" s="1056"/>
      <c r="W2221" s="1056"/>
      <c r="X2221" s="1056"/>
      <c r="Y2221" s="1056"/>
      <c r="Z2221" s="1056"/>
      <c r="AA2221" s="1056"/>
      <c r="AB2221" s="1056"/>
      <c r="AC2221" s="1056"/>
      <c r="AD2221" s="1056"/>
      <c r="AE2221" s="1056"/>
      <c r="AF2221" s="264"/>
    </row>
    <row r="2222" spans="1:32" s="268" customFormat="1" ht="15" x14ac:dyDescent="0.25">
      <c r="A2222" s="264"/>
      <c r="B2222" s="264"/>
      <c r="C2222" s="1056"/>
      <c r="D2222" s="1056"/>
      <c r="E2222" s="1056"/>
      <c r="F2222" s="1056"/>
      <c r="G2222" s="1056"/>
      <c r="H2222" s="1056"/>
      <c r="I2222" s="1056"/>
      <c r="J2222" s="1056"/>
      <c r="K2222" s="1056"/>
      <c r="L2222" s="1056"/>
      <c r="M2222" s="274"/>
      <c r="P2222" s="264"/>
      <c r="Q2222" s="264"/>
      <c r="R2222" s="264"/>
      <c r="S2222" s="264"/>
      <c r="T2222" s="1056"/>
      <c r="U2222" s="1056"/>
      <c r="V2222" s="1056"/>
      <c r="W2222" s="1056"/>
      <c r="X2222" s="1056"/>
      <c r="Y2222" s="1056"/>
      <c r="Z2222" s="1056"/>
      <c r="AA2222" s="1056"/>
      <c r="AB2222" s="1056"/>
      <c r="AC2222" s="1056"/>
      <c r="AD2222" s="1056"/>
      <c r="AE2222" s="1056"/>
      <c r="AF2222" s="264"/>
    </row>
    <row r="2223" spans="1:32" s="268" customFormat="1" ht="15" x14ac:dyDescent="0.25">
      <c r="A2223" s="264"/>
      <c r="B2223" s="264"/>
      <c r="C2223" s="1056"/>
      <c r="D2223" s="1056"/>
      <c r="E2223" s="1056"/>
      <c r="F2223" s="1056"/>
      <c r="G2223" s="1056"/>
      <c r="H2223" s="1056"/>
      <c r="I2223" s="1056"/>
      <c r="J2223" s="1056"/>
      <c r="K2223" s="1056"/>
      <c r="L2223" s="1056"/>
      <c r="M2223" s="274"/>
      <c r="P2223" s="264"/>
      <c r="Q2223" s="264"/>
      <c r="R2223" s="264"/>
      <c r="S2223" s="264"/>
      <c r="T2223" s="1056"/>
      <c r="U2223" s="1056"/>
      <c r="V2223" s="1056"/>
      <c r="W2223" s="1056"/>
      <c r="X2223" s="1056"/>
      <c r="Y2223" s="1056"/>
      <c r="Z2223" s="1056"/>
      <c r="AA2223" s="1056"/>
      <c r="AB2223" s="1056"/>
      <c r="AC2223" s="1056"/>
      <c r="AD2223" s="1056"/>
      <c r="AE2223" s="1056"/>
      <c r="AF2223" s="264"/>
    </row>
    <row r="2224" spans="1:32" s="268" customFormat="1" ht="15" x14ac:dyDescent="0.25">
      <c r="A2224" s="264"/>
      <c r="B2224" s="264"/>
      <c r="C2224" s="1056"/>
      <c r="D2224" s="1056"/>
      <c r="E2224" s="1056"/>
      <c r="F2224" s="1056"/>
      <c r="G2224" s="1056"/>
      <c r="H2224" s="1056"/>
      <c r="I2224" s="1056"/>
      <c r="J2224" s="1056"/>
      <c r="K2224" s="1056"/>
      <c r="L2224" s="1056"/>
      <c r="M2224" s="274"/>
      <c r="P2224" s="264"/>
      <c r="Q2224" s="264"/>
      <c r="R2224" s="264"/>
      <c r="S2224" s="264"/>
      <c r="T2224" s="1056"/>
      <c r="U2224" s="1056"/>
      <c r="V2224" s="1056"/>
      <c r="W2224" s="1056"/>
      <c r="X2224" s="1056"/>
      <c r="Y2224" s="1056"/>
      <c r="Z2224" s="1056"/>
      <c r="AA2224" s="1056"/>
      <c r="AB2224" s="1056"/>
      <c r="AC2224" s="1056"/>
      <c r="AD2224" s="1056"/>
      <c r="AE2224" s="1056"/>
      <c r="AF2224" s="264"/>
    </row>
    <row r="2225" spans="1:32" s="268" customFormat="1" ht="15" x14ac:dyDescent="0.25">
      <c r="A2225" s="264"/>
      <c r="B2225" s="264"/>
      <c r="C2225" s="1056"/>
      <c r="D2225" s="1056"/>
      <c r="E2225" s="1056"/>
      <c r="F2225" s="1056"/>
      <c r="G2225" s="1056"/>
      <c r="H2225" s="1056"/>
      <c r="I2225" s="1056"/>
      <c r="J2225" s="1056"/>
      <c r="K2225" s="1056"/>
      <c r="L2225" s="1056"/>
      <c r="M2225" s="274"/>
      <c r="P2225" s="264"/>
      <c r="Q2225" s="264"/>
      <c r="R2225" s="264"/>
      <c r="S2225" s="264"/>
      <c r="T2225" s="1056"/>
      <c r="U2225" s="1056"/>
      <c r="V2225" s="1056"/>
      <c r="W2225" s="1056"/>
      <c r="X2225" s="1056"/>
      <c r="Y2225" s="1056"/>
      <c r="Z2225" s="1056"/>
      <c r="AA2225" s="1056"/>
      <c r="AB2225" s="1056"/>
      <c r="AC2225" s="1056"/>
      <c r="AD2225" s="1056"/>
      <c r="AE2225" s="1056"/>
      <c r="AF2225" s="264"/>
    </row>
    <row r="2226" spans="1:32" s="268" customFormat="1" ht="15" x14ac:dyDescent="0.25">
      <c r="A2226" s="264"/>
      <c r="B2226" s="264"/>
      <c r="C2226" s="1056"/>
      <c r="D2226" s="1056"/>
      <c r="E2226" s="1056"/>
      <c r="F2226" s="1056"/>
      <c r="G2226" s="1056"/>
      <c r="H2226" s="1056"/>
      <c r="I2226" s="1056"/>
      <c r="J2226" s="1056"/>
      <c r="K2226" s="1056"/>
      <c r="L2226" s="1056"/>
      <c r="M2226" s="274"/>
      <c r="P2226" s="264"/>
      <c r="Q2226" s="264"/>
      <c r="R2226" s="264"/>
      <c r="S2226" s="264"/>
      <c r="T2226" s="1056"/>
      <c r="U2226" s="1056"/>
      <c r="V2226" s="1056"/>
      <c r="W2226" s="1056"/>
      <c r="X2226" s="1056"/>
      <c r="Y2226" s="1056"/>
      <c r="Z2226" s="1056"/>
      <c r="AA2226" s="1056"/>
      <c r="AB2226" s="1056"/>
      <c r="AC2226" s="1056"/>
      <c r="AD2226" s="1056"/>
      <c r="AE2226" s="1056"/>
      <c r="AF2226" s="264"/>
    </row>
    <row r="2227" spans="1:32" s="268" customFormat="1" ht="15" x14ac:dyDescent="0.25">
      <c r="A2227" s="264"/>
      <c r="B2227" s="264"/>
      <c r="C2227" s="1056"/>
      <c r="D2227" s="1056"/>
      <c r="E2227" s="1056"/>
      <c r="F2227" s="1056"/>
      <c r="G2227" s="1056"/>
      <c r="H2227" s="1056"/>
      <c r="I2227" s="1056"/>
      <c r="J2227" s="1056"/>
      <c r="K2227" s="1056"/>
      <c r="L2227" s="1056"/>
      <c r="M2227" s="274"/>
      <c r="P2227" s="264"/>
      <c r="Q2227" s="264"/>
      <c r="R2227" s="264"/>
      <c r="S2227" s="264"/>
      <c r="T2227" s="1056"/>
      <c r="U2227" s="1056"/>
      <c r="V2227" s="1056"/>
      <c r="W2227" s="1056"/>
      <c r="X2227" s="1056"/>
      <c r="Y2227" s="1056"/>
      <c r="Z2227" s="1056"/>
      <c r="AA2227" s="1056"/>
      <c r="AB2227" s="1056"/>
      <c r="AC2227" s="1056"/>
      <c r="AD2227" s="1056"/>
      <c r="AE2227" s="1056"/>
      <c r="AF2227" s="264"/>
    </row>
    <row r="2228" spans="1:32" s="268" customFormat="1" ht="15" x14ac:dyDescent="0.25">
      <c r="A2228" s="264"/>
      <c r="B2228" s="264"/>
      <c r="C2228" s="1056"/>
      <c r="D2228" s="1056"/>
      <c r="E2228" s="1056"/>
      <c r="F2228" s="1056"/>
      <c r="G2228" s="1056"/>
      <c r="H2228" s="1056"/>
      <c r="I2228" s="1056"/>
      <c r="J2228" s="1056"/>
      <c r="K2228" s="1056"/>
      <c r="L2228" s="1056"/>
      <c r="M2228" s="274"/>
      <c r="P2228" s="264"/>
      <c r="Q2228" s="264"/>
      <c r="R2228" s="264"/>
      <c r="S2228" s="264"/>
      <c r="T2228" s="1056"/>
      <c r="U2228" s="1056"/>
      <c r="V2228" s="1056"/>
      <c r="W2228" s="1056"/>
      <c r="X2228" s="1056"/>
      <c r="Y2228" s="1056"/>
      <c r="Z2228" s="1056"/>
      <c r="AA2228" s="1056"/>
      <c r="AB2228" s="1056"/>
      <c r="AC2228" s="1056"/>
      <c r="AD2228" s="1056"/>
      <c r="AE2228" s="1056"/>
      <c r="AF2228" s="264"/>
    </row>
    <row r="2229" spans="1:32" s="268" customFormat="1" ht="15" x14ac:dyDescent="0.25">
      <c r="A2229" s="264"/>
      <c r="B2229" s="264"/>
      <c r="C2229" s="1056"/>
      <c r="D2229" s="1056"/>
      <c r="E2229" s="1056"/>
      <c r="F2229" s="1056"/>
      <c r="G2229" s="1056"/>
      <c r="H2229" s="1056"/>
      <c r="I2229" s="1056"/>
      <c r="J2229" s="1056"/>
      <c r="K2229" s="1056"/>
      <c r="L2229" s="1056"/>
      <c r="M2229" s="274"/>
      <c r="P2229" s="264"/>
      <c r="Q2229" s="264"/>
      <c r="R2229" s="264"/>
      <c r="S2229" s="264"/>
      <c r="T2229" s="1056"/>
      <c r="U2229" s="1056"/>
      <c r="V2229" s="1056"/>
      <c r="W2229" s="1056"/>
      <c r="X2229" s="1056"/>
      <c r="Y2229" s="1056"/>
      <c r="Z2229" s="1056"/>
      <c r="AA2229" s="1056"/>
      <c r="AB2229" s="1056"/>
      <c r="AC2229" s="1056"/>
      <c r="AD2229" s="1056"/>
      <c r="AE2229" s="1056"/>
      <c r="AF2229" s="264"/>
    </row>
    <row r="2230" spans="1:32" s="268" customFormat="1" ht="15" x14ac:dyDescent="0.25">
      <c r="A2230" s="264"/>
      <c r="B2230" s="264"/>
      <c r="C2230" s="1056"/>
      <c r="D2230" s="1056"/>
      <c r="E2230" s="1056"/>
      <c r="F2230" s="1056"/>
      <c r="G2230" s="1056"/>
      <c r="H2230" s="1056"/>
      <c r="I2230" s="1056"/>
      <c r="J2230" s="1056"/>
      <c r="K2230" s="1056"/>
      <c r="L2230" s="1056"/>
      <c r="M2230" s="274"/>
      <c r="P2230" s="264"/>
      <c r="Q2230" s="264"/>
      <c r="R2230" s="264"/>
      <c r="S2230" s="264"/>
      <c r="T2230" s="1056"/>
      <c r="U2230" s="1056"/>
      <c r="V2230" s="1056"/>
      <c r="W2230" s="1056"/>
      <c r="X2230" s="1056"/>
      <c r="Y2230" s="1056"/>
      <c r="Z2230" s="1056"/>
      <c r="AA2230" s="1056"/>
      <c r="AB2230" s="1056"/>
      <c r="AC2230" s="1056"/>
      <c r="AD2230" s="1056"/>
      <c r="AE2230" s="1056"/>
      <c r="AF2230" s="264"/>
    </row>
    <row r="2231" spans="1:32" s="268" customFormat="1" ht="15" x14ac:dyDescent="0.25">
      <c r="A2231" s="264"/>
      <c r="B2231" s="264"/>
      <c r="C2231" s="1056"/>
      <c r="D2231" s="1056"/>
      <c r="E2231" s="1056"/>
      <c r="F2231" s="1056"/>
      <c r="G2231" s="1056"/>
      <c r="H2231" s="1056"/>
      <c r="I2231" s="1056"/>
      <c r="J2231" s="1056"/>
      <c r="K2231" s="1056"/>
      <c r="L2231" s="1056"/>
      <c r="M2231" s="274"/>
      <c r="P2231" s="264"/>
      <c r="Q2231" s="264"/>
      <c r="R2231" s="264"/>
      <c r="S2231" s="264"/>
      <c r="T2231" s="1056"/>
      <c r="U2231" s="1056"/>
      <c r="V2231" s="1056"/>
      <c r="W2231" s="1056"/>
      <c r="X2231" s="1056"/>
      <c r="Y2231" s="1056"/>
      <c r="Z2231" s="1056"/>
      <c r="AA2231" s="1056"/>
      <c r="AB2231" s="1056"/>
      <c r="AC2231" s="1056"/>
      <c r="AD2231" s="1056"/>
      <c r="AE2231" s="1056"/>
      <c r="AF2231" s="264"/>
    </row>
    <row r="2232" spans="1:32" s="268" customFormat="1" ht="15" x14ac:dyDescent="0.25">
      <c r="A2232" s="264"/>
      <c r="B2232" s="264"/>
      <c r="C2232" s="1056"/>
      <c r="D2232" s="1056"/>
      <c r="E2232" s="1056"/>
      <c r="F2232" s="1056"/>
      <c r="G2232" s="1056"/>
      <c r="H2232" s="1056"/>
      <c r="I2232" s="1056"/>
      <c r="J2232" s="1056"/>
      <c r="K2232" s="1056"/>
      <c r="L2232" s="1056"/>
      <c r="M2232" s="274"/>
      <c r="P2232" s="264"/>
      <c r="Q2232" s="264"/>
      <c r="R2232" s="264"/>
      <c r="S2232" s="264"/>
      <c r="T2232" s="1056"/>
      <c r="U2232" s="1056"/>
      <c r="V2232" s="1056"/>
      <c r="W2232" s="1056"/>
      <c r="X2232" s="1056"/>
      <c r="Y2232" s="1056"/>
      <c r="Z2232" s="1056"/>
      <c r="AA2232" s="1056"/>
      <c r="AB2232" s="1056"/>
      <c r="AC2232" s="1056"/>
      <c r="AD2232" s="1056"/>
      <c r="AE2232" s="1056"/>
      <c r="AF2232" s="264"/>
    </row>
    <row r="2233" spans="1:32" s="268" customFormat="1" ht="15" x14ac:dyDescent="0.25">
      <c r="A2233" s="264"/>
      <c r="B2233" s="264"/>
      <c r="C2233" s="1056"/>
      <c r="D2233" s="1056"/>
      <c r="E2233" s="1056"/>
      <c r="F2233" s="1056"/>
      <c r="G2233" s="1056"/>
      <c r="H2233" s="1056"/>
      <c r="I2233" s="1056"/>
      <c r="J2233" s="1056"/>
      <c r="K2233" s="1056"/>
      <c r="L2233" s="1056"/>
      <c r="M2233" s="274"/>
      <c r="P2233" s="264"/>
      <c r="Q2233" s="264"/>
      <c r="R2233" s="264"/>
      <c r="S2233" s="264"/>
      <c r="T2233" s="1056"/>
      <c r="U2233" s="1056"/>
      <c r="V2233" s="1056"/>
      <c r="W2233" s="1056"/>
      <c r="X2233" s="1056"/>
      <c r="Y2233" s="1056"/>
      <c r="Z2233" s="1056"/>
      <c r="AA2233" s="1056"/>
      <c r="AB2233" s="1056"/>
      <c r="AC2233" s="1056"/>
      <c r="AD2233" s="1056"/>
      <c r="AE2233" s="1056"/>
      <c r="AF2233" s="264"/>
    </row>
    <row r="2234" spans="1:32" s="268" customFormat="1" ht="15" x14ac:dyDescent="0.25">
      <c r="A2234" s="264"/>
      <c r="B2234" s="264"/>
      <c r="C2234" s="1056"/>
      <c r="D2234" s="1056"/>
      <c r="E2234" s="1056"/>
      <c r="F2234" s="1056"/>
      <c r="G2234" s="1056"/>
      <c r="H2234" s="1056"/>
      <c r="I2234" s="1056"/>
      <c r="J2234" s="1056"/>
      <c r="K2234" s="1056"/>
      <c r="L2234" s="1056"/>
      <c r="M2234" s="274"/>
      <c r="P2234" s="264"/>
      <c r="Q2234" s="264"/>
      <c r="R2234" s="264"/>
      <c r="S2234" s="264"/>
      <c r="T2234" s="1056"/>
      <c r="U2234" s="1056"/>
      <c r="V2234" s="1056"/>
      <c r="W2234" s="1056"/>
      <c r="X2234" s="1056"/>
      <c r="Y2234" s="1056"/>
      <c r="Z2234" s="1056"/>
      <c r="AA2234" s="1056"/>
      <c r="AB2234" s="1056"/>
      <c r="AC2234" s="1056"/>
      <c r="AD2234" s="1056"/>
      <c r="AE2234" s="1056"/>
      <c r="AF2234" s="264"/>
    </row>
    <row r="2235" spans="1:32" s="268" customFormat="1" ht="15" x14ac:dyDescent="0.25">
      <c r="A2235" s="264"/>
      <c r="B2235" s="264"/>
      <c r="C2235" s="1056"/>
      <c r="D2235" s="1056"/>
      <c r="E2235" s="1056"/>
      <c r="F2235" s="1056"/>
      <c r="G2235" s="1056"/>
      <c r="H2235" s="1056"/>
      <c r="I2235" s="1056"/>
      <c r="J2235" s="1056"/>
      <c r="K2235" s="1056"/>
      <c r="L2235" s="1056"/>
      <c r="M2235" s="274"/>
      <c r="P2235" s="264"/>
      <c r="Q2235" s="264"/>
      <c r="R2235" s="264"/>
      <c r="S2235" s="264"/>
      <c r="T2235" s="1056"/>
      <c r="U2235" s="1056"/>
      <c r="V2235" s="1056"/>
      <c r="W2235" s="1056"/>
      <c r="X2235" s="1056"/>
      <c r="Y2235" s="1056"/>
      <c r="Z2235" s="1056"/>
      <c r="AA2235" s="1056"/>
      <c r="AB2235" s="1056"/>
      <c r="AC2235" s="1056"/>
      <c r="AD2235" s="1056"/>
      <c r="AE2235" s="1056"/>
      <c r="AF2235" s="264"/>
    </row>
    <row r="2236" spans="1:32" s="268" customFormat="1" ht="15" x14ac:dyDescent="0.25">
      <c r="A2236" s="264"/>
      <c r="B2236" s="264"/>
      <c r="C2236" s="1056"/>
      <c r="D2236" s="1056"/>
      <c r="E2236" s="1056"/>
      <c r="F2236" s="1056"/>
      <c r="G2236" s="1056"/>
      <c r="H2236" s="1056"/>
      <c r="I2236" s="1056"/>
      <c r="J2236" s="1056"/>
      <c r="K2236" s="1056"/>
      <c r="L2236" s="1056"/>
      <c r="M2236" s="274"/>
      <c r="P2236" s="264"/>
      <c r="Q2236" s="264"/>
      <c r="R2236" s="264"/>
      <c r="S2236" s="264"/>
      <c r="T2236" s="1056"/>
      <c r="U2236" s="1056"/>
      <c r="V2236" s="1056"/>
      <c r="W2236" s="1056"/>
      <c r="X2236" s="1056"/>
      <c r="Y2236" s="1056"/>
      <c r="Z2236" s="1056"/>
      <c r="AA2236" s="1056"/>
      <c r="AB2236" s="1056"/>
      <c r="AC2236" s="1056"/>
      <c r="AD2236" s="1056"/>
      <c r="AE2236" s="1056"/>
      <c r="AF2236" s="264"/>
    </row>
    <row r="2237" spans="1:32" s="268" customFormat="1" ht="15" x14ac:dyDescent="0.25">
      <c r="A2237" s="264"/>
      <c r="B2237" s="264"/>
      <c r="C2237" s="1056"/>
      <c r="D2237" s="1056"/>
      <c r="E2237" s="1056"/>
      <c r="F2237" s="1056"/>
      <c r="G2237" s="1056"/>
      <c r="H2237" s="1056"/>
      <c r="I2237" s="1056"/>
      <c r="J2237" s="1056"/>
      <c r="K2237" s="1056"/>
      <c r="L2237" s="1056"/>
      <c r="M2237" s="274"/>
      <c r="P2237" s="264"/>
      <c r="Q2237" s="264"/>
      <c r="R2237" s="264"/>
      <c r="S2237" s="264"/>
      <c r="T2237" s="1056"/>
      <c r="U2237" s="1056"/>
      <c r="V2237" s="1056"/>
      <c r="W2237" s="1056"/>
      <c r="X2237" s="1056"/>
      <c r="Y2237" s="1056"/>
      <c r="Z2237" s="1056"/>
      <c r="AA2237" s="1056"/>
      <c r="AB2237" s="1056"/>
      <c r="AC2237" s="1056"/>
      <c r="AD2237" s="1056"/>
      <c r="AE2237" s="1056"/>
      <c r="AF2237" s="264"/>
    </row>
    <row r="2238" spans="1:32" s="268" customFormat="1" ht="15" x14ac:dyDescent="0.25">
      <c r="A2238" s="264"/>
      <c r="B2238" s="264"/>
      <c r="C2238" s="1056"/>
      <c r="D2238" s="1056"/>
      <c r="E2238" s="1056"/>
      <c r="F2238" s="1056"/>
      <c r="G2238" s="1056"/>
      <c r="H2238" s="1056"/>
      <c r="I2238" s="1056"/>
      <c r="J2238" s="1056"/>
      <c r="K2238" s="1056"/>
      <c r="L2238" s="1056"/>
      <c r="M2238" s="274"/>
      <c r="P2238" s="264"/>
      <c r="Q2238" s="264"/>
      <c r="R2238" s="264"/>
      <c r="S2238" s="264"/>
      <c r="T2238" s="1056"/>
      <c r="U2238" s="1056"/>
      <c r="V2238" s="1056"/>
      <c r="W2238" s="1056"/>
      <c r="X2238" s="1056"/>
      <c r="Y2238" s="1056"/>
      <c r="Z2238" s="1056"/>
      <c r="AA2238" s="1056"/>
      <c r="AB2238" s="1056"/>
      <c r="AC2238" s="1056"/>
      <c r="AD2238" s="1056"/>
      <c r="AE2238" s="1056"/>
      <c r="AF2238" s="264"/>
    </row>
    <row r="2239" spans="1:32" s="268" customFormat="1" ht="15" x14ac:dyDescent="0.25">
      <c r="A2239" s="264"/>
      <c r="B2239" s="264"/>
      <c r="C2239" s="1056"/>
      <c r="D2239" s="1056"/>
      <c r="E2239" s="1056"/>
      <c r="F2239" s="1056"/>
      <c r="G2239" s="1056"/>
      <c r="H2239" s="1056"/>
      <c r="I2239" s="1056"/>
      <c r="J2239" s="1056"/>
      <c r="K2239" s="1056"/>
      <c r="L2239" s="1056"/>
      <c r="M2239" s="274"/>
      <c r="P2239" s="264"/>
      <c r="Q2239" s="264"/>
      <c r="R2239" s="264"/>
      <c r="S2239" s="264"/>
      <c r="T2239" s="1056"/>
      <c r="U2239" s="1056"/>
      <c r="V2239" s="1056"/>
      <c r="W2239" s="1056"/>
      <c r="X2239" s="1056"/>
      <c r="Y2239" s="1056"/>
      <c r="Z2239" s="1056"/>
      <c r="AA2239" s="1056"/>
      <c r="AB2239" s="1056"/>
      <c r="AC2239" s="1056"/>
      <c r="AD2239" s="1056"/>
      <c r="AE2239" s="1056"/>
      <c r="AF2239" s="264"/>
    </row>
    <row r="2240" spans="1:32" s="268" customFormat="1" ht="15" x14ac:dyDescent="0.25">
      <c r="A2240" s="264"/>
      <c r="B2240" s="264"/>
      <c r="C2240" s="1056"/>
      <c r="D2240" s="1056"/>
      <c r="E2240" s="1056"/>
      <c r="F2240" s="1056"/>
      <c r="G2240" s="1056"/>
      <c r="H2240" s="1056"/>
      <c r="I2240" s="1056"/>
      <c r="J2240" s="1056"/>
      <c r="K2240" s="1056"/>
      <c r="L2240" s="1056"/>
      <c r="M2240" s="274"/>
      <c r="P2240" s="264"/>
      <c r="Q2240" s="264"/>
      <c r="R2240" s="264"/>
      <c r="S2240" s="264"/>
      <c r="T2240" s="1056"/>
      <c r="U2240" s="1056"/>
      <c r="V2240" s="1056"/>
      <c r="W2240" s="1056"/>
      <c r="X2240" s="1056"/>
      <c r="Y2240" s="1056"/>
      <c r="Z2240" s="1056"/>
      <c r="AA2240" s="1056"/>
      <c r="AB2240" s="1056"/>
      <c r="AC2240" s="1056"/>
      <c r="AD2240" s="1056"/>
      <c r="AE2240" s="1056"/>
      <c r="AF2240" s="264"/>
    </row>
    <row r="2241" spans="1:32" s="268" customFormat="1" ht="15" x14ac:dyDescent="0.25">
      <c r="A2241" s="264"/>
      <c r="B2241" s="264"/>
      <c r="C2241" s="1056"/>
      <c r="D2241" s="1056"/>
      <c r="E2241" s="1056"/>
      <c r="F2241" s="1056"/>
      <c r="G2241" s="1056"/>
      <c r="H2241" s="1056"/>
      <c r="I2241" s="1056"/>
      <c r="J2241" s="1056"/>
      <c r="K2241" s="1056"/>
      <c r="L2241" s="1056"/>
      <c r="M2241" s="274"/>
      <c r="P2241" s="264"/>
      <c r="Q2241" s="264"/>
      <c r="R2241" s="264"/>
      <c r="S2241" s="264"/>
      <c r="T2241" s="1056"/>
      <c r="U2241" s="1056"/>
      <c r="V2241" s="1056"/>
      <c r="W2241" s="1056"/>
      <c r="X2241" s="1056"/>
      <c r="Y2241" s="1056"/>
      <c r="Z2241" s="1056"/>
      <c r="AA2241" s="1056"/>
      <c r="AB2241" s="1056"/>
      <c r="AC2241" s="1056"/>
      <c r="AD2241" s="1056"/>
      <c r="AE2241" s="1056"/>
      <c r="AF2241" s="264"/>
    </row>
    <row r="2242" spans="1:32" s="268" customFormat="1" ht="15" x14ac:dyDescent="0.25">
      <c r="A2242" s="264"/>
      <c r="B2242" s="264"/>
      <c r="C2242" s="1056"/>
      <c r="D2242" s="1056"/>
      <c r="E2242" s="1056"/>
      <c r="F2242" s="1056"/>
      <c r="G2242" s="1056"/>
      <c r="H2242" s="1056"/>
      <c r="I2242" s="1056"/>
      <c r="J2242" s="1056"/>
      <c r="K2242" s="1056"/>
      <c r="L2242" s="1056"/>
      <c r="M2242" s="274"/>
      <c r="P2242" s="264"/>
      <c r="Q2242" s="264"/>
      <c r="R2242" s="264"/>
      <c r="S2242" s="264"/>
      <c r="T2242" s="1056"/>
      <c r="U2242" s="1056"/>
      <c r="V2242" s="1056"/>
      <c r="W2242" s="1056"/>
      <c r="X2242" s="1056"/>
      <c r="Y2242" s="1056"/>
      <c r="Z2242" s="1056"/>
      <c r="AA2242" s="1056"/>
      <c r="AB2242" s="1056"/>
      <c r="AC2242" s="1056"/>
      <c r="AD2242" s="1056"/>
      <c r="AE2242" s="1056"/>
      <c r="AF2242" s="264"/>
    </row>
    <row r="2243" spans="1:32" s="268" customFormat="1" ht="15" x14ac:dyDescent="0.25">
      <c r="A2243" s="264"/>
      <c r="B2243" s="264"/>
      <c r="C2243" s="1056"/>
      <c r="D2243" s="1056"/>
      <c r="E2243" s="1056"/>
      <c r="F2243" s="1056"/>
      <c r="G2243" s="1056"/>
      <c r="H2243" s="1056"/>
      <c r="I2243" s="1056"/>
      <c r="J2243" s="1056"/>
      <c r="K2243" s="1056"/>
      <c r="L2243" s="1056"/>
      <c r="M2243" s="274"/>
      <c r="P2243" s="264"/>
      <c r="Q2243" s="264"/>
      <c r="R2243" s="264"/>
      <c r="S2243" s="264"/>
      <c r="T2243" s="1056"/>
      <c r="U2243" s="1056"/>
      <c r="V2243" s="1056"/>
      <c r="W2243" s="1056"/>
      <c r="X2243" s="1056"/>
      <c r="Y2243" s="1056"/>
      <c r="Z2243" s="1056"/>
      <c r="AA2243" s="1056"/>
      <c r="AB2243" s="1056"/>
      <c r="AC2243" s="1056"/>
      <c r="AD2243" s="1056"/>
      <c r="AE2243" s="1056"/>
      <c r="AF2243" s="264"/>
    </row>
    <row r="2244" spans="1:32" s="268" customFormat="1" ht="15" x14ac:dyDescent="0.25">
      <c r="A2244" s="264"/>
      <c r="B2244" s="264"/>
      <c r="C2244" s="1056"/>
      <c r="D2244" s="1056"/>
      <c r="E2244" s="1056"/>
      <c r="F2244" s="1056"/>
      <c r="G2244" s="1056"/>
      <c r="H2244" s="1056"/>
      <c r="I2244" s="1056"/>
      <c r="J2244" s="1056"/>
      <c r="K2244" s="1056"/>
      <c r="L2244" s="1056"/>
      <c r="M2244" s="274"/>
      <c r="P2244" s="264"/>
      <c r="Q2244" s="264"/>
      <c r="R2244" s="264"/>
      <c r="S2244" s="264"/>
      <c r="T2244" s="1056"/>
      <c r="U2244" s="1056"/>
      <c r="V2244" s="1056"/>
      <c r="W2244" s="1056"/>
      <c r="X2244" s="1056"/>
      <c r="Y2244" s="1056"/>
      <c r="Z2244" s="1056"/>
      <c r="AA2244" s="1056"/>
      <c r="AB2244" s="1056"/>
      <c r="AC2244" s="1056"/>
      <c r="AD2244" s="1056"/>
      <c r="AE2244" s="1056"/>
      <c r="AF2244" s="264"/>
    </row>
    <row r="2245" spans="1:32" s="268" customFormat="1" ht="15" x14ac:dyDescent="0.25">
      <c r="A2245" s="264"/>
      <c r="B2245" s="264"/>
      <c r="C2245" s="1056"/>
      <c r="D2245" s="1056"/>
      <c r="E2245" s="1056"/>
      <c r="F2245" s="1056"/>
      <c r="G2245" s="1056"/>
      <c r="H2245" s="1056"/>
      <c r="I2245" s="1056"/>
      <c r="J2245" s="1056"/>
      <c r="K2245" s="1056"/>
      <c r="L2245" s="1056"/>
      <c r="M2245" s="274"/>
      <c r="P2245" s="264"/>
      <c r="Q2245" s="264"/>
      <c r="R2245" s="264"/>
      <c r="S2245" s="264"/>
      <c r="T2245" s="1056"/>
      <c r="U2245" s="1056"/>
      <c r="V2245" s="1056"/>
      <c r="W2245" s="1056"/>
      <c r="X2245" s="1056"/>
      <c r="Y2245" s="1056"/>
      <c r="Z2245" s="1056"/>
      <c r="AA2245" s="1056"/>
      <c r="AB2245" s="1056"/>
      <c r="AC2245" s="1056"/>
      <c r="AD2245" s="1056"/>
      <c r="AE2245" s="1056"/>
      <c r="AF2245" s="264"/>
    </row>
    <row r="2246" spans="1:32" s="268" customFormat="1" ht="15" x14ac:dyDescent="0.25">
      <c r="A2246" s="264"/>
      <c r="B2246" s="264"/>
      <c r="C2246" s="1056"/>
      <c r="D2246" s="1056"/>
      <c r="E2246" s="1056"/>
      <c r="F2246" s="1056"/>
      <c r="G2246" s="1056"/>
      <c r="H2246" s="1056"/>
      <c r="I2246" s="1056"/>
      <c r="J2246" s="1056"/>
      <c r="K2246" s="1056"/>
      <c r="L2246" s="1056"/>
      <c r="M2246" s="274"/>
      <c r="P2246" s="264"/>
      <c r="Q2246" s="264"/>
      <c r="R2246" s="264"/>
      <c r="S2246" s="264"/>
      <c r="T2246" s="1056"/>
      <c r="U2246" s="1056"/>
      <c r="V2246" s="1056"/>
      <c r="W2246" s="1056"/>
      <c r="X2246" s="1056"/>
      <c r="Y2246" s="1056"/>
      <c r="Z2246" s="1056"/>
      <c r="AA2246" s="1056"/>
      <c r="AB2246" s="1056"/>
      <c r="AC2246" s="1056"/>
      <c r="AD2246" s="1056"/>
      <c r="AE2246" s="1056"/>
      <c r="AF2246" s="264"/>
    </row>
    <row r="2247" spans="1:32" s="268" customFormat="1" ht="15" x14ac:dyDescent="0.25">
      <c r="A2247" s="264"/>
      <c r="B2247" s="264"/>
      <c r="C2247" s="1056"/>
      <c r="D2247" s="1056"/>
      <c r="E2247" s="1056"/>
      <c r="F2247" s="1056"/>
      <c r="G2247" s="1056"/>
      <c r="H2247" s="1056"/>
      <c r="I2247" s="1056"/>
      <c r="J2247" s="1056"/>
      <c r="K2247" s="1056"/>
      <c r="L2247" s="1056"/>
      <c r="M2247" s="274"/>
      <c r="P2247" s="264"/>
      <c r="Q2247" s="264"/>
      <c r="R2247" s="264"/>
      <c r="S2247" s="264"/>
      <c r="T2247" s="1056"/>
      <c r="U2247" s="1056"/>
      <c r="V2247" s="1056"/>
      <c r="W2247" s="1056"/>
      <c r="X2247" s="1056"/>
      <c r="Y2247" s="1056"/>
      <c r="Z2247" s="1056"/>
      <c r="AA2247" s="1056"/>
      <c r="AB2247" s="1056"/>
      <c r="AC2247" s="1056"/>
      <c r="AD2247" s="1056"/>
      <c r="AE2247" s="1056"/>
      <c r="AF2247" s="264"/>
    </row>
    <row r="2248" spans="1:32" s="268" customFormat="1" ht="15" x14ac:dyDescent="0.25">
      <c r="A2248" s="264"/>
      <c r="B2248" s="264"/>
      <c r="C2248" s="1056"/>
      <c r="D2248" s="1056"/>
      <c r="E2248" s="1056"/>
      <c r="F2248" s="1056"/>
      <c r="G2248" s="1056"/>
      <c r="H2248" s="1056"/>
      <c r="I2248" s="1056"/>
      <c r="J2248" s="1056"/>
      <c r="K2248" s="1056"/>
      <c r="L2248" s="1056"/>
      <c r="M2248" s="274"/>
      <c r="P2248" s="264"/>
      <c r="Q2248" s="264"/>
      <c r="R2248" s="264"/>
      <c r="S2248" s="264"/>
      <c r="T2248" s="1056"/>
      <c r="U2248" s="1056"/>
      <c r="V2248" s="1056"/>
      <c r="W2248" s="1056"/>
      <c r="X2248" s="1056"/>
      <c r="Y2248" s="1056"/>
      <c r="Z2248" s="1056"/>
      <c r="AA2248" s="1056"/>
      <c r="AB2248" s="1056"/>
      <c r="AC2248" s="1056"/>
      <c r="AD2248" s="1056"/>
      <c r="AE2248" s="1056"/>
      <c r="AF2248" s="264"/>
    </row>
    <row r="2249" spans="1:32" s="268" customFormat="1" ht="15" x14ac:dyDescent="0.25">
      <c r="A2249" s="264"/>
      <c r="B2249" s="264"/>
      <c r="C2249" s="1056"/>
      <c r="D2249" s="1056"/>
      <c r="E2249" s="1056"/>
      <c r="F2249" s="1056"/>
      <c r="G2249" s="1056"/>
      <c r="H2249" s="1056"/>
      <c r="I2249" s="1056"/>
      <c r="J2249" s="1056"/>
      <c r="K2249" s="1056"/>
      <c r="L2249" s="1056"/>
      <c r="M2249" s="274"/>
      <c r="P2249" s="264"/>
      <c r="Q2249" s="264"/>
      <c r="R2249" s="264"/>
      <c r="S2249" s="264"/>
      <c r="T2249" s="1056"/>
      <c r="U2249" s="1056"/>
      <c r="V2249" s="1056"/>
      <c r="W2249" s="1056"/>
      <c r="X2249" s="1056"/>
      <c r="Y2249" s="1056"/>
      <c r="Z2249" s="1056"/>
      <c r="AA2249" s="1056"/>
      <c r="AB2249" s="1056"/>
      <c r="AC2249" s="1056"/>
      <c r="AD2249" s="1056"/>
      <c r="AE2249" s="1056"/>
      <c r="AF2249" s="264"/>
    </row>
    <row r="2250" spans="1:32" s="268" customFormat="1" ht="15" x14ac:dyDescent="0.25">
      <c r="A2250" s="264"/>
      <c r="B2250" s="264"/>
      <c r="C2250" s="1056"/>
      <c r="D2250" s="1056"/>
      <c r="E2250" s="1056"/>
      <c r="F2250" s="1056"/>
      <c r="G2250" s="1056"/>
      <c r="H2250" s="1056"/>
      <c r="I2250" s="1056"/>
      <c r="J2250" s="1056"/>
      <c r="K2250" s="1056"/>
      <c r="L2250" s="1056"/>
      <c r="M2250" s="274"/>
      <c r="P2250" s="264"/>
      <c r="Q2250" s="264"/>
      <c r="R2250" s="264"/>
      <c r="S2250" s="264"/>
      <c r="T2250" s="1056"/>
      <c r="U2250" s="1056"/>
      <c r="V2250" s="1056"/>
      <c r="W2250" s="1056"/>
      <c r="X2250" s="1056"/>
      <c r="Y2250" s="1056"/>
      <c r="Z2250" s="1056"/>
      <c r="AA2250" s="1056"/>
      <c r="AB2250" s="1056"/>
      <c r="AC2250" s="1056"/>
      <c r="AD2250" s="1056"/>
      <c r="AE2250" s="1056"/>
      <c r="AF2250" s="264"/>
    </row>
    <row r="2251" spans="1:32" s="268" customFormat="1" ht="15" x14ac:dyDescent="0.25">
      <c r="A2251" s="264"/>
      <c r="B2251" s="264"/>
      <c r="C2251" s="1056"/>
      <c r="D2251" s="1056"/>
      <c r="E2251" s="1056"/>
      <c r="F2251" s="1056"/>
      <c r="G2251" s="1056"/>
      <c r="H2251" s="1056"/>
      <c r="I2251" s="1056"/>
      <c r="J2251" s="1056"/>
      <c r="K2251" s="1056"/>
      <c r="L2251" s="1056"/>
      <c r="M2251" s="274"/>
      <c r="P2251" s="264"/>
      <c r="Q2251" s="264"/>
      <c r="R2251" s="264"/>
      <c r="S2251" s="264"/>
      <c r="T2251" s="1056"/>
      <c r="U2251" s="1056"/>
      <c r="V2251" s="1056"/>
      <c r="W2251" s="1056"/>
      <c r="X2251" s="1056"/>
      <c r="Y2251" s="1056"/>
      <c r="Z2251" s="1056"/>
      <c r="AA2251" s="1056"/>
      <c r="AB2251" s="1056"/>
      <c r="AC2251" s="1056"/>
      <c r="AD2251" s="1056"/>
      <c r="AE2251" s="1056"/>
      <c r="AF2251" s="264"/>
    </row>
    <row r="2252" spans="1:32" s="268" customFormat="1" ht="15" x14ac:dyDescent="0.25">
      <c r="A2252" s="264"/>
      <c r="B2252" s="264"/>
      <c r="C2252" s="1056"/>
      <c r="D2252" s="1056"/>
      <c r="E2252" s="1056"/>
      <c r="F2252" s="1056"/>
      <c r="G2252" s="1056"/>
      <c r="H2252" s="1056"/>
      <c r="I2252" s="1056"/>
      <c r="J2252" s="1056"/>
      <c r="K2252" s="1056"/>
      <c r="L2252" s="1056"/>
      <c r="M2252" s="274"/>
      <c r="P2252" s="264"/>
      <c r="Q2252" s="264"/>
      <c r="R2252" s="264"/>
      <c r="S2252" s="264"/>
      <c r="T2252" s="1056"/>
      <c r="U2252" s="1056"/>
      <c r="V2252" s="1056"/>
      <c r="W2252" s="1056"/>
      <c r="X2252" s="1056"/>
      <c r="Y2252" s="1056"/>
      <c r="Z2252" s="1056"/>
      <c r="AA2252" s="1056"/>
      <c r="AB2252" s="1056"/>
      <c r="AC2252" s="1056"/>
      <c r="AD2252" s="1056"/>
      <c r="AE2252" s="1056"/>
      <c r="AF2252" s="264"/>
    </row>
    <row r="2253" spans="1:32" s="268" customFormat="1" ht="15" x14ac:dyDescent="0.25">
      <c r="A2253" s="264"/>
      <c r="B2253" s="264"/>
      <c r="C2253" s="1056"/>
      <c r="D2253" s="1056"/>
      <c r="E2253" s="1056"/>
      <c r="F2253" s="1056"/>
      <c r="G2253" s="1056"/>
      <c r="H2253" s="1056"/>
      <c r="I2253" s="1056"/>
      <c r="J2253" s="1056"/>
      <c r="K2253" s="1056"/>
      <c r="L2253" s="1056"/>
      <c r="M2253" s="274"/>
      <c r="P2253" s="264"/>
      <c r="Q2253" s="264"/>
      <c r="R2253" s="264"/>
      <c r="S2253" s="264"/>
      <c r="T2253" s="1056"/>
      <c r="U2253" s="1056"/>
      <c r="V2253" s="1056"/>
      <c r="W2253" s="1056"/>
      <c r="X2253" s="1056"/>
      <c r="Y2253" s="1056"/>
      <c r="Z2253" s="1056"/>
      <c r="AA2253" s="1056"/>
      <c r="AB2253" s="1056"/>
      <c r="AC2253" s="1056"/>
      <c r="AD2253" s="1056"/>
      <c r="AE2253" s="1056"/>
      <c r="AF2253" s="264"/>
    </row>
    <row r="2254" spans="1:32" s="268" customFormat="1" ht="15" x14ac:dyDescent="0.25">
      <c r="A2254" s="264"/>
      <c r="B2254" s="264"/>
      <c r="C2254" s="1056"/>
      <c r="D2254" s="1056"/>
      <c r="E2254" s="1056"/>
      <c r="F2254" s="1056"/>
      <c r="G2254" s="1056"/>
      <c r="H2254" s="1056"/>
      <c r="I2254" s="1056"/>
      <c r="J2254" s="1056"/>
      <c r="K2254" s="1056"/>
      <c r="L2254" s="1056"/>
      <c r="M2254" s="274"/>
      <c r="P2254" s="264"/>
      <c r="Q2254" s="264"/>
      <c r="R2254" s="264"/>
      <c r="S2254" s="264"/>
      <c r="T2254" s="1056"/>
      <c r="U2254" s="1056"/>
      <c r="V2254" s="1056"/>
      <c r="W2254" s="1056"/>
      <c r="X2254" s="1056"/>
      <c r="Y2254" s="1056"/>
      <c r="Z2254" s="1056"/>
      <c r="AA2254" s="1056"/>
      <c r="AB2254" s="1056"/>
      <c r="AC2254" s="1056"/>
      <c r="AD2254" s="1056"/>
      <c r="AE2254" s="1056"/>
      <c r="AF2254" s="264"/>
    </row>
    <row r="2255" spans="1:32" s="268" customFormat="1" ht="15" x14ac:dyDescent="0.25">
      <c r="A2255" s="264"/>
      <c r="B2255" s="264"/>
      <c r="C2255" s="1056"/>
      <c r="D2255" s="1056"/>
      <c r="E2255" s="1056"/>
      <c r="F2255" s="1056"/>
      <c r="G2255" s="1056"/>
      <c r="H2255" s="1056"/>
      <c r="I2255" s="1056"/>
      <c r="J2255" s="1056"/>
      <c r="K2255" s="1056"/>
      <c r="L2255" s="1056"/>
      <c r="M2255" s="274"/>
      <c r="P2255" s="264"/>
      <c r="Q2255" s="264"/>
      <c r="R2255" s="264"/>
      <c r="S2255" s="264"/>
      <c r="T2255" s="1056"/>
      <c r="U2255" s="1056"/>
      <c r="V2255" s="1056"/>
      <c r="W2255" s="1056"/>
      <c r="X2255" s="1056"/>
      <c r="Y2255" s="1056"/>
      <c r="Z2255" s="1056"/>
      <c r="AA2255" s="1056"/>
      <c r="AB2255" s="1056"/>
      <c r="AC2255" s="1056"/>
      <c r="AD2255" s="1056"/>
      <c r="AE2255" s="1056"/>
      <c r="AF2255" s="264"/>
    </row>
    <row r="2256" spans="1:32" s="268" customFormat="1" ht="15" x14ac:dyDescent="0.25">
      <c r="A2256" s="264"/>
      <c r="B2256" s="264"/>
      <c r="C2256" s="1056"/>
      <c r="D2256" s="1056"/>
      <c r="E2256" s="1056"/>
      <c r="F2256" s="1056"/>
      <c r="G2256" s="1056"/>
      <c r="H2256" s="1056"/>
      <c r="I2256" s="1056"/>
      <c r="J2256" s="1056"/>
      <c r="K2256" s="1056"/>
      <c r="L2256" s="1056"/>
      <c r="M2256" s="274"/>
      <c r="P2256" s="264"/>
      <c r="Q2256" s="264"/>
      <c r="R2256" s="264"/>
      <c r="S2256" s="264"/>
      <c r="T2256" s="1056"/>
      <c r="U2256" s="1056"/>
      <c r="V2256" s="1056"/>
      <c r="W2256" s="1056"/>
      <c r="X2256" s="1056"/>
      <c r="Y2256" s="1056"/>
      <c r="Z2256" s="1056"/>
      <c r="AA2256" s="1056"/>
      <c r="AB2256" s="1056"/>
      <c r="AC2256" s="1056"/>
      <c r="AD2256" s="1056"/>
      <c r="AE2256" s="1056"/>
      <c r="AF2256" s="264"/>
    </row>
    <row r="2257" spans="1:32" s="268" customFormat="1" ht="15" x14ac:dyDescent="0.25">
      <c r="A2257" s="264"/>
      <c r="B2257" s="264"/>
      <c r="C2257" s="1056"/>
      <c r="D2257" s="1056"/>
      <c r="E2257" s="1056"/>
      <c r="F2257" s="1056"/>
      <c r="G2257" s="1056"/>
      <c r="H2257" s="1056"/>
      <c r="I2257" s="1056"/>
      <c r="J2257" s="1056"/>
      <c r="K2257" s="1056"/>
      <c r="L2257" s="1056"/>
      <c r="M2257" s="274"/>
      <c r="P2257" s="264"/>
      <c r="Q2257" s="264"/>
      <c r="R2257" s="264"/>
      <c r="S2257" s="264"/>
      <c r="T2257" s="1056"/>
      <c r="U2257" s="1056"/>
      <c r="V2257" s="1056"/>
      <c r="W2257" s="1056"/>
      <c r="X2257" s="1056"/>
      <c r="Y2257" s="1056"/>
      <c r="Z2257" s="1056"/>
      <c r="AA2257" s="1056"/>
      <c r="AB2257" s="1056"/>
      <c r="AC2257" s="1056"/>
      <c r="AD2257" s="1056"/>
      <c r="AE2257" s="1056"/>
      <c r="AF2257" s="264"/>
    </row>
    <row r="2258" spans="1:32" s="268" customFormat="1" ht="15" x14ac:dyDescent="0.25">
      <c r="A2258" s="264"/>
      <c r="B2258" s="264"/>
      <c r="C2258" s="1056"/>
      <c r="D2258" s="1056"/>
      <c r="E2258" s="1056"/>
      <c r="F2258" s="1056"/>
      <c r="G2258" s="1056"/>
      <c r="H2258" s="1056"/>
      <c r="I2258" s="1056"/>
      <c r="J2258" s="1056"/>
      <c r="K2258" s="1056"/>
      <c r="L2258" s="1056"/>
      <c r="M2258" s="274"/>
      <c r="P2258" s="264"/>
      <c r="Q2258" s="264"/>
      <c r="R2258" s="264"/>
      <c r="S2258" s="264"/>
      <c r="T2258" s="1056"/>
      <c r="U2258" s="1056"/>
      <c r="V2258" s="1056"/>
      <c r="W2258" s="1056"/>
      <c r="X2258" s="1056"/>
      <c r="Y2258" s="1056"/>
      <c r="Z2258" s="1056"/>
      <c r="AA2258" s="1056"/>
      <c r="AB2258" s="1056"/>
      <c r="AC2258" s="1056"/>
      <c r="AD2258" s="1056"/>
      <c r="AE2258" s="1056"/>
      <c r="AF2258" s="264"/>
    </row>
    <row r="2259" spans="1:32" s="268" customFormat="1" ht="15" x14ac:dyDescent="0.25">
      <c r="A2259" s="264"/>
      <c r="B2259" s="264"/>
      <c r="C2259" s="1056"/>
      <c r="D2259" s="1056"/>
      <c r="E2259" s="1056"/>
      <c r="F2259" s="1056"/>
      <c r="G2259" s="1056"/>
      <c r="H2259" s="1056"/>
      <c r="I2259" s="1056"/>
      <c r="J2259" s="1056"/>
      <c r="K2259" s="1056"/>
      <c r="L2259" s="1056"/>
      <c r="M2259" s="274"/>
      <c r="P2259" s="264"/>
      <c r="Q2259" s="264"/>
      <c r="R2259" s="264"/>
      <c r="S2259" s="264"/>
      <c r="T2259" s="1056"/>
      <c r="U2259" s="1056"/>
      <c r="V2259" s="1056"/>
      <c r="W2259" s="1056"/>
      <c r="X2259" s="1056"/>
      <c r="Y2259" s="1056"/>
      <c r="Z2259" s="1056"/>
      <c r="AA2259" s="1056"/>
      <c r="AB2259" s="1056"/>
      <c r="AC2259" s="1056"/>
      <c r="AD2259" s="1056"/>
      <c r="AE2259" s="1056"/>
      <c r="AF2259" s="264"/>
    </row>
    <row r="2260" spans="1:32" s="268" customFormat="1" ht="15" x14ac:dyDescent="0.25">
      <c r="A2260" s="264"/>
      <c r="B2260" s="264"/>
      <c r="C2260" s="1056"/>
      <c r="D2260" s="1056"/>
      <c r="E2260" s="1056"/>
      <c r="F2260" s="1056"/>
      <c r="G2260" s="1056"/>
      <c r="H2260" s="1056"/>
      <c r="I2260" s="1056"/>
      <c r="J2260" s="1056"/>
      <c r="K2260" s="1056"/>
      <c r="L2260" s="1056"/>
      <c r="M2260" s="274"/>
      <c r="P2260" s="264"/>
      <c r="Q2260" s="264"/>
      <c r="R2260" s="264"/>
      <c r="S2260" s="264"/>
      <c r="T2260" s="1056"/>
      <c r="U2260" s="1056"/>
      <c r="V2260" s="1056"/>
      <c r="W2260" s="1056"/>
      <c r="X2260" s="1056"/>
      <c r="Y2260" s="1056"/>
      <c r="Z2260" s="1056"/>
      <c r="AA2260" s="1056"/>
      <c r="AB2260" s="1056"/>
      <c r="AC2260" s="1056"/>
      <c r="AD2260" s="1056"/>
      <c r="AE2260" s="1056"/>
      <c r="AF2260" s="264"/>
    </row>
    <row r="2261" spans="1:32" s="268" customFormat="1" ht="15" x14ac:dyDescent="0.25">
      <c r="A2261" s="264"/>
      <c r="B2261" s="264"/>
      <c r="C2261" s="1056"/>
      <c r="D2261" s="1056"/>
      <c r="E2261" s="1056"/>
      <c r="F2261" s="1056"/>
      <c r="G2261" s="1056"/>
      <c r="H2261" s="1056"/>
      <c r="I2261" s="1056"/>
      <c r="J2261" s="1056"/>
      <c r="K2261" s="1056"/>
      <c r="L2261" s="1056"/>
      <c r="M2261" s="274"/>
      <c r="P2261" s="264"/>
      <c r="Q2261" s="264"/>
      <c r="R2261" s="264"/>
      <c r="S2261" s="264"/>
      <c r="T2261" s="1056"/>
      <c r="U2261" s="1056"/>
      <c r="V2261" s="1056"/>
      <c r="W2261" s="1056"/>
      <c r="X2261" s="1056"/>
      <c r="Y2261" s="1056"/>
      <c r="Z2261" s="1056"/>
      <c r="AA2261" s="1056"/>
      <c r="AB2261" s="1056"/>
      <c r="AC2261" s="1056"/>
      <c r="AD2261" s="1056"/>
      <c r="AE2261" s="1056"/>
      <c r="AF2261" s="264"/>
    </row>
    <row r="2262" spans="1:32" s="268" customFormat="1" ht="15" x14ac:dyDescent="0.25">
      <c r="A2262" s="264"/>
      <c r="B2262" s="264"/>
      <c r="C2262" s="1056"/>
      <c r="D2262" s="1056"/>
      <c r="E2262" s="1056"/>
      <c r="F2262" s="1056"/>
      <c r="G2262" s="1056"/>
      <c r="H2262" s="1056"/>
      <c r="I2262" s="1056"/>
      <c r="J2262" s="1056"/>
      <c r="K2262" s="1056"/>
      <c r="L2262" s="1056"/>
      <c r="M2262" s="274"/>
      <c r="P2262" s="264"/>
      <c r="Q2262" s="264"/>
      <c r="R2262" s="264"/>
      <c r="S2262" s="264"/>
      <c r="T2262" s="1056"/>
      <c r="U2262" s="1056"/>
      <c r="V2262" s="1056"/>
      <c r="W2262" s="1056"/>
      <c r="X2262" s="1056"/>
      <c r="Y2262" s="1056"/>
      <c r="Z2262" s="1056"/>
      <c r="AA2262" s="1056"/>
      <c r="AB2262" s="1056"/>
      <c r="AC2262" s="1056"/>
      <c r="AD2262" s="1056"/>
      <c r="AE2262" s="1056"/>
      <c r="AF2262" s="264"/>
    </row>
    <row r="2263" spans="1:32" s="268" customFormat="1" ht="15" x14ac:dyDescent="0.25">
      <c r="A2263" s="264"/>
      <c r="B2263" s="264"/>
      <c r="C2263" s="1056"/>
      <c r="D2263" s="1056"/>
      <c r="E2263" s="1056"/>
      <c r="F2263" s="1056"/>
      <c r="G2263" s="1056"/>
      <c r="H2263" s="1056"/>
      <c r="I2263" s="1056"/>
      <c r="J2263" s="1056"/>
      <c r="K2263" s="1056"/>
      <c r="L2263" s="1056"/>
      <c r="M2263" s="274"/>
      <c r="P2263" s="264"/>
      <c r="Q2263" s="264"/>
      <c r="R2263" s="264"/>
      <c r="S2263" s="264"/>
      <c r="T2263" s="1056"/>
      <c r="U2263" s="1056"/>
      <c r="V2263" s="1056"/>
      <c r="W2263" s="1056"/>
      <c r="X2263" s="1056"/>
      <c r="Y2263" s="1056"/>
      <c r="Z2263" s="1056"/>
      <c r="AA2263" s="1056"/>
      <c r="AB2263" s="1056"/>
      <c r="AC2263" s="1056"/>
      <c r="AD2263" s="1056"/>
      <c r="AE2263" s="1056"/>
      <c r="AF2263" s="264"/>
    </row>
    <row r="2264" spans="1:32" s="268" customFormat="1" ht="15" x14ac:dyDescent="0.25">
      <c r="A2264" s="264"/>
      <c r="B2264" s="264"/>
      <c r="C2264" s="1056"/>
      <c r="D2264" s="1056"/>
      <c r="E2264" s="1056"/>
      <c r="F2264" s="1056"/>
      <c r="G2264" s="1056"/>
      <c r="H2264" s="1056"/>
      <c r="I2264" s="1056"/>
      <c r="J2264" s="1056"/>
      <c r="K2264" s="1056"/>
      <c r="L2264" s="1056"/>
      <c r="M2264" s="274"/>
      <c r="P2264" s="264"/>
      <c r="Q2264" s="264"/>
      <c r="R2264" s="264"/>
      <c r="S2264" s="264"/>
      <c r="T2264" s="1056"/>
      <c r="U2264" s="1056"/>
      <c r="V2264" s="1056"/>
      <c r="W2264" s="1056"/>
      <c r="X2264" s="1056"/>
      <c r="Y2264" s="1056"/>
      <c r="Z2264" s="1056"/>
      <c r="AA2264" s="1056"/>
      <c r="AB2264" s="1056"/>
      <c r="AC2264" s="1056"/>
      <c r="AD2264" s="1056"/>
      <c r="AE2264" s="1056"/>
      <c r="AF2264" s="264"/>
    </row>
    <row r="2265" spans="1:32" s="268" customFormat="1" ht="15" x14ac:dyDescent="0.25">
      <c r="A2265" s="264"/>
      <c r="B2265" s="264"/>
      <c r="C2265" s="1056"/>
      <c r="D2265" s="1056"/>
      <c r="E2265" s="1056"/>
      <c r="F2265" s="1056"/>
      <c r="G2265" s="1056"/>
      <c r="H2265" s="1056"/>
      <c r="I2265" s="1056"/>
      <c r="J2265" s="1056"/>
      <c r="K2265" s="1056"/>
      <c r="L2265" s="1056"/>
      <c r="M2265" s="274"/>
      <c r="P2265" s="264"/>
      <c r="Q2265" s="264"/>
      <c r="R2265" s="264"/>
      <c r="S2265" s="264"/>
      <c r="T2265" s="1056"/>
      <c r="U2265" s="1056"/>
      <c r="V2265" s="1056"/>
      <c r="W2265" s="1056"/>
      <c r="X2265" s="1056"/>
      <c r="Y2265" s="1056"/>
      <c r="Z2265" s="1056"/>
      <c r="AA2265" s="1056"/>
      <c r="AB2265" s="1056"/>
      <c r="AC2265" s="1056"/>
      <c r="AD2265" s="1056"/>
      <c r="AE2265" s="1056"/>
      <c r="AF2265" s="264"/>
    </row>
    <row r="2266" spans="1:32" s="268" customFormat="1" ht="15" x14ac:dyDescent="0.25">
      <c r="A2266" s="264"/>
      <c r="B2266" s="264"/>
      <c r="C2266" s="1056"/>
      <c r="D2266" s="1056"/>
      <c r="E2266" s="1056"/>
      <c r="F2266" s="1056"/>
      <c r="G2266" s="1056"/>
      <c r="H2266" s="1056"/>
      <c r="I2266" s="1056"/>
      <c r="J2266" s="1056"/>
      <c r="K2266" s="1056"/>
      <c r="L2266" s="1056"/>
      <c r="M2266" s="274"/>
      <c r="P2266" s="264"/>
      <c r="Q2266" s="264"/>
      <c r="R2266" s="264"/>
      <c r="S2266" s="264"/>
      <c r="T2266" s="1056"/>
      <c r="U2266" s="1056"/>
      <c r="V2266" s="1056"/>
      <c r="W2266" s="1056"/>
      <c r="X2266" s="1056"/>
      <c r="Y2266" s="1056"/>
      <c r="Z2266" s="1056"/>
      <c r="AA2266" s="1056"/>
      <c r="AB2266" s="1056"/>
      <c r="AC2266" s="1056"/>
      <c r="AD2266" s="1056"/>
      <c r="AE2266" s="1056"/>
      <c r="AF2266" s="264"/>
    </row>
    <row r="2267" spans="1:32" s="268" customFormat="1" ht="15" x14ac:dyDescent="0.25">
      <c r="A2267" s="264"/>
      <c r="B2267" s="264"/>
      <c r="C2267" s="1056"/>
      <c r="D2267" s="1056"/>
      <c r="E2267" s="1056"/>
      <c r="F2267" s="1056"/>
      <c r="G2267" s="1056"/>
      <c r="H2267" s="1056"/>
      <c r="I2267" s="1056"/>
      <c r="J2267" s="1056"/>
      <c r="K2267" s="1056"/>
      <c r="L2267" s="1056"/>
      <c r="M2267" s="274"/>
      <c r="P2267" s="264"/>
      <c r="Q2267" s="264"/>
      <c r="R2267" s="264"/>
      <c r="S2267" s="264"/>
      <c r="T2267" s="1056"/>
      <c r="U2267" s="1056"/>
      <c r="V2267" s="1056"/>
      <c r="W2267" s="1056"/>
      <c r="X2267" s="1056"/>
      <c r="Y2267" s="1056"/>
      <c r="Z2267" s="1056"/>
      <c r="AA2267" s="1056"/>
      <c r="AB2267" s="1056"/>
      <c r="AC2267" s="1056"/>
      <c r="AD2267" s="1056"/>
      <c r="AE2267" s="1056"/>
      <c r="AF2267" s="264"/>
    </row>
    <row r="2268" spans="1:32" s="268" customFormat="1" ht="15" x14ac:dyDescent="0.25">
      <c r="A2268" s="264"/>
      <c r="B2268" s="264"/>
      <c r="C2268" s="1056"/>
      <c r="D2268" s="1056"/>
      <c r="E2268" s="1056"/>
      <c r="F2268" s="1056"/>
      <c r="G2268" s="1056"/>
      <c r="H2268" s="1056"/>
      <c r="I2268" s="1056"/>
      <c r="J2268" s="1056"/>
      <c r="K2268" s="1056"/>
      <c r="L2268" s="1056"/>
      <c r="M2268" s="274"/>
      <c r="P2268" s="264"/>
      <c r="Q2268" s="264"/>
      <c r="R2268" s="264"/>
      <c r="S2268" s="264"/>
      <c r="T2268" s="1056"/>
      <c r="U2268" s="1056"/>
      <c r="V2268" s="1056"/>
      <c r="W2268" s="1056"/>
      <c r="X2268" s="1056"/>
      <c r="Y2268" s="1056"/>
      <c r="Z2268" s="1056"/>
      <c r="AA2268" s="1056"/>
      <c r="AB2268" s="1056"/>
      <c r="AC2268" s="1056"/>
      <c r="AD2268" s="1056"/>
      <c r="AE2268" s="1056"/>
      <c r="AF2268" s="264"/>
    </row>
    <row r="2269" spans="1:32" s="268" customFormat="1" ht="15" x14ac:dyDescent="0.25">
      <c r="A2269" s="264"/>
      <c r="B2269" s="264"/>
      <c r="C2269" s="1056"/>
      <c r="D2269" s="1056"/>
      <c r="E2269" s="1056"/>
      <c r="F2269" s="1056"/>
      <c r="G2269" s="1056"/>
      <c r="H2269" s="1056"/>
      <c r="I2269" s="1056"/>
      <c r="J2269" s="1056"/>
      <c r="K2269" s="1056"/>
      <c r="L2269" s="1056"/>
      <c r="M2269" s="274"/>
      <c r="P2269" s="264"/>
      <c r="Q2269" s="264"/>
      <c r="R2269" s="264"/>
      <c r="S2269" s="264"/>
      <c r="T2269" s="1056"/>
      <c r="U2269" s="1056"/>
      <c r="V2269" s="1056"/>
      <c r="W2269" s="1056"/>
      <c r="X2269" s="1056"/>
      <c r="Y2269" s="1056"/>
      <c r="Z2269" s="1056"/>
      <c r="AA2269" s="1056"/>
      <c r="AB2269" s="1056"/>
      <c r="AC2269" s="1056"/>
      <c r="AD2269" s="1056"/>
      <c r="AE2269" s="1056"/>
      <c r="AF2269" s="264"/>
    </row>
    <row r="2270" spans="1:32" s="268" customFormat="1" ht="15" x14ac:dyDescent="0.25">
      <c r="A2270" s="264"/>
      <c r="B2270" s="264"/>
      <c r="C2270" s="1056"/>
      <c r="D2270" s="1056"/>
      <c r="E2270" s="1056"/>
      <c r="F2270" s="1056"/>
      <c r="G2270" s="1056"/>
      <c r="H2270" s="1056"/>
      <c r="I2270" s="1056"/>
      <c r="J2270" s="1056"/>
      <c r="K2270" s="1056"/>
      <c r="L2270" s="1056"/>
      <c r="M2270" s="274"/>
      <c r="P2270" s="264"/>
      <c r="Q2270" s="264"/>
      <c r="R2270" s="264"/>
      <c r="S2270" s="264"/>
      <c r="T2270" s="1056"/>
      <c r="U2270" s="1056"/>
      <c r="V2270" s="1056"/>
      <c r="W2270" s="1056"/>
      <c r="X2270" s="1056"/>
      <c r="Y2270" s="1056"/>
      <c r="Z2270" s="1056"/>
      <c r="AA2270" s="1056"/>
      <c r="AB2270" s="1056"/>
      <c r="AC2270" s="1056"/>
      <c r="AD2270" s="1056"/>
      <c r="AE2270" s="1056"/>
      <c r="AF2270" s="264"/>
    </row>
    <row r="2271" spans="1:32" s="268" customFormat="1" ht="15" x14ac:dyDescent="0.25">
      <c r="A2271" s="264"/>
      <c r="B2271" s="264"/>
      <c r="C2271" s="1056"/>
      <c r="D2271" s="1056"/>
      <c r="E2271" s="1056"/>
      <c r="F2271" s="1056"/>
      <c r="G2271" s="1056"/>
      <c r="H2271" s="1056"/>
      <c r="I2271" s="1056"/>
      <c r="J2271" s="1056"/>
      <c r="K2271" s="1056"/>
      <c r="L2271" s="1056"/>
      <c r="M2271" s="274"/>
      <c r="P2271" s="264"/>
      <c r="Q2271" s="264"/>
      <c r="R2271" s="264"/>
      <c r="S2271" s="264"/>
      <c r="T2271" s="1056"/>
      <c r="U2271" s="1056"/>
      <c r="V2271" s="1056"/>
      <c r="W2271" s="1056"/>
      <c r="X2271" s="1056"/>
      <c r="Y2271" s="1056"/>
      <c r="Z2271" s="1056"/>
      <c r="AA2271" s="1056"/>
      <c r="AB2271" s="1056"/>
      <c r="AC2271" s="1056"/>
      <c r="AD2271" s="1056"/>
      <c r="AE2271" s="1056"/>
      <c r="AF2271" s="264"/>
    </row>
    <row r="2272" spans="1:32" s="268" customFormat="1" ht="15" x14ac:dyDescent="0.25">
      <c r="A2272" s="264"/>
      <c r="B2272" s="264"/>
      <c r="C2272" s="1056"/>
      <c r="D2272" s="1056"/>
      <c r="E2272" s="1056"/>
      <c r="F2272" s="1056"/>
      <c r="G2272" s="1056"/>
      <c r="H2272" s="1056"/>
      <c r="I2272" s="1056"/>
      <c r="J2272" s="1056"/>
      <c r="K2272" s="1056"/>
      <c r="L2272" s="1056"/>
      <c r="M2272" s="274"/>
      <c r="P2272" s="264"/>
      <c r="Q2272" s="264"/>
      <c r="R2272" s="264"/>
      <c r="S2272" s="264"/>
      <c r="T2272" s="1056"/>
      <c r="U2272" s="1056"/>
      <c r="V2272" s="1056"/>
      <c r="W2272" s="1056"/>
      <c r="X2272" s="1056"/>
      <c r="Y2272" s="1056"/>
      <c r="Z2272" s="1056"/>
      <c r="AA2272" s="1056"/>
      <c r="AB2272" s="1056"/>
      <c r="AC2272" s="1056"/>
      <c r="AD2272" s="1056"/>
      <c r="AE2272" s="1056"/>
      <c r="AF2272" s="264"/>
    </row>
    <row r="2273" spans="1:32" s="268" customFormat="1" ht="15" x14ac:dyDescent="0.25">
      <c r="A2273" s="264"/>
      <c r="B2273" s="264"/>
      <c r="C2273" s="1056"/>
      <c r="D2273" s="1056"/>
      <c r="E2273" s="1056"/>
      <c r="F2273" s="1056"/>
      <c r="G2273" s="1056"/>
      <c r="H2273" s="1056"/>
      <c r="I2273" s="1056"/>
      <c r="J2273" s="1056"/>
      <c r="K2273" s="1056"/>
      <c r="L2273" s="1056"/>
      <c r="M2273" s="274"/>
      <c r="P2273" s="264"/>
      <c r="Q2273" s="264"/>
      <c r="R2273" s="264"/>
      <c r="S2273" s="264"/>
      <c r="T2273" s="1056"/>
      <c r="U2273" s="1056"/>
      <c r="V2273" s="1056"/>
      <c r="W2273" s="1056"/>
      <c r="X2273" s="1056"/>
      <c r="Y2273" s="1056"/>
      <c r="Z2273" s="1056"/>
      <c r="AA2273" s="1056"/>
      <c r="AB2273" s="1056"/>
      <c r="AC2273" s="1056"/>
      <c r="AD2273" s="1056"/>
      <c r="AE2273" s="1056"/>
      <c r="AF2273" s="264"/>
    </row>
    <row r="2274" spans="1:32" s="268" customFormat="1" ht="15" x14ac:dyDescent="0.25">
      <c r="A2274" s="264"/>
      <c r="B2274" s="264"/>
      <c r="C2274" s="1056"/>
      <c r="D2274" s="1056"/>
      <c r="E2274" s="1056"/>
      <c r="F2274" s="1056"/>
      <c r="G2274" s="1056"/>
      <c r="H2274" s="1056"/>
      <c r="I2274" s="1056"/>
      <c r="J2274" s="1056"/>
      <c r="K2274" s="1056"/>
      <c r="L2274" s="1056"/>
      <c r="M2274" s="274"/>
      <c r="P2274" s="264"/>
      <c r="Q2274" s="264"/>
      <c r="R2274" s="264"/>
      <c r="S2274" s="264"/>
      <c r="T2274" s="1056"/>
      <c r="U2274" s="1056"/>
      <c r="V2274" s="1056"/>
      <c r="W2274" s="1056"/>
      <c r="X2274" s="1056"/>
      <c r="Y2274" s="1056"/>
      <c r="Z2274" s="1056"/>
      <c r="AA2274" s="1056"/>
      <c r="AB2274" s="1056"/>
      <c r="AC2274" s="1056"/>
      <c r="AD2274" s="1056"/>
      <c r="AE2274" s="1056"/>
      <c r="AF2274" s="264"/>
    </row>
    <row r="2275" spans="1:32" s="268" customFormat="1" ht="15" x14ac:dyDescent="0.25">
      <c r="A2275" s="264"/>
      <c r="B2275" s="264"/>
      <c r="C2275" s="1056"/>
      <c r="D2275" s="1056"/>
      <c r="E2275" s="1056"/>
      <c r="F2275" s="1056"/>
      <c r="G2275" s="1056"/>
      <c r="H2275" s="1056"/>
      <c r="I2275" s="1056"/>
      <c r="J2275" s="1056"/>
      <c r="K2275" s="1056"/>
      <c r="L2275" s="1056"/>
      <c r="M2275" s="274"/>
      <c r="P2275" s="264"/>
      <c r="Q2275" s="264"/>
      <c r="R2275" s="264"/>
      <c r="S2275" s="264"/>
      <c r="T2275" s="1056"/>
      <c r="U2275" s="1056"/>
      <c r="V2275" s="1056"/>
      <c r="W2275" s="1056"/>
      <c r="X2275" s="1056"/>
      <c r="Y2275" s="1056"/>
      <c r="Z2275" s="1056"/>
      <c r="AA2275" s="1056"/>
      <c r="AB2275" s="1056"/>
      <c r="AC2275" s="1056"/>
      <c r="AD2275" s="1056"/>
      <c r="AE2275" s="1056"/>
      <c r="AF2275" s="264"/>
    </row>
    <row r="2276" spans="1:32" s="268" customFormat="1" ht="15" x14ac:dyDescent="0.25">
      <c r="A2276" s="264"/>
      <c r="B2276" s="264"/>
      <c r="C2276" s="1056"/>
      <c r="D2276" s="1056"/>
      <c r="E2276" s="1056"/>
      <c r="F2276" s="1056"/>
      <c r="G2276" s="1056"/>
      <c r="H2276" s="1056"/>
      <c r="I2276" s="1056"/>
      <c r="J2276" s="1056"/>
      <c r="K2276" s="1056"/>
      <c r="L2276" s="1056"/>
      <c r="M2276" s="274"/>
      <c r="P2276" s="264"/>
      <c r="Q2276" s="264"/>
      <c r="R2276" s="264"/>
      <c r="S2276" s="264"/>
      <c r="T2276" s="1056"/>
      <c r="U2276" s="1056"/>
      <c r="V2276" s="1056"/>
      <c r="W2276" s="1056"/>
      <c r="X2276" s="1056"/>
      <c r="Y2276" s="1056"/>
      <c r="Z2276" s="1056"/>
      <c r="AA2276" s="1056"/>
      <c r="AB2276" s="1056"/>
      <c r="AC2276" s="1056"/>
      <c r="AD2276" s="1056"/>
      <c r="AE2276" s="1056"/>
      <c r="AF2276" s="264"/>
    </row>
    <row r="2277" spans="1:32" s="268" customFormat="1" ht="15" x14ac:dyDescent="0.25">
      <c r="A2277" s="264"/>
      <c r="B2277" s="264"/>
      <c r="C2277" s="1056"/>
      <c r="D2277" s="1056"/>
      <c r="E2277" s="1056"/>
      <c r="F2277" s="1056"/>
      <c r="G2277" s="1056"/>
      <c r="H2277" s="1056"/>
      <c r="I2277" s="1056"/>
      <c r="J2277" s="1056"/>
      <c r="K2277" s="1056"/>
      <c r="L2277" s="1056"/>
      <c r="M2277" s="274"/>
      <c r="P2277" s="264"/>
      <c r="Q2277" s="264"/>
      <c r="R2277" s="264"/>
      <c r="S2277" s="264"/>
      <c r="T2277" s="1056"/>
      <c r="U2277" s="1056"/>
      <c r="V2277" s="1056"/>
      <c r="W2277" s="1056"/>
      <c r="X2277" s="1056"/>
      <c r="Y2277" s="1056"/>
      <c r="Z2277" s="1056"/>
      <c r="AA2277" s="1056"/>
      <c r="AB2277" s="1056"/>
      <c r="AC2277" s="1056"/>
      <c r="AD2277" s="1056"/>
      <c r="AE2277" s="1056"/>
      <c r="AF2277" s="264"/>
    </row>
    <row r="2278" spans="1:32" s="268" customFormat="1" ht="15" x14ac:dyDescent="0.25">
      <c r="A2278" s="264"/>
      <c r="B2278" s="264"/>
      <c r="C2278" s="1056"/>
      <c r="D2278" s="1056"/>
      <c r="E2278" s="1056"/>
      <c r="F2278" s="1056"/>
      <c r="G2278" s="1056"/>
      <c r="H2278" s="1056"/>
      <c r="I2278" s="1056"/>
      <c r="J2278" s="1056"/>
      <c r="K2278" s="1056"/>
      <c r="L2278" s="1056"/>
      <c r="M2278" s="274"/>
      <c r="P2278" s="264"/>
      <c r="Q2278" s="264"/>
      <c r="R2278" s="264"/>
      <c r="S2278" s="264"/>
      <c r="T2278" s="1056"/>
      <c r="U2278" s="1056"/>
      <c r="V2278" s="1056"/>
      <c r="W2278" s="1056"/>
      <c r="X2278" s="1056"/>
      <c r="Y2278" s="1056"/>
      <c r="Z2278" s="1056"/>
      <c r="AA2278" s="1056"/>
      <c r="AB2278" s="1056"/>
      <c r="AC2278" s="1056"/>
      <c r="AD2278" s="1056"/>
      <c r="AE2278" s="1056"/>
      <c r="AF2278" s="264"/>
    </row>
    <row r="2279" spans="1:32" s="268" customFormat="1" ht="15" x14ac:dyDescent="0.25">
      <c r="A2279" s="264"/>
      <c r="B2279" s="264"/>
      <c r="C2279" s="1056"/>
      <c r="D2279" s="1056"/>
      <c r="E2279" s="1056"/>
      <c r="F2279" s="1056"/>
      <c r="G2279" s="1056"/>
      <c r="H2279" s="1056"/>
      <c r="I2279" s="1056"/>
      <c r="J2279" s="1056"/>
      <c r="K2279" s="1056"/>
      <c r="L2279" s="1056"/>
      <c r="M2279" s="274"/>
      <c r="P2279" s="264"/>
      <c r="Q2279" s="264"/>
      <c r="R2279" s="264"/>
      <c r="S2279" s="264"/>
      <c r="T2279" s="1056"/>
      <c r="U2279" s="1056"/>
      <c r="V2279" s="1056"/>
      <c r="W2279" s="1056"/>
      <c r="X2279" s="1056"/>
      <c r="Y2279" s="1056"/>
      <c r="Z2279" s="1056"/>
      <c r="AA2279" s="1056"/>
      <c r="AB2279" s="1056"/>
      <c r="AC2279" s="1056"/>
      <c r="AD2279" s="1056"/>
      <c r="AE2279" s="1056"/>
      <c r="AF2279" s="264"/>
    </row>
    <row r="2280" spans="1:32" s="268" customFormat="1" ht="15" x14ac:dyDescent="0.25">
      <c r="A2280" s="264"/>
      <c r="B2280" s="264"/>
      <c r="C2280" s="1056"/>
      <c r="D2280" s="1056"/>
      <c r="E2280" s="1056"/>
      <c r="F2280" s="1056"/>
      <c r="G2280" s="1056"/>
      <c r="H2280" s="1056"/>
      <c r="I2280" s="1056"/>
      <c r="J2280" s="1056"/>
      <c r="K2280" s="1056"/>
      <c r="L2280" s="1056"/>
      <c r="M2280" s="274"/>
      <c r="P2280" s="264"/>
      <c r="Q2280" s="264"/>
      <c r="R2280" s="264"/>
      <c r="S2280" s="264"/>
      <c r="T2280" s="1056"/>
      <c r="U2280" s="1056"/>
      <c r="V2280" s="1056"/>
      <c r="W2280" s="1056"/>
      <c r="X2280" s="1056"/>
      <c r="Y2280" s="1056"/>
      <c r="Z2280" s="1056"/>
      <c r="AA2280" s="1056"/>
      <c r="AB2280" s="1056"/>
      <c r="AC2280" s="1056"/>
      <c r="AD2280" s="1056"/>
      <c r="AE2280" s="1056"/>
      <c r="AF2280" s="264"/>
    </row>
    <row r="2281" spans="1:32" s="268" customFormat="1" ht="15" x14ac:dyDescent="0.25">
      <c r="A2281" s="264"/>
      <c r="B2281" s="264"/>
      <c r="C2281" s="1056"/>
      <c r="D2281" s="1056"/>
      <c r="E2281" s="1056"/>
      <c r="F2281" s="1056"/>
      <c r="G2281" s="1056"/>
      <c r="H2281" s="1056"/>
      <c r="I2281" s="1056"/>
      <c r="J2281" s="1056"/>
      <c r="K2281" s="1056"/>
      <c r="L2281" s="1056"/>
      <c r="M2281" s="274"/>
      <c r="P2281" s="264"/>
      <c r="Q2281" s="264"/>
      <c r="R2281" s="264"/>
      <c r="S2281" s="264"/>
      <c r="T2281" s="1056"/>
      <c r="U2281" s="1056"/>
      <c r="V2281" s="1056"/>
      <c r="W2281" s="1056"/>
      <c r="X2281" s="1056"/>
      <c r="Y2281" s="1056"/>
      <c r="Z2281" s="1056"/>
      <c r="AA2281" s="1056"/>
      <c r="AB2281" s="1056"/>
      <c r="AC2281" s="1056"/>
      <c r="AD2281" s="1056"/>
      <c r="AE2281" s="1056"/>
      <c r="AF2281" s="264"/>
    </row>
    <row r="2282" spans="1:32" s="268" customFormat="1" ht="15" x14ac:dyDescent="0.25">
      <c r="A2282" s="264"/>
      <c r="B2282" s="264"/>
      <c r="C2282" s="1056"/>
      <c r="D2282" s="1056"/>
      <c r="E2282" s="1056"/>
      <c r="F2282" s="1056"/>
      <c r="G2282" s="1056"/>
      <c r="H2282" s="1056"/>
      <c r="I2282" s="1056"/>
      <c r="J2282" s="1056"/>
      <c r="K2282" s="1056"/>
      <c r="L2282" s="1056"/>
      <c r="M2282" s="274"/>
      <c r="P2282" s="264"/>
      <c r="Q2282" s="264"/>
      <c r="R2282" s="264"/>
      <c r="S2282" s="264"/>
      <c r="T2282" s="1056"/>
      <c r="U2282" s="1056"/>
      <c r="V2282" s="1056"/>
      <c r="W2282" s="1056"/>
      <c r="X2282" s="1056"/>
      <c r="Y2282" s="1056"/>
      <c r="Z2282" s="1056"/>
      <c r="AA2282" s="1056"/>
      <c r="AB2282" s="1056"/>
      <c r="AC2282" s="1056"/>
      <c r="AD2282" s="1056"/>
      <c r="AE2282" s="1056"/>
      <c r="AF2282" s="264"/>
    </row>
    <row r="2283" spans="1:32" s="268" customFormat="1" ht="15" x14ac:dyDescent="0.25">
      <c r="A2283" s="264"/>
      <c r="B2283" s="264"/>
      <c r="C2283" s="1056"/>
      <c r="D2283" s="1056"/>
      <c r="E2283" s="1056"/>
      <c r="F2283" s="1056"/>
      <c r="G2283" s="1056"/>
      <c r="H2283" s="1056"/>
      <c r="I2283" s="1056"/>
      <c r="J2283" s="1056"/>
      <c r="K2283" s="1056"/>
      <c r="L2283" s="1056"/>
      <c r="M2283" s="274"/>
      <c r="P2283" s="264"/>
      <c r="Q2283" s="264"/>
      <c r="R2283" s="264"/>
      <c r="S2283" s="264"/>
      <c r="T2283" s="1056"/>
      <c r="U2283" s="1056"/>
      <c r="V2283" s="1056"/>
      <c r="W2283" s="1056"/>
      <c r="X2283" s="1056"/>
      <c r="Y2283" s="1056"/>
      <c r="Z2283" s="1056"/>
      <c r="AA2283" s="1056"/>
      <c r="AB2283" s="1056"/>
      <c r="AC2283" s="1056"/>
      <c r="AD2283" s="1056"/>
      <c r="AE2283" s="1056"/>
      <c r="AF2283" s="264"/>
    </row>
    <row r="2284" spans="1:32" s="268" customFormat="1" ht="15" x14ac:dyDescent="0.25">
      <c r="A2284" s="264"/>
      <c r="B2284" s="264"/>
      <c r="C2284" s="1056"/>
      <c r="D2284" s="1056"/>
      <c r="E2284" s="1056"/>
      <c r="F2284" s="1056"/>
      <c r="G2284" s="1056"/>
      <c r="H2284" s="1056"/>
      <c r="I2284" s="1056"/>
      <c r="J2284" s="1056"/>
      <c r="K2284" s="1056"/>
      <c r="L2284" s="1056"/>
      <c r="M2284" s="274"/>
      <c r="P2284" s="264"/>
      <c r="Q2284" s="264"/>
      <c r="R2284" s="264"/>
      <c r="S2284" s="264"/>
      <c r="T2284" s="1056"/>
      <c r="U2284" s="1056"/>
      <c r="V2284" s="1056"/>
      <c r="W2284" s="1056"/>
      <c r="X2284" s="1056"/>
      <c r="Y2284" s="1056"/>
      <c r="Z2284" s="1056"/>
      <c r="AA2284" s="1056"/>
      <c r="AB2284" s="1056"/>
      <c r="AC2284" s="1056"/>
      <c r="AD2284" s="1056"/>
      <c r="AE2284" s="1056"/>
      <c r="AF2284" s="264"/>
    </row>
    <row r="2285" spans="1:32" s="268" customFormat="1" ht="15" x14ac:dyDescent="0.25">
      <c r="A2285" s="264"/>
      <c r="B2285" s="264"/>
      <c r="C2285" s="1056"/>
      <c r="D2285" s="1056"/>
      <c r="E2285" s="1056"/>
      <c r="F2285" s="1056"/>
      <c r="G2285" s="1056"/>
      <c r="H2285" s="1056"/>
      <c r="I2285" s="1056"/>
      <c r="J2285" s="1056"/>
      <c r="K2285" s="1056"/>
      <c r="L2285" s="1056"/>
      <c r="M2285" s="274"/>
      <c r="P2285" s="264"/>
      <c r="Q2285" s="264"/>
      <c r="R2285" s="264"/>
      <c r="S2285" s="264"/>
      <c r="T2285" s="1056"/>
      <c r="U2285" s="1056"/>
      <c r="V2285" s="1056"/>
      <c r="W2285" s="1056"/>
      <c r="X2285" s="1056"/>
      <c r="Y2285" s="1056"/>
      <c r="Z2285" s="1056"/>
      <c r="AA2285" s="1056"/>
      <c r="AB2285" s="1056"/>
      <c r="AC2285" s="1056"/>
      <c r="AD2285" s="1056"/>
      <c r="AE2285" s="1056"/>
      <c r="AF2285" s="264"/>
    </row>
    <row r="2286" spans="1:32" s="268" customFormat="1" ht="15" x14ac:dyDescent="0.25">
      <c r="A2286" s="264"/>
      <c r="B2286" s="264"/>
      <c r="C2286" s="1056"/>
      <c r="D2286" s="1056"/>
      <c r="E2286" s="1056"/>
      <c r="F2286" s="1056"/>
      <c r="G2286" s="1056"/>
      <c r="H2286" s="1056"/>
      <c r="I2286" s="1056"/>
      <c r="J2286" s="1056"/>
      <c r="K2286" s="1056"/>
      <c r="L2286" s="1056"/>
      <c r="M2286" s="274"/>
      <c r="P2286" s="264"/>
      <c r="Q2286" s="264"/>
      <c r="R2286" s="264"/>
      <c r="S2286" s="264"/>
      <c r="T2286" s="1056"/>
      <c r="U2286" s="1056"/>
      <c r="V2286" s="1056"/>
      <c r="W2286" s="1056"/>
      <c r="X2286" s="1056"/>
      <c r="Y2286" s="1056"/>
      <c r="Z2286" s="1056"/>
      <c r="AA2286" s="1056"/>
      <c r="AB2286" s="1056"/>
      <c r="AC2286" s="1056"/>
      <c r="AD2286" s="1056"/>
      <c r="AE2286" s="1056"/>
      <c r="AF2286" s="264"/>
    </row>
    <row r="2287" spans="1:32" s="268" customFormat="1" ht="15" x14ac:dyDescent="0.25">
      <c r="A2287" s="264"/>
      <c r="B2287" s="264"/>
      <c r="C2287" s="1056"/>
      <c r="D2287" s="1056"/>
      <c r="E2287" s="1056"/>
      <c r="F2287" s="1056"/>
      <c r="G2287" s="1056"/>
      <c r="H2287" s="1056"/>
      <c r="I2287" s="1056"/>
      <c r="J2287" s="1056"/>
      <c r="K2287" s="1056"/>
      <c r="L2287" s="1056"/>
      <c r="M2287" s="274"/>
      <c r="P2287" s="264"/>
      <c r="Q2287" s="264"/>
      <c r="R2287" s="264"/>
      <c r="S2287" s="264"/>
      <c r="T2287" s="1056"/>
      <c r="U2287" s="1056"/>
      <c r="V2287" s="1056"/>
      <c r="W2287" s="1056"/>
      <c r="X2287" s="1056"/>
      <c r="Y2287" s="1056"/>
      <c r="Z2287" s="1056"/>
      <c r="AA2287" s="1056"/>
      <c r="AB2287" s="1056"/>
      <c r="AC2287" s="1056"/>
      <c r="AD2287" s="1056"/>
      <c r="AE2287" s="1056"/>
      <c r="AF2287" s="264"/>
    </row>
    <row r="2288" spans="1:32" s="268" customFormat="1" ht="15" x14ac:dyDescent="0.25">
      <c r="A2288" s="264"/>
      <c r="B2288" s="264"/>
      <c r="C2288" s="1056"/>
      <c r="D2288" s="1056"/>
      <c r="E2288" s="1056"/>
      <c r="F2288" s="1056"/>
      <c r="G2288" s="1056"/>
      <c r="H2288" s="1056"/>
      <c r="I2288" s="1056"/>
      <c r="J2288" s="1056"/>
      <c r="K2288" s="1056"/>
      <c r="L2288" s="1056"/>
      <c r="M2288" s="274"/>
      <c r="P2288" s="264"/>
      <c r="Q2288" s="264"/>
      <c r="R2288" s="264"/>
      <c r="S2288" s="264"/>
      <c r="T2288" s="1056"/>
      <c r="U2288" s="1056"/>
      <c r="V2288" s="1056"/>
      <c r="W2288" s="1056"/>
      <c r="X2288" s="1056"/>
      <c r="Y2288" s="1056"/>
      <c r="Z2288" s="1056"/>
      <c r="AA2288" s="1056"/>
      <c r="AB2288" s="1056"/>
      <c r="AC2288" s="1056"/>
      <c r="AD2288" s="1056"/>
      <c r="AE2288" s="1056"/>
      <c r="AF2288" s="264"/>
    </row>
    <row r="2289" spans="1:32" s="268" customFormat="1" ht="15" x14ac:dyDescent="0.25">
      <c r="A2289" s="264"/>
      <c r="B2289" s="264"/>
      <c r="C2289" s="1056"/>
      <c r="D2289" s="1056"/>
      <c r="E2289" s="1056"/>
      <c r="F2289" s="1056"/>
      <c r="G2289" s="1056"/>
      <c r="H2289" s="1056"/>
      <c r="I2289" s="1056"/>
      <c r="J2289" s="1056"/>
      <c r="K2289" s="1056"/>
      <c r="L2289" s="1056"/>
      <c r="M2289" s="274"/>
      <c r="P2289" s="264"/>
      <c r="Q2289" s="264"/>
      <c r="R2289" s="264"/>
      <c r="S2289" s="264"/>
      <c r="T2289" s="1056"/>
      <c r="U2289" s="1056"/>
      <c r="V2289" s="1056"/>
      <c r="W2289" s="1056"/>
      <c r="X2289" s="1056"/>
      <c r="Y2289" s="1056"/>
      <c r="Z2289" s="1056"/>
      <c r="AA2289" s="1056"/>
      <c r="AB2289" s="1056"/>
      <c r="AC2289" s="1056"/>
      <c r="AD2289" s="1056"/>
      <c r="AE2289" s="1056"/>
      <c r="AF2289" s="264"/>
    </row>
    <row r="2290" spans="1:32" s="268" customFormat="1" ht="15" x14ac:dyDescent="0.25">
      <c r="A2290" s="264"/>
      <c r="B2290" s="264"/>
      <c r="C2290" s="1056"/>
      <c r="D2290" s="1056"/>
      <c r="E2290" s="1056"/>
      <c r="F2290" s="1056"/>
      <c r="G2290" s="1056"/>
      <c r="H2290" s="1056"/>
      <c r="I2290" s="1056"/>
      <c r="J2290" s="1056"/>
      <c r="K2290" s="1056"/>
      <c r="L2290" s="1056"/>
      <c r="M2290" s="274"/>
      <c r="P2290" s="264"/>
      <c r="Q2290" s="264"/>
      <c r="R2290" s="264"/>
      <c r="S2290" s="264"/>
      <c r="T2290" s="1056"/>
      <c r="U2290" s="1056"/>
      <c r="V2290" s="1056"/>
      <c r="W2290" s="1056"/>
      <c r="X2290" s="1056"/>
      <c r="Y2290" s="1056"/>
      <c r="Z2290" s="1056"/>
      <c r="AA2290" s="1056"/>
      <c r="AB2290" s="1056"/>
      <c r="AC2290" s="1056"/>
      <c r="AD2290" s="1056"/>
      <c r="AE2290" s="1056"/>
      <c r="AF2290" s="264"/>
    </row>
    <row r="2291" spans="1:32" s="268" customFormat="1" ht="15" x14ac:dyDescent="0.25">
      <c r="A2291" s="264"/>
      <c r="B2291" s="264"/>
      <c r="C2291" s="1056"/>
      <c r="D2291" s="1056"/>
      <c r="E2291" s="1056"/>
      <c r="F2291" s="1056"/>
      <c r="G2291" s="1056"/>
      <c r="H2291" s="1056"/>
      <c r="I2291" s="1056"/>
      <c r="J2291" s="1056"/>
      <c r="K2291" s="1056"/>
      <c r="L2291" s="1056"/>
      <c r="M2291" s="274"/>
      <c r="P2291" s="264"/>
      <c r="Q2291" s="264"/>
      <c r="R2291" s="264"/>
      <c r="S2291" s="264"/>
      <c r="T2291" s="1056"/>
      <c r="U2291" s="1056"/>
      <c r="V2291" s="1056"/>
      <c r="W2291" s="1056"/>
      <c r="X2291" s="1056"/>
      <c r="Y2291" s="1056"/>
      <c r="Z2291" s="1056"/>
      <c r="AA2291" s="1056"/>
      <c r="AB2291" s="1056"/>
      <c r="AC2291" s="1056"/>
      <c r="AD2291" s="1056"/>
      <c r="AE2291" s="1056"/>
      <c r="AF2291" s="264"/>
    </row>
    <row r="2292" spans="1:32" s="268" customFormat="1" ht="15" x14ac:dyDescent="0.25">
      <c r="A2292" s="264"/>
      <c r="B2292" s="264"/>
      <c r="C2292" s="1056"/>
      <c r="D2292" s="1056"/>
      <c r="E2292" s="1056"/>
      <c r="F2292" s="1056"/>
      <c r="G2292" s="1056"/>
      <c r="H2292" s="1056"/>
      <c r="I2292" s="1056"/>
      <c r="J2292" s="1056"/>
      <c r="K2292" s="1056"/>
      <c r="L2292" s="1056"/>
      <c r="M2292" s="274"/>
      <c r="P2292" s="264"/>
      <c r="Q2292" s="264"/>
      <c r="R2292" s="264"/>
      <c r="S2292" s="264"/>
      <c r="T2292" s="1056"/>
      <c r="U2292" s="1056"/>
      <c r="V2292" s="1056"/>
      <c r="W2292" s="1056"/>
      <c r="X2292" s="1056"/>
      <c r="Y2292" s="1056"/>
      <c r="Z2292" s="1056"/>
      <c r="AA2292" s="1056"/>
      <c r="AB2292" s="1056"/>
      <c r="AC2292" s="1056"/>
      <c r="AD2292" s="1056"/>
      <c r="AE2292" s="1056"/>
      <c r="AF2292" s="264"/>
    </row>
    <row r="2293" spans="1:32" s="268" customFormat="1" ht="15" x14ac:dyDescent="0.25">
      <c r="A2293" s="264"/>
      <c r="B2293" s="264"/>
      <c r="C2293" s="1056"/>
      <c r="D2293" s="1056"/>
      <c r="E2293" s="1056"/>
      <c r="F2293" s="1056"/>
      <c r="G2293" s="1056"/>
      <c r="H2293" s="1056"/>
      <c r="I2293" s="1056"/>
      <c r="J2293" s="1056"/>
      <c r="K2293" s="1056"/>
      <c r="L2293" s="1056"/>
      <c r="M2293" s="274"/>
      <c r="P2293" s="264"/>
      <c r="Q2293" s="264"/>
      <c r="R2293" s="264"/>
      <c r="S2293" s="264"/>
      <c r="T2293" s="1056"/>
      <c r="U2293" s="1056"/>
      <c r="V2293" s="1056"/>
      <c r="W2293" s="1056"/>
      <c r="X2293" s="1056"/>
      <c r="Y2293" s="1056"/>
      <c r="Z2293" s="1056"/>
      <c r="AA2293" s="1056"/>
      <c r="AB2293" s="1056"/>
      <c r="AC2293" s="1056"/>
      <c r="AD2293" s="1056"/>
      <c r="AE2293" s="1056"/>
      <c r="AF2293" s="264"/>
    </row>
    <row r="2294" spans="1:32" s="268" customFormat="1" ht="15" x14ac:dyDescent="0.25">
      <c r="A2294" s="264"/>
      <c r="B2294" s="264"/>
      <c r="C2294" s="1056"/>
      <c r="D2294" s="1056"/>
      <c r="E2294" s="1056"/>
      <c r="F2294" s="1056"/>
      <c r="G2294" s="1056"/>
      <c r="H2294" s="1056"/>
      <c r="I2294" s="1056"/>
      <c r="J2294" s="1056"/>
      <c r="K2294" s="1056"/>
      <c r="L2294" s="1056"/>
      <c r="M2294" s="274"/>
      <c r="P2294" s="264"/>
      <c r="Q2294" s="264"/>
      <c r="R2294" s="264"/>
      <c r="S2294" s="264"/>
      <c r="T2294" s="1056"/>
      <c r="U2294" s="1056"/>
      <c r="V2294" s="1056"/>
      <c r="W2294" s="1056"/>
      <c r="X2294" s="1056"/>
      <c r="Y2294" s="1056"/>
      <c r="Z2294" s="1056"/>
      <c r="AA2294" s="1056"/>
      <c r="AB2294" s="1056"/>
      <c r="AC2294" s="1056"/>
      <c r="AD2294" s="1056"/>
      <c r="AE2294" s="1056"/>
      <c r="AF2294" s="264"/>
    </row>
    <row r="2295" spans="1:32" s="268" customFormat="1" ht="15" x14ac:dyDescent="0.25">
      <c r="A2295" s="264"/>
      <c r="B2295" s="264"/>
      <c r="C2295" s="1056"/>
      <c r="D2295" s="1056"/>
      <c r="E2295" s="1056"/>
      <c r="F2295" s="1056"/>
      <c r="G2295" s="1056"/>
      <c r="H2295" s="1056"/>
      <c r="I2295" s="1056"/>
      <c r="J2295" s="1056"/>
      <c r="K2295" s="1056"/>
      <c r="L2295" s="1056"/>
      <c r="M2295" s="274"/>
      <c r="P2295" s="264"/>
      <c r="Q2295" s="264"/>
      <c r="R2295" s="264"/>
      <c r="S2295" s="264"/>
      <c r="T2295" s="1056"/>
      <c r="U2295" s="1056"/>
      <c r="V2295" s="1056"/>
      <c r="W2295" s="1056"/>
      <c r="X2295" s="1056"/>
      <c r="Y2295" s="1056"/>
      <c r="Z2295" s="1056"/>
      <c r="AA2295" s="1056"/>
      <c r="AB2295" s="1056"/>
      <c r="AC2295" s="1056"/>
      <c r="AD2295" s="1056"/>
      <c r="AE2295" s="1056"/>
      <c r="AF2295" s="264"/>
    </row>
    <row r="2296" spans="1:32" s="268" customFormat="1" ht="15" x14ac:dyDescent="0.25">
      <c r="A2296" s="264"/>
      <c r="B2296" s="264"/>
      <c r="C2296" s="1056"/>
      <c r="D2296" s="1056"/>
      <c r="E2296" s="1056"/>
      <c r="F2296" s="1056"/>
      <c r="G2296" s="1056"/>
      <c r="H2296" s="1056"/>
      <c r="I2296" s="1056"/>
      <c r="J2296" s="1056"/>
      <c r="K2296" s="1056"/>
      <c r="L2296" s="1056"/>
      <c r="M2296" s="274"/>
      <c r="P2296" s="264"/>
      <c r="Q2296" s="264"/>
      <c r="R2296" s="264"/>
      <c r="S2296" s="264"/>
      <c r="T2296" s="1056"/>
      <c r="U2296" s="1056"/>
      <c r="V2296" s="1056"/>
      <c r="W2296" s="1056"/>
      <c r="X2296" s="1056"/>
      <c r="Y2296" s="1056"/>
      <c r="Z2296" s="1056"/>
      <c r="AA2296" s="1056"/>
      <c r="AB2296" s="1056"/>
      <c r="AC2296" s="1056"/>
      <c r="AD2296" s="1056"/>
      <c r="AE2296" s="1056"/>
      <c r="AF2296" s="264"/>
    </row>
    <row r="2297" spans="1:32" s="268" customFormat="1" ht="15" x14ac:dyDescent="0.25">
      <c r="A2297" s="264"/>
      <c r="B2297" s="264"/>
      <c r="C2297" s="1056"/>
      <c r="D2297" s="1056"/>
      <c r="E2297" s="1056"/>
      <c r="F2297" s="1056"/>
      <c r="G2297" s="1056"/>
      <c r="H2297" s="1056"/>
      <c r="I2297" s="1056"/>
      <c r="J2297" s="1056"/>
      <c r="K2297" s="1056"/>
      <c r="L2297" s="1056"/>
      <c r="M2297" s="274"/>
      <c r="P2297" s="264"/>
      <c r="Q2297" s="264"/>
      <c r="R2297" s="264"/>
      <c r="S2297" s="264"/>
      <c r="T2297" s="1056"/>
      <c r="U2297" s="1056"/>
      <c r="V2297" s="1056"/>
      <c r="W2297" s="1056"/>
      <c r="X2297" s="1056"/>
      <c r="Y2297" s="1056"/>
      <c r="Z2297" s="1056"/>
      <c r="AA2297" s="1056"/>
      <c r="AB2297" s="1056"/>
      <c r="AC2297" s="1056"/>
      <c r="AD2297" s="1056"/>
      <c r="AE2297" s="1056"/>
      <c r="AF2297" s="264"/>
    </row>
    <row r="2298" spans="1:32" s="268" customFormat="1" ht="15" x14ac:dyDescent="0.25">
      <c r="A2298" s="264"/>
      <c r="B2298" s="264"/>
      <c r="C2298" s="1056"/>
      <c r="D2298" s="1056"/>
      <c r="E2298" s="1056"/>
      <c r="F2298" s="1056"/>
      <c r="G2298" s="1056"/>
      <c r="H2298" s="1056"/>
      <c r="I2298" s="1056"/>
      <c r="J2298" s="1056"/>
      <c r="K2298" s="1056"/>
      <c r="L2298" s="1056"/>
      <c r="M2298" s="274"/>
      <c r="P2298" s="264"/>
      <c r="Q2298" s="264"/>
      <c r="R2298" s="264"/>
      <c r="S2298" s="264"/>
      <c r="T2298" s="1056"/>
      <c r="U2298" s="1056"/>
      <c r="V2298" s="1056"/>
      <c r="W2298" s="1056"/>
      <c r="X2298" s="1056"/>
      <c r="Y2298" s="1056"/>
      <c r="Z2298" s="1056"/>
      <c r="AA2298" s="1056"/>
      <c r="AB2298" s="1056"/>
      <c r="AC2298" s="1056"/>
      <c r="AD2298" s="1056"/>
      <c r="AE2298" s="1056"/>
      <c r="AF2298" s="264"/>
    </row>
    <row r="2299" spans="1:32" s="268" customFormat="1" ht="15" x14ac:dyDescent="0.25">
      <c r="A2299" s="264"/>
      <c r="B2299" s="264"/>
      <c r="C2299" s="1056"/>
      <c r="D2299" s="1056"/>
      <c r="E2299" s="1056"/>
      <c r="F2299" s="1056"/>
      <c r="G2299" s="1056"/>
      <c r="H2299" s="1056"/>
      <c r="I2299" s="1056"/>
      <c r="J2299" s="1056"/>
      <c r="K2299" s="1056"/>
      <c r="L2299" s="1056"/>
      <c r="M2299" s="274"/>
      <c r="P2299" s="264"/>
      <c r="Q2299" s="264"/>
      <c r="R2299" s="264"/>
      <c r="S2299" s="264"/>
      <c r="T2299" s="1056"/>
      <c r="U2299" s="1056"/>
      <c r="V2299" s="1056"/>
      <c r="W2299" s="1056"/>
      <c r="X2299" s="1056"/>
      <c r="Y2299" s="1056"/>
      <c r="Z2299" s="1056"/>
      <c r="AA2299" s="1056"/>
      <c r="AB2299" s="1056"/>
      <c r="AC2299" s="1056"/>
      <c r="AD2299" s="1056"/>
      <c r="AE2299" s="1056"/>
      <c r="AF2299" s="264"/>
    </row>
    <row r="2300" spans="1:32" s="268" customFormat="1" ht="15" x14ac:dyDescent="0.25">
      <c r="A2300" s="264"/>
      <c r="B2300" s="264"/>
      <c r="C2300" s="1056"/>
      <c r="D2300" s="1056"/>
      <c r="E2300" s="1056"/>
      <c r="F2300" s="1056"/>
      <c r="G2300" s="1056"/>
      <c r="H2300" s="1056"/>
      <c r="I2300" s="1056"/>
      <c r="J2300" s="1056"/>
      <c r="K2300" s="1056"/>
      <c r="L2300" s="1056"/>
      <c r="M2300" s="274"/>
      <c r="P2300" s="264"/>
      <c r="Q2300" s="264"/>
      <c r="R2300" s="264"/>
      <c r="S2300" s="264"/>
      <c r="T2300" s="1056"/>
      <c r="U2300" s="1056"/>
      <c r="V2300" s="1056"/>
      <c r="W2300" s="1056"/>
      <c r="X2300" s="1056"/>
      <c r="Y2300" s="1056"/>
      <c r="Z2300" s="1056"/>
      <c r="AA2300" s="1056"/>
      <c r="AB2300" s="1056"/>
      <c r="AC2300" s="1056"/>
      <c r="AD2300" s="1056"/>
      <c r="AE2300" s="1056"/>
      <c r="AF2300" s="264"/>
    </row>
    <row r="2301" spans="1:32" s="268" customFormat="1" ht="15" x14ac:dyDescent="0.25">
      <c r="A2301" s="264"/>
      <c r="B2301" s="264"/>
      <c r="C2301" s="1056"/>
      <c r="D2301" s="1056"/>
      <c r="E2301" s="1056"/>
      <c r="F2301" s="1056"/>
      <c r="G2301" s="1056"/>
      <c r="H2301" s="1056"/>
      <c r="I2301" s="1056"/>
      <c r="J2301" s="1056"/>
      <c r="K2301" s="1056"/>
      <c r="L2301" s="1056"/>
      <c r="M2301" s="274"/>
      <c r="P2301" s="264"/>
      <c r="Q2301" s="264"/>
      <c r="R2301" s="264"/>
      <c r="S2301" s="264"/>
      <c r="T2301" s="1056"/>
      <c r="U2301" s="1056"/>
      <c r="V2301" s="1056"/>
      <c r="W2301" s="1056"/>
      <c r="X2301" s="1056"/>
      <c r="Y2301" s="1056"/>
      <c r="Z2301" s="1056"/>
      <c r="AA2301" s="1056"/>
      <c r="AB2301" s="1056"/>
      <c r="AC2301" s="1056"/>
      <c r="AD2301" s="1056"/>
      <c r="AE2301" s="1056"/>
      <c r="AF2301" s="264"/>
    </row>
    <row r="2302" spans="1:32" s="268" customFormat="1" ht="15" x14ac:dyDescent="0.25">
      <c r="A2302" s="264"/>
      <c r="B2302" s="264"/>
      <c r="C2302" s="1056"/>
      <c r="D2302" s="1056"/>
      <c r="E2302" s="1056"/>
      <c r="F2302" s="1056"/>
      <c r="G2302" s="1056"/>
      <c r="H2302" s="1056"/>
      <c r="I2302" s="1056"/>
      <c r="J2302" s="1056"/>
      <c r="K2302" s="1056"/>
      <c r="L2302" s="1056"/>
      <c r="M2302" s="274"/>
      <c r="P2302" s="264"/>
      <c r="Q2302" s="264"/>
      <c r="R2302" s="264"/>
      <c r="S2302" s="264"/>
      <c r="T2302" s="1056"/>
      <c r="U2302" s="1056"/>
      <c r="V2302" s="1056"/>
      <c r="W2302" s="1056"/>
      <c r="X2302" s="1056"/>
      <c r="Y2302" s="1056"/>
      <c r="Z2302" s="1056"/>
      <c r="AA2302" s="1056"/>
      <c r="AB2302" s="1056"/>
      <c r="AC2302" s="1056"/>
      <c r="AD2302" s="1056"/>
      <c r="AE2302" s="1056"/>
      <c r="AF2302" s="264"/>
    </row>
    <row r="2303" spans="1:32" s="268" customFormat="1" ht="15" x14ac:dyDescent="0.25">
      <c r="A2303" s="264"/>
      <c r="B2303" s="264"/>
      <c r="C2303" s="1056"/>
      <c r="D2303" s="1056"/>
      <c r="E2303" s="1056"/>
      <c r="F2303" s="1056"/>
      <c r="G2303" s="1056"/>
      <c r="H2303" s="1056"/>
      <c r="I2303" s="1056"/>
      <c r="J2303" s="1056"/>
      <c r="K2303" s="1056"/>
      <c r="L2303" s="1056"/>
      <c r="M2303" s="274"/>
      <c r="P2303" s="264"/>
      <c r="Q2303" s="264"/>
      <c r="R2303" s="264"/>
      <c r="S2303" s="264"/>
      <c r="T2303" s="1056"/>
      <c r="U2303" s="1056"/>
      <c r="V2303" s="1056"/>
      <c r="W2303" s="1056"/>
      <c r="X2303" s="1056"/>
      <c r="Y2303" s="1056"/>
      <c r="Z2303" s="1056"/>
      <c r="AA2303" s="1056"/>
      <c r="AB2303" s="1056"/>
      <c r="AC2303" s="1056"/>
      <c r="AD2303" s="1056"/>
      <c r="AE2303" s="1056"/>
      <c r="AF2303" s="264"/>
    </row>
    <row r="2304" spans="1:32" s="268" customFormat="1" ht="15" x14ac:dyDescent="0.25">
      <c r="A2304" s="264"/>
      <c r="B2304" s="264"/>
      <c r="C2304" s="1056"/>
      <c r="D2304" s="1056"/>
      <c r="E2304" s="1056"/>
      <c r="F2304" s="1056"/>
      <c r="G2304" s="1056"/>
      <c r="H2304" s="1056"/>
      <c r="I2304" s="1056"/>
      <c r="J2304" s="1056"/>
      <c r="K2304" s="1056"/>
      <c r="L2304" s="1056"/>
      <c r="M2304" s="274"/>
      <c r="P2304" s="264"/>
      <c r="Q2304" s="264"/>
      <c r="R2304" s="264"/>
      <c r="S2304" s="264"/>
      <c r="T2304" s="1056"/>
      <c r="U2304" s="1056"/>
      <c r="V2304" s="1056"/>
      <c r="W2304" s="1056"/>
      <c r="X2304" s="1056"/>
      <c r="Y2304" s="1056"/>
      <c r="Z2304" s="1056"/>
      <c r="AA2304" s="1056"/>
      <c r="AB2304" s="1056"/>
      <c r="AC2304" s="1056"/>
      <c r="AD2304" s="1056"/>
      <c r="AE2304" s="1056"/>
      <c r="AF2304" s="264"/>
    </row>
    <row r="2305" spans="1:32" s="268" customFormat="1" ht="15" x14ac:dyDescent="0.25">
      <c r="A2305" s="264"/>
      <c r="B2305" s="264"/>
      <c r="C2305" s="1056"/>
      <c r="D2305" s="1056"/>
      <c r="E2305" s="1056"/>
      <c r="F2305" s="1056"/>
      <c r="G2305" s="1056"/>
      <c r="H2305" s="1056"/>
      <c r="I2305" s="1056"/>
      <c r="J2305" s="1056"/>
      <c r="K2305" s="1056"/>
      <c r="L2305" s="1056"/>
      <c r="M2305" s="274"/>
      <c r="P2305" s="264"/>
      <c r="Q2305" s="264"/>
      <c r="R2305" s="264"/>
      <c r="S2305" s="264"/>
      <c r="T2305" s="1056"/>
      <c r="U2305" s="1056"/>
      <c r="V2305" s="1056"/>
      <c r="W2305" s="1056"/>
      <c r="X2305" s="1056"/>
      <c r="Y2305" s="1056"/>
      <c r="Z2305" s="1056"/>
      <c r="AA2305" s="1056"/>
      <c r="AB2305" s="1056"/>
      <c r="AC2305" s="1056"/>
      <c r="AD2305" s="1056"/>
      <c r="AE2305" s="1056"/>
      <c r="AF2305" s="264"/>
    </row>
    <row r="2306" spans="1:32" s="268" customFormat="1" ht="15" x14ac:dyDescent="0.25">
      <c r="A2306" s="264"/>
      <c r="B2306" s="264"/>
      <c r="C2306" s="1056"/>
      <c r="D2306" s="1056"/>
      <c r="E2306" s="1056"/>
      <c r="F2306" s="1056"/>
      <c r="G2306" s="1056"/>
      <c r="H2306" s="1056"/>
      <c r="I2306" s="1056"/>
      <c r="J2306" s="1056"/>
      <c r="K2306" s="1056"/>
      <c r="L2306" s="1056"/>
      <c r="M2306" s="274"/>
      <c r="P2306" s="264"/>
      <c r="Q2306" s="264"/>
      <c r="R2306" s="264"/>
      <c r="S2306" s="264"/>
      <c r="T2306" s="1056"/>
      <c r="U2306" s="1056"/>
      <c r="V2306" s="1056"/>
      <c r="W2306" s="1056"/>
      <c r="X2306" s="1056"/>
      <c r="Y2306" s="1056"/>
      <c r="Z2306" s="1056"/>
      <c r="AA2306" s="1056"/>
      <c r="AB2306" s="1056"/>
      <c r="AC2306" s="1056"/>
      <c r="AD2306" s="1056"/>
      <c r="AE2306" s="1056"/>
      <c r="AF2306" s="264"/>
    </row>
    <row r="2307" spans="1:32" s="268" customFormat="1" ht="15" x14ac:dyDescent="0.25">
      <c r="A2307" s="264"/>
      <c r="B2307" s="264"/>
      <c r="C2307" s="1056"/>
      <c r="D2307" s="1056"/>
      <c r="E2307" s="1056"/>
      <c r="F2307" s="1056"/>
      <c r="G2307" s="1056"/>
      <c r="H2307" s="1056"/>
      <c r="I2307" s="1056"/>
      <c r="J2307" s="1056"/>
      <c r="K2307" s="1056"/>
      <c r="L2307" s="1056"/>
      <c r="M2307" s="274"/>
      <c r="P2307" s="264"/>
      <c r="Q2307" s="264"/>
      <c r="R2307" s="264"/>
      <c r="S2307" s="264"/>
      <c r="T2307" s="1056"/>
      <c r="U2307" s="1056"/>
      <c r="V2307" s="1056"/>
      <c r="W2307" s="1056"/>
      <c r="X2307" s="1056"/>
      <c r="Y2307" s="1056"/>
      <c r="Z2307" s="1056"/>
      <c r="AA2307" s="1056"/>
      <c r="AB2307" s="1056"/>
      <c r="AC2307" s="1056"/>
      <c r="AD2307" s="1056"/>
      <c r="AE2307" s="1056"/>
      <c r="AF2307" s="264"/>
    </row>
    <row r="2308" spans="1:32" s="268" customFormat="1" ht="15" x14ac:dyDescent="0.25">
      <c r="A2308" s="264"/>
      <c r="B2308" s="264"/>
      <c r="C2308" s="1056"/>
      <c r="D2308" s="1056"/>
      <c r="E2308" s="1056"/>
      <c r="F2308" s="1056"/>
      <c r="G2308" s="1056"/>
      <c r="H2308" s="1056"/>
      <c r="I2308" s="1056"/>
      <c r="J2308" s="1056"/>
      <c r="K2308" s="1056"/>
      <c r="L2308" s="1056"/>
      <c r="M2308" s="274"/>
      <c r="P2308" s="264"/>
      <c r="Q2308" s="264"/>
      <c r="R2308" s="264"/>
      <c r="S2308" s="264"/>
      <c r="T2308" s="1056"/>
      <c r="U2308" s="1056"/>
      <c r="V2308" s="1056"/>
      <c r="W2308" s="1056"/>
      <c r="X2308" s="1056"/>
      <c r="Y2308" s="1056"/>
      <c r="Z2308" s="1056"/>
      <c r="AA2308" s="1056"/>
      <c r="AB2308" s="1056"/>
      <c r="AC2308" s="1056"/>
      <c r="AD2308" s="1056"/>
      <c r="AE2308" s="1056"/>
      <c r="AF2308" s="264"/>
    </row>
    <row r="2309" spans="1:32" s="268" customFormat="1" ht="15" x14ac:dyDescent="0.25">
      <c r="A2309" s="264"/>
      <c r="B2309" s="264"/>
      <c r="C2309" s="1056"/>
      <c r="D2309" s="1056"/>
      <c r="E2309" s="1056"/>
      <c r="F2309" s="1056"/>
      <c r="G2309" s="1056"/>
      <c r="H2309" s="1056"/>
      <c r="I2309" s="1056"/>
      <c r="J2309" s="1056"/>
      <c r="K2309" s="1056"/>
      <c r="L2309" s="1056"/>
      <c r="M2309" s="274"/>
      <c r="P2309" s="264"/>
      <c r="Q2309" s="264"/>
      <c r="R2309" s="264"/>
      <c r="S2309" s="264"/>
      <c r="T2309" s="1056"/>
      <c r="U2309" s="1056"/>
      <c r="V2309" s="1056"/>
      <c r="W2309" s="1056"/>
      <c r="X2309" s="1056"/>
      <c r="Y2309" s="1056"/>
      <c r="Z2309" s="1056"/>
      <c r="AA2309" s="1056"/>
      <c r="AB2309" s="1056"/>
      <c r="AC2309" s="1056"/>
      <c r="AD2309" s="1056"/>
      <c r="AE2309" s="1056"/>
      <c r="AF2309" s="264"/>
    </row>
    <row r="2310" spans="1:32" s="268" customFormat="1" ht="15" x14ac:dyDescent="0.25">
      <c r="A2310" s="264"/>
      <c r="B2310" s="264"/>
      <c r="C2310" s="1056"/>
      <c r="D2310" s="1056"/>
      <c r="E2310" s="1056"/>
      <c r="F2310" s="1056"/>
      <c r="G2310" s="1056"/>
      <c r="H2310" s="1056"/>
      <c r="I2310" s="1056"/>
      <c r="J2310" s="1056"/>
      <c r="K2310" s="1056"/>
      <c r="L2310" s="1056"/>
      <c r="M2310" s="274"/>
      <c r="P2310" s="264"/>
      <c r="Q2310" s="264"/>
      <c r="R2310" s="264"/>
      <c r="S2310" s="264"/>
      <c r="T2310" s="1056"/>
      <c r="U2310" s="1056"/>
      <c r="V2310" s="1056"/>
      <c r="W2310" s="1056"/>
      <c r="X2310" s="1056"/>
      <c r="Y2310" s="1056"/>
      <c r="Z2310" s="1056"/>
      <c r="AA2310" s="1056"/>
      <c r="AB2310" s="1056"/>
      <c r="AC2310" s="1056"/>
      <c r="AD2310" s="1056"/>
      <c r="AE2310" s="1056"/>
      <c r="AF2310" s="264"/>
    </row>
    <row r="2311" spans="1:32" s="268" customFormat="1" ht="15" x14ac:dyDescent="0.25">
      <c r="A2311" s="264"/>
      <c r="B2311" s="264"/>
      <c r="C2311" s="1056"/>
      <c r="D2311" s="1056"/>
      <c r="E2311" s="1056"/>
      <c r="F2311" s="1056"/>
      <c r="G2311" s="1056"/>
      <c r="H2311" s="1056"/>
      <c r="I2311" s="1056"/>
      <c r="J2311" s="1056"/>
      <c r="K2311" s="1056"/>
      <c r="L2311" s="1056"/>
      <c r="M2311" s="274"/>
      <c r="P2311" s="264"/>
      <c r="Q2311" s="264"/>
      <c r="R2311" s="264"/>
      <c r="S2311" s="264"/>
      <c r="T2311" s="1056"/>
      <c r="U2311" s="1056"/>
      <c r="V2311" s="1056"/>
      <c r="W2311" s="1056"/>
      <c r="X2311" s="1056"/>
      <c r="Y2311" s="1056"/>
      <c r="Z2311" s="1056"/>
      <c r="AA2311" s="1056"/>
      <c r="AB2311" s="1056"/>
      <c r="AC2311" s="1056"/>
      <c r="AD2311" s="1056"/>
      <c r="AE2311" s="1056"/>
      <c r="AF2311" s="264"/>
    </row>
    <row r="2312" spans="1:32" s="268" customFormat="1" ht="15" x14ac:dyDescent="0.25">
      <c r="A2312" s="264"/>
      <c r="B2312" s="264"/>
      <c r="C2312" s="1056"/>
      <c r="D2312" s="1056"/>
      <c r="E2312" s="1056"/>
      <c r="F2312" s="1056"/>
      <c r="G2312" s="1056"/>
      <c r="H2312" s="1056"/>
      <c r="I2312" s="1056"/>
      <c r="J2312" s="1056"/>
      <c r="K2312" s="1056"/>
      <c r="L2312" s="1056"/>
      <c r="M2312" s="274"/>
      <c r="P2312" s="264"/>
      <c r="Q2312" s="264"/>
      <c r="R2312" s="264"/>
      <c r="S2312" s="264"/>
      <c r="T2312" s="1056"/>
      <c r="U2312" s="1056"/>
      <c r="V2312" s="1056"/>
      <c r="W2312" s="1056"/>
      <c r="X2312" s="1056"/>
      <c r="Y2312" s="1056"/>
      <c r="Z2312" s="1056"/>
      <c r="AA2312" s="1056"/>
      <c r="AB2312" s="1056"/>
      <c r="AC2312" s="1056"/>
      <c r="AD2312" s="1056"/>
      <c r="AE2312" s="1056"/>
      <c r="AF2312" s="264"/>
    </row>
    <row r="2313" spans="1:32" s="268" customFormat="1" ht="15" x14ac:dyDescent="0.25">
      <c r="A2313" s="264"/>
      <c r="B2313" s="264"/>
      <c r="C2313" s="1056"/>
      <c r="D2313" s="1056"/>
      <c r="E2313" s="1056"/>
      <c r="F2313" s="1056"/>
      <c r="G2313" s="1056"/>
      <c r="H2313" s="1056"/>
      <c r="I2313" s="1056"/>
      <c r="J2313" s="1056"/>
      <c r="K2313" s="1056"/>
      <c r="L2313" s="1056"/>
      <c r="M2313" s="274"/>
      <c r="P2313" s="264"/>
      <c r="Q2313" s="264"/>
      <c r="R2313" s="264"/>
      <c r="S2313" s="264"/>
      <c r="T2313" s="1056"/>
      <c r="U2313" s="1056"/>
      <c r="V2313" s="1056"/>
      <c r="W2313" s="1056"/>
      <c r="X2313" s="1056"/>
      <c r="Y2313" s="1056"/>
      <c r="Z2313" s="1056"/>
      <c r="AA2313" s="1056"/>
      <c r="AB2313" s="1056"/>
      <c r="AC2313" s="1056"/>
      <c r="AD2313" s="1056"/>
      <c r="AE2313" s="1056"/>
      <c r="AF2313" s="264"/>
    </row>
    <row r="2314" spans="1:32" s="268" customFormat="1" ht="15" x14ac:dyDescent="0.25">
      <c r="A2314" s="264"/>
      <c r="B2314" s="264"/>
      <c r="C2314" s="1056"/>
      <c r="D2314" s="1056"/>
      <c r="E2314" s="1056"/>
      <c r="F2314" s="1056"/>
      <c r="G2314" s="1056"/>
      <c r="H2314" s="1056"/>
      <c r="I2314" s="1056"/>
      <c r="J2314" s="1056"/>
      <c r="K2314" s="1056"/>
      <c r="L2314" s="1056"/>
      <c r="M2314" s="274"/>
      <c r="P2314" s="264"/>
      <c r="Q2314" s="264"/>
      <c r="R2314" s="264"/>
      <c r="S2314" s="264"/>
      <c r="T2314" s="1056"/>
      <c r="U2314" s="1056"/>
      <c r="V2314" s="1056"/>
      <c r="W2314" s="1056"/>
      <c r="X2314" s="1056"/>
      <c r="Y2314" s="1056"/>
      <c r="Z2314" s="1056"/>
      <c r="AA2314" s="1056"/>
      <c r="AB2314" s="1056"/>
      <c r="AC2314" s="1056"/>
      <c r="AD2314" s="1056"/>
      <c r="AE2314" s="1056"/>
      <c r="AF2314" s="264"/>
    </row>
    <row r="2315" spans="1:32" s="268" customFormat="1" ht="15" x14ac:dyDescent="0.25">
      <c r="A2315" s="264"/>
      <c r="B2315" s="264"/>
      <c r="C2315" s="1056"/>
      <c r="D2315" s="1056"/>
      <c r="E2315" s="1056"/>
      <c r="F2315" s="1056"/>
      <c r="G2315" s="1056"/>
      <c r="H2315" s="1056"/>
      <c r="I2315" s="1056"/>
      <c r="J2315" s="1056"/>
      <c r="K2315" s="1056"/>
      <c r="L2315" s="1056"/>
      <c r="M2315" s="274"/>
      <c r="P2315" s="264"/>
      <c r="Q2315" s="264"/>
      <c r="R2315" s="264"/>
      <c r="S2315" s="264"/>
      <c r="T2315" s="1056"/>
      <c r="U2315" s="1056"/>
      <c r="V2315" s="1056"/>
      <c r="W2315" s="1056"/>
      <c r="X2315" s="1056"/>
      <c r="Y2315" s="1056"/>
      <c r="Z2315" s="1056"/>
      <c r="AA2315" s="1056"/>
      <c r="AB2315" s="1056"/>
      <c r="AC2315" s="1056"/>
      <c r="AD2315" s="1056"/>
      <c r="AE2315" s="1056"/>
      <c r="AF2315" s="264"/>
    </row>
    <row r="2316" spans="1:32" s="268" customFormat="1" ht="15" x14ac:dyDescent="0.25">
      <c r="A2316" s="264"/>
      <c r="B2316" s="264"/>
      <c r="C2316" s="1056"/>
      <c r="D2316" s="1056"/>
      <c r="E2316" s="1056"/>
      <c r="F2316" s="1056"/>
      <c r="G2316" s="1056"/>
      <c r="H2316" s="1056"/>
      <c r="I2316" s="1056"/>
      <c r="J2316" s="1056"/>
      <c r="K2316" s="1056"/>
      <c r="L2316" s="1056"/>
      <c r="M2316" s="274"/>
      <c r="P2316" s="264"/>
      <c r="Q2316" s="264"/>
      <c r="R2316" s="264"/>
      <c r="S2316" s="264"/>
      <c r="T2316" s="1056"/>
      <c r="U2316" s="1056"/>
      <c r="V2316" s="1056"/>
      <c r="W2316" s="1056"/>
      <c r="X2316" s="1056"/>
      <c r="Y2316" s="1056"/>
      <c r="Z2316" s="1056"/>
      <c r="AA2316" s="1056"/>
      <c r="AB2316" s="1056"/>
      <c r="AC2316" s="1056"/>
      <c r="AD2316" s="1056"/>
      <c r="AE2316" s="1056"/>
      <c r="AF2316" s="264"/>
    </row>
    <row r="2317" spans="1:32" s="268" customFormat="1" ht="15" x14ac:dyDescent="0.25">
      <c r="A2317" s="264"/>
      <c r="B2317" s="264"/>
      <c r="C2317" s="1056"/>
      <c r="D2317" s="1056"/>
      <c r="E2317" s="1056"/>
      <c r="F2317" s="1056"/>
      <c r="G2317" s="1056"/>
      <c r="H2317" s="1056"/>
      <c r="I2317" s="1056"/>
      <c r="J2317" s="1056"/>
      <c r="K2317" s="1056"/>
      <c r="L2317" s="1056"/>
      <c r="M2317" s="274"/>
      <c r="P2317" s="264"/>
      <c r="Q2317" s="264"/>
      <c r="R2317" s="264"/>
      <c r="S2317" s="264"/>
      <c r="T2317" s="1056"/>
      <c r="U2317" s="1056"/>
      <c r="V2317" s="1056"/>
      <c r="W2317" s="1056"/>
      <c r="X2317" s="1056"/>
      <c r="Y2317" s="1056"/>
      <c r="Z2317" s="1056"/>
      <c r="AA2317" s="1056"/>
      <c r="AB2317" s="1056"/>
      <c r="AC2317" s="1056"/>
      <c r="AD2317" s="1056"/>
      <c r="AE2317" s="1056"/>
      <c r="AF2317" s="264"/>
    </row>
    <row r="2318" spans="1:32" s="268" customFormat="1" ht="15" x14ac:dyDescent="0.25">
      <c r="A2318" s="264"/>
      <c r="B2318" s="264"/>
      <c r="C2318" s="1056"/>
      <c r="D2318" s="1056"/>
      <c r="E2318" s="1056"/>
      <c r="F2318" s="1056"/>
      <c r="G2318" s="1056"/>
      <c r="H2318" s="1056"/>
      <c r="I2318" s="1056"/>
      <c r="J2318" s="1056"/>
      <c r="K2318" s="1056"/>
      <c r="L2318" s="1056"/>
      <c r="M2318" s="274"/>
      <c r="P2318" s="264"/>
      <c r="Q2318" s="264"/>
      <c r="R2318" s="264"/>
      <c r="S2318" s="264"/>
      <c r="T2318" s="1056"/>
      <c r="U2318" s="1056"/>
      <c r="V2318" s="1056"/>
      <c r="W2318" s="1056"/>
      <c r="X2318" s="1056"/>
      <c r="Y2318" s="1056"/>
      <c r="Z2318" s="1056"/>
      <c r="AA2318" s="1056"/>
      <c r="AB2318" s="1056"/>
      <c r="AC2318" s="1056"/>
      <c r="AD2318" s="1056"/>
      <c r="AE2318" s="1056"/>
      <c r="AF2318" s="264"/>
    </row>
    <row r="2319" spans="1:32" s="268" customFormat="1" ht="15" x14ac:dyDescent="0.25">
      <c r="A2319" s="264"/>
      <c r="B2319" s="264"/>
      <c r="C2319" s="1056"/>
      <c r="D2319" s="1056"/>
      <c r="E2319" s="1056"/>
      <c r="F2319" s="1056"/>
      <c r="G2319" s="1056"/>
      <c r="H2319" s="1056"/>
      <c r="I2319" s="1056"/>
      <c r="J2319" s="1056"/>
      <c r="K2319" s="1056"/>
      <c r="L2319" s="1056"/>
      <c r="M2319" s="274"/>
      <c r="P2319" s="264"/>
      <c r="Q2319" s="264"/>
      <c r="R2319" s="264"/>
      <c r="S2319" s="264"/>
      <c r="T2319" s="1056"/>
      <c r="U2319" s="1056"/>
      <c r="V2319" s="1056"/>
      <c r="W2319" s="1056"/>
      <c r="X2319" s="1056"/>
      <c r="Y2319" s="1056"/>
      <c r="Z2319" s="1056"/>
      <c r="AA2319" s="1056"/>
      <c r="AB2319" s="1056"/>
      <c r="AC2319" s="1056"/>
      <c r="AD2319" s="1056"/>
      <c r="AE2319" s="1056"/>
      <c r="AF2319" s="264"/>
    </row>
    <row r="2320" spans="1:32" s="268" customFormat="1" ht="15" x14ac:dyDescent="0.25">
      <c r="A2320" s="264"/>
      <c r="B2320" s="264"/>
      <c r="C2320" s="1056"/>
      <c r="D2320" s="1056"/>
      <c r="E2320" s="1056"/>
      <c r="F2320" s="1056"/>
      <c r="G2320" s="1056"/>
      <c r="H2320" s="1056"/>
      <c r="I2320" s="1056"/>
      <c r="J2320" s="1056"/>
      <c r="K2320" s="1056"/>
      <c r="L2320" s="1056"/>
      <c r="M2320" s="274"/>
      <c r="P2320" s="264"/>
      <c r="Q2320" s="264"/>
      <c r="R2320" s="264"/>
      <c r="S2320" s="264"/>
      <c r="T2320" s="1056"/>
      <c r="U2320" s="1056"/>
      <c r="V2320" s="1056"/>
      <c r="W2320" s="1056"/>
      <c r="X2320" s="1056"/>
      <c r="Y2320" s="1056"/>
      <c r="Z2320" s="1056"/>
      <c r="AA2320" s="1056"/>
      <c r="AB2320" s="1056"/>
      <c r="AC2320" s="1056"/>
      <c r="AD2320" s="1056"/>
      <c r="AE2320" s="1056"/>
      <c r="AF2320" s="264"/>
    </row>
    <row r="2321" spans="1:32" s="268" customFormat="1" ht="15" x14ac:dyDescent="0.25">
      <c r="A2321" s="264"/>
      <c r="B2321" s="264"/>
      <c r="C2321" s="1056"/>
      <c r="D2321" s="1056"/>
      <c r="E2321" s="1056"/>
      <c r="F2321" s="1056"/>
      <c r="G2321" s="1056"/>
      <c r="H2321" s="1056"/>
      <c r="I2321" s="1056"/>
      <c r="J2321" s="1056"/>
      <c r="K2321" s="1056"/>
      <c r="L2321" s="1056"/>
      <c r="M2321" s="274"/>
      <c r="P2321" s="264"/>
      <c r="Q2321" s="264"/>
      <c r="R2321" s="264"/>
      <c r="S2321" s="264"/>
      <c r="T2321" s="1056"/>
      <c r="U2321" s="1056"/>
      <c r="V2321" s="1056"/>
      <c r="W2321" s="1056"/>
      <c r="X2321" s="1056"/>
      <c r="Y2321" s="1056"/>
      <c r="Z2321" s="1056"/>
      <c r="AA2321" s="1056"/>
      <c r="AB2321" s="1056"/>
      <c r="AC2321" s="1056"/>
      <c r="AD2321" s="1056"/>
      <c r="AE2321" s="1056"/>
      <c r="AF2321" s="264"/>
    </row>
    <row r="2322" spans="1:32" s="268" customFormat="1" ht="15" x14ac:dyDescent="0.25">
      <c r="A2322" s="264"/>
      <c r="B2322" s="264"/>
      <c r="C2322" s="1056"/>
      <c r="D2322" s="1056"/>
      <c r="E2322" s="1056"/>
      <c r="F2322" s="1056"/>
      <c r="G2322" s="1056"/>
      <c r="H2322" s="1056"/>
      <c r="I2322" s="1056"/>
      <c r="J2322" s="1056"/>
      <c r="K2322" s="1056"/>
      <c r="L2322" s="1056"/>
      <c r="M2322" s="274"/>
      <c r="P2322" s="264"/>
      <c r="Q2322" s="264"/>
      <c r="R2322" s="264"/>
      <c r="S2322" s="264"/>
      <c r="T2322" s="1056"/>
      <c r="U2322" s="1056"/>
      <c r="V2322" s="1056"/>
      <c r="W2322" s="1056"/>
      <c r="X2322" s="1056"/>
      <c r="Y2322" s="1056"/>
      <c r="Z2322" s="1056"/>
      <c r="AA2322" s="1056"/>
      <c r="AB2322" s="1056"/>
      <c r="AC2322" s="1056"/>
      <c r="AD2322" s="1056"/>
      <c r="AE2322" s="1056"/>
      <c r="AF2322" s="264"/>
    </row>
    <row r="2323" spans="1:32" s="268" customFormat="1" ht="15" x14ac:dyDescent="0.25">
      <c r="A2323" s="264"/>
      <c r="B2323" s="264"/>
      <c r="C2323" s="1056"/>
      <c r="D2323" s="1056"/>
      <c r="E2323" s="1056"/>
      <c r="F2323" s="1056"/>
      <c r="G2323" s="1056"/>
      <c r="H2323" s="1056"/>
      <c r="I2323" s="1056"/>
      <c r="J2323" s="1056"/>
      <c r="K2323" s="1056"/>
      <c r="L2323" s="1056"/>
      <c r="M2323" s="274"/>
      <c r="P2323" s="264"/>
      <c r="Q2323" s="264"/>
      <c r="R2323" s="264"/>
      <c r="S2323" s="264"/>
      <c r="T2323" s="1056"/>
      <c r="U2323" s="1056"/>
      <c r="V2323" s="1056"/>
      <c r="W2323" s="1056"/>
      <c r="X2323" s="1056"/>
      <c r="Y2323" s="1056"/>
      <c r="Z2323" s="1056"/>
      <c r="AA2323" s="1056"/>
      <c r="AB2323" s="1056"/>
      <c r="AC2323" s="1056"/>
      <c r="AD2323" s="1056"/>
      <c r="AE2323" s="1056"/>
      <c r="AF2323" s="264"/>
    </row>
    <row r="2324" spans="1:32" s="268" customFormat="1" ht="15" x14ac:dyDescent="0.25">
      <c r="A2324" s="264"/>
      <c r="B2324" s="264"/>
      <c r="C2324" s="1056"/>
      <c r="D2324" s="1056"/>
      <c r="E2324" s="1056"/>
      <c r="F2324" s="1056"/>
      <c r="G2324" s="1056"/>
      <c r="H2324" s="1056"/>
      <c r="I2324" s="1056"/>
      <c r="J2324" s="1056"/>
      <c r="K2324" s="1056"/>
      <c r="L2324" s="1056"/>
      <c r="M2324" s="274"/>
      <c r="P2324" s="264"/>
      <c r="Q2324" s="264"/>
      <c r="R2324" s="264"/>
      <c r="S2324" s="264"/>
      <c r="T2324" s="1056"/>
      <c r="U2324" s="1056"/>
      <c r="V2324" s="1056"/>
      <c r="W2324" s="1056"/>
      <c r="X2324" s="1056"/>
      <c r="Y2324" s="1056"/>
      <c r="Z2324" s="1056"/>
      <c r="AA2324" s="1056"/>
      <c r="AB2324" s="1056"/>
      <c r="AC2324" s="1056"/>
      <c r="AD2324" s="1056"/>
      <c r="AE2324" s="1056"/>
      <c r="AF2324" s="264"/>
    </row>
    <row r="2325" spans="1:32" s="268" customFormat="1" ht="15" x14ac:dyDescent="0.25">
      <c r="A2325" s="264"/>
      <c r="B2325" s="264"/>
      <c r="C2325" s="1056"/>
      <c r="D2325" s="1056"/>
      <c r="E2325" s="1056"/>
      <c r="F2325" s="1056"/>
      <c r="G2325" s="1056"/>
      <c r="H2325" s="1056"/>
      <c r="I2325" s="1056"/>
      <c r="J2325" s="1056"/>
      <c r="K2325" s="1056"/>
      <c r="L2325" s="1056"/>
      <c r="M2325" s="274"/>
      <c r="P2325" s="264"/>
      <c r="Q2325" s="264"/>
      <c r="R2325" s="264"/>
      <c r="S2325" s="264"/>
      <c r="T2325" s="1056"/>
      <c r="U2325" s="1056"/>
      <c r="V2325" s="1056"/>
      <c r="W2325" s="1056"/>
      <c r="X2325" s="1056"/>
      <c r="Y2325" s="1056"/>
      <c r="Z2325" s="1056"/>
      <c r="AA2325" s="1056"/>
      <c r="AB2325" s="1056"/>
      <c r="AC2325" s="1056"/>
      <c r="AD2325" s="1056"/>
      <c r="AE2325" s="1056"/>
      <c r="AF2325" s="264"/>
    </row>
    <row r="2326" spans="1:32" s="268" customFormat="1" ht="15" x14ac:dyDescent="0.25">
      <c r="A2326" s="264"/>
      <c r="B2326" s="264"/>
      <c r="C2326" s="1056"/>
      <c r="D2326" s="1056"/>
      <c r="E2326" s="1056"/>
      <c r="F2326" s="1056"/>
      <c r="G2326" s="1056"/>
      <c r="H2326" s="1056"/>
      <c r="I2326" s="1056"/>
      <c r="J2326" s="1056"/>
      <c r="K2326" s="1056"/>
      <c r="L2326" s="1056"/>
      <c r="M2326" s="274"/>
      <c r="P2326" s="264"/>
      <c r="Q2326" s="264"/>
      <c r="R2326" s="264"/>
      <c r="S2326" s="264"/>
      <c r="T2326" s="1056"/>
      <c r="U2326" s="1056"/>
      <c r="V2326" s="1056"/>
      <c r="W2326" s="1056"/>
      <c r="X2326" s="1056"/>
      <c r="Y2326" s="1056"/>
      <c r="Z2326" s="1056"/>
      <c r="AA2326" s="1056"/>
      <c r="AB2326" s="1056"/>
      <c r="AC2326" s="1056"/>
      <c r="AD2326" s="1056"/>
      <c r="AE2326" s="1056"/>
      <c r="AF2326" s="264"/>
    </row>
    <row r="2327" spans="1:32" s="268" customFormat="1" ht="15" x14ac:dyDescent="0.25">
      <c r="A2327" s="264"/>
      <c r="B2327" s="264"/>
      <c r="C2327" s="1056"/>
      <c r="D2327" s="1056"/>
      <c r="E2327" s="1056"/>
      <c r="F2327" s="1056"/>
      <c r="G2327" s="1056"/>
      <c r="H2327" s="1056"/>
      <c r="I2327" s="1056"/>
      <c r="J2327" s="1056"/>
      <c r="K2327" s="1056"/>
      <c r="L2327" s="1056"/>
      <c r="M2327" s="274"/>
      <c r="P2327" s="264"/>
      <c r="Q2327" s="264"/>
      <c r="R2327" s="264"/>
      <c r="S2327" s="264"/>
      <c r="T2327" s="1056"/>
      <c r="U2327" s="1056"/>
      <c r="V2327" s="1056"/>
      <c r="W2327" s="1056"/>
      <c r="X2327" s="1056"/>
      <c r="Y2327" s="1056"/>
      <c r="Z2327" s="1056"/>
      <c r="AA2327" s="1056"/>
      <c r="AB2327" s="1056"/>
      <c r="AC2327" s="1056"/>
      <c r="AD2327" s="1056"/>
      <c r="AE2327" s="1056"/>
      <c r="AF2327" s="264"/>
    </row>
    <row r="2328" spans="1:32" s="268" customFormat="1" ht="15" x14ac:dyDescent="0.25">
      <c r="A2328" s="264"/>
      <c r="B2328" s="264"/>
      <c r="C2328" s="1056"/>
      <c r="D2328" s="1056"/>
      <c r="E2328" s="1056"/>
      <c r="F2328" s="1056"/>
      <c r="G2328" s="1056"/>
      <c r="H2328" s="1056"/>
      <c r="I2328" s="1056"/>
      <c r="J2328" s="1056"/>
      <c r="K2328" s="1056"/>
      <c r="L2328" s="1056"/>
      <c r="M2328" s="274"/>
      <c r="P2328" s="264"/>
      <c r="Q2328" s="264"/>
      <c r="R2328" s="264"/>
      <c r="S2328" s="264"/>
      <c r="T2328" s="1056"/>
      <c r="U2328" s="1056"/>
      <c r="V2328" s="1056"/>
      <c r="W2328" s="1056"/>
      <c r="X2328" s="1056"/>
      <c r="Y2328" s="1056"/>
      <c r="Z2328" s="1056"/>
      <c r="AA2328" s="1056"/>
      <c r="AB2328" s="1056"/>
      <c r="AC2328" s="1056"/>
      <c r="AD2328" s="1056"/>
      <c r="AE2328" s="1056"/>
      <c r="AF2328" s="264"/>
    </row>
    <row r="2329" spans="1:32" s="268" customFormat="1" ht="15" x14ac:dyDescent="0.25">
      <c r="A2329" s="264"/>
      <c r="B2329" s="264"/>
      <c r="C2329" s="1056"/>
      <c r="D2329" s="1056"/>
      <c r="E2329" s="1056"/>
      <c r="F2329" s="1056"/>
      <c r="G2329" s="1056"/>
      <c r="H2329" s="1056"/>
      <c r="I2329" s="1056"/>
      <c r="J2329" s="1056"/>
      <c r="K2329" s="1056"/>
      <c r="L2329" s="1056"/>
      <c r="M2329" s="274"/>
      <c r="P2329" s="264"/>
      <c r="Q2329" s="264"/>
      <c r="R2329" s="264"/>
      <c r="S2329" s="264"/>
      <c r="T2329" s="1056"/>
      <c r="U2329" s="1056"/>
      <c r="V2329" s="1056"/>
      <c r="W2329" s="1056"/>
      <c r="X2329" s="1056"/>
      <c r="Y2329" s="1056"/>
      <c r="Z2329" s="1056"/>
      <c r="AA2329" s="1056"/>
      <c r="AB2329" s="1056"/>
      <c r="AC2329" s="1056"/>
      <c r="AD2329" s="1056"/>
      <c r="AE2329" s="1056"/>
      <c r="AF2329" s="264"/>
    </row>
    <row r="2330" spans="1:32" s="268" customFormat="1" ht="15" x14ac:dyDescent="0.25">
      <c r="A2330" s="264"/>
      <c r="B2330" s="264"/>
      <c r="C2330" s="1056"/>
      <c r="D2330" s="1056"/>
      <c r="E2330" s="1056"/>
      <c r="F2330" s="1056"/>
      <c r="G2330" s="1056"/>
      <c r="H2330" s="1056"/>
      <c r="I2330" s="1056"/>
      <c r="J2330" s="1056"/>
      <c r="K2330" s="1056"/>
      <c r="L2330" s="1056"/>
      <c r="M2330" s="274"/>
      <c r="P2330" s="264"/>
      <c r="Q2330" s="264"/>
      <c r="R2330" s="264"/>
      <c r="S2330" s="264"/>
      <c r="T2330" s="1056"/>
      <c r="U2330" s="1056"/>
      <c r="V2330" s="1056"/>
      <c r="W2330" s="1056"/>
      <c r="X2330" s="1056"/>
      <c r="Y2330" s="1056"/>
      <c r="Z2330" s="1056"/>
      <c r="AA2330" s="1056"/>
      <c r="AB2330" s="1056"/>
      <c r="AC2330" s="1056"/>
      <c r="AD2330" s="1056"/>
      <c r="AE2330" s="1056"/>
      <c r="AF2330" s="264"/>
    </row>
    <row r="2331" spans="1:32" s="268" customFormat="1" ht="15" x14ac:dyDescent="0.25">
      <c r="A2331" s="264"/>
      <c r="B2331" s="264"/>
      <c r="C2331" s="1056"/>
      <c r="D2331" s="1056"/>
      <c r="E2331" s="1056"/>
      <c r="F2331" s="1056"/>
      <c r="G2331" s="1056"/>
      <c r="H2331" s="1056"/>
      <c r="I2331" s="1056"/>
      <c r="J2331" s="1056"/>
      <c r="K2331" s="1056"/>
      <c r="L2331" s="1056"/>
      <c r="M2331" s="274"/>
      <c r="P2331" s="264"/>
      <c r="Q2331" s="264"/>
      <c r="R2331" s="264"/>
      <c r="S2331" s="264"/>
      <c r="T2331" s="1056"/>
      <c r="U2331" s="1056"/>
      <c r="V2331" s="1056"/>
      <c r="W2331" s="1056"/>
      <c r="X2331" s="1056"/>
      <c r="Y2331" s="1056"/>
      <c r="Z2331" s="1056"/>
      <c r="AA2331" s="1056"/>
      <c r="AB2331" s="1056"/>
      <c r="AC2331" s="1056"/>
      <c r="AD2331" s="1056"/>
      <c r="AE2331" s="1056"/>
      <c r="AF2331" s="264"/>
    </row>
    <row r="2332" spans="1:32" s="268" customFormat="1" ht="15" x14ac:dyDescent="0.25">
      <c r="A2332" s="264"/>
      <c r="B2332" s="264"/>
      <c r="C2332" s="1056"/>
      <c r="D2332" s="1056"/>
      <c r="E2332" s="1056"/>
      <c r="F2332" s="1056"/>
      <c r="G2332" s="1056"/>
      <c r="H2332" s="1056"/>
      <c r="I2332" s="1056"/>
      <c r="J2332" s="1056"/>
      <c r="K2332" s="1056"/>
      <c r="L2332" s="1056"/>
      <c r="M2332" s="274"/>
      <c r="P2332" s="264"/>
      <c r="Q2332" s="264"/>
      <c r="R2332" s="264"/>
      <c r="S2332" s="264"/>
      <c r="T2332" s="1056"/>
      <c r="U2332" s="1056"/>
      <c r="V2332" s="1056"/>
      <c r="W2332" s="1056"/>
      <c r="X2332" s="1056"/>
      <c r="Y2332" s="1056"/>
      <c r="Z2332" s="1056"/>
      <c r="AA2332" s="1056"/>
      <c r="AB2332" s="1056"/>
      <c r="AC2332" s="1056"/>
      <c r="AD2332" s="1056"/>
      <c r="AE2332" s="1056"/>
      <c r="AF2332" s="264"/>
    </row>
    <row r="2333" spans="1:32" s="268" customFormat="1" ht="15" x14ac:dyDescent="0.25">
      <c r="A2333" s="264"/>
      <c r="B2333" s="264"/>
      <c r="C2333" s="1056"/>
      <c r="D2333" s="1056"/>
      <c r="E2333" s="1056"/>
      <c r="F2333" s="1056"/>
      <c r="G2333" s="1056"/>
      <c r="H2333" s="1056"/>
      <c r="I2333" s="1056"/>
      <c r="J2333" s="1056"/>
      <c r="K2333" s="1056"/>
      <c r="L2333" s="1056"/>
      <c r="M2333" s="274"/>
      <c r="P2333" s="264"/>
      <c r="Q2333" s="264"/>
      <c r="R2333" s="264"/>
      <c r="S2333" s="264"/>
      <c r="T2333" s="1056"/>
      <c r="U2333" s="1056"/>
      <c r="V2333" s="1056"/>
      <c r="W2333" s="1056"/>
      <c r="X2333" s="1056"/>
      <c r="Y2333" s="1056"/>
      <c r="Z2333" s="1056"/>
      <c r="AA2333" s="1056"/>
      <c r="AB2333" s="1056"/>
      <c r="AC2333" s="1056"/>
      <c r="AD2333" s="1056"/>
      <c r="AE2333" s="1056"/>
      <c r="AF2333" s="264"/>
    </row>
    <row r="2334" spans="1:32" s="268" customFormat="1" ht="15" x14ac:dyDescent="0.25">
      <c r="A2334" s="264"/>
      <c r="B2334" s="264"/>
      <c r="C2334" s="1056"/>
      <c r="D2334" s="1056"/>
      <c r="E2334" s="1056"/>
      <c r="F2334" s="1056"/>
      <c r="G2334" s="1056"/>
      <c r="H2334" s="1056"/>
      <c r="I2334" s="1056"/>
      <c r="J2334" s="1056"/>
      <c r="K2334" s="1056"/>
      <c r="L2334" s="1056"/>
      <c r="M2334" s="274"/>
      <c r="P2334" s="264"/>
      <c r="Q2334" s="264"/>
      <c r="R2334" s="264"/>
      <c r="S2334" s="264"/>
      <c r="T2334" s="1056"/>
      <c r="U2334" s="1056"/>
      <c r="V2334" s="1056"/>
      <c r="W2334" s="1056"/>
      <c r="X2334" s="1056"/>
      <c r="Y2334" s="1056"/>
      <c r="Z2334" s="1056"/>
      <c r="AA2334" s="1056"/>
      <c r="AB2334" s="1056"/>
      <c r="AC2334" s="1056"/>
      <c r="AD2334" s="1056"/>
      <c r="AE2334" s="1056"/>
      <c r="AF2334" s="264"/>
    </row>
    <row r="2335" spans="1:32" s="268" customFormat="1" ht="15" x14ac:dyDescent="0.25">
      <c r="A2335" s="264"/>
      <c r="B2335" s="264"/>
      <c r="C2335" s="1056"/>
      <c r="D2335" s="1056"/>
      <c r="E2335" s="1056"/>
      <c r="F2335" s="1056"/>
      <c r="G2335" s="1056"/>
      <c r="H2335" s="1056"/>
      <c r="I2335" s="1056"/>
      <c r="J2335" s="1056"/>
      <c r="K2335" s="1056"/>
      <c r="L2335" s="1056"/>
      <c r="M2335" s="274"/>
      <c r="P2335" s="264"/>
      <c r="Q2335" s="264"/>
      <c r="R2335" s="264"/>
      <c r="S2335" s="264"/>
      <c r="T2335" s="1056"/>
      <c r="U2335" s="1056"/>
      <c r="V2335" s="1056"/>
      <c r="W2335" s="1056"/>
      <c r="X2335" s="1056"/>
      <c r="Y2335" s="1056"/>
      <c r="Z2335" s="1056"/>
      <c r="AA2335" s="1056"/>
      <c r="AB2335" s="1056"/>
      <c r="AC2335" s="1056"/>
      <c r="AD2335" s="1056"/>
      <c r="AE2335" s="1056"/>
      <c r="AF2335" s="264"/>
    </row>
    <row r="2336" spans="1:32" s="268" customFormat="1" ht="15" x14ac:dyDescent="0.25">
      <c r="A2336" s="264"/>
      <c r="B2336" s="264"/>
      <c r="C2336" s="1056"/>
      <c r="D2336" s="1056"/>
      <c r="E2336" s="1056"/>
      <c r="F2336" s="1056"/>
      <c r="G2336" s="1056"/>
      <c r="H2336" s="1056"/>
      <c r="I2336" s="1056"/>
      <c r="J2336" s="1056"/>
      <c r="K2336" s="1056"/>
      <c r="L2336" s="1056"/>
      <c r="M2336" s="274"/>
      <c r="P2336" s="264"/>
      <c r="Q2336" s="264"/>
      <c r="R2336" s="264"/>
      <c r="S2336" s="264"/>
      <c r="T2336" s="1056"/>
      <c r="U2336" s="1056"/>
      <c r="V2336" s="1056"/>
      <c r="W2336" s="1056"/>
      <c r="X2336" s="1056"/>
      <c r="Y2336" s="1056"/>
      <c r="Z2336" s="1056"/>
      <c r="AA2336" s="1056"/>
      <c r="AB2336" s="1056"/>
      <c r="AC2336" s="1056"/>
      <c r="AD2336" s="1056"/>
      <c r="AE2336" s="1056"/>
      <c r="AF2336" s="264"/>
    </row>
    <row r="2337" spans="1:32" s="268" customFormat="1" ht="15" x14ac:dyDescent="0.25">
      <c r="A2337" s="264"/>
      <c r="B2337" s="264"/>
      <c r="C2337" s="1056"/>
      <c r="D2337" s="1056"/>
      <c r="E2337" s="1056"/>
      <c r="F2337" s="1056"/>
      <c r="G2337" s="1056"/>
      <c r="H2337" s="1056"/>
      <c r="I2337" s="1056"/>
      <c r="J2337" s="1056"/>
      <c r="K2337" s="1056"/>
      <c r="L2337" s="1056"/>
      <c r="M2337" s="274"/>
      <c r="P2337" s="264"/>
      <c r="Q2337" s="264"/>
      <c r="R2337" s="264"/>
      <c r="S2337" s="264"/>
      <c r="T2337" s="1056"/>
      <c r="U2337" s="1056"/>
      <c r="V2337" s="1056"/>
      <c r="W2337" s="1056"/>
      <c r="X2337" s="1056"/>
      <c r="Y2337" s="1056"/>
      <c r="Z2337" s="1056"/>
      <c r="AA2337" s="1056"/>
      <c r="AB2337" s="1056"/>
      <c r="AC2337" s="1056"/>
      <c r="AD2337" s="1056"/>
      <c r="AE2337" s="1056"/>
      <c r="AF2337" s="264"/>
    </row>
    <row r="2338" spans="1:32" s="268" customFormat="1" ht="15" x14ac:dyDescent="0.25">
      <c r="A2338" s="264"/>
      <c r="B2338" s="264"/>
      <c r="C2338" s="1056"/>
      <c r="D2338" s="1056"/>
      <c r="E2338" s="1056"/>
      <c r="F2338" s="1056"/>
      <c r="G2338" s="1056"/>
      <c r="H2338" s="1056"/>
      <c r="I2338" s="1056"/>
      <c r="J2338" s="1056"/>
      <c r="K2338" s="1056"/>
      <c r="L2338" s="1056"/>
      <c r="M2338" s="274"/>
      <c r="P2338" s="264"/>
      <c r="Q2338" s="264"/>
      <c r="R2338" s="264"/>
      <c r="S2338" s="264"/>
      <c r="T2338" s="1056"/>
      <c r="U2338" s="1056"/>
      <c r="V2338" s="1056"/>
      <c r="W2338" s="1056"/>
      <c r="X2338" s="1056"/>
      <c r="Y2338" s="1056"/>
      <c r="Z2338" s="1056"/>
      <c r="AA2338" s="1056"/>
      <c r="AB2338" s="1056"/>
      <c r="AC2338" s="1056"/>
      <c r="AD2338" s="1056"/>
      <c r="AE2338" s="1056"/>
      <c r="AF2338" s="264"/>
    </row>
    <row r="2339" spans="1:32" s="268" customFormat="1" ht="15" x14ac:dyDescent="0.25">
      <c r="A2339" s="264"/>
      <c r="B2339" s="264"/>
      <c r="C2339" s="1056"/>
      <c r="D2339" s="1056"/>
      <c r="E2339" s="1056"/>
      <c r="F2339" s="1056"/>
      <c r="G2339" s="1056"/>
      <c r="H2339" s="1056"/>
      <c r="I2339" s="1056"/>
      <c r="J2339" s="1056"/>
      <c r="K2339" s="1056"/>
      <c r="L2339" s="1056"/>
      <c r="M2339" s="274"/>
      <c r="P2339" s="264"/>
      <c r="Q2339" s="264"/>
      <c r="R2339" s="264"/>
      <c r="S2339" s="264"/>
      <c r="T2339" s="1056"/>
      <c r="U2339" s="1056"/>
      <c r="V2339" s="1056"/>
      <c r="W2339" s="1056"/>
      <c r="X2339" s="1056"/>
      <c r="Y2339" s="1056"/>
      <c r="Z2339" s="1056"/>
      <c r="AA2339" s="1056"/>
      <c r="AB2339" s="1056"/>
      <c r="AC2339" s="1056"/>
      <c r="AD2339" s="1056"/>
      <c r="AE2339" s="1056"/>
      <c r="AF2339" s="264"/>
    </row>
    <row r="2340" spans="1:32" s="268" customFormat="1" ht="15" x14ac:dyDescent="0.25">
      <c r="A2340" s="264"/>
      <c r="B2340" s="264"/>
      <c r="C2340" s="1056"/>
      <c r="D2340" s="1056"/>
      <c r="E2340" s="1056"/>
      <c r="F2340" s="1056"/>
      <c r="G2340" s="1056"/>
      <c r="H2340" s="1056"/>
      <c r="I2340" s="1056"/>
      <c r="J2340" s="1056"/>
      <c r="K2340" s="1056"/>
      <c r="L2340" s="1056"/>
      <c r="M2340" s="274"/>
      <c r="P2340" s="264"/>
      <c r="Q2340" s="264"/>
      <c r="R2340" s="264"/>
      <c r="S2340" s="264"/>
      <c r="T2340" s="1056"/>
      <c r="U2340" s="1056"/>
      <c r="V2340" s="1056"/>
      <c r="W2340" s="1056"/>
      <c r="X2340" s="1056"/>
      <c r="Y2340" s="1056"/>
      <c r="Z2340" s="1056"/>
      <c r="AA2340" s="1056"/>
      <c r="AB2340" s="1056"/>
      <c r="AC2340" s="1056"/>
      <c r="AD2340" s="1056"/>
      <c r="AE2340" s="1056"/>
      <c r="AF2340" s="264"/>
    </row>
    <row r="2341" spans="1:32" s="268" customFormat="1" ht="15" x14ac:dyDescent="0.25">
      <c r="A2341" s="264"/>
      <c r="B2341" s="264"/>
      <c r="C2341" s="1056"/>
      <c r="D2341" s="1056"/>
      <c r="E2341" s="1056"/>
      <c r="F2341" s="1056"/>
      <c r="G2341" s="1056"/>
      <c r="H2341" s="1056"/>
      <c r="I2341" s="1056"/>
      <c r="J2341" s="1056"/>
      <c r="K2341" s="1056"/>
      <c r="L2341" s="1056"/>
      <c r="M2341" s="274"/>
      <c r="P2341" s="264"/>
      <c r="Q2341" s="264"/>
      <c r="R2341" s="264"/>
      <c r="S2341" s="264"/>
      <c r="T2341" s="1056"/>
      <c r="U2341" s="1056"/>
      <c r="V2341" s="1056"/>
      <c r="W2341" s="1056"/>
      <c r="X2341" s="1056"/>
      <c r="Y2341" s="1056"/>
      <c r="Z2341" s="1056"/>
      <c r="AA2341" s="1056"/>
      <c r="AB2341" s="1056"/>
      <c r="AC2341" s="1056"/>
      <c r="AD2341" s="1056"/>
      <c r="AE2341" s="1056"/>
      <c r="AF2341" s="264"/>
    </row>
    <row r="2342" spans="1:32" s="268" customFormat="1" ht="15" x14ac:dyDescent="0.25">
      <c r="A2342" s="264"/>
      <c r="B2342" s="264"/>
      <c r="C2342" s="1056"/>
      <c r="D2342" s="1056"/>
      <c r="E2342" s="1056"/>
      <c r="F2342" s="1056"/>
      <c r="G2342" s="1056"/>
      <c r="H2342" s="1056"/>
      <c r="I2342" s="1056"/>
      <c r="J2342" s="1056"/>
      <c r="K2342" s="1056"/>
      <c r="L2342" s="1056"/>
      <c r="M2342" s="274"/>
      <c r="P2342" s="264"/>
      <c r="Q2342" s="264"/>
      <c r="R2342" s="264"/>
      <c r="S2342" s="264"/>
      <c r="T2342" s="1056"/>
      <c r="U2342" s="1056"/>
      <c r="V2342" s="1056"/>
      <c r="W2342" s="1056"/>
      <c r="X2342" s="1056"/>
      <c r="Y2342" s="1056"/>
      <c r="Z2342" s="1056"/>
      <c r="AA2342" s="1056"/>
      <c r="AB2342" s="1056"/>
      <c r="AC2342" s="1056"/>
      <c r="AD2342" s="1056"/>
      <c r="AE2342" s="1056"/>
      <c r="AF2342" s="264"/>
    </row>
    <row r="2343" spans="1:32" s="268" customFormat="1" ht="15" x14ac:dyDescent="0.25">
      <c r="A2343" s="264"/>
      <c r="B2343" s="264"/>
      <c r="C2343" s="1056"/>
      <c r="D2343" s="1056"/>
      <c r="E2343" s="1056"/>
      <c r="F2343" s="1056"/>
      <c r="G2343" s="1056"/>
      <c r="H2343" s="1056"/>
      <c r="I2343" s="1056"/>
      <c r="J2343" s="1056"/>
      <c r="K2343" s="1056"/>
      <c r="L2343" s="1056"/>
      <c r="M2343" s="274"/>
      <c r="P2343" s="264"/>
      <c r="Q2343" s="264"/>
      <c r="R2343" s="264"/>
      <c r="S2343" s="264"/>
      <c r="T2343" s="1056"/>
      <c r="U2343" s="1056"/>
      <c r="V2343" s="1056"/>
      <c r="W2343" s="1056"/>
      <c r="X2343" s="1056"/>
      <c r="Y2343" s="1056"/>
      <c r="Z2343" s="1056"/>
      <c r="AA2343" s="1056"/>
      <c r="AB2343" s="1056"/>
      <c r="AC2343" s="1056"/>
      <c r="AD2343" s="1056"/>
      <c r="AE2343" s="1056"/>
      <c r="AF2343" s="264"/>
    </row>
    <row r="2344" spans="1:32" s="268" customFormat="1" ht="15" x14ac:dyDescent="0.25">
      <c r="A2344" s="264"/>
      <c r="B2344" s="264"/>
      <c r="C2344" s="1056"/>
      <c r="D2344" s="1056"/>
      <c r="E2344" s="1056"/>
      <c r="F2344" s="1056"/>
      <c r="G2344" s="1056"/>
      <c r="H2344" s="1056"/>
      <c r="I2344" s="1056"/>
      <c r="J2344" s="1056"/>
      <c r="K2344" s="1056"/>
      <c r="L2344" s="1056"/>
      <c r="M2344" s="274"/>
      <c r="P2344" s="264"/>
      <c r="Q2344" s="264"/>
      <c r="R2344" s="264"/>
      <c r="S2344" s="264"/>
      <c r="T2344" s="1056"/>
      <c r="U2344" s="1056"/>
      <c r="V2344" s="1056"/>
      <c r="W2344" s="1056"/>
      <c r="X2344" s="1056"/>
      <c r="Y2344" s="1056"/>
      <c r="Z2344" s="1056"/>
      <c r="AA2344" s="1056"/>
      <c r="AB2344" s="1056"/>
      <c r="AC2344" s="1056"/>
      <c r="AD2344" s="1056"/>
      <c r="AE2344" s="1056"/>
      <c r="AF2344" s="264"/>
    </row>
    <row r="2345" spans="1:32" s="268" customFormat="1" ht="15" x14ac:dyDescent="0.25">
      <c r="A2345" s="264"/>
      <c r="B2345" s="264"/>
      <c r="C2345" s="1056"/>
      <c r="D2345" s="1056"/>
      <c r="E2345" s="1056"/>
      <c r="F2345" s="1056"/>
      <c r="G2345" s="1056"/>
      <c r="H2345" s="1056"/>
      <c r="I2345" s="1056"/>
      <c r="J2345" s="1056"/>
      <c r="K2345" s="1056"/>
      <c r="L2345" s="1056"/>
      <c r="M2345" s="274"/>
      <c r="P2345" s="264"/>
      <c r="Q2345" s="264"/>
      <c r="R2345" s="264"/>
      <c r="S2345" s="264"/>
      <c r="T2345" s="1056"/>
      <c r="U2345" s="1056"/>
      <c r="V2345" s="1056"/>
      <c r="W2345" s="1056"/>
      <c r="X2345" s="1056"/>
      <c r="Y2345" s="1056"/>
      <c r="Z2345" s="1056"/>
      <c r="AA2345" s="1056"/>
      <c r="AB2345" s="1056"/>
      <c r="AC2345" s="1056"/>
      <c r="AD2345" s="1056"/>
      <c r="AE2345" s="1056"/>
      <c r="AF2345" s="264"/>
    </row>
    <row r="2346" spans="1:32" s="268" customFormat="1" ht="15" x14ac:dyDescent="0.25">
      <c r="A2346" s="264"/>
      <c r="B2346" s="264"/>
      <c r="C2346" s="1056"/>
      <c r="D2346" s="1056"/>
      <c r="E2346" s="1056"/>
      <c r="F2346" s="1056"/>
      <c r="G2346" s="1056"/>
      <c r="H2346" s="1056"/>
      <c r="I2346" s="1056"/>
      <c r="J2346" s="1056"/>
      <c r="K2346" s="1056"/>
      <c r="L2346" s="1056"/>
      <c r="M2346" s="274"/>
      <c r="P2346" s="264"/>
      <c r="Q2346" s="264"/>
      <c r="R2346" s="264"/>
      <c r="S2346" s="264"/>
      <c r="T2346" s="1056"/>
      <c r="U2346" s="1056"/>
      <c r="V2346" s="1056"/>
      <c r="W2346" s="1056"/>
      <c r="X2346" s="1056"/>
      <c r="Y2346" s="1056"/>
      <c r="Z2346" s="1056"/>
      <c r="AA2346" s="1056"/>
      <c r="AB2346" s="1056"/>
      <c r="AC2346" s="1056"/>
      <c r="AD2346" s="1056"/>
      <c r="AE2346" s="1056"/>
      <c r="AF2346" s="264"/>
    </row>
    <row r="2347" spans="1:32" s="268" customFormat="1" ht="15" x14ac:dyDescent="0.25">
      <c r="A2347" s="264"/>
      <c r="B2347" s="264"/>
      <c r="C2347" s="1056"/>
      <c r="D2347" s="1056"/>
      <c r="E2347" s="1056"/>
      <c r="F2347" s="1056"/>
      <c r="G2347" s="1056"/>
      <c r="H2347" s="1056"/>
      <c r="I2347" s="1056"/>
      <c r="J2347" s="1056"/>
      <c r="K2347" s="1056"/>
      <c r="L2347" s="1056"/>
      <c r="M2347" s="274"/>
      <c r="P2347" s="264"/>
      <c r="Q2347" s="264"/>
      <c r="R2347" s="264"/>
      <c r="S2347" s="264"/>
      <c r="T2347" s="1056"/>
      <c r="U2347" s="1056"/>
      <c r="V2347" s="1056"/>
      <c r="W2347" s="1056"/>
      <c r="X2347" s="1056"/>
      <c r="Y2347" s="1056"/>
      <c r="Z2347" s="1056"/>
      <c r="AA2347" s="1056"/>
      <c r="AB2347" s="1056"/>
      <c r="AC2347" s="1056"/>
      <c r="AD2347" s="1056"/>
      <c r="AE2347" s="1056"/>
      <c r="AF2347" s="264"/>
    </row>
    <row r="2348" spans="1:32" s="268" customFormat="1" ht="15" x14ac:dyDescent="0.25">
      <c r="A2348" s="264"/>
      <c r="B2348" s="264"/>
      <c r="C2348" s="1056"/>
      <c r="D2348" s="1056"/>
      <c r="E2348" s="1056"/>
      <c r="F2348" s="1056"/>
      <c r="G2348" s="1056"/>
      <c r="H2348" s="1056"/>
      <c r="I2348" s="1056"/>
      <c r="J2348" s="1056"/>
      <c r="K2348" s="1056"/>
      <c r="L2348" s="1056"/>
      <c r="M2348" s="274"/>
      <c r="P2348" s="264"/>
      <c r="Q2348" s="264"/>
      <c r="R2348" s="264"/>
      <c r="S2348" s="264"/>
      <c r="T2348" s="1056"/>
      <c r="U2348" s="1056"/>
      <c r="V2348" s="1056"/>
      <c r="W2348" s="1056"/>
      <c r="X2348" s="1056"/>
      <c r="Y2348" s="1056"/>
      <c r="Z2348" s="1056"/>
      <c r="AA2348" s="1056"/>
      <c r="AB2348" s="1056"/>
      <c r="AC2348" s="1056"/>
      <c r="AD2348" s="1056"/>
      <c r="AE2348" s="1056"/>
      <c r="AF2348" s="264"/>
    </row>
    <row r="2349" spans="1:32" s="268" customFormat="1" ht="15" x14ac:dyDescent="0.25">
      <c r="A2349" s="264"/>
      <c r="B2349" s="264"/>
      <c r="C2349" s="1056"/>
      <c r="D2349" s="1056"/>
      <c r="E2349" s="1056"/>
      <c r="F2349" s="1056"/>
      <c r="G2349" s="1056"/>
      <c r="H2349" s="1056"/>
      <c r="I2349" s="1056"/>
      <c r="J2349" s="1056"/>
      <c r="K2349" s="1056"/>
      <c r="L2349" s="1056"/>
      <c r="M2349" s="274"/>
      <c r="P2349" s="264"/>
      <c r="Q2349" s="264"/>
      <c r="R2349" s="264"/>
      <c r="S2349" s="264"/>
      <c r="T2349" s="1056"/>
      <c r="U2349" s="1056"/>
      <c r="V2349" s="1056"/>
      <c r="W2349" s="1056"/>
      <c r="X2349" s="1056"/>
      <c r="Y2349" s="1056"/>
      <c r="Z2349" s="1056"/>
      <c r="AA2349" s="1056"/>
      <c r="AB2349" s="1056"/>
      <c r="AC2349" s="1056"/>
      <c r="AD2349" s="1056"/>
      <c r="AE2349" s="1056"/>
      <c r="AF2349" s="264"/>
    </row>
    <row r="2350" spans="1:32" s="268" customFormat="1" ht="15" x14ac:dyDescent="0.25">
      <c r="A2350" s="264"/>
      <c r="B2350" s="264"/>
      <c r="C2350" s="1056"/>
      <c r="D2350" s="1056"/>
      <c r="E2350" s="1056"/>
      <c r="F2350" s="1056"/>
      <c r="G2350" s="1056"/>
      <c r="H2350" s="1056"/>
      <c r="I2350" s="1056"/>
      <c r="J2350" s="1056"/>
      <c r="K2350" s="1056"/>
      <c r="L2350" s="1056"/>
      <c r="M2350" s="274"/>
      <c r="P2350" s="264"/>
      <c r="Q2350" s="264"/>
      <c r="R2350" s="264"/>
      <c r="S2350" s="264"/>
      <c r="T2350" s="1056"/>
      <c r="U2350" s="1056"/>
      <c r="V2350" s="1056"/>
      <c r="W2350" s="1056"/>
      <c r="X2350" s="1056"/>
      <c r="Y2350" s="1056"/>
      <c r="Z2350" s="1056"/>
      <c r="AA2350" s="1056"/>
      <c r="AB2350" s="1056"/>
      <c r="AC2350" s="1056"/>
      <c r="AD2350" s="1056"/>
      <c r="AE2350" s="1056"/>
      <c r="AF2350" s="264"/>
    </row>
    <row r="2351" spans="1:32" s="268" customFormat="1" ht="15" x14ac:dyDescent="0.25">
      <c r="A2351" s="264"/>
      <c r="B2351" s="264"/>
      <c r="C2351" s="1056"/>
      <c r="D2351" s="1056"/>
      <c r="E2351" s="1056"/>
      <c r="F2351" s="1056"/>
      <c r="G2351" s="1056"/>
      <c r="H2351" s="1056"/>
      <c r="I2351" s="1056"/>
      <c r="J2351" s="1056"/>
      <c r="K2351" s="1056"/>
      <c r="L2351" s="1056"/>
      <c r="M2351" s="274"/>
      <c r="P2351" s="264"/>
      <c r="Q2351" s="264"/>
      <c r="R2351" s="264"/>
      <c r="S2351" s="264"/>
      <c r="T2351" s="1056"/>
      <c r="U2351" s="1056"/>
      <c r="V2351" s="1056"/>
      <c r="W2351" s="1056"/>
      <c r="X2351" s="1056"/>
      <c r="Y2351" s="1056"/>
      <c r="Z2351" s="1056"/>
      <c r="AA2351" s="1056"/>
      <c r="AB2351" s="1056"/>
      <c r="AC2351" s="1056"/>
      <c r="AD2351" s="1056"/>
      <c r="AE2351" s="1056"/>
      <c r="AF2351" s="264"/>
    </row>
    <row r="2352" spans="1:32" s="268" customFormat="1" ht="15" x14ac:dyDescent="0.25">
      <c r="A2352" s="264"/>
      <c r="B2352" s="264"/>
      <c r="C2352" s="1056"/>
      <c r="D2352" s="1056"/>
      <c r="E2352" s="1056"/>
      <c r="F2352" s="1056"/>
      <c r="G2352" s="1056"/>
      <c r="H2352" s="1056"/>
      <c r="I2352" s="1056"/>
      <c r="J2352" s="1056"/>
      <c r="K2352" s="1056"/>
      <c r="L2352" s="1056"/>
      <c r="M2352" s="274"/>
      <c r="P2352" s="264"/>
      <c r="Q2352" s="264"/>
      <c r="R2352" s="264"/>
      <c r="S2352" s="264"/>
      <c r="T2352" s="1056"/>
      <c r="U2352" s="1056"/>
      <c r="V2352" s="1056"/>
      <c r="W2352" s="1056"/>
      <c r="X2352" s="1056"/>
      <c r="Y2352" s="1056"/>
      <c r="Z2352" s="1056"/>
      <c r="AA2352" s="1056"/>
      <c r="AB2352" s="1056"/>
      <c r="AC2352" s="1056"/>
      <c r="AD2352" s="1056"/>
      <c r="AE2352" s="1056"/>
      <c r="AF2352" s="264"/>
    </row>
    <row r="2353" spans="1:32" s="268" customFormat="1" ht="15" x14ac:dyDescent="0.25">
      <c r="A2353" s="264"/>
      <c r="B2353" s="264"/>
      <c r="C2353" s="1056"/>
      <c r="D2353" s="1056"/>
      <c r="E2353" s="1056"/>
      <c r="F2353" s="1056"/>
      <c r="G2353" s="1056"/>
      <c r="H2353" s="1056"/>
      <c r="I2353" s="1056"/>
      <c r="J2353" s="1056"/>
      <c r="K2353" s="1056"/>
      <c r="L2353" s="1056"/>
      <c r="M2353" s="274"/>
      <c r="P2353" s="264"/>
      <c r="Q2353" s="264"/>
      <c r="R2353" s="264"/>
      <c r="S2353" s="264"/>
      <c r="T2353" s="1056"/>
      <c r="U2353" s="1056"/>
      <c r="V2353" s="1056"/>
      <c r="W2353" s="1056"/>
      <c r="X2353" s="1056"/>
      <c r="Y2353" s="1056"/>
      <c r="Z2353" s="1056"/>
      <c r="AA2353" s="1056"/>
      <c r="AB2353" s="1056"/>
      <c r="AC2353" s="1056"/>
      <c r="AD2353" s="1056"/>
      <c r="AE2353" s="1056"/>
      <c r="AF2353" s="264"/>
    </row>
    <row r="2354" spans="1:32" s="268" customFormat="1" ht="15" x14ac:dyDescent="0.25">
      <c r="A2354" s="264"/>
      <c r="B2354" s="264"/>
      <c r="C2354" s="1056"/>
      <c r="D2354" s="1056"/>
      <c r="E2354" s="1056"/>
      <c r="F2354" s="1056"/>
      <c r="G2354" s="1056"/>
      <c r="H2354" s="1056"/>
      <c r="I2354" s="1056"/>
      <c r="J2354" s="1056"/>
      <c r="K2354" s="1056"/>
      <c r="L2354" s="1056"/>
      <c r="M2354" s="274"/>
      <c r="P2354" s="264"/>
      <c r="Q2354" s="264"/>
      <c r="R2354" s="264"/>
      <c r="S2354" s="264"/>
      <c r="T2354" s="1056"/>
      <c r="U2354" s="1056"/>
      <c r="V2354" s="1056"/>
      <c r="W2354" s="1056"/>
      <c r="X2354" s="1056"/>
      <c r="Y2354" s="1056"/>
      <c r="Z2354" s="1056"/>
      <c r="AA2354" s="1056"/>
      <c r="AB2354" s="1056"/>
      <c r="AC2354" s="1056"/>
      <c r="AD2354" s="1056"/>
      <c r="AE2354" s="1056"/>
      <c r="AF2354" s="264"/>
    </row>
    <row r="2355" spans="1:32" s="268" customFormat="1" ht="15" x14ac:dyDescent="0.25">
      <c r="A2355" s="264"/>
      <c r="B2355" s="264"/>
      <c r="C2355" s="1056"/>
      <c r="D2355" s="1056"/>
      <c r="E2355" s="1056"/>
      <c r="F2355" s="1056"/>
      <c r="G2355" s="1056"/>
      <c r="H2355" s="1056"/>
      <c r="I2355" s="1056"/>
      <c r="J2355" s="1056"/>
      <c r="K2355" s="1056"/>
      <c r="L2355" s="1056"/>
      <c r="M2355" s="274"/>
      <c r="P2355" s="264"/>
      <c r="Q2355" s="264"/>
      <c r="R2355" s="264"/>
      <c r="S2355" s="264"/>
      <c r="T2355" s="1056"/>
      <c r="U2355" s="1056"/>
      <c r="V2355" s="1056"/>
      <c r="W2355" s="1056"/>
      <c r="X2355" s="1056"/>
      <c r="Y2355" s="1056"/>
      <c r="Z2355" s="1056"/>
      <c r="AA2355" s="1056"/>
      <c r="AB2355" s="1056"/>
      <c r="AC2355" s="1056"/>
      <c r="AD2355" s="1056"/>
      <c r="AE2355" s="1056"/>
      <c r="AF2355" s="264"/>
    </row>
    <row r="2356" spans="1:32" s="268" customFormat="1" ht="15" x14ac:dyDescent="0.25">
      <c r="A2356" s="264"/>
      <c r="B2356" s="264"/>
      <c r="C2356" s="1056"/>
      <c r="D2356" s="1056"/>
      <c r="E2356" s="1056"/>
      <c r="F2356" s="1056"/>
      <c r="G2356" s="1056"/>
      <c r="H2356" s="1056"/>
      <c r="I2356" s="1056"/>
      <c r="J2356" s="1056"/>
      <c r="K2356" s="1056"/>
      <c r="L2356" s="1056"/>
      <c r="M2356" s="274"/>
      <c r="P2356" s="264"/>
      <c r="Q2356" s="264"/>
      <c r="R2356" s="264"/>
      <c r="S2356" s="264"/>
      <c r="T2356" s="1056"/>
      <c r="U2356" s="1056"/>
      <c r="V2356" s="1056"/>
      <c r="W2356" s="1056"/>
      <c r="X2356" s="1056"/>
      <c r="Y2356" s="1056"/>
      <c r="Z2356" s="1056"/>
      <c r="AA2356" s="1056"/>
      <c r="AB2356" s="1056"/>
      <c r="AC2356" s="1056"/>
      <c r="AD2356" s="1056"/>
      <c r="AE2356" s="1056"/>
      <c r="AF2356" s="264"/>
    </row>
    <row r="2357" spans="1:32" s="268" customFormat="1" ht="15" x14ac:dyDescent="0.25">
      <c r="A2357" s="264"/>
      <c r="B2357" s="264"/>
      <c r="C2357" s="1056"/>
      <c r="D2357" s="1056"/>
      <c r="E2357" s="1056"/>
      <c r="F2357" s="1056"/>
      <c r="G2357" s="1056"/>
      <c r="H2357" s="1056"/>
      <c r="I2357" s="1056"/>
      <c r="J2357" s="1056"/>
      <c r="K2357" s="1056"/>
      <c r="L2357" s="1056"/>
      <c r="M2357" s="274"/>
      <c r="P2357" s="264"/>
      <c r="Q2357" s="264"/>
      <c r="R2357" s="264"/>
      <c r="S2357" s="264"/>
      <c r="T2357" s="1056"/>
      <c r="U2357" s="1056"/>
      <c r="V2357" s="1056"/>
      <c r="W2357" s="1056"/>
      <c r="X2357" s="1056"/>
      <c r="Y2357" s="1056"/>
      <c r="Z2357" s="1056"/>
      <c r="AA2357" s="1056"/>
      <c r="AB2357" s="1056"/>
      <c r="AC2357" s="1056"/>
      <c r="AD2357" s="1056"/>
      <c r="AE2357" s="1056"/>
      <c r="AF2357" s="264"/>
    </row>
    <row r="2358" spans="1:32" s="268" customFormat="1" ht="15" x14ac:dyDescent="0.25">
      <c r="A2358" s="264"/>
      <c r="B2358" s="264"/>
      <c r="C2358" s="1056"/>
      <c r="D2358" s="1056"/>
      <c r="E2358" s="1056"/>
      <c r="F2358" s="1056"/>
      <c r="G2358" s="1056"/>
      <c r="H2358" s="1056"/>
      <c r="I2358" s="1056"/>
      <c r="J2358" s="1056"/>
      <c r="K2358" s="1056"/>
      <c r="L2358" s="1056"/>
      <c r="M2358" s="274"/>
      <c r="P2358" s="264"/>
      <c r="Q2358" s="264"/>
      <c r="R2358" s="264"/>
      <c r="S2358" s="264"/>
      <c r="T2358" s="1056"/>
      <c r="U2358" s="1056"/>
      <c r="V2358" s="1056"/>
      <c r="W2358" s="1056"/>
      <c r="X2358" s="1056"/>
      <c r="Y2358" s="1056"/>
      <c r="Z2358" s="1056"/>
      <c r="AA2358" s="1056"/>
      <c r="AB2358" s="1056"/>
      <c r="AC2358" s="1056"/>
      <c r="AD2358" s="1056"/>
      <c r="AE2358" s="1056"/>
      <c r="AF2358" s="264"/>
    </row>
    <row r="2359" spans="1:32" s="268" customFormat="1" ht="15" x14ac:dyDescent="0.25">
      <c r="A2359" s="264"/>
      <c r="B2359" s="264"/>
      <c r="C2359" s="1056"/>
      <c r="D2359" s="1056"/>
      <c r="E2359" s="1056"/>
      <c r="F2359" s="1056"/>
      <c r="G2359" s="1056"/>
      <c r="H2359" s="1056"/>
      <c r="I2359" s="1056"/>
      <c r="J2359" s="1056"/>
      <c r="K2359" s="1056"/>
      <c r="L2359" s="1056"/>
      <c r="M2359" s="274"/>
      <c r="P2359" s="264"/>
      <c r="Q2359" s="264"/>
      <c r="R2359" s="264"/>
      <c r="S2359" s="264"/>
      <c r="T2359" s="1056"/>
      <c r="U2359" s="1056"/>
      <c r="V2359" s="1056"/>
      <c r="W2359" s="1056"/>
      <c r="X2359" s="1056"/>
      <c r="Y2359" s="1056"/>
      <c r="Z2359" s="1056"/>
      <c r="AA2359" s="1056"/>
      <c r="AB2359" s="1056"/>
      <c r="AC2359" s="1056"/>
      <c r="AD2359" s="1056"/>
      <c r="AE2359" s="1056"/>
      <c r="AF2359" s="264"/>
    </row>
    <row r="2360" spans="1:32" s="268" customFormat="1" ht="15" x14ac:dyDescent="0.25">
      <c r="A2360" s="264"/>
      <c r="B2360" s="264"/>
      <c r="C2360" s="1056"/>
      <c r="D2360" s="1056"/>
      <c r="E2360" s="1056"/>
      <c r="F2360" s="1056"/>
      <c r="G2360" s="1056"/>
      <c r="H2360" s="1056"/>
      <c r="I2360" s="1056"/>
      <c r="J2360" s="1056"/>
      <c r="K2360" s="1056"/>
      <c r="L2360" s="1056"/>
      <c r="M2360" s="274"/>
      <c r="P2360" s="264"/>
      <c r="Q2360" s="264"/>
      <c r="R2360" s="264"/>
      <c r="S2360" s="264"/>
      <c r="T2360" s="1056"/>
      <c r="U2360" s="1056"/>
      <c r="V2360" s="1056"/>
      <c r="W2360" s="1056"/>
      <c r="X2360" s="1056"/>
      <c r="Y2360" s="1056"/>
      <c r="Z2360" s="1056"/>
      <c r="AA2360" s="1056"/>
      <c r="AB2360" s="1056"/>
      <c r="AC2360" s="1056"/>
      <c r="AD2360" s="1056"/>
      <c r="AE2360" s="1056"/>
      <c r="AF2360" s="264"/>
    </row>
    <row r="2361" spans="1:32" s="268" customFormat="1" ht="15" x14ac:dyDescent="0.25">
      <c r="A2361" s="264"/>
      <c r="B2361" s="264"/>
      <c r="C2361" s="1056"/>
      <c r="D2361" s="1056"/>
      <c r="E2361" s="1056"/>
      <c r="F2361" s="1056"/>
      <c r="G2361" s="1056"/>
      <c r="H2361" s="1056"/>
      <c r="I2361" s="1056"/>
      <c r="J2361" s="1056"/>
      <c r="K2361" s="1056"/>
      <c r="L2361" s="1056"/>
      <c r="M2361" s="274"/>
      <c r="P2361" s="264"/>
      <c r="Q2361" s="264"/>
      <c r="R2361" s="264"/>
      <c r="S2361" s="264"/>
      <c r="T2361" s="1056"/>
      <c r="U2361" s="1056"/>
      <c r="V2361" s="1056"/>
      <c r="W2361" s="1056"/>
      <c r="X2361" s="1056"/>
      <c r="Y2361" s="1056"/>
      <c r="Z2361" s="1056"/>
      <c r="AA2361" s="1056"/>
      <c r="AB2361" s="1056"/>
      <c r="AC2361" s="1056"/>
      <c r="AD2361" s="1056"/>
      <c r="AE2361" s="1056"/>
      <c r="AF2361" s="264"/>
    </row>
    <row r="2362" spans="1:32" s="268" customFormat="1" ht="15" x14ac:dyDescent="0.25">
      <c r="A2362" s="264"/>
      <c r="B2362" s="264"/>
      <c r="C2362" s="1056"/>
      <c r="D2362" s="1056"/>
      <c r="E2362" s="1056"/>
      <c r="F2362" s="1056"/>
      <c r="G2362" s="1056"/>
      <c r="H2362" s="1056"/>
      <c r="I2362" s="1056"/>
      <c r="J2362" s="1056"/>
      <c r="K2362" s="1056"/>
      <c r="L2362" s="1056"/>
      <c r="M2362" s="274"/>
      <c r="P2362" s="264"/>
      <c r="Q2362" s="264"/>
      <c r="R2362" s="264"/>
      <c r="S2362" s="264"/>
      <c r="T2362" s="1056"/>
      <c r="U2362" s="1056"/>
      <c r="V2362" s="1056"/>
      <c r="W2362" s="1056"/>
      <c r="X2362" s="1056"/>
      <c r="Y2362" s="1056"/>
      <c r="Z2362" s="1056"/>
      <c r="AA2362" s="1056"/>
      <c r="AB2362" s="1056"/>
      <c r="AC2362" s="1056"/>
      <c r="AD2362" s="1056"/>
      <c r="AE2362" s="1056"/>
      <c r="AF2362" s="264"/>
    </row>
    <row r="2363" spans="1:32" s="268" customFormat="1" ht="15" x14ac:dyDescent="0.25">
      <c r="A2363" s="264"/>
      <c r="B2363" s="264"/>
      <c r="C2363" s="1056"/>
      <c r="D2363" s="1056"/>
      <c r="E2363" s="1056"/>
      <c r="F2363" s="1056"/>
      <c r="G2363" s="1056"/>
      <c r="H2363" s="1056"/>
      <c r="I2363" s="1056"/>
      <c r="J2363" s="1056"/>
      <c r="K2363" s="1056"/>
      <c r="L2363" s="1056"/>
      <c r="M2363" s="274"/>
      <c r="P2363" s="264"/>
      <c r="Q2363" s="264"/>
      <c r="R2363" s="264"/>
      <c r="S2363" s="264"/>
      <c r="T2363" s="1056"/>
      <c r="U2363" s="1056"/>
      <c r="V2363" s="1056"/>
      <c r="W2363" s="1056"/>
      <c r="X2363" s="1056"/>
      <c r="Y2363" s="1056"/>
      <c r="Z2363" s="1056"/>
      <c r="AA2363" s="1056"/>
      <c r="AB2363" s="1056"/>
      <c r="AC2363" s="1056"/>
      <c r="AD2363" s="1056"/>
      <c r="AE2363" s="1056"/>
      <c r="AF2363" s="264"/>
    </row>
    <row r="2364" spans="1:32" s="268" customFormat="1" ht="15" x14ac:dyDescent="0.25">
      <c r="A2364" s="264"/>
      <c r="B2364" s="264"/>
      <c r="C2364" s="1056"/>
      <c r="D2364" s="1056"/>
      <c r="E2364" s="1056"/>
      <c r="F2364" s="1056"/>
      <c r="G2364" s="1056"/>
      <c r="H2364" s="1056"/>
      <c r="I2364" s="1056"/>
      <c r="J2364" s="1056"/>
      <c r="K2364" s="1056"/>
      <c r="L2364" s="1056"/>
      <c r="M2364" s="274"/>
      <c r="P2364" s="264"/>
      <c r="Q2364" s="264"/>
      <c r="R2364" s="264"/>
      <c r="S2364" s="264"/>
      <c r="T2364" s="1056"/>
      <c r="U2364" s="1056"/>
      <c r="V2364" s="1056"/>
      <c r="W2364" s="1056"/>
      <c r="X2364" s="1056"/>
      <c r="Y2364" s="1056"/>
      <c r="Z2364" s="1056"/>
      <c r="AA2364" s="1056"/>
      <c r="AB2364" s="1056"/>
      <c r="AC2364" s="1056"/>
      <c r="AD2364" s="1056"/>
      <c r="AE2364" s="1056"/>
      <c r="AF2364" s="264"/>
    </row>
    <row r="2365" spans="1:32" s="268" customFormat="1" ht="15" x14ac:dyDescent="0.25">
      <c r="A2365" s="264"/>
      <c r="B2365" s="264"/>
      <c r="C2365" s="1056"/>
      <c r="D2365" s="1056"/>
      <c r="E2365" s="1056"/>
      <c r="F2365" s="1056"/>
      <c r="G2365" s="1056"/>
      <c r="H2365" s="1056"/>
      <c r="I2365" s="1056"/>
      <c r="J2365" s="1056"/>
      <c r="K2365" s="1056"/>
      <c r="L2365" s="1056"/>
      <c r="M2365" s="274"/>
      <c r="P2365" s="264"/>
      <c r="Q2365" s="264"/>
      <c r="R2365" s="264"/>
      <c r="S2365" s="264"/>
      <c r="T2365" s="1056"/>
      <c r="U2365" s="1056"/>
      <c r="V2365" s="1056"/>
      <c r="W2365" s="1056"/>
      <c r="X2365" s="1056"/>
      <c r="Y2365" s="1056"/>
      <c r="Z2365" s="1056"/>
      <c r="AA2365" s="1056"/>
      <c r="AB2365" s="1056"/>
      <c r="AC2365" s="1056"/>
      <c r="AD2365" s="1056"/>
      <c r="AE2365" s="1056"/>
      <c r="AF2365" s="264"/>
    </row>
    <row r="2366" spans="1:32" s="268" customFormat="1" ht="15" x14ac:dyDescent="0.25">
      <c r="A2366" s="264"/>
      <c r="B2366" s="264"/>
      <c r="C2366" s="1056"/>
      <c r="D2366" s="1056"/>
      <c r="E2366" s="1056"/>
      <c r="F2366" s="1056"/>
      <c r="G2366" s="1056"/>
      <c r="H2366" s="1056"/>
      <c r="I2366" s="1056"/>
      <c r="J2366" s="1056"/>
      <c r="K2366" s="1056"/>
      <c r="L2366" s="1056"/>
      <c r="M2366" s="274"/>
      <c r="P2366" s="264"/>
      <c r="Q2366" s="264"/>
      <c r="R2366" s="264"/>
      <c r="S2366" s="264"/>
      <c r="T2366" s="1056"/>
      <c r="U2366" s="1056"/>
      <c r="V2366" s="1056"/>
      <c r="W2366" s="1056"/>
      <c r="X2366" s="1056"/>
      <c r="Y2366" s="1056"/>
      <c r="Z2366" s="1056"/>
      <c r="AA2366" s="1056"/>
      <c r="AB2366" s="1056"/>
      <c r="AC2366" s="1056"/>
      <c r="AD2366" s="1056"/>
      <c r="AE2366" s="1056"/>
      <c r="AF2366" s="264"/>
    </row>
    <row r="2367" spans="1:32" s="268" customFormat="1" ht="15" x14ac:dyDescent="0.25">
      <c r="A2367" s="264"/>
      <c r="B2367" s="264"/>
      <c r="C2367" s="1056"/>
      <c r="D2367" s="1056"/>
      <c r="E2367" s="1056"/>
      <c r="F2367" s="1056"/>
      <c r="G2367" s="1056"/>
      <c r="H2367" s="1056"/>
      <c r="I2367" s="1056"/>
      <c r="J2367" s="1056"/>
      <c r="K2367" s="1056"/>
      <c r="L2367" s="1056"/>
      <c r="M2367" s="274"/>
      <c r="P2367" s="264"/>
      <c r="Q2367" s="264"/>
      <c r="R2367" s="264"/>
      <c r="S2367" s="264"/>
      <c r="T2367" s="1056"/>
      <c r="U2367" s="1056"/>
      <c r="V2367" s="1056"/>
      <c r="W2367" s="1056"/>
      <c r="X2367" s="1056"/>
      <c r="Y2367" s="1056"/>
      <c r="Z2367" s="1056"/>
      <c r="AA2367" s="1056"/>
      <c r="AB2367" s="1056"/>
      <c r="AC2367" s="1056"/>
      <c r="AD2367" s="1056"/>
      <c r="AE2367" s="1056"/>
      <c r="AF2367" s="264"/>
    </row>
    <row r="2368" spans="1:32" s="268" customFormat="1" ht="15" x14ac:dyDescent="0.25">
      <c r="A2368" s="264"/>
      <c r="B2368" s="264"/>
      <c r="C2368" s="1056"/>
      <c r="D2368" s="1056"/>
      <c r="E2368" s="1056"/>
      <c r="F2368" s="1056"/>
      <c r="G2368" s="1056"/>
      <c r="H2368" s="1056"/>
      <c r="I2368" s="1056"/>
      <c r="J2368" s="1056"/>
      <c r="K2368" s="1056"/>
      <c r="L2368" s="1056"/>
      <c r="M2368" s="274"/>
      <c r="P2368" s="264"/>
      <c r="Q2368" s="264"/>
      <c r="R2368" s="264"/>
      <c r="S2368" s="264"/>
      <c r="T2368" s="1056"/>
      <c r="U2368" s="1056"/>
      <c r="V2368" s="1056"/>
      <c r="W2368" s="1056"/>
      <c r="X2368" s="1056"/>
      <c r="Y2368" s="1056"/>
      <c r="Z2368" s="1056"/>
      <c r="AA2368" s="1056"/>
      <c r="AB2368" s="1056"/>
      <c r="AC2368" s="1056"/>
      <c r="AD2368" s="1056"/>
      <c r="AE2368" s="1056"/>
      <c r="AF2368" s="264"/>
    </row>
    <row r="2369" spans="1:32" s="268" customFormat="1" ht="15" x14ac:dyDescent="0.25">
      <c r="A2369" s="264"/>
      <c r="B2369" s="264"/>
      <c r="C2369" s="1056"/>
      <c r="D2369" s="1056"/>
      <c r="E2369" s="1056"/>
      <c r="F2369" s="1056"/>
      <c r="G2369" s="1056"/>
      <c r="H2369" s="1056"/>
      <c r="I2369" s="1056"/>
      <c r="J2369" s="1056"/>
      <c r="K2369" s="1056"/>
      <c r="L2369" s="1056"/>
      <c r="M2369" s="274"/>
      <c r="P2369" s="264"/>
      <c r="Q2369" s="264"/>
      <c r="R2369" s="264"/>
      <c r="S2369" s="264"/>
      <c r="T2369" s="1056"/>
      <c r="U2369" s="1056"/>
      <c r="V2369" s="1056"/>
      <c r="W2369" s="1056"/>
      <c r="X2369" s="1056"/>
      <c r="Y2369" s="1056"/>
      <c r="Z2369" s="1056"/>
      <c r="AA2369" s="1056"/>
      <c r="AB2369" s="1056"/>
      <c r="AC2369" s="1056"/>
      <c r="AD2369" s="1056"/>
      <c r="AE2369" s="1056"/>
      <c r="AF2369" s="264"/>
    </row>
    <row r="2370" spans="1:32" s="268" customFormat="1" ht="15" x14ac:dyDescent="0.25">
      <c r="A2370" s="264"/>
      <c r="B2370" s="264"/>
      <c r="C2370" s="1056"/>
      <c r="D2370" s="1056"/>
      <c r="E2370" s="1056"/>
      <c r="F2370" s="1056"/>
      <c r="G2370" s="1056"/>
      <c r="H2370" s="1056"/>
      <c r="I2370" s="1056"/>
      <c r="J2370" s="1056"/>
      <c r="K2370" s="1056"/>
      <c r="L2370" s="1056"/>
      <c r="M2370" s="274"/>
      <c r="P2370" s="264"/>
      <c r="Q2370" s="264"/>
      <c r="R2370" s="264"/>
      <c r="S2370" s="264"/>
      <c r="T2370" s="1056"/>
      <c r="U2370" s="1056"/>
      <c r="V2370" s="1056"/>
      <c r="W2370" s="1056"/>
      <c r="X2370" s="1056"/>
      <c r="Y2370" s="1056"/>
      <c r="Z2370" s="1056"/>
      <c r="AA2370" s="1056"/>
      <c r="AB2370" s="1056"/>
      <c r="AC2370" s="1056"/>
      <c r="AD2370" s="1056"/>
      <c r="AE2370" s="1056"/>
      <c r="AF2370" s="264"/>
    </row>
    <row r="2371" spans="1:32" s="268" customFormat="1" ht="15" x14ac:dyDescent="0.25">
      <c r="A2371" s="264"/>
      <c r="B2371" s="264"/>
      <c r="C2371" s="1056"/>
      <c r="D2371" s="1056"/>
      <c r="E2371" s="1056"/>
      <c r="F2371" s="1056"/>
      <c r="G2371" s="1056"/>
      <c r="H2371" s="1056"/>
      <c r="I2371" s="1056"/>
      <c r="J2371" s="1056"/>
      <c r="K2371" s="1056"/>
      <c r="L2371" s="1056"/>
      <c r="M2371" s="274"/>
      <c r="P2371" s="264"/>
      <c r="Q2371" s="264"/>
      <c r="R2371" s="264"/>
      <c r="S2371" s="264"/>
      <c r="T2371" s="1056"/>
      <c r="U2371" s="1056"/>
      <c r="V2371" s="1056"/>
      <c r="W2371" s="1056"/>
      <c r="X2371" s="1056"/>
      <c r="Y2371" s="1056"/>
      <c r="Z2371" s="1056"/>
      <c r="AA2371" s="1056"/>
      <c r="AB2371" s="1056"/>
      <c r="AC2371" s="1056"/>
      <c r="AD2371" s="1056"/>
      <c r="AE2371" s="1056"/>
      <c r="AF2371" s="264"/>
    </row>
    <row r="2372" spans="1:32" s="268" customFormat="1" ht="15" x14ac:dyDescent="0.25">
      <c r="A2372" s="264"/>
      <c r="B2372" s="264"/>
      <c r="C2372" s="1056"/>
      <c r="D2372" s="1056"/>
      <c r="E2372" s="1056"/>
      <c r="F2372" s="1056"/>
      <c r="G2372" s="1056"/>
      <c r="H2372" s="1056"/>
      <c r="I2372" s="1056"/>
      <c r="J2372" s="1056"/>
      <c r="K2372" s="1056"/>
      <c r="L2372" s="1056"/>
      <c r="M2372" s="274"/>
      <c r="P2372" s="264"/>
      <c r="Q2372" s="264"/>
      <c r="R2372" s="264"/>
      <c r="S2372" s="264"/>
      <c r="T2372" s="1056"/>
      <c r="U2372" s="1056"/>
      <c r="V2372" s="1056"/>
      <c r="W2372" s="1056"/>
      <c r="X2372" s="1056"/>
      <c r="Y2372" s="1056"/>
      <c r="Z2372" s="1056"/>
      <c r="AA2372" s="1056"/>
      <c r="AB2372" s="1056"/>
      <c r="AC2372" s="1056"/>
      <c r="AD2372" s="1056"/>
      <c r="AE2372" s="1056"/>
      <c r="AF2372" s="264"/>
    </row>
    <row r="2373" spans="1:32" s="268" customFormat="1" ht="15" x14ac:dyDescent="0.25">
      <c r="A2373" s="264"/>
      <c r="B2373" s="264"/>
      <c r="C2373" s="1056"/>
      <c r="D2373" s="1056"/>
      <c r="E2373" s="1056"/>
      <c r="F2373" s="1056"/>
      <c r="G2373" s="1056"/>
      <c r="H2373" s="1056"/>
      <c r="I2373" s="1056"/>
      <c r="J2373" s="1056"/>
      <c r="K2373" s="1056"/>
      <c r="L2373" s="1056"/>
      <c r="M2373" s="274"/>
      <c r="P2373" s="264"/>
      <c r="Q2373" s="264"/>
      <c r="R2373" s="264"/>
      <c r="S2373" s="264"/>
      <c r="T2373" s="1056"/>
      <c r="U2373" s="1056"/>
      <c r="V2373" s="1056"/>
      <c r="W2373" s="1056"/>
      <c r="X2373" s="1056"/>
      <c r="Y2373" s="1056"/>
      <c r="Z2373" s="1056"/>
      <c r="AA2373" s="1056"/>
      <c r="AB2373" s="1056"/>
      <c r="AC2373" s="1056"/>
      <c r="AD2373" s="1056"/>
      <c r="AE2373" s="1056"/>
      <c r="AF2373" s="264"/>
    </row>
    <row r="2374" spans="1:32" s="268" customFormat="1" ht="15" x14ac:dyDescent="0.25">
      <c r="A2374" s="264"/>
      <c r="B2374" s="264"/>
      <c r="C2374" s="1056"/>
      <c r="D2374" s="1056"/>
      <c r="E2374" s="1056"/>
      <c r="F2374" s="1056"/>
      <c r="G2374" s="1056"/>
      <c r="H2374" s="1056"/>
      <c r="I2374" s="1056"/>
      <c r="J2374" s="1056"/>
      <c r="K2374" s="1056"/>
      <c r="L2374" s="1056"/>
      <c r="M2374" s="274"/>
      <c r="P2374" s="264"/>
      <c r="Q2374" s="264"/>
      <c r="R2374" s="264"/>
      <c r="S2374" s="264"/>
      <c r="T2374" s="1056"/>
      <c r="U2374" s="1056"/>
      <c r="V2374" s="1056"/>
      <c r="W2374" s="1056"/>
      <c r="X2374" s="1056"/>
      <c r="Y2374" s="1056"/>
      <c r="Z2374" s="1056"/>
      <c r="AA2374" s="1056"/>
      <c r="AB2374" s="1056"/>
      <c r="AC2374" s="1056"/>
      <c r="AD2374" s="1056"/>
      <c r="AE2374" s="1056"/>
      <c r="AF2374" s="264"/>
    </row>
    <row r="2375" spans="1:32" s="268" customFormat="1" ht="15" x14ac:dyDescent="0.25">
      <c r="A2375" s="264"/>
      <c r="B2375" s="264"/>
      <c r="C2375" s="1056"/>
      <c r="D2375" s="1056"/>
      <c r="E2375" s="1056"/>
      <c r="F2375" s="1056"/>
      <c r="G2375" s="1056"/>
      <c r="H2375" s="1056"/>
      <c r="I2375" s="1056"/>
      <c r="J2375" s="1056"/>
      <c r="K2375" s="1056"/>
      <c r="L2375" s="1056"/>
      <c r="M2375" s="274"/>
      <c r="P2375" s="264"/>
      <c r="Q2375" s="264"/>
      <c r="R2375" s="264"/>
      <c r="S2375" s="264"/>
      <c r="T2375" s="1056"/>
      <c r="U2375" s="1056"/>
      <c r="V2375" s="1056"/>
      <c r="W2375" s="1056"/>
      <c r="X2375" s="1056"/>
      <c r="Y2375" s="1056"/>
      <c r="Z2375" s="1056"/>
      <c r="AA2375" s="1056"/>
      <c r="AB2375" s="1056"/>
      <c r="AC2375" s="1056"/>
      <c r="AD2375" s="1056"/>
      <c r="AE2375" s="1056"/>
      <c r="AF2375" s="264"/>
    </row>
    <row r="2376" spans="1:32" s="268" customFormat="1" ht="15" x14ac:dyDescent="0.25">
      <c r="A2376" s="264"/>
      <c r="B2376" s="264"/>
      <c r="C2376" s="1056"/>
      <c r="D2376" s="1056"/>
      <c r="E2376" s="1056"/>
      <c r="F2376" s="1056"/>
      <c r="G2376" s="1056"/>
      <c r="H2376" s="1056"/>
      <c r="I2376" s="1056"/>
      <c r="J2376" s="1056"/>
      <c r="K2376" s="1056"/>
      <c r="L2376" s="1056"/>
      <c r="M2376" s="274"/>
      <c r="P2376" s="264"/>
      <c r="Q2376" s="264"/>
      <c r="R2376" s="264"/>
      <c r="S2376" s="264"/>
      <c r="T2376" s="1056"/>
      <c r="U2376" s="1056"/>
      <c r="V2376" s="1056"/>
      <c r="W2376" s="1056"/>
      <c r="X2376" s="1056"/>
      <c r="Y2376" s="1056"/>
      <c r="Z2376" s="1056"/>
      <c r="AA2376" s="1056"/>
      <c r="AB2376" s="1056"/>
      <c r="AC2376" s="1056"/>
      <c r="AD2376" s="1056"/>
      <c r="AE2376" s="1056"/>
      <c r="AF2376" s="264"/>
    </row>
    <row r="2377" spans="1:32" s="268" customFormat="1" ht="15" x14ac:dyDescent="0.25">
      <c r="A2377" s="264"/>
      <c r="B2377" s="264"/>
      <c r="C2377" s="1056"/>
      <c r="D2377" s="1056"/>
      <c r="E2377" s="1056"/>
      <c r="F2377" s="1056"/>
      <c r="G2377" s="1056"/>
      <c r="H2377" s="1056"/>
      <c r="I2377" s="1056"/>
      <c r="J2377" s="1056"/>
      <c r="K2377" s="1056"/>
      <c r="L2377" s="1056"/>
      <c r="M2377" s="274"/>
      <c r="P2377" s="264"/>
      <c r="Q2377" s="264"/>
      <c r="R2377" s="264"/>
      <c r="S2377" s="264"/>
      <c r="T2377" s="1056"/>
      <c r="U2377" s="1056"/>
      <c r="V2377" s="1056"/>
      <c r="W2377" s="1056"/>
      <c r="X2377" s="1056"/>
      <c r="Y2377" s="1056"/>
      <c r="Z2377" s="1056"/>
      <c r="AA2377" s="1056"/>
      <c r="AB2377" s="1056"/>
      <c r="AC2377" s="1056"/>
      <c r="AD2377" s="1056"/>
      <c r="AE2377" s="1056"/>
      <c r="AF2377" s="264"/>
    </row>
    <row r="2378" spans="1:32" s="268" customFormat="1" ht="15" x14ac:dyDescent="0.25">
      <c r="A2378" s="264"/>
      <c r="B2378" s="264"/>
      <c r="C2378" s="1056"/>
      <c r="D2378" s="1056"/>
      <c r="E2378" s="1056"/>
      <c r="F2378" s="1056"/>
      <c r="G2378" s="1056"/>
      <c r="H2378" s="1056"/>
      <c r="I2378" s="1056"/>
      <c r="J2378" s="1056"/>
      <c r="K2378" s="1056"/>
      <c r="L2378" s="1056"/>
      <c r="M2378" s="274"/>
      <c r="P2378" s="264"/>
      <c r="Q2378" s="264"/>
      <c r="R2378" s="264"/>
      <c r="S2378" s="264"/>
      <c r="T2378" s="1056"/>
      <c r="U2378" s="1056"/>
      <c r="V2378" s="1056"/>
      <c r="W2378" s="1056"/>
      <c r="X2378" s="1056"/>
      <c r="Y2378" s="1056"/>
      <c r="Z2378" s="1056"/>
      <c r="AA2378" s="1056"/>
      <c r="AB2378" s="1056"/>
      <c r="AC2378" s="1056"/>
      <c r="AD2378" s="1056"/>
      <c r="AE2378" s="1056"/>
      <c r="AF2378" s="264"/>
    </row>
    <row r="2379" spans="1:32" s="268" customFormat="1" ht="15" x14ac:dyDescent="0.25">
      <c r="A2379" s="264"/>
      <c r="B2379" s="264"/>
      <c r="C2379" s="1056"/>
      <c r="D2379" s="1056"/>
      <c r="E2379" s="1056"/>
      <c r="F2379" s="1056"/>
      <c r="G2379" s="1056"/>
      <c r="H2379" s="1056"/>
      <c r="I2379" s="1056"/>
      <c r="J2379" s="1056"/>
      <c r="K2379" s="1056"/>
      <c r="L2379" s="1056"/>
      <c r="M2379" s="274"/>
      <c r="P2379" s="264"/>
      <c r="Q2379" s="264"/>
      <c r="R2379" s="264"/>
      <c r="S2379" s="264"/>
      <c r="T2379" s="1056"/>
      <c r="U2379" s="1056"/>
      <c r="V2379" s="1056"/>
      <c r="W2379" s="1056"/>
      <c r="X2379" s="1056"/>
      <c r="Y2379" s="1056"/>
      <c r="Z2379" s="1056"/>
      <c r="AA2379" s="1056"/>
      <c r="AB2379" s="1056"/>
      <c r="AC2379" s="1056"/>
      <c r="AD2379" s="1056"/>
      <c r="AE2379" s="1056"/>
      <c r="AF2379" s="264"/>
    </row>
    <row r="2380" spans="1:32" s="268" customFormat="1" ht="15" x14ac:dyDescent="0.25">
      <c r="A2380" s="264"/>
      <c r="B2380" s="264"/>
      <c r="C2380" s="1056"/>
      <c r="D2380" s="1056"/>
      <c r="E2380" s="1056"/>
      <c r="F2380" s="1056"/>
      <c r="G2380" s="1056"/>
      <c r="H2380" s="1056"/>
      <c r="I2380" s="1056"/>
      <c r="J2380" s="1056"/>
      <c r="K2380" s="1056"/>
      <c r="L2380" s="1056"/>
      <c r="M2380" s="274"/>
      <c r="P2380" s="264"/>
      <c r="Q2380" s="264"/>
      <c r="R2380" s="264"/>
      <c r="S2380" s="264"/>
      <c r="T2380" s="1056"/>
      <c r="U2380" s="1056"/>
      <c r="V2380" s="1056"/>
      <c r="W2380" s="1056"/>
      <c r="X2380" s="1056"/>
      <c r="Y2380" s="1056"/>
      <c r="Z2380" s="1056"/>
      <c r="AA2380" s="1056"/>
      <c r="AB2380" s="1056"/>
      <c r="AC2380" s="1056"/>
      <c r="AD2380" s="1056"/>
      <c r="AE2380" s="1056"/>
      <c r="AF2380" s="264"/>
    </row>
    <row r="2381" spans="1:32" s="268" customFormat="1" ht="15" x14ac:dyDescent="0.25">
      <c r="A2381" s="264"/>
      <c r="B2381" s="264"/>
      <c r="C2381" s="1056"/>
      <c r="D2381" s="1056"/>
      <c r="E2381" s="1056"/>
      <c r="F2381" s="1056"/>
      <c r="G2381" s="1056"/>
      <c r="H2381" s="1056"/>
      <c r="I2381" s="1056"/>
      <c r="J2381" s="1056"/>
      <c r="K2381" s="1056"/>
      <c r="L2381" s="1056"/>
      <c r="M2381" s="274"/>
      <c r="P2381" s="264"/>
      <c r="Q2381" s="264"/>
      <c r="R2381" s="264"/>
      <c r="S2381" s="264"/>
      <c r="T2381" s="1056"/>
      <c r="U2381" s="1056"/>
      <c r="V2381" s="1056"/>
      <c r="W2381" s="1056"/>
      <c r="X2381" s="1056"/>
      <c r="Y2381" s="1056"/>
      <c r="Z2381" s="1056"/>
      <c r="AA2381" s="1056"/>
      <c r="AB2381" s="1056"/>
      <c r="AC2381" s="1056"/>
      <c r="AD2381" s="1056"/>
      <c r="AE2381" s="1056"/>
      <c r="AF2381" s="264"/>
    </row>
    <row r="2382" spans="1:32" s="268" customFormat="1" ht="15" x14ac:dyDescent="0.25">
      <c r="A2382" s="264"/>
      <c r="B2382" s="264"/>
      <c r="C2382" s="1056"/>
      <c r="D2382" s="1056"/>
      <c r="E2382" s="1056"/>
      <c r="F2382" s="1056"/>
      <c r="G2382" s="1056"/>
      <c r="H2382" s="1056"/>
      <c r="I2382" s="1056"/>
      <c r="J2382" s="1056"/>
      <c r="K2382" s="1056"/>
      <c r="L2382" s="1056"/>
      <c r="M2382" s="274"/>
      <c r="P2382" s="264"/>
      <c r="Q2382" s="264"/>
      <c r="R2382" s="264"/>
      <c r="S2382" s="264"/>
      <c r="T2382" s="1056"/>
      <c r="U2382" s="1056"/>
      <c r="V2382" s="1056"/>
      <c r="W2382" s="1056"/>
      <c r="X2382" s="1056"/>
      <c r="Y2382" s="1056"/>
      <c r="Z2382" s="1056"/>
      <c r="AA2382" s="1056"/>
      <c r="AB2382" s="1056"/>
      <c r="AC2382" s="1056"/>
      <c r="AD2382" s="1056"/>
      <c r="AE2382" s="1056"/>
      <c r="AF2382" s="264"/>
    </row>
    <row r="2383" spans="1:32" s="268" customFormat="1" ht="15" x14ac:dyDescent="0.25">
      <c r="A2383" s="264"/>
      <c r="B2383" s="264"/>
      <c r="C2383" s="1056"/>
      <c r="D2383" s="1056"/>
      <c r="E2383" s="1056"/>
      <c r="F2383" s="1056"/>
      <c r="G2383" s="1056"/>
      <c r="H2383" s="1056"/>
      <c r="I2383" s="1056"/>
      <c r="J2383" s="1056"/>
      <c r="K2383" s="1056"/>
      <c r="L2383" s="1056"/>
      <c r="M2383" s="274"/>
      <c r="P2383" s="264"/>
      <c r="Q2383" s="264"/>
      <c r="R2383" s="264"/>
      <c r="S2383" s="264"/>
      <c r="T2383" s="1056"/>
      <c r="U2383" s="1056"/>
      <c r="V2383" s="1056"/>
      <c r="W2383" s="1056"/>
      <c r="X2383" s="1056"/>
      <c r="Y2383" s="1056"/>
      <c r="Z2383" s="1056"/>
      <c r="AA2383" s="1056"/>
      <c r="AB2383" s="1056"/>
      <c r="AC2383" s="1056"/>
      <c r="AD2383" s="1056"/>
      <c r="AE2383" s="1056"/>
      <c r="AF2383" s="264"/>
    </row>
    <row r="2384" spans="1:32" s="268" customFormat="1" ht="15" x14ac:dyDescent="0.25">
      <c r="A2384" s="264"/>
      <c r="B2384" s="264"/>
      <c r="C2384" s="1056"/>
      <c r="D2384" s="1056"/>
      <c r="E2384" s="1056"/>
      <c r="F2384" s="1056"/>
      <c r="G2384" s="1056"/>
      <c r="H2384" s="1056"/>
      <c r="I2384" s="1056"/>
      <c r="J2384" s="1056"/>
      <c r="K2384" s="1056"/>
      <c r="L2384" s="1056"/>
      <c r="M2384" s="274"/>
      <c r="P2384" s="264"/>
      <c r="Q2384" s="264"/>
      <c r="R2384" s="264"/>
      <c r="S2384" s="264"/>
      <c r="T2384" s="1056"/>
      <c r="U2384" s="1056"/>
      <c r="V2384" s="1056"/>
      <c r="W2384" s="1056"/>
      <c r="X2384" s="1056"/>
      <c r="Y2384" s="1056"/>
      <c r="Z2384" s="1056"/>
      <c r="AA2384" s="1056"/>
      <c r="AB2384" s="1056"/>
      <c r="AC2384" s="1056"/>
      <c r="AD2384" s="1056"/>
      <c r="AE2384" s="1056"/>
      <c r="AF2384" s="264"/>
    </row>
    <row r="2385" spans="1:32" s="268" customFormat="1" ht="15" x14ac:dyDescent="0.25">
      <c r="A2385" s="264"/>
      <c r="B2385" s="264"/>
      <c r="C2385" s="1056"/>
      <c r="D2385" s="1056"/>
      <c r="E2385" s="1056"/>
      <c r="F2385" s="1056"/>
      <c r="G2385" s="1056"/>
      <c r="H2385" s="1056"/>
      <c r="I2385" s="1056"/>
      <c r="J2385" s="1056"/>
      <c r="K2385" s="1056"/>
      <c r="L2385" s="1056"/>
      <c r="M2385" s="274"/>
      <c r="P2385" s="264"/>
      <c r="Q2385" s="264"/>
      <c r="R2385" s="264"/>
      <c r="S2385" s="264"/>
      <c r="T2385" s="1056"/>
      <c r="U2385" s="1056"/>
      <c r="V2385" s="1056"/>
      <c r="W2385" s="1056"/>
      <c r="X2385" s="1056"/>
      <c r="Y2385" s="1056"/>
      <c r="Z2385" s="1056"/>
      <c r="AA2385" s="1056"/>
      <c r="AB2385" s="1056"/>
      <c r="AC2385" s="1056"/>
      <c r="AD2385" s="1056"/>
      <c r="AE2385" s="1056"/>
      <c r="AF2385" s="264"/>
    </row>
    <row r="2386" spans="1:32" s="268" customFormat="1" ht="15" x14ac:dyDescent="0.25">
      <c r="A2386" s="264"/>
      <c r="B2386" s="264"/>
      <c r="C2386" s="1056"/>
      <c r="D2386" s="1056"/>
      <c r="E2386" s="1056"/>
      <c r="F2386" s="1056"/>
      <c r="G2386" s="1056"/>
      <c r="H2386" s="1056"/>
      <c r="I2386" s="1056"/>
      <c r="J2386" s="1056"/>
      <c r="K2386" s="1056"/>
      <c r="L2386" s="1056"/>
      <c r="M2386" s="274"/>
      <c r="P2386" s="264"/>
      <c r="Q2386" s="264"/>
      <c r="R2386" s="264"/>
      <c r="S2386" s="264"/>
      <c r="T2386" s="1056"/>
      <c r="U2386" s="1056"/>
      <c r="V2386" s="1056"/>
      <c r="W2386" s="1056"/>
      <c r="X2386" s="1056"/>
      <c r="Y2386" s="1056"/>
      <c r="Z2386" s="1056"/>
      <c r="AA2386" s="1056"/>
      <c r="AB2386" s="1056"/>
      <c r="AC2386" s="1056"/>
      <c r="AD2386" s="1056"/>
      <c r="AE2386" s="1056"/>
      <c r="AF2386" s="264"/>
    </row>
    <row r="2387" spans="1:32" s="268" customFormat="1" ht="15" x14ac:dyDescent="0.25">
      <c r="A2387" s="264"/>
      <c r="B2387" s="264"/>
      <c r="C2387" s="1056"/>
      <c r="D2387" s="1056"/>
      <c r="E2387" s="1056"/>
      <c r="F2387" s="1056"/>
      <c r="G2387" s="1056"/>
      <c r="H2387" s="1056"/>
      <c r="I2387" s="1056"/>
      <c r="J2387" s="1056"/>
      <c r="K2387" s="1056"/>
      <c r="L2387" s="1056"/>
      <c r="M2387" s="274"/>
      <c r="P2387" s="264"/>
      <c r="Q2387" s="264"/>
      <c r="R2387" s="264"/>
      <c r="S2387" s="264"/>
      <c r="T2387" s="1056"/>
      <c r="U2387" s="1056"/>
      <c r="V2387" s="1056"/>
      <c r="W2387" s="1056"/>
      <c r="X2387" s="1056"/>
      <c r="Y2387" s="1056"/>
      <c r="Z2387" s="1056"/>
      <c r="AA2387" s="1056"/>
      <c r="AB2387" s="1056"/>
      <c r="AC2387" s="1056"/>
      <c r="AD2387" s="1056"/>
      <c r="AE2387" s="1056"/>
      <c r="AF2387" s="264"/>
    </row>
    <row r="2388" spans="1:32" s="268" customFormat="1" ht="15" x14ac:dyDescent="0.25">
      <c r="A2388" s="264"/>
      <c r="B2388" s="264"/>
      <c r="C2388" s="1056"/>
      <c r="D2388" s="1056"/>
      <c r="E2388" s="1056"/>
      <c r="F2388" s="1056"/>
      <c r="G2388" s="1056"/>
      <c r="H2388" s="1056"/>
      <c r="I2388" s="1056"/>
      <c r="J2388" s="1056"/>
      <c r="K2388" s="1056"/>
      <c r="L2388" s="1056"/>
      <c r="M2388" s="274"/>
      <c r="P2388" s="264"/>
      <c r="Q2388" s="264"/>
      <c r="R2388" s="264"/>
      <c r="S2388" s="264"/>
      <c r="T2388" s="1056"/>
      <c r="U2388" s="1056"/>
      <c r="V2388" s="1056"/>
      <c r="W2388" s="1056"/>
      <c r="X2388" s="1056"/>
      <c r="Y2388" s="1056"/>
      <c r="Z2388" s="1056"/>
      <c r="AA2388" s="1056"/>
      <c r="AB2388" s="1056"/>
      <c r="AC2388" s="1056"/>
      <c r="AD2388" s="1056"/>
      <c r="AE2388" s="1056"/>
      <c r="AF2388" s="264"/>
    </row>
    <row r="2389" spans="1:32" s="268" customFormat="1" ht="15" x14ac:dyDescent="0.25">
      <c r="A2389" s="264"/>
      <c r="B2389" s="264"/>
      <c r="C2389" s="1056"/>
      <c r="D2389" s="1056"/>
      <c r="E2389" s="1056"/>
      <c r="F2389" s="1056"/>
      <c r="G2389" s="1056"/>
      <c r="H2389" s="1056"/>
      <c r="I2389" s="1056"/>
      <c r="J2389" s="1056"/>
      <c r="K2389" s="1056"/>
      <c r="L2389" s="1056"/>
      <c r="M2389" s="274"/>
      <c r="P2389" s="264"/>
      <c r="Q2389" s="264"/>
      <c r="R2389" s="264"/>
      <c r="S2389" s="264"/>
      <c r="T2389" s="1056"/>
      <c r="U2389" s="1056"/>
      <c r="V2389" s="1056"/>
      <c r="W2389" s="1056"/>
      <c r="X2389" s="1056"/>
      <c r="Y2389" s="1056"/>
      <c r="Z2389" s="1056"/>
      <c r="AA2389" s="1056"/>
      <c r="AB2389" s="1056"/>
      <c r="AC2389" s="1056"/>
      <c r="AD2389" s="1056"/>
      <c r="AE2389" s="1056"/>
      <c r="AF2389" s="264"/>
    </row>
    <row r="2390" spans="1:32" s="268" customFormat="1" ht="15" x14ac:dyDescent="0.25">
      <c r="A2390" s="264"/>
      <c r="B2390" s="264"/>
      <c r="C2390" s="1056"/>
      <c r="D2390" s="1056"/>
      <c r="E2390" s="1056"/>
      <c r="F2390" s="1056"/>
      <c r="G2390" s="1056"/>
      <c r="H2390" s="1056"/>
      <c r="I2390" s="1056"/>
      <c r="J2390" s="1056"/>
      <c r="K2390" s="1056"/>
      <c r="L2390" s="1056"/>
      <c r="M2390" s="274"/>
      <c r="P2390" s="264"/>
      <c r="Q2390" s="264"/>
      <c r="R2390" s="264"/>
      <c r="S2390" s="264"/>
      <c r="T2390" s="1056"/>
      <c r="U2390" s="1056"/>
      <c r="V2390" s="1056"/>
      <c r="W2390" s="1056"/>
      <c r="X2390" s="1056"/>
      <c r="Y2390" s="1056"/>
      <c r="Z2390" s="1056"/>
      <c r="AA2390" s="1056"/>
      <c r="AB2390" s="1056"/>
      <c r="AC2390" s="1056"/>
      <c r="AD2390" s="1056"/>
      <c r="AE2390" s="1056"/>
      <c r="AF2390" s="264"/>
    </row>
    <row r="2391" spans="1:32" s="268" customFormat="1" ht="15" x14ac:dyDescent="0.25">
      <c r="A2391" s="264"/>
      <c r="B2391" s="264"/>
      <c r="C2391" s="1056"/>
      <c r="D2391" s="1056"/>
      <c r="E2391" s="1056"/>
      <c r="F2391" s="1056"/>
      <c r="G2391" s="1056"/>
      <c r="H2391" s="1056"/>
      <c r="I2391" s="1056"/>
      <c r="J2391" s="1056"/>
      <c r="K2391" s="1056"/>
      <c r="L2391" s="1056"/>
      <c r="M2391" s="274"/>
      <c r="P2391" s="264"/>
      <c r="Q2391" s="264"/>
      <c r="R2391" s="264"/>
      <c r="S2391" s="264"/>
      <c r="T2391" s="1056"/>
      <c r="U2391" s="1056"/>
      <c r="V2391" s="1056"/>
      <c r="W2391" s="1056"/>
      <c r="X2391" s="1056"/>
      <c r="Y2391" s="1056"/>
      <c r="Z2391" s="1056"/>
      <c r="AA2391" s="1056"/>
      <c r="AB2391" s="1056"/>
      <c r="AC2391" s="1056"/>
      <c r="AD2391" s="1056"/>
      <c r="AE2391" s="1056"/>
      <c r="AF2391" s="264"/>
    </row>
    <row r="2392" spans="1:32" s="268" customFormat="1" ht="15" x14ac:dyDescent="0.25">
      <c r="A2392" s="264"/>
      <c r="B2392" s="264"/>
      <c r="C2392" s="1056"/>
      <c r="D2392" s="1056"/>
      <c r="E2392" s="1056"/>
      <c r="F2392" s="1056"/>
      <c r="G2392" s="1056"/>
      <c r="H2392" s="1056"/>
      <c r="I2392" s="1056"/>
      <c r="J2392" s="1056"/>
      <c r="K2392" s="1056"/>
      <c r="L2392" s="1056"/>
      <c r="M2392" s="274"/>
      <c r="P2392" s="264"/>
      <c r="Q2392" s="264"/>
      <c r="R2392" s="264"/>
      <c r="S2392" s="264"/>
      <c r="T2392" s="1056"/>
      <c r="U2392" s="1056"/>
      <c r="V2392" s="1056"/>
      <c r="W2392" s="1056"/>
      <c r="X2392" s="1056"/>
      <c r="Y2392" s="1056"/>
      <c r="Z2392" s="1056"/>
      <c r="AA2392" s="1056"/>
      <c r="AB2392" s="1056"/>
      <c r="AC2392" s="1056"/>
      <c r="AD2392" s="1056"/>
      <c r="AE2392" s="1056"/>
      <c r="AF2392" s="264"/>
    </row>
    <row r="2393" spans="1:32" s="268" customFormat="1" ht="15" x14ac:dyDescent="0.25">
      <c r="A2393" s="264"/>
      <c r="B2393" s="264"/>
      <c r="C2393" s="1056"/>
      <c r="D2393" s="1056"/>
      <c r="E2393" s="1056"/>
      <c r="F2393" s="1056"/>
      <c r="G2393" s="1056"/>
      <c r="H2393" s="1056"/>
      <c r="I2393" s="1056"/>
      <c r="J2393" s="1056"/>
      <c r="K2393" s="1056"/>
      <c r="L2393" s="1056"/>
      <c r="M2393" s="274"/>
      <c r="P2393" s="264"/>
      <c r="Q2393" s="264"/>
      <c r="R2393" s="264"/>
      <c r="S2393" s="264"/>
      <c r="T2393" s="1056"/>
      <c r="U2393" s="1056"/>
      <c r="V2393" s="1056"/>
      <c r="W2393" s="1056"/>
      <c r="X2393" s="1056"/>
      <c r="Y2393" s="1056"/>
      <c r="Z2393" s="1056"/>
      <c r="AA2393" s="1056"/>
      <c r="AB2393" s="1056"/>
      <c r="AC2393" s="1056"/>
      <c r="AD2393" s="1056"/>
      <c r="AE2393" s="1056"/>
      <c r="AF2393" s="264"/>
    </row>
    <row r="2394" spans="1:32" s="268" customFormat="1" ht="15" x14ac:dyDescent="0.25">
      <c r="A2394" s="264"/>
      <c r="B2394" s="264"/>
      <c r="C2394" s="1056"/>
      <c r="D2394" s="1056"/>
      <c r="E2394" s="1056"/>
      <c r="F2394" s="1056"/>
      <c r="G2394" s="1056"/>
      <c r="H2394" s="1056"/>
      <c r="I2394" s="1056"/>
      <c r="J2394" s="1056"/>
      <c r="K2394" s="1056"/>
      <c r="L2394" s="1056"/>
      <c r="M2394" s="274"/>
      <c r="P2394" s="264"/>
      <c r="Q2394" s="264"/>
      <c r="R2394" s="264"/>
      <c r="S2394" s="264"/>
      <c r="T2394" s="1056"/>
      <c r="U2394" s="1056"/>
      <c r="V2394" s="1056"/>
      <c r="W2394" s="1056"/>
      <c r="X2394" s="1056"/>
      <c r="Y2394" s="1056"/>
      <c r="Z2394" s="1056"/>
      <c r="AA2394" s="1056"/>
      <c r="AB2394" s="1056"/>
      <c r="AC2394" s="1056"/>
      <c r="AD2394" s="1056"/>
      <c r="AE2394" s="1056"/>
      <c r="AF2394" s="264"/>
    </row>
    <row r="2395" spans="1:32" s="268" customFormat="1" ht="15" x14ac:dyDescent="0.25">
      <c r="A2395" s="264"/>
      <c r="B2395" s="264"/>
      <c r="C2395" s="1056"/>
      <c r="D2395" s="1056"/>
      <c r="E2395" s="1056"/>
      <c r="F2395" s="1056"/>
      <c r="G2395" s="1056"/>
      <c r="H2395" s="1056"/>
      <c r="I2395" s="1056"/>
      <c r="J2395" s="1056"/>
      <c r="K2395" s="1056"/>
      <c r="L2395" s="1056"/>
      <c r="M2395" s="274"/>
      <c r="P2395" s="264"/>
      <c r="Q2395" s="264"/>
      <c r="R2395" s="264"/>
      <c r="S2395" s="264"/>
      <c r="T2395" s="1056"/>
      <c r="U2395" s="1056"/>
      <c r="V2395" s="1056"/>
      <c r="W2395" s="1056"/>
      <c r="X2395" s="1056"/>
      <c r="Y2395" s="1056"/>
      <c r="Z2395" s="1056"/>
      <c r="AA2395" s="1056"/>
      <c r="AB2395" s="1056"/>
      <c r="AC2395" s="1056"/>
      <c r="AD2395" s="1056"/>
      <c r="AE2395" s="1056"/>
      <c r="AF2395" s="264"/>
    </row>
    <row r="2396" spans="1:32" s="268" customFormat="1" ht="15" x14ac:dyDescent="0.25">
      <c r="A2396" s="264"/>
      <c r="B2396" s="264"/>
      <c r="C2396" s="1056"/>
      <c r="D2396" s="1056"/>
      <c r="E2396" s="1056"/>
      <c r="F2396" s="1056"/>
      <c r="G2396" s="1056"/>
      <c r="H2396" s="1056"/>
      <c r="I2396" s="1056"/>
      <c r="J2396" s="1056"/>
      <c r="K2396" s="1056"/>
      <c r="L2396" s="1056"/>
      <c r="M2396" s="274"/>
      <c r="P2396" s="264"/>
      <c r="Q2396" s="264"/>
      <c r="R2396" s="264"/>
      <c r="S2396" s="264"/>
      <c r="T2396" s="1056"/>
      <c r="U2396" s="1056"/>
      <c r="V2396" s="1056"/>
      <c r="W2396" s="1056"/>
      <c r="X2396" s="1056"/>
      <c r="Y2396" s="1056"/>
      <c r="Z2396" s="1056"/>
      <c r="AA2396" s="1056"/>
      <c r="AB2396" s="1056"/>
      <c r="AC2396" s="1056"/>
      <c r="AD2396" s="1056"/>
      <c r="AE2396" s="1056"/>
      <c r="AF2396" s="264"/>
    </row>
    <row r="2397" spans="1:32" s="268" customFormat="1" ht="15" x14ac:dyDescent="0.25">
      <c r="A2397" s="264"/>
      <c r="B2397" s="264"/>
      <c r="C2397" s="1056"/>
      <c r="D2397" s="1056"/>
      <c r="E2397" s="1056"/>
      <c r="F2397" s="1056"/>
      <c r="G2397" s="1056"/>
      <c r="H2397" s="1056"/>
      <c r="I2397" s="1056"/>
      <c r="J2397" s="1056"/>
      <c r="K2397" s="1056"/>
      <c r="L2397" s="1056"/>
      <c r="M2397" s="274"/>
      <c r="P2397" s="264"/>
      <c r="Q2397" s="264"/>
      <c r="R2397" s="264"/>
      <c r="S2397" s="264"/>
      <c r="T2397" s="1056"/>
      <c r="U2397" s="1056"/>
      <c r="V2397" s="1056"/>
      <c r="W2397" s="1056"/>
      <c r="X2397" s="1056"/>
      <c r="Y2397" s="1056"/>
      <c r="Z2397" s="1056"/>
      <c r="AA2397" s="1056"/>
      <c r="AB2397" s="1056"/>
      <c r="AC2397" s="1056"/>
      <c r="AD2397" s="1056"/>
      <c r="AE2397" s="1056"/>
      <c r="AF2397" s="264"/>
    </row>
    <row r="2398" spans="1:32" s="268" customFormat="1" ht="15" x14ac:dyDescent="0.25">
      <c r="A2398" s="264"/>
      <c r="B2398" s="264"/>
      <c r="C2398" s="1056"/>
      <c r="D2398" s="1056"/>
      <c r="E2398" s="1056"/>
      <c r="F2398" s="1056"/>
      <c r="G2398" s="1056"/>
      <c r="H2398" s="1056"/>
      <c r="I2398" s="1056"/>
      <c r="J2398" s="1056"/>
      <c r="K2398" s="1056"/>
      <c r="L2398" s="1056"/>
      <c r="M2398" s="274"/>
      <c r="P2398" s="264"/>
      <c r="Q2398" s="264"/>
      <c r="R2398" s="264"/>
      <c r="S2398" s="264"/>
      <c r="T2398" s="1056"/>
      <c r="U2398" s="1056"/>
      <c r="V2398" s="1056"/>
      <c r="W2398" s="1056"/>
      <c r="X2398" s="1056"/>
      <c r="Y2398" s="1056"/>
      <c r="Z2398" s="1056"/>
      <c r="AA2398" s="1056"/>
      <c r="AB2398" s="1056"/>
      <c r="AC2398" s="1056"/>
      <c r="AD2398" s="1056"/>
      <c r="AE2398" s="1056"/>
      <c r="AF2398" s="264"/>
    </row>
    <row r="2399" spans="1:32" s="268" customFormat="1" ht="15" x14ac:dyDescent="0.25">
      <c r="A2399" s="264"/>
      <c r="B2399" s="264"/>
      <c r="C2399" s="1056"/>
      <c r="D2399" s="1056"/>
      <c r="E2399" s="1056"/>
      <c r="F2399" s="1056"/>
      <c r="G2399" s="1056"/>
      <c r="H2399" s="1056"/>
      <c r="I2399" s="1056"/>
      <c r="J2399" s="1056"/>
      <c r="K2399" s="1056"/>
      <c r="L2399" s="1056"/>
      <c r="M2399" s="274"/>
      <c r="P2399" s="264"/>
      <c r="Q2399" s="264"/>
      <c r="R2399" s="264"/>
      <c r="S2399" s="264"/>
      <c r="T2399" s="1056"/>
      <c r="U2399" s="1056"/>
      <c r="V2399" s="1056"/>
      <c r="W2399" s="1056"/>
      <c r="X2399" s="1056"/>
      <c r="Y2399" s="1056"/>
      <c r="Z2399" s="1056"/>
      <c r="AA2399" s="1056"/>
      <c r="AB2399" s="1056"/>
      <c r="AC2399" s="1056"/>
      <c r="AD2399" s="1056"/>
      <c r="AE2399" s="1056"/>
      <c r="AF2399" s="264"/>
    </row>
    <row r="2400" spans="1:32" s="268" customFormat="1" ht="15" x14ac:dyDescent="0.25">
      <c r="A2400" s="264"/>
      <c r="B2400" s="264"/>
      <c r="C2400" s="1056"/>
      <c r="D2400" s="1056"/>
      <c r="E2400" s="1056"/>
      <c r="F2400" s="1056"/>
      <c r="G2400" s="1056"/>
      <c r="H2400" s="1056"/>
      <c r="I2400" s="1056"/>
      <c r="J2400" s="1056"/>
      <c r="K2400" s="1056"/>
      <c r="L2400" s="1056"/>
      <c r="M2400" s="274"/>
      <c r="P2400" s="264"/>
      <c r="Q2400" s="264"/>
      <c r="R2400" s="264"/>
      <c r="S2400" s="264"/>
      <c r="T2400" s="1056"/>
      <c r="U2400" s="1056"/>
      <c r="V2400" s="1056"/>
      <c r="W2400" s="1056"/>
      <c r="X2400" s="1056"/>
      <c r="Y2400" s="1056"/>
      <c r="Z2400" s="1056"/>
      <c r="AA2400" s="1056"/>
      <c r="AB2400" s="1056"/>
      <c r="AC2400" s="1056"/>
      <c r="AD2400" s="1056"/>
      <c r="AE2400" s="1056"/>
      <c r="AF2400" s="264"/>
    </row>
    <row r="2401" spans="1:32" s="268" customFormat="1" ht="15" x14ac:dyDescent="0.25">
      <c r="A2401" s="264"/>
      <c r="B2401" s="264"/>
      <c r="C2401" s="1056"/>
      <c r="D2401" s="1056"/>
      <c r="E2401" s="1056"/>
      <c r="F2401" s="1056"/>
      <c r="G2401" s="1056"/>
      <c r="H2401" s="1056"/>
      <c r="I2401" s="1056"/>
      <c r="J2401" s="1056"/>
      <c r="K2401" s="1056"/>
      <c r="L2401" s="1056"/>
      <c r="M2401" s="274"/>
      <c r="P2401" s="264"/>
      <c r="Q2401" s="264"/>
      <c r="R2401" s="264"/>
      <c r="S2401" s="264"/>
      <c r="T2401" s="1056"/>
      <c r="U2401" s="1056"/>
      <c r="V2401" s="1056"/>
      <c r="W2401" s="1056"/>
      <c r="X2401" s="1056"/>
      <c r="Y2401" s="1056"/>
      <c r="Z2401" s="1056"/>
      <c r="AA2401" s="1056"/>
      <c r="AB2401" s="1056"/>
      <c r="AC2401" s="1056"/>
      <c r="AD2401" s="1056"/>
      <c r="AE2401" s="1056"/>
      <c r="AF2401" s="264"/>
    </row>
    <row r="2402" spans="1:32" s="268" customFormat="1" ht="15" x14ac:dyDescent="0.25">
      <c r="A2402" s="264"/>
      <c r="B2402" s="264"/>
      <c r="C2402" s="1056"/>
      <c r="D2402" s="1056"/>
      <c r="E2402" s="1056"/>
      <c r="F2402" s="1056"/>
      <c r="G2402" s="1056"/>
      <c r="H2402" s="1056"/>
      <c r="I2402" s="1056"/>
      <c r="J2402" s="1056"/>
      <c r="K2402" s="1056"/>
      <c r="L2402" s="1056"/>
      <c r="M2402" s="274"/>
      <c r="P2402" s="264"/>
      <c r="Q2402" s="264"/>
      <c r="R2402" s="264"/>
      <c r="S2402" s="264"/>
      <c r="T2402" s="1056"/>
      <c r="U2402" s="1056"/>
      <c r="V2402" s="1056"/>
      <c r="W2402" s="1056"/>
      <c r="X2402" s="1056"/>
      <c r="Y2402" s="1056"/>
      <c r="Z2402" s="1056"/>
      <c r="AA2402" s="1056"/>
      <c r="AB2402" s="1056"/>
      <c r="AC2402" s="1056"/>
      <c r="AD2402" s="1056"/>
      <c r="AE2402" s="1056"/>
      <c r="AF2402" s="264"/>
    </row>
    <row r="2403" spans="1:32" s="268" customFormat="1" ht="15" x14ac:dyDescent="0.25">
      <c r="A2403" s="264"/>
      <c r="B2403" s="264"/>
      <c r="C2403" s="1056"/>
      <c r="D2403" s="1056"/>
      <c r="E2403" s="1056"/>
      <c r="F2403" s="1056"/>
      <c r="G2403" s="1056"/>
      <c r="H2403" s="1056"/>
      <c r="I2403" s="1056"/>
      <c r="J2403" s="1056"/>
      <c r="K2403" s="1056"/>
      <c r="L2403" s="1056"/>
      <c r="M2403" s="274"/>
      <c r="P2403" s="264"/>
      <c r="Q2403" s="264"/>
      <c r="R2403" s="264"/>
      <c r="S2403" s="264"/>
      <c r="T2403" s="1056"/>
      <c r="U2403" s="1056"/>
      <c r="V2403" s="1056"/>
      <c r="W2403" s="1056"/>
      <c r="X2403" s="1056"/>
      <c r="Y2403" s="1056"/>
      <c r="Z2403" s="1056"/>
      <c r="AA2403" s="1056"/>
      <c r="AB2403" s="1056"/>
      <c r="AC2403" s="1056"/>
      <c r="AD2403" s="1056"/>
      <c r="AE2403" s="1056"/>
      <c r="AF2403" s="264"/>
    </row>
    <row r="2404" spans="1:32" s="268" customFormat="1" ht="15" x14ac:dyDescent="0.25">
      <c r="A2404" s="264"/>
      <c r="B2404" s="264"/>
      <c r="C2404" s="1056"/>
      <c r="D2404" s="1056"/>
      <c r="E2404" s="1056"/>
      <c r="F2404" s="1056"/>
      <c r="G2404" s="1056"/>
      <c r="H2404" s="1056"/>
      <c r="I2404" s="1056"/>
      <c r="J2404" s="1056"/>
      <c r="K2404" s="1056"/>
      <c r="L2404" s="1056"/>
      <c r="M2404" s="274"/>
      <c r="P2404" s="264"/>
      <c r="Q2404" s="264"/>
      <c r="R2404" s="264"/>
      <c r="S2404" s="264"/>
      <c r="T2404" s="1056"/>
      <c r="U2404" s="1056"/>
      <c r="V2404" s="1056"/>
      <c r="W2404" s="1056"/>
      <c r="X2404" s="1056"/>
      <c r="Y2404" s="1056"/>
      <c r="Z2404" s="1056"/>
      <c r="AA2404" s="1056"/>
      <c r="AB2404" s="1056"/>
      <c r="AC2404" s="1056"/>
      <c r="AD2404" s="1056"/>
      <c r="AE2404" s="1056"/>
      <c r="AF2404" s="264"/>
    </row>
    <row r="2405" spans="1:32" s="268" customFormat="1" ht="15" x14ac:dyDescent="0.25">
      <c r="A2405" s="264"/>
      <c r="B2405" s="264"/>
      <c r="C2405" s="1056"/>
      <c r="D2405" s="1056"/>
      <c r="E2405" s="1056"/>
      <c r="F2405" s="1056"/>
      <c r="G2405" s="1056"/>
      <c r="H2405" s="1056"/>
      <c r="I2405" s="1056"/>
      <c r="J2405" s="1056"/>
      <c r="K2405" s="1056"/>
      <c r="L2405" s="1056"/>
      <c r="M2405" s="274"/>
      <c r="P2405" s="264"/>
      <c r="Q2405" s="264"/>
      <c r="R2405" s="264"/>
      <c r="S2405" s="264"/>
      <c r="T2405" s="1056"/>
      <c r="U2405" s="1056"/>
      <c r="V2405" s="1056"/>
      <c r="W2405" s="1056"/>
      <c r="X2405" s="1056"/>
      <c r="Y2405" s="1056"/>
      <c r="Z2405" s="1056"/>
      <c r="AA2405" s="1056"/>
      <c r="AB2405" s="1056"/>
      <c r="AC2405" s="1056"/>
      <c r="AD2405" s="1056"/>
      <c r="AE2405" s="1056"/>
      <c r="AF2405" s="264"/>
    </row>
    <row r="2406" spans="1:32" s="268" customFormat="1" ht="15" x14ac:dyDescent="0.25">
      <c r="A2406" s="264"/>
      <c r="B2406" s="264"/>
      <c r="C2406" s="1056"/>
      <c r="D2406" s="1056"/>
      <c r="E2406" s="1056"/>
      <c r="F2406" s="1056"/>
      <c r="G2406" s="1056"/>
      <c r="H2406" s="1056"/>
      <c r="I2406" s="1056"/>
      <c r="J2406" s="1056"/>
      <c r="K2406" s="1056"/>
      <c r="L2406" s="1056"/>
      <c r="M2406" s="274"/>
      <c r="P2406" s="264"/>
      <c r="Q2406" s="264"/>
      <c r="R2406" s="264"/>
      <c r="S2406" s="264"/>
      <c r="T2406" s="1056"/>
      <c r="U2406" s="1056"/>
      <c r="V2406" s="1056"/>
      <c r="W2406" s="1056"/>
      <c r="X2406" s="1056"/>
      <c r="Y2406" s="1056"/>
      <c r="Z2406" s="1056"/>
      <c r="AA2406" s="1056"/>
      <c r="AB2406" s="1056"/>
      <c r="AC2406" s="1056"/>
      <c r="AD2406" s="1056"/>
      <c r="AE2406" s="1056"/>
      <c r="AF2406" s="264"/>
    </row>
    <row r="2407" spans="1:32" s="268" customFormat="1" ht="15" x14ac:dyDescent="0.25">
      <c r="A2407" s="264"/>
      <c r="B2407" s="264"/>
      <c r="C2407" s="1056"/>
      <c r="D2407" s="1056"/>
      <c r="E2407" s="1056"/>
      <c r="F2407" s="1056"/>
      <c r="G2407" s="1056"/>
      <c r="H2407" s="1056"/>
      <c r="I2407" s="1056"/>
      <c r="J2407" s="1056"/>
      <c r="K2407" s="1056"/>
      <c r="L2407" s="1056"/>
      <c r="M2407" s="274"/>
      <c r="P2407" s="264"/>
      <c r="Q2407" s="264"/>
      <c r="R2407" s="264"/>
      <c r="S2407" s="264"/>
      <c r="T2407" s="1056"/>
      <c r="U2407" s="1056"/>
      <c r="V2407" s="1056"/>
      <c r="W2407" s="1056"/>
      <c r="X2407" s="1056"/>
      <c r="Y2407" s="1056"/>
      <c r="Z2407" s="1056"/>
      <c r="AA2407" s="1056"/>
      <c r="AB2407" s="1056"/>
      <c r="AC2407" s="1056"/>
      <c r="AD2407" s="1056"/>
      <c r="AE2407" s="1056"/>
      <c r="AF2407" s="264"/>
    </row>
    <row r="2408" spans="1:32" s="268" customFormat="1" ht="15" x14ac:dyDescent="0.25">
      <c r="A2408" s="264"/>
      <c r="B2408" s="264"/>
      <c r="C2408" s="1056"/>
      <c r="D2408" s="1056"/>
      <c r="E2408" s="1056"/>
      <c r="F2408" s="1056"/>
      <c r="G2408" s="1056"/>
      <c r="H2408" s="1056"/>
      <c r="I2408" s="1056"/>
      <c r="J2408" s="1056"/>
      <c r="K2408" s="1056"/>
      <c r="L2408" s="1056"/>
      <c r="M2408" s="274"/>
      <c r="P2408" s="264"/>
      <c r="Q2408" s="264"/>
      <c r="R2408" s="264"/>
      <c r="S2408" s="264"/>
      <c r="T2408" s="1056"/>
      <c r="U2408" s="1056"/>
      <c r="V2408" s="1056"/>
      <c r="W2408" s="1056"/>
      <c r="X2408" s="1056"/>
      <c r="Y2408" s="1056"/>
      <c r="Z2408" s="1056"/>
      <c r="AA2408" s="1056"/>
      <c r="AB2408" s="1056"/>
      <c r="AC2408" s="1056"/>
      <c r="AD2408" s="1056"/>
      <c r="AE2408" s="1056"/>
      <c r="AF2408" s="264"/>
    </row>
    <row r="2409" spans="1:32" s="268" customFormat="1" ht="15" x14ac:dyDescent="0.25">
      <c r="A2409" s="264"/>
      <c r="B2409" s="264"/>
      <c r="C2409" s="1056"/>
      <c r="D2409" s="1056"/>
      <c r="E2409" s="1056"/>
      <c r="F2409" s="1056"/>
      <c r="G2409" s="1056"/>
      <c r="H2409" s="1056"/>
      <c r="I2409" s="1056"/>
      <c r="J2409" s="1056"/>
      <c r="K2409" s="1056"/>
      <c r="L2409" s="1056"/>
      <c r="M2409" s="274"/>
      <c r="P2409" s="264"/>
      <c r="Q2409" s="264"/>
      <c r="R2409" s="264"/>
      <c r="S2409" s="264"/>
      <c r="T2409" s="1056"/>
      <c r="U2409" s="1056"/>
      <c r="V2409" s="1056"/>
      <c r="W2409" s="1056"/>
      <c r="X2409" s="1056"/>
      <c r="Y2409" s="1056"/>
      <c r="Z2409" s="1056"/>
      <c r="AA2409" s="1056"/>
      <c r="AB2409" s="1056"/>
      <c r="AC2409" s="1056"/>
      <c r="AD2409" s="1056"/>
      <c r="AE2409" s="1056"/>
      <c r="AF2409" s="264"/>
    </row>
    <row r="2410" spans="1:32" s="268" customFormat="1" ht="15" x14ac:dyDescent="0.25">
      <c r="A2410" s="264"/>
      <c r="B2410" s="264"/>
      <c r="C2410" s="1056"/>
      <c r="D2410" s="1056"/>
      <c r="E2410" s="1056"/>
      <c r="F2410" s="1056"/>
      <c r="G2410" s="1056"/>
      <c r="H2410" s="1056"/>
      <c r="I2410" s="1056"/>
      <c r="J2410" s="1056"/>
      <c r="K2410" s="1056"/>
      <c r="L2410" s="1056"/>
      <c r="M2410" s="274"/>
      <c r="P2410" s="264"/>
      <c r="Q2410" s="264"/>
      <c r="R2410" s="264"/>
      <c r="S2410" s="264"/>
      <c r="T2410" s="1056"/>
      <c r="U2410" s="1056"/>
      <c r="V2410" s="1056"/>
      <c r="W2410" s="1056"/>
      <c r="X2410" s="1056"/>
      <c r="Y2410" s="1056"/>
      <c r="Z2410" s="1056"/>
      <c r="AA2410" s="1056"/>
      <c r="AB2410" s="1056"/>
      <c r="AC2410" s="1056"/>
      <c r="AD2410" s="1056"/>
      <c r="AE2410" s="1056"/>
      <c r="AF2410" s="264"/>
    </row>
    <row r="2411" spans="1:32" s="268" customFormat="1" ht="15" x14ac:dyDescent="0.25">
      <c r="A2411" s="264"/>
      <c r="B2411" s="264"/>
      <c r="C2411" s="1056"/>
      <c r="D2411" s="1056"/>
      <c r="E2411" s="1056"/>
      <c r="F2411" s="1056"/>
      <c r="G2411" s="1056"/>
      <c r="H2411" s="1056"/>
      <c r="I2411" s="1056"/>
      <c r="J2411" s="1056"/>
      <c r="K2411" s="1056"/>
      <c r="L2411" s="1056"/>
      <c r="M2411" s="274"/>
      <c r="P2411" s="264"/>
      <c r="Q2411" s="264"/>
      <c r="R2411" s="264"/>
      <c r="S2411" s="264"/>
      <c r="T2411" s="1056"/>
      <c r="U2411" s="1056"/>
      <c r="V2411" s="1056"/>
      <c r="W2411" s="1056"/>
      <c r="X2411" s="1056"/>
      <c r="Y2411" s="1056"/>
      <c r="Z2411" s="1056"/>
      <c r="AA2411" s="1056"/>
      <c r="AB2411" s="1056"/>
      <c r="AC2411" s="1056"/>
      <c r="AD2411" s="1056"/>
      <c r="AE2411" s="1056"/>
      <c r="AF2411" s="264"/>
    </row>
    <row r="2412" spans="1:32" s="268" customFormat="1" ht="15" x14ac:dyDescent="0.25">
      <c r="A2412" s="264"/>
      <c r="B2412" s="264"/>
      <c r="C2412" s="1056"/>
      <c r="D2412" s="1056"/>
      <c r="E2412" s="1056"/>
      <c r="F2412" s="1056"/>
      <c r="G2412" s="1056"/>
      <c r="H2412" s="1056"/>
      <c r="I2412" s="1056"/>
      <c r="J2412" s="1056"/>
      <c r="K2412" s="1056"/>
      <c r="L2412" s="1056"/>
      <c r="M2412" s="274"/>
      <c r="P2412" s="264"/>
      <c r="Q2412" s="264"/>
      <c r="R2412" s="264"/>
      <c r="S2412" s="264"/>
      <c r="T2412" s="1056"/>
      <c r="U2412" s="1056"/>
      <c r="V2412" s="1056"/>
      <c r="W2412" s="1056"/>
      <c r="X2412" s="1056"/>
      <c r="Y2412" s="1056"/>
      <c r="Z2412" s="1056"/>
      <c r="AA2412" s="1056"/>
      <c r="AB2412" s="1056"/>
      <c r="AC2412" s="1056"/>
      <c r="AD2412" s="1056"/>
      <c r="AE2412" s="1056"/>
      <c r="AF2412" s="264"/>
    </row>
    <row r="2413" spans="1:32" s="268" customFormat="1" ht="15" x14ac:dyDescent="0.25">
      <c r="A2413" s="264"/>
      <c r="B2413" s="264"/>
      <c r="C2413" s="1056"/>
      <c r="D2413" s="1056"/>
      <c r="E2413" s="1056"/>
      <c r="F2413" s="1056"/>
      <c r="G2413" s="1056"/>
      <c r="H2413" s="1056"/>
      <c r="I2413" s="1056"/>
      <c r="J2413" s="1056"/>
      <c r="K2413" s="1056"/>
      <c r="L2413" s="1056"/>
      <c r="M2413" s="274"/>
      <c r="P2413" s="264"/>
      <c r="Q2413" s="264"/>
      <c r="R2413" s="264"/>
      <c r="S2413" s="264"/>
      <c r="T2413" s="1056"/>
      <c r="U2413" s="1056"/>
      <c r="V2413" s="1056"/>
      <c r="W2413" s="1056"/>
      <c r="X2413" s="1056"/>
      <c r="Y2413" s="1056"/>
      <c r="Z2413" s="1056"/>
      <c r="AA2413" s="1056"/>
      <c r="AB2413" s="1056"/>
      <c r="AC2413" s="1056"/>
      <c r="AD2413" s="1056"/>
      <c r="AE2413" s="1056"/>
      <c r="AF2413" s="264"/>
    </row>
    <row r="2414" spans="1:32" s="268" customFormat="1" ht="15" x14ac:dyDescent="0.25">
      <c r="A2414" s="264"/>
      <c r="B2414" s="264"/>
      <c r="C2414" s="1056"/>
      <c r="D2414" s="1056"/>
      <c r="E2414" s="1056"/>
      <c r="F2414" s="1056"/>
      <c r="G2414" s="1056"/>
      <c r="H2414" s="1056"/>
      <c r="I2414" s="1056"/>
      <c r="J2414" s="1056"/>
      <c r="K2414" s="1056"/>
      <c r="L2414" s="1056"/>
      <c r="M2414" s="274"/>
      <c r="P2414" s="264"/>
      <c r="Q2414" s="264"/>
      <c r="R2414" s="264"/>
      <c r="S2414" s="264"/>
      <c r="T2414" s="1056"/>
      <c r="U2414" s="1056"/>
      <c r="V2414" s="1056"/>
      <c r="W2414" s="1056"/>
      <c r="X2414" s="1056"/>
      <c r="Y2414" s="1056"/>
      <c r="Z2414" s="1056"/>
      <c r="AA2414" s="1056"/>
      <c r="AB2414" s="1056"/>
      <c r="AC2414" s="1056"/>
      <c r="AD2414" s="1056"/>
      <c r="AE2414" s="1056"/>
      <c r="AF2414" s="264"/>
    </row>
    <row r="2415" spans="1:32" s="268" customFormat="1" ht="15" x14ac:dyDescent="0.25">
      <c r="A2415" s="264"/>
      <c r="B2415" s="264"/>
      <c r="C2415" s="1056"/>
      <c r="D2415" s="1056"/>
      <c r="E2415" s="1056"/>
      <c r="F2415" s="1056"/>
      <c r="G2415" s="1056"/>
      <c r="H2415" s="1056"/>
      <c r="I2415" s="1056"/>
      <c r="J2415" s="1056"/>
      <c r="K2415" s="1056"/>
      <c r="L2415" s="1056"/>
      <c r="M2415" s="274"/>
      <c r="P2415" s="264"/>
      <c r="Q2415" s="264"/>
      <c r="R2415" s="264"/>
      <c r="S2415" s="264"/>
      <c r="T2415" s="1056"/>
      <c r="U2415" s="1056"/>
      <c r="V2415" s="1056"/>
      <c r="W2415" s="1056"/>
      <c r="X2415" s="1056"/>
      <c r="Y2415" s="1056"/>
      <c r="Z2415" s="1056"/>
      <c r="AA2415" s="1056"/>
      <c r="AB2415" s="1056"/>
      <c r="AC2415" s="1056"/>
      <c r="AD2415" s="1056"/>
      <c r="AE2415" s="1056"/>
      <c r="AF2415" s="264"/>
    </row>
    <row r="2416" spans="1:32" s="268" customFormat="1" ht="15" x14ac:dyDescent="0.25">
      <c r="A2416" s="264"/>
      <c r="B2416" s="264"/>
      <c r="C2416" s="1056"/>
      <c r="D2416" s="1056"/>
      <c r="E2416" s="1056"/>
      <c r="F2416" s="1056"/>
      <c r="G2416" s="1056"/>
      <c r="H2416" s="1056"/>
      <c r="I2416" s="1056"/>
      <c r="J2416" s="1056"/>
      <c r="K2416" s="1056"/>
      <c r="L2416" s="1056"/>
      <c r="M2416" s="274"/>
      <c r="P2416" s="264"/>
      <c r="Q2416" s="264"/>
      <c r="R2416" s="264"/>
      <c r="S2416" s="264"/>
      <c r="T2416" s="1056"/>
      <c r="U2416" s="1056"/>
      <c r="V2416" s="1056"/>
      <c r="W2416" s="1056"/>
      <c r="X2416" s="1056"/>
      <c r="Y2416" s="1056"/>
      <c r="Z2416" s="1056"/>
      <c r="AA2416" s="1056"/>
      <c r="AB2416" s="1056"/>
      <c r="AC2416" s="1056"/>
      <c r="AD2416" s="1056"/>
      <c r="AE2416" s="1056"/>
      <c r="AF2416" s="264"/>
    </row>
    <row r="2417" spans="1:32" s="268" customFormat="1" ht="15" x14ac:dyDescent="0.25">
      <c r="A2417" s="264"/>
      <c r="B2417" s="264"/>
      <c r="C2417" s="1056"/>
      <c r="D2417" s="1056"/>
      <c r="E2417" s="1056"/>
      <c r="F2417" s="1056"/>
      <c r="G2417" s="1056"/>
      <c r="H2417" s="1056"/>
      <c r="I2417" s="1056"/>
      <c r="J2417" s="1056"/>
      <c r="K2417" s="1056"/>
      <c r="L2417" s="1056"/>
      <c r="M2417" s="274"/>
      <c r="P2417" s="264"/>
      <c r="Q2417" s="264"/>
      <c r="R2417" s="264"/>
      <c r="S2417" s="264"/>
      <c r="T2417" s="1056"/>
      <c r="U2417" s="1056"/>
      <c r="V2417" s="1056"/>
      <c r="W2417" s="1056"/>
      <c r="X2417" s="1056"/>
      <c r="Y2417" s="1056"/>
      <c r="Z2417" s="1056"/>
      <c r="AA2417" s="1056"/>
      <c r="AB2417" s="1056"/>
      <c r="AC2417" s="1056"/>
      <c r="AD2417" s="1056"/>
      <c r="AE2417" s="1056"/>
      <c r="AF2417" s="264"/>
    </row>
    <row r="2418" spans="1:32" s="268" customFormat="1" ht="15" x14ac:dyDescent="0.25">
      <c r="A2418" s="264"/>
      <c r="B2418" s="264"/>
      <c r="C2418" s="1056"/>
      <c r="D2418" s="1056"/>
      <c r="E2418" s="1056"/>
      <c r="F2418" s="1056"/>
      <c r="G2418" s="1056"/>
      <c r="H2418" s="1056"/>
      <c r="I2418" s="1056"/>
      <c r="J2418" s="1056"/>
      <c r="K2418" s="1056"/>
      <c r="L2418" s="1056"/>
      <c r="M2418" s="274"/>
      <c r="P2418" s="264"/>
      <c r="Q2418" s="264"/>
      <c r="R2418" s="264"/>
      <c r="S2418" s="264"/>
      <c r="T2418" s="1056"/>
      <c r="U2418" s="1056"/>
      <c r="V2418" s="1056"/>
      <c r="W2418" s="1056"/>
      <c r="X2418" s="1056"/>
      <c r="Y2418" s="1056"/>
      <c r="Z2418" s="1056"/>
      <c r="AA2418" s="1056"/>
      <c r="AB2418" s="1056"/>
      <c r="AC2418" s="1056"/>
      <c r="AD2418" s="1056"/>
      <c r="AE2418" s="1056"/>
      <c r="AF2418" s="264"/>
    </row>
    <row r="2419" spans="1:32" s="268" customFormat="1" ht="15" x14ac:dyDescent="0.25">
      <c r="A2419" s="264"/>
      <c r="B2419" s="264"/>
      <c r="C2419" s="1056"/>
      <c r="D2419" s="1056"/>
      <c r="E2419" s="1056"/>
      <c r="F2419" s="1056"/>
      <c r="G2419" s="1056"/>
      <c r="H2419" s="1056"/>
      <c r="I2419" s="1056"/>
      <c r="J2419" s="1056"/>
      <c r="K2419" s="1056"/>
      <c r="L2419" s="1056"/>
      <c r="M2419" s="274"/>
      <c r="P2419" s="264"/>
      <c r="Q2419" s="264"/>
      <c r="R2419" s="264"/>
      <c r="S2419" s="264"/>
      <c r="T2419" s="1056"/>
      <c r="U2419" s="1056"/>
      <c r="V2419" s="1056"/>
      <c r="W2419" s="1056"/>
      <c r="X2419" s="1056"/>
      <c r="Y2419" s="1056"/>
      <c r="Z2419" s="1056"/>
      <c r="AA2419" s="1056"/>
      <c r="AB2419" s="1056"/>
      <c r="AC2419" s="1056"/>
      <c r="AD2419" s="1056"/>
      <c r="AE2419" s="1056"/>
      <c r="AF2419" s="264"/>
    </row>
    <row r="2420" spans="1:32" s="268" customFormat="1" ht="15" x14ac:dyDescent="0.25">
      <c r="A2420" s="264"/>
      <c r="B2420" s="264"/>
      <c r="C2420" s="1056"/>
      <c r="D2420" s="1056"/>
      <c r="E2420" s="1056"/>
      <c r="F2420" s="1056"/>
      <c r="G2420" s="1056"/>
      <c r="H2420" s="1056"/>
      <c r="I2420" s="1056"/>
      <c r="J2420" s="1056"/>
      <c r="K2420" s="1056"/>
      <c r="L2420" s="1056"/>
      <c r="M2420" s="274"/>
      <c r="P2420" s="264"/>
      <c r="Q2420" s="264"/>
      <c r="R2420" s="264"/>
      <c r="S2420" s="264"/>
      <c r="T2420" s="1056"/>
      <c r="U2420" s="1056"/>
      <c r="V2420" s="1056"/>
      <c r="W2420" s="1056"/>
      <c r="X2420" s="1056"/>
      <c r="Y2420" s="1056"/>
      <c r="Z2420" s="1056"/>
      <c r="AA2420" s="1056"/>
      <c r="AB2420" s="1056"/>
      <c r="AC2420" s="1056"/>
      <c r="AD2420" s="1056"/>
      <c r="AE2420" s="1056"/>
      <c r="AF2420" s="264"/>
    </row>
    <row r="2421" spans="1:32" s="268" customFormat="1" ht="15" x14ac:dyDescent="0.25">
      <c r="A2421" s="264"/>
      <c r="B2421" s="264"/>
      <c r="C2421" s="1056"/>
      <c r="D2421" s="1056"/>
      <c r="E2421" s="1056"/>
      <c r="F2421" s="1056"/>
      <c r="G2421" s="1056"/>
      <c r="H2421" s="1056"/>
      <c r="I2421" s="1056"/>
      <c r="J2421" s="1056"/>
      <c r="K2421" s="1056"/>
      <c r="L2421" s="1056"/>
      <c r="M2421" s="274"/>
      <c r="P2421" s="264"/>
      <c r="Q2421" s="264"/>
      <c r="R2421" s="264"/>
      <c r="S2421" s="264"/>
      <c r="T2421" s="1056"/>
      <c r="U2421" s="1056"/>
      <c r="V2421" s="1056"/>
      <c r="W2421" s="1056"/>
      <c r="X2421" s="1056"/>
      <c r="Y2421" s="1056"/>
      <c r="Z2421" s="1056"/>
      <c r="AA2421" s="1056"/>
      <c r="AB2421" s="1056"/>
      <c r="AC2421" s="1056"/>
      <c r="AD2421" s="1056"/>
      <c r="AE2421" s="1056"/>
      <c r="AF2421" s="264"/>
    </row>
    <row r="2422" spans="1:32" s="268" customFormat="1" ht="15" x14ac:dyDescent="0.25">
      <c r="A2422" s="264"/>
      <c r="B2422" s="264"/>
      <c r="C2422" s="1056"/>
      <c r="D2422" s="1056"/>
      <c r="E2422" s="1056"/>
      <c r="F2422" s="1056"/>
      <c r="G2422" s="1056"/>
      <c r="H2422" s="1056"/>
      <c r="I2422" s="1056"/>
      <c r="J2422" s="1056"/>
      <c r="K2422" s="1056"/>
      <c r="L2422" s="1056"/>
      <c r="M2422" s="274"/>
      <c r="P2422" s="264"/>
      <c r="Q2422" s="264"/>
      <c r="R2422" s="264"/>
      <c r="S2422" s="264"/>
      <c r="T2422" s="1056"/>
      <c r="U2422" s="1056"/>
      <c r="V2422" s="1056"/>
      <c r="W2422" s="1056"/>
      <c r="X2422" s="1056"/>
      <c r="Y2422" s="1056"/>
      <c r="Z2422" s="1056"/>
      <c r="AA2422" s="1056"/>
      <c r="AB2422" s="1056"/>
      <c r="AC2422" s="1056"/>
      <c r="AD2422" s="1056"/>
      <c r="AE2422" s="1056"/>
      <c r="AF2422" s="264"/>
    </row>
    <row r="2423" spans="1:32" s="268" customFormat="1" ht="15" x14ac:dyDescent="0.25">
      <c r="A2423" s="264"/>
      <c r="B2423" s="264"/>
      <c r="C2423" s="1056"/>
      <c r="D2423" s="1056"/>
      <c r="E2423" s="1056"/>
      <c r="F2423" s="1056"/>
      <c r="G2423" s="1056"/>
      <c r="H2423" s="1056"/>
      <c r="I2423" s="1056"/>
      <c r="J2423" s="1056"/>
      <c r="K2423" s="1056"/>
      <c r="L2423" s="1056"/>
      <c r="M2423" s="274"/>
      <c r="P2423" s="264"/>
      <c r="Q2423" s="264"/>
      <c r="R2423" s="264"/>
      <c r="S2423" s="264"/>
      <c r="T2423" s="1056"/>
      <c r="U2423" s="1056"/>
      <c r="V2423" s="1056"/>
      <c r="W2423" s="1056"/>
      <c r="X2423" s="1056"/>
      <c r="Y2423" s="1056"/>
      <c r="Z2423" s="1056"/>
      <c r="AA2423" s="1056"/>
      <c r="AB2423" s="1056"/>
      <c r="AC2423" s="1056"/>
      <c r="AD2423" s="1056"/>
      <c r="AE2423" s="1056"/>
      <c r="AF2423" s="264"/>
    </row>
    <row r="2424" spans="1:32" s="268" customFormat="1" ht="15" x14ac:dyDescent="0.25">
      <c r="A2424" s="264"/>
      <c r="B2424" s="264"/>
      <c r="C2424" s="1056"/>
      <c r="D2424" s="1056"/>
      <c r="E2424" s="1056"/>
      <c r="F2424" s="1056"/>
      <c r="G2424" s="1056"/>
      <c r="H2424" s="1056"/>
      <c r="I2424" s="1056"/>
      <c r="J2424" s="1056"/>
      <c r="K2424" s="1056"/>
      <c r="L2424" s="1056"/>
      <c r="M2424" s="274"/>
      <c r="P2424" s="264"/>
      <c r="Q2424" s="264"/>
      <c r="R2424" s="264"/>
      <c r="S2424" s="264"/>
      <c r="T2424" s="1056"/>
      <c r="U2424" s="1056"/>
      <c r="V2424" s="1056"/>
      <c r="W2424" s="1056"/>
      <c r="X2424" s="1056"/>
      <c r="Y2424" s="1056"/>
      <c r="Z2424" s="1056"/>
      <c r="AA2424" s="1056"/>
      <c r="AB2424" s="1056"/>
      <c r="AC2424" s="1056"/>
      <c r="AD2424" s="1056"/>
      <c r="AE2424" s="1056"/>
      <c r="AF2424" s="264"/>
    </row>
    <row r="2425" spans="1:32" s="268" customFormat="1" ht="15" x14ac:dyDescent="0.25">
      <c r="A2425" s="264"/>
      <c r="B2425" s="264"/>
      <c r="C2425" s="1056"/>
      <c r="D2425" s="1056"/>
      <c r="E2425" s="1056"/>
      <c r="F2425" s="1056"/>
      <c r="G2425" s="1056"/>
      <c r="H2425" s="1056"/>
      <c r="I2425" s="1056"/>
      <c r="J2425" s="1056"/>
      <c r="K2425" s="1056"/>
      <c r="L2425" s="1056"/>
      <c r="M2425" s="274"/>
      <c r="P2425" s="264"/>
      <c r="Q2425" s="264"/>
      <c r="R2425" s="264"/>
      <c r="S2425" s="264"/>
      <c r="T2425" s="1056"/>
      <c r="U2425" s="1056"/>
      <c r="V2425" s="1056"/>
      <c r="W2425" s="1056"/>
      <c r="X2425" s="1056"/>
      <c r="Y2425" s="1056"/>
      <c r="Z2425" s="1056"/>
      <c r="AA2425" s="1056"/>
      <c r="AB2425" s="1056"/>
      <c r="AC2425" s="1056"/>
      <c r="AD2425" s="1056"/>
      <c r="AE2425" s="1056"/>
      <c r="AF2425" s="264"/>
    </row>
    <row r="2426" spans="1:32" s="268" customFormat="1" ht="15" x14ac:dyDescent="0.25">
      <c r="A2426" s="264"/>
      <c r="B2426" s="264"/>
      <c r="C2426" s="1056"/>
      <c r="D2426" s="1056"/>
      <c r="E2426" s="1056"/>
      <c r="F2426" s="1056"/>
      <c r="G2426" s="1056"/>
      <c r="H2426" s="1056"/>
      <c r="I2426" s="1056"/>
      <c r="J2426" s="1056"/>
      <c r="K2426" s="1056"/>
      <c r="L2426" s="1056"/>
      <c r="M2426" s="274"/>
      <c r="P2426" s="264"/>
      <c r="Q2426" s="264"/>
      <c r="R2426" s="264"/>
      <c r="S2426" s="264"/>
      <c r="T2426" s="1056"/>
      <c r="U2426" s="1056"/>
      <c r="V2426" s="1056"/>
      <c r="W2426" s="1056"/>
      <c r="X2426" s="1056"/>
      <c r="Y2426" s="1056"/>
      <c r="Z2426" s="1056"/>
      <c r="AA2426" s="1056"/>
      <c r="AB2426" s="1056"/>
      <c r="AC2426" s="1056"/>
      <c r="AD2426" s="1056"/>
      <c r="AE2426" s="1056"/>
      <c r="AF2426" s="264"/>
    </row>
    <row r="2427" spans="1:32" s="268" customFormat="1" ht="15" x14ac:dyDescent="0.25">
      <c r="A2427" s="264"/>
      <c r="B2427" s="264"/>
      <c r="C2427" s="1056"/>
      <c r="D2427" s="1056"/>
      <c r="E2427" s="1056"/>
      <c r="F2427" s="1056"/>
      <c r="G2427" s="1056"/>
      <c r="H2427" s="1056"/>
      <c r="I2427" s="1056"/>
      <c r="J2427" s="1056"/>
      <c r="K2427" s="1056"/>
      <c r="L2427" s="1056"/>
      <c r="M2427" s="274"/>
      <c r="P2427" s="264"/>
      <c r="Q2427" s="264"/>
      <c r="R2427" s="264"/>
      <c r="S2427" s="264"/>
      <c r="T2427" s="1056"/>
      <c r="U2427" s="1056"/>
      <c r="V2427" s="1056"/>
      <c r="W2427" s="1056"/>
      <c r="X2427" s="1056"/>
      <c r="Y2427" s="1056"/>
      <c r="Z2427" s="1056"/>
      <c r="AA2427" s="1056"/>
      <c r="AB2427" s="1056"/>
      <c r="AC2427" s="1056"/>
      <c r="AD2427" s="1056"/>
      <c r="AE2427" s="1056"/>
      <c r="AF2427" s="264"/>
    </row>
  </sheetData>
  <mergeCells count="4">
    <mergeCell ref="A3:B3"/>
    <mergeCell ref="A41:B41"/>
    <mergeCell ref="A42:B42"/>
    <mergeCell ref="A1:M1"/>
  </mergeCells>
  <pageMargins left="0.511811024" right="0.511811024" top="0.78740157499999996" bottom="0.78740157499999996" header="0.31496062000000002" footer="0.31496062000000002"/>
  <pageSetup paperSize="9" orientation="portrait" r:id="rId1"/>
  <ignoredErrors>
    <ignoredError sqref="AD12 X27 AD28 AC34 Z40"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2:T213"/>
  <sheetViews>
    <sheetView showGridLines="0" topLeftCell="B1" zoomScale="90" zoomScaleNormal="90" workbookViewId="0">
      <selection activeCell="F15" sqref="F15"/>
    </sheetView>
  </sheetViews>
  <sheetFormatPr defaultColWidth="9.140625" defaultRowHeight="18" customHeight="1" x14ac:dyDescent="0.25"/>
  <cols>
    <col min="1" max="1" width="25" style="38" hidden="1" customWidth="1"/>
    <col min="2" max="2" width="44.5703125" style="13" customWidth="1"/>
    <col min="3" max="3" width="15.7109375" style="40" customWidth="1"/>
    <col min="4" max="14" width="15.7109375" style="13" customWidth="1"/>
    <col min="15" max="15" width="18.140625" style="13" bestFit="1" customWidth="1"/>
    <col min="16" max="16" width="17.42578125" style="13" customWidth="1"/>
    <col min="17" max="17" width="24.42578125" style="71" bestFit="1" customWidth="1"/>
    <col min="18" max="18" width="18.140625" style="13" customWidth="1"/>
    <col min="19" max="19" width="13" style="13" customWidth="1"/>
    <col min="20" max="20" width="14.28515625" style="13" bestFit="1" customWidth="1"/>
    <col min="21" max="16384" width="9.140625" style="13"/>
  </cols>
  <sheetData>
    <row r="2" spans="1:19" ht="18" customHeight="1" x14ac:dyDescent="0.25">
      <c r="C2" s="109"/>
      <c r="I2" s="109"/>
      <c r="O2" s="109"/>
      <c r="P2" s="109"/>
    </row>
    <row r="3" spans="1:19" ht="18" customHeight="1" x14ac:dyDescent="0.25">
      <c r="C3" s="109"/>
      <c r="D3" s="110"/>
      <c r="J3" s="43"/>
      <c r="O3" s="109"/>
    </row>
    <row r="4" spans="1:19" ht="18" customHeight="1" thickBot="1" x14ac:dyDescent="0.3">
      <c r="C4" s="109"/>
      <c r="I4" s="43"/>
      <c r="O4" s="1182"/>
    </row>
    <row r="5" spans="1:19" s="11" customFormat="1" ht="18" customHeight="1" thickBot="1" x14ac:dyDescent="0.3">
      <c r="A5" s="2697" t="s">
        <v>0</v>
      </c>
      <c r="B5" s="2699" t="s">
        <v>145</v>
      </c>
      <c r="C5" s="1047" t="s">
        <v>3716</v>
      </c>
      <c r="D5" s="1046" t="s">
        <v>3717</v>
      </c>
      <c r="E5" s="1046" t="s">
        <v>3718</v>
      </c>
      <c r="F5" s="1046" t="s">
        <v>3719</v>
      </c>
      <c r="G5" s="1046" t="s">
        <v>3720</v>
      </c>
      <c r="H5" s="1046" t="s">
        <v>3721</v>
      </c>
      <c r="I5" s="1046" t="s">
        <v>3722</v>
      </c>
      <c r="J5" s="1046" t="s">
        <v>3723</v>
      </c>
      <c r="K5" s="1046" t="s">
        <v>3724</v>
      </c>
      <c r="L5" s="1046" t="s">
        <v>3725</v>
      </c>
      <c r="M5" s="1046" t="s">
        <v>3726</v>
      </c>
      <c r="N5" s="1046" t="s">
        <v>3727</v>
      </c>
      <c r="O5" s="2683" t="s">
        <v>162</v>
      </c>
      <c r="P5" s="1172"/>
      <c r="Q5" s="1172"/>
    </row>
    <row r="6" spans="1:19" s="11" customFormat="1" ht="18" customHeight="1" thickBot="1" x14ac:dyDescent="0.3">
      <c r="A6" s="2698"/>
      <c r="B6" s="2700"/>
      <c r="C6" s="1050" t="s">
        <v>3728</v>
      </c>
      <c r="D6" s="228" t="s">
        <v>3728</v>
      </c>
      <c r="E6" s="228" t="s">
        <v>3728</v>
      </c>
      <c r="F6" s="228" t="s">
        <v>3728</v>
      </c>
      <c r="G6" s="228" t="s">
        <v>3728</v>
      </c>
      <c r="H6" s="228" t="s">
        <v>3728</v>
      </c>
      <c r="I6" s="228" t="s">
        <v>3728</v>
      </c>
      <c r="J6" s="228" t="s">
        <v>3728</v>
      </c>
      <c r="K6" s="228" t="s">
        <v>3728</v>
      </c>
      <c r="L6" s="228" t="s">
        <v>3728</v>
      </c>
      <c r="M6" s="228" t="s">
        <v>3728</v>
      </c>
      <c r="N6" s="228" t="s">
        <v>3728</v>
      </c>
      <c r="O6" s="2684"/>
      <c r="P6" s="1183"/>
      <c r="Q6" s="1172"/>
    </row>
    <row r="7" spans="1:19" s="1" customFormat="1" ht="18" customHeight="1" thickBot="1" x14ac:dyDescent="0.3">
      <c r="A7" s="58"/>
      <c r="B7" s="1247" t="s">
        <v>3715</v>
      </c>
      <c r="C7" s="1248">
        <f t="shared" ref="C7:N7" si="0">SUM(C8+C14+C18+C30)</f>
        <v>20957848.276193332</v>
      </c>
      <c r="D7" s="1248">
        <f t="shared" si="0"/>
        <v>20957848.276193332</v>
      </c>
      <c r="E7" s="1248">
        <f t="shared" si="0"/>
        <v>20957848.276193332</v>
      </c>
      <c r="F7" s="1248">
        <f t="shared" si="0"/>
        <v>20961435.879143331</v>
      </c>
      <c r="G7" s="1248">
        <f t="shared" si="0"/>
        <v>21698657.746683333</v>
      </c>
      <c r="H7" s="1248">
        <f t="shared" si="0"/>
        <v>22003879.087863334</v>
      </c>
      <c r="I7" s="1249">
        <f t="shared" si="0"/>
        <v>22038954.845723331</v>
      </c>
      <c r="J7" s="1248">
        <f t="shared" si="0"/>
        <v>22133965.53754333</v>
      </c>
      <c r="K7" s="1250">
        <f t="shared" si="0"/>
        <v>22194970.131253332</v>
      </c>
      <c r="L7" s="1250">
        <f t="shared" si="0"/>
        <v>21696416.377253331</v>
      </c>
      <c r="M7" s="1251">
        <f t="shared" si="0"/>
        <v>21929386.14511333</v>
      </c>
      <c r="N7" s="1250">
        <f t="shared" si="0"/>
        <v>21758426.14514333</v>
      </c>
      <c r="O7" s="1252">
        <f t="shared" ref="O7:O14" si="1">C7+D7+E7+F7+G7+H7+I7+J7+K7+L7+M7+N7</f>
        <v>259289636.72429994</v>
      </c>
      <c r="P7" s="195"/>
      <c r="Q7" s="1176"/>
      <c r="R7" s="2"/>
      <c r="S7" s="2"/>
    </row>
    <row r="8" spans="1:19" s="119" customFormat="1" ht="18" customHeight="1" thickBot="1" x14ac:dyDescent="0.3">
      <c r="A8" s="376"/>
      <c r="B8" s="378" t="s">
        <v>161</v>
      </c>
      <c r="C8" s="115">
        <f t="shared" ref="C8:N8" si="2">SUM(C9:C13)</f>
        <v>19823201.632860001</v>
      </c>
      <c r="D8" s="4">
        <f t="shared" si="2"/>
        <v>19823201.632860001</v>
      </c>
      <c r="E8" s="4">
        <f t="shared" si="2"/>
        <v>19823201.632860001</v>
      </c>
      <c r="F8" s="4">
        <f t="shared" si="2"/>
        <v>19826789.23581</v>
      </c>
      <c r="G8" s="115">
        <f t="shared" si="2"/>
        <v>20364011.103350002</v>
      </c>
      <c r="H8" s="4">
        <f t="shared" si="2"/>
        <v>20869232.444530003</v>
      </c>
      <c r="I8" s="4">
        <f t="shared" si="2"/>
        <v>20896308.20239</v>
      </c>
      <c r="J8" s="4">
        <f t="shared" si="2"/>
        <v>20991318.89421</v>
      </c>
      <c r="K8" s="4">
        <f t="shared" si="2"/>
        <v>21052323.487920001</v>
      </c>
      <c r="L8" s="209">
        <f t="shared" si="2"/>
        <v>20553769.73392</v>
      </c>
      <c r="M8" s="209">
        <f t="shared" si="2"/>
        <v>20586739.50178</v>
      </c>
      <c r="N8" s="209">
        <f t="shared" si="2"/>
        <v>20615779.501809999</v>
      </c>
      <c r="O8" s="4">
        <f t="shared" si="1"/>
        <v>245225877.00430006</v>
      </c>
      <c r="Q8" s="550"/>
    </row>
    <row r="9" spans="1:19" s="119" customFormat="1" ht="18" customHeight="1" x14ac:dyDescent="0.25">
      <c r="A9" s="167"/>
      <c r="B9" s="331" t="s">
        <v>3674</v>
      </c>
      <c r="C9" s="1188">
        <v>12000000</v>
      </c>
      <c r="D9" s="1188">
        <f>C9</f>
        <v>12000000</v>
      </c>
      <c r="E9" s="1188">
        <f>D9</f>
        <v>12000000</v>
      </c>
      <c r="F9" s="1188">
        <v>12000000</v>
      </c>
      <c r="G9" s="1188">
        <v>12500000</v>
      </c>
      <c r="H9" s="1188">
        <v>13000000</v>
      </c>
      <c r="I9" s="1188">
        <v>13000000</v>
      </c>
      <c r="J9" s="1188">
        <f>I9</f>
        <v>13000000</v>
      </c>
      <c r="K9" s="1188">
        <f>J9</f>
        <v>13000000</v>
      </c>
      <c r="L9" s="1188">
        <v>12500000</v>
      </c>
      <c r="M9" s="1188">
        <f>L9</f>
        <v>12500000</v>
      </c>
      <c r="N9" s="1188">
        <f>M9</f>
        <v>12500000</v>
      </c>
      <c r="O9" s="1190">
        <f t="shared" si="1"/>
        <v>150000000</v>
      </c>
      <c r="Q9" s="12"/>
    </row>
    <row r="10" spans="1:19" s="119" customFormat="1" ht="18" customHeight="1" x14ac:dyDescent="0.25">
      <c r="A10" s="134" t="s">
        <v>135</v>
      </c>
      <c r="B10" s="382" t="s">
        <v>338</v>
      </c>
      <c r="C10" s="1189">
        <v>4281052.10286</v>
      </c>
      <c r="D10" s="1189">
        <v>4281052.10286</v>
      </c>
      <c r="E10" s="1189">
        <v>4281052.10286</v>
      </c>
      <c r="F10" s="1189">
        <v>4284639.7058100002</v>
      </c>
      <c r="G10" s="1189">
        <v>4321861.5733500002</v>
      </c>
      <c r="H10" s="1189">
        <v>4327082.9145299997</v>
      </c>
      <c r="I10" s="1189">
        <v>4354158.672389999</v>
      </c>
      <c r="J10" s="1189">
        <v>4449169.3642099993</v>
      </c>
      <c r="K10" s="1189">
        <v>4510173.957919999</v>
      </c>
      <c r="L10" s="1189">
        <v>4511620.2039199993</v>
      </c>
      <c r="M10" s="1189">
        <v>4544589.9717799993</v>
      </c>
      <c r="N10" s="1189">
        <v>4573629.9718099991</v>
      </c>
      <c r="O10" s="1191">
        <f t="shared" si="1"/>
        <v>52720082.644299999</v>
      </c>
      <c r="Q10" s="1174"/>
      <c r="R10" s="118"/>
    </row>
    <row r="11" spans="1:19" s="119" customFormat="1" ht="18" customHeight="1" x14ac:dyDescent="0.25">
      <c r="A11" s="122">
        <v>4882</v>
      </c>
      <c r="B11" s="382" t="s">
        <v>8</v>
      </c>
      <c r="C11" s="1190">
        <v>850000</v>
      </c>
      <c r="D11" s="1190">
        <f>C11</f>
        <v>850000</v>
      </c>
      <c r="E11" s="1190">
        <f t="shared" ref="E11:N11" si="3">D11</f>
        <v>850000</v>
      </c>
      <c r="F11" s="1190">
        <f t="shared" si="3"/>
        <v>850000</v>
      </c>
      <c r="G11" s="1190">
        <f t="shared" si="3"/>
        <v>850000</v>
      </c>
      <c r="H11" s="1190">
        <f t="shared" si="3"/>
        <v>850000</v>
      </c>
      <c r="I11" s="1190">
        <f t="shared" si="3"/>
        <v>850000</v>
      </c>
      <c r="J11" s="1190">
        <f t="shared" si="3"/>
        <v>850000</v>
      </c>
      <c r="K11" s="1190">
        <f t="shared" si="3"/>
        <v>850000</v>
      </c>
      <c r="L11" s="1190">
        <f t="shared" si="3"/>
        <v>850000</v>
      </c>
      <c r="M11" s="1190">
        <f t="shared" si="3"/>
        <v>850000</v>
      </c>
      <c r="N11" s="1190">
        <f t="shared" si="3"/>
        <v>850000</v>
      </c>
      <c r="O11" s="1190">
        <f t="shared" si="1"/>
        <v>10200000</v>
      </c>
      <c r="Q11" s="12"/>
    </row>
    <row r="12" spans="1:19" s="119" customFormat="1" ht="18" customHeight="1" x14ac:dyDescent="0.25">
      <c r="A12" s="150" t="s">
        <v>3708</v>
      </c>
      <c r="B12" s="382" t="s">
        <v>337</v>
      </c>
      <c r="C12" s="1190">
        <v>2292149.5299999998</v>
      </c>
      <c r="D12" s="1190">
        <f t="shared" ref="D12:N12" si="4">C12</f>
        <v>2292149.5299999998</v>
      </c>
      <c r="E12" s="1190">
        <f t="shared" si="4"/>
        <v>2292149.5299999998</v>
      </c>
      <c r="F12" s="1190">
        <f t="shared" si="4"/>
        <v>2292149.5299999998</v>
      </c>
      <c r="G12" s="1190">
        <f t="shared" si="4"/>
        <v>2292149.5299999998</v>
      </c>
      <c r="H12" s="1190">
        <f t="shared" si="4"/>
        <v>2292149.5299999998</v>
      </c>
      <c r="I12" s="1190">
        <f t="shared" si="4"/>
        <v>2292149.5299999998</v>
      </c>
      <c r="J12" s="1190">
        <f t="shared" si="4"/>
        <v>2292149.5299999998</v>
      </c>
      <c r="K12" s="1190">
        <f t="shared" si="4"/>
        <v>2292149.5299999998</v>
      </c>
      <c r="L12" s="1190">
        <f t="shared" si="4"/>
        <v>2292149.5299999998</v>
      </c>
      <c r="M12" s="1190">
        <f t="shared" si="4"/>
        <v>2292149.5299999998</v>
      </c>
      <c r="N12" s="1190">
        <f t="shared" si="4"/>
        <v>2292149.5299999998</v>
      </c>
      <c r="O12" s="1190">
        <f t="shared" si="1"/>
        <v>27505794.360000003</v>
      </c>
      <c r="Q12" s="550"/>
    </row>
    <row r="13" spans="1:19" s="119" customFormat="1" ht="18" customHeight="1" thickBot="1" x14ac:dyDescent="0.3">
      <c r="A13" s="150" t="s">
        <v>3634</v>
      </c>
      <c r="B13" s="382" t="s">
        <v>7</v>
      </c>
      <c r="C13" s="1191">
        <v>400000</v>
      </c>
      <c r="D13" s="1191">
        <f t="shared" ref="D13:N13" si="5">C13</f>
        <v>400000</v>
      </c>
      <c r="E13" s="1191">
        <f t="shared" si="5"/>
        <v>400000</v>
      </c>
      <c r="F13" s="1191">
        <f t="shared" si="5"/>
        <v>400000</v>
      </c>
      <c r="G13" s="1191">
        <f t="shared" si="5"/>
        <v>400000</v>
      </c>
      <c r="H13" s="1191">
        <f t="shared" si="5"/>
        <v>400000</v>
      </c>
      <c r="I13" s="1191">
        <f t="shared" si="5"/>
        <v>400000</v>
      </c>
      <c r="J13" s="1191">
        <f t="shared" si="5"/>
        <v>400000</v>
      </c>
      <c r="K13" s="1191">
        <f t="shared" si="5"/>
        <v>400000</v>
      </c>
      <c r="L13" s="1191">
        <f t="shared" si="5"/>
        <v>400000</v>
      </c>
      <c r="M13" s="1191">
        <f t="shared" si="5"/>
        <v>400000</v>
      </c>
      <c r="N13" s="1191">
        <f t="shared" si="5"/>
        <v>400000</v>
      </c>
      <c r="O13" s="1190">
        <f t="shared" si="1"/>
        <v>4800000</v>
      </c>
      <c r="Q13" s="12"/>
    </row>
    <row r="14" spans="1:19" s="119" customFormat="1" ht="18" customHeight="1" thickBot="1" x14ac:dyDescent="0.3">
      <c r="A14" s="429"/>
      <c r="B14" s="113" t="s">
        <v>159</v>
      </c>
      <c r="C14" s="4">
        <f>SUM(C15:C17)</f>
        <v>830730.42333333334</v>
      </c>
      <c r="D14" s="4">
        <f>SUM(D15:D17)</f>
        <v>830730.42333333334</v>
      </c>
      <c r="E14" s="4">
        <f t="shared" ref="E14:N14" si="6">SUM(E15:E17)</f>
        <v>830730.42333333334</v>
      </c>
      <c r="F14" s="4">
        <f t="shared" si="6"/>
        <v>830730.42333333334</v>
      </c>
      <c r="G14" s="4">
        <f t="shared" si="6"/>
        <v>830730.42333333334</v>
      </c>
      <c r="H14" s="4">
        <f t="shared" si="6"/>
        <v>830730.42333333334</v>
      </c>
      <c r="I14" s="4">
        <f t="shared" si="6"/>
        <v>830730.42333333334</v>
      </c>
      <c r="J14" s="4">
        <f t="shared" si="6"/>
        <v>830730.42333333334</v>
      </c>
      <c r="K14" s="4">
        <f t="shared" si="6"/>
        <v>830730.42333333334</v>
      </c>
      <c r="L14" s="4">
        <f t="shared" si="6"/>
        <v>830730.42333333334</v>
      </c>
      <c r="M14" s="4">
        <f t="shared" si="6"/>
        <v>830730.42333333334</v>
      </c>
      <c r="N14" s="4">
        <f t="shared" si="6"/>
        <v>830730.42333333334</v>
      </c>
      <c r="O14" s="4">
        <f t="shared" si="1"/>
        <v>9968765.0800000019</v>
      </c>
      <c r="Q14" s="550"/>
    </row>
    <row r="15" spans="1:19" s="119" customFormat="1" ht="18" customHeight="1" x14ac:dyDescent="0.25">
      <c r="A15" s="134">
        <v>55248</v>
      </c>
      <c r="B15" s="332" t="s">
        <v>9</v>
      </c>
      <c r="C15" s="1192">
        <v>199045.21</v>
      </c>
      <c r="D15" s="1192">
        <f>C15</f>
        <v>199045.21</v>
      </c>
      <c r="E15" s="1192">
        <f t="shared" ref="E15:N15" si="7">D15</f>
        <v>199045.21</v>
      </c>
      <c r="F15" s="1192">
        <f t="shared" si="7"/>
        <v>199045.21</v>
      </c>
      <c r="G15" s="1192">
        <f t="shared" si="7"/>
        <v>199045.21</v>
      </c>
      <c r="H15" s="1192">
        <f t="shared" si="7"/>
        <v>199045.21</v>
      </c>
      <c r="I15" s="1192">
        <f t="shared" si="7"/>
        <v>199045.21</v>
      </c>
      <c r="J15" s="1192">
        <f t="shared" si="7"/>
        <v>199045.21</v>
      </c>
      <c r="K15" s="1192">
        <f t="shared" si="7"/>
        <v>199045.21</v>
      </c>
      <c r="L15" s="1192">
        <f t="shared" si="7"/>
        <v>199045.21</v>
      </c>
      <c r="M15" s="1192">
        <f t="shared" si="7"/>
        <v>199045.21</v>
      </c>
      <c r="N15" s="1192">
        <f t="shared" si="7"/>
        <v>199045.21</v>
      </c>
      <c r="O15" s="1241">
        <f>C15+D15+E15+F15+G15+H15+I15+J15+K15+L15+M15+N15</f>
        <v>2388542.52</v>
      </c>
      <c r="Q15" s="1175"/>
    </row>
    <row r="16" spans="1:19" s="119" customFormat="1" ht="18" customHeight="1" x14ac:dyDescent="0.25">
      <c r="A16" s="139">
        <v>55249</v>
      </c>
      <c r="B16" s="382" t="s">
        <v>10</v>
      </c>
      <c r="C16" s="1193">
        <v>70360.213333333362</v>
      </c>
      <c r="D16" s="1193">
        <f t="shared" ref="D16:N16" si="8">C16</f>
        <v>70360.213333333362</v>
      </c>
      <c r="E16" s="1193">
        <f t="shared" si="8"/>
        <v>70360.213333333362</v>
      </c>
      <c r="F16" s="1193">
        <f t="shared" si="8"/>
        <v>70360.213333333362</v>
      </c>
      <c r="G16" s="1193">
        <f t="shared" si="8"/>
        <v>70360.213333333362</v>
      </c>
      <c r="H16" s="1193">
        <f t="shared" si="8"/>
        <v>70360.213333333362</v>
      </c>
      <c r="I16" s="1193">
        <f t="shared" si="8"/>
        <v>70360.213333333362</v>
      </c>
      <c r="J16" s="1193">
        <f t="shared" si="8"/>
        <v>70360.213333333362</v>
      </c>
      <c r="K16" s="1193">
        <f t="shared" si="8"/>
        <v>70360.213333333362</v>
      </c>
      <c r="L16" s="1193">
        <f t="shared" si="8"/>
        <v>70360.213333333362</v>
      </c>
      <c r="M16" s="1193">
        <f t="shared" si="8"/>
        <v>70360.213333333362</v>
      </c>
      <c r="N16" s="1193">
        <f t="shared" si="8"/>
        <v>70360.213333333362</v>
      </c>
      <c r="O16" s="1241">
        <f>C16+D16+E16+F16+G16+H16+I16+J16+K16+L16+M16+N16</f>
        <v>844322.56000000041</v>
      </c>
      <c r="Q16" s="1175"/>
    </row>
    <row r="17" spans="1:18" s="119" customFormat="1" ht="18" customHeight="1" thickBot="1" x14ac:dyDescent="0.3">
      <c r="A17" s="127">
        <v>55247</v>
      </c>
      <c r="B17" s="384" t="s">
        <v>11</v>
      </c>
      <c r="C17" s="1194">
        <v>561325</v>
      </c>
      <c r="D17" s="1194">
        <f t="shared" ref="D17:N17" si="9">C17</f>
        <v>561325</v>
      </c>
      <c r="E17" s="1194">
        <f t="shared" si="9"/>
        <v>561325</v>
      </c>
      <c r="F17" s="1194">
        <f t="shared" si="9"/>
        <v>561325</v>
      </c>
      <c r="G17" s="1194">
        <f t="shared" si="9"/>
        <v>561325</v>
      </c>
      <c r="H17" s="1194">
        <f t="shared" si="9"/>
        <v>561325</v>
      </c>
      <c r="I17" s="1194">
        <f t="shared" si="9"/>
        <v>561325</v>
      </c>
      <c r="J17" s="1194">
        <f t="shared" si="9"/>
        <v>561325</v>
      </c>
      <c r="K17" s="1194">
        <f t="shared" si="9"/>
        <v>561325</v>
      </c>
      <c r="L17" s="1194">
        <f t="shared" si="9"/>
        <v>561325</v>
      </c>
      <c r="M17" s="1194">
        <f t="shared" si="9"/>
        <v>561325</v>
      </c>
      <c r="N17" s="1194">
        <f t="shared" si="9"/>
        <v>561325</v>
      </c>
      <c r="O17" s="1241">
        <f>C17+D17+E17+F17+G17+H17+I17+J17+K17+L17+M17+N17</f>
        <v>6735900</v>
      </c>
      <c r="Q17" s="1175"/>
    </row>
    <row r="18" spans="1:18" s="119" customFormat="1" ht="18" customHeight="1" thickBot="1" x14ac:dyDescent="0.3">
      <c r="A18" s="140"/>
      <c r="B18" s="381" t="s">
        <v>160</v>
      </c>
      <c r="C18" s="7">
        <f t="shared" ref="C18:N18" si="10">SUM(C19:C29)</f>
        <v>248916.22</v>
      </c>
      <c r="D18" s="7">
        <f t="shared" si="10"/>
        <v>248916.22</v>
      </c>
      <c r="E18" s="7">
        <f t="shared" si="10"/>
        <v>248916.22</v>
      </c>
      <c r="F18" s="7">
        <f t="shared" si="10"/>
        <v>248916.22</v>
      </c>
      <c r="G18" s="7">
        <f t="shared" si="10"/>
        <v>448916.22</v>
      </c>
      <c r="H18" s="7">
        <f t="shared" si="10"/>
        <v>248916.22</v>
      </c>
      <c r="I18" s="7">
        <f t="shared" si="10"/>
        <v>256916.22</v>
      </c>
      <c r="J18" s="7">
        <f t="shared" si="10"/>
        <v>256916.22</v>
      </c>
      <c r="K18" s="7">
        <f t="shared" si="10"/>
        <v>256916.22</v>
      </c>
      <c r="L18" s="7">
        <f t="shared" si="10"/>
        <v>256916.22</v>
      </c>
      <c r="M18" s="7">
        <f t="shared" si="10"/>
        <v>456916.22</v>
      </c>
      <c r="N18" s="7">
        <f t="shared" si="10"/>
        <v>256916.22</v>
      </c>
      <c r="O18" s="209">
        <f>C18+D18+E18+F18+G18+H18+I18+J18+K18+L18+M18+N18</f>
        <v>3434994.6400000011</v>
      </c>
      <c r="Q18" s="550"/>
      <c r="R18" s="334"/>
    </row>
    <row r="19" spans="1:18" s="119" customFormat="1" ht="18" customHeight="1" x14ac:dyDescent="0.25">
      <c r="A19" s="141">
        <v>4962</v>
      </c>
      <c r="B19" s="381" t="s">
        <v>164</v>
      </c>
      <c r="C19" s="1195">
        <v>-50000</v>
      </c>
      <c r="D19" s="1195">
        <f>C19</f>
        <v>-50000</v>
      </c>
      <c r="E19" s="1195">
        <f t="shared" ref="E19:E29" si="11">C19</f>
        <v>-50000</v>
      </c>
      <c r="F19" s="1195">
        <f t="shared" ref="F19:F29" si="12">D19</f>
        <v>-50000</v>
      </c>
      <c r="G19" s="1195">
        <f t="shared" ref="G19:G29" si="13">E19</f>
        <v>-50000</v>
      </c>
      <c r="H19" s="1195">
        <f t="shared" ref="H19:H29" si="14">F19</f>
        <v>-50000</v>
      </c>
      <c r="I19" s="1195">
        <f t="shared" ref="I19:I29" si="15">G19</f>
        <v>-50000</v>
      </c>
      <c r="J19" s="1195">
        <f t="shared" ref="J19:J29" si="16">H19</f>
        <v>-50000</v>
      </c>
      <c r="K19" s="1195">
        <f t="shared" ref="K19:K29" si="17">I19</f>
        <v>-50000</v>
      </c>
      <c r="L19" s="1195">
        <f t="shared" ref="L19:L29" si="18">J19</f>
        <v>-50000</v>
      </c>
      <c r="M19" s="1195">
        <f t="shared" ref="M19:M29" si="19">K19</f>
        <v>-50000</v>
      </c>
      <c r="N19" s="1195">
        <f t="shared" ref="N19:N29" si="20">L19</f>
        <v>-50000</v>
      </c>
      <c r="O19" s="1193">
        <f t="shared" ref="O19:O31" si="21">C19+D19+E19+F19+G19+H19+I19+J19+K19+L19+M19+N19</f>
        <v>-600000</v>
      </c>
      <c r="Q19" s="550"/>
      <c r="R19" s="334"/>
    </row>
    <row r="20" spans="1:18" s="119" customFormat="1" ht="18" customHeight="1" x14ac:dyDescent="0.25">
      <c r="A20" s="127">
        <v>27432</v>
      </c>
      <c r="B20" s="382" t="s">
        <v>16</v>
      </c>
      <c r="C20" s="1196">
        <f>3202.97+5713.25</f>
        <v>8916.2199999999993</v>
      </c>
      <c r="D20" s="1196">
        <f>$C$20</f>
        <v>8916.2199999999993</v>
      </c>
      <c r="E20" s="1196">
        <f t="shared" si="11"/>
        <v>8916.2199999999993</v>
      </c>
      <c r="F20" s="1196">
        <f t="shared" si="12"/>
        <v>8916.2199999999993</v>
      </c>
      <c r="G20" s="1196">
        <f t="shared" si="13"/>
        <v>8916.2199999999993</v>
      </c>
      <c r="H20" s="1196">
        <f>G20</f>
        <v>8916.2199999999993</v>
      </c>
      <c r="I20" s="1196">
        <f>H20+8000</f>
        <v>16916.22</v>
      </c>
      <c r="J20" s="1196">
        <f>I20</f>
        <v>16916.22</v>
      </c>
      <c r="K20" s="1196">
        <f>J20</f>
        <v>16916.22</v>
      </c>
      <c r="L20" s="1196">
        <f>K20</f>
        <v>16916.22</v>
      </c>
      <c r="M20" s="1196">
        <f>L20</f>
        <v>16916.22</v>
      </c>
      <c r="N20" s="1196">
        <f>M20</f>
        <v>16916.22</v>
      </c>
      <c r="O20" s="1193">
        <f t="shared" si="21"/>
        <v>154994.64000000001</v>
      </c>
      <c r="Q20" s="550"/>
    </row>
    <row r="21" spans="1:18" s="119" customFormat="1" ht="18" customHeight="1" x14ac:dyDescent="0.25">
      <c r="A21" s="127">
        <v>53327</v>
      </c>
      <c r="B21" s="332" t="s">
        <v>131</v>
      </c>
      <c r="C21" s="1197">
        <v>0</v>
      </c>
      <c r="D21" s="1198">
        <v>0</v>
      </c>
      <c r="E21" s="1198">
        <f t="shared" si="11"/>
        <v>0</v>
      </c>
      <c r="F21" s="1198">
        <f t="shared" si="12"/>
        <v>0</v>
      </c>
      <c r="G21" s="1198">
        <v>200000</v>
      </c>
      <c r="H21" s="1198">
        <f t="shared" si="14"/>
        <v>0</v>
      </c>
      <c r="I21" s="1198">
        <v>0</v>
      </c>
      <c r="J21" s="1198">
        <f t="shared" si="16"/>
        <v>0</v>
      </c>
      <c r="K21" s="1197">
        <f t="shared" si="17"/>
        <v>0</v>
      </c>
      <c r="L21" s="1197">
        <f t="shared" si="18"/>
        <v>0</v>
      </c>
      <c r="M21" s="1198">
        <v>200000</v>
      </c>
      <c r="N21" s="1198">
        <f t="shared" si="20"/>
        <v>0</v>
      </c>
      <c r="O21" s="1198">
        <f t="shared" si="21"/>
        <v>400000</v>
      </c>
      <c r="Q21" s="12"/>
    </row>
    <row r="22" spans="1:18" s="119" customFormat="1" ht="18" customHeight="1" x14ac:dyDescent="0.25">
      <c r="A22" s="127">
        <v>5180</v>
      </c>
      <c r="B22" s="989" t="s">
        <v>18</v>
      </c>
      <c r="C22" s="1196">
        <v>20000</v>
      </c>
      <c r="D22" s="1196">
        <f>$C$22</f>
        <v>20000</v>
      </c>
      <c r="E22" s="1196">
        <f t="shared" si="11"/>
        <v>20000</v>
      </c>
      <c r="F22" s="1196">
        <f t="shared" si="12"/>
        <v>20000</v>
      </c>
      <c r="G22" s="1196">
        <f t="shared" si="13"/>
        <v>20000</v>
      </c>
      <c r="H22" s="1196">
        <f t="shared" si="14"/>
        <v>20000</v>
      </c>
      <c r="I22" s="1196">
        <f t="shared" si="15"/>
        <v>20000</v>
      </c>
      <c r="J22" s="1196">
        <f t="shared" si="16"/>
        <v>20000</v>
      </c>
      <c r="K22" s="1196">
        <f t="shared" si="17"/>
        <v>20000</v>
      </c>
      <c r="L22" s="1196">
        <f t="shared" si="18"/>
        <v>20000</v>
      </c>
      <c r="M22" s="1196">
        <f t="shared" si="19"/>
        <v>20000</v>
      </c>
      <c r="N22" s="1196">
        <f t="shared" si="20"/>
        <v>20000</v>
      </c>
      <c r="O22" s="1193">
        <f t="shared" si="21"/>
        <v>240000</v>
      </c>
      <c r="Q22" s="550"/>
    </row>
    <row r="23" spans="1:18" s="119" customFormat="1" ht="18" customHeight="1" x14ac:dyDescent="0.25">
      <c r="A23" s="127">
        <v>5193</v>
      </c>
      <c r="B23" s="989" t="s">
        <v>128</v>
      </c>
      <c r="C23" s="1196">
        <v>10000</v>
      </c>
      <c r="D23" s="1196">
        <f>$C$23</f>
        <v>10000</v>
      </c>
      <c r="E23" s="1196">
        <f t="shared" si="11"/>
        <v>10000</v>
      </c>
      <c r="F23" s="1196">
        <f t="shared" si="12"/>
        <v>10000</v>
      </c>
      <c r="G23" s="1196">
        <f t="shared" si="13"/>
        <v>10000</v>
      </c>
      <c r="H23" s="1196">
        <f t="shared" si="14"/>
        <v>10000</v>
      </c>
      <c r="I23" s="1196">
        <f t="shared" si="15"/>
        <v>10000</v>
      </c>
      <c r="J23" s="1196">
        <f t="shared" si="16"/>
        <v>10000</v>
      </c>
      <c r="K23" s="1196">
        <f t="shared" si="17"/>
        <v>10000</v>
      </c>
      <c r="L23" s="1196">
        <f t="shared" si="18"/>
        <v>10000</v>
      </c>
      <c r="M23" s="1196">
        <f t="shared" si="19"/>
        <v>10000</v>
      </c>
      <c r="N23" s="1196">
        <f t="shared" si="20"/>
        <v>10000</v>
      </c>
      <c r="O23" s="1193">
        <f t="shared" si="21"/>
        <v>120000</v>
      </c>
      <c r="Q23" s="550"/>
    </row>
    <row r="24" spans="1:18" s="119" customFormat="1" ht="18" customHeight="1" x14ac:dyDescent="0.25">
      <c r="A24" s="127">
        <v>5194</v>
      </c>
      <c r="B24" s="382" t="s">
        <v>20</v>
      </c>
      <c r="C24" s="1196">
        <v>1000</v>
      </c>
      <c r="D24" s="1196">
        <f>$C$24</f>
        <v>1000</v>
      </c>
      <c r="E24" s="1196">
        <f t="shared" si="11"/>
        <v>1000</v>
      </c>
      <c r="F24" s="1196">
        <f t="shared" si="12"/>
        <v>1000</v>
      </c>
      <c r="G24" s="1196">
        <f t="shared" si="13"/>
        <v>1000</v>
      </c>
      <c r="H24" s="1196">
        <f t="shared" si="14"/>
        <v>1000</v>
      </c>
      <c r="I24" s="1196">
        <f t="shared" si="15"/>
        <v>1000</v>
      </c>
      <c r="J24" s="1196">
        <f t="shared" si="16"/>
        <v>1000</v>
      </c>
      <c r="K24" s="1196">
        <f t="shared" si="17"/>
        <v>1000</v>
      </c>
      <c r="L24" s="1196">
        <f t="shared" si="18"/>
        <v>1000</v>
      </c>
      <c r="M24" s="1196">
        <f t="shared" si="19"/>
        <v>1000</v>
      </c>
      <c r="N24" s="1196">
        <f t="shared" si="20"/>
        <v>1000</v>
      </c>
      <c r="O24" s="1193">
        <f t="shared" si="21"/>
        <v>12000</v>
      </c>
      <c r="Q24" s="550"/>
    </row>
    <row r="25" spans="1:18" s="119" customFormat="1" ht="18" customHeight="1" x14ac:dyDescent="0.25">
      <c r="A25" s="127">
        <v>27379</v>
      </c>
      <c r="B25" s="332" t="s">
        <v>3776</v>
      </c>
      <c r="C25" s="1189">
        <v>8500</v>
      </c>
      <c r="D25" s="1189">
        <f>$C$25</f>
        <v>8500</v>
      </c>
      <c r="E25" s="1189">
        <f t="shared" si="11"/>
        <v>8500</v>
      </c>
      <c r="F25" s="1189">
        <f t="shared" si="12"/>
        <v>8500</v>
      </c>
      <c r="G25" s="1189">
        <f t="shared" si="13"/>
        <v>8500</v>
      </c>
      <c r="H25" s="1189">
        <f t="shared" si="14"/>
        <v>8500</v>
      </c>
      <c r="I25" s="1189">
        <f t="shared" si="15"/>
        <v>8500</v>
      </c>
      <c r="J25" s="1189">
        <f t="shared" si="16"/>
        <v>8500</v>
      </c>
      <c r="K25" s="1189">
        <f t="shared" si="17"/>
        <v>8500</v>
      </c>
      <c r="L25" s="1189">
        <f t="shared" si="18"/>
        <v>8500</v>
      </c>
      <c r="M25" s="1189">
        <f t="shared" si="19"/>
        <v>8500</v>
      </c>
      <c r="N25" s="1189">
        <f t="shared" si="20"/>
        <v>8500</v>
      </c>
      <c r="O25" s="1198">
        <f t="shared" si="21"/>
        <v>102000</v>
      </c>
      <c r="Q25" s="12"/>
    </row>
    <row r="26" spans="1:18" s="119" customFormat="1" ht="18" customHeight="1" x14ac:dyDescent="0.25">
      <c r="A26" s="150" t="s">
        <v>142</v>
      </c>
      <c r="B26" s="382" t="s">
        <v>15</v>
      </c>
      <c r="C26" s="1196">
        <v>75000</v>
      </c>
      <c r="D26" s="1196">
        <f>$C$26</f>
        <v>75000</v>
      </c>
      <c r="E26" s="1196">
        <f t="shared" si="11"/>
        <v>75000</v>
      </c>
      <c r="F26" s="1196">
        <f t="shared" si="12"/>
        <v>75000</v>
      </c>
      <c r="G26" s="1196">
        <f t="shared" si="13"/>
        <v>75000</v>
      </c>
      <c r="H26" s="1196">
        <f t="shared" si="14"/>
        <v>75000</v>
      </c>
      <c r="I26" s="1196">
        <f t="shared" si="15"/>
        <v>75000</v>
      </c>
      <c r="J26" s="1196">
        <f t="shared" si="16"/>
        <v>75000</v>
      </c>
      <c r="K26" s="1196">
        <f t="shared" si="17"/>
        <v>75000</v>
      </c>
      <c r="L26" s="1196">
        <f t="shared" si="18"/>
        <v>75000</v>
      </c>
      <c r="M26" s="1196">
        <f t="shared" si="19"/>
        <v>75000</v>
      </c>
      <c r="N26" s="1196">
        <f t="shared" si="20"/>
        <v>75000</v>
      </c>
      <c r="O26" s="1193">
        <f t="shared" si="21"/>
        <v>900000</v>
      </c>
      <c r="Q26" s="550"/>
    </row>
    <row r="27" spans="1:18" s="119" customFormat="1" ht="18" customHeight="1" x14ac:dyDescent="0.25">
      <c r="A27" s="127">
        <v>5001</v>
      </c>
      <c r="B27" s="382" t="s">
        <v>12</v>
      </c>
      <c r="C27" s="1196">
        <v>130000</v>
      </c>
      <c r="D27" s="1196">
        <f>$C$27</f>
        <v>130000</v>
      </c>
      <c r="E27" s="1196">
        <f t="shared" si="11"/>
        <v>130000</v>
      </c>
      <c r="F27" s="1196">
        <f t="shared" si="12"/>
        <v>130000</v>
      </c>
      <c r="G27" s="1196">
        <f t="shared" si="13"/>
        <v>130000</v>
      </c>
      <c r="H27" s="1196">
        <f t="shared" si="14"/>
        <v>130000</v>
      </c>
      <c r="I27" s="1196">
        <f t="shared" si="15"/>
        <v>130000</v>
      </c>
      <c r="J27" s="1196">
        <f t="shared" si="16"/>
        <v>130000</v>
      </c>
      <c r="K27" s="1196">
        <f t="shared" si="17"/>
        <v>130000</v>
      </c>
      <c r="L27" s="1196">
        <f t="shared" si="18"/>
        <v>130000</v>
      </c>
      <c r="M27" s="1196">
        <f t="shared" si="19"/>
        <v>130000</v>
      </c>
      <c r="N27" s="1196">
        <f t="shared" si="20"/>
        <v>130000</v>
      </c>
      <c r="O27" s="1193">
        <f t="shared" si="21"/>
        <v>1560000</v>
      </c>
      <c r="Q27" s="550"/>
      <c r="R27" s="334"/>
    </row>
    <row r="28" spans="1:18" s="119" customFormat="1" ht="18" customHeight="1" x14ac:dyDescent="0.25">
      <c r="A28" s="127">
        <v>55244</v>
      </c>
      <c r="B28" s="332" t="s">
        <v>22</v>
      </c>
      <c r="C28" s="1196">
        <v>42000</v>
      </c>
      <c r="D28" s="1196">
        <f>$C$28</f>
        <v>42000</v>
      </c>
      <c r="E28" s="1196">
        <f t="shared" si="11"/>
        <v>42000</v>
      </c>
      <c r="F28" s="1196">
        <f t="shared" si="12"/>
        <v>42000</v>
      </c>
      <c r="G28" s="1196">
        <f t="shared" si="13"/>
        <v>42000</v>
      </c>
      <c r="H28" s="1196">
        <f t="shared" si="14"/>
        <v>42000</v>
      </c>
      <c r="I28" s="1196">
        <f t="shared" si="15"/>
        <v>42000</v>
      </c>
      <c r="J28" s="1196">
        <f t="shared" si="16"/>
        <v>42000</v>
      </c>
      <c r="K28" s="1196">
        <f t="shared" si="17"/>
        <v>42000</v>
      </c>
      <c r="L28" s="1196">
        <f t="shared" si="18"/>
        <v>42000</v>
      </c>
      <c r="M28" s="1196">
        <f t="shared" si="19"/>
        <v>42000</v>
      </c>
      <c r="N28" s="1196">
        <f t="shared" si="20"/>
        <v>42000</v>
      </c>
      <c r="O28" s="1193">
        <f t="shared" si="21"/>
        <v>504000</v>
      </c>
      <c r="Q28" s="12"/>
    </row>
    <row r="29" spans="1:18" s="119" customFormat="1" ht="18" customHeight="1" thickBot="1" x14ac:dyDescent="0.3">
      <c r="A29" s="127">
        <v>5181</v>
      </c>
      <c r="B29" s="382" t="s">
        <v>19</v>
      </c>
      <c r="C29" s="1196">
        <v>3500</v>
      </c>
      <c r="D29" s="1196">
        <f>$C$29</f>
        <v>3500</v>
      </c>
      <c r="E29" s="1196">
        <f t="shared" si="11"/>
        <v>3500</v>
      </c>
      <c r="F29" s="1196">
        <f t="shared" si="12"/>
        <v>3500</v>
      </c>
      <c r="G29" s="1196">
        <f t="shared" si="13"/>
        <v>3500</v>
      </c>
      <c r="H29" s="1196">
        <f t="shared" si="14"/>
        <v>3500</v>
      </c>
      <c r="I29" s="1196">
        <f t="shared" si="15"/>
        <v>3500</v>
      </c>
      <c r="J29" s="1196">
        <f t="shared" si="16"/>
        <v>3500</v>
      </c>
      <c r="K29" s="1196">
        <f t="shared" si="17"/>
        <v>3500</v>
      </c>
      <c r="L29" s="1196">
        <f t="shared" si="18"/>
        <v>3500</v>
      </c>
      <c r="M29" s="1196">
        <f t="shared" si="19"/>
        <v>3500</v>
      </c>
      <c r="N29" s="1196">
        <f t="shared" si="20"/>
        <v>3500</v>
      </c>
      <c r="O29" s="1193">
        <f t="shared" si="21"/>
        <v>42000</v>
      </c>
      <c r="Q29" s="550"/>
    </row>
    <row r="30" spans="1:18" s="119" customFormat="1" ht="18" customHeight="1" thickBot="1" x14ac:dyDescent="0.3">
      <c r="A30" s="166"/>
      <c r="B30" s="1067" t="s">
        <v>3760</v>
      </c>
      <c r="C30" s="4">
        <f>SUM(C31)</f>
        <v>55000</v>
      </c>
      <c r="D30" s="4">
        <f t="shared" ref="D30:N30" si="22">SUM(D31)</f>
        <v>55000</v>
      </c>
      <c r="E30" s="4">
        <f t="shared" si="22"/>
        <v>55000</v>
      </c>
      <c r="F30" s="4">
        <f t="shared" si="22"/>
        <v>55000</v>
      </c>
      <c r="G30" s="4">
        <f t="shared" si="22"/>
        <v>55000</v>
      </c>
      <c r="H30" s="4">
        <f t="shared" si="22"/>
        <v>55000</v>
      </c>
      <c r="I30" s="4">
        <f t="shared" si="22"/>
        <v>55000</v>
      </c>
      <c r="J30" s="4">
        <f t="shared" si="22"/>
        <v>55000</v>
      </c>
      <c r="K30" s="4">
        <f t="shared" si="22"/>
        <v>55000</v>
      </c>
      <c r="L30" s="4">
        <f t="shared" si="22"/>
        <v>55000</v>
      </c>
      <c r="M30" s="4">
        <f t="shared" si="22"/>
        <v>55000</v>
      </c>
      <c r="N30" s="4">
        <f t="shared" si="22"/>
        <v>55000</v>
      </c>
      <c r="O30" s="4">
        <f t="shared" si="21"/>
        <v>660000</v>
      </c>
      <c r="Q30" s="550"/>
      <c r="R30" s="334"/>
    </row>
    <row r="31" spans="1:18" s="11" customFormat="1" ht="18" customHeight="1" thickBot="1" x14ac:dyDescent="0.3">
      <c r="A31" s="932" t="s">
        <v>3704</v>
      </c>
      <c r="B31" s="1119" t="s">
        <v>3678</v>
      </c>
      <c r="C31" s="1199">
        <v>55000</v>
      </c>
      <c r="D31" s="1200">
        <f>C31</f>
        <v>55000</v>
      </c>
      <c r="E31" s="1200">
        <f t="shared" ref="E31:N31" si="23">C31</f>
        <v>55000</v>
      </c>
      <c r="F31" s="1200">
        <f t="shared" si="23"/>
        <v>55000</v>
      </c>
      <c r="G31" s="1200">
        <f t="shared" si="23"/>
        <v>55000</v>
      </c>
      <c r="H31" s="1200">
        <f t="shared" si="23"/>
        <v>55000</v>
      </c>
      <c r="I31" s="1200">
        <f t="shared" si="23"/>
        <v>55000</v>
      </c>
      <c r="J31" s="1200">
        <f t="shared" si="23"/>
        <v>55000</v>
      </c>
      <c r="K31" s="1200">
        <f t="shared" si="23"/>
        <v>55000</v>
      </c>
      <c r="L31" s="1200">
        <f t="shared" si="23"/>
        <v>55000</v>
      </c>
      <c r="M31" s="1200">
        <f t="shared" si="23"/>
        <v>55000</v>
      </c>
      <c r="N31" s="1200">
        <f t="shared" si="23"/>
        <v>55000</v>
      </c>
      <c r="O31" s="1243">
        <f t="shared" si="21"/>
        <v>660000</v>
      </c>
      <c r="Q31" s="1172"/>
    </row>
    <row r="32" spans="1:18" s="11" customFormat="1" ht="18" customHeight="1" thickBot="1" x14ac:dyDescent="0.3">
      <c r="A32" s="161"/>
      <c r="C32" s="163"/>
      <c r="D32" s="163"/>
      <c r="O32" s="1182"/>
      <c r="P32" s="132"/>
      <c r="Q32" s="1172"/>
    </row>
    <row r="33" spans="1:20" s="8" customFormat="1" ht="18" customHeight="1" thickBot="1" x14ac:dyDescent="0.3">
      <c r="A33" s="165"/>
      <c r="B33" s="1247" t="s">
        <v>24</v>
      </c>
      <c r="C33" s="1253">
        <f t="shared" ref="C33:N33" si="24">C35+C58+C99+C111+C134+C152+C182</f>
        <v>20206923.562399998</v>
      </c>
      <c r="D33" s="1254">
        <f t="shared" si="24"/>
        <v>20207723.562399998</v>
      </c>
      <c r="E33" s="1254">
        <f t="shared" si="24"/>
        <v>20357923.562399998</v>
      </c>
      <c r="F33" s="1254">
        <f t="shared" si="24"/>
        <v>20357423.562399998</v>
      </c>
      <c r="G33" s="1254">
        <f t="shared" si="24"/>
        <v>20663858.562399998</v>
      </c>
      <c r="H33" s="1254">
        <f t="shared" si="24"/>
        <v>21213982.623199999</v>
      </c>
      <c r="I33" s="1254">
        <f t="shared" si="24"/>
        <v>21213582.623199999</v>
      </c>
      <c r="J33" s="1254">
        <f t="shared" si="24"/>
        <v>21215082.623199999</v>
      </c>
      <c r="K33" s="1252">
        <f t="shared" si="24"/>
        <v>21245582.623199999</v>
      </c>
      <c r="L33" s="1252">
        <f t="shared" si="24"/>
        <v>21245082.623199999</v>
      </c>
      <c r="M33" s="1252">
        <f t="shared" si="24"/>
        <v>21365582.623199999</v>
      </c>
      <c r="N33" s="1252">
        <f t="shared" si="24"/>
        <v>21365082.623199999</v>
      </c>
      <c r="O33" s="1255">
        <f>C33+D33+E33+F33+G33+H33+I33+J33+K33+L33+M33+N33</f>
        <v>250657831.17439997</v>
      </c>
      <c r="P33" s="64"/>
      <c r="Q33" s="1172"/>
      <c r="R33" s="9"/>
      <c r="S33" s="10"/>
    </row>
    <row r="34" spans="1:20" s="11" customFormat="1" ht="18" customHeight="1" thickBot="1" x14ac:dyDescent="0.3">
      <c r="A34" s="161"/>
      <c r="C34" s="333"/>
      <c r="E34" s="163"/>
      <c r="H34" s="163"/>
      <c r="I34" s="163"/>
      <c r="J34" s="163"/>
      <c r="K34" s="163"/>
      <c r="L34" s="163"/>
      <c r="M34" s="163"/>
      <c r="N34" s="163"/>
      <c r="O34" s="1187"/>
      <c r="P34" s="1172"/>
      <c r="Q34" s="1172"/>
    </row>
    <row r="35" spans="1:20" s="11" customFormat="1" ht="18" customHeight="1" thickBot="1" x14ac:dyDescent="0.3">
      <c r="A35" s="166"/>
      <c r="B35" s="1051" t="s">
        <v>167</v>
      </c>
      <c r="C35" s="1068">
        <f>SUM(C36:C56)</f>
        <v>5694100</v>
      </c>
      <c r="D35" s="1068">
        <f t="shared" ref="D35:N35" si="25">SUM(D36:D56)</f>
        <v>5694100</v>
      </c>
      <c r="E35" s="1068">
        <f t="shared" si="25"/>
        <v>5694100</v>
      </c>
      <c r="F35" s="1068">
        <f t="shared" si="25"/>
        <v>5694100</v>
      </c>
      <c r="G35" s="1068">
        <f t="shared" si="25"/>
        <v>6026575</v>
      </c>
      <c r="H35" s="1068">
        <f t="shared" si="25"/>
        <v>6026575</v>
      </c>
      <c r="I35" s="1068">
        <f t="shared" si="25"/>
        <v>6026575</v>
      </c>
      <c r="J35" s="1068">
        <f t="shared" si="25"/>
        <v>6026575</v>
      </c>
      <c r="K35" s="1069">
        <f t="shared" si="25"/>
        <v>6026575</v>
      </c>
      <c r="L35" s="1069">
        <f t="shared" si="25"/>
        <v>6026575</v>
      </c>
      <c r="M35" s="1069">
        <f t="shared" si="25"/>
        <v>6147575</v>
      </c>
      <c r="N35" s="1069">
        <f t="shared" si="25"/>
        <v>6147575</v>
      </c>
      <c r="O35" s="59">
        <f t="shared" ref="O35:O56" si="26">C35+D35+E35+F35+G35+H35+I35+J35+K35+L35+M35+N35</f>
        <v>71231000</v>
      </c>
      <c r="P35" s="195"/>
      <c r="Q35" s="1176"/>
      <c r="T35" s="400"/>
    </row>
    <row r="36" spans="1:20" s="119" customFormat="1" ht="18" customHeight="1" x14ac:dyDescent="0.25">
      <c r="A36" s="167">
        <v>11316</v>
      </c>
      <c r="B36" s="331" t="s">
        <v>27</v>
      </c>
      <c r="C36" s="1201">
        <v>410000</v>
      </c>
      <c r="D36" s="1202">
        <f t="shared" ref="D36:N36" si="27">C36</f>
        <v>410000</v>
      </c>
      <c r="E36" s="1202">
        <f t="shared" si="27"/>
        <v>410000</v>
      </c>
      <c r="F36" s="1202">
        <f t="shared" si="27"/>
        <v>410000</v>
      </c>
      <c r="G36" s="1201">
        <f t="shared" si="27"/>
        <v>410000</v>
      </c>
      <c r="H36" s="1201">
        <f t="shared" si="27"/>
        <v>410000</v>
      </c>
      <c r="I36" s="1201">
        <f t="shared" si="27"/>
        <v>410000</v>
      </c>
      <c r="J36" s="1201">
        <f t="shared" si="27"/>
        <v>410000</v>
      </c>
      <c r="K36" s="1201">
        <f t="shared" si="27"/>
        <v>410000</v>
      </c>
      <c r="L36" s="1201">
        <f t="shared" si="27"/>
        <v>410000</v>
      </c>
      <c r="M36" s="1201">
        <f t="shared" si="27"/>
        <v>410000</v>
      </c>
      <c r="N36" s="1201">
        <f t="shared" si="27"/>
        <v>410000</v>
      </c>
      <c r="O36" s="1237">
        <f t="shared" si="26"/>
        <v>4920000</v>
      </c>
      <c r="Q36" s="12"/>
    </row>
    <row r="37" spans="1:20" s="119" customFormat="1" ht="18" customHeight="1" x14ac:dyDescent="0.25">
      <c r="A37" s="170">
        <v>11498</v>
      </c>
      <c r="B37" s="332" t="s">
        <v>174</v>
      </c>
      <c r="C37" s="1203">
        <v>11000</v>
      </c>
      <c r="D37" s="1201">
        <f t="shared" ref="D37:F56" si="28">C37</f>
        <v>11000</v>
      </c>
      <c r="E37" s="1201">
        <f t="shared" si="28"/>
        <v>11000</v>
      </c>
      <c r="F37" s="1201">
        <f t="shared" si="28"/>
        <v>11000</v>
      </c>
      <c r="G37" s="1201">
        <v>25000</v>
      </c>
      <c r="H37" s="1201">
        <f t="shared" ref="H37:N43" si="29">G37</f>
        <v>25000</v>
      </c>
      <c r="I37" s="1201">
        <f t="shared" si="29"/>
        <v>25000</v>
      </c>
      <c r="J37" s="1201">
        <f t="shared" si="29"/>
        <v>25000</v>
      </c>
      <c r="K37" s="1201">
        <f t="shared" si="29"/>
        <v>25000</v>
      </c>
      <c r="L37" s="1201">
        <f t="shared" si="29"/>
        <v>25000</v>
      </c>
      <c r="M37" s="1201">
        <f t="shared" si="29"/>
        <v>25000</v>
      </c>
      <c r="N37" s="1201">
        <f t="shared" si="29"/>
        <v>25000</v>
      </c>
      <c r="O37" s="1237">
        <f t="shared" si="26"/>
        <v>244000</v>
      </c>
      <c r="Q37" s="12"/>
    </row>
    <row r="38" spans="1:20" s="119" customFormat="1" ht="18" customHeight="1" x14ac:dyDescent="0.25">
      <c r="A38" s="122" t="s">
        <v>33</v>
      </c>
      <c r="B38" s="332" t="s">
        <v>176</v>
      </c>
      <c r="C38" s="1203">
        <v>310000</v>
      </c>
      <c r="D38" s="1203">
        <f t="shared" si="28"/>
        <v>310000</v>
      </c>
      <c r="E38" s="1203">
        <f t="shared" si="28"/>
        <v>310000</v>
      </c>
      <c r="F38" s="1203">
        <f t="shared" si="28"/>
        <v>310000</v>
      </c>
      <c r="G38" s="1203">
        <v>355000</v>
      </c>
      <c r="H38" s="1203">
        <f t="shared" si="29"/>
        <v>355000</v>
      </c>
      <c r="I38" s="1203">
        <f t="shared" si="29"/>
        <v>355000</v>
      </c>
      <c r="J38" s="1203">
        <f t="shared" si="29"/>
        <v>355000</v>
      </c>
      <c r="K38" s="1203">
        <f t="shared" si="29"/>
        <v>355000</v>
      </c>
      <c r="L38" s="1203">
        <f t="shared" si="29"/>
        <v>355000</v>
      </c>
      <c r="M38" s="1201">
        <f t="shared" si="29"/>
        <v>355000</v>
      </c>
      <c r="N38" s="1201">
        <f t="shared" si="29"/>
        <v>355000</v>
      </c>
      <c r="O38" s="1237">
        <f t="shared" si="26"/>
        <v>4080000</v>
      </c>
      <c r="Q38" s="12"/>
    </row>
    <row r="39" spans="1:20" s="119" customFormat="1" ht="18" customHeight="1" x14ac:dyDescent="0.25">
      <c r="A39" s="122">
        <v>11652</v>
      </c>
      <c r="B39" s="332" t="s">
        <v>178</v>
      </c>
      <c r="C39" s="1203">
        <v>5000</v>
      </c>
      <c r="D39" s="1201">
        <f t="shared" si="28"/>
        <v>5000</v>
      </c>
      <c r="E39" s="1201">
        <f t="shared" si="28"/>
        <v>5000</v>
      </c>
      <c r="F39" s="1201">
        <f t="shared" si="28"/>
        <v>5000</v>
      </c>
      <c r="G39" s="1204">
        <v>5500</v>
      </c>
      <c r="H39" s="1204">
        <f t="shared" si="29"/>
        <v>5500</v>
      </c>
      <c r="I39" s="1204">
        <f t="shared" si="29"/>
        <v>5500</v>
      </c>
      <c r="J39" s="1204">
        <f t="shared" si="29"/>
        <v>5500</v>
      </c>
      <c r="K39" s="1204">
        <f t="shared" si="29"/>
        <v>5500</v>
      </c>
      <c r="L39" s="1204">
        <f t="shared" si="29"/>
        <v>5500</v>
      </c>
      <c r="M39" s="1204">
        <f t="shared" si="29"/>
        <v>5500</v>
      </c>
      <c r="N39" s="1204">
        <f t="shared" si="29"/>
        <v>5500</v>
      </c>
      <c r="O39" s="1237">
        <f t="shared" si="26"/>
        <v>64000</v>
      </c>
      <c r="Q39" s="12"/>
    </row>
    <row r="40" spans="1:20" s="119" customFormat="1" ht="18" customHeight="1" x14ac:dyDescent="0.25">
      <c r="A40" s="122" t="s">
        <v>45</v>
      </c>
      <c r="B40" s="332" t="s">
        <v>47</v>
      </c>
      <c r="C40" s="1203">
        <v>4000</v>
      </c>
      <c r="D40" s="1201">
        <f t="shared" si="28"/>
        <v>4000</v>
      </c>
      <c r="E40" s="1201">
        <f t="shared" si="28"/>
        <v>4000</v>
      </c>
      <c r="F40" s="1201">
        <f t="shared" si="28"/>
        <v>4000</v>
      </c>
      <c r="G40" s="1201">
        <f>F40</f>
        <v>4000</v>
      </c>
      <c r="H40" s="1201">
        <f t="shared" si="29"/>
        <v>4000</v>
      </c>
      <c r="I40" s="1201">
        <f t="shared" si="29"/>
        <v>4000</v>
      </c>
      <c r="J40" s="1201">
        <f t="shared" si="29"/>
        <v>4000</v>
      </c>
      <c r="K40" s="1201">
        <f t="shared" si="29"/>
        <v>4000</v>
      </c>
      <c r="L40" s="1201">
        <f t="shared" si="29"/>
        <v>4000</v>
      </c>
      <c r="M40" s="1204">
        <f t="shared" si="29"/>
        <v>4000</v>
      </c>
      <c r="N40" s="1204">
        <f t="shared" si="29"/>
        <v>4000</v>
      </c>
      <c r="O40" s="1237">
        <f t="shared" si="26"/>
        <v>48000</v>
      </c>
      <c r="Q40" s="12"/>
    </row>
    <row r="41" spans="1:20" s="119" customFormat="1" ht="18" customHeight="1" x14ac:dyDescent="0.25">
      <c r="A41" s="122">
        <v>12320</v>
      </c>
      <c r="B41" s="332" t="s">
        <v>175</v>
      </c>
      <c r="C41" s="1203">
        <v>11000</v>
      </c>
      <c r="D41" s="1201">
        <f t="shared" si="28"/>
        <v>11000</v>
      </c>
      <c r="E41" s="1201">
        <f t="shared" si="28"/>
        <v>11000</v>
      </c>
      <c r="F41" s="1201">
        <f t="shared" si="28"/>
        <v>11000</v>
      </c>
      <c r="G41" s="1203">
        <v>13000</v>
      </c>
      <c r="H41" s="1203">
        <f t="shared" si="29"/>
        <v>13000</v>
      </c>
      <c r="I41" s="1203">
        <f t="shared" si="29"/>
        <v>13000</v>
      </c>
      <c r="J41" s="1203">
        <f t="shared" si="29"/>
        <v>13000</v>
      </c>
      <c r="K41" s="1203">
        <f t="shared" si="29"/>
        <v>13000</v>
      </c>
      <c r="L41" s="1203">
        <f t="shared" si="29"/>
        <v>13000</v>
      </c>
      <c r="M41" s="1201">
        <f t="shared" si="29"/>
        <v>13000</v>
      </c>
      <c r="N41" s="1201">
        <f t="shared" si="29"/>
        <v>13000</v>
      </c>
      <c r="O41" s="1237">
        <f t="shared" si="26"/>
        <v>148000</v>
      </c>
      <c r="Q41" s="12"/>
    </row>
    <row r="42" spans="1:20" s="119" customFormat="1" ht="18" customHeight="1" x14ac:dyDescent="0.25">
      <c r="A42" s="122" t="s">
        <v>41</v>
      </c>
      <c r="B42" s="332" t="s">
        <v>43</v>
      </c>
      <c r="C42" s="1203">
        <v>2500</v>
      </c>
      <c r="D42" s="1201">
        <f t="shared" si="28"/>
        <v>2500</v>
      </c>
      <c r="E42" s="1201">
        <f t="shared" si="28"/>
        <v>2500</v>
      </c>
      <c r="F42" s="1201">
        <f t="shared" si="28"/>
        <v>2500</v>
      </c>
      <c r="G42" s="1193">
        <v>2700</v>
      </c>
      <c r="H42" s="1193">
        <f t="shared" si="29"/>
        <v>2700</v>
      </c>
      <c r="I42" s="1193">
        <f t="shared" si="29"/>
        <v>2700</v>
      </c>
      <c r="J42" s="1193">
        <f t="shared" si="29"/>
        <v>2700</v>
      </c>
      <c r="K42" s="1193">
        <f t="shared" si="29"/>
        <v>2700</v>
      </c>
      <c r="L42" s="1193">
        <f t="shared" si="29"/>
        <v>2700</v>
      </c>
      <c r="M42" s="1204">
        <f t="shared" si="29"/>
        <v>2700</v>
      </c>
      <c r="N42" s="1204">
        <f t="shared" si="29"/>
        <v>2700</v>
      </c>
      <c r="O42" s="1237">
        <f t="shared" si="26"/>
        <v>31600</v>
      </c>
      <c r="Q42" s="12"/>
    </row>
    <row r="43" spans="1:20" s="119" customFormat="1" ht="18" customHeight="1" x14ac:dyDescent="0.25">
      <c r="A43" s="122" t="s">
        <v>136</v>
      </c>
      <c r="B43" s="332" t="s">
        <v>36</v>
      </c>
      <c r="C43" s="1203">
        <v>4600</v>
      </c>
      <c r="D43" s="1201">
        <f t="shared" si="28"/>
        <v>4600</v>
      </c>
      <c r="E43" s="1201">
        <f t="shared" si="28"/>
        <v>4600</v>
      </c>
      <c r="F43" s="1201">
        <f t="shared" si="28"/>
        <v>4600</v>
      </c>
      <c r="G43" s="1193">
        <v>4830</v>
      </c>
      <c r="H43" s="1193">
        <f t="shared" si="29"/>
        <v>4830</v>
      </c>
      <c r="I43" s="1193">
        <f t="shared" si="29"/>
        <v>4830</v>
      </c>
      <c r="J43" s="1193">
        <f t="shared" si="29"/>
        <v>4830</v>
      </c>
      <c r="K43" s="1193">
        <f t="shared" si="29"/>
        <v>4830</v>
      </c>
      <c r="L43" s="1193">
        <f t="shared" si="29"/>
        <v>4830</v>
      </c>
      <c r="M43" s="1193">
        <f t="shared" si="29"/>
        <v>4830</v>
      </c>
      <c r="N43" s="1193">
        <f t="shared" si="29"/>
        <v>4830</v>
      </c>
      <c r="O43" s="1237">
        <f t="shared" si="26"/>
        <v>57040</v>
      </c>
      <c r="Q43" s="12"/>
    </row>
    <row r="44" spans="1:20" s="119" customFormat="1" ht="18" customHeight="1" x14ac:dyDescent="0.25">
      <c r="A44" s="170" t="s">
        <v>3680</v>
      </c>
      <c r="B44" s="332" t="s">
        <v>29</v>
      </c>
      <c r="C44" s="1203">
        <v>400000</v>
      </c>
      <c r="D44" s="1201">
        <f t="shared" si="28"/>
        <v>400000</v>
      </c>
      <c r="E44" s="1201">
        <f t="shared" si="28"/>
        <v>400000</v>
      </c>
      <c r="F44" s="1201">
        <f t="shared" si="28"/>
        <v>400000</v>
      </c>
      <c r="G44" s="1201">
        <v>418000</v>
      </c>
      <c r="H44" s="1201">
        <f t="shared" ref="H44:L56" si="30">G44</f>
        <v>418000</v>
      </c>
      <c r="I44" s="1201">
        <f t="shared" si="30"/>
        <v>418000</v>
      </c>
      <c r="J44" s="1201">
        <f t="shared" si="30"/>
        <v>418000</v>
      </c>
      <c r="K44" s="1201">
        <f t="shared" si="30"/>
        <v>418000</v>
      </c>
      <c r="L44" s="1201">
        <f t="shared" si="30"/>
        <v>418000</v>
      </c>
      <c r="M44" s="1201">
        <v>430000</v>
      </c>
      <c r="N44" s="1201">
        <f t="shared" ref="N44:N53" si="31">M44</f>
        <v>430000</v>
      </c>
      <c r="O44" s="1237">
        <f t="shared" si="26"/>
        <v>4968000</v>
      </c>
      <c r="Q44" s="12"/>
    </row>
    <row r="45" spans="1:20" s="119" customFormat="1" ht="18" customHeight="1" x14ac:dyDescent="0.25">
      <c r="A45" s="170">
        <v>12276</v>
      </c>
      <c r="B45" s="332" t="s">
        <v>34</v>
      </c>
      <c r="C45" s="1203">
        <v>12000</v>
      </c>
      <c r="D45" s="1201">
        <f t="shared" si="28"/>
        <v>12000</v>
      </c>
      <c r="E45" s="1201">
        <f t="shared" si="28"/>
        <v>12000</v>
      </c>
      <c r="F45" s="1201">
        <f t="shared" si="28"/>
        <v>12000</v>
      </c>
      <c r="G45" s="1201">
        <f>F45</f>
        <v>12000</v>
      </c>
      <c r="H45" s="1201">
        <f t="shared" si="30"/>
        <v>12000</v>
      </c>
      <c r="I45" s="1201">
        <f t="shared" si="30"/>
        <v>12000</v>
      </c>
      <c r="J45" s="1201">
        <f t="shared" si="30"/>
        <v>12000</v>
      </c>
      <c r="K45" s="1201">
        <f t="shared" si="30"/>
        <v>12000</v>
      </c>
      <c r="L45" s="1201">
        <f t="shared" si="30"/>
        <v>12000</v>
      </c>
      <c r="M45" s="1201">
        <f>L45</f>
        <v>12000</v>
      </c>
      <c r="N45" s="1201">
        <f t="shared" si="31"/>
        <v>12000</v>
      </c>
      <c r="O45" s="1237">
        <f t="shared" si="26"/>
        <v>144000</v>
      </c>
      <c r="Q45" s="12"/>
    </row>
    <row r="46" spans="1:20" s="119" customFormat="1" ht="18" customHeight="1" x14ac:dyDescent="0.25">
      <c r="A46" s="170">
        <v>11322</v>
      </c>
      <c r="B46" s="332" t="s">
        <v>28</v>
      </c>
      <c r="C46" s="1203">
        <v>468000</v>
      </c>
      <c r="D46" s="1201">
        <f t="shared" si="28"/>
        <v>468000</v>
      </c>
      <c r="E46" s="1201">
        <f t="shared" si="28"/>
        <v>468000</v>
      </c>
      <c r="F46" s="1201">
        <f t="shared" si="28"/>
        <v>468000</v>
      </c>
      <c r="G46" s="1201">
        <v>487000</v>
      </c>
      <c r="H46" s="1201">
        <f t="shared" si="30"/>
        <v>487000</v>
      </c>
      <c r="I46" s="1201">
        <f t="shared" si="30"/>
        <v>487000</v>
      </c>
      <c r="J46" s="1201">
        <f t="shared" si="30"/>
        <v>487000</v>
      </c>
      <c r="K46" s="1201">
        <f t="shared" si="30"/>
        <v>487000</v>
      </c>
      <c r="L46" s="1201">
        <f t="shared" si="30"/>
        <v>487000</v>
      </c>
      <c r="M46" s="1201">
        <f>L46</f>
        <v>487000</v>
      </c>
      <c r="N46" s="1201">
        <f t="shared" si="31"/>
        <v>487000</v>
      </c>
      <c r="O46" s="1237">
        <f t="shared" si="26"/>
        <v>5768000</v>
      </c>
      <c r="Q46" s="12"/>
    </row>
    <row r="47" spans="1:20" s="119" customFormat="1" ht="18" customHeight="1" x14ac:dyDescent="0.25">
      <c r="A47" s="170">
        <v>53469</v>
      </c>
      <c r="B47" s="332" t="s">
        <v>333</v>
      </c>
      <c r="C47" s="1203">
        <v>12000</v>
      </c>
      <c r="D47" s="1201">
        <f t="shared" si="28"/>
        <v>12000</v>
      </c>
      <c r="E47" s="1201">
        <f t="shared" si="28"/>
        <v>12000</v>
      </c>
      <c r="F47" s="1201">
        <f t="shared" si="28"/>
        <v>12000</v>
      </c>
      <c r="G47" s="1201">
        <v>15000</v>
      </c>
      <c r="H47" s="1201">
        <f t="shared" si="30"/>
        <v>15000</v>
      </c>
      <c r="I47" s="1201">
        <f t="shared" si="30"/>
        <v>15000</v>
      </c>
      <c r="J47" s="1201">
        <f t="shared" si="30"/>
        <v>15000</v>
      </c>
      <c r="K47" s="1201">
        <f t="shared" si="30"/>
        <v>15000</v>
      </c>
      <c r="L47" s="1201">
        <f t="shared" si="30"/>
        <v>15000</v>
      </c>
      <c r="M47" s="1201">
        <f>L47</f>
        <v>15000</v>
      </c>
      <c r="N47" s="1201">
        <f t="shared" si="31"/>
        <v>15000</v>
      </c>
      <c r="O47" s="1237">
        <f t="shared" si="26"/>
        <v>168000</v>
      </c>
      <c r="Q47" s="12"/>
    </row>
    <row r="48" spans="1:20" s="119" customFormat="1" ht="18" customHeight="1" x14ac:dyDescent="0.25">
      <c r="A48" s="170">
        <v>53468</v>
      </c>
      <c r="B48" s="332" t="s">
        <v>125</v>
      </c>
      <c r="C48" s="1203">
        <v>38000</v>
      </c>
      <c r="D48" s="1201">
        <f t="shared" si="28"/>
        <v>38000</v>
      </c>
      <c r="E48" s="1201">
        <f t="shared" si="28"/>
        <v>38000</v>
      </c>
      <c r="F48" s="1201">
        <f t="shared" si="28"/>
        <v>38000</v>
      </c>
      <c r="G48" s="1201">
        <v>80000</v>
      </c>
      <c r="H48" s="1201">
        <f t="shared" si="30"/>
        <v>80000</v>
      </c>
      <c r="I48" s="1201">
        <f t="shared" si="30"/>
        <v>80000</v>
      </c>
      <c r="J48" s="1201">
        <f t="shared" si="30"/>
        <v>80000</v>
      </c>
      <c r="K48" s="1201">
        <f t="shared" si="30"/>
        <v>80000</v>
      </c>
      <c r="L48" s="1201">
        <f t="shared" si="30"/>
        <v>80000</v>
      </c>
      <c r="M48" s="1201">
        <f>L48</f>
        <v>80000</v>
      </c>
      <c r="N48" s="1201">
        <f t="shared" si="31"/>
        <v>80000</v>
      </c>
      <c r="O48" s="1237">
        <f t="shared" si="26"/>
        <v>792000</v>
      </c>
      <c r="Q48" s="12"/>
    </row>
    <row r="49" spans="1:20" s="119" customFormat="1" ht="18" customHeight="1" x14ac:dyDescent="0.25">
      <c r="A49" s="170">
        <v>11369</v>
      </c>
      <c r="B49" s="332" t="s">
        <v>224</v>
      </c>
      <c r="C49" s="1203">
        <v>46500</v>
      </c>
      <c r="D49" s="1201">
        <f t="shared" si="28"/>
        <v>46500</v>
      </c>
      <c r="E49" s="1201">
        <f t="shared" si="28"/>
        <v>46500</v>
      </c>
      <c r="F49" s="1201">
        <f t="shared" si="28"/>
        <v>46500</v>
      </c>
      <c r="G49" s="1201">
        <v>60000</v>
      </c>
      <c r="H49" s="1201">
        <f t="shared" si="30"/>
        <v>60000</v>
      </c>
      <c r="I49" s="1201">
        <f t="shared" si="30"/>
        <v>60000</v>
      </c>
      <c r="J49" s="1201">
        <f t="shared" si="30"/>
        <v>60000</v>
      </c>
      <c r="K49" s="1201">
        <f t="shared" si="30"/>
        <v>60000</v>
      </c>
      <c r="L49" s="1201">
        <f t="shared" si="30"/>
        <v>60000</v>
      </c>
      <c r="M49" s="1201">
        <f>L49</f>
        <v>60000</v>
      </c>
      <c r="N49" s="1201">
        <f t="shared" si="31"/>
        <v>60000</v>
      </c>
      <c r="O49" s="1237">
        <f t="shared" si="26"/>
        <v>666000</v>
      </c>
      <c r="Q49" s="12"/>
    </row>
    <row r="50" spans="1:20" s="119" customFormat="1" ht="18" customHeight="1" x14ac:dyDescent="0.25">
      <c r="A50" s="170" t="s">
        <v>25</v>
      </c>
      <c r="B50" s="332" t="s">
        <v>26</v>
      </c>
      <c r="C50" s="1203">
        <v>3650000</v>
      </c>
      <c r="D50" s="1201">
        <f t="shared" si="28"/>
        <v>3650000</v>
      </c>
      <c r="E50" s="1201">
        <f t="shared" si="28"/>
        <v>3650000</v>
      </c>
      <c r="F50" s="1201">
        <f t="shared" si="28"/>
        <v>3650000</v>
      </c>
      <c r="G50" s="1201">
        <v>3796000</v>
      </c>
      <c r="H50" s="1201">
        <f t="shared" si="30"/>
        <v>3796000</v>
      </c>
      <c r="I50" s="1201">
        <f t="shared" si="30"/>
        <v>3796000</v>
      </c>
      <c r="J50" s="1201">
        <f t="shared" si="30"/>
        <v>3796000</v>
      </c>
      <c r="K50" s="1201">
        <f t="shared" si="30"/>
        <v>3796000</v>
      </c>
      <c r="L50" s="1201">
        <f t="shared" si="30"/>
        <v>3796000</v>
      </c>
      <c r="M50" s="1201">
        <v>3905000</v>
      </c>
      <c r="N50" s="1201">
        <f t="shared" si="31"/>
        <v>3905000</v>
      </c>
      <c r="O50" s="1237">
        <f t="shared" si="26"/>
        <v>45186000</v>
      </c>
      <c r="Q50" s="12"/>
      <c r="T50" s="401"/>
    </row>
    <row r="51" spans="1:20" s="119" customFormat="1" ht="18" customHeight="1" x14ac:dyDescent="0.25">
      <c r="A51" s="170" t="s">
        <v>37</v>
      </c>
      <c r="B51" s="332" t="s">
        <v>39</v>
      </c>
      <c r="C51" s="1203">
        <v>3000</v>
      </c>
      <c r="D51" s="1201">
        <f t="shared" si="28"/>
        <v>3000</v>
      </c>
      <c r="E51" s="1201">
        <f t="shared" si="28"/>
        <v>3000</v>
      </c>
      <c r="F51" s="1201">
        <f t="shared" si="28"/>
        <v>3000</v>
      </c>
      <c r="G51" s="1204">
        <v>3045</v>
      </c>
      <c r="H51" s="1204">
        <f t="shared" si="30"/>
        <v>3045</v>
      </c>
      <c r="I51" s="1204">
        <f t="shared" si="30"/>
        <v>3045</v>
      </c>
      <c r="J51" s="1204">
        <f t="shared" si="30"/>
        <v>3045</v>
      </c>
      <c r="K51" s="1204">
        <f t="shared" si="30"/>
        <v>3045</v>
      </c>
      <c r="L51" s="1204">
        <f t="shared" si="30"/>
        <v>3045</v>
      </c>
      <c r="M51" s="1204">
        <f>L51</f>
        <v>3045</v>
      </c>
      <c r="N51" s="1204">
        <f t="shared" si="31"/>
        <v>3045</v>
      </c>
      <c r="O51" s="1237">
        <f t="shared" si="26"/>
        <v>36360</v>
      </c>
      <c r="Q51" s="12"/>
    </row>
    <row r="52" spans="1:20" s="119" customFormat="1" ht="18" customHeight="1" x14ac:dyDescent="0.25">
      <c r="A52" s="170">
        <v>12267</v>
      </c>
      <c r="B52" s="332" t="s">
        <v>44</v>
      </c>
      <c r="C52" s="1203">
        <v>32000</v>
      </c>
      <c r="D52" s="1201">
        <f t="shared" si="28"/>
        <v>32000</v>
      </c>
      <c r="E52" s="1201">
        <f t="shared" si="28"/>
        <v>32000</v>
      </c>
      <c r="F52" s="1201">
        <f t="shared" si="28"/>
        <v>32000</v>
      </c>
      <c r="G52" s="1204">
        <v>35500</v>
      </c>
      <c r="H52" s="1204">
        <f t="shared" si="30"/>
        <v>35500</v>
      </c>
      <c r="I52" s="1204">
        <f t="shared" si="30"/>
        <v>35500</v>
      </c>
      <c r="J52" s="1204">
        <f t="shared" si="30"/>
        <v>35500</v>
      </c>
      <c r="K52" s="1204">
        <f t="shared" si="30"/>
        <v>35500</v>
      </c>
      <c r="L52" s="1204">
        <f t="shared" si="30"/>
        <v>35500</v>
      </c>
      <c r="M52" s="1204">
        <f>L52</f>
        <v>35500</v>
      </c>
      <c r="N52" s="1204">
        <f t="shared" si="31"/>
        <v>35500</v>
      </c>
      <c r="O52" s="1237">
        <f t="shared" si="26"/>
        <v>412000</v>
      </c>
      <c r="Q52" s="12"/>
    </row>
    <row r="53" spans="1:20" s="119" customFormat="1" ht="18" customHeight="1" x14ac:dyDescent="0.25">
      <c r="A53" s="170">
        <v>11304</v>
      </c>
      <c r="B53" s="332" t="s">
        <v>141</v>
      </c>
      <c r="C53" s="1203">
        <v>61000</v>
      </c>
      <c r="D53" s="1201">
        <f t="shared" si="28"/>
        <v>61000</v>
      </c>
      <c r="E53" s="1201">
        <f t="shared" si="28"/>
        <v>61000</v>
      </c>
      <c r="F53" s="1201">
        <f t="shared" si="28"/>
        <v>61000</v>
      </c>
      <c r="G53" s="1201">
        <f>F53</f>
        <v>61000</v>
      </c>
      <c r="H53" s="1201">
        <f t="shared" si="30"/>
        <v>61000</v>
      </c>
      <c r="I53" s="1201">
        <f t="shared" si="30"/>
        <v>61000</v>
      </c>
      <c r="J53" s="1201">
        <f t="shared" si="30"/>
        <v>61000</v>
      </c>
      <c r="K53" s="1201">
        <f t="shared" si="30"/>
        <v>61000</v>
      </c>
      <c r="L53" s="1201">
        <f t="shared" si="30"/>
        <v>61000</v>
      </c>
      <c r="M53" s="1201">
        <f>L53</f>
        <v>61000</v>
      </c>
      <c r="N53" s="1201">
        <f t="shared" si="31"/>
        <v>61000</v>
      </c>
      <c r="O53" s="1237">
        <f t="shared" si="26"/>
        <v>732000</v>
      </c>
      <c r="Q53" s="12"/>
    </row>
    <row r="54" spans="1:20" s="119" customFormat="1" ht="18" customHeight="1" x14ac:dyDescent="0.25">
      <c r="A54" s="170">
        <v>12204</v>
      </c>
      <c r="B54" s="332" t="s">
        <v>177</v>
      </c>
      <c r="C54" s="1203">
        <v>3500</v>
      </c>
      <c r="D54" s="1201">
        <f t="shared" si="28"/>
        <v>3500</v>
      </c>
      <c r="E54" s="1201">
        <f t="shared" si="28"/>
        <v>3500</v>
      </c>
      <c r="F54" s="1201">
        <f t="shared" si="28"/>
        <v>3500</v>
      </c>
      <c r="G54" s="1204">
        <v>4000</v>
      </c>
      <c r="H54" s="1204">
        <f t="shared" si="30"/>
        <v>4000</v>
      </c>
      <c r="I54" s="1204">
        <f t="shared" si="30"/>
        <v>4000</v>
      </c>
      <c r="J54" s="1204">
        <f t="shared" si="30"/>
        <v>4000</v>
      </c>
      <c r="K54" s="1204">
        <f t="shared" si="30"/>
        <v>4000</v>
      </c>
      <c r="L54" s="1204">
        <f t="shared" si="30"/>
        <v>4000</v>
      </c>
      <c r="M54" s="1204">
        <v>4000</v>
      </c>
      <c r="N54" s="1204">
        <v>4000</v>
      </c>
      <c r="O54" s="1237">
        <f t="shared" si="26"/>
        <v>46000</v>
      </c>
      <c r="Q54" s="12"/>
    </row>
    <row r="55" spans="1:20" s="119" customFormat="1" ht="18" customHeight="1" x14ac:dyDescent="0.25">
      <c r="A55" s="170">
        <v>11434</v>
      </c>
      <c r="B55" s="332" t="s">
        <v>173</v>
      </c>
      <c r="C55" s="1203">
        <v>50000</v>
      </c>
      <c r="D55" s="1201">
        <f t="shared" si="28"/>
        <v>50000</v>
      </c>
      <c r="E55" s="1201">
        <f t="shared" si="28"/>
        <v>50000</v>
      </c>
      <c r="F55" s="1201">
        <f t="shared" si="28"/>
        <v>50000</v>
      </c>
      <c r="G55" s="1201">
        <f>F55</f>
        <v>50000</v>
      </c>
      <c r="H55" s="1201">
        <f t="shared" si="30"/>
        <v>50000</v>
      </c>
      <c r="I55" s="1201">
        <f t="shared" si="30"/>
        <v>50000</v>
      </c>
      <c r="J55" s="1201">
        <f t="shared" si="30"/>
        <v>50000</v>
      </c>
      <c r="K55" s="1201">
        <f t="shared" si="30"/>
        <v>50000</v>
      </c>
      <c r="L55" s="1201">
        <f t="shared" si="30"/>
        <v>50000</v>
      </c>
      <c r="M55" s="1201">
        <f>L55</f>
        <v>50000</v>
      </c>
      <c r="N55" s="1201">
        <f>M55</f>
        <v>50000</v>
      </c>
      <c r="O55" s="1237">
        <f t="shared" si="26"/>
        <v>600000</v>
      </c>
      <c r="Q55" s="12"/>
    </row>
    <row r="56" spans="1:20" s="119" customFormat="1" ht="18" customHeight="1" thickBot="1" x14ac:dyDescent="0.3">
      <c r="A56" s="122">
        <v>11481</v>
      </c>
      <c r="B56" s="384" t="s">
        <v>30</v>
      </c>
      <c r="C56" s="1205">
        <v>160000</v>
      </c>
      <c r="D56" s="1206">
        <f t="shared" si="28"/>
        <v>160000</v>
      </c>
      <c r="E56" s="1206">
        <f t="shared" si="28"/>
        <v>160000</v>
      </c>
      <c r="F56" s="1206">
        <f t="shared" si="28"/>
        <v>160000</v>
      </c>
      <c r="G56" s="1206">
        <v>185000</v>
      </c>
      <c r="H56" s="1206">
        <f t="shared" si="30"/>
        <v>185000</v>
      </c>
      <c r="I56" s="1206">
        <f t="shared" si="30"/>
        <v>185000</v>
      </c>
      <c r="J56" s="1206">
        <f t="shared" si="30"/>
        <v>185000</v>
      </c>
      <c r="K56" s="1206">
        <f t="shared" si="30"/>
        <v>185000</v>
      </c>
      <c r="L56" s="1206">
        <f t="shared" si="30"/>
        <v>185000</v>
      </c>
      <c r="M56" s="1205">
        <f>L56</f>
        <v>185000</v>
      </c>
      <c r="N56" s="1205">
        <f>M56</f>
        <v>185000</v>
      </c>
      <c r="O56" s="1242">
        <f t="shared" si="26"/>
        <v>2120000</v>
      </c>
      <c r="Q56" s="12"/>
    </row>
    <row r="57" spans="1:20" s="11" customFormat="1" ht="18" customHeight="1" thickBot="1" x14ac:dyDescent="0.3">
      <c r="A57" s="161"/>
      <c r="B57" s="185"/>
      <c r="C57" s="333"/>
      <c r="D57" s="146"/>
      <c r="E57" s="146"/>
      <c r="F57" s="146"/>
      <c r="G57" s="146"/>
      <c r="H57" s="146"/>
      <c r="I57" s="146"/>
      <c r="J57" s="146"/>
      <c r="K57" s="146"/>
      <c r="L57" s="146"/>
      <c r="M57" s="146"/>
      <c r="N57" s="146"/>
      <c r="O57" s="1184"/>
      <c r="P57" s="1172"/>
      <c r="Q57" s="1172"/>
    </row>
    <row r="58" spans="1:20" s="11" customFormat="1" ht="18" customHeight="1" thickBot="1" x14ac:dyDescent="0.3">
      <c r="A58" s="1070"/>
      <c r="B58" s="330" t="s">
        <v>168</v>
      </c>
      <c r="C58" s="474">
        <f t="shared" ref="C58:N58" si="32">SUM(C59:C97)</f>
        <v>6070500</v>
      </c>
      <c r="D58" s="474">
        <f t="shared" si="32"/>
        <v>6070500</v>
      </c>
      <c r="E58" s="474">
        <f t="shared" si="32"/>
        <v>6070500</v>
      </c>
      <c r="F58" s="474">
        <f t="shared" si="32"/>
        <v>6070500</v>
      </c>
      <c r="G58" s="474">
        <f t="shared" si="32"/>
        <v>6070500</v>
      </c>
      <c r="H58" s="474">
        <f t="shared" si="32"/>
        <v>6070500</v>
      </c>
      <c r="I58" s="474">
        <f t="shared" si="32"/>
        <v>6070500</v>
      </c>
      <c r="J58" s="474">
        <f t="shared" si="32"/>
        <v>6070500</v>
      </c>
      <c r="K58" s="474">
        <f t="shared" si="32"/>
        <v>6070500</v>
      </c>
      <c r="L58" s="474">
        <f t="shared" si="32"/>
        <v>6070500</v>
      </c>
      <c r="M58" s="474">
        <f t="shared" si="32"/>
        <v>6070500</v>
      </c>
      <c r="N58" s="474">
        <f t="shared" si="32"/>
        <v>6070500</v>
      </c>
      <c r="O58" s="564">
        <f t="shared" ref="O58:O97" si="33">C58+D58+E58+F58+G58+H58+I58+J58+K58+L58+M58+N58</f>
        <v>72846000</v>
      </c>
      <c r="P58" s="195"/>
      <c r="Q58" s="1176"/>
    </row>
    <row r="59" spans="1:20" s="12" customFormat="1" ht="18" customHeight="1" x14ac:dyDescent="0.25">
      <c r="A59" s="1071">
        <v>12461</v>
      </c>
      <c r="B59" s="382" t="s">
        <v>165</v>
      </c>
      <c r="C59" s="1207">
        <v>3500</v>
      </c>
      <c r="D59" s="1208">
        <f t="shared" ref="D59:N59" si="34">C59</f>
        <v>3500</v>
      </c>
      <c r="E59" s="1208">
        <f t="shared" si="34"/>
        <v>3500</v>
      </c>
      <c r="F59" s="1208">
        <f t="shared" si="34"/>
        <v>3500</v>
      </c>
      <c r="G59" s="1208">
        <f t="shared" si="34"/>
        <v>3500</v>
      </c>
      <c r="H59" s="1208">
        <f t="shared" si="34"/>
        <v>3500</v>
      </c>
      <c r="I59" s="1208">
        <f t="shared" si="34"/>
        <v>3500</v>
      </c>
      <c r="J59" s="1208">
        <f t="shared" si="34"/>
        <v>3500</v>
      </c>
      <c r="K59" s="1208">
        <f t="shared" si="34"/>
        <v>3500</v>
      </c>
      <c r="L59" s="1208">
        <f t="shared" si="34"/>
        <v>3500</v>
      </c>
      <c r="M59" s="1208">
        <f t="shared" si="34"/>
        <v>3500</v>
      </c>
      <c r="N59" s="1209">
        <f t="shared" si="34"/>
        <v>3500</v>
      </c>
      <c r="O59" s="1237">
        <f t="shared" si="33"/>
        <v>42000</v>
      </c>
      <c r="P59" s="805"/>
      <c r="Q59" s="1178"/>
      <c r="R59" s="119"/>
      <c r="S59" s="119"/>
      <c r="T59" s="119"/>
    </row>
    <row r="60" spans="1:20" s="12" customFormat="1" ht="18" customHeight="1" x14ac:dyDescent="0.25">
      <c r="A60" s="1071">
        <v>51288</v>
      </c>
      <c r="B60" s="382" t="s">
        <v>59</v>
      </c>
      <c r="C60" s="1207">
        <v>650000</v>
      </c>
      <c r="D60" s="1208">
        <f t="shared" ref="D60:N60" si="35">C60</f>
        <v>650000</v>
      </c>
      <c r="E60" s="1208">
        <f t="shared" si="35"/>
        <v>650000</v>
      </c>
      <c r="F60" s="1208">
        <f t="shared" si="35"/>
        <v>650000</v>
      </c>
      <c r="G60" s="1208">
        <f t="shared" si="35"/>
        <v>650000</v>
      </c>
      <c r="H60" s="1208">
        <f t="shared" si="35"/>
        <v>650000</v>
      </c>
      <c r="I60" s="1208">
        <f t="shared" si="35"/>
        <v>650000</v>
      </c>
      <c r="J60" s="1208">
        <f t="shared" si="35"/>
        <v>650000</v>
      </c>
      <c r="K60" s="1208">
        <f t="shared" si="35"/>
        <v>650000</v>
      </c>
      <c r="L60" s="1208">
        <f t="shared" si="35"/>
        <v>650000</v>
      </c>
      <c r="M60" s="1208">
        <f t="shared" si="35"/>
        <v>650000</v>
      </c>
      <c r="N60" s="1210">
        <f t="shared" si="35"/>
        <v>650000</v>
      </c>
      <c r="O60" s="1237">
        <f t="shared" si="33"/>
        <v>7800000</v>
      </c>
      <c r="P60" s="805"/>
      <c r="Q60" s="1178"/>
      <c r="R60" s="119"/>
      <c r="S60" s="119"/>
      <c r="T60" s="119"/>
    </row>
    <row r="61" spans="1:20" s="119" customFormat="1" ht="18" customHeight="1" x14ac:dyDescent="0.25">
      <c r="A61" s="1071">
        <v>51014</v>
      </c>
      <c r="B61" s="382" t="s">
        <v>3786</v>
      </c>
      <c r="C61" s="1207">
        <v>250000</v>
      </c>
      <c r="D61" s="1208">
        <f t="shared" ref="D61:N61" si="36">C61</f>
        <v>250000</v>
      </c>
      <c r="E61" s="1208">
        <f t="shared" si="36"/>
        <v>250000</v>
      </c>
      <c r="F61" s="1208">
        <f t="shared" si="36"/>
        <v>250000</v>
      </c>
      <c r="G61" s="1208">
        <f t="shared" si="36"/>
        <v>250000</v>
      </c>
      <c r="H61" s="1208">
        <f t="shared" si="36"/>
        <v>250000</v>
      </c>
      <c r="I61" s="1208">
        <f t="shared" si="36"/>
        <v>250000</v>
      </c>
      <c r="J61" s="1208">
        <f t="shared" si="36"/>
        <v>250000</v>
      </c>
      <c r="K61" s="1208">
        <f t="shared" si="36"/>
        <v>250000</v>
      </c>
      <c r="L61" s="1208">
        <f t="shared" si="36"/>
        <v>250000</v>
      </c>
      <c r="M61" s="1208">
        <f t="shared" si="36"/>
        <v>250000</v>
      </c>
      <c r="N61" s="1210">
        <f t="shared" si="36"/>
        <v>250000</v>
      </c>
      <c r="O61" s="1237">
        <f t="shared" si="33"/>
        <v>3000000</v>
      </c>
      <c r="P61" s="805"/>
      <c r="Q61" s="1178"/>
    </row>
    <row r="62" spans="1:20" s="119" customFormat="1" ht="18" customHeight="1" x14ac:dyDescent="0.25">
      <c r="A62" s="170">
        <v>51019</v>
      </c>
      <c r="B62" s="382" t="s">
        <v>3782</v>
      </c>
      <c r="C62" s="1207">
        <v>175000</v>
      </c>
      <c r="D62" s="1208">
        <f t="shared" ref="D62:N62" si="37">C62</f>
        <v>175000</v>
      </c>
      <c r="E62" s="1208">
        <f t="shared" si="37"/>
        <v>175000</v>
      </c>
      <c r="F62" s="1208">
        <f t="shared" si="37"/>
        <v>175000</v>
      </c>
      <c r="G62" s="1208">
        <f t="shared" si="37"/>
        <v>175000</v>
      </c>
      <c r="H62" s="1208">
        <f t="shared" si="37"/>
        <v>175000</v>
      </c>
      <c r="I62" s="1208">
        <f t="shared" si="37"/>
        <v>175000</v>
      </c>
      <c r="J62" s="1208">
        <f t="shared" si="37"/>
        <v>175000</v>
      </c>
      <c r="K62" s="1208">
        <f t="shared" si="37"/>
        <v>175000</v>
      </c>
      <c r="L62" s="1208">
        <f t="shared" si="37"/>
        <v>175000</v>
      </c>
      <c r="M62" s="1208">
        <f t="shared" si="37"/>
        <v>175000</v>
      </c>
      <c r="N62" s="1210">
        <f t="shared" si="37"/>
        <v>175000</v>
      </c>
      <c r="O62" s="1237">
        <f t="shared" si="33"/>
        <v>2100000</v>
      </c>
      <c r="P62" s="805"/>
      <c r="Q62" s="1178"/>
    </row>
    <row r="63" spans="1:20" s="119" customFormat="1" ht="18" customHeight="1" x14ac:dyDescent="0.25">
      <c r="A63" s="170">
        <v>51020</v>
      </c>
      <c r="B63" s="382" t="s">
        <v>58</v>
      </c>
      <c r="C63" s="1207">
        <v>125000</v>
      </c>
      <c r="D63" s="1208">
        <f t="shared" ref="D63:N63" si="38">C63</f>
        <v>125000</v>
      </c>
      <c r="E63" s="1208">
        <f t="shared" si="38"/>
        <v>125000</v>
      </c>
      <c r="F63" s="1208">
        <f t="shared" si="38"/>
        <v>125000</v>
      </c>
      <c r="G63" s="1208">
        <f t="shared" si="38"/>
        <v>125000</v>
      </c>
      <c r="H63" s="1208">
        <f t="shared" si="38"/>
        <v>125000</v>
      </c>
      <c r="I63" s="1208">
        <f t="shared" si="38"/>
        <v>125000</v>
      </c>
      <c r="J63" s="1208">
        <f t="shared" si="38"/>
        <v>125000</v>
      </c>
      <c r="K63" s="1208">
        <f t="shared" si="38"/>
        <v>125000</v>
      </c>
      <c r="L63" s="1208">
        <f t="shared" si="38"/>
        <v>125000</v>
      </c>
      <c r="M63" s="1208">
        <f t="shared" si="38"/>
        <v>125000</v>
      </c>
      <c r="N63" s="1210">
        <f t="shared" si="38"/>
        <v>125000</v>
      </c>
      <c r="O63" s="1237">
        <f t="shared" si="33"/>
        <v>1500000</v>
      </c>
      <c r="P63" s="805"/>
      <c r="Q63" s="1178"/>
    </row>
    <row r="64" spans="1:20" s="119" customFormat="1" ht="18" customHeight="1" x14ac:dyDescent="0.25">
      <c r="A64" s="170">
        <v>54956</v>
      </c>
      <c r="B64" s="382" t="s">
        <v>3781</v>
      </c>
      <c r="C64" s="1207">
        <v>10300</v>
      </c>
      <c r="D64" s="1208">
        <f t="shared" ref="D64:N64" si="39">C64</f>
        <v>10300</v>
      </c>
      <c r="E64" s="1208">
        <f t="shared" si="39"/>
        <v>10300</v>
      </c>
      <c r="F64" s="1208">
        <f t="shared" si="39"/>
        <v>10300</v>
      </c>
      <c r="G64" s="1208">
        <f t="shared" si="39"/>
        <v>10300</v>
      </c>
      <c r="H64" s="1208">
        <f t="shared" si="39"/>
        <v>10300</v>
      </c>
      <c r="I64" s="1208">
        <f t="shared" si="39"/>
        <v>10300</v>
      </c>
      <c r="J64" s="1208">
        <f t="shared" si="39"/>
        <v>10300</v>
      </c>
      <c r="K64" s="1208">
        <f t="shared" si="39"/>
        <v>10300</v>
      </c>
      <c r="L64" s="1208">
        <f t="shared" si="39"/>
        <v>10300</v>
      </c>
      <c r="M64" s="1208">
        <f t="shared" si="39"/>
        <v>10300</v>
      </c>
      <c r="N64" s="1210">
        <f t="shared" si="39"/>
        <v>10300</v>
      </c>
      <c r="O64" s="1237">
        <f t="shared" si="33"/>
        <v>123600</v>
      </c>
      <c r="P64" s="805"/>
      <c r="Q64" s="1178"/>
    </row>
    <row r="65" spans="1:20" s="119" customFormat="1" ht="18" customHeight="1" x14ac:dyDescent="0.25">
      <c r="A65" s="170">
        <v>25044</v>
      </c>
      <c r="B65" s="382" t="s">
        <v>181</v>
      </c>
      <c r="C65" s="1207">
        <v>90000</v>
      </c>
      <c r="D65" s="1208">
        <f t="shared" ref="D65:N65" si="40">C65</f>
        <v>90000</v>
      </c>
      <c r="E65" s="1208">
        <f t="shared" si="40"/>
        <v>90000</v>
      </c>
      <c r="F65" s="1208">
        <f t="shared" si="40"/>
        <v>90000</v>
      </c>
      <c r="G65" s="1208">
        <f t="shared" si="40"/>
        <v>90000</v>
      </c>
      <c r="H65" s="1208">
        <f t="shared" si="40"/>
        <v>90000</v>
      </c>
      <c r="I65" s="1208">
        <f t="shared" si="40"/>
        <v>90000</v>
      </c>
      <c r="J65" s="1208">
        <f t="shared" si="40"/>
        <v>90000</v>
      </c>
      <c r="K65" s="1208">
        <f t="shared" si="40"/>
        <v>90000</v>
      </c>
      <c r="L65" s="1208">
        <f t="shared" si="40"/>
        <v>90000</v>
      </c>
      <c r="M65" s="1208">
        <f t="shared" si="40"/>
        <v>90000</v>
      </c>
      <c r="N65" s="1210">
        <f t="shared" si="40"/>
        <v>90000</v>
      </c>
      <c r="O65" s="1237">
        <f t="shared" si="33"/>
        <v>1080000</v>
      </c>
      <c r="P65" s="805"/>
      <c r="Q65" s="1178"/>
    </row>
    <row r="66" spans="1:20" s="119" customFormat="1" ht="18" customHeight="1" x14ac:dyDescent="0.25">
      <c r="A66" s="170">
        <v>51012</v>
      </c>
      <c r="B66" s="382" t="s">
        <v>55</v>
      </c>
      <c r="C66" s="1207">
        <v>375000</v>
      </c>
      <c r="D66" s="1208">
        <f t="shared" ref="D66:N66" si="41">C66</f>
        <v>375000</v>
      </c>
      <c r="E66" s="1208">
        <f t="shared" si="41"/>
        <v>375000</v>
      </c>
      <c r="F66" s="1208">
        <f t="shared" si="41"/>
        <v>375000</v>
      </c>
      <c r="G66" s="1208">
        <f t="shared" si="41"/>
        <v>375000</v>
      </c>
      <c r="H66" s="1208">
        <f t="shared" si="41"/>
        <v>375000</v>
      </c>
      <c r="I66" s="1208">
        <f t="shared" si="41"/>
        <v>375000</v>
      </c>
      <c r="J66" s="1208">
        <f t="shared" si="41"/>
        <v>375000</v>
      </c>
      <c r="K66" s="1208">
        <f t="shared" si="41"/>
        <v>375000</v>
      </c>
      <c r="L66" s="1208">
        <f t="shared" si="41"/>
        <v>375000</v>
      </c>
      <c r="M66" s="1208">
        <f t="shared" si="41"/>
        <v>375000</v>
      </c>
      <c r="N66" s="1210">
        <f t="shared" si="41"/>
        <v>375000</v>
      </c>
      <c r="O66" s="1237">
        <f t="shared" si="33"/>
        <v>4500000</v>
      </c>
      <c r="P66" s="805"/>
      <c r="Q66" s="1178"/>
    </row>
    <row r="67" spans="1:20" s="119" customFormat="1" ht="18" customHeight="1" x14ac:dyDescent="0.25">
      <c r="A67" s="170">
        <v>51010</v>
      </c>
      <c r="B67" s="382" t="s">
        <v>186</v>
      </c>
      <c r="C67" s="1207">
        <v>165000</v>
      </c>
      <c r="D67" s="1208">
        <f t="shared" ref="D67:N67" si="42">C67</f>
        <v>165000</v>
      </c>
      <c r="E67" s="1208">
        <f t="shared" si="42"/>
        <v>165000</v>
      </c>
      <c r="F67" s="1208">
        <f t="shared" si="42"/>
        <v>165000</v>
      </c>
      <c r="G67" s="1208">
        <f t="shared" si="42"/>
        <v>165000</v>
      </c>
      <c r="H67" s="1208">
        <f t="shared" si="42"/>
        <v>165000</v>
      </c>
      <c r="I67" s="1208">
        <f t="shared" si="42"/>
        <v>165000</v>
      </c>
      <c r="J67" s="1208">
        <f t="shared" si="42"/>
        <v>165000</v>
      </c>
      <c r="K67" s="1208">
        <f t="shared" si="42"/>
        <v>165000</v>
      </c>
      <c r="L67" s="1208">
        <f t="shared" si="42"/>
        <v>165000</v>
      </c>
      <c r="M67" s="1208">
        <f t="shared" si="42"/>
        <v>165000</v>
      </c>
      <c r="N67" s="1210">
        <f t="shared" si="42"/>
        <v>165000</v>
      </c>
      <c r="O67" s="1237">
        <f t="shared" si="33"/>
        <v>1980000</v>
      </c>
      <c r="P67" s="805"/>
      <c r="Q67" s="1178"/>
    </row>
    <row r="68" spans="1:20" s="119" customFormat="1" ht="18" customHeight="1" x14ac:dyDescent="0.25">
      <c r="A68" s="170">
        <v>54957</v>
      </c>
      <c r="B68" s="382" t="s">
        <v>3790</v>
      </c>
      <c r="C68" s="1207">
        <v>2500</v>
      </c>
      <c r="D68" s="1208">
        <f t="shared" ref="D68:N68" si="43">C68</f>
        <v>2500</v>
      </c>
      <c r="E68" s="1208">
        <f t="shared" si="43"/>
        <v>2500</v>
      </c>
      <c r="F68" s="1208">
        <f t="shared" si="43"/>
        <v>2500</v>
      </c>
      <c r="G68" s="1208">
        <f t="shared" si="43"/>
        <v>2500</v>
      </c>
      <c r="H68" s="1208">
        <f t="shared" si="43"/>
        <v>2500</v>
      </c>
      <c r="I68" s="1208">
        <f t="shared" si="43"/>
        <v>2500</v>
      </c>
      <c r="J68" s="1208">
        <f t="shared" si="43"/>
        <v>2500</v>
      </c>
      <c r="K68" s="1208">
        <f t="shared" si="43"/>
        <v>2500</v>
      </c>
      <c r="L68" s="1208">
        <f t="shared" si="43"/>
        <v>2500</v>
      </c>
      <c r="M68" s="1208">
        <f t="shared" si="43"/>
        <v>2500</v>
      </c>
      <c r="N68" s="1210">
        <f t="shared" si="43"/>
        <v>2500</v>
      </c>
      <c r="O68" s="1237">
        <f t="shared" si="33"/>
        <v>30000</v>
      </c>
      <c r="P68" s="805"/>
      <c r="Q68" s="1178"/>
    </row>
    <row r="69" spans="1:20" s="119" customFormat="1" ht="18" customHeight="1" x14ac:dyDescent="0.25">
      <c r="A69" s="170">
        <v>12229</v>
      </c>
      <c r="B69" s="382" t="s">
        <v>3784</v>
      </c>
      <c r="C69" s="1207">
        <v>0</v>
      </c>
      <c r="D69" s="1208">
        <v>0</v>
      </c>
      <c r="E69" s="1208">
        <v>0</v>
      </c>
      <c r="F69" s="1208">
        <v>0</v>
      </c>
      <c r="G69" s="1208">
        <v>0</v>
      </c>
      <c r="H69" s="1208">
        <v>0</v>
      </c>
      <c r="I69" s="1208">
        <v>0</v>
      </c>
      <c r="J69" s="1208">
        <v>0</v>
      </c>
      <c r="K69" s="1208">
        <v>0</v>
      </c>
      <c r="L69" s="1208">
        <v>0</v>
      </c>
      <c r="M69" s="1208">
        <v>0</v>
      </c>
      <c r="N69" s="1210">
        <v>0</v>
      </c>
      <c r="O69" s="1210">
        <f t="shared" si="33"/>
        <v>0</v>
      </c>
      <c r="P69" s="805"/>
      <c r="Q69" s="1177"/>
    </row>
    <row r="70" spans="1:20" s="119" customFormat="1" ht="18" customHeight="1" x14ac:dyDescent="0.25">
      <c r="A70" s="170">
        <v>51011</v>
      </c>
      <c r="B70" s="382" t="s">
        <v>187</v>
      </c>
      <c r="C70" s="1207">
        <v>295000</v>
      </c>
      <c r="D70" s="1208">
        <f t="shared" ref="D70:N70" si="44">C70</f>
        <v>295000</v>
      </c>
      <c r="E70" s="1208">
        <f t="shared" si="44"/>
        <v>295000</v>
      </c>
      <c r="F70" s="1208">
        <f t="shared" si="44"/>
        <v>295000</v>
      </c>
      <c r="G70" s="1208">
        <f t="shared" si="44"/>
        <v>295000</v>
      </c>
      <c r="H70" s="1208">
        <f t="shared" si="44"/>
        <v>295000</v>
      </c>
      <c r="I70" s="1208">
        <f t="shared" si="44"/>
        <v>295000</v>
      </c>
      <c r="J70" s="1208">
        <f t="shared" si="44"/>
        <v>295000</v>
      </c>
      <c r="K70" s="1208">
        <f t="shared" si="44"/>
        <v>295000</v>
      </c>
      <c r="L70" s="1208">
        <f t="shared" si="44"/>
        <v>295000</v>
      </c>
      <c r="M70" s="1208">
        <f t="shared" si="44"/>
        <v>295000</v>
      </c>
      <c r="N70" s="1210">
        <f t="shared" si="44"/>
        <v>295000</v>
      </c>
      <c r="O70" s="1237">
        <f t="shared" si="33"/>
        <v>3540000</v>
      </c>
      <c r="P70" s="805"/>
      <c r="Q70" s="1178"/>
    </row>
    <row r="71" spans="1:20" s="119" customFormat="1" ht="18" customHeight="1" x14ac:dyDescent="0.25">
      <c r="A71" s="170">
        <v>12229</v>
      </c>
      <c r="B71" s="382" t="s">
        <v>3783</v>
      </c>
      <c r="C71" s="1207">
        <v>310000</v>
      </c>
      <c r="D71" s="1208">
        <f t="shared" ref="D71:N71" si="45">C71</f>
        <v>310000</v>
      </c>
      <c r="E71" s="1208">
        <f t="shared" si="45"/>
        <v>310000</v>
      </c>
      <c r="F71" s="1208">
        <f t="shared" si="45"/>
        <v>310000</v>
      </c>
      <c r="G71" s="1208">
        <f t="shared" si="45"/>
        <v>310000</v>
      </c>
      <c r="H71" s="1208">
        <f t="shared" si="45"/>
        <v>310000</v>
      </c>
      <c r="I71" s="1208">
        <f t="shared" si="45"/>
        <v>310000</v>
      </c>
      <c r="J71" s="1208">
        <f t="shared" si="45"/>
        <v>310000</v>
      </c>
      <c r="K71" s="1208">
        <f t="shared" si="45"/>
        <v>310000</v>
      </c>
      <c r="L71" s="1208">
        <f t="shared" si="45"/>
        <v>310000</v>
      </c>
      <c r="M71" s="1208">
        <f t="shared" si="45"/>
        <v>310000</v>
      </c>
      <c r="N71" s="1210">
        <f t="shared" si="45"/>
        <v>310000</v>
      </c>
      <c r="O71" s="1237">
        <f t="shared" si="33"/>
        <v>3720000</v>
      </c>
      <c r="P71" s="805"/>
      <c r="Q71" s="1177"/>
    </row>
    <row r="72" spans="1:20" s="119" customFormat="1" ht="18" customHeight="1" x14ac:dyDescent="0.25">
      <c r="A72" s="170">
        <v>12202</v>
      </c>
      <c r="B72" s="382" t="s">
        <v>3785</v>
      </c>
      <c r="C72" s="1207">
        <v>110000</v>
      </c>
      <c r="D72" s="1208">
        <f t="shared" ref="D72:N72" si="46">C72</f>
        <v>110000</v>
      </c>
      <c r="E72" s="1208">
        <f t="shared" si="46"/>
        <v>110000</v>
      </c>
      <c r="F72" s="1208">
        <f t="shared" si="46"/>
        <v>110000</v>
      </c>
      <c r="G72" s="1208">
        <f t="shared" si="46"/>
        <v>110000</v>
      </c>
      <c r="H72" s="1208">
        <f t="shared" si="46"/>
        <v>110000</v>
      </c>
      <c r="I72" s="1208">
        <f t="shared" si="46"/>
        <v>110000</v>
      </c>
      <c r="J72" s="1208">
        <f t="shared" si="46"/>
        <v>110000</v>
      </c>
      <c r="K72" s="1208">
        <f t="shared" si="46"/>
        <v>110000</v>
      </c>
      <c r="L72" s="1208">
        <f t="shared" si="46"/>
        <v>110000</v>
      </c>
      <c r="M72" s="1208">
        <f t="shared" si="46"/>
        <v>110000</v>
      </c>
      <c r="N72" s="1210">
        <f t="shared" si="46"/>
        <v>110000</v>
      </c>
      <c r="O72" s="1237">
        <f t="shared" si="33"/>
        <v>1320000</v>
      </c>
      <c r="P72" s="805"/>
      <c r="Q72" s="1177"/>
    </row>
    <row r="73" spans="1:20" s="119" customFormat="1" ht="18" customHeight="1" x14ac:dyDescent="0.25">
      <c r="A73" s="170" t="s">
        <v>3655</v>
      </c>
      <c r="B73" s="382" t="s">
        <v>3778</v>
      </c>
      <c r="C73" s="1207">
        <v>1700000</v>
      </c>
      <c r="D73" s="1208">
        <f t="shared" ref="D73:N73" si="47">C73</f>
        <v>1700000</v>
      </c>
      <c r="E73" s="1208">
        <f t="shared" si="47"/>
        <v>1700000</v>
      </c>
      <c r="F73" s="1208">
        <f t="shared" si="47"/>
        <v>1700000</v>
      </c>
      <c r="G73" s="1208">
        <f t="shared" si="47"/>
        <v>1700000</v>
      </c>
      <c r="H73" s="1208">
        <f t="shared" si="47"/>
        <v>1700000</v>
      </c>
      <c r="I73" s="1208">
        <f t="shared" si="47"/>
        <v>1700000</v>
      </c>
      <c r="J73" s="1208">
        <f t="shared" si="47"/>
        <v>1700000</v>
      </c>
      <c r="K73" s="1208">
        <f t="shared" si="47"/>
        <v>1700000</v>
      </c>
      <c r="L73" s="1208">
        <f t="shared" si="47"/>
        <v>1700000</v>
      </c>
      <c r="M73" s="1208">
        <f t="shared" si="47"/>
        <v>1700000</v>
      </c>
      <c r="N73" s="1210">
        <f t="shared" si="47"/>
        <v>1700000</v>
      </c>
      <c r="O73" s="1237">
        <f t="shared" si="33"/>
        <v>20400000</v>
      </c>
      <c r="P73" s="12"/>
      <c r="Q73" s="12"/>
      <c r="R73" s="12"/>
      <c r="S73" s="12"/>
      <c r="T73" s="12"/>
    </row>
    <row r="74" spans="1:20" s="119" customFormat="1" ht="18" customHeight="1" x14ac:dyDescent="0.25">
      <c r="A74" s="170"/>
      <c r="B74" s="382" t="s">
        <v>3780</v>
      </c>
      <c r="C74" s="1207">
        <v>430000</v>
      </c>
      <c r="D74" s="1208">
        <f t="shared" ref="D74:N74" si="48">C74</f>
        <v>430000</v>
      </c>
      <c r="E74" s="1208">
        <f t="shared" si="48"/>
        <v>430000</v>
      </c>
      <c r="F74" s="1208">
        <f t="shared" si="48"/>
        <v>430000</v>
      </c>
      <c r="G74" s="1208">
        <f t="shared" si="48"/>
        <v>430000</v>
      </c>
      <c r="H74" s="1208">
        <f t="shared" si="48"/>
        <v>430000</v>
      </c>
      <c r="I74" s="1208">
        <f t="shared" si="48"/>
        <v>430000</v>
      </c>
      <c r="J74" s="1208">
        <f t="shared" si="48"/>
        <v>430000</v>
      </c>
      <c r="K74" s="1208">
        <f t="shared" si="48"/>
        <v>430000</v>
      </c>
      <c r="L74" s="1208">
        <f t="shared" si="48"/>
        <v>430000</v>
      </c>
      <c r="M74" s="1208">
        <f t="shared" si="48"/>
        <v>430000</v>
      </c>
      <c r="N74" s="1210">
        <f t="shared" si="48"/>
        <v>430000</v>
      </c>
      <c r="O74" s="1237">
        <f t="shared" si="33"/>
        <v>5160000</v>
      </c>
      <c r="P74" s="12"/>
      <c r="Q74" s="12"/>
      <c r="R74" s="12"/>
      <c r="S74" s="12"/>
      <c r="T74" s="12"/>
    </row>
    <row r="75" spans="1:20" s="119" customFormat="1" ht="18" customHeight="1" x14ac:dyDescent="0.25">
      <c r="A75" s="170">
        <v>52563</v>
      </c>
      <c r="B75" s="382" t="s">
        <v>60</v>
      </c>
      <c r="C75" s="1207">
        <v>20000</v>
      </c>
      <c r="D75" s="1208">
        <f t="shared" ref="D75:N75" si="49">C75</f>
        <v>20000</v>
      </c>
      <c r="E75" s="1208">
        <f t="shared" si="49"/>
        <v>20000</v>
      </c>
      <c r="F75" s="1208">
        <f t="shared" si="49"/>
        <v>20000</v>
      </c>
      <c r="G75" s="1208">
        <f t="shared" si="49"/>
        <v>20000</v>
      </c>
      <c r="H75" s="1208">
        <f t="shared" si="49"/>
        <v>20000</v>
      </c>
      <c r="I75" s="1208">
        <f t="shared" si="49"/>
        <v>20000</v>
      </c>
      <c r="J75" s="1208">
        <f t="shared" si="49"/>
        <v>20000</v>
      </c>
      <c r="K75" s="1208">
        <f t="shared" si="49"/>
        <v>20000</v>
      </c>
      <c r="L75" s="1208">
        <f t="shared" si="49"/>
        <v>20000</v>
      </c>
      <c r="M75" s="1208">
        <f t="shared" si="49"/>
        <v>20000</v>
      </c>
      <c r="N75" s="1210">
        <f t="shared" si="49"/>
        <v>20000</v>
      </c>
      <c r="O75" s="1237">
        <f t="shared" si="33"/>
        <v>240000</v>
      </c>
      <c r="P75" s="805"/>
      <c r="Q75" s="1178"/>
    </row>
    <row r="76" spans="1:20" s="119" customFormat="1" ht="18" customHeight="1" x14ac:dyDescent="0.25">
      <c r="A76" s="170">
        <v>51819</v>
      </c>
      <c r="B76" s="382" t="s">
        <v>189</v>
      </c>
      <c r="C76" s="1207">
        <v>700</v>
      </c>
      <c r="D76" s="1208">
        <f t="shared" ref="D76:N76" si="50">C76</f>
        <v>700</v>
      </c>
      <c r="E76" s="1208">
        <f t="shared" si="50"/>
        <v>700</v>
      </c>
      <c r="F76" s="1208">
        <f t="shared" si="50"/>
        <v>700</v>
      </c>
      <c r="G76" s="1208">
        <f t="shared" si="50"/>
        <v>700</v>
      </c>
      <c r="H76" s="1208">
        <f t="shared" si="50"/>
        <v>700</v>
      </c>
      <c r="I76" s="1208">
        <f t="shared" si="50"/>
        <v>700</v>
      </c>
      <c r="J76" s="1208">
        <f t="shared" si="50"/>
        <v>700</v>
      </c>
      <c r="K76" s="1208">
        <f t="shared" si="50"/>
        <v>700</v>
      </c>
      <c r="L76" s="1208">
        <f t="shared" si="50"/>
        <v>700</v>
      </c>
      <c r="M76" s="1208">
        <f t="shared" si="50"/>
        <v>700</v>
      </c>
      <c r="N76" s="1210">
        <f t="shared" si="50"/>
        <v>700</v>
      </c>
      <c r="O76" s="1237">
        <f t="shared" si="33"/>
        <v>8400</v>
      </c>
      <c r="P76" s="805"/>
      <c r="Q76" s="1178"/>
    </row>
    <row r="77" spans="1:20" s="119" customFormat="1" ht="18" customHeight="1" x14ac:dyDescent="0.25">
      <c r="A77" s="170" t="s">
        <v>126</v>
      </c>
      <c r="B77" s="382" t="s">
        <v>50</v>
      </c>
      <c r="C77" s="1207">
        <v>3200</v>
      </c>
      <c r="D77" s="1208">
        <f t="shared" ref="D77:N77" si="51">C77</f>
        <v>3200</v>
      </c>
      <c r="E77" s="1208">
        <f t="shared" si="51"/>
        <v>3200</v>
      </c>
      <c r="F77" s="1208">
        <f t="shared" si="51"/>
        <v>3200</v>
      </c>
      <c r="G77" s="1208">
        <f t="shared" si="51"/>
        <v>3200</v>
      </c>
      <c r="H77" s="1208">
        <f t="shared" si="51"/>
        <v>3200</v>
      </c>
      <c r="I77" s="1208">
        <f t="shared" si="51"/>
        <v>3200</v>
      </c>
      <c r="J77" s="1208">
        <f t="shared" si="51"/>
        <v>3200</v>
      </c>
      <c r="K77" s="1208">
        <f t="shared" si="51"/>
        <v>3200</v>
      </c>
      <c r="L77" s="1208">
        <f t="shared" si="51"/>
        <v>3200</v>
      </c>
      <c r="M77" s="1208">
        <f t="shared" si="51"/>
        <v>3200</v>
      </c>
      <c r="N77" s="1210">
        <f t="shared" si="51"/>
        <v>3200</v>
      </c>
      <c r="O77" s="1237">
        <f t="shared" si="33"/>
        <v>38400</v>
      </c>
      <c r="P77" s="805"/>
      <c r="Q77" s="1177"/>
    </row>
    <row r="78" spans="1:20" s="119" customFormat="1" ht="18" customHeight="1" x14ac:dyDescent="0.25">
      <c r="A78" s="170">
        <v>12207</v>
      </c>
      <c r="B78" s="382" t="s">
        <v>179</v>
      </c>
      <c r="C78" s="1207">
        <v>20000</v>
      </c>
      <c r="D78" s="1208">
        <f t="shared" ref="D78:N78" si="52">C78</f>
        <v>20000</v>
      </c>
      <c r="E78" s="1208">
        <f t="shared" si="52"/>
        <v>20000</v>
      </c>
      <c r="F78" s="1208">
        <f t="shared" si="52"/>
        <v>20000</v>
      </c>
      <c r="G78" s="1208">
        <f t="shared" si="52"/>
        <v>20000</v>
      </c>
      <c r="H78" s="1208">
        <f t="shared" si="52"/>
        <v>20000</v>
      </c>
      <c r="I78" s="1208">
        <f t="shared" si="52"/>
        <v>20000</v>
      </c>
      <c r="J78" s="1208">
        <f t="shared" si="52"/>
        <v>20000</v>
      </c>
      <c r="K78" s="1208">
        <f t="shared" si="52"/>
        <v>20000</v>
      </c>
      <c r="L78" s="1208">
        <f t="shared" si="52"/>
        <v>20000</v>
      </c>
      <c r="M78" s="1208">
        <f t="shared" si="52"/>
        <v>20000</v>
      </c>
      <c r="N78" s="1210">
        <f t="shared" si="52"/>
        <v>20000</v>
      </c>
      <c r="O78" s="1237">
        <f t="shared" si="33"/>
        <v>240000</v>
      </c>
      <c r="P78" s="805"/>
      <c r="Q78" s="1178"/>
    </row>
    <row r="79" spans="1:20" s="119" customFormat="1" ht="18" customHeight="1" x14ac:dyDescent="0.25">
      <c r="A79" s="170">
        <v>53920</v>
      </c>
      <c r="B79" s="382" t="s">
        <v>3630</v>
      </c>
      <c r="C79" s="1207">
        <v>15000</v>
      </c>
      <c r="D79" s="1208">
        <f t="shared" ref="D79:N79" si="53">C79</f>
        <v>15000</v>
      </c>
      <c r="E79" s="1208">
        <f t="shared" si="53"/>
        <v>15000</v>
      </c>
      <c r="F79" s="1208">
        <f t="shared" si="53"/>
        <v>15000</v>
      </c>
      <c r="G79" s="1208">
        <f t="shared" si="53"/>
        <v>15000</v>
      </c>
      <c r="H79" s="1208">
        <f t="shared" si="53"/>
        <v>15000</v>
      </c>
      <c r="I79" s="1208">
        <f t="shared" si="53"/>
        <v>15000</v>
      </c>
      <c r="J79" s="1208">
        <f t="shared" si="53"/>
        <v>15000</v>
      </c>
      <c r="K79" s="1208">
        <f t="shared" si="53"/>
        <v>15000</v>
      </c>
      <c r="L79" s="1208">
        <f t="shared" si="53"/>
        <v>15000</v>
      </c>
      <c r="M79" s="1208">
        <f t="shared" si="53"/>
        <v>15000</v>
      </c>
      <c r="N79" s="1210">
        <f t="shared" si="53"/>
        <v>15000</v>
      </c>
      <c r="O79" s="1237">
        <f t="shared" si="33"/>
        <v>180000</v>
      </c>
      <c r="P79" s="805"/>
      <c r="Q79" s="1178"/>
    </row>
    <row r="80" spans="1:20" s="119" customFormat="1" ht="18" customHeight="1" x14ac:dyDescent="0.25">
      <c r="A80" s="170">
        <v>53921</v>
      </c>
      <c r="B80" s="382" t="s">
        <v>3791</v>
      </c>
      <c r="C80" s="1207">
        <v>8000</v>
      </c>
      <c r="D80" s="1208">
        <f t="shared" ref="D80:N80" si="54">C80</f>
        <v>8000</v>
      </c>
      <c r="E80" s="1208">
        <f t="shared" si="54"/>
        <v>8000</v>
      </c>
      <c r="F80" s="1208">
        <f t="shared" si="54"/>
        <v>8000</v>
      </c>
      <c r="G80" s="1208">
        <f t="shared" si="54"/>
        <v>8000</v>
      </c>
      <c r="H80" s="1208">
        <f t="shared" si="54"/>
        <v>8000</v>
      </c>
      <c r="I80" s="1208">
        <f t="shared" si="54"/>
        <v>8000</v>
      </c>
      <c r="J80" s="1208">
        <f t="shared" si="54"/>
        <v>8000</v>
      </c>
      <c r="K80" s="1208">
        <f t="shared" si="54"/>
        <v>8000</v>
      </c>
      <c r="L80" s="1208">
        <f t="shared" si="54"/>
        <v>8000</v>
      </c>
      <c r="M80" s="1208">
        <f t="shared" si="54"/>
        <v>8000</v>
      </c>
      <c r="N80" s="1210">
        <f t="shared" si="54"/>
        <v>8000</v>
      </c>
      <c r="O80" s="1237">
        <f t="shared" si="33"/>
        <v>96000</v>
      </c>
      <c r="P80" s="805"/>
      <c r="Q80" s="1178"/>
    </row>
    <row r="81" spans="1:20" s="119" customFormat="1" ht="18" customHeight="1" x14ac:dyDescent="0.25">
      <c r="A81" s="170">
        <v>12878</v>
      </c>
      <c r="B81" s="382" t="s">
        <v>194</v>
      </c>
      <c r="C81" s="1207">
        <v>1000</v>
      </c>
      <c r="D81" s="1208">
        <f t="shared" ref="D81:N81" si="55">C81</f>
        <v>1000</v>
      </c>
      <c r="E81" s="1208">
        <f t="shared" si="55"/>
        <v>1000</v>
      </c>
      <c r="F81" s="1208">
        <f t="shared" si="55"/>
        <v>1000</v>
      </c>
      <c r="G81" s="1208">
        <f t="shared" si="55"/>
        <v>1000</v>
      </c>
      <c r="H81" s="1208">
        <f t="shared" si="55"/>
        <v>1000</v>
      </c>
      <c r="I81" s="1208">
        <f t="shared" si="55"/>
        <v>1000</v>
      </c>
      <c r="J81" s="1208">
        <f t="shared" si="55"/>
        <v>1000</v>
      </c>
      <c r="K81" s="1208">
        <f t="shared" si="55"/>
        <v>1000</v>
      </c>
      <c r="L81" s="1208">
        <f t="shared" si="55"/>
        <v>1000</v>
      </c>
      <c r="M81" s="1208">
        <f t="shared" si="55"/>
        <v>1000</v>
      </c>
      <c r="N81" s="1210">
        <f t="shared" si="55"/>
        <v>1000</v>
      </c>
      <c r="O81" s="1237">
        <f t="shared" si="33"/>
        <v>12000</v>
      </c>
      <c r="P81" s="805"/>
      <c r="Q81" s="1178"/>
    </row>
    <row r="82" spans="1:20" s="119" customFormat="1" ht="18" customHeight="1" x14ac:dyDescent="0.25">
      <c r="A82" s="170">
        <v>12899</v>
      </c>
      <c r="B82" s="382" t="s">
        <v>180</v>
      </c>
      <c r="C82" s="1207">
        <v>850000</v>
      </c>
      <c r="D82" s="1208">
        <f t="shared" ref="D82:N82" si="56">C82</f>
        <v>850000</v>
      </c>
      <c r="E82" s="1208">
        <f t="shared" si="56"/>
        <v>850000</v>
      </c>
      <c r="F82" s="1208">
        <f t="shared" si="56"/>
        <v>850000</v>
      </c>
      <c r="G82" s="1208">
        <f t="shared" si="56"/>
        <v>850000</v>
      </c>
      <c r="H82" s="1208">
        <f t="shared" si="56"/>
        <v>850000</v>
      </c>
      <c r="I82" s="1208">
        <f t="shared" si="56"/>
        <v>850000</v>
      </c>
      <c r="J82" s="1208">
        <f t="shared" si="56"/>
        <v>850000</v>
      </c>
      <c r="K82" s="1208">
        <f t="shared" si="56"/>
        <v>850000</v>
      </c>
      <c r="L82" s="1208">
        <f t="shared" si="56"/>
        <v>850000</v>
      </c>
      <c r="M82" s="1208">
        <f t="shared" si="56"/>
        <v>850000</v>
      </c>
      <c r="N82" s="1210">
        <f t="shared" si="56"/>
        <v>850000</v>
      </c>
      <c r="O82" s="1237">
        <f t="shared" si="33"/>
        <v>10200000</v>
      </c>
      <c r="P82" s="805"/>
      <c r="Q82" s="1177"/>
    </row>
    <row r="83" spans="1:20" s="119" customFormat="1" ht="18" customHeight="1" x14ac:dyDescent="0.25">
      <c r="A83" s="170">
        <v>51645</v>
      </c>
      <c r="B83" s="382" t="s">
        <v>3701</v>
      </c>
      <c r="C83" s="1207">
        <v>500</v>
      </c>
      <c r="D83" s="1208">
        <f t="shared" ref="D83:N83" si="57">C83</f>
        <v>500</v>
      </c>
      <c r="E83" s="1208">
        <f t="shared" si="57"/>
        <v>500</v>
      </c>
      <c r="F83" s="1208">
        <f t="shared" si="57"/>
        <v>500</v>
      </c>
      <c r="G83" s="1208">
        <f t="shared" si="57"/>
        <v>500</v>
      </c>
      <c r="H83" s="1208">
        <f t="shared" si="57"/>
        <v>500</v>
      </c>
      <c r="I83" s="1208">
        <f t="shared" si="57"/>
        <v>500</v>
      </c>
      <c r="J83" s="1208">
        <f t="shared" si="57"/>
        <v>500</v>
      </c>
      <c r="K83" s="1208">
        <f t="shared" si="57"/>
        <v>500</v>
      </c>
      <c r="L83" s="1208">
        <f t="shared" si="57"/>
        <v>500</v>
      </c>
      <c r="M83" s="1208">
        <f t="shared" si="57"/>
        <v>500</v>
      </c>
      <c r="N83" s="1210">
        <f t="shared" si="57"/>
        <v>500</v>
      </c>
      <c r="O83" s="1237">
        <f t="shared" si="33"/>
        <v>6000</v>
      </c>
      <c r="P83" s="805"/>
      <c r="Q83" s="1178"/>
    </row>
    <row r="84" spans="1:20" s="119" customFormat="1" ht="18" customHeight="1" x14ac:dyDescent="0.25">
      <c r="A84" s="1181">
        <v>55229</v>
      </c>
      <c r="B84" s="1075" t="s">
        <v>3710</v>
      </c>
      <c r="C84" s="1207">
        <v>45000</v>
      </c>
      <c r="D84" s="1211">
        <f t="shared" ref="D84:N84" si="58">C84</f>
        <v>45000</v>
      </c>
      <c r="E84" s="1211">
        <f t="shared" si="58"/>
        <v>45000</v>
      </c>
      <c r="F84" s="1211">
        <f t="shared" si="58"/>
        <v>45000</v>
      </c>
      <c r="G84" s="1211">
        <f t="shared" si="58"/>
        <v>45000</v>
      </c>
      <c r="H84" s="1211">
        <f t="shared" si="58"/>
        <v>45000</v>
      </c>
      <c r="I84" s="1211">
        <f t="shared" si="58"/>
        <v>45000</v>
      </c>
      <c r="J84" s="1211">
        <f t="shared" si="58"/>
        <v>45000</v>
      </c>
      <c r="K84" s="1211">
        <f t="shared" si="58"/>
        <v>45000</v>
      </c>
      <c r="L84" s="1211">
        <f t="shared" si="58"/>
        <v>45000</v>
      </c>
      <c r="M84" s="1211">
        <f t="shared" si="58"/>
        <v>45000</v>
      </c>
      <c r="N84" s="1193">
        <f t="shared" si="58"/>
        <v>45000</v>
      </c>
      <c r="O84" s="1237">
        <f t="shared" si="33"/>
        <v>540000</v>
      </c>
      <c r="P84" s="11"/>
      <c r="Q84" s="1172"/>
      <c r="R84" s="11"/>
      <c r="S84" s="11"/>
      <c r="T84" s="11"/>
    </row>
    <row r="85" spans="1:20" s="119" customFormat="1" ht="18" customHeight="1" x14ac:dyDescent="0.25">
      <c r="A85" s="170">
        <v>51820</v>
      </c>
      <c r="B85" s="382" t="s">
        <v>190</v>
      </c>
      <c r="C85" s="1207">
        <v>1200</v>
      </c>
      <c r="D85" s="1208">
        <f t="shared" ref="D85:N85" si="59">C85</f>
        <v>1200</v>
      </c>
      <c r="E85" s="1208">
        <f t="shared" si="59"/>
        <v>1200</v>
      </c>
      <c r="F85" s="1208">
        <f t="shared" si="59"/>
        <v>1200</v>
      </c>
      <c r="G85" s="1208">
        <f t="shared" si="59"/>
        <v>1200</v>
      </c>
      <c r="H85" s="1208">
        <f t="shared" si="59"/>
        <v>1200</v>
      </c>
      <c r="I85" s="1208">
        <f t="shared" si="59"/>
        <v>1200</v>
      </c>
      <c r="J85" s="1208">
        <f t="shared" si="59"/>
        <v>1200</v>
      </c>
      <c r="K85" s="1208">
        <f t="shared" si="59"/>
        <v>1200</v>
      </c>
      <c r="L85" s="1208">
        <f t="shared" si="59"/>
        <v>1200</v>
      </c>
      <c r="M85" s="1208">
        <f t="shared" si="59"/>
        <v>1200</v>
      </c>
      <c r="N85" s="1210">
        <f t="shared" si="59"/>
        <v>1200</v>
      </c>
      <c r="O85" s="1237">
        <f t="shared" si="33"/>
        <v>14400</v>
      </c>
      <c r="P85" s="805"/>
      <c r="Q85" s="1178"/>
    </row>
    <row r="86" spans="1:20" s="119" customFormat="1" ht="18" customHeight="1" x14ac:dyDescent="0.25">
      <c r="A86" s="1181">
        <v>54391</v>
      </c>
      <c r="B86" s="1075" t="s">
        <v>3793</v>
      </c>
      <c r="C86" s="1212">
        <v>95000</v>
      </c>
      <c r="D86" s="1213">
        <f t="shared" ref="D86:N86" si="60">C86</f>
        <v>95000</v>
      </c>
      <c r="E86" s="1213">
        <f t="shared" si="60"/>
        <v>95000</v>
      </c>
      <c r="F86" s="1213">
        <f t="shared" si="60"/>
        <v>95000</v>
      </c>
      <c r="G86" s="1213">
        <f t="shared" si="60"/>
        <v>95000</v>
      </c>
      <c r="H86" s="1213">
        <f t="shared" si="60"/>
        <v>95000</v>
      </c>
      <c r="I86" s="1213">
        <f t="shared" si="60"/>
        <v>95000</v>
      </c>
      <c r="J86" s="1213">
        <f t="shared" si="60"/>
        <v>95000</v>
      </c>
      <c r="K86" s="1213">
        <f t="shared" si="60"/>
        <v>95000</v>
      </c>
      <c r="L86" s="1213">
        <f t="shared" si="60"/>
        <v>95000</v>
      </c>
      <c r="M86" s="1213">
        <f t="shared" si="60"/>
        <v>95000</v>
      </c>
      <c r="N86" s="1214">
        <f t="shared" si="60"/>
        <v>95000</v>
      </c>
      <c r="O86" s="1237">
        <f t="shared" si="33"/>
        <v>1140000</v>
      </c>
      <c r="P86" s="146"/>
      <c r="Q86" s="232"/>
      <c r="R86" s="146"/>
      <c r="S86" s="146"/>
      <c r="T86" s="146"/>
    </row>
    <row r="87" spans="1:20" s="119" customFormat="1" ht="18" customHeight="1" x14ac:dyDescent="0.25">
      <c r="A87" s="170">
        <v>51822</v>
      </c>
      <c r="B87" s="382" t="s">
        <v>192</v>
      </c>
      <c r="C87" s="1207">
        <v>95000</v>
      </c>
      <c r="D87" s="1208">
        <f t="shared" ref="D87:N87" si="61">C87</f>
        <v>95000</v>
      </c>
      <c r="E87" s="1208">
        <f t="shared" si="61"/>
        <v>95000</v>
      </c>
      <c r="F87" s="1208">
        <f t="shared" si="61"/>
        <v>95000</v>
      </c>
      <c r="G87" s="1208">
        <f t="shared" si="61"/>
        <v>95000</v>
      </c>
      <c r="H87" s="1208">
        <f t="shared" si="61"/>
        <v>95000</v>
      </c>
      <c r="I87" s="1208">
        <f t="shared" si="61"/>
        <v>95000</v>
      </c>
      <c r="J87" s="1208">
        <f t="shared" si="61"/>
        <v>95000</v>
      </c>
      <c r="K87" s="1208">
        <f t="shared" si="61"/>
        <v>95000</v>
      </c>
      <c r="L87" s="1208">
        <f t="shared" si="61"/>
        <v>95000</v>
      </c>
      <c r="M87" s="1208">
        <f t="shared" si="61"/>
        <v>95000</v>
      </c>
      <c r="N87" s="1210">
        <f t="shared" si="61"/>
        <v>95000</v>
      </c>
      <c r="O87" s="1237">
        <f t="shared" si="33"/>
        <v>1140000</v>
      </c>
      <c r="P87" s="805"/>
      <c r="Q87" s="1178"/>
    </row>
    <row r="88" spans="1:20" s="119" customFormat="1" ht="18" customHeight="1" x14ac:dyDescent="0.25">
      <c r="A88" s="170">
        <v>52230</v>
      </c>
      <c r="B88" s="382" t="s">
        <v>3789</v>
      </c>
      <c r="C88" s="1207">
        <v>12000</v>
      </c>
      <c r="D88" s="1208">
        <f t="shared" ref="D88:N88" si="62">C88</f>
        <v>12000</v>
      </c>
      <c r="E88" s="1208">
        <f t="shared" si="62"/>
        <v>12000</v>
      </c>
      <c r="F88" s="1208">
        <f t="shared" si="62"/>
        <v>12000</v>
      </c>
      <c r="G88" s="1208">
        <f t="shared" si="62"/>
        <v>12000</v>
      </c>
      <c r="H88" s="1208">
        <f t="shared" si="62"/>
        <v>12000</v>
      </c>
      <c r="I88" s="1208">
        <f t="shared" si="62"/>
        <v>12000</v>
      </c>
      <c r="J88" s="1208">
        <f t="shared" si="62"/>
        <v>12000</v>
      </c>
      <c r="K88" s="1208">
        <f t="shared" si="62"/>
        <v>12000</v>
      </c>
      <c r="L88" s="1208">
        <f t="shared" si="62"/>
        <v>12000</v>
      </c>
      <c r="M88" s="1208">
        <f t="shared" si="62"/>
        <v>12000</v>
      </c>
      <c r="N88" s="1210">
        <f t="shared" si="62"/>
        <v>12000</v>
      </c>
      <c r="O88" s="1237">
        <f t="shared" si="33"/>
        <v>144000</v>
      </c>
      <c r="P88" s="805"/>
      <c r="Q88" s="1178"/>
    </row>
    <row r="89" spans="1:20" s="119" customFormat="1" ht="18" customHeight="1" x14ac:dyDescent="0.25">
      <c r="A89" s="170">
        <v>12226</v>
      </c>
      <c r="B89" s="382" t="s">
        <v>3773</v>
      </c>
      <c r="C89" s="1207">
        <v>35000</v>
      </c>
      <c r="D89" s="1208">
        <f t="shared" ref="D89:N89" si="63">C89</f>
        <v>35000</v>
      </c>
      <c r="E89" s="1208">
        <f t="shared" si="63"/>
        <v>35000</v>
      </c>
      <c r="F89" s="1208">
        <f t="shared" si="63"/>
        <v>35000</v>
      </c>
      <c r="G89" s="1208">
        <f t="shared" si="63"/>
        <v>35000</v>
      </c>
      <c r="H89" s="1208">
        <f t="shared" si="63"/>
        <v>35000</v>
      </c>
      <c r="I89" s="1208">
        <f t="shared" si="63"/>
        <v>35000</v>
      </c>
      <c r="J89" s="1208">
        <f t="shared" si="63"/>
        <v>35000</v>
      </c>
      <c r="K89" s="1208">
        <f t="shared" si="63"/>
        <v>35000</v>
      </c>
      <c r="L89" s="1208">
        <f t="shared" si="63"/>
        <v>35000</v>
      </c>
      <c r="M89" s="1208">
        <f t="shared" si="63"/>
        <v>35000</v>
      </c>
      <c r="N89" s="1210">
        <f t="shared" si="63"/>
        <v>35000</v>
      </c>
      <c r="O89" s="1237">
        <f t="shared" si="33"/>
        <v>420000</v>
      </c>
      <c r="P89" s="805"/>
      <c r="Q89" s="1177"/>
    </row>
    <row r="90" spans="1:20" s="119" customFormat="1" ht="18" customHeight="1" x14ac:dyDescent="0.25">
      <c r="A90" s="170">
        <v>51821</v>
      </c>
      <c r="B90" s="382" t="s">
        <v>191</v>
      </c>
      <c r="C90" s="1207">
        <v>3600</v>
      </c>
      <c r="D90" s="1208">
        <f t="shared" ref="D90:N90" si="64">C90</f>
        <v>3600</v>
      </c>
      <c r="E90" s="1208">
        <f t="shared" si="64"/>
        <v>3600</v>
      </c>
      <c r="F90" s="1208">
        <f t="shared" si="64"/>
        <v>3600</v>
      </c>
      <c r="G90" s="1208">
        <f t="shared" si="64"/>
        <v>3600</v>
      </c>
      <c r="H90" s="1208">
        <f t="shared" si="64"/>
        <v>3600</v>
      </c>
      <c r="I90" s="1208">
        <f t="shared" si="64"/>
        <v>3600</v>
      </c>
      <c r="J90" s="1208">
        <f t="shared" si="64"/>
        <v>3600</v>
      </c>
      <c r="K90" s="1208">
        <f t="shared" si="64"/>
        <v>3600</v>
      </c>
      <c r="L90" s="1208">
        <f t="shared" si="64"/>
        <v>3600</v>
      </c>
      <c r="M90" s="1208">
        <f t="shared" si="64"/>
        <v>3600</v>
      </c>
      <c r="N90" s="1210">
        <f t="shared" si="64"/>
        <v>3600</v>
      </c>
      <c r="O90" s="1237">
        <f t="shared" si="33"/>
        <v>43200</v>
      </c>
      <c r="P90" s="805"/>
      <c r="Q90" s="1178"/>
    </row>
    <row r="91" spans="1:20" s="119" customFormat="1" ht="18" customHeight="1" x14ac:dyDescent="0.25">
      <c r="A91" s="170">
        <v>51641</v>
      </c>
      <c r="B91" s="382" t="s">
        <v>3787</v>
      </c>
      <c r="C91" s="1207">
        <v>65000</v>
      </c>
      <c r="D91" s="1208">
        <f t="shared" ref="D91:N91" si="65">C91</f>
        <v>65000</v>
      </c>
      <c r="E91" s="1208">
        <f t="shared" si="65"/>
        <v>65000</v>
      </c>
      <c r="F91" s="1208">
        <f t="shared" si="65"/>
        <v>65000</v>
      </c>
      <c r="G91" s="1208">
        <f t="shared" si="65"/>
        <v>65000</v>
      </c>
      <c r="H91" s="1208">
        <f t="shared" si="65"/>
        <v>65000</v>
      </c>
      <c r="I91" s="1208">
        <f t="shared" si="65"/>
        <v>65000</v>
      </c>
      <c r="J91" s="1208">
        <f t="shared" si="65"/>
        <v>65000</v>
      </c>
      <c r="K91" s="1208">
        <f t="shared" si="65"/>
        <v>65000</v>
      </c>
      <c r="L91" s="1208">
        <f t="shared" si="65"/>
        <v>65000</v>
      </c>
      <c r="M91" s="1208">
        <f t="shared" si="65"/>
        <v>65000</v>
      </c>
      <c r="N91" s="1210">
        <f t="shared" si="65"/>
        <v>65000</v>
      </c>
      <c r="O91" s="1237">
        <f t="shared" si="33"/>
        <v>780000</v>
      </c>
      <c r="P91" s="805"/>
      <c r="Q91" s="1178"/>
    </row>
    <row r="92" spans="1:20" s="119" customFormat="1" ht="18" customHeight="1" x14ac:dyDescent="0.25">
      <c r="A92" s="170" t="s">
        <v>52</v>
      </c>
      <c r="B92" s="382" t="s">
        <v>182</v>
      </c>
      <c r="C92" s="1207">
        <v>8000</v>
      </c>
      <c r="D92" s="1208">
        <f t="shared" ref="D92:N92" si="66">C92</f>
        <v>8000</v>
      </c>
      <c r="E92" s="1208">
        <f t="shared" si="66"/>
        <v>8000</v>
      </c>
      <c r="F92" s="1208">
        <f t="shared" si="66"/>
        <v>8000</v>
      </c>
      <c r="G92" s="1208">
        <f t="shared" si="66"/>
        <v>8000</v>
      </c>
      <c r="H92" s="1208">
        <f t="shared" si="66"/>
        <v>8000</v>
      </c>
      <c r="I92" s="1208">
        <f t="shared" si="66"/>
        <v>8000</v>
      </c>
      <c r="J92" s="1208">
        <f t="shared" si="66"/>
        <v>8000</v>
      </c>
      <c r="K92" s="1208">
        <f t="shared" si="66"/>
        <v>8000</v>
      </c>
      <c r="L92" s="1208">
        <f t="shared" si="66"/>
        <v>8000</v>
      </c>
      <c r="M92" s="1208">
        <f t="shared" si="66"/>
        <v>8000</v>
      </c>
      <c r="N92" s="1210">
        <f t="shared" si="66"/>
        <v>8000</v>
      </c>
      <c r="O92" s="1237">
        <f t="shared" si="33"/>
        <v>96000</v>
      </c>
      <c r="P92" s="805"/>
      <c r="Q92" s="1177"/>
    </row>
    <row r="93" spans="1:20" s="423" customFormat="1" ht="18" customHeight="1" x14ac:dyDescent="0.25">
      <c r="A93" s="1073">
        <v>54162</v>
      </c>
      <c r="B93" s="1075" t="s">
        <v>3788</v>
      </c>
      <c r="C93" s="1215">
        <v>25000</v>
      </c>
      <c r="D93" s="1213">
        <f t="shared" ref="D93:N93" si="67">C93</f>
        <v>25000</v>
      </c>
      <c r="E93" s="1213">
        <f t="shared" si="67"/>
        <v>25000</v>
      </c>
      <c r="F93" s="1213">
        <f t="shared" si="67"/>
        <v>25000</v>
      </c>
      <c r="G93" s="1213">
        <f t="shared" si="67"/>
        <v>25000</v>
      </c>
      <c r="H93" s="1213">
        <f t="shared" si="67"/>
        <v>25000</v>
      </c>
      <c r="I93" s="1213">
        <f t="shared" si="67"/>
        <v>25000</v>
      </c>
      <c r="J93" s="1213">
        <f t="shared" si="67"/>
        <v>25000</v>
      </c>
      <c r="K93" s="1213">
        <f t="shared" si="67"/>
        <v>25000</v>
      </c>
      <c r="L93" s="1213">
        <f t="shared" si="67"/>
        <v>25000</v>
      </c>
      <c r="M93" s="1213">
        <f t="shared" si="67"/>
        <v>25000</v>
      </c>
      <c r="N93" s="1214">
        <f t="shared" si="67"/>
        <v>25000</v>
      </c>
      <c r="O93" s="1237">
        <f t="shared" si="33"/>
        <v>300000</v>
      </c>
      <c r="P93" s="805"/>
      <c r="Q93" s="1178"/>
    </row>
    <row r="94" spans="1:20" s="146" customFormat="1" ht="18" customHeight="1" x14ac:dyDescent="0.25">
      <c r="A94" s="1071">
        <v>12230</v>
      </c>
      <c r="B94" s="382" t="s">
        <v>184</v>
      </c>
      <c r="C94" s="1216">
        <v>20000</v>
      </c>
      <c r="D94" s="1210">
        <f t="shared" ref="D94:N94" si="68">C94</f>
        <v>20000</v>
      </c>
      <c r="E94" s="1210">
        <f t="shared" si="68"/>
        <v>20000</v>
      </c>
      <c r="F94" s="1210">
        <f t="shared" si="68"/>
        <v>20000</v>
      </c>
      <c r="G94" s="1210">
        <f t="shared" si="68"/>
        <v>20000</v>
      </c>
      <c r="H94" s="1210">
        <f t="shared" si="68"/>
        <v>20000</v>
      </c>
      <c r="I94" s="1210">
        <f t="shared" si="68"/>
        <v>20000</v>
      </c>
      <c r="J94" s="1210">
        <f t="shared" si="68"/>
        <v>20000</v>
      </c>
      <c r="K94" s="1210">
        <f t="shared" si="68"/>
        <v>20000</v>
      </c>
      <c r="L94" s="1210">
        <f t="shared" si="68"/>
        <v>20000</v>
      </c>
      <c r="M94" s="1210">
        <f t="shared" si="68"/>
        <v>20000</v>
      </c>
      <c r="N94" s="1217">
        <f t="shared" si="68"/>
        <v>20000</v>
      </c>
      <c r="O94" s="1237">
        <f t="shared" si="33"/>
        <v>240000</v>
      </c>
      <c r="P94" s="805"/>
      <c r="Q94" s="1178"/>
      <c r="R94" s="119"/>
      <c r="S94" s="119"/>
      <c r="T94" s="119"/>
    </row>
    <row r="95" spans="1:20" s="146" customFormat="1" ht="18" customHeight="1" x14ac:dyDescent="0.25">
      <c r="A95" s="1071">
        <v>12231</v>
      </c>
      <c r="B95" s="382" t="s">
        <v>185</v>
      </c>
      <c r="C95" s="1216">
        <v>40000</v>
      </c>
      <c r="D95" s="1208">
        <f t="shared" ref="D95:N95" si="69">C95</f>
        <v>40000</v>
      </c>
      <c r="E95" s="1208">
        <f t="shared" si="69"/>
        <v>40000</v>
      </c>
      <c r="F95" s="1208">
        <f t="shared" si="69"/>
        <v>40000</v>
      </c>
      <c r="G95" s="1208">
        <f t="shared" si="69"/>
        <v>40000</v>
      </c>
      <c r="H95" s="1208">
        <f t="shared" si="69"/>
        <v>40000</v>
      </c>
      <c r="I95" s="1208">
        <f t="shared" si="69"/>
        <v>40000</v>
      </c>
      <c r="J95" s="1208">
        <f t="shared" si="69"/>
        <v>40000</v>
      </c>
      <c r="K95" s="1208">
        <f t="shared" si="69"/>
        <v>40000</v>
      </c>
      <c r="L95" s="1208">
        <f t="shared" si="69"/>
        <v>40000</v>
      </c>
      <c r="M95" s="1208">
        <f t="shared" si="69"/>
        <v>40000</v>
      </c>
      <c r="N95" s="1210">
        <f t="shared" si="69"/>
        <v>40000</v>
      </c>
      <c r="O95" s="1237">
        <f t="shared" si="33"/>
        <v>480000</v>
      </c>
      <c r="P95" s="805"/>
      <c r="Q95" s="1178"/>
      <c r="R95" s="119"/>
      <c r="S95" s="119"/>
      <c r="T95" s="119"/>
    </row>
    <row r="96" spans="1:20" s="146" customFormat="1" ht="18" customHeight="1" x14ac:dyDescent="0.25">
      <c r="A96" s="1073">
        <v>54448</v>
      </c>
      <c r="B96" s="1075" t="s">
        <v>3792</v>
      </c>
      <c r="C96" s="1215">
        <v>8000</v>
      </c>
      <c r="D96" s="1212">
        <f t="shared" ref="D96:N96" si="70">C96</f>
        <v>8000</v>
      </c>
      <c r="E96" s="1212">
        <f t="shared" si="70"/>
        <v>8000</v>
      </c>
      <c r="F96" s="1212">
        <f t="shared" si="70"/>
        <v>8000</v>
      </c>
      <c r="G96" s="1212">
        <f t="shared" si="70"/>
        <v>8000</v>
      </c>
      <c r="H96" s="1212">
        <f t="shared" si="70"/>
        <v>8000</v>
      </c>
      <c r="I96" s="1212">
        <f t="shared" si="70"/>
        <v>8000</v>
      </c>
      <c r="J96" s="1212">
        <f t="shared" si="70"/>
        <v>8000</v>
      </c>
      <c r="K96" s="1212">
        <f t="shared" si="70"/>
        <v>8000</v>
      </c>
      <c r="L96" s="1212">
        <f t="shared" si="70"/>
        <v>8000</v>
      </c>
      <c r="M96" s="1212">
        <f t="shared" si="70"/>
        <v>8000</v>
      </c>
      <c r="N96" s="1214">
        <f t="shared" si="70"/>
        <v>8000</v>
      </c>
      <c r="O96" s="1237">
        <f t="shared" si="33"/>
        <v>96000</v>
      </c>
      <c r="Q96" s="232"/>
    </row>
    <row r="97" spans="1:20" s="11" customFormat="1" ht="18" customHeight="1" thickBot="1" x14ac:dyDescent="0.3">
      <c r="A97" s="1071">
        <v>51013</v>
      </c>
      <c r="B97" s="384" t="s">
        <v>56</v>
      </c>
      <c r="C97" s="1218">
        <v>8000</v>
      </c>
      <c r="D97" s="1219">
        <f t="shared" ref="D97:N97" si="71">C97</f>
        <v>8000</v>
      </c>
      <c r="E97" s="1219">
        <f t="shared" si="71"/>
        <v>8000</v>
      </c>
      <c r="F97" s="1219">
        <f t="shared" si="71"/>
        <v>8000</v>
      </c>
      <c r="G97" s="1219">
        <f t="shared" si="71"/>
        <v>8000</v>
      </c>
      <c r="H97" s="1219">
        <f t="shared" si="71"/>
        <v>8000</v>
      </c>
      <c r="I97" s="1219">
        <f t="shared" si="71"/>
        <v>8000</v>
      </c>
      <c r="J97" s="1219">
        <f t="shared" si="71"/>
        <v>8000</v>
      </c>
      <c r="K97" s="1219">
        <f t="shared" si="71"/>
        <v>8000</v>
      </c>
      <c r="L97" s="1219">
        <f t="shared" si="71"/>
        <v>8000</v>
      </c>
      <c r="M97" s="1219">
        <f t="shared" si="71"/>
        <v>8000</v>
      </c>
      <c r="N97" s="1220">
        <f t="shared" si="71"/>
        <v>8000</v>
      </c>
      <c r="O97" s="1242">
        <f t="shared" si="33"/>
        <v>96000</v>
      </c>
      <c r="P97" s="805"/>
      <c r="Q97" s="1178"/>
      <c r="R97" s="119"/>
      <c r="S97" s="119"/>
      <c r="T97" s="119"/>
    </row>
    <row r="98" spans="1:20" s="11" customFormat="1" ht="18" customHeight="1" thickBot="1" x14ac:dyDescent="0.3">
      <c r="A98" s="161"/>
      <c r="C98" s="418"/>
      <c r="D98" s="119"/>
      <c r="E98" s="119"/>
      <c r="F98" s="119"/>
      <c r="G98" s="119"/>
      <c r="H98" s="119"/>
      <c r="I98" s="119"/>
      <c r="J98" s="119"/>
      <c r="K98" s="119"/>
      <c r="L98" s="119"/>
      <c r="M98" s="119"/>
      <c r="N98" s="119"/>
      <c r="O98" s="1186"/>
      <c r="P98" s="1172"/>
      <c r="Q98" s="1172"/>
    </row>
    <row r="99" spans="1:20" s="11" customFormat="1" ht="18" customHeight="1" thickBot="1" x14ac:dyDescent="0.3">
      <c r="A99" s="165"/>
      <c r="B99" s="330" t="s">
        <v>169</v>
      </c>
      <c r="C99" s="1167">
        <f>SUM(C100:C109)</f>
        <v>195292.27</v>
      </c>
      <c r="D99" s="564">
        <f t="shared" ref="D99:N99" si="72">SUM(D100:D109)</f>
        <v>194792.27</v>
      </c>
      <c r="E99" s="564">
        <f t="shared" si="72"/>
        <v>194292.27</v>
      </c>
      <c r="F99" s="564">
        <f t="shared" si="72"/>
        <v>193792.27</v>
      </c>
      <c r="G99" s="564">
        <f t="shared" si="72"/>
        <v>193292.27</v>
      </c>
      <c r="H99" s="564">
        <f t="shared" si="72"/>
        <v>192792.27</v>
      </c>
      <c r="I99" s="564">
        <f t="shared" si="72"/>
        <v>192292.27</v>
      </c>
      <c r="J99" s="564">
        <f t="shared" si="72"/>
        <v>191792.27</v>
      </c>
      <c r="K99" s="1074">
        <f t="shared" si="72"/>
        <v>191292.27</v>
      </c>
      <c r="L99" s="1074">
        <f t="shared" si="72"/>
        <v>190792.27</v>
      </c>
      <c r="M99" s="1074">
        <f t="shared" si="72"/>
        <v>190292.27</v>
      </c>
      <c r="N99" s="1074">
        <f t="shared" si="72"/>
        <v>189792.27</v>
      </c>
      <c r="O99" s="395">
        <f t="shared" ref="O99:O109" si="73">C99+D99+E99+F99+G99+H99+I99+J99+K99+L99+M99+N99</f>
        <v>2310507.2399999998</v>
      </c>
      <c r="P99" s="195"/>
      <c r="Q99" s="1176"/>
    </row>
    <row r="100" spans="1:20" s="119" customFormat="1" ht="18" customHeight="1" x14ac:dyDescent="0.25">
      <c r="A100" s="170">
        <v>11634</v>
      </c>
      <c r="B100" s="331" t="s">
        <v>40</v>
      </c>
      <c r="C100" s="1192">
        <v>10000</v>
      </c>
      <c r="D100" s="1192">
        <v>10000</v>
      </c>
      <c r="E100" s="1192">
        <v>10000</v>
      </c>
      <c r="F100" s="1192">
        <v>10000</v>
      </c>
      <c r="G100" s="1192">
        <v>10000</v>
      </c>
      <c r="H100" s="1192">
        <v>10000</v>
      </c>
      <c r="I100" s="1192">
        <v>10000</v>
      </c>
      <c r="J100" s="1192">
        <v>10000</v>
      </c>
      <c r="K100" s="1192">
        <v>10000</v>
      </c>
      <c r="L100" s="1192">
        <v>10000</v>
      </c>
      <c r="M100" s="1192">
        <v>10000</v>
      </c>
      <c r="N100" s="1192">
        <v>10000</v>
      </c>
      <c r="O100" s="1240">
        <f t="shared" si="73"/>
        <v>120000</v>
      </c>
      <c r="Q100" s="12"/>
    </row>
    <row r="101" spans="1:20" s="119" customFormat="1" ht="18" customHeight="1" x14ac:dyDescent="0.25">
      <c r="A101" s="170">
        <v>12293</v>
      </c>
      <c r="B101" s="332" t="s">
        <v>195</v>
      </c>
      <c r="C101" s="1204">
        <v>32000</v>
      </c>
      <c r="D101" s="1204">
        <v>31500</v>
      </c>
      <c r="E101" s="1204">
        <v>31000</v>
      </c>
      <c r="F101" s="1204">
        <v>30500</v>
      </c>
      <c r="G101" s="1204">
        <v>30000</v>
      </c>
      <c r="H101" s="1204">
        <v>29500</v>
      </c>
      <c r="I101" s="1204">
        <v>29000</v>
      </c>
      <c r="J101" s="1204">
        <v>28500</v>
      </c>
      <c r="K101" s="1204">
        <v>28000</v>
      </c>
      <c r="L101" s="1204">
        <v>27500</v>
      </c>
      <c r="M101" s="1204">
        <v>27000</v>
      </c>
      <c r="N101" s="1204">
        <v>26500</v>
      </c>
      <c r="O101" s="1241">
        <f t="shared" si="73"/>
        <v>351000</v>
      </c>
      <c r="Q101" s="12"/>
    </row>
    <row r="102" spans="1:20" s="119" customFormat="1" ht="18" customHeight="1" x14ac:dyDescent="0.25">
      <c r="A102" s="170">
        <v>11528</v>
      </c>
      <c r="B102" s="332" t="s">
        <v>197</v>
      </c>
      <c r="C102" s="1204">
        <v>7500</v>
      </c>
      <c r="D102" s="1204">
        <v>7500</v>
      </c>
      <c r="E102" s="1204">
        <v>7500</v>
      </c>
      <c r="F102" s="1204">
        <v>7500</v>
      </c>
      <c r="G102" s="1204">
        <v>7500</v>
      </c>
      <c r="H102" s="1204">
        <v>7500</v>
      </c>
      <c r="I102" s="1204">
        <v>7500</v>
      </c>
      <c r="J102" s="1204">
        <v>7500</v>
      </c>
      <c r="K102" s="1204">
        <v>7500</v>
      </c>
      <c r="L102" s="1204">
        <v>7500</v>
      </c>
      <c r="M102" s="1204">
        <v>7500</v>
      </c>
      <c r="N102" s="1204">
        <v>7500</v>
      </c>
      <c r="O102" s="1241">
        <f t="shared" si="73"/>
        <v>90000</v>
      </c>
      <c r="Q102" s="12"/>
    </row>
    <row r="103" spans="1:20" s="119" customFormat="1" ht="18" customHeight="1" x14ac:dyDescent="0.25">
      <c r="A103" s="170">
        <v>12303</v>
      </c>
      <c r="B103" s="332" t="s">
        <v>196</v>
      </c>
      <c r="C103" s="1204">
        <v>12000</v>
      </c>
      <c r="D103" s="1204">
        <v>12000</v>
      </c>
      <c r="E103" s="1204">
        <v>12000</v>
      </c>
      <c r="F103" s="1204">
        <v>12000</v>
      </c>
      <c r="G103" s="1204">
        <v>12000</v>
      </c>
      <c r="H103" s="1204">
        <v>12000</v>
      </c>
      <c r="I103" s="1204">
        <v>12000</v>
      </c>
      <c r="J103" s="1204">
        <v>12000</v>
      </c>
      <c r="K103" s="1204">
        <v>12000</v>
      </c>
      <c r="L103" s="1204">
        <v>12000</v>
      </c>
      <c r="M103" s="1204">
        <v>12000</v>
      </c>
      <c r="N103" s="1204">
        <v>12000</v>
      </c>
      <c r="O103" s="1241">
        <f t="shared" si="73"/>
        <v>144000</v>
      </c>
      <c r="Q103" s="12"/>
    </row>
    <row r="104" spans="1:20" s="119" customFormat="1" ht="18" customHeight="1" x14ac:dyDescent="0.25">
      <c r="A104" s="170" t="s">
        <v>3624</v>
      </c>
      <c r="B104" s="332" t="s">
        <v>331</v>
      </c>
      <c r="C104" s="1204">
        <v>105000</v>
      </c>
      <c r="D104" s="1204">
        <f>C104</f>
        <v>105000</v>
      </c>
      <c r="E104" s="1204">
        <f t="shared" ref="E104:N104" si="74">D104</f>
        <v>105000</v>
      </c>
      <c r="F104" s="1204">
        <f t="shared" si="74"/>
        <v>105000</v>
      </c>
      <c r="G104" s="1204">
        <f t="shared" si="74"/>
        <v>105000</v>
      </c>
      <c r="H104" s="1204">
        <f t="shared" si="74"/>
        <v>105000</v>
      </c>
      <c r="I104" s="1204">
        <f t="shared" si="74"/>
        <v>105000</v>
      </c>
      <c r="J104" s="1204">
        <f t="shared" si="74"/>
        <v>105000</v>
      </c>
      <c r="K104" s="1204">
        <f t="shared" si="74"/>
        <v>105000</v>
      </c>
      <c r="L104" s="1204">
        <f t="shared" si="74"/>
        <v>105000</v>
      </c>
      <c r="M104" s="1204">
        <f t="shared" si="74"/>
        <v>105000</v>
      </c>
      <c r="N104" s="1204">
        <f t="shared" si="74"/>
        <v>105000</v>
      </c>
      <c r="O104" s="1241">
        <f t="shared" si="73"/>
        <v>1260000</v>
      </c>
      <c r="P104" s="334"/>
      <c r="Q104" s="12"/>
    </row>
    <row r="105" spans="1:20" s="119" customFormat="1" ht="18" customHeight="1" x14ac:dyDescent="0.25">
      <c r="A105" s="170">
        <v>51673</v>
      </c>
      <c r="B105" s="332" t="s">
        <v>198</v>
      </c>
      <c r="C105" s="1204">
        <v>4000</v>
      </c>
      <c r="D105" s="1204">
        <v>4000</v>
      </c>
      <c r="E105" s="1204">
        <v>4000</v>
      </c>
      <c r="F105" s="1204">
        <v>4000</v>
      </c>
      <c r="G105" s="1204">
        <v>4000</v>
      </c>
      <c r="H105" s="1204">
        <v>4000</v>
      </c>
      <c r="I105" s="1204">
        <v>4000</v>
      </c>
      <c r="J105" s="1204">
        <v>4000</v>
      </c>
      <c r="K105" s="1204">
        <v>4000</v>
      </c>
      <c r="L105" s="1204">
        <v>4000</v>
      </c>
      <c r="M105" s="1204">
        <v>4000</v>
      </c>
      <c r="N105" s="1204">
        <v>4000</v>
      </c>
      <c r="O105" s="1241">
        <f t="shared" si="73"/>
        <v>48000</v>
      </c>
      <c r="Q105" s="12"/>
    </row>
    <row r="106" spans="1:20" s="119" customFormat="1" ht="18" customHeight="1" x14ac:dyDescent="0.25">
      <c r="A106" s="170" t="s">
        <v>63</v>
      </c>
      <c r="B106" s="332" t="s">
        <v>65</v>
      </c>
      <c r="C106" s="1204">
        <v>14000</v>
      </c>
      <c r="D106" s="1204">
        <v>14000</v>
      </c>
      <c r="E106" s="1204">
        <v>14000</v>
      </c>
      <c r="F106" s="1204">
        <v>14000</v>
      </c>
      <c r="G106" s="1204">
        <v>14000</v>
      </c>
      <c r="H106" s="1204">
        <v>14000</v>
      </c>
      <c r="I106" s="1204">
        <v>14000</v>
      </c>
      <c r="J106" s="1204">
        <v>14000</v>
      </c>
      <c r="K106" s="1204">
        <v>14000</v>
      </c>
      <c r="L106" s="1204">
        <v>14000</v>
      </c>
      <c r="M106" s="1204">
        <v>14000</v>
      </c>
      <c r="N106" s="1204">
        <v>14000</v>
      </c>
      <c r="O106" s="1241">
        <f t="shared" si="73"/>
        <v>168000</v>
      </c>
      <c r="Q106" s="12"/>
    </row>
    <row r="107" spans="1:20" s="119" customFormat="1" ht="18" customHeight="1" x14ac:dyDescent="0.25">
      <c r="A107" s="170">
        <v>33004</v>
      </c>
      <c r="B107" s="332" t="s">
        <v>66</v>
      </c>
      <c r="C107" s="1204">
        <v>3846.43</v>
      </c>
      <c r="D107" s="1204">
        <v>3846.43</v>
      </c>
      <c r="E107" s="1204">
        <v>3846.43</v>
      </c>
      <c r="F107" s="1204">
        <v>3846.43</v>
      </c>
      <c r="G107" s="1204">
        <v>3846.43</v>
      </c>
      <c r="H107" s="1204">
        <v>3846.43</v>
      </c>
      <c r="I107" s="1204">
        <v>3846.43</v>
      </c>
      <c r="J107" s="1204">
        <v>3846.43</v>
      </c>
      <c r="K107" s="1204">
        <v>3846.43</v>
      </c>
      <c r="L107" s="1204">
        <v>3846.43</v>
      </c>
      <c r="M107" s="1204">
        <v>3846.43</v>
      </c>
      <c r="N107" s="1204">
        <v>3846.43</v>
      </c>
      <c r="O107" s="1241">
        <f t="shared" si="73"/>
        <v>46157.159999999996</v>
      </c>
      <c r="Q107" s="12"/>
    </row>
    <row r="108" spans="1:20" s="119" customFormat="1" ht="18" customHeight="1" x14ac:dyDescent="0.25">
      <c r="A108" s="170">
        <v>12305</v>
      </c>
      <c r="B108" s="332" t="s">
        <v>67</v>
      </c>
      <c r="C108" s="1204">
        <v>4000</v>
      </c>
      <c r="D108" s="1204">
        <v>4000</v>
      </c>
      <c r="E108" s="1204">
        <v>4000</v>
      </c>
      <c r="F108" s="1204">
        <v>4000</v>
      </c>
      <c r="G108" s="1204">
        <v>4000</v>
      </c>
      <c r="H108" s="1204">
        <v>4000</v>
      </c>
      <c r="I108" s="1204">
        <v>4000</v>
      </c>
      <c r="J108" s="1204">
        <v>4000</v>
      </c>
      <c r="K108" s="1204">
        <v>4000</v>
      </c>
      <c r="L108" s="1204">
        <v>4000</v>
      </c>
      <c r="M108" s="1204">
        <v>4000</v>
      </c>
      <c r="N108" s="1204">
        <v>4000</v>
      </c>
      <c r="O108" s="1241">
        <f t="shared" si="73"/>
        <v>48000</v>
      </c>
      <c r="Q108" s="12"/>
    </row>
    <row r="109" spans="1:20" s="119" customFormat="1" ht="18" customHeight="1" thickBot="1" x14ac:dyDescent="0.3">
      <c r="A109" s="178">
        <v>11675</v>
      </c>
      <c r="B109" s="385" t="s">
        <v>68</v>
      </c>
      <c r="C109" s="1221">
        <v>2945.84</v>
      </c>
      <c r="D109" s="1221">
        <v>2945.84</v>
      </c>
      <c r="E109" s="1221">
        <v>2945.84</v>
      </c>
      <c r="F109" s="1221">
        <v>2945.84</v>
      </c>
      <c r="G109" s="1221">
        <v>2945.84</v>
      </c>
      <c r="H109" s="1221">
        <v>2945.84</v>
      </c>
      <c r="I109" s="1221">
        <v>2945.84</v>
      </c>
      <c r="J109" s="1221">
        <v>2945.84</v>
      </c>
      <c r="K109" s="1221">
        <v>2945.84</v>
      </c>
      <c r="L109" s="1221">
        <v>2945.84</v>
      </c>
      <c r="M109" s="1221">
        <v>2945.84</v>
      </c>
      <c r="N109" s="1221">
        <v>2945.84</v>
      </c>
      <c r="O109" s="1076">
        <f t="shared" si="73"/>
        <v>35350.080000000002</v>
      </c>
      <c r="Q109" s="12"/>
    </row>
    <row r="110" spans="1:20" s="11" customFormat="1" ht="18" customHeight="1" thickBot="1" x14ac:dyDescent="0.3">
      <c r="A110" s="161"/>
      <c r="C110" s="334"/>
      <c r="D110" s="119"/>
      <c r="E110" s="119"/>
      <c r="F110" s="119"/>
      <c r="G110" s="119"/>
      <c r="H110" s="119"/>
      <c r="I110" s="119"/>
      <c r="J110" s="119"/>
      <c r="K110" s="119"/>
      <c r="L110" s="119"/>
      <c r="M110" s="119"/>
      <c r="N110" s="119"/>
      <c r="O110" s="805"/>
      <c r="P110" s="1172"/>
      <c r="Q110" s="1172"/>
    </row>
    <row r="111" spans="1:20" s="11" customFormat="1" ht="18" customHeight="1" thickBot="1" x14ac:dyDescent="0.3">
      <c r="A111" s="165"/>
      <c r="B111" s="330" t="s">
        <v>170</v>
      </c>
      <c r="C111" s="564">
        <f>SUM(C112:C132)</f>
        <v>6200881.2924000006</v>
      </c>
      <c r="D111" s="564">
        <f t="shared" ref="D111:N111" si="75">SUM(D112:D132)</f>
        <v>6200881.2924000006</v>
      </c>
      <c r="E111" s="564">
        <f t="shared" si="75"/>
        <v>6200881.2924000006</v>
      </c>
      <c r="F111" s="564">
        <f t="shared" si="75"/>
        <v>6200881.2924000006</v>
      </c>
      <c r="G111" s="564">
        <f t="shared" si="75"/>
        <v>6200881.2924000006</v>
      </c>
      <c r="H111" s="564">
        <f t="shared" si="75"/>
        <v>6748465.3532000007</v>
      </c>
      <c r="I111" s="564">
        <f t="shared" si="75"/>
        <v>6748565.3532000007</v>
      </c>
      <c r="J111" s="564">
        <f t="shared" si="75"/>
        <v>6748565.3532000007</v>
      </c>
      <c r="K111" s="1074">
        <f t="shared" si="75"/>
        <v>6748565.3532000007</v>
      </c>
      <c r="L111" s="1074">
        <f t="shared" si="75"/>
        <v>6748565.3532000007</v>
      </c>
      <c r="M111" s="1074">
        <f t="shared" si="75"/>
        <v>6748565.3532000007</v>
      </c>
      <c r="N111" s="1074">
        <f t="shared" si="75"/>
        <v>6748565.3532000007</v>
      </c>
      <c r="O111" s="1074">
        <f>C111+D111+E111+F111+G111+H111+I111+J111+K111+L111+M111+N111</f>
        <v>78244263.934400022</v>
      </c>
      <c r="P111" s="195"/>
      <c r="Q111" s="1176"/>
    </row>
    <row r="112" spans="1:20" s="119" customFormat="1" ht="18" customHeight="1" x14ac:dyDescent="0.25">
      <c r="A112" s="167">
        <v>11416</v>
      </c>
      <c r="B112" s="331" t="s">
        <v>69</v>
      </c>
      <c r="C112" s="1192">
        <v>16088.355399999999</v>
      </c>
      <c r="D112" s="1192">
        <f t="shared" ref="D112:G132" si="76">C112</f>
        <v>16088.355399999999</v>
      </c>
      <c r="E112" s="1192">
        <f t="shared" si="76"/>
        <v>16088.355399999999</v>
      </c>
      <c r="F112" s="1192">
        <f t="shared" si="76"/>
        <v>16088.355399999999</v>
      </c>
      <c r="G112" s="1192">
        <f t="shared" si="76"/>
        <v>16088.355399999999</v>
      </c>
      <c r="H112" s="1192">
        <v>16088.355399999999</v>
      </c>
      <c r="I112" s="1192">
        <f t="shared" ref="I112:N121" si="77">H112</f>
        <v>16088.355399999999</v>
      </c>
      <c r="J112" s="1192">
        <f t="shared" si="77"/>
        <v>16088.355399999999</v>
      </c>
      <c r="K112" s="1192">
        <f t="shared" si="77"/>
        <v>16088.355399999999</v>
      </c>
      <c r="L112" s="1192">
        <f t="shared" si="77"/>
        <v>16088.355399999999</v>
      </c>
      <c r="M112" s="1192">
        <f t="shared" si="77"/>
        <v>16088.355399999999</v>
      </c>
      <c r="N112" s="1192">
        <f t="shared" si="77"/>
        <v>16088.355399999999</v>
      </c>
      <c r="O112" s="1226">
        <f t="shared" ref="O112:O132" si="78">C112+D112+E112+F112+G112+H112+I112+J112+K112+L112+M112+N112</f>
        <v>193060.26479999998</v>
      </c>
      <c r="P112" s="334"/>
      <c r="Q112" s="1174"/>
    </row>
    <row r="113" spans="1:17" s="119" customFormat="1" ht="18" customHeight="1" x14ac:dyDescent="0.25">
      <c r="A113" s="170">
        <v>12328</v>
      </c>
      <c r="B113" s="332" t="s">
        <v>336</v>
      </c>
      <c r="C113" s="1204">
        <v>16550.5504</v>
      </c>
      <c r="D113" s="1204">
        <f t="shared" si="76"/>
        <v>16550.5504</v>
      </c>
      <c r="E113" s="1204">
        <f t="shared" si="76"/>
        <v>16550.5504</v>
      </c>
      <c r="F113" s="1204">
        <f t="shared" si="76"/>
        <v>16550.5504</v>
      </c>
      <c r="G113" s="1204">
        <f t="shared" si="76"/>
        <v>16550.5504</v>
      </c>
      <c r="H113" s="1204">
        <v>36550.5504</v>
      </c>
      <c r="I113" s="1204">
        <f t="shared" si="77"/>
        <v>36550.5504</v>
      </c>
      <c r="J113" s="1204">
        <f t="shared" si="77"/>
        <v>36550.5504</v>
      </c>
      <c r="K113" s="1204">
        <f t="shared" si="77"/>
        <v>36550.5504</v>
      </c>
      <c r="L113" s="1204">
        <f t="shared" si="77"/>
        <v>36550.5504</v>
      </c>
      <c r="M113" s="1204">
        <f t="shared" si="77"/>
        <v>36550.5504</v>
      </c>
      <c r="N113" s="1204">
        <f t="shared" si="77"/>
        <v>36550.5504</v>
      </c>
      <c r="O113" s="1226">
        <f t="shared" si="78"/>
        <v>338606.60480000003</v>
      </c>
      <c r="P113" s="334"/>
      <c r="Q113" s="1174"/>
    </row>
    <row r="114" spans="1:17" s="119" customFormat="1" ht="18" customHeight="1" x14ac:dyDescent="0.25">
      <c r="A114" s="170">
        <v>32497</v>
      </c>
      <c r="B114" s="332" t="s">
        <v>202</v>
      </c>
      <c r="C114" s="1204">
        <v>110654</v>
      </c>
      <c r="D114" s="1204">
        <f t="shared" si="76"/>
        <v>110654</v>
      </c>
      <c r="E114" s="1204">
        <f t="shared" si="76"/>
        <v>110654</v>
      </c>
      <c r="F114" s="1204">
        <f t="shared" si="76"/>
        <v>110654</v>
      </c>
      <c r="G114" s="1204">
        <f t="shared" si="76"/>
        <v>110654</v>
      </c>
      <c r="H114" s="1204">
        <v>122779.5426</v>
      </c>
      <c r="I114" s="1204">
        <f t="shared" si="77"/>
        <v>122779.5426</v>
      </c>
      <c r="J114" s="1204">
        <f t="shared" si="77"/>
        <v>122779.5426</v>
      </c>
      <c r="K114" s="1204">
        <f t="shared" si="77"/>
        <v>122779.5426</v>
      </c>
      <c r="L114" s="1204">
        <f t="shared" si="77"/>
        <v>122779.5426</v>
      </c>
      <c r="M114" s="1204">
        <f t="shared" si="77"/>
        <v>122779.5426</v>
      </c>
      <c r="N114" s="1204">
        <f t="shared" si="77"/>
        <v>122779.5426</v>
      </c>
      <c r="O114" s="1226">
        <f t="shared" si="78"/>
        <v>1412726.7982000003</v>
      </c>
      <c r="P114" s="334"/>
      <c r="Q114" s="1174"/>
    </row>
    <row r="115" spans="1:17" s="119" customFormat="1" ht="18" customHeight="1" x14ac:dyDescent="0.25">
      <c r="A115" s="170">
        <v>12338</v>
      </c>
      <c r="B115" s="332" t="s">
        <v>199</v>
      </c>
      <c r="C115" s="1204">
        <v>343225.34299999999</v>
      </c>
      <c r="D115" s="1204">
        <f t="shared" si="76"/>
        <v>343225.34299999999</v>
      </c>
      <c r="E115" s="1204">
        <f t="shared" si="76"/>
        <v>343225.34299999999</v>
      </c>
      <c r="F115" s="1204">
        <f t="shared" si="76"/>
        <v>343225.34299999999</v>
      </c>
      <c r="G115" s="1204">
        <f t="shared" si="76"/>
        <v>343225.34299999999</v>
      </c>
      <c r="H115" s="1204">
        <v>363225.34299999999</v>
      </c>
      <c r="I115" s="1204">
        <f t="shared" si="77"/>
        <v>363225.34299999999</v>
      </c>
      <c r="J115" s="1204">
        <f t="shared" si="77"/>
        <v>363225.34299999999</v>
      </c>
      <c r="K115" s="1204">
        <f t="shared" si="77"/>
        <v>363225.34299999999</v>
      </c>
      <c r="L115" s="1204">
        <f t="shared" si="77"/>
        <v>363225.34299999999</v>
      </c>
      <c r="M115" s="1204">
        <f t="shared" si="77"/>
        <v>363225.34299999999</v>
      </c>
      <c r="N115" s="1204">
        <f t="shared" si="77"/>
        <v>363225.34299999999</v>
      </c>
      <c r="O115" s="1226">
        <f t="shared" si="78"/>
        <v>4258704.1159999995</v>
      </c>
      <c r="P115" s="334"/>
      <c r="Q115" s="1174"/>
    </row>
    <row r="116" spans="1:17" s="119" customFormat="1" ht="18" customHeight="1" x14ac:dyDescent="0.25">
      <c r="A116" s="170" t="s">
        <v>79</v>
      </c>
      <c r="B116" s="332" t="s">
        <v>203</v>
      </c>
      <c r="C116" s="1204">
        <v>18585.135799999996</v>
      </c>
      <c r="D116" s="1204">
        <f t="shared" si="76"/>
        <v>18585.135799999996</v>
      </c>
      <c r="E116" s="1204">
        <f t="shared" si="76"/>
        <v>18585.135799999996</v>
      </c>
      <c r="F116" s="1204">
        <f t="shared" si="76"/>
        <v>18585.135799999996</v>
      </c>
      <c r="G116" s="1204">
        <f t="shared" si="76"/>
        <v>18585.135799999996</v>
      </c>
      <c r="H116" s="1204">
        <v>28585.135799999996</v>
      </c>
      <c r="I116" s="1204">
        <f t="shared" si="77"/>
        <v>28585.135799999996</v>
      </c>
      <c r="J116" s="1204">
        <f t="shared" si="77"/>
        <v>28585.135799999996</v>
      </c>
      <c r="K116" s="1204">
        <f t="shared" si="77"/>
        <v>28585.135799999996</v>
      </c>
      <c r="L116" s="1204">
        <f t="shared" si="77"/>
        <v>28585.135799999996</v>
      </c>
      <c r="M116" s="1204">
        <f t="shared" si="77"/>
        <v>28585.135799999996</v>
      </c>
      <c r="N116" s="1204">
        <f t="shared" si="77"/>
        <v>28585.135799999996</v>
      </c>
      <c r="O116" s="1226">
        <f t="shared" si="78"/>
        <v>293021.62959999993</v>
      </c>
      <c r="P116" s="334"/>
      <c r="Q116" s="1174"/>
    </row>
    <row r="117" spans="1:17" s="119" customFormat="1" ht="18" customHeight="1" x14ac:dyDescent="0.25">
      <c r="A117" s="170" t="s">
        <v>134</v>
      </c>
      <c r="B117" s="332" t="s">
        <v>70</v>
      </c>
      <c r="C117" s="1204">
        <v>392.41800000000001</v>
      </c>
      <c r="D117" s="1204">
        <f t="shared" si="76"/>
        <v>392.41800000000001</v>
      </c>
      <c r="E117" s="1204">
        <f t="shared" si="76"/>
        <v>392.41800000000001</v>
      </c>
      <c r="F117" s="1204">
        <f t="shared" si="76"/>
        <v>392.41800000000001</v>
      </c>
      <c r="G117" s="1204">
        <f t="shared" si="76"/>
        <v>392.41800000000001</v>
      </c>
      <c r="H117" s="1204">
        <v>392.41800000000001</v>
      </c>
      <c r="I117" s="1204">
        <f t="shared" si="77"/>
        <v>392.41800000000001</v>
      </c>
      <c r="J117" s="1204">
        <f t="shared" si="77"/>
        <v>392.41800000000001</v>
      </c>
      <c r="K117" s="1204">
        <f t="shared" si="77"/>
        <v>392.41800000000001</v>
      </c>
      <c r="L117" s="1204">
        <f t="shared" si="77"/>
        <v>392.41800000000001</v>
      </c>
      <c r="M117" s="1204">
        <f t="shared" si="77"/>
        <v>392.41800000000001</v>
      </c>
      <c r="N117" s="1204">
        <f t="shared" si="77"/>
        <v>392.41800000000001</v>
      </c>
      <c r="O117" s="1226">
        <f t="shared" si="78"/>
        <v>4709.0160000000005</v>
      </c>
      <c r="P117" s="334"/>
      <c r="Q117" s="1174"/>
    </row>
    <row r="118" spans="1:17" s="119" customFormat="1" ht="18" customHeight="1" x14ac:dyDescent="0.25">
      <c r="A118" s="170">
        <v>54164</v>
      </c>
      <c r="B118" s="332" t="s">
        <v>3779</v>
      </c>
      <c r="C118" s="1204">
        <v>13847.548000000001</v>
      </c>
      <c r="D118" s="1204">
        <f t="shared" si="76"/>
        <v>13847.548000000001</v>
      </c>
      <c r="E118" s="1204">
        <f t="shared" si="76"/>
        <v>13847.548000000001</v>
      </c>
      <c r="F118" s="1204">
        <f t="shared" si="76"/>
        <v>13847.548000000001</v>
      </c>
      <c r="G118" s="1204">
        <f t="shared" si="76"/>
        <v>13847.548000000001</v>
      </c>
      <c r="H118" s="1204">
        <v>13847.548000000001</v>
      </c>
      <c r="I118" s="1204">
        <f t="shared" si="77"/>
        <v>13847.548000000001</v>
      </c>
      <c r="J118" s="1204">
        <f t="shared" si="77"/>
        <v>13847.548000000001</v>
      </c>
      <c r="K118" s="1204">
        <f t="shared" si="77"/>
        <v>13847.548000000001</v>
      </c>
      <c r="L118" s="1204">
        <f t="shared" si="77"/>
        <v>13847.548000000001</v>
      </c>
      <c r="M118" s="1204">
        <f t="shared" si="77"/>
        <v>13847.548000000001</v>
      </c>
      <c r="N118" s="1204">
        <f t="shared" si="77"/>
        <v>13847.548000000001</v>
      </c>
      <c r="O118" s="1226">
        <f t="shared" si="78"/>
        <v>166170.576</v>
      </c>
      <c r="P118" s="334"/>
      <c r="Q118" s="1174"/>
    </row>
    <row r="119" spans="1:17" s="119" customFormat="1" ht="18" customHeight="1" x14ac:dyDescent="0.25">
      <c r="A119" s="170">
        <v>54554</v>
      </c>
      <c r="B119" s="332" t="s">
        <v>3707</v>
      </c>
      <c r="C119" s="1204">
        <v>300130.24420000002</v>
      </c>
      <c r="D119" s="1204">
        <f t="shared" si="76"/>
        <v>300130.24420000002</v>
      </c>
      <c r="E119" s="1204">
        <f t="shared" si="76"/>
        <v>300130.24420000002</v>
      </c>
      <c r="F119" s="1204">
        <f t="shared" si="76"/>
        <v>300130.24420000002</v>
      </c>
      <c r="G119" s="1204">
        <f t="shared" si="76"/>
        <v>300130.24420000002</v>
      </c>
      <c r="H119" s="1204">
        <v>320130.24420000002</v>
      </c>
      <c r="I119" s="1204">
        <f t="shared" si="77"/>
        <v>320130.24420000002</v>
      </c>
      <c r="J119" s="1204">
        <f t="shared" si="77"/>
        <v>320130.24420000002</v>
      </c>
      <c r="K119" s="1204">
        <f t="shared" si="77"/>
        <v>320130.24420000002</v>
      </c>
      <c r="L119" s="1204">
        <f t="shared" si="77"/>
        <v>320130.24420000002</v>
      </c>
      <c r="M119" s="1204">
        <f t="shared" si="77"/>
        <v>320130.24420000002</v>
      </c>
      <c r="N119" s="1204">
        <f t="shared" si="77"/>
        <v>320130.24420000002</v>
      </c>
      <c r="O119" s="1226">
        <f t="shared" si="78"/>
        <v>3741562.9304000004</v>
      </c>
      <c r="P119" s="334"/>
      <c r="Q119" s="1174"/>
    </row>
    <row r="120" spans="1:17" s="119" customFormat="1" ht="18" customHeight="1" x14ac:dyDescent="0.25">
      <c r="A120" s="170">
        <v>12299</v>
      </c>
      <c r="B120" s="332" t="s">
        <v>71</v>
      </c>
      <c r="C120" s="1204">
        <v>741399.55920000002</v>
      </c>
      <c r="D120" s="1204">
        <f t="shared" si="76"/>
        <v>741399.55920000002</v>
      </c>
      <c r="E120" s="1204">
        <f t="shared" si="76"/>
        <v>741399.55920000002</v>
      </c>
      <c r="F120" s="1204">
        <f t="shared" si="76"/>
        <v>741399.55920000002</v>
      </c>
      <c r="G120" s="1204">
        <f t="shared" si="76"/>
        <v>741399.55920000002</v>
      </c>
      <c r="H120" s="1204">
        <v>808200</v>
      </c>
      <c r="I120" s="1204">
        <v>808300</v>
      </c>
      <c r="J120" s="1204">
        <v>808300</v>
      </c>
      <c r="K120" s="1204">
        <v>808300</v>
      </c>
      <c r="L120" s="1204">
        <f t="shared" si="77"/>
        <v>808300</v>
      </c>
      <c r="M120" s="1204">
        <f t="shared" si="77"/>
        <v>808300</v>
      </c>
      <c r="N120" s="1204">
        <f>M120</f>
        <v>808300</v>
      </c>
      <c r="O120" s="1226">
        <f t="shared" si="78"/>
        <v>9364997.7960000001</v>
      </c>
      <c r="P120" s="805"/>
      <c r="Q120" s="1174"/>
    </row>
    <row r="121" spans="1:17" s="119" customFormat="1" ht="18" customHeight="1" x14ac:dyDescent="0.25">
      <c r="A121" s="170">
        <v>11605</v>
      </c>
      <c r="B121" s="332" t="s">
        <v>74</v>
      </c>
      <c r="C121" s="1204">
        <v>93000</v>
      </c>
      <c r="D121" s="1204">
        <f t="shared" si="76"/>
        <v>93000</v>
      </c>
      <c r="E121" s="1204">
        <f t="shared" si="76"/>
        <v>93000</v>
      </c>
      <c r="F121" s="1204">
        <f t="shared" si="76"/>
        <v>93000</v>
      </c>
      <c r="G121" s="1204">
        <f t="shared" si="76"/>
        <v>93000</v>
      </c>
      <c r="H121" s="1204">
        <v>93000</v>
      </c>
      <c r="I121" s="1204">
        <f t="shared" si="77"/>
        <v>93000</v>
      </c>
      <c r="J121" s="1204">
        <f t="shared" si="77"/>
        <v>93000</v>
      </c>
      <c r="K121" s="1204">
        <f t="shared" si="77"/>
        <v>93000</v>
      </c>
      <c r="L121" s="1204">
        <f t="shared" si="77"/>
        <v>93000</v>
      </c>
      <c r="M121" s="1204">
        <f t="shared" si="77"/>
        <v>93000</v>
      </c>
      <c r="N121" s="1204">
        <f t="shared" si="77"/>
        <v>93000</v>
      </c>
      <c r="O121" s="1226">
        <f t="shared" si="78"/>
        <v>1116000</v>
      </c>
      <c r="P121" s="334"/>
      <c r="Q121" s="1174"/>
    </row>
    <row r="122" spans="1:17" s="119" customFormat="1" ht="18" customHeight="1" x14ac:dyDescent="0.25">
      <c r="A122" s="170">
        <v>12297</v>
      </c>
      <c r="B122" s="332" t="s">
        <v>200</v>
      </c>
      <c r="C122" s="1204">
        <v>70725.574399999998</v>
      </c>
      <c r="D122" s="1204">
        <f t="shared" si="76"/>
        <v>70725.574399999998</v>
      </c>
      <c r="E122" s="1204">
        <f t="shared" si="76"/>
        <v>70725.574399999998</v>
      </c>
      <c r="F122" s="1204">
        <f t="shared" si="76"/>
        <v>70725.574399999998</v>
      </c>
      <c r="G122" s="1204">
        <f t="shared" si="76"/>
        <v>70725.574399999998</v>
      </c>
      <c r="H122" s="1204">
        <v>70725.574399999998</v>
      </c>
      <c r="I122" s="1204">
        <f t="shared" ref="I122:N131" si="79">H122</f>
        <v>70725.574399999998</v>
      </c>
      <c r="J122" s="1204">
        <f t="shared" si="79"/>
        <v>70725.574399999998</v>
      </c>
      <c r="K122" s="1204">
        <f t="shared" si="79"/>
        <v>70725.574399999998</v>
      </c>
      <c r="L122" s="1204">
        <f t="shared" si="79"/>
        <v>70725.574399999998</v>
      </c>
      <c r="M122" s="1204">
        <f t="shared" si="79"/>
        <v>70725.574399999998</v>
      </c>
      <c r="N122" s="1204">
        <f t="shared" si="79"/>
        <v>70725.574399999998</v>
      </c>
      <c r="O122" s="1226">
        <f t="shared" si="78"/>
        <v>848706.89280000015</v>
      </c>
      <c r="P122" s="334"/>
      <c r="Q122" s="1174"/>
    </row>
    <row r="123" spans="1:17" s="119" customFormat="1" ht="18" customHeight="1" x14ac:dyDescent="0.25">
      <c r="A123" s="170">
        <v>12333</v>
      </c>
      <c r="B123" s="332" t="s">
        <v>75</v>
      </c>
      <c r="C123" s="1204">
        <v>42271.244599999998</v>
      </c>
      <c r="D123" s="1204">
        <f t="shared" si="76"/>
        <v>42271.244599999998</v>
      </c>
      <c r="E123" s="1204">
        <f t="shared" si="76"/>
        <v>42271.244599999998</v>
      </c>
      <c r="F123" s="1204">
        <f t="shared" si="76"/>
        <v>42271.244599999998</v>
      </c>
      <c r="G123" s="1204">
        <f t="shared" si="76"/>
        <v>42271.244599999998</v>
      </c>
      <c r="H123" s="1204">
        <v>42271.244599999998</v>
      </c>
      <c r="I123" s="1204">
        <f t="shared" si="79"/>
        <v>42271.244599999998</v>
      </c>
      <c r="J123" s="1204">
        <f t="shared" si="79"/>
        <v>42271.244599999998</v>
      </c>
      <c r="K123" s="1204">
        <f t="shared" si="79"/>
        <v>42271.244599999998</v>
      </c>
      <c r="L123" s="1204">
        <f t="shared" si="79"/>
        <v>42271.244599999998</v>
      </c>
      <c r="M123" s="1204">
        <f t="shared" si="79"/>
        <v>42271.244599999998</v>
      </c>
      <c r="N123" s="1204">
        <f t="shared" si="79"/>
        <v>42271.244599999998</v>
      </c>
      <c r="O123" s="1226">
        <f t="shared" si="78"/>
        <v>507254.93519999989</v>
      </c>
      <c r="P123" s="334"/>
      <c r="Q123" s="1174"/>
    </row>
    <row r="124" spans="1:17" s="119" customFormat="1" ht="18" customHeight="1" x14ac:dyDescent="0.25">
      <c r="A124" s="170">
        <v>12331</v>
      </c>
      <c r="B124" s="332" t="s">
        <v>76</v>
      </c>
      <c r="C124" s="1204">
        <v>179045.315</v>
      </c>
      <c r="D124" s="1204">
        <f t="shared" si="76"/>
        <v>179045.315</v>
      </c>
      <c r="E124" s="1204">
        <f t="shared" si="76"/>
        <v>179045.315</v>
      </c>
      <c r="F124" s="1204">
        <f t="shared" si="76"/>
        <v>179045.315</v>
      </c>
      <c r="G124" s="1204">
        <f t="shared" si="76"/>
        <v>179045.315</v>
      </c>
      <c r="H124" s="1204">
        <v>198045.315</v>
      </c>
      <c r="I124" s="1204">
        <f t="shared" si="79"/>
        <v>198045.315</v>
      </c>
      <c r="J124" s="1204">
        <f t="shared" si="79"/>
        <v>198045.315</v>
      </c>
      <c r="K124" s="1204">
        <f t="shared" si="79"/>
        <v>198045.315</v>
      </c>
      <c r="L124" s="1204">
        <f t="shared" si="79"/>
        <v>198045.315</v>
      </c>
      <c r="M124" s="1204">
        <f t="shared" si="79"/>
        <v>198045.315</v>
      </c>
      <c r="N124" s="1204">
        <f t="shared" si="79"/>
        <v>198045.315</v>
      </c>
      <c r="O124" s="1226">
        <f t="shared" si="78"/>
        <v>2281543.7799999998</v>
      </c>
      <c r="P124" s="334"/>
      <c r="Q124" s="1174"/>
    </row>
    <row r="125" spans="1:17" s="119" customFormat="1" ht="18" customHeight="1" x14ac:dyDescent="0.25">
      <c r="A125" s="170">
        <v>12301</v>
      </c>
      <c r="B125" s="332" t="s">
        <v>72</v>
      </c>
      <c r="C125" s="1204">
        <v>1979930.9632000001</v>
      </c>
      <c r="D125" s="1204">
        <f t="shared" si="76"/>
        <v>1979930.9632000001</v>
      </c>
      <c r="E125" s="1204">
        <f t="shared" si="76"/>
        <v>1979930.9632000001</v>
      </c>
      <c r="F125" s="1204">
        <f t="shared" si="76"/>
        <v>1979930.9632000001</v>
      </c>
      <c r="G125" s="1204">
        <f t="shared" si="76"/>
        <v>1979930.9632000001</v>
      </c>
      <c r="H125" s="1204">
        <v>2100000</v>
      </c>
      <c r="I125" s="1204">
        <f t="shared" si="79"/>
        <v>2100000</v>
      </c>
      <c r="J125" s="1204">
        <f t="shared" si="79"/>
        <v>2100000</v>
      </c>
      <c r="K125" s="1204">
        <f t="shared" si="79"/>
        <v>2100000</v>
      </c>
      <c r="L125" s="1204">
        <f t="shared" si="79"/>
        <v>2100000</v>
      </c>
      <c r="M125" s="1204">
        <f t="shared" si="79"/>
        <v>2100000</v>
      </c>
      <c r="N125" s="1204">
        <f t="shared" si="79"/>
        <v>2100000</v>
      </c>
      <c r="O125" s="1226">
        <f t="shared" si="78"/>
        <v>24599654.816</v>
      </c>
      <c r="P125" s="805"/>
      <c r="Q125" s="1174"/>
    </row>
    <row r="126" spans="1:17" s="119" customFormat="1" ht="18" customHeight="1" x14ac:dyDescent="0.25">
      <c r="A126" s="170">
        <v>12329</v>
      </c>
      <c r="B126" s="332" t="s">
        <v>73</v>
      </c>
      <c r="C126" s="1204">
        <v>2200000</v>
      </c>
      <c r="D126" s="1204">
        <f t="shared" si="76"/>
        <v>2200000</v>
      </c>
      <c r="E126" s="1204">
        <f t="shared" si="76"/>
        <v>2200000</v>
      </c>
      <c r="F126" s="1204">
        <f t="shared" si="76"/>
        <v>2200000</v>
      </c>
      <c r="G126" s="1204">
        <f t="shared" si="76"/>
        <v>2200000</v>
      </c>
      <c r="H126" s="1204">
        <v>2400000</v>
      </c>
      <c r="I126" s="1204">
        <f t="shared" si="79"/>
        <v>2400000</v>
      </c>
      <c r="J126" s="1204">
        <f t="shared" si="79"/>
        <v>2400000</v>
      </c>
      <c r="K126" s="1204">
        <f t="shared" si="79"/>
        <v>2400000</v>
      </c>
      <c r="L126" s="1204">
        <f t="shared" si="79"/>
        <v>2400000</v>
      </c>
      <c r="M126" s="1204">
        <f t="shared" si="79"/>
        <v>2400000</v>
      </c>
      <c r="N126" s="1204">
        <f t="shared" si="79"/>
        <v>2400000</v>
      </c>
      <c r="O126" s="1226">
        <f t="shared" si="78"/>
        <v>27800000</v>
      </c>
      <c r="P126" s="805"/>
      <c r="Q126" s="1174"/>
    </row>
    <row r="127" spans="1:17" s="119" customFormat="1" ht="18" customHeight="1" x14ac:dyDescent="0.25">
      <c r="A127" s="170">
        <v>51649</v>
      </c>
      <c r="B127" s="332" t="s">
        <v>78</v>
      </c>
      <c r="C127" s="1204">
        <v>14994.555199999999</v>
      </c>
      <c r="D127" s="1204">
        <f t="shared" si="76"/>
        <v>14994.555199999999</v>
      </c>
      <c r="E127" s="1204">
        <f t="shared" si="76"/>
        <v>14994.555199999999</v>
      </c>
      <c r="F127" s="1204">
        <f t="shared" si="76"/>
        <v>14994.555199999999</v>
      </c>
      <c r="G127" s="1204">
        <f t="shared" si="76"/>
        <v>14994.555199999999</v>
      </c>
      <c r="H127" s="1204">
        <v>15994.555199999999</v>
      </c>
      <c r="I127" s="1204">
        <f t="shared" si="79"/>
        <v>15994.555199999999</v>
      </c>
      <c r="J127" s="1204">
        <f t="shared" si="79"/>
        <v>15994.555199999999</v>
      </c>
      <c r="K127" s="1204">
        <f t="shared" si="79"/>
        <v>15994.555199999999</v>
      </c>
      <c r="L127" s="1204">
        <f t="shared" si="79"/>
        <v>15994.555199999999</v>
      </c>
      <c r="M127" s="1204">
        <f t="shared" si="79"/>
        <v>15994.555199999999</v>
      </c>
      <c r="N127" s="1204">
        <f t="shared" si="79"/>
        <v>15994.555199999999</v>
      </c>
      <c r="O127" s="1226">
        <f t="shared" si="78"/>
        <v>186934.6624</v>
      </c>
      <c r="P127" s="334"/>
      <c r="Q127" s="1174"/>
    </row>
    <row r="128" spans="1:17" s="119" customFormat="1" ht="18" customHeight="1" x14ac:dyDescent="0.25">
      <c r="A128" s="170">
        <v>37763</v>
      </c>
      <c r="B128" s="332" t="s">
        <v>80</v>
      </c>
      <c r="C128" s="1204">
        <v>6667.0460000000021</v>
      </c>
      <c r="D128" s="1204">
        <f t="shared" si="76"/>
        <v>6667.0460000000021</v>
      </c>
      <c r="E128" s="1204">
        <f t="shared" si="76"/>
        <v>6667.0460000000021</v>
      </c>
      <c r="F128" s="1204">
        <f t="shared" si="76"/>
        <v>6667.0460000000021</v>
      </c>
      <c r="G128" s="1204">
        <f t="shared" si="76"/>
        <v>6667.0460000000021</v>
      </c>
      <c r="H128" s="1204">
        <v>36667.046000000002</v>
      </c>
      <c r="I128" s="1204">
        <f t="shared" si="79"/>
        <v>36667.046000000002</v>
      </c>
      <c r="J128" s="1204">
        <f t="shared" si="79"/>
        <v>36667.046000000002</v>
      </c>
      <c r="K128" s="1204">
        <f t="shared" si="79"/>
        <v>36667.046000000002</v>
      </c>
      <c r="L128" s="1204">
        <f t="shared" si="79"/>
        <v>36667.046000000002</v>
      </c>
      <c r="M128" s="1204">
        <f t="shared" si="79"/>
        <v>36667.046000000002</v>
      </c>
      <c r="N128" s="1204">
        <f t="shared" si="79"/>
        <v>36667.046000000002</v>
      </c>
      <c r="O128" s="1226">
        <f t="shared" si="78"/>
        <v>290004.55200000003</v>
      </c>
      <c r="P128" s="334"/>
      <c r="Q128" s="1174"/>
    </row>
    <row r="129" spans="1:17" s="119" customFormat="1" ht="18" customHeight="1" x14ac:dyDescent="0.25">
      <c r="A129" s="170">
        <v>37259</v>
      </c>
      <c r="B129" s="332" t="s">
        <v>204</v>
      </c>
      <c r="C129" s="1204">
        <v>6985.2640000000001</v>
      </c>
      <c r="D129" s="1204">
        <f t="shared" si="76"/>
        <v>6985.2640000000001</v>
      </c>
      <c r="E129" s="1204">
        <f t="shared" si="76"/>
        <v>6985.2640000000001</v>
      </c>
      <c r="F129" s="1204">
        <f t="shared" si="76"/>
        <v>6985.2640000000001</v>
      </c>
      <c r="G129" s="1204">
        <f t="shared" si="76"/>
        <v>6985.2640000000001</v>
      </c>
      <c r="H129" s="1204">
        <v>6985.2640000000001</v>
      </c>
      <c r="I129" s="1204">
        <f t="shared" si="79"/>
        <v>6985.2640000000001</v>
      </c>
      <c r="J129" s="1204">
        <f t="shared" si="79"/>
        <v>6985.2640000000001</v>
      </c>
      <c r="K129" s="1204">
        <f t="shared" si="79"/>
        <v>6985.2640000000001</v>
      </c>
      <c r="L129" s="1204">
        <f t="shared" si="79"/>
        <v>6985.2640000000001</v>
      </c>
      <c r="M129" s="1204">
        <f t="shared" si="79"/>
        <v>6985.2640000000001</v>
      </c>
      <c r="N129" s="1204">
        <f t="shared" si="79"/>
        <v>6985.2640000000001</v>
      </c>
      <c r="O129" s="1226">
        <f t="shared" si="78"/>
        <v>83823.168000000005</v>
      </c>
      <c r="P129" s="334"/>
      <c r="Q129" s="1174"/>
    </row>
    <row r="130" spans="1:17" s="119" customFormat="1" ht="18" customHeight="1" x14ac:dyDescent="0.25">
      <c r="A130" s="170">
        <v>12865</v>
      </c>
      <c r="B130" s="332" t="s">
        <v>205</v>
      </c>
      <c r="C130" s="1204">
        <v>3903.7205999999996</v>
      </c>
      <c r="D130" s="1204">
        <f t="shared" si="76"/>
        <v>3903.7205999999996</v>
      </c>
      <c r="E130" s="1204">
        <f t="shared" si="76"/>
        <v>3903.7205999999996</v>
      </c>
      <c r="F130" s="1204">
        <f t="shared" si="76"/>
        <v>3903.7205999999996</v>
      </c>
      <c r="G130" s="1204">
        <f t="shared" si="76"/>
        <v>3903.7205999999996</v>
      </c>
      <c r="H130" s="1204">
        <v>3903.7205999999996</v>
      </c>
      <c r="I130" s="1204">
        <f t="shared" si="79"/>
        <v>3903.7205999999996</v>
      </c>
      <c r="J130" s="1204">
        <f t="shared" si="79"/>
        <v>3903.7205999999996</v>
      </c>
      <c r="K130" s="1204">
        <f t="shared" si="79"/>
        <v>3903.7205999999996</v>
      </c>
      <c r="L130" s="1204">
        <f t="shared" si="79"/>
        <v>3903.7205999999996</v>
      </c>
      <c r="M130" s="1204">
        <f t="shared" si="79"/>
        <v>3903.7205999999996</v>
      </c>
      <c r="N130" s="1204">
        <f t="shared" si="79"/>
        <v>3903.7205999999996</v>
      </c>
      <c r="O130" s="1226">
        <f t="shared" si="78"/>
        <v>46844.647199999999</v>
      </c>
      <c r="P130" s="334"/>
      <c r="Q130" s="1174"/>
    </row>
    <row r="131" spans="1:17" s="119" customFormat="1" ht="18" customHeight="1" x14ac:dyDescent="0.25">
      <c r="A131" s="170">
        <v>12332</v>
      </c>
      <c r="B131" s="332" t="s">
        <v>77</v>
      </c>
      <c r="C131" s="1204">
        <v>21949</v>
      </c>
      <c r="D131" s="1204">
        <f t="shared" si="76"/>
        <v>21949</v>
      </c>
      <c r="E131" s="1204">
        <f t="shared" si="76"/>
        <v>21949</v>
      </c>
      <c r="F131" s="1204">
        <f t="shared" si="76"/>
        <v>21949</v>
      </c>
      <c r="G131" s="1204">
        <f t="shared" si="76"/>
        <v>21949</v>
      </c>
      <c r="H131" s="1204">
        <v>45538.040599999993</v>
      </c>
      <c r="I131" s="1204">
        <f t="shared" si="79"/>
        <v>45538.040599999993</v>
      </c>
      <c r="J131" s="1204">
        <f t="shared" si="79"/>
        <v>45538.040599999993</v>
      </c>
      <c r="K131" s="1204">
        <f t="shared" si="79"/>
        <v>45538.040599999993</v>
      </c>
      <c r="L131" s="1204">
        <f t="shared" si="79"/>
        <v>45538.040599999993</v>
      </c>
      <c r="M131" s="1204">
        <f t="shared" si="79"/>
        <v>45538.040599999993</v>
      </c>
      <c r="N131" s="1204">
        <f t="shared" si="79"/>
        <v>45538.040599999993</v>
      </c>
      <c r="O131" s="1226">
        <f t="shared" si="78"/>
        <v>428511.28420000005</v>
      </c>
      <c r="P131" s="334"/>
      <c r="Q131" s="1174"/>
    </row>
    <row r="132" spans="1:17" s="119" customFormat="1" ht="18" customHeight="1" thickBot="1" x14ac:dyDescent="0.3">
      <c r="A132" s="379">
        <v>12316</v>
      </c>
      <c r="B132" s="384" t="s">
        <v>3794</v>
      </c>
      <c r="C132" s="1194">
        <v>20535.455399999999</v>
      </c>
      <c r="D132" s="1194">
        <f t="shared" si="76"/>
        <v>20535.455399999999</v>
      </c>
      <c r="E132" s="1194">
        <f t="shared" si="76"/>
        <v>20535.455399999999</v>
      </c>
      <c r="F132" s="1194">
        <f t="shared" si="76"/>
        <v>20535.455399999999</v>
      </c>
      <c r="G132" s="1194">
        <f t="shared" si="76"/>
        <v>20535.455399999999</v>
      </c>
      <c r="H132" s="1194">
        <v>25535.455399999999</v>
      </c>
      <c r="I132" s="1194">
        <f t="shared" ref="I132:N132" si="80">H132</f>
        <v>25535.455399999999</v>
      </c>
      <c r="J132" s="1194">
        <f t="shared" si="80"/>
        <v>25535.455399999999</v>
      </c>
      <c r="K132" s="1194">
        <f t="shared" si="80"/>
        <v>25535.455399999999</v>
      </c>
      <c r="L132" s="1194">
        <f t="shared" si="80"/>
        <v>25535.455399999999</v>
      </c>
      <c r="M132" s="1194">
        <f t="shared" si="80"/>
        <v>25535.455399999999</v>
      </c>
      <c r="N132" s="1194">
        <f t="shared" si="80"/>
        <v>25535.455399999999</v>
      </c>
      <c r="O132" s="1194">
        <f t="shared" si="78"/>
        <v>281425.46480000002</v>
      </c>
      <c r="P132" s="334"/>
      <c r="Q132" s="1174"/>
    </row>
    <row r="133" spans="1:17" s="119" customFormat="1" ht="18" customHeight="1" thickBot="1" x14ac:dyDescent="0.3">
      <c r="A133" s="508"/>
      <c r="B133" s="154"/>
      <c r="C133" s="67"/>
      <c r="D133" s="67"/>
      <c r="E133" s="67"/>
      <c r="F133" s="67"/>
      <c r="G133" s="67"/>
      <c r="H133" s="67"/>
      <c r="I133" s="67"/>
      <c r="J133" s="67"/>
      <c r="K133" s="66"/>
      <c r="L133" s="66"/>
      <c r="M133" s="66"/>
      <c r="N133" s="66"/>
      <c r="O133" s="67"/>
      <c r="P133" s="1172"/>
      <c r="Q133" s="1172"/>
    </row>
    <row r="134" spans="1:17" s="11" customFormat="1" ht="18" customHeight="1" thickBot="1" x14ac:dyDescent="0.3">
      <c r="A134" s="165"/>
      <c r="B134" s="559" t="s">
        <v>171</v>
      </c>
      <c r="C134" s="1168">
        <f t="shared" ref="C134:N134" si="81">SUM(C135:C150)</f>
        <v>751500</v>
      </c>
      <c r="D134" s="564">
        <f t="shared" si="81"/>
        <v>751500</v>
      </c>
      <c r="E134" s="564">
        <f t="shared" si="81"/>
        <v>751500</v>
      </c>
      <c r="F134" s="564">
        <f t="shared" si="81"/>
        <v>751500</v>
      </c>
      <c r="G134" s="564">
        <f t="shared" si="81"/>
        <v>720500</v>
      </c>
      <c r="H134" s="564">
        <f t="shared" si="81"/>
        <v>720500</v>
      </c>
      <c r="I134" s="564">
        <f t="shared" si="81"/>
        <v>720500</v>
      </c>
      <c r="J134" s="564">
        <f t="shared" si="81"/>
        <v>720500</v>
      </c>
      <c r="K134" s="564">
        <f t="shared" si="81"/>
        <v>751500</v>
      </c>
      <c r="L134" s="564">
        <f t="shared" si="81"/>
        <v>751500</v>
      </c>
      <c r="M134" s="564">
        <f t="shared" si="81"/>
        <v>751500</v>
      </c>
      <c r="N134" s="564">
        <f t="shared" si="81"/>
        <v>751500</v>
      </c>
      <c r="O134" s="1074">
        <f>C134+D134+E134+F134+G134+H134+I134+J134+K134+L134+M134+N134</f>
        <v>8894000</v>
      </c>
      <c r="P134" s="195"/>
      <c r="Q134" s="1176"/>
    </row>
    <row r="135" spans="1:17" s="119" customFormat="1" ht="18" customHeight="1" x14ac:dyDescent="0.25">
      <c r="A135" s="167">
        <v>12330</v>
      </c>
      <c r="B135" s="331" t="s">
        <v>81</v>
      </c>
      <c r="C135" s="1222">
        <v>115000</v>
      </c>
      <c r="D135" s="1222">
        <f t="shared" ref="D135:N135" si="82">C135</f>
        <v>115000</v>
      </c>
      <c r="E135" s="1222">
        <f t="shared" si="82"/>
        <v>115000</v>
      </c>
      <c r="F135" s="1222">
        <f t="shared" si="82"/>
        <v>115000</v>
      </c>
      <c r="G135" s="1222">
        <f t="shared" si="82"/>
        <v>115000</v>
      </c>
      <c r="H135" s="1222">
        <f t="shared" si="82"/>
        <v>115000</v>
      </c>
      <c r="I135" s="1222">
        <f t="shared" si="82"/>
        <v>115000</v>
      </c>
      <c r="J135" s="1222">
        <f t="shared" si="82"/>
        <v>115000</v>
      </c>
      <c r="K135" s="1222">
        <f t="shared" si="82"/>
        <v>115000</v>
      </c>
      <c r="L135" s="1222">
        <f t="shared" si="82"/>
        <v>115000</v>
      </c>
      <c r="M135" s="1222">
        <f t="shared" si="82"/>
        <v>115000</v>
      </c>
      <c r="N135" s="1192">
        <f t="shared" si="82"/>
        <v>115000</v>
      </c>
      <c r="O135" s="1235">
        <f>C135+D135+E135+F135+G135+H135+I135+J135+K135+L135+M135+N135</f>
        <v>1380000</v>
      </c>
      <c r="P135" s="334"/>
      <c r="Q135" s="12"/>
    </row>
    <row r="136" spans="1:17" s="119" customFormat="1" ht="18" customHeight="1" x14ac:dyDescent="0.25">
      <c r="A136" s="170" t="s">
        <v>88</v>
      </c>
      <c r="B136" s="332" t="s">
        <v>213</v>
      </c>
      <c r="C136" s="1223">
        <v>60000</v>
      </c>
      <c r="D136" s="1223">
        <f t="shared" ref="D136:N136" si="83">C136</f>
        <v>60000</v>
      </c>
      <c r="E136" s="1223">
        <f t="shared" si="83"/>
        <v>60000</v>
      </c>
      <c r="F136" s="1223">
        <f t="shared" si="83"/>
        <v>60000</v>
      </c>
      <c r="G136" s="1223">
        <f t="shared" si="83"/>
        <v>60000</v>
      </c>
      <c r="H136" s="1223">
        <f t="shared" si="83"/>
        <v>60000</v>
      </c>
      <c r="I136" s="1223">
        <f t="shared" si="83"/>
        <v>60000</v>
      </c>
      <c r="J136" s="1223">
        <f t="shared" si="83"/>
        <v>60000</v>
      </c>
      <c r="K136" s="1223">
        <f t="shared" si="83"/>
        <v>60000</v>
      </c>
      <c r="L136" s="1223">
        <f t="shared" si="83"/>
        <v>60000</v>
      </c>
      <c r="M136" s="1223">
        <f t="shared" si="83"/>
        <v>60000</v>
      </c>
      <c r="N136" s="1204">
        <f t="shared" si="83"/>
        <v>60000</v>
      </c>
      <c r="O136" s="1235">
        <f t="shared" ref="O136:O150" si="84">C136+D136+E136+F136+G136+H136+I136+J136+K136+L136+M136+N136</f>
        <v>720000</v>
      </c>
      <c r="Q136" s="12"/>
    </row>
    <row r="137" spans="1:17" s="119" customFormat="1" ht="18" customHeight="1" x14ac:dyDescent="0.25">
      <c r="A137" s="170" t="s">
        <v>90</v>
      </c>
      <c r="B137" s="332" t="s">
        <v>3795</v>
      </c>
      <c r="C137" s="1223">
        <v>196000</v>
      </c>
      <c r="D137" s="1223">
        <f t="shared" ref="D137:F150" si="85">C137</f>
        <v>196000</v>
      </c>
      <c r="E137" s="1223">
        <f t="shared" si="85"/>
        <v>196000</v>
      </c>
      <c r="F137" s="1223">
        <f t="shared" si="85"/>
        <v>196000</v>
      </c>
      <c r="G137" s="1223">
        <v>165000</v>
      </c>
      <c r="H137" s="1223">
        <f t="shared" ref="H137:J150" si="86">G137</f>
        <v>165000</v>
      </c>
      <c r="I137" s="1223">
        <f t="shared" si="86"/>
        <v>165000</v>
      </c>
      <c r="J137" s="1223">
        <f t="shared" si="86"/>
        <v>165000</v>
      </c>
      <c r="K137" s="1223">
        <v>196000</v>
      </c>
      <c r="L137" s="1223">
        <f t="shared" ref="L137:N150" si="87">K137</f>
        <v>196000</v>
      </c>
      <c r="M137" s="1223">
        <f t="shared" si="87"/>
        <v>196000</v>
      </c>
      <c r="N137" s="1204">
        <f t="shared" si="87"/>
        <v>196000</v>
      </c>
      <c r="O137" s="1235">
        <f t="shared" si="84"/>
        <v>2228000</v>
      </c>
      <c r="Q137" s="12"/>
    </row>
    <row r="138" spans="1:17" s="119" customFormat="1" ht="18" customHeight="1" x14ac:dyDescent="0.25">
      <c r="A138" s="170">
        <v>32937</v>
      </c>
      <c r="B138" s="332" t="s">
        <v>95</v>
      </c>
      <c r="C138" s="1224">
        <v>27000</v>
      </c>
      <c r="D138" s="1224">
        <f t="shared" si="85"/>
        <v>27000</v>
      </c>
      <c r="E138" s="1224">
        <f t="shared" si="85"/>
        <v>27000</v>
      </c>
      <c r="F138" s="1224">
        <f t="shared" si="85"/>
        <v>27000</v>
      </c>
      <c r="G138" s="1224">
        <f t="shared" ref="G138:G150" si="88">F138</f>
        <v>27000</v>
      </c>
      <c r="H138" s="1224">
        <f t="shared" si="86"/>
        <v>27000</v>
      </c>
      <c r="I138" s="1224">
        <f t="shared" si="86"/>
        <v>27000</v>
      </c>
      <c r="J138" s="1224">
        <f t="shared" si="86"/>
        <v>27000</v>
      </c>
      <c r="K138" s="1224">
        <f t="shared" ref="K138:K150" si="89">J138</f>
        <v>27000</v>
      </c>
      <c r="L138" s="1224">
        <f t="shared" si="87"/>
        <v>27000</v>
      </c>
      <c r="M138" s="1224">
        <f t="shared" si="87"/>
        <v>27000</v>
      </c>
      <c r="N138" s="1204">
        <f t="shared" si="87"/>
        <v>27000</v>
      </c>
      <c r="O138" s="1235">
        <f t="shared" si="84"/>
        <v>324000</v>
      </c>
      <c r="Q138" s="12"/>
    </row>
    <row r="139" spans="1:17" s="119" customFormat="1" ht="18" customHeight="1" x14ac:dyDescent="0.25">
      <c r="A139" s="170">
        <v>12869</v>
      </c>
      <c r="B139" s="332" t="s">
        <v>94</v>
      </c>
      <c r="C139" s="1223">
        <v>77000</v>
      </c>
      <c r="D139" s="1223">
        <f t="shared" si="85"/>
        <v>77000</v>
      </c>
      <c r="E139" s="1223">
        <f t="shared" si="85"/>
        <v>77000</v>
      </c>
      <c r="F139" s="1223">
        <f t="shared" si="85"/>
        <v>77000</v>
      </c>
      <c r="G139" s="1223">
        <f t="shared" si="88"/>
        <v>77000</v>
      </c>
      <c r="H139" s="1223">
        <f t="shared" si="86"/>
        <v>77000</v>
      </c>
      <c r="I139" s="1223">
        <f t="shared" si="86"/>
        <v>77000</v>
      </c>
      <c r="J139" s="1223">
        <f t="shared" si="86"/>
        <v>77000</v>
      </c>
      <c r="K139" s="1223">
        <f t="shared" si="89"/>
        <v>77000</v>
      </c>
      <c r="L139" s="1223">
        <f t="shared" si="87"/>
        <v>77000</v>
      </c>
      <c r="M139" s="1223">
        <f t="shared" si="87"/>
        <v>77000</v>
      </c>
      <c r="N139" s="1204">
        <f t="shared" si="87"/>
        <v>77000</v>
      </c>
      <c r="O139" s="1235">
        <f t="shared" si="84"/>
        <v>924000</v>
      </c>
      <c r="Q139" s="12"/>
    </row>
    <row r="140" spans="1:17" s="119" customFormat="1" ht="18" customHeight="1" x14ac:dyDescent="0.25">
      <c r="A140" s="170">
        <v>12900</v>
      </c>
      <c r="B140" s="332" t="s">
        <v>87</v>
      </c>
      <c r="C140" s="1223">
        <v>11000</v>
      </c>
      <c r="D140" s="1223">
        <f t="shared" si="85"/>
        <v>11000</v>
      </c>
      <c r="E140" s="1223">
        <f t="shared" si="85"/>
        <v>11000</v>
      </c>
      <c r="F140" s="1223">
        <f t="shared" si="85"/>
        <v>11000</v>
      </c>
      <c r="G140" s="1223">
        <f t="shared" si="88"/>
        <v>11000</v>
      </c>
      <c r="H140" s="1223">
        <f t="shared" si="86"/>
        <v>11000</v>
      </c>
      <c r="I140" s="1223">
        <f t="shared" si="86"/>
        <v>11000</v>
      </c>
      <c r="J140" s="1223">
        <f t="shared" si="86"/>
        <v>11000</v>
      </c>
      <c r="K140" s="1223">
        <f t="shared" si="89"/>
        <v>11000</v>
      </c>
      <c r="L140" s="1223">
        <f t="shared" si="87"/>
        <v>11000</v>
      </c>
      <c r="M140" s="1223">
        <f t="shared" si="87"/>
        <v>11000</v>
      </c>
      <c r="N140" s="1204">
        <f t="shared" si="87"/>
        <v>11000</v>
      </c>
      <c r="O140" s="1235">
        <f t="shared" si="84"/>
        <v>132000</v>
      </c>
      <c r="Q140" s="12"/>
    </row>
    <row r="141" spans="1:17" s="119" customFormat="1" ht="18" customHeight="1" x14ac:dyDescent="0.25">
      <c r="A141" s="170">
        <v>12334</v>
      </c>
      <c r="B141" s="332" t="s">
        <v>82</v>
      </c>
      <c r="C141" s="1223">
        <v>31000</v>
      </c>
      <c r="D141" s="1223">
        <f t="shared" si="85"/>
        <v>31000</v>
      </c>
      <c r="E141" s="1223">
        <f t="shared" si="85"/>
        <v>31000</v>
      </c>
      <c r="F141" s="1223">
        <f t="shared" si="85"/>
        <v>31000</v>
      </c>
      <c r="G141" s="1223">
        <f t="shared" si="88"/>
        <v>31000</v>
      </c>
      <c r="H141" s="1223">
        <f t="shared" si="86"/>
        <v>31000</v>
      </c>
      <c r="I141" s="1223">
        <f t="shared" si="86"/>
        <v>31000</v>
      </c>
      <c r="J141" s="1223">
        <f t="shared" si="86"/>
        <v>31000</v>
      </c>
      <c r="K141" s="1223">
        <f t="shared" si="89"/>
        <v>31000</v>
      </c>
      <c r="L141" s="1223">
        <f t="shared" si="87"/>
        <v>31000</v>
      </c>
      <c r="M141" s="1223">
        <f t="shared" si="87"/>
        <v>31000</v>
      </c>
      <c r="N141" s="1204">
        <f t="shared" si="87"/>
        <v>31000</v>
      </c>
      <c r="O141" s="1235">
        <f t="shared" si="84"/>
        <v>372000</v>
      </c>
      <c r="Q141" s="12"/>
    </row>
    <row r="142" spans="1:17" s="119" customFormat="1" ht="18" customHeight="1" x14ac:dyDescent="0.25">
      <c r="A142" s="170">
        <v>12893</v>
      </c>
      <c r="B142" s="332" t="s">
        <v>206</v>
      </c>
      <c r="C142" s="1223">
        <v>28000</v>
      </c>
      <c r="D142" s="1223">
        <f t="shared" si="85"/>
        <v>28000</v>
      </c>
      <c r="E142" s="1223">
        <f t="shared" si="85"/>
        <v>28000</v>
      </c>
      <c r="F142" s="1223">
        <f t="shared" si="85"/>
        <v>28000</v>
      </c>
      <c r="G142" s="1223">
        <f t="shared" si="88"/>
        <v>28000</v>
      </c>
      <c r="H142" s="1223">
        <f t="shared" si="86"/>
        <v>28000</v>
      </c>
      <c r="I142" s="1223">
        <f t="shared" si="86"/>
        <v>28000</v>
      </c>
      <c r="J142" s="1223">
        <f t="shared" si="86"/>
        <v>28000</v>
      </c>
      <c r="K142" s="1223">
        <f t="shared" si="89"/>
        <v>28000</v>
      </c>
      <c r="L142" s="1223">
        <f t="shared" si="87"/>
        <v>28000</v>
      </c>
      <c r="M142" s="1223">
        <f t="shared" si="87"/>
        <v>28000</v>
      </c>
      <c r="N142" s="1204">
        <f t="shared" si="87"/>
        <v>28000</v>
      </c>
      <c r="O142" s="1235">
        <f t="shared" si="84"/>
        <v>336000</v>
      </c>
      <c r="Q142" s="12"/>
    </row>
    <row r="143" spans="1:17" s="119" customFormat="1" ht="18" customHeight="1" x14ac:dyDescent="0.25">
      <c r="A143" s="170">
        <v>12282</v>
      </c>
      <c r="B143" s="152" t="s">
        <v>211</v>
      </c>
      <c r="C143" s="1223">
        <v>25500</v>
      </c>
      <c r="D143" s="1223">
        <f t="shared" si="85"/>
        <v>25500</v>
      </c>
      <c r="E143" s="1223">
        <f t="shared" si="85"/>
        <v>25500</v>
      </c>
      <c r="F143" s="1223">
        <f t="shared" si="85"/>
        <v>25500</v>
      </c>
      <c r="G143" s="1223">
        <f t="shared" si="88"/>
        <v>25500</v>
      </c>
      <c r="H143" s="1223">
        <f t="shared" si="86"/>
        <v>25500</v>
      </c>
      <c r="I143" s="1223">
        <f t="shared" si="86"/>
        <v>25500</v>
      </c>
      <c r="J143" s="1223">
        <f t="shared" si="86"/>
        <v>25500</v>
      </c>
      <c r="K143" s="1223">
        <f t="shared" si="89"/>
        <v>25500</v>
      </c>
      <c r="L143" s="1223">
        <f t="shared" si="87"/>
        <v>25500</v>
      </c>
      <c r="M143" s="1223">
        <f t="shared" si="87"/>
        <v>25500</v>
      </c>
      <c r="N143" s="1204">
        <f t="shared" si="87"/>
        <v>25500</v>
      </c>
      <c r="O143" s="1235">
        <f t="shared" si="84"/>
        <v>306000</v>
      </c>
      <c r="Q143" s="12"/>
    </row>
    <row r="144" spans="1:17" s="119" customFormat="1" ht="18" customHeight="1" x14ac:dyDescent="0.25">
      <c r="A144" s="170">
        <v>51665</v>
      </c>
      <c r="B144" s="152" t="s">
        <v>212</v>
      </c>
      <c r="C144" s="1223">
        <v>60000</v>
      </c>
      <c r="D144" s="1223">
        <f t="shared" si="85"/>
        <v>60000</v>
      </c>
      <c r="E144" s="1223">
        <f t="shared" si="85"/>
        <v>60000</v>
      </c>
      <c r="F144" s="1223">
        <f t="shared" si="85"/>
        <v>60000</v>
      </c>
      <c r="G144" s="1223">
        <f t="shared" si="88"/>
        <v>60000</v>
      </c>
      <c r="H144" s="1223">
        <f t="shared" si="86"/>
        <v>60000</v>
      </c>
      <c r="I144" s="1223">
        <f t="shared" si="86"/>
        <v>60000</v>
      </c>
      <c r="J144" s="1223">
        <f t="shared" si="86"/>
        <v>60000</v>
      </c>
      <c r="K144" s="1223">
        <f t="shared" si="89"/>
        <v>60000</v>
      </c>
      <c r="L144" s="1223">
        <f t="shared" si="87"/>
        <v>60000</v>
      </c>
      <c r="M144" s="1223">
        <f t="shared" si="87"/>
        <v>60000</v>
      </c>
      <c r="N144" s="1204">
        <f t="shared" si="87"/>
        <v>60000</v>
      </c>
      <c r="O144" s="1235">
        <f t="shared" si="84"/>
        <v>720000</v>
      </c>
      <c r="Q144" s="12"/>
    </row>
    <row r="145" spans="1:17" s="119" customFormat="1" ht="18" customHeight="1" x14ac:dyDescent="0.25">
      <c r="A145" s="170">
        <v>51667</v>
      </c>
      <c r="B145" s="152" t="s">
        <v>85</v>
      </c>
      <c r="C145" s="1223">
        <v>7000</v>
      </c>
      <c r="D145" s="1223">
        <f t="shared" si="85"/>
        <v>7000</v>
      </c>
      <c r="E145" s="1223">
        <f t="shared" si="85"/>
        <v>7000</v>
      </c>
      <c r="F145" s="1223">
        <f t="shared" si="85"/>
        <v>7000</v>
      </c>
      <c r="G145" s="1223">
        <f t="shared" si="88"/>
        <v>7000</v>
      </c>
      <c r="H145" s="1223">
        <f t="shared" si="86"/>
        <v>7000</v>
      </c>
      <c r="I145" s="1223">
        <f t="shared" si="86"/>
        <v>7000</v>
      </c>
      <c r="J145" s="1223">
        <f t="shared" si="86"/>
        <v>7000</v>
      </c>
      <c r="K145" s="1223">
        <f t="shared" si="89"/>
        <v>7000</v>
      </c>
      <c r="L145" s="1223">
        <f t="shared" si="87"/>
        <v>7000</v>
      </c>
      <c r="M145" s="1223">
        <f t="shared" si="87"/>
        <v>7000</v>
      </c>
      <c r="N145" s="1204">
        <f t="shared" si="87"/>
        <v>7000</v>
      </c>
      <c r="O145" s="1235">
        <f t="shared" si="84"/>
        <v>84000</v>
      </c>
      <c r="Q145" s="12"/>
    </row>
    <row r="146" spans="1:17" s="119" customFormat="1" ht="18" customHeight="1" x14ac:dyDescent="0.25">
      <c r="A146" s="170">
        <v>51666</v>
      </c>
      <c r="B146" s="152" t="s">
        <v>84</v>
      </c>
      <c r="C146" s="1223">
        <v>23000</v>
      </c>
      <c r="D146" s="1223">
        <f t="shared" si="85"/>
        <v>23000</v>
      </c>
      <c r="E146" s="1223">
        <f t="shared" si="85"/>
        <v>23000</v>
      </c>
      <c r="F146" s="1223">
        <f t="shared" si="85"/>
        <v>23000</v>
      </c>
      <c r="G146" s="1223">
        <f t="shared" si="88"/>
        <v>23000</v>
      </c>
      <c r="H146" s="1223">
        <f t="shared" si="86"/>
        <v>23000</v>
      </c>
      <c r="I146" s="1223">
        <f t="shared" si="86"/>
        <v>23000</v>
      </c>
      <c r="J146" s="1223">
        <f t="shared" si="86"/>
        <v>23000</v>
      </c>
      <c r="K146" s="1223">
        <f t="shared" si="89"/>
        <v>23000</v>
      </c>
      <c r="L146" s="1223">
        <f t="shared" si="87"/>
        <v>23000</v>
      </c>
      <c r="M146" s="1223">
        <f t="shared" si="87"/>
        <v>23000</v>
      </c>
      <c r="N146" s="1204">
        <f t="shared" si="87"/>
        <v>23000</v>
      </c>
      <c r="O146" s="1235">
        <f t="shared" si="84"/>
        <v>276000</v>
      </c>
      <c r="Q146" s="12"/>
    </row>
    <row r="147" spans="1:17" s="119" customFormat="1" ht="18" customHeight="1" x14ac:dyDescent="0.25">
      <c r="A147" s="170">
        <v>12284</v>
      </c>
      <c r="B147" s="152" t="s">
        <v>207</v>
      </c>
      <c r="C147" s="1223">
        <v>17000</v>
      </c>
      <c r="D147" s="1223">
        <f t="shared" si="85"/>
        <v>17000</v>
      </c>
      <c r="E147" s="1223">
        <f t="shared" si="85"/>
        <v>17000</v>
      </c>
      <c r="F147" s="1223">
        <f t="shared" si="85"/>
        <v>17000</v>
      </c>
      <c r="G147" s="1223">
        <f t="shared" si="88"/>
        <v>17000</v>
      </c>
      <c r="H147" s="1223">
        <f t="shared" si="86"/>
        <v>17000</v>
      </c>
      <c r="I147" s="1223">
        <f t="shared" si="86"/>
        <v>17000</v>
      </c>
      <c r="J147" s="1223">
        <f t="shared" si="86"/>
        <v>17000</v>
      </c>
      <c r="K147" s="1223">
        <f t="shared" si="89"/>
        <v>17000</v>
      </c>
      <c r="L147" s="1223">
        <f t="shared" si="87"/>
        <v>17000</v>
      </c>
      <c r="M147" s="1223">
        <f t="shared" si="87"/>
        <v>17000</v>
      </c>
      <c r="N147" s="1204">
        <f t="shared" si="87"/>
        <v>17000</v>
      </c>
      <c r="O147" s="1235">
        <f t="shared" si="84"/>
        <v>204000</v>
      </c>
      <c r="Q147" s="12"/>
    </row>
    <row r="148" spans="1:17" s="119" customFormat="1" ht="18" customHeight="1" x14ac:dyDescent="0.25">
      <c r="A148" s="170">
        <v>12280</v>
      </c>
      <c r="B148" s="152" t="s">
        <v>209</v>
      </c>
      <c r="C148" s="1223">
        <v>23000</v>
      </c>
      <c r="D148" s="1223">
        <f t="shared" si="85"/>
        <v>23000</v>
      </c>
      <c r="E148" s="1223">
        <f t="shared" si="85"/>
        <v>23000</v>
      </c>
      <c r="F148" s="1223">
        <f t="shared" si="85"/>
        <v>23000</v>
      </c>
      <c r="G148" s="1223">
        <f t="shared" si="88"/>
        <v>23000</v>
      </c>
      <c r="H148" s="1223">
        <f t="shared" si="86"/>
        <v>23000</v>
      </c>
      <c r="I148" s="1223">
        <f t="shared" si="86"/>
        <v>23000</v>
      </c>
      <c r="J148" s="1223">
        <f t="shared" si="86"/>
        <v>23000</v>
      </c>
      <c r="K148" s="1223">
        <f t="shared" si="89"/>
        <v>23000</v>
      </c>
      <c r="L148" s="1223">
        <f t="shared" si="87"/>
        <v>23000</v>
      </c>
      <c r="M148" s="1223">
        <f t="shared" si="87"/>
        <v>23000</v>
      </c>
      <c r="N148" s="1204">
        <f t="shared" si="87"/>
        <v>23000</v>
      </c>
      <c r="O148" s="1235">
        <f t="shared" si="84"/>
        <v>276000</v>
      </c>
      <c r="Q148" s="12"/>
    </row>
    <row r="149" spans="1:17" s="119" customFormat="1" ht="18" customHeight="1" x14ac:dyDescent="0.25">
      <c r="A149" s="170" t="s">
        <v>3656</v>
      </c>
      <c r="B149" s="152" t="s">
        <v>208</v>
      </c>
      <c r="C149" s="1223">
        <v>33000</v>
      </c>
      <c r="D149" s="1223">
        <f t="shared" si="85"/>
        <v>33000</v>
      </c>
      <c r="E149" s="1223">
        <f t="shared" si="85"/>
        <v>33000</v>
      </c>
      <c r="F149" s="1223">
        <f t="shared" si="85"/>
        <v>33000</v>
      </c>
      <c r="G149" s="1223">
        <f t="shared" si="88"/>
        <v>33000</v>
      </c>
      <c r="H149" s="1223">
        <f t="shared" si="86"/>
        <v>33000</v>
      </c>
      <c r="I149" s="1223">
        <f t="shared" si="86"/>
        <v>33000</v>
      </c>
      <c r="J149" s="1223">
        <f t="shared" si="86"/>
        <v>33000</v>
      </c>
      <c r="K149" s="1223">
        <f t="shared" si="89"/>
        <v>33000</v>
      </c>
      <c r="L149" s="1223">
        <f t="shared" si="87"/>
        <v>33000</v>
      </c>
      <c r="M149" s="1223">
        <f t="shared" si="87"/>
        <v>33000</v>
      </c>
      <c r="N149" s="1204">
        <f t="shared" si="87"/>
        <v>33000</v>
      </c>
      <c r="O149" s="1235">
        <f t="shared" si="84"/>
        <v>396000</v>
      </c>
      <c r="Q149" s="12"/>
    </row>
    <row r="150" spans="1:17" s="119" customFormat="1" ht="18" customHeight="1" thickBot="1" x14ac:dyDescent="0.3">
      <c r="A150" s="178">
        <v>51090</v>
      </c>
      <c r="B150" s="180" t="s">
        <v>210</v>
      </c>
      <c r="C150" s="1225">
        <v>18000</v>
      </c>
      <c r="D150" s="1225">
        <f t="shared" si="85"/>
        <v>18000</v>
      </c>
      <c r="E150" s="1225">
        <f t="shared" si="85"/>
        <v>18000</v>
      </c>
      <c r="F150" s="1225">
        <f t="shared" si="85"/>
        <v>18000</v>
      </c>
      <c r="G150" s="1225">
        <f t="shared" si="88"/>
        <v>18000</v>
      </c>
      <c r="H150" s="1225">
        <f t="shared" si="86"/>
        <v>18000</v>
      </c>
      <c r="I150" s="1225">
        <f t="shared" si="86"/>
        <v>18000</v>
      </c>
      <c r="J150" s="1225">
        <f t="shared" si="86"/>
        <v>18000</v>
      </c>
      <c r="K150" s="1225">
        <f t="shared" si="89"/>
        <v>18000</v>
      </c>
      <c r="L150" s="1225">
        <f t="shared" si="87"/>
        <v>18000</v>
      </c>
      <c r="M150" s="1225">
        <f t="shared" si="87"/>
        <v>18000</v>
      </c>
      <c r="N150" s="1194">
        <f t="shared" si="87"/>
        <v>18000</v>
      </c>
      <c r="O150" s="1239">
        <f t="shared" si="84"/>
        <v>216000</v>
      </c>
      <c r="P150" s="401"/>
      <c r="Q150" s="12"/>
    </row>
    <row r="151" spans="1:17" s="119" customFormat="1" ht="18" customHeight="1" thickBot="1" x14ac:dyDescent="0.3">
      <c r="A151" s="161"/>
      <c r="C151" s="334"/>
      <c r="O151" s="805"/>
      <c r="P151" s="1172"/>
      <c r="Q151" s="1172"/>
    </row>
    <row r="152" spans="1:17" s="551" customFormat="1" ht="18" customHeight="1" thickBot="1" x14ac:dyDescent="0.3">
      <c r="A152" s="557"/>
      <c r="B152" s="559" t="s">
        <v>3775</v>
      </c>
      <c r="C152" s="1168">
        <f>SUM(C153:C180)</f>
        <v>1246650</v>
      </c>
      <c r="D152" s="564">
        <f>SUM(D153:D180)</f>
        <v>1247950</v>
      </c>
      <c r="E152" s="564">
        <f t="shared" ref="E152:N152" si="90">SUM(E153:E180)</f>
        <v>1398650</v>
      </c>
      <c r="F152" s="564">
        <f t="shared" si="90"/>
        <v>1398650</v>
      </c>
      <c r="G152" s="564">
        <f t="shared" si="90"/>
        <v>1404110</v>
      </c>
      <c r="H152" s="564">
        <f t="shared" si="90"/>
        <v>1407150</v>
      </c>
      <c r="I152" s="564">
        <f t="shared" si="90"/>
        <v>1407150</v>
      </c>
      <c r="J152" s="564">
        <f t="shared" si="90"/>
        <v>1409150</v>
      </c>
      <c r="K152" s="564">
        <f t="shared" si="90"/>
        <v>1409150</v>
      </c>
      <c r="L152" s="564">
        <f t="shared" si="90"/>
        <v>1409150</v>
      </c>
      <c r="M152" s="564">
        <f t="shared" si="90"/>
        <v>1409150</v>
      </c>
      <c r="N152" s="564">
        <f t="shared" si="90"/>
        <v>1409150</v>
      </c>
      <c r="O152" s="1074">
        <f t="shared" ref="O152:O180" si="91">C152+D152+E152+F152+G152+H152+I152+J152+K152+L152+M152+N152</f>
        <v>16556060</v>
      </c>
      <c r="P152" s="195"/>
      <c r="Q152" s="1176"/>
    </row>
    <row r="153" spans="1:17" s="119" customFormat="1" ht="18" customHeight="1" x14ac:dyDescent="0.25">
      <c r="A153" s="170">
        <v>33248</v>
      </c>
      <c r="B153" s="189" t="s">
        <v>221</v>
      </c>
      <c r="C153" s="1192">
        <v>-65000</v>
      </c>
      <c r="D153" s="1192">
        <f t="shared" ref="D153:N153" si="92">C153</f>
        <v>-65000</v>
      </c>
      <c r="E153" s="1192">
        <f t="shared" si="92"/>
        <v>-65000</v>
      </c>
      <c r="F153" s="1192">
        <f t="shared" si="92"/>
        <v>-65000</v>
      </c>
      <c r="G153" s="1192">
        <f t="shared" si="92"/>
        <v>-65000</v>
      </c>
      <c r="H153" s="1192">
        <f t="shared" si="92"/>
        <v>-65000</v>
      </c>
      <c r="I153" s="1192">
        <f t="shared" si="92"/>
        <v>-65000</v>
      </c>
      <c r="J153" s="1192">
        <f t="shared" si="92"/>
        <v>-65000</v>
      </c>
      <c r="K153" s="1192">
        <f t="shared" si="92"/>
        <v>-65000</v>
      </c>
      <c r="L153" s="1192">
        <f t="shared" si="92"/>
        <v>-65000</v>
      </c>
      <c r="M153" s="1192">
        <f t="shared" si="92"/>
        <v>-65000</v>
      </c>
      <c r="N153" s="1192">
        <f t="shared" si="92"/>
        <v>-65000</v>
      </c>
      <c r="O153" s="1235">
        <f t="shared" si="91"/>
        <v>-780000</v>
      </c>
      <c r="P153" s="805"/>
      <c r="Q153" s="1178"/>
    </row>
    <row r="154" spans="1:17" s="119" customFormat="1" ht="18" customHeight="1" x14ac:dyDescent="0.25">
      <c r="A154" s="170">
        <v>11563</v>
      </c>
      <c r="B154" s="124" t="s">
        <v>3679</v>
      </c>
      <c r="C154" s="1193">
        <v>125000</v>
      </c>
      <c r="D154" s="1190">
        <v>126300</v>
      </c>
      <c r="E154" s="1190">
        <v>127000</v>
      </c>
      <c r="F154" s="1190">
        <v>127000</v>
      </c>
      <c r="G154" s="1190">
        <v>132200</v>
      </c>
      <c r="H154" s="1190">
        <v>135500</v>
      </c>
      <c r="I154" s="1190">
        <v>135500</v>
      </c>
      <c r="J154" s="1190">
        <v>137500</v>
      </c>
      <c r="K154" s="1190">
        <v>137500</v>
      </c>
      <c r="L154" s="1190">
        <v>137500</v>
      </c>
      <c r="M154" s="1190">
        <v>137500</v>
      </c>
      <c r="N154" s="1190">
        <v>137500</v>
      </c>
      <c r="O154" s="1236">
        <f t="shared" si="91"/>
        <v>1596000</v>
      </c>
      <c r="P154" s="805"/>
      <c r="Q154" s="1178"/>
    </row>
    <row r="155" spans="1:17" s="119" customFormat="1" ht="18" customHeight="1" x14ac:dyDescent="0.25">
      <c r="A155" s="170">
        <v>11761</v>
      </c>
      <c r="B155" s="124" t="s">
        <v>99</v>
      </c>
      <c r="C155" s="1193">
        <v>8000</v>
      </c>
      <c r="D155" s="1190">
        <f t="shared" ref="D155:N155" si="93">C155</f>
        <v>8000</v>
      </c>
      <c r="E155" s="1190">
        <f t="shared" si="93"/>
        <v>8000</v>
      </c>
      <c r="F155" s="1190">
        <f t="shared" si="93"/>
        <v>8000</v>
      </c>
      <c r="G155" s="1190">
        <f t="shared" si="93"/>
        <v>8000</v>
      </c>
      <c r="H155" s="1190">
        <f t="shared" si="93"/>
        <v>8000</v>
      </c>
      <c r="I155" s="1190">
        <f t="shared" si="93"/>
        <v>8000</v>
      </c>
      <c r="J155" s="1190">
        <f t="shared" si="93"/>
        <v>8000</v>
      </c>
      <c r="K155" s="1190">
        <f t="shared" si="93"/>
        <v>8000</v>
      </c>
      <c r="L155" s="1190">
        <f t="shared" si="93"/>
        <v>8000</v>
      </c>
      <c r="M155" s="1190">
        <f t="shared" si="93"/>
        <v>8000</v>
      </c>
      <c r="N155" s="1190">
        <f t="shared" si="93"/>
        <v>8000</v>
      </c>
      <c r="O155" s="1236">
        <f t="shared" si="91"/>
        <v>96000</v>
      </c>
      <c r="P155" s="805"/>
      <c r="Q155" s="1178"/>
    </row>
    <row r="156" spans="1:17" s="119" customFormat="1" ht="18" customHeight="1" x14ac:dyDescent="0.25">
      <c r="A156" s="170" t="s">
        <v>138</v>
      </c>
      <c r="B156" s="124" t="s">
        <v>214</v>
      </c>
      <c r="C156" s="1193">
        <v>2000</v>
      </c>
      <c r="D156" s="1190">
        <f t="shared" ref="D156:N156" si="94">C156</f>
        <v>2000</v>
      </c>
      <c r="E156" s="1190">
        <f t="shared" si="94"/>
        <v>2000</v>
      </c>
      <c r="F156" s="1190">
        <f t="shared" si="94"/>
        <v>2000</v>
      </c>
      <c r="G156" s="1190">
        <f t="shared" si="94"/>
        <v>2000</v>
      </c>
      <c r="H156" s="1190">
        <f t="shared" si="94"/>
        <v>2000</v>
      </c>
      <c r="I156" s="1190">
        <f t="shared" si="94"/>
        <v>2000</v>
      </c>
      <c r="J156" s="1190">
        <f t="shared" si="94"/>
        <v>2000</v>
      </c>
      <c r="K156" s="1190">
        <f t="shared" si="94"/>
        <v>2000</v>
      </c>
      <c r="L156" s="1190">
        <f t="shared" si="94"/>
        <v>2000</v>
      </c>
      <c r="M156" s="1190">
        <f t="shared" si="94"/>
        <v>2000</v>
      </c>
      <c r="N156" s="1190">
        <f t="shared" si="94"/>
        <v>2000</v>
      </c>
      <c r="O156" s="1236">
        <f t="shared" si="91"/>
        <v>24000</v>
      </c>
      <c r="P156" s="805"/>
      <c r="Q156" s="1178"/>
    </row>
    <row r="157" spans="1:17" s="119" customFormat="1" ht="18" customHeight="1" x14ac:dyDescent="0.25">
      <c r="A157" s="170">
        <v>51091</v>
      </c>
      <c r="B157" s="124" t="s">
        <v>3771</v>
      </c>
      <c r="C157" s="1193">
        <v>500</v>
      </c>
      <c r="D157" s="1190">
        <f t="shared" ref="D157:N157" si="95">C157</f>
        <v>500</v>
      </c>
      <c r="E157" s="1190">
        <f t="shared" si="95"/>
        <v>500</v>
      </c>
      <c r="F157" s="1190">
        <f t="shared" si="95"/>
        <v>500</v>
      </c>
      <c r="G157" s="1190">
        <f t="shared" si="95"/>
        <v>500</v>
      </c>
      <c r="H157" s="1190">
        <f t="shared" si="95"/>
        <v>500</v>
      </c>
      <c r="I157" s="1190">
        <f t="shared" si="95"/>
        <v>500</v>
      </c>
      <c r="J157" s="1190">
        <f t="shared" si="95"/>
        <v>500</v>
      </c>
      <c r="K157" s="1190">
        <f t="shared" si="95"/>
        <v>500</v>
      </c>
      <c r="L157" s="1190">
        <f t="shared" si="95"/>
        <v>500</v>
      </c>
      <c r="M157" s="1190">
        <f t="shared" si="95"/>
        <v>500</v>
      </c>
      <c r="N157" s="1190">
        <f t="shared" si="95"/>
        <v>500</v>
      </c>
      <c r="O157" s="1236">
        <f t="shared" si="91"/>
        <v>6000</v>
      </c>
      <c r="P157" s="805"/>
      <c r="Q157" s="1178"/>
    </row>
    <row r="158" spans="1:17" s="119" customFormat="1" ht="18" customHeight="1" x14ac:dyDescent="0.25">
      <c r="A158" s="170" t="s">
        <v>96</v>
      </c>
      <c r="B158" s="124" t="s">
        <v>97</v>
      </c>
      <c r="C158" s="1190">
        <v>215000</v>
      </c>
      <c r="D158" s="1190">
        <f t="shared" ref="D158:N158" si="96">C158</f>
        <v>215000</v>
      </c>
      <c r="E158" s="1190">
        <f t="shared" si="96"/>
        <v>215000</v>
      </c>
      <c r="F158" s="1190">
        <f t="shared" si="96"/>
        <v>215000</v>
      </c>
      <c r="G158" s="1190">
        <f t="shared" si="96"/>
        <v>215000</v>
      </c>
      <c r="H158" s="1190">
        <f t="shared" si="96"/>
        <v>215000</v>
      </c>
      <c r="I158" s="1190">
        <f t="shared" si="96"/>
        <v>215000</v>
      </c>
      <c r="J158" s="1190">
        <f t="shared" si="96"/>
        <v>215000</v>
      </c>
      <c r="K158" s="1190">
        <f t="shared" si="96"/>
        <v>215000</v>
      </c>
      <c r="L158" s="1190">
        <f t="shared" si="96"/>
        <v>215000</v>
      </c>
      <c r="M158" s="1190">
        <f t="shared" si="96"/>
        <v>215000</v>
      </c>
      <c r="N158" s="1190">
        <f t="shared" si="96"/>
        <v>215000</v>
      </c>
      <c r="O158" s="1236">
        <f t="shared" si="91"/>
        <v>2580000</v>
      </c>
      <c r="P158" s="805"/>
      <c r="Q158" s="1178"/>
    </row>
    <row r="159" spans="1:17" s="119" customFormat="1" ht="18" customHeight="1" x14ac:dyDescent="0.25">
      <c r="A159" s="170">
        <v>33736</v>
      </c>
      <c r="B159" s="124" t="s">
        <v>98</v>
      </c>
      <c r="C159" s="1193">
        <v>34000</v>
      </c>
      <c r="D159" s="1190">
        <f t="shared" ref="D159:N159" si="97">C159</f>
        <v>34000</v>
      </c>
      <c r="E159" s="1190">
        <f t="shared" si="97"/>
        <v>34000</v>
      </c>
      <c r="F159" s="1190">
        <f t="shared" si="97"/>
        <v>34000</v>
      </c>
      <c r="G159" s="1190">
        <f t="shared" si="97"/>
        <v>34000</v>
      </c>
      <c r="H159" s="1190">
        <f t="shared" si="97"/>
        <v>34000</v>
      </c>
      <c r="I159" s="1190">
        <f t="shared" si="97"/>
        <v>34000</v>
      </c>
      <c r="J159" s="1190">
        <f t="shared" si="97"/>
        <v>34000</v>
      </c>
      <c r="K159" s="1190">
        <f t="shared" si="97"/>
        <v>34000</v>
      </c>
      <c r="L159" s="1190">
        <f t="shared" si="97"/>
        <v>34000</v>
      </c>
      <c r="M159" s="1190">
        <f t="shared" si="97"/>
        <v>34000</v>
      </c>
      <c r="N159" s="1190">
        <f t="shared" si="97"/>
        <v>34000</v>
      </c>
      <c r="O159" s="1236">
        <f t="shared" si="91"/>
        <v>408000</v>
      </c>
      <c r="P159" s="805"/>
      <c r="Q159" s="1178"/>
    </row>
    <row r="160" spans="1:17" s="119" customFormat="1" ht="18" customHeight="1" x14ac:dyDescent="0.25">
      <c r="A160" s="170">
        <v>11972</v>
      </c>
      <c r="B160" s="124" t="s">
        <v>328</v>
      </c>
      <c r="C160" s="1193">
        <v>10000</v>
      </c>
      <c r="D160" s="1190">
        <f t="shared" ref="D160:N160" si="98">C160</f>
        <v>10000</v>
      </c>
      <c r="E160" s="1190">
        <f t="shared" si="98"/>
        <v>10000</v>
      </c>
      <c r="F160" s="1190">
        <f t="shared" si="98"/>
        <v>10000</v>
      </c>
      <c r="G160" s="1190">
        <f t="shared" si="98"/>
        <v>10000</v>
      </c>
      <c r="H160" s="1190">
        <f t="shared" si="98"/>
        <v>10000</v>
      </c>
      <c r="I160" s="1190">
        <f t="shared" si="98"/>
        <v>10000</v>
      </c>
      <c r="J160" s="1190">
        <f t="shared" si="98"/>
        <v>10000</v>
      </c>
      <c r="K160" s="1190">
        <f t="shared" si="98"/>
        <v>10000</v>
      </c>
      <c r="L160" s="1190">
        <f t="shared" si="98"/>
        <v>10000</v>
      </c>
      <c r="M160" s="1190">
        <f t="shared" si="98"/>
        <v>10000</v>
      </c>
      <c r="N160" s="1190">
        <f t="shared" si="98"/>
        <v>10000</v>
      </c>
      <c r="O160" s="1236">
        <f t="shared" si="91"/>
        <v>120000</v>
      </c>
      <c r="P160" s="805"/>
      <c r="Q160" s="1178"/>
    </row>
    <row r="161" spans="1:20" s="119" customFormat="1" ht="18" customHeight="1" x14ac:dyDescent="0.25">
      <c r="A161" s="170">
        <v>11611</v>
      </c>
      <c r="B161" s="124" t="s">
        <v>329</v>
      </c>
      <c r="C161" s="1193">
        <v>150</v>
      </c>
      <c r="D161" s="1193">
        <f t="shared" ref="D161:N161" si="99">C161</f>
        <v>150</v>
      </c>
      <c r="E161" s="1193">
        <f t="shared" si="99"/>
        <v>150</v>
      </c>
      <c r="F161" s="1193">
        <f t="shared" si="99"/>
        <v>150</v>
      </c>
      <c r="G161" s="1193">
        <f t="shared" si="99"/>
        <v>150</v>
      </c>
      <c r="H161" s="1193">
        <f t="shared" si="99"/>
        <v>150</v>
      </c>
      <c r="I161" s="1193">
        <f t="shared" si="99"/>
        <v>150</v>
      </c>
      <c r="J161" s="1193">
        <f t="shared" si="99"/>
        <v>150</v>
      </c>
      <c r="K161" s="1193">
        <f t="shared" si="99"/>
        <v>150</v>
      </c>
      <c r="L161" s="1193">
        <f t="shared" si="99"/>
        <v>150</v>
      </c>
      <c r="M161" s="1193">
        <f t="shared" si="99"/>
        <v>150</v>
      </c>
      <c r="N161" s="1193">
        <f t="shared" si="99"/>
        <v>150</v>
      </c>
      <c r="O161" s="1236">
        <f t="shared" si="91"/>
        <v>1800</v>
      </c>
      <c r="P161" s="805"/>
      <c r="Q161" s="1178"/>
    </row>
    <row r="162" spans="1:20" s="119" customFormat="1" ht="18" customHeight="1" x14ac:dyDescent="0.25">
      <c r="A162" s="170">
        <v>11704</v>
      </c>
      <c r="B162" s="124" t="s">
        <v>109</v>
      </c>
      <c r="C162" s="1193">
        <v>8000</v>
      </c>
      <c r="D162" s="1190">
        <f t="shared" ref="D162:N162" si="100">C162</f>
        <v>8000</v>
      </c>
      <c r="E162" s="1190">
        <f t="shared" si="100"/>
        <v>8000</v>
      </c>
      <c r="F162" s="1190">
        <f t="shared" si="100"/>
        <v>8000</v>
      </c>
      <c r="G162" s="1190">
        <f t="shared" si="100"/>
        <v>8000</v>
      </c>
      <c r="H162" s="1190">
        <f t="shared" si="100"/>
        <v>8000</v>
      </c>
      <c r="I162" s="1190">
        <f t="shared" si="100"/>
        <v>8000</v>
      </c>
      <c r="J162" s="1190">
        <f t="shared" si="100"/>
        <v>8000</v>
      </c>
      <c r="K162" s="1190">
        <f t="shared" si="100"/>
        <v>8000</v>
      </c>
      <c r="L162" s="1190">
        <f t="shared" si="100"/>
        <v>8000</v>
      </c>
      <c r="M162" s="1190">
        <f t="shared" si="100"/>
        <v>8000</v>
      </c>
      <c r="N162" s="1190">
        <f t="shared" si="100"/>
        <v>8000</v>
      </c>
      <c r="O162" s="1236">
        <f t="shared" si="91"/>
        <v>96000</v>
      </c>
      <c r="P162" s="805"/>
      <c r="Q162" s="1178"/>
    </row>
    <row r="163" spans="1:20" s="119" customFormat="1" ht="18" customHeight="1" x14ac:dyDescent="0.25">
      <c r="A163" s="170" t="s">
        <v>3629</v>
      </c>
      <c r="B163" s="124" t="s">
        <v>3772</v>
      </c>
      <c r="C163" s="1193">
        <v>15000</v>
      </c>
      <c r="D163" s="1190">
        <f t="shared" ref="D163:N163" si="101">C163</f>
        <v>15000</v>
      </c>
      <c r="E163" s="1190">
        <f t="shared" si="101"/>
        <v>15000</v>
      </c>
      <c r="F163" s="1190">
        <f t="shared" si="101"/>
        <v>15000</v>
      </c>
      <c r="G163" s="1190">
        <f t="shared" si="101"/>
        <v>15000</v>
      </c>
      <c r="H163" s="1190">
        <f t="shared" si="101"/>
        <v>15000</v>
      </c>
      <c r="I163" s="1190">
        <f t="shared" si="101"/>
        <v>15000</v>
      </c>
      <c r="J163" s="1190">
        <f t="shared" si="101"/>
        <v>15000</v>
      </c>
      <c r="K163" s="1190">
        <f t="shared" si="101"/>
        <v>15000</v>
      </c>
      <c r="L163" s="1190">
        <f t="shared" si="101"/>
        <v>15000</v>
      </c>
      <c r="M163" s="1190">
        <f t="shared" si="101"/>
        <v>15000</v>
      </c>
      <c r="N163" s="1190">
        <f t="shared" si="101"/>
        <v>15000</v>
      </c>
      <c r="O163" s="1236">
        <f t="shared" si="91"/>
        <v>180000</v>
      </c>
      <c r="P163" s="805"/>
      <c r="Q163" s="1178"/>
    </row>
    <row r="164" spans="1:20" s="119" customFormat="1" ht="18" customHeight="1" x14ac:dyDescent="0.25">
      <c r="A164" s="170">
        <v>11534</v>
      </c>
      <c r="B164" s="124" t="s">
        <v>115</v>
      </c>
      <c r="C164" s="1193">
        <v>2600</v>
      </c>
      <c r="D164" s="1193">
        <f t="shared" ref="D164:N164" si="102">C164</f>
        <v>2600</v>
      </c>
      <c r="E164" s="1193">
        <f t="shared" si="102"/>
        <v>2600</v>
      </c>
      <c r="F164" s="1193">
        <f t="shared" si="102"/>
        <v>2600</v>
      </c>
      <c r="G164" s="1193">
        <f t="shared" si="102"/>
        <v>2600</v>
      </c>
      <c r="H164" s="1193">
        <f t="shared" si="102"/>
        <v>2600</v>
      </c>
      <c r="I164" s="1193">
        <f t="shared" si="102"/>
        <v>2600</v>
      </c>
      <c r="J164" s="1193">
        <f t="shared" si="102"/>
        <v>2600</v>
      </c>
      <c r="K164" s="1193">
        <f t="shared" si="102"/>
        <v>2600</v>
      </c>
      <c r="L164" s="1193">
        <f t="shared" si="102"/>
        <v>2600</v>
      </c>
      <c r="M164" s="1193">
        <f t="shared" si="102"/>
        <v>2600</v>
      </c>
      <c r="N164" s="1193">
        <f t="shared" si="102"/>
        <v>2600</v>
      </c>
      <c r="O164" s="1236">
        <f t="shared" si="91"/>
        <v>31200</v>
      </c>
      <c r="P164" s="805"/>
      <c r="Q164" s="1178"/>
    </row>
    <row r="165" spans="1:20" s="552" customFormat="1" ht="18" customHeight="1" x14ac:dyDescent="0.25">
      <c r="A165" s="170">
        <v>11510</v>
      </c>
      <c r="B165" s="124" t="s">
        <v>105</v>
      </c>
      <c r="C165" s="1193">
        <v>12000</v>
      </c>
      <c r="D165" s="1190">
        <f t="shared" ref="D165:N165" si="103">C165</f>
        <v>12000</v>
      </c>
      <c r="E165" s="1190">
        <f t="shared" si="103"/>
        <v>12000</v>
      </c>
      <c r="F165" s="1190">
        <f t="shared" si="103"/>
        <v>12000</v>
      </c>
      <c r="G165" s="1190">
        <f t="shared" si="103"/>
        <v>12000</v>
      </c>
      <c r="H165" s="1190">
        <f t="shared" si="103"/>
        <v>12000</v>
      </c>
      <c r="I165" s="1190">
        <f t="shared" si="103"/>
        <v>12000</v>
      </c>
      <c r="J165" s="1190">
        <f t="shared" si="103"/>
        <v>12000</v>
      </c>
      <c r="K165" s="1190">
        <f t="shared" si="103"/>
        <v>12000</v>
      </c>
      <c r="L165" s="1190">
        <f t="shared" si="103"/>
        <v>12000</v>
      </c>
      <c r="M165" s="1190">
        <f t="shared" si="103"/>
        <v>12000</v>
      </c>
      <c r="N165" s="1190">
        <f t="shared" si="103"/>
        <v>12000</v>
      </c>
      <c r="O165" s="1236">
        <f t="shared" si="91"/>
        <v>144000</v>
      </c>
      <c r="P165" s="805"/>
      <c r="Q165" s="1178"/>
      <c r="R165" s="119"/>
      <c r="S165" s="119"/>
      <c r="T165" s="119"/>
    </row>
    <row r="166" spans="1:20" s="119" customFormat="1" ht="18" customHeight="1" x14ac:dyDescent="0.25">
      <c r="A166" s="170">
        <v>11516</v>
      </c>
      <c r="B166" s="124" t="s">
        <v>3762</v>
      </c>
      <c r="C166" s="1193">
        <v>1500</v>
      </c>
      <c r="D166" s="1190">
        <f t="shared" ref="D166:N166" si="104">C166</f>
        <v>1500</v>
      </c>
      <c r="E166" s="1190">
        <f t="shared" si="104"/>
        <v>1500</v>
      </c>
      <c r="F166" s="1190">
        <f t="shared" si="104"/>
        <v>1500</v>
      </c>
      <c r="G166" s="1190">
        <f t="shared" si="104"/>
        <v>1500</v>
      </c>
      <c r="H166" s="1190">
        <f t="shared" si="104"/>
        <v>1500</v>
      </c>
      <c r="I166" s="1190">
        <f t="shared" si="104"/>
        <v>1500</v>
      </c>
      <c r="J166" s="1190">
        <f t="shared" si="104"/>
        <v>1500</v>
      </c>
      <c r="K166" s="1190">
        <f t="shared" si="104"/>
        <v>1500</v>
      </c>
      <c r="L166" s="1190">
        <f t="shared" si="104"/>
        <v>1500</v>
      </c>
      <c r="M166" s="1190">
        <f t="shared" si="104"/>
        <v>1500</v>
      </c>
      <c r="N166" s="1190">
        <f t="shared" si="104"/>
        <v>1500</v>
      </c>
      <c r="O166" s="1236">
        <f t="shared" si="91"/>
        <v>18000</v>
      </c>
      <c r="P166" s="805"/>
      <c r="Q166" s="1178"/>
    </row>
    <row r="167" spans="1:20" s="119" customFormat="1" ht="18" customHeight="1" x14ac:dyDescent="0.25">
      <c r="A167" s="170">
        <v>11522</v>
      </c>
      <c r="B167" s="124" t="s">
        <v>111</v>
      </c>
      <c r="C167" s="1193">
        <v>95000</v>
      </c>
      <c r="D167" s="1190">
        <f t="shared" ref="D167:N167" si="105">C167</f>
        <v>95000</v>
      </c>
      <c r="E167" s="1190">
        <f t="shared" si="105"/>
        <v>95000</v>
      </c>
      <c r="F167" s="1190">
        <f t="shared" si="105"/>
        <v>95000</v>
      </c>
      <c r="G167" s="1190">
        <f t="shared" si="105"/>
        <v>95000</v>
      </c>
      <c r="H167" s="1190">
        <f t="shared" si="105"/>
        <v>95000</v>
      </c>
      <c r="I167" s="1190">
        <f t="shared" si="105"/>
        <v>95000</v>
      </c>
      <c r="J167" s="1190">
        <f t="shared" si="105"/>
        <v>95000</v>
      </c>
      <c r="K167" s="1190">
        <f t="shared" si="105"/>
        <v>95000</v>
      </c>
      <c r="L167" s="1190">
        <f t="shared" si="105"/>
        <v>95000</v>
      </c>
      <c r="M167" s="1190">
        <f t="shared" si="105"/>
        <v>95000</v>
      </c>
      <c r="N167" s="1190">
        <f t="shared" si="105"/>
        <v>95000</v>
      </c>
      <c r="O167" s="1236">
        <f t="shared" si="91"/>
        <v>1140000</v>
      </c>
      <c r="P167" s="805"/>
      <c r="Q167" s="1178"/>
    </row>
    <row r="168" spans="1:20" s="119" customFormat="1" ht="18" customHeight="1" x14ac:dyDescent="0.25">
      <c r="A168" s="170">
        <v>11527</v>
      </c>
      <c r="B168" s="124" t="s">
        <v>112</v>
      </c>
      <c r="C168" s="1193">
        <v>2500</v>
      </c>
      <c r="D168" s="1193">
        <f t="shared" ref="D168:N168" si="106">C168</f>
        <v>2500</v>
      </c>
      <c r="E168" s="1193">
        <f t="shared" si="106"/>
        <v>2500</v>
      </c>
      <c r="F168" s="1193">
        <f t="shared" si="106"/>
        <v>2500</v>
      </c>
      <c r="G168" s="1193">
        <f t="shared" si="106"/>
        <v>2500</v>
      </c>
      <c r="H168" s="1193">
        <f t="shared" si="106"/>
        <v>2500</v>
      </c>
      <c r="I168" s="1193">
        <f t="shared" si="106"/>
        <v>2500</v>
      </c>
      <c r="J168" s="1193">
        <f t="shared" si="106"/>
        <v>2500</v>
      </c>
      <c r="K168" s="1193">
        <f t="shared" si="106"/>
        <v>2500</v>
      </c>
      <c r="L168" s="1193">
        <f t="shared" si="106"/>
        <v>2500</v>
      </c>
      <c r="M168" s="1193">
        <f t="shared" si="106"/>
        <v>2500</v>
      </c>
      <c r="N168" s="1193">
        <f t="shared" si="106"/>
        <v>2500</v>
      </c>
      <c r="O168" s="1236">
        <f t="shared" si="91"/>
        <v>30000</v>
      </c>
      <c r="P168" s="805"/>
      <c r="Q168" s="1178"/>
    </row>
    <row r="169" spans="1:20" s="119" customFormat="1" ht="18" customHeight="1" x14ac:dyDescent="0.25">
      <c r="A169" s="170">
        <v>11820</v>
      </c>
      <c r="B169" s="124" t="s">
        <v>330</v>
      </c>
      <c r="C169" s="1193">
        <v>1000</v>
      </c>
      <c r="D169" s="1193">
        <f t="shared" ref="D169:N169" si="107">C169</f>
        <v>1000</v>
      </c>
      <c r="E169" s="1193">
        <f t="shared" si="107"/>
        <v>1000</v>
      </c>
      <c r="F169" s="1193">
        <f t="shared" si="107"/>
        <v>1000</v>
      </c>
      <c r="G169" s="1193">
        <f t="shared" si="107"/>
        <v>1000</v>
      </c>
      <c r="H169" s="1193">
        <f t="shared" si="107"/>
        <v>1000</v>
      </c>
      <c r="I169" s="1193">
        <f t="shared" si="107"/>
        <v>1000</v>
      </c>
      <c r="J169" s="1193">
        <f t="shared" si="107"/>
        <v>1000</v>
      </c>
      <c r="K169" s="1193">
        <f t="shared" si="107"/>
        <v>1000</v>
      </c>
      <c r="L169" s="1193">
        <f t="shared" si="107"/>
        <v>1000</v>
      </c>
      <c r="M169" s="1193">
        <f t="shared" si="107"/>
        <v>1000</v>
      </c>
      <c r="N169" s="1193">
        <f t="shared" si="107"/>
        <v>1000</v>
      </c>
      <c r="O169" s="1236">
        <f t="shared" si="91"/>
        <v>12000</v>
      </c>
      <c r="P169" s="805"/>
      <c r="Q169" s="1178"/>
    </row>
    <row r="170" spans="1:20" s="119" customFormat="1" ht="18" customHeight="1" x14ac:dyDescent="0.25">
      <c r="A170" s="170" t="s">
        <v>3637</v>
      </c>
      <c r="B170" s="124" t="s">
        <v>3770</v>
      </c>
      <c r="C170" s="1193">
        <v>520000</v>
      </c>
      <c r="D170" s="1190">
        <f t="shared" ref="D170:D180" si="108">C170</f>
        <v>520000</v>
      </c>
      <c r="E170" s="1190">
        <f>D170+150000</f>
        <v>670000</v>
      </c>
      <c r="F170" s="1190">
        <f t="shared" ref="F170:N170" si="109">E170</f>
        <v>670000</v>
      </c>
      <c r="G170" s="1190">
        <f t="shared" si="109"/>
        <v>670000</v>
      </c>
      <c r="H170" s="1190">
        <f t="shared" si="109"/>
        <v>670000</v>
      </c>
      <c r="I170" s="1190">
        <f t="shared" si="109"/>
        <v>670000</v>
      </c>
      <c r="J170" s="1190">
        <f t="shared" si="109"/>
        <v>670000</v>
      </c>
      <c r="K170" s="1190">
        <f t="shared" si="109"/>
        <v>670000</v>
      </c>
      <c r="L170" s="1190">
        <f t="shared" si="109"/>
        <v>670000</v>
      </c>
      <c r="M170" s="1190">
        <f t="shared" si="109"/>
        <v>670000</v>
      </c>
      <c r="N170" s="1190">
        <f t="shared" si="109"/>
        <v>670000</v>
      </c>
      <c r="O170" s="1236">
        <f t="shared" si="91"/>
        <v>7740000</v>
      </c>
      <c r="P170" s="805"/>
      <c r="Q170" s="1178"/>
    </row>
    <row r="171" spans="1:20" s="119" customFormat="1" ht="18" customHeight="1" x14ac:dyDescent="0.25">
      <c r="A171" s="170">
        <v>11983</v>
      </c>
      <c r="B171" s="124" t="s">
        <v>218</v>
      </c>
      <c r="C171" s="1193">
        <v>2000</v>
      </c>
      <c r="D171" s="1190">
        <f t="shared" si="108"/>
        <v>2000</v>
      </c>
      <c r="E171" s="1190">
        <f t="shared" ref="E171:E180" si="110">D171</f>
        <v>2000</v>
      </c>
      <c r="F171" s="1190">
        <f t="shared" ref="F171:N171" si="111">E171</f>
        <v>2000</v>
      </c>
      <c r="G171" s="1190">
        <f t="shared" si="111"/>
        <v>2000</v>
      </c>
      <c r="H171" s="1190">
        <f t="shared" si="111"/>
        <v>2000</v>
      </c>
      <c r="I171" s="1190">
        <f t="shared" si="111"/>
        <v>2000</v>
      </c>
      <c r="J171" s="1190">
        <f t="shared" si="111"/>
        <v>2000</v>
      </c>
      <c r="K171" s="1190">
        <f t="shared" si="111"/>
        <v>2000</v>
      </c>
      <c r="L171" s="1190">
        <f t="shared" si="111"/>
        <v>2000</v>
      </c>
      <c r="M171" s="1190">
        <f t="shared" si="111"/>
        <v>2000</v>
      </c>
      <c r="N171" s="1190">
        <f t="shared" si="111"/>
        <v>2000</v>
      </c>
      <c r="O171" s="1236">
        <f t="shared" si="91"/>
        <v>24000</v>
      </c>
      <c r="P171" s="805"/>
      <c r="Q171" s="1178"/>
    </row>
    <row r="172" spans="1:20" s="119" customFormat="1" ht="18" customHeight="1" x14ac:dyDescent="0.25">
      <c r="A172" s="170">
        <v>11669</v>
      </c>
      <c r="B172" s="124" t="s">
        <v>334</v>
      </c>
      <c r="C172" s="1193">
        <v>2200</v>
      </c>
      <c r="D172" s="1190">
        <f t="shared" si="108"/>
        <v>2200</v>
      </c>
      <c r="E172" s="1190">
        <f t="shared" si="110"/>
        <v>2200</v>
      </c>
      <c r="F172" s="1190">
        <f t="shared" ref="F172:N172" si="112">E172</f>
        <v>2200</v>
      </c>
      <c r="G172" s="1190">
        <f t="shared" si="112"/>
        <v>2200</v>
      </c>
      <c r="H172" s="1190">
        <f t="shared" si="112"/>
        <v>2200</v>
      </c>
      <c r="I172" s="1190">
        <f t="shared" si="112"/>
        <v>2200</v>
      </c>
      <c r="J172" s="1190">
        <f t="shared" si="112"/>
        <v>2200</v>
      </c>
      <c r="K172" s="1190">
        <f t="shared" si="112"/>
        <v>2200</v>
      </c>
      <c r="L172" s="1190">
        <f t="shared" si="112"/>
        <v>2200</v>
      </c>
      <c r="M172" s="1190">
        <f t="shared" si="112"/>
        <v>2200</v>
      </c>
      <c r="N172" s="1190">
        <f t="shared" si="112"/>
        <v>2200</v>
      </c>
      <c r="O172" s="1236">
        <f t="shared" si="91"/>
        <v>26400</v>
      </c>
      <c r="P172" s="805"/>
      <c r="Q172" s="1178"/>
    </row>
    <row r="173" spans="1:20" s="119" customFormat="1" ht="18" customHeight="1" x14ac:dyDescent="0.25">
      <c r="A173" s="170" t="s">
        <v>3635</v>
      </c>
      <c r="B173" s="124" t="s">
        <v>108</v>
      </c>
      <c r="C173" s="1193">
        <v>20000</v>
      </c>
      <c r="D173" s="1190">
        <f t="shared" si="108"/>
        <v>20000</v>
      </c>
      <c r="E173" s="1190">
        <f t="shared" si="110"/>
        <v>20000</v>
      </c>
      <c r="F173" s="1190">
        <f t="shared" ref="F173:N173" si="113">E173</f>
        <v>20000</v>
      </c>
      <c r="G173" s="1190">
        <f t="shared" si="113"/>
        <v>20000</v>
      </c>
      <c r="H173" s="1190">
        <f t="shared" si="113"/>
        <v>20000</v>
      </c>
      <c r="I173" s="1190">
        <f t="shared" si="113"/>
        <v>20000</v>
      </c>
      <c r="J173" s="1190">
        <f t="shared" si="113"/>
        <v>20000</v>
      </c>
      <c r="K173" s="1190">
        <f t="shared" si="113"/>
        <v>20000</v>
      </c>
      <c r="L173" s="1190">
        <f t="shared" si="113"/>
        <v>20000</v>
      </c>
      <c r="M173" s="1190">
        <f t="shared" si="113"/>
        <v>20000</v>
      </c>
      <c r="N173" s="1190">
        <f t="shared" si="113"/>
        <v>20000</v>
      </c>
      <c r="O173" s="1236">
        <f t="shared" si="91"/>
        <v>240000</v>
      </c>
      <c r="P173" s="828"/>
      <c r="Q173" s="1178"/>
      <c r="R173" s="552"/>
      <c r="S173" s="552"/>
      <c r="T173" s="552"/>
    </row>
    <row r="174" spans="1:20" s="119" customFormat="1" ht="18" customHeight="1" x14ac:dyDescent="0.25">
      <c r="A174" s="1181">
        <v>33263</v>
      </c>
      <c r="B174" s="1075" t="s">
        <v>3761</v>
      </c>
      <c r="C174" s="1207">
        <v>200000</v>
      </c>
      <c r="D174" s="1211">
        <f t="shared" si="108"/>
        <v>200000</v>
      </c>
      <c r="E174" s="1211">
        <f t="shared" si="110"/>
        <v>200000</v>
      </c>
      <c r="F174" s="1211">
        <f t="shared" ref="F174:N174" si="114">E174</f>
        <v>200000</v>
      </c>
      <c r="G174" s="1211">
        <f t="shared" si="114"/>
        <v>200000</v>
      </c>
      <c r="H174" s="1211">
        <f t="shared" si="114"/>
        <v>200000</v>
      </c>
      <c r="I174" s="1211">
        <f t="shared" si="114"/>
        <v>200000</v>
      </c>
      <c r="J174" s="1211">
        <f t="shared" si="114"/>
        <v>200000</v>
      </c>
      <c r="K174" s="1211">
        <f t="shared" si="114"/>
        <v>200000</v>
      </c>
      <c r="L174" s="1211">
        <f t="shared" si="114"/>
        <v>200000</v>
      </c>
      <c r="M174" s="1211">
        <f t="shared" si="114"/>
        <v>200000</v>
      </c>
      <c r="N174" s="1193">
        <f t="shared" si="114"/>
        <v>200000</v>
      </c>
      <c r="O174" s="1237">
        <f t="shared" si="91"/>
        <v>2400000</v>
      </c>
      <c r="P174" s="146"/>
      <c r="Q174" s="232"/>
      <c r="R174" s="146"/>
      <c r="S174" s="146"/>
      <c r="T174" s="146"/>
    </row>
    <row r="175" spans="1:20" s="119" customFormat="1" ht="18" customHeight="1" x14ac:dyDescent="0.25">
      <c r="A175" s="170" t="s">
        <v>113</v>
      </c>
      <c r="B175" s="124" t="s">
        <v>220</v>
      </c>
      <c r="C175" s="1193">
        <v>1200</v>
      </c>
      <c r="D175" s="1193">
        <f t="shared" si="108"/>
        <v>1200</v>
      </c>
      <c r="E175" s="1193">
        <f t="shared" si="110"/>
        <v>1200</v>
      </c>
      <c r="F175" s="1193">
        <f t="shared" ref="F175:N175" si="115">E175</f>
        <v>1200</v>
      </c>
      <c r="G175" s="1193">
        <f t="shared" si="115"/>
        <v>1200</v>
      </c>
      <c r="H175" s="1193">
        <f t="shared" si="115"/>
        <v>1200</v>
      </c>
      <c r="I175" s="1193">
        <f t="shared" si="115"/>
        <v>1200</v>
      </c>
      <c r="J175" s="1193">
        <f t="shared" si="115"/>
        <v>1200</v>
      </c>
      <c r="K175" s="1193">
        <f t="shared" si="115"/>
        <v>1200</v>
      </c>
      <c r="L175" s="1193">
        <f t="shared" si="115"/>
        <v>1200</v>
      </c>
      <c r="M175" s="1193">
        <f t="shared" si="115"/>
        <v>1200</v>
      </c>
      <c r="N175" s="1193">
        <f t="shared" si="115"/>
        <v>1200</v>
      </c>
      <c r="O175" s="1236">
        <f t="shared" si="91"/>
        <v>14400</v>
      </c>
      <c r="P175" s="805"/>
      <c r="Q175" s="1178"/>
    </row>
    <row r="176" spans="1:20" s="119" customFormat="1" ht="18" customHeight="1" x14ac:dyDescent="0.25">
      <c r="A176" s="170">
        <v>37992</v>
      </c>
      <c r="B176" s="124" t="s">
        <v>222</v>
      </c>
      <c r="C176" s="1189">
        <v>0</v>
      </c>
      <c r="D176" s="1189">
        <f t="shared" si="108"/>
        <v>0</v>
      </c>
      <c r="E176" s="1189">
        <f t="shared" si="110"/>
        <v>0</v>
      </c>
      <c r="F176" s="1189">
        <f>E176</f>
        <v>0</v>
      </c>
      <c r="G176" s="1189">
        <v>260</v>
      </c>
      <c r="H176" s="1189">
        <v>0</v>
      </c>
      <c r="I176" s="1189">
        <v>0</v>
      </c>
      <c r="J176" s="1189">
        <v>0</v>
      </c>
      <c r="K176" s="1189">
        <v>0</v>
      </c>
      <c r="L176" s="1189">
        <v>0</v>
      </c>
      <c r="M176" s="1189">
        <v>0</v>
      </c>
      <c r="N176" s="1189">
        <f>M176</f>
        <v>0</v>
      </c>
      <c r="O176" s="1236">
        <f t="shared" si="91"/>
        <v>260</v>
      </c>
      <c r="P176" s="805"/>
      <c r="Q176" s="1178"/>
    </row>
    <row r="177" spans="1:20" s="119" customFormat="1" ht="18" customHeight="1" x14ac:dyDescent="0.25">
      <c r="A177" s="170">
        <v>12867</v>
      </c>
      <c r="B177" s="124" t="s">
        <v>3711</v>
      </c>
      <c r="C177" s="1193">
        <v>20000</v>
      </c>
      <c r="D177" s="1190">
        <f t="shared" si="108"/>
        <v>20000</v>
      </c>
      <c r="E177" s="1190">
        <f t="shared" si="110"/>
        <v>20000</v>
      </c>
      <c r="F177" s="1190">
        <f>E177</f>
        <v>20000</v>
      </c>
      <c r="G177" s="1190">
        <f t="shared" ref="G177:M180" si="116">F177</f>
        <v>20000</v>
      </c>
      <c r="H177" s="1190">
        <f t="shared" si="116"/>
        <v>20000</v>
      </c>
      <c r="I177" s="1190">
        <f t="shared" si="116"/>
        <v>20000</v>
      </c>
      <c r="J177" s="1190">
        <f t="shared" si="116"/>
        <v>20000</v>
      </c>
      <c r="K177" s="1190">
        <f t="shared" si="116"/>
        <v>20000</v>
      </c>
      <c r="L177" s="1190">
        <f t="shared" si="116"/>
        <v>20000</v>
      </c>
      <c r="M177" s="1190">
        <f t="shared" si="116"/>
        <v>20000</v>
      </c>
      <c r="N177" s="1190">
        <f>M177</f>
        <v>20000</v>
      </c>
      <c r="O177" s="1236">
        <f t="shared" si="91"/>
        <v>240000</v>
      </c>
      <c r="P177" s="805"/>
      <c r="Q177" s="1178"/>
    </row>
    <row r="178" spans="1:20" s="119" customFormat="1" ht="18" customHeight="1" x14ac:dyDescent="0.25">
      <c r="A178" s="170">
        <v>11161</v>
      </c>
      <c r="B178" s="124" t="s">
        <v>3766</v>
      </c>
      <c r="C178" s="1189">
        <v>2000</v>
      </c>
      <c r="D178" s="1189">
        <f t="shared" si="108"/>
        <v>2000</v>
      </c>
      <c r="E178" s="1189">
        <f t="shared" si="110"/>
        <v>2000</v>
      </c>
      <c r="F178" s="1189">
        <f>E178</f>
        <v>2000</v>
      </c>
      <c r="G178" s="1189">
        <f t="shared" si="116"/>
        <v>2000</v>
      </c>
      <c r="H178" s="1189">
        <f t="shared" si="116"/>
        <v>2000</v>
      </c>
      <c r="I178" s="1189">
        <f t="shared" si="116"/>
        <v>2000</v>
      </c>
      <c r="J178" s="1189">
        <f t="shared" si="116"/>
        <v>2000</v>
      </c>
      <c r="K178" s="1189">
        <f t="shared" si="116"/>
        <v>2000</v>
      </c>
      <c r="L178" s="1189">
        <f t="shared" si="116"/>
        <v>2000</v>
      </c>
      <c r="M178" s="1189">
        <f t="shared" si="116"/>
        <v>2000</v>
      </c>
      <c r="N178" s="1189">
        <f>M178</f>
        <v>2000</v>
      </c>
      <c r="O178" s="1236">
        <f t="shared" si="91"/>
        <v>24000</v>
      </c>
      <c r="P178" s="805"/>
      <c r="Q178" s="1178"/>
    </row>
    <row r="179" spans="1:20" s="119" customFormat="1" ht="18" customHeight="1" x14ac:dyDescent="0.25">
      <c r="A179" s="579">
        <v>12314</v>
      </c>
      <c r="B179" s="124" t="s">
        <v>325</v>
      </c>
      <c r="C179" s="1226">
        <v>3000</v>
      </c>
      <c r="D179" s="1227">
        <f t="shared" si="108"/>
        <v>3000</v>
      </c>
      <c r="E179" s="1227">
        <f t="shared" si="110"/>
        <v>3000</v>
      </c>
      <c r="F179" s="1227">
        <f>E179</f>
        <v>3000</v>
      </c>
      <c r="G179" s="1227">
        <f t="shared" si="116"/>
        <v>3000</v>
      </c>
      <c r="H179" s="1227">
        <f t="shared" si="116"/>
        <v>3000</v>
      </c>
      <c r="I179" s="1227">
        <f t="shared" si="116"/>
        <v>3000</v>
      </c>
      <c r="J179" s="1227">
        <f t="shared" si="116"/>
        <v>3000</v>
      </c>
      <c r="K179" s="1227">
        <f t="shared" si="116"/>
        <v>3000</v>
      </c>
      <c r="L179" s="1227">
        <f t="shared" si="116"/>
        <v>3000</v>
      </c>
      <c r="M179" s="1227">
        <f t="shared" si="116"/>
        <v>3000</v>
      </c>
      <c r="N179" s="1227">
        <f>M179</f>
        <v>3000</v>
      </c>
      <c r="O179" s="1236">
        <f t="shared" si="91"/>
        <v>36000</v>
      </c>
      <c r="P179" s="805"/>
      <c r="Q179" s="1178"/>
    </row>
    <row r="180" spans="1:20" s="119" customFormat="1" ht="18" customHeight="1" thickBot="1" x14ac:dyDescent="0.3">
      <c r="A180" s="1006" t="s">
        <v>106</v>
      </c>
      <c r="B180" s="384" t="s">
        <v>217</v>
      </c>
      <c r="C180" s="1194">
        <v>9000</v>
      </c>
      <c r="D180" s="1228">
        <f t="shared" si="108"/>
        <v>9000</v>
      </c>
      <c r="E180" s="1228">
        <f t="shared" si="110"/>
        <v>9000</v>
      </c>
      <c r="F180" s="1228">
        <f>E180</f>
        <v>9000</v>
      </c>
      <c r="G180" s="1228">
        <f t="shared" si="116"/>
        <v>9000</v>
      </c>
      <c r="H180" s="1228">
        <f t="shared" si="116"/>
        <v>9000</v>
      </c>
      <c r="I180" s="1228">
        <f t="shared" si="116"/>
        <v>9000</v>
      </c>
      <c r="J180" s="1228">
        <f t="shared" si="116"/>
        <v>9000</v>
      </c>
      <c r="K180" s="1228">
        <f t="shared" si="116"/>
        <v>9000</v>
      </c>
      <c r="L180" s="1228">
        <f t="shared" si="116"/>
        <v>9000</v>
      </c>
      <c r="M180" s="1228">
        <f t="shared" si="116"/>
        <v>9000</v>
      </c>
      <c r="N180" s="1228">
        <f>M180</f>
        <v>9000</v>
      </c>
      <c r="O180" s="1238">
        <f t="shared" si="91"/>
        <v>108000</v>
      </c>
      <c r="P180" s="805"/>
      <c r="Q180" s="1178"/>
    </row>
    <row r="181" spans="1:20" s="119" customFormat="1" ht="18" customHeight="1" thickBot="1" x14ac:dyDescent="0.3">
      <c r="A181" s="923"/>
      <c r="B181" s="343"/>
      <c r="C181" s="1008"/>
      <c r="D181" s="437"/>
      <c r="E181" s="1008"/>
      <c r="F181" s="1008"/>
      <c r="G181" s="437"/>
      <c r="H181" s="437"/>
      <c r="I181" s="437"/>
      <c r="J181" s="947"/>
      <c r="K181" s="437"/>
      <c r="L181" s="437"/>
      <c r="M181" s="1008"/>
      <c r="N181" s="437"/>
      <c r="O181" s="925"/>
      <c r="P181" s="805"/>
      <c r="Q181" s="1178"/>
    </row>
    <row r="182" spans="1:20" ht="18" customHeight="1" thickBot="1" x14ac:dyDescent="0.3">
      <c r="A182" s="557"/>
      <c r="B182" s="559" t="s">
        <v>671</v>
      </c>
      <c r="C182" s="478">
        <f t="shared" ref="C182:H182" si="117">SUM(C183)</f>
        <v>48000</v>
      </c>
      <c r="D182" s="478">
        <f t="shared" si="117"/>
        <v>48000</v>
      </c>
      <c r="E182" s="478">
        <f t="shared" si="117"/>
        <v>48000</v>
      </c>
      <c r="F182" s="478">
        <f t="shared" si="117"/>
        <v>48000</v>
      </c>
      <c r="G182" s="478">
        <f t="shared" si="117"/>
        <v>48000</v>
      </c>
      <c r="H182" s="478">
        <f t="shared" si="117"/>
        <v>48000</v>
      </c>
      <c r="I182" s="478">
        <f t="shared" ref="I182:N182" si="118">SUM(I183)</f>
        <v>48000</v>
      </c>
      <c r="J182" s="478">
        <f t="shared" si="118"/>
        <v>48000</v>
      </c>
      <c r="K182" s="395">
        <f t="shared" si="118"/>
        <v>48000</v>
      </c>
      <c r="L182" s="487">
        <f t="shared" si="118"/>
        <v>48000</v>
      </c>
      <c r="M182" s="395">
        <f t="shared" si="118"/>
        <v>48000</v>
      </c>
      <c r="N182" s="487">
        <f t="shared" si="118"/>
        <v>48000</v>
      </c>
      <c r="O182" s="1074">
        <f>C182+D182+E182+F182+G182+H182+I182+J182+K182+L182+M182+N182</f>
        <v>576000</v>
      </c>
    </row>
    <row r="183" spans="1:20" s="119" customFormat="1" ht="18" customHeight="1" thickBot="1" x14ac:dyDescent="0.3">
      <c r="A183" s="910" t="s">
        <v>3626</v>
      </c>
      <c r="B183" s="911" t="s">
        <v>3625</v>
      </c>
      <c r="C183" s="1231">
        <v>48000</v>
      </c>
      <c r="D183" s="1231">
        <f>$C$183</f>
        <v>48000</v>
      </c>
      <c r="E183" s="1231">
        <f t="shared" ref="E183:N183" si="119">$C$183</f>
        <v>48000</v>
      </c>
      <c r="F183" s="1231">
        <f t="shared" si="119"/>
        <v>48000</v>
      </c>
      <c r="G183" s="1231">
        <f t="shared" si="119"/>
        <v>48000</v>
      </c>
      <c r="H183" s="1231">
        <f t="shared" si="119"/>
        <v>48000</v>
      </c>
      <c r="I183" s="1231">
        <f t="shared" si="119"/>
        <v>48000</v>
      </c>
      <c r="J183" s="1231">
        <f t="shared" si="119"/>
        <v>48000</v>
      </c>
      <c r="K183" s="1231">
        <f t="shared" si="119"/>
        <v>48000</v>
      </c>
      <c r="L183" s="1231">
        <f t="shared" si="119"/>
        <v>48000</v>
      </c>
      <c r="M183" s="1231">
        <f t="shared" si="119"/>
        <v>48000</v>
      </c>
      <c r="N183" s="1231">
        <f t="shared" si="119"/>
        <v>48000</v>
      </c>
      <c r="O183" s="1234">
        <f>C183+D183+E183+F183+G183+H183+I183+J183+K183+L183+M183+N183</f>
        <v>576000</v>
      </c>
      <c r="P183" s="805"/>
      <c r="Q183" s="1178"/>
    </row>
    <row r="184" spans="1:20" ht="18" customHeight="1" thickBot="1" x14ac:dyDescent="0.3">
      <c r="C184" s="83"/>
      <c r="D184" s="25"/>
      <c r="E184" s="85"/>
      <c r="F184" s="25"/>
      <c r="G184" s="25"/>
      <c r="H184" s="25"/>
      <c r="I184" s="25"/>
      <c r="J184" s="25"/>
      <c r="O184" s="1185"/>
    </row>
    <row r="185" spans="1:20" s="8" customFormat="1" ht="18" customHeight="1" thickBot="1" x14ac:dyDescent="0.3">
      <c r="A185" s="315"/>
      <c r="B185" s="1256" t="s">
        <v>3774</v>
      </c>
      <c r="C185" s="1254">
        <f t="shared" ref="C185:N185" si="120">C7-C33</f>
        <v>750924.71379333362</v>
      </c>
      <c r="D185" s="1254">
        <f t="shared" si="120"/>
        <v>750124.71379333362</v>
      </c>
      <c r="E185" s="1254">
        <f t="shared" si="120"/>
        <v>599924.71379333362</v>
      </c>
      <c r="F185" s="1254">
        <f t="shared" si="120"/>
        <v>604012.31674333289</v>
      </c>
      <c r="G185" s="1254">
        <f t="shared" si="120"/>
        <v>1034799.1842833348</v>
      </c>
      <c r="H185" s="1254">
        <f t="shared" si="120"/>
        <v>789896.46466333419</v>
      </c>
      <c r="I185" s="1254">
        <f t="shared" si="120"/>
        <v>825372.22252333164</v>
      </c>
      <c r="J185" s="1254">
        <f t="shared" si="120"/>
        <v>918882.91434333101</v>
      </c>
      <c r="K185" s="1252">
        <f t="shared" si="120"/>
        <v>949387.50805333257</v>
      </c>
      <c r="L185" s="1252">
        <f t="shared" si="120"/>
        <v>451333.75405333191</v>
      </c>
      <c r="M185" s="1252">
        <f t="shared" si="120"/>
        <v>563803.521913331</v>
      </c>
      <c r="N185" s="1252">
        <f t="shared" si="120"/>
        <v>393343.52194333076</v>
      </c>
      <c r="O185" s="1255">
        <f>C185+D185+E185+F185+G185+H185+I185+J185+K185+L185+M185+N185</f>
        <v>8631805.5498999916</v>
      </c>
      <c r="P185" s="132"/>
      <c r="Q185" s="195"/>
      <c r="R185" s="9"/>
      <c r="T185" s="9"/>
    </row>
    <row r="186" spans="1:20" ht="18" customHeight="1" thickBot="1" x14ac:dyDescent="0.3">
      <c r="A186" s="52"/>
      <c r="C186" s="16"/>
      <c r="O186" s="1185"/>
    </row>
    <row r="187" spans="1:20" ht="18" customHeight="1" thickBot="1" x14ac:dyDescent="0.3">
      <c r="A187" s="52"/>
      <c r="B187" s="1244" t="s">
        <v>116</v>
      </c>
      <c r="C187" s="1245">
        <f t="shared" ref="C187:N187" si="121">C191</f>
        <v>874391.85</v>
      </c>
      <c r="D187" s="1245">
        <f t="shared" si="121"/>
        <v>874391.66</v>
      </c>
      <c r="E187" s="1245">
        <f t="shared" si="121"/>
        <v>851797.62</v>
      </c>
      <c r="F187" s="1245">
        <f t="shared" si="121"/>
        <v>851797.62</v>
      </c>
      <c r="G187" s="1245">
        <f t="shared" si="121"/>
        <v>851797.62</v>
      </c>
      <c r="H187" s="1245">
        <f t="shared" si="121"/>
        <v>851797.62</v>
      </c>
      <c r="I187" s="1245">
        <f t="shared" si="121"/>
        <v>826474.64</v>
      </c>
      <c r="J187" s="1245">
        <f t="shared" si="121"/>
        <v>805289.64</v>
      </c>
      <c r="K187" s="1245">
        <f t="shared" si="121"/>
        <v>805289.64</v>
      </c>
      <c r="L187" s="1245">
        <f t="shared" si="121"/>
        <v>805289.64</v>
      </c>
      <c r="M187" s="1245">
        <f t="shared" si="121"/>
        <v>805289.64</v>
      </c>
      <c r="N187" s="1245">
        <f t="shared" si="121"/>
        <v>805289.64</v>
      </c>
      <c r="O187" s="1246">
        <f>C187+D187+E187+F187+G187+H187+I187+J187+K187+L187+M187+N187</f>
        <v>10008896.83</v>
      </c>
      <c r="P187" s="132"/>
    </row>
    <row r="188" spans="1:20" s="23" customFormat="1" ht="18" customHeight="1" thickBot="1" x14ac:dyDescent="0.3">
      <c r="A188" s="53"/>
      <c r="B188" s="19" t="s">
        <v>117</v>
      </c>
      <c r="C188" s="1173">
        <f t="shared" ref="C188:N188" si="122">C185-C187</f>
        <v>-123467.13620666636</v>
      </c>
      <c r="D188" s="1173">
        <f t="shared" si="122"/>
        <v>-124266.94620666641</v>
      </c>
      <c r="E188" s="1173">
        <f t="shared" si="122"/>
        <v>-251872.90620666638</v>
      </c>
      <c r="F188" s="1173">
        <f t="shared" si="122"/>
        <v>-247785.3032566671</v>
      </c>
      <c r="G188" s="1173">
        <f t="shared" si="122"/>
        <v>183001.56428333477</v>
      </c>
      <c r="H188" s="1173">
        <f t="shared" si="122"/>
        <v>-61901.155336665804</v>
      </c>
      <c r="I188" s="1173">
        <f t="shared" si="122"/>
        <v>-1102.4174766683718</v>
      </c>
      <c r="J188" s="1173">
        <f t="shared" si="122"/>
        <v>113593.274343331</v>
      </c>
      <c r="K188" s="1173">
        <f t="shared" si="122"/>
        <v>144097.86805333255</v>
      </c>
      <c r="L188" s="1173">
        <f t="shared" si="122"/>
        <v>-353955.8859466681</v>
      </c>
      <c r="M188" s="1173">
        <f t="shared" si="122"/>
        <v>-241486.11808666901</v>
      </c>
      <c r="N188" s="1173">
        <f t="shared" si="122"/>
        <v>-411946.11805666925</v>
      </c>
      <c r="O188" s="1173">
        <f>C188+D188+E188+F188+G188+H188+I188+J188+K188+L188+M188+N188</f>
        <v>-1377091.2801000085</v>
      </c>
      <c r="P188" s="105"/>
      <c r="Q188" s="1179"/>
    </row>
    <row r="189" spans="1:20" s="23" customFormat="1" ht="18" customHeight="1" x14ac:dyDescent="0.25">
      <c r="A189" s="53"/>
      <c r="B189" s="54"/>
      <c r="C189" s="22"/>
      <c r="D189" s="22"/>
      <c r="E189" s="22"/>
      <c r="F189" s="22"/>
      <c r="G189" s="22"/>
      <c r="H189" s="22"/>
      <c r="I189" s="22"/>
      <c r="J189" s="22"/>
      <c r="K189" s="22"/>
      <c r="L189" s="22"/>
      <c r="M189" s="22"/>
      <c r="N189" s="22"/>
      <c r="O189" s="22"/>
      <c r="Q189" s="1179"/>
    </row>
    <row r="190" spans="1:20" ht="18" hidden="1" customHeight="1" thickBot="1" x14ac:dyDescent="0.3">
      <c r="A190" s="52"/>
      <c r="C190" s="16"/>
    </row>
    <row r="191" spans="1:20" s="1172" customFormat="1" ht="18" hidden="1" customHeight="1" thickBot="1" x14ac:dyDescent="0.3">
      <c r="A191" s="161"/>
      <c r="B191" s="1169" t="s">
        <v>118</v>
      </c>
      <c r="C191" s="1170">
        <f>C192+C193</f>
        <v>874391.85</v>
      </c>
      <c r="D191" s="1170">
        <f>D192+D193</f>
        <v>874391.66</v>
      </c>
      <c r="E191" s="1170">
        <f>E192+E193</f>
        <v>851797.62</v>
      </c>
      <c r="F191" s="1170">
        <f t="shared" ref="F191:N191" si="123">F192+F193</f>
        <v>851797.62</v>
      </c>
      <c r="G191" s="1170">
        <f t="shared" si="123"/>
        <v>851797.62</v>
      </c>
      <c r="H191" s="1170">
        <f t="shared" si="123"/>
        <v>851797.62</v>
      </c>
      <c r="I191" s="1170">
        <f t="shared" si="123"/>
        <v>826474.64</v>
      </c>
      <c r="J191" s="1170">
        <f t="shared" si="123"/>
        <v>805289.64</v>
      </c>
      <c r="K191" s="1170">
        <f t="shared" si="123"/>
        <v>805289.64</v>
      </c>
      <c r="L191" s="1170">
        <f t="shared" si="123"/>
        <v>805289.64</v>
      </c>
      <c r="M191" s="1170">
        <f t="shared" si="123"/>
        <v>805289.64</v>
      </c>
      <c r="N191" s="1170">
        <f t="shared" si="123"/>
        <v>805289.64</v>
      </c>
      <c r="O191" s="1171">
        <f>C191+D191+E191+F191+G191+H191+I191+J191+K191+L191+M191+N191</f>
        <v>10008896.83</v>
      </c>
    </row>
    <row r="192" spans="1:20" s="25" customFormat="1" ht="18" hidden="1" customHeight="1" x14ac:dyDescent="0.25">
      <c r="A192" s="24"/>
      <c r="B192" s="1165" t="s">
        <v>119</v>
      </c>
      <c r="C192" s="1229">
        <f>569526.39+130000</f>
        <v>699526.39</v>
      </c>
      <c r="D192" s="1229">
        <f>C192</f>
        <v>699526.39</v>
      </c>
      <c r="E192" s="1229">
        <f t="shared" ref="E192:N192" si="124">D192</f>
        <v>699526.39</v>
      </c>
      <c r="F192" s="1229">
        <f t="shared" si="124"/>
        <v>699526.39</v>
      </c>
      <c r="G192" s="1229">
        <f t="shared" si="124"/>
        <v>699526.39</v>
      </c>
      <c r="H192" s="1229">
        <f t="shared" si="124"/>
        <v>699526.39</v>
      </c>
      <c r="I192" s="1229">
        <f t="shared" si="124"/>
        <v>699526.39</v>
      </c>
      <c r="J192" s="1229">
        <f t="shared" si="124"/>
        <v>699526.39</v>
      </c>
      <c r="K192" s="1229">
        <f t="shared" si="124"/>
        <v>699526.39</v>
      </c>
      <c r="L192" s="1229">
        <f t="shared" si="124"/>
        <v>699526.39</v>
      </c>
      <c r="M192" s="1229">
        <f t="shared" si="124"/>
        <v>699526.39</v>
      </c>
      <c r="N192" s="1229">
        <f t="shared" si="124"/>
        <v>699526.39</v>
      </c>
      <c r="O192" s="1232">
        <f>C192+D192+E192+F192+G192+H192+I192+J192+K192+L192+M192+N192</f>
        <v>8394316.6799999978</v>
      </c>
      <c r="Q192" s="71"/>
    </row>
    <row r="193" spans="1:17" s="34" customFormat="1" ht="18" hidden="1" customHeight="1" thickBot="1" x14ac:dyDescent="0.3">
      <c r="A193" s="33"/>
      <c r="B193" s="1166" t="s">
        <v>3777</v>
      </c>
      <c r="C193" s="1230">
        <v>174865.46</v>
      </c>
      <c r="D193" s="1230">
        <v>174865.27</v>
      </c>
      <c r="E193" s="1230">
        <v>152271.22999999998</v>
      </c>
      <c r="F193" s="1230">
        <v>152271.22999999998</v>
      </c>
      <c r="G193" s="1230">
        <v>152271.22999999998</v>
      </c>
      <c r="H193" s="1230">
        <v>152271.22999999998</v>
      </c>
      <c r="I193" s="1230">
        <v>126948.25</v>
      </c>
      <c r="J193" s="1230">
        <v>105763.25</v>
      </c>
      <c r="K193" s="1230">
        <v>105763.25</v>
      </c>
      <c r="L193" s="1230">
        <v>105763.25</v>
      </c>
      <c r="M193" s="1230">
        <v>105763.25</v>
      </c>
      <c r="N193" s="1230">
        <v>105763.25</v>
      </c>
      <c r="O193" s="1233">
        <f>C193+D193+E193+F193+G193+H193+I193+J193+K193+L193+M193+N193</f>
        <v>1614580.15</v>
      </c>
      <c r="Q193" s="1180"/>
    </row>
    <row r="194" spans="1:17" ht="18" hidden="1" customHeight="1" x14ac:dyDescent="0.25">
      <c r="C194" s="55"/>
      <c r="D194" s="55"/>
      <c r="E194" s="55"/>
      <c r="F194" s="55"/>
      <c r="H194" s="55"/>
      <c r="I194" s="55"/>
      <c r="J194" s="55"/>
      <c r="K194" s="55"/>
      <c r="L194" s="55"/>
      <c r="M194" s="55"/>
      <c r="N194" s="55"/>
      <c r="O194" s="55"/>
    </row>
    <row r="195" spans="1:17" ht="18" customHeight="1" x14ac:dyDescent="0.25">
      <c r="C195" s="56"/>
      <c r="D195" s="57"/>
      <c r="E195" s="57"/>
      <c r="F195" s="57"/>
      <c r="H195" s="57"/>
      <c r="I195" s="57"/>
      <c r="J195" s="57"/>
      <c r="K195" s="57"/>
      <c r="L195" s="57"/>
      <c r="M195" s="57"/>
      <c r="N195" s="57"/>
      <c r="O195" s="57"/>
    </row>
    <row r="196" spans="1:17" ht="18" customHeight="1" x14ac:dyDescent="0.25">
      <c r="C196" s="55"/>
      <c r="D196" s="55"/>
      <c r="E196" s="55"/>
      <c r="F196" s="55"/>
      <c r="H196" s="55"/>
      <c r="I196" s="55"/>
      <c r="J196" s="55"/>
      <c r="K196" s="55"/>
      <c r="L196" s="55"/>
      <c r="M196" s="55"/>
      <c r="N196" s="55"/>
      <c r="O196" s="55"/>
    </row>
    <row r="197" spans="1:17" ht="18" customHeight="1" x14ac:dyDescent="0.25">
      <c r="C197" s="13"/>
      <c r="I197" s="109"/>
      <c r="O197" s="43"/>
    </row>
    <row r="198" spans="1:17" ht="18" customHeight="1" x14ac:dyDescent="0.25">
      <c r="C198" s="317"/>
      <c r="O198" s="109"/>
    </row>
    <row r="199" spans="1:17" ht="18" customHeight="1" x14ac:dyDescent="0.25">
      <c r="C199" s="317"/>
      <c r="O199" s="109"/>
    </row>
    <row r="200" spans="1:17" ht="18" customHeight="1" x14ac:dyDescent="0.25">
      <c r="A200" s="13"/>
      <c r="C200" s="317"/>
      <c r="D200" s="109"/>
      <c r="O200" s="43"/>
    </row>
    <row r="201" spans="1:17" ht="18" customHeight="1" x14ac:dyDescent="0.25">
      <c r="A201" s="13"/>
      <c r="C201" s="402"/>
      <c r="D201" s="109"/>
      <c r="O201" s="43"/>
    </row>
    <row r="202" spans="1:17" ht="18" customHeight="1" x14ac:dyDescent="0.25">
      <c r="A202" s="13"/>
      <c r="D202" s="109"/>
      <c r="I202" s="43"/>
      <c r="O202" s="43"/>
    </row>
    <row r="203" spans="1:17" ht="18" customHeight="1" x14ac:dyDescent="0.25">
      <c r="A203" s="13"/>
      <c r="D203" s="109"/>
      <c r="I203" s="109"/>
      <c r="O203" s="109"/>
    </row>
    <row r="204" spans="1:17" ht="18" customHeight="1" x14ac:dyDescent="0.25">
      <c r="A204" s="13"/>
      <c r="C204" s="402"/>
      <c r="D204" s="109"/>
      <c r="O204" s="109"/>
    </row>
    <row r="205" spans="1:17" ht="18" customHeight="1" x14ac:dyDescent="0.25">
      <c r="A205" s="13"/>
      <c r="B205" s="109"/>
      <c r="C205" s="109"/>
      <c r="D205" s="109"/>
      <c r="O205" s="43"/>
    </row>
    <row r="206" spans="1:17" ht="18" customHeight="1" x14ac:dyDescent="0.25">
      <c r="A206" s="13"/>
      <c r="B206" s="109"/>
      <c r="C206" s="402"/>
      <c r="D206" s="109"/>
      <c r="O206" s="109"/>
    </row>
    <row r="207" spans="1:17" ht="18" customHeight="1" x14ac:dyDescent="0.25">
      <c r="A207" s="13"/>
      <c r="B207" s="109"/>
      <c r="D207" s="109"/>
      <c r="O207" s="110"/>
    </row>
    <row r="208" spans="1:17" ht="18" customHeight="1" x14ac:dyDescent="0.25">
      <c r="A208" s="13"/>
      <c r="B208" s="109"/>
      <c r="D208" s="109"/>
    </row>
    <row r="209" spans="2:5" s="13" customFormat="1" ht="18" customHeight="1" x14ac:dyDescent="0.25">
      <c r="B209" s="110"/>
      <c r="C209" s="40"/>
      <c r="D209" s="109"/>
      <c r="E209" s="110"/>
    </row>
    <row r="210" spans="2:5" s="13" customFormat="1" ht="18" customHeight="1" x14ac:dyDescent="0.25">
      <c r="C210" s="40"/>
      <c r="D210" s="109"/>
    </row>
    <row r="211" spans="2:5" s="13" customFormat="1" ht="18" customHeight="1" x14ac:dyDescent="0.25">
      <c r="B211" s="110"/>
      <c r="C211" s="40"/>
      <c r="D211" s="110"/>
    </row>
    <row r="213" spans="2:5" s="13" customFormat="1" ht="18" customHeight="1" x14ac:dyDescent="0.25">
      <c r="C213" s="40"/>
      <c r="D213" s="110"/>
    </row>
  </sheetData>
  <sortState ref="A156:T182">
    <sortCondition ref="B156:B182"/>
  </sortState>
  <mergeCells count="3">
    <mergeCell ref="O5:O6"/>
    <mergeCell ref="A5:A6"/>
    <mergeCell ref="B5:B6"/>
  </mergeCells>
  <pageMargins left="0.511811024" right="0.511811024" top="0.78740157499999996" bottom="0.78740157499999996" header="0.31496062000000002" footer="0.31496062000000002"/>
  <pageSetup paperSize="9" orientation="portrait" horizontalDpi="300" verticalDpi="300" r:id="rId1"/>
  <ignoredErrors>
    <ignoredError sqref="D14:N14 E30:N30 D18 H20:I20 J20:N20 E170"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82"/>
  <sheetViews>
    <sheetView workbookViewId="0">
      <selection activeCell="J1" sqref="J1:J1048576"/>
    </sheetView>
  </sheetViews>
  <sheetFormatPr defaultRowHeight="12.75" x14ac:dyDescent="0.2"/>
  <cols>
    <col min="1" max="1" width="4" style="350" bestFit="1" customWidth="1"/>
    <col min="2" max="2" width="6.42578125" style="350" bestFit="1" customWidth="1"/>
    <col min="3" max="3" width="13.85546875" style="350" bestFit="1" customWidth="1"/>
    <col min="4" max="4" width="33.85546875" style="350" bestFit="1" customWidth="1"/>
    <col min="5" max="5" width="14.42578125" style="350" bestFit="1" customWidth="1"/>
    <col min="6" max="6" width="12.28515625" style="350" bestFit="1" customWidth="1"/>
    <col min="7" max="7" width="13.42578125" style="350" bestFit="1" customWidth="1"/>
    <col min="8" max="8" width="12.28515625" style="350" bestFit="1" customWidth="1"/>
    <col min="9" max="9" width="13.42578125" style="350" bestFit="1" customWidth="1"/>
    <col min="10" max="16384" width="9.140625" style="350"/>
  </cols>
  <sheetData>
    <row r="1" spans="1:9" x14ac:dyDescent="0.2">
      <c r="A1" s="349" t="s">
        <v>341</v>
      </c>
      <c r="B1" s="351" t="s">
        <v>342</v>
      </c>
      <c r="C1" s="351" t="s">
        <v>343</v>
      </c>
      <c r="D1" s="351" t="s">
        <v>344</v>
      </c>
      <c r="E1" s="352" t="s">
        <v>345</v>
      </c>
      <c r="F1" s="352" t="s">
        <v>773</v>
      </c>
      <c r="G1" s="353" t="s">
        <v>346</v>
      </c>
      <c r="H1" s="353" t="s">
        <v>347</v>
      </c>
      <c r="I1" s="353" t="s">
        <v>348</v>
      </c>
    </row>
    <row r="2" spans="1:9" x14ac:dyDescent="0.2">
      <c r="A2" s="349" t="s">
        <v>341</v>
      </c>
      <c r="B2" s="354">
        <v>3</v>
      </c>
      <c r="C2" s="354">
        <v>1</v>
      </c>
      <c r="D2" s="355" t="s">
        <v>774</v>
      </c>
      <c r="E2" s="356">
        <v>123853002.58</v>
      </c>
      <c r="F2" s="356">
        <v>84733531.400000006</v>
      </c>
      <c r="G2" s="357">
        <v>76350169.540000007</v>
      </c>
      <c r="H2" s="357">
        <v>8383361.8600000003</v>
      </c>
      <c r="I2" s="357">
        <v>132236364.44</v>
      </c>
    </row>
    <row r="3" spans="1:9" x14ac:dyDescent="0.2">
      <c r="A3" s="349" t="s">
        <v>341</v>
      </c>
      <c r="B3" s="354">
        <v>4</v>
      </c>
      <c r="C3" s="355" t="s">
        <v>775</v>
      </c>
      <c r="D3" s="355" t="s">
        <v>776</v>
      </c>
      <c r="E3" s="356">
        <v>44422161.509999998</v>
      </c>
      <c r="F3" s="356">
        <v>84430370.849999994</v>
      </c>
      <c r="G3" s="357">
        <v>76130976.5</v>
      </c>
      <c r="H3" s="357">
        <v>8299394.3499999996</v>
      </c>
      <c r="I3" s="357">
        <v>52721555.859999999</v>
      </c>
    </row>
    <row r="4" spans="1:9" x14ac:dyDescent="0.2">
      <c r="A4" s="349" t="s">
        <v>341</v>
      </c>
      <c r="B4" s="354">
        <v>5</v>
      </c>
      <c r="C4" s="355" t="s">
        <v>777</v>
      </c>
      <c r="D4" s="355" t="s">
        <v>778</v>
      </c>
      <c r="E4" s="356">
        <v>11729573.83</v>
      </c>
      <c r="F4" s="356">
        <v>62961257.689999998</v>
      </c>
      <c r="G4" s="357">
        <v>53352505.520000003</v>
      </c>
      <c r="H4" s="357">
        <v>9608752.1699999999</v>
      </c>
      <c r="I4" s="357">
        <v>21338326</v>
      </c>
    </row>
    <row r="5" spans="1:9" x14ac:dyDescent="0.2">
      <c r="A5" s="349" t="s">
        <v>341</v>
      </c>
      <c r="B5" s="354">
        <v>6</v>
      </c>
      <c r="C5" s="355" t="s">
        <v>779</v>
      </c>
      <c r="D5" s="355" t="s">
        <v>780</v>
      </c>
      <c r="E5" s="356">
        <v>9189.56</v>
      </c>
      <c r="F5" s="356">
        <v>200187.65</v>
      </c>
      <c r="G5" s="357">
        <v>201492.65</v>
      </c>
      <c r="H5" s="357">
        <v>-1305</v>
      </c>
      <c r="I5" s="357">
        <v>7884.56</v>
      </c>
    </row>
    <row r="6" spans="1:9" x14ac:dyDescent="0.2">
      <c r="A6" s="349" t="s">
        <v>341</v>
      </c>
      <c r="B6" s="359">
        <v>28</v>
      </c>
      <c r="C6" s="349" t="s">
        <v>781</v>
      </c>
      <c r="D6" s="349" t="s">
        <v>782</v>
      </c>
      <c r="E6" s="363">
        <v>20</v>
      </c>
      <c r="F6" s="360">
        <v>2900</v>
      </c>
      <c r="G6" s="362">
        <v>2900</v>
      </c>
      <c r="H6" s="361">
        <v>0</v>
      </c>
      <c r="I6" s="361">
        <v>20</v>
      </c>
    </row>
    <row r="7" spans="1:9" x14ac:dyDescent="0.2">
      <c r="A7" s="349" t="s">
        <v>341</v>
      </c>
      <c r="B7" s="359">
        <v>32381</v>
      </c>
      <c r="C7" s="349" t="s">
        <v>783</v>
      </c>
      <c r="D7" s="349" t="s">
        <v>784</v>
      </c>
      <c r="E7" s="363">
        <v>50</v>
      </c>
      <c r="F7" s="363">
        <v>700</v>
      </c>
      <c r="G7" s="361">
        <v>700</v>
      </c>
      <c r="H7" s="361">
        <v>0</v>
      </c>
      <c r="I7" s="361">
        <v>50</v>
      </c>
    </row>
    <row r="8" spans="1:9" x14ac:dyDescent="0.2">
      <c r="A8" s="349" t="s">
        <v>341</v>
      </c>
      <c r="B8" s="359">
        <v>37816</v>
      </c>
      <c r="C8" s="349" t="s">
        <v>785</v>
      </c>
      <c r="D8" s="349" t="s">
        <v>786</v>
      </c>
      <c r="E8" s="363">
        <v>300</v>
      </c>
      <c r="F8" s="360">
        <v>15504.66</v>
      </c>
      <c r="G8" s="362">
        <v>15204.66</v>
      </c>
      <c r="H8" s="361">
        <v>300</v>
      </c>
      <c r="I8" s="361">
        <v>600</v>
      </c>
    </row>
    <row r="9" spans="1:9" x14ac:dyDescent="0.2">
      <c r="A9" s="349" t="s">
        <v>341</v>
      </c>
      <c r="B9" s="359">
        <v>24</v>
      </c>
      <c r="C9" s="349" t="s">
        <v>787</v>
      </c>
      <c r="D9" s="349" t="s">
        <v>788</v>
      </c>
      <c r="E9" s="360">
        <v>5145.8</v>
      </c>
      <c r="F9" s="360">
        <v>101371.2</v>
      </c>
      <c r="G9" s="362">
        <v>101711.45</v>
      </c>
      <c r="H9" s="361">
        <v>-340.25</v>
      </c>
      <c r="I9" s="362">
        <v>4805.55</v>
      </c>
    </row>
    <row r="10" spans="1:9" x14ac:dyDescent="0.2">
      <c r="A10" s="349" t="s">
        <v>341</v>
      </c>
      <c r="B10" s="359">
        <v>25</v>
      </c>
      <c r="C10" s="349" t="s">
        <v>789</v>
      </c>
      <c r="D10" s="349" t="s">
        <v>790</v>
      </c>
      <c r="E10" s="363">
        <v>355.75</v>
      </c>
      <c r="F10" s="360">
        <v>8267</v>
      </c>
      <c r="G10" s="362">
        <v>8562.75</v>
      </c>
      <c r="H10" s="361">
        <v>-295.75</v>
      </c>
      <c r="I10" s="361">
        <v>60</v>
      </c>
    </row>
    <row r="11" spans="1:9" x14ac:dyDescent="0.2">
      <c r="A11" s="349" t="s">
        <v>341</v>
      </c>
      <c r="B11" s="359">
        <v>12339</v>
      </c>
      <c r="C11" s="349" t="s">
        <v>791</v>
      </c>
      <c r="D11" s="349" t="s">
        <v>792</v>
      </c>
      <c r="E11" s="363">
        <v>20.010000000000002</v>
      </c>
      <c r="F11" s="360">
        <v>7548.44</v>
      </c>
      <c r="G11" s="362">
        <v>7548.44</v>
      </c>
      <c r="H11" s="361">
        <v>0</v>
      </c>
      <c r="I11" s="361">
        <v>20.010000000000002</v>
      </c>
    </row>
    <row r="12" spans="1:9" x14ac:dyDescent="0.2">
      <c r="A12" s="349" t="s">
        <v>341</v>
      </c>
      <c r="B12" s="359">
        <v>12341</v>
      </c>
      <c r="C12" s="349" t="s">
        <v>793</v>
      </c>
      <c r="D12" s="349" t="s">
        <v>794</v>
      </c>
      <c r="E12" s="363">
        <v>20</v>
      </c>
      <c r="F12" s="363">
        <v>0</v>
      </c>
      <c r="G12" s="361">
        <v>0</v>
      </c>
      <c r="H12" s="361">
        <v>0</v>
      </c>
      <c r="I12" s="361">
        <v>20</v>
      </c>
    </row>
    <row r="13" spans="1:9" x14ac:dyDescent="0.2">
      <c r="A13" s="349" t="s">
        <v>341</v>
      </c>
      <c r="B13" s="359">
        <v>27</v>
      </c>
      <c r="C13" s="349" t="s">
        <v>795</v>
      </c>
      <c r="D13" s="349" t="s">
        <v>796</v>
      </c>
      <c r="E13" s="363">
        <v>50</v>
      </c>
      <c r="F13" s="360">
        <v>17177.150000000001</v>
      </c>
      <c r="G13" s="362">
        <v>17177.150000000001</v>
      </c>
      <c r="H13" s="361">
        <v>0</v>
      </c>
      <c r="I13" s="361">
        <v>50</v>
      </c>
    </row>
    <row r="14" spans="1:9" x14ac:dyDescent="0.2">
      <c r="A14" s="349" t="s">
        <v>341</v>
      </c>
      <c r="B14" s="359">
        <v>51163</v>
      </c>
      <c r="C14" s="349" t="s">
        <v>797</v>
      </c>
      <c r="D14" s="349" t="s">
        <v>798</v>
      </c>
      <c r="E14" s="363">
        <v>580</v>
      </c>
      <c r="F14" s="360">
        <v>21823.200000000001</v>
      </c>
      <c r="G14" s="362">
        <v>21677.200000000001</v>
      </c>
      <c r="H14" s="361">
        <v>146</v>
      </c>
      <c r="I14" s="361">
        <v>726</v>
      </c>
    </row>
    <row r="15" spans="1:9" x14ac:dyDescent="0.2">
      <c r="A15" s="349" t="s">
        <v>341</v>
      </c>
      <c r="B15" s="359">
        <v>51206</v>
      </c>
      <c r="C15" s="349" t="s">
        <v>799</v>
      </c>
      <c r="D15" s="349" t="s">
        <v>800</v>
      </c>
      <c r="E15" s="363">
        <v>200</v>
      </c>
      <c r="F15" s="360">
        <v>6900</v>
      </c>
      <c r="G15" s="362">
        <v>6370</v>
      </c>
      <c r="H15" s="361">
        <v>530</v>
      </c>
      <c r="I15" s="361">
        <v>730</v>
      </c>
    </row>
    <row r="16" spans="1:9" x14ac:dyDescent="0.2">
      <c r="A16" s="349" t="s">
        <v>341</v>
      </c>
      <c r="B16" s="359">
        <v>52715</v>
      </c>
      <c r="C16" s="349" t="s">
        <v>801</v>
      </c>
      <c r="D16" s="349" t="s">
        <v>802</v>
      </c>
      <c r="E16" s="363">
        <v>0</v>
      </c>
      <c r="F16" s="363">
        <v>200</v>
      </c>
      <c r="G16" s="361">
        <v>200</v>
      </c>
      <c r="H16" s="361">
        <v>0</v>
      </c>
      <c r="I16" s="361">
        <v>0</v>
      </c>
    </row>
    <row r="17" spans="1:9" x14ac:dyDescent="0.2">
      <c r="A17" s="349" t="s">
        <v>341</v>
      </c>
      <c r="B17" s="359">
        <v>52762</v>
      </c>
      <c r="C17" s="349" t="s">
        <v>803</v>
      </c>
      <c r="D17" s="349" t="s">
        <v>804</v>
      </c>
      <c r="E17" s="363">
        <v>0</v>
      </c>
      <c r="F17" s="360">
        <v>9900</v>
      </c>
      <c r="G17" s="362">
        <v>9900</v>
      </c>
      <c r="H17" s="361">
        <v>0</v>
      </c>
      <c r="I17" s="361">
        <v>0</v>
      </c>
    </row>
    <row r="18" spans="1:9" x14ac:dyDescent="0.2">
      <c r="A18" s="349" t="s">
        <v>341</v>
      </c>
      <c r="B18" s="359">
        <v>52916</v>
      </c>
      <c r="C18" s="349" t="s">
        <v>805</v>
      </c>
      <c r="D18" s="349" t="s">
        <v>806</v>
      </c>
      <c r="E18" s="360">
        <v>1420</v>
      </c>
      <c r="F18" s="363">
        <v>0</v>
      </c>
      <c r="G18" s="362">
        <v>1420</v>
      </c>
      <c r="H18" s="362">
        <v>-1420</v>
      </c>
      <c r="I18" s="361">
        <v>0</v>
      </c>
    </row>
    <row r="19" spans="1:9" x14ac:dyDescent="0.2">
      <c r="A19" s="349" t="s">
        <v>341</v>
      </c>
      <c r="B19" s="359">
        <v>52659</v>
      </c>
      <c r="C19" s="349" t="s">
        <v>807</v>
      </c>
      <c r="D19" s="349" t="s">
        <v>808</v>
      </c>
      <c r="E19" s="360">
        <v>1028</v>
      </c>
      <c r="F19" s="360">
        <v>7896</v>
      </c>
      <c r="G19" s="362">
        <v>8121</v>
      </c>
      <c r="H19" s="361">
        <v>-225</v>
      </c>
      <c r="I19" s="361">
        <v>803</v>
      </c>
    </row>
    <row r="20" spans="1:9" x14ac:dyDescent="0.2">
      <c r="A20" s="349" t="s">
        <v>341</v>
      </c>
      <c r="B20" s="354">
        <v>46</v>
      </c>
      <c r="C20" s="355" t="s">
        <v>809</v>
      </c>
      <c r="D20" s="355" t="s">
        <v>810</v>
      </c>
      <c r="E20" s="356">
        <v>701641.58</v>
      </c>
      <c r="F20" s="356">
        <v>48697200.329999998</v>
      </c>
      <c r="G20" s="357">
        <v>49327018.880000003</v>
      </c>
      <c r="H20" s="357">
        <v>-629818.55000000005</v>
      </c>
      <c r="I20" s="357">
        <v>71823.03</v>
      </c>
    </row>
    <row r="21" spans="1:9" x14ac:dyDescent="0.2">
      <c r="A21" s="349" t="s">
        <v>341</v>
      </c>
      <c r="B21" s="359">
        <v>57</v>
      </c>
      <c r="C21" s="349" t="s">
        <v>811</v>
      </c>
      <c r="D21" s="349" t="s">
        <v>812</v>
      </c>
      <c r="E21" s="363">
        <v>50.94</v>
      </c>
      <c r="F21" s="360">
        <v>1644.25</v>
      </c>
      <c r="G21" s="362">
        <v>1449.08</v>
      </c>
      <c r="H21" s="361">
        <v>195.17</v>
      </c>
      <c r="I21" s="361">
        <v>246.11</v>
      </c>
    </row>
    <row r="22" spans="1:9" x14ac:dyDescent="0.2">
      <c r="A22" s="349" t="s">
        <v>341</v>
      </c>
      <c r="B22" s="359">
        <v>56</v>
      </c>
      <c r="C22" s="349" t="s">
        <v>813</v>
      </c>
      <c r="D22" s="349" t="s">
        <v>814</v>
      </c>
      <c r="E22" s="360">
        <v>4035.95</v>
      </c>
      <c r="F22" s="363">
        <v>0</v>
      </c>
      <c r="G22" s="361">
        <v>0</v>
      </c>
      <c r="H22" s="361">
        <v>0</v>
      </c>
      <c r="I22" s="362">
        <v>4035.95</v>
      </c>
    </row>
    <row r="23" spans="1:9" x14ac:dyDescent="0.2">
      <c r="A23" s="349" t="s">
        <v>341</v>
      </c>
      <c r="B23" s="359">
        <v>94</v>
      </c>
      <c r="C23" s="349" t="s">
        <v>815</v>
      </c>
      <c r="D23" s="349" t="s">
        <v>816</v>
      </c>
      <c r="E23" s="363">
        <v>86.92</v>
      </c>
      <c r="F23" s="360">
        <v>4685799.3</v>
      </c>
      <c r="G23" s="362">
        <v>4685725.3</v>
      </c>
      <c r="H23" s="361">
        <v>74</v>
      </c>
      <c r="I23" s="361">
        <v>160.91999999999999</v>
      </c>
    </row>
    <row r="24" spans="1:9" x14ac:dyDescent="0.2">
      <c r="A24" s="349" t="s">
        <v>341</v>
      </c>
      <c r="B24" s="359">
        <v>109</v>
      </c>
      <c r="C24" s="349" t="s">
        <v>817</v>
      </c>
      <c r="D24" s="349" t="s">
        <v>818</v>
      </c>
      <c r="E24" s="360">
        <v>7476.19</v>
      </c>
      <c r="F24" s="360">
        <v>3146688.84</v>
      </c>
      <c r="G24" s="362">
        <v>3150152.73</v>
      </c>
      <c r="H24" s="362">
        <v>-3463.89</v>
      </c>
      <c r="I24" s="362">
        <v>4012.3</v>
      </c>
    </row>
    <row r="25" spans="1:9" x14ac:dyDescent="0.2">
      <c r="A25" s="349" t="s">
        <v>341</v>
      </c>
      <c r="B25" s="359">
        <v>107</v>
      </c>
      <c r="C25" s="349" t="s">
        <v>819</v>
      </c>
      <c r="D25" s="349" t="s">
        <v>820</v>
      </c>
      <c r="E25" s="360">
        <v>642019.74</v>
      </c>
      <c r="F25" s="360">
        <v>22241796.84</v>
      </c>
      <c r="G25" s="362">
        <v>22824589.91</v>
      </c>
      <c r="H25" s="362">
        <v>-582793.06999999995</v>
      </c>
      <c r="I25" s="362">
        <v>59226.67</v>
      </c>
    </row>
    <row r="26" spans="1:9" x14ac:dyDescent="0.2">
      <c r="A26" s="349" t="s">
        <v>341</v>
      </c>
      <c r="B26" s="359">
        <v>99</v>
      </c>
      <c r="C26" s="349" t="s">
        <v>821</v>
      </c>
      <c r="D26" s="349" t="s">
        <v>822</v>
      </c>
      <c r="E26" s="363">
        <v>1</v>
      </c>
      <c r="F26" s="360">
        <v>437784.59</v>
      </c>
      <c r="G26" s="362">
        <v>437784.59</v>
      </c>
      <c r="H26" s="361">
        <v>0</v>
      </c>
      <c r="I26" s="361">
        <v>1</v>
      </c>
    </row>
    <row r="27" spans="1:9" x14ac:dyDescent="0.2">
      <c r="A27" s="349" t="s">
        <v>341</v>
      </c>
      <c r="B27" s="359">
        <v>98</v>
      </c>
      <c r="C27" s="349" t="s">
        <v>823</v>
      </c>
      <c r="D27" s="349" t="s">
        <v>824</v>
      </c>
      <c r="E27" s="363">
        <v>0</v>
      </c>
      <c r="F27" s="360">
        <v>322719.55</v>
      </c>
      <c r="G27" s="362">
        <v>322719.55</v>
      </c>
      <c r="H27" s="361">
        <v>0</v>
      </c>
      <c r="I27" s="361">
        <v>0</v>
      </c>
    </row>
    <row r="28" spans="1:9" x14ac:dyDescent="0.2">
      <c r="A28" s="349" t="s">
        <v>341</v>
      </c>
      <c r="B28" s="359">
        <v>73</v>
      </c>
      <c r="C28" s="349" t="s">
        <v>825</v>
      </c>
      <c r="D28" s="349" t="s">
        <v>826</v>
      </c>
      <c r="E28" s="363">
        <v>0</v>
      </c>
      <c r="F28" s="360">
        <v>4742269.32</v>
      </c>
      <c r="G28" s="362">
        <v>4742269.32</v>
      </c>
      <c r="H28" s="361">
        <v>0</v>
      </c>
      <c r="I28" s="361">
        <v>0</v>
      </c>
    </row>
    <row r="29" spans="1:9" x14ac:dyDescent="0.2">
      <c r="A29" s="349" t="s">
        <v>341</v>
      </c>
      <c r="B29" s="359">
        <v>32767</v>
      </c>
      <c r="C29" s="349" t="s">
        <v>827</v>
      </c>
      <c r="D29" s="349" t="s">
        <v>828</v>
      </c>
      <c r="E29" s="360">
        <v>1631.77</v>
      </c>
      <c r="F29" s="360">
        <v>708804.23</v>
      </c>
      <c r="G29" s="362">
        <v>710008.02</v>
      </c>
      <c r="H29" s="362">
        <v>-1203.79</v>
      </c>
      <c r="I29" s="361">
        <v>427.98</v>
      </c>
    </row>
    <row r="30" spans="1:9" x14ac:dyDescent="0.2">
      <c r="A30" s="349" t="s">
        <v>341</v>
      </c>
      <c r="B30" s="359">
        <v>71</v>
      </c>
      <c r="C30" s="349" t="s">
        <v>829</v>
      </c>
      <c r="D30" s="349" t="s">
        <v>830</v>
      </c>
      <c r="E30" s="360">
        <v>40718.239999999998</v>
      </c>
      <c r="F30" s="360">
        <v>3965186.2</v>
      </c>
      <c r="G30" s="362">
        <v>4004635.64</v>
      </c>
      <c r="H30" s="362">
        <v>-39449.440000000002</v>
      </c>
      <c r="I30" s="362">
        <v>1268.8</v>
      </c>
    </row>
    <row r="31" spans="1:9" x14ac:dyDescent="0.2">
      <c r="A31" s="349" t="s">
        <v>341</v>
      </c>
      <c r="B31" s="359">
        <v>101</v>
      </c>
      <c r="C31" s="349" t="s">
        <v>831</v>
      </c>
      <c r="D31" s="349" t="s">
        <v>832</v>
      </c>
      <c r="E31" s="363">
        <v>310.68</v>
      </c>
      <c r="F31" s="360">
        <v>3312973.4</v>
      </c>
      <c r="G31" s="362">
        <v>3312977.65</v>
      </c>
      <c r="H31" s="361">
        <v>-4.25</v>
      </c>
      <c r="I31" s="361">
        <v>306.43</v>
      </c>
    </row>
    <row r="32" spans="1:9" x14ac:dyDescent="0.2">
      <c r="A32" s="349" t="s">
        <v>341</v>
      </c>
      <c r="B32" s="359">
        <v>104</v>
      </c>
      <c r="C32" s="349" t="s">
        <v>833</v>
      </c>
      <c r="D32" s="349" t="s">
        <v>834</v>
      </c>
      <c r="E32" s="363">
        <v>0</v>
      </c>
      <c r="F32" s="360">
        <v>4725523.45</v>
      </c>
      <c r="G32" s="362">
        <v>4725523.45</v>
      </c>
      <c r="H32" s="361">
        <v>0</v>
      </c>
      <c r="I32" s="361">
        <v>0</v>
      </c>
    </row>
    <row r="33" spans="1:9" x14ac:dyDescent="0.2">
      <c r="A33" s="349" t="s">
        <v>341</v>
      </c>
      <c r="B33" s="359">
        <v>79</v>
      </c>
      <c r="C33" s="349" t="s">
        <v>835</v>
      </c>
      <c r="D33" s="349" t="s">
        <v>836</v>
      </c>
      <c r="E33" s="363">
        <v>77.930000000000007</v>
      </c>
      <c r="F33" s="360">
        <v>146576.22</v>
      </c>
      <c r="G33" s="362">
        <v>146375.6</v>
      </c>
      <c r="H33" s="361">
        <v>200.62</v>
      </c>
      <c r="I33" s="361">
        <v>278.55</v>
      </c>
    </row>
    <row r="34" spans="1:9" x14ac:dyDescent="0.2">
      <c r="A34" s="349" t="s">
        <v>341</v>
      </c>
      <c r="B34" s="359">
        <v>50869</v>
      </c>
      <c r="C34" s="349" t="s">
        <v>837</v>
      </c>
      <c r="D34" s="349" t="s">
        <v>838</v>
      </c>
      <c r="E34" s="363">
        <v>0</v>
      </c>
      <c r="F34" s="363">
        <v>142.43</v>
      </c>
      <c r="G34" s="361">
        <v>142.43</v>
      </c>
      <c r="H34" s="361">
        <v>0</v>
      </c>
      <c r="I34" s="361">
        <v>0</v>
      </c>
    </row>
    <row r="35" spans="1:9" x14ac:dyDescent="0.2">
      <c r="A35" s="349" t="s">
        <v>341</v>
      </c>
      <c r="B35" s="359">
        <v>52006</v>
      </c>
      <c r="C35" s="349" t="s">
        <v>839</v>
      </c>
      <c r="D35" s="349" t="s">
        <v>840</v>
      </c>
      <c r="E35" s="360">
        <v>3611.66</v>
      </c>
      <c r="F35" s="360">
        <v>187350.94</v>
      </c>
      <c r="G35" s="362">
        <v>190927.6</v>
      </c>
      <c r="H35" s="362">
        <v>-3576.66</v>
      </c>
      <c r="I35" s="361">
        <v>35</v>
      </c>
    </row>
    <row r="36" spans="1:9" x14ac:dyDescent="0.2">
      <c r="A36" s="349" t="s">
        <v>341</v>
      </c>
      <c r="B36" s="359">
        <v>52440</v>
      </c>
      <c r="C36" s="349" t="s">
        <v>841</v>
      </c>
      <c r="D36" s="349" t="s">
        <v>842</v>
      </c>
      <c r="E36" s="360">
        <v>1620.56</v>
      </c>
      <c r="F36" s="360">
        <v>71940.77</v>
      </c>
      <c r="G36" s="362">
        <v>71738.009999999995</v>
      </c>
      <c r="H36" s="361">
        <v>202.76</v>
      </c>
      <c r="I36" s="362">
        <v>1823.32</v>
      </c>
    </row>
    <row r="37" spans="1:9" x14ac:dyDescent="0.2">
      <c r="A37" s="349" t="s">
        <v>341</v>
      </c>
      <c r="B37" s="354">
        <v>141</v>
      </c>
      <c r="C37" s="355" t="s">
        <v>843</v>
      </c>
      <c r="D37" s="355" t="s">
        <v>844</v>
      </c>
      <c r="E37" s="356">
        <v>6777760.3399999999</v>
      </c>
      <c r="F37" s="356">
        <v>12773656.210000001</v>
      </c>
      <c r="G37" s="357">
        <v>1882995.56</v>
      </c>
      <c r="H37" s="357">
        <v>10890660.65</v>
      </c>
      <c r="I37" s="357">
        <v>17668420.989999998</v>
      </c>
    </row>
    <row r="38" spans="1:9" x14ac:dyDescent="0.2">
      <c r="A38" s="349" t="s">
        <v>341</v>
      </c>
      <c r="B38" s="359">
        <v>33929</v>
      </c>
      <c r="C38" s="349" t="s">
        <v>845</v>
      </c>
      <c r="D38" s="349" t="s">
        <v>846</v>
      </c>
      <c r="E38" s="360">
        <v>2138.48</v>
      </c>
      <c r="F38" s="360">
        <v>65019.58</v>
      </c>
      <c r="G38" s="362">
        <v>67135.56</v>
      </c>
      <c r="H38" s="362">
        <v>-2115.98</v>
      </c>
      <c r="I38" s="361">
        <v>22.5</v>
      </c>
    </row>
    <row r="39" spans="1:9" x14ac:dyDescent="0.2">
      <c r="A39" s="349" t="s">
        <v>341</v>
      </c>
      <c r="B39" s="359">
        <v>26395</v>
      </c>
      <c r="C39" s="349" t="s">
        <v>847</v>
      </c>
      <c r="D39" s="349" t="s">
        <v>848</v>
      </c>
      <c r="E39" s="360">
        <v>55000</v>
      </c>
      <c r="F39" s="363">
        <v>0</v>
      </c>
      <c r="G39" s="361">
        <v>0</v>
      </c>
      <c r="H39" s="361">
        <v>0</v>
      </c>
      <c r="I39" s="362">
        <v>55000</v>
      </c>
    </row>
    <row r="40" spans="1:9" x14ac:dyDescent="0.2">
      <c r="A40" s="349" t="s">
        <v>341</v>
      </c>
      <c r="B40" s="359">
        <v>140</v>
      </c>
      <c r="C40" s="349" t="s">
        <v>849</v>
      </c>
      <c r="D40" s="349" t="s">
        <v>850</v>
      </c>
      <c r="E40" s="363">
        <v>720</v>
      </c>
      <c r="F40" s="363">
        <v>0</v>
      </c>
      <c r="G40" s="361">
        <v>0</v>
      </c>
      <c r="H40" s="361">
        <v>0</v>
      </c>
      <c r="I40" s="361">
        <v>720</v>
      </c>
    </row>
    <row r="41" spans="1:9" x14ac:dyDescent="0.2">
      <c r="A41" s="349" t="s">
        <v>341</v>
      </c>
      <c r="B41" s="359">
        <v>138</v>
      </c>
      <c r="C41" s="349" t="s">
        <v>851</v>
      </c>
      <c r="D41" s="349" t="s">
        <v>852</v>
      </c>
      <c r="E41" s="360">
        <v>10952.77</v>
      </c>
      <c r="F41" s="360">
        <v>69226.320000000007</v>
      </c>
      <c r="G41" s="362">
        <v>19500</v>
      </c>
      <c r="H41" s="362">
        <v>49726.32</v>
      </c>
      <c r="I41" s="362">
        <v>60679.09</v>
      </c>
    </row>
    <row r="42" spans="1:9" x14ac:dyDescent="0.2">
      <c r="A42" s="349" t="s">
        <v>341</v>
      </c>
      <c r="B42" s="359">
        <v>50953</v>
      </c>
      <c r="C42" s="349" t="s">
        <v>853</v>
      </c>
      <c r="D42" s="349" t="s">
        <v>854</v>
      </c>
      <c r="E42" s="360">
        <v>5331927.22</v>
      </c>
      <c r="F42" s="360">
        <v>902297.74</v>
      </c>
      <c r="G42" s="362">
        <v>728461.6</v>
      </c>
      <c r="H42" s="362">
        <v>173836.14</v>
      </c>
      <c r="I42" s="362">
        <v>5505763.3600000003</v>
      </c>
    </row>
    <row r="43" spans="1:9" x14ac:dyDescent="0.2">
      <c r="A43" s="349" t="s">
        <v>341</v>
      </c>
      <c r="B43" s="359">
        <v>50995</v>
      </c>
      <c r="C43" s="349" t="s">
        <v>855</v>
      </c>
      <c r="D43" s="349" t="s">
        <v>838</v>
      </c>
      <c r="E43" s="363">
        <v>42.44</v>
      </c>
      <c r="F43" s="363">
        <v>90.65</v>
      </c>
      <c r="G43" s="361">
        <v>42.44</v>
      </c>
      <c r="H43" s="361">
        <v>48.21</v>
      </c>
      <c r="I43" s="361">
        <v>90.65</v>
      </c>
    </row>
    <row r="44" spans="1:9" x14ac:dyDescent="0.2">
      <c r="A44" s="349" t="s">
        <v>341</v>
      </c>
      <c r="B44" s="359">
        <v>51954</v>
      </c>
      <c r="C44" s="349" t="s">
        <v>856</v>
      </c>
      <c r="D44" s="349" t="s">
        <v>857</v>
      </c>
      <c r="E44" s="360">
        <v>345324.19</v>
      </c>
      <c r="F44" s="360">
        <v>11727.35</v>
      </c>
      <c r="G44" s="361">
        <v>0</v>
      </c>
      <c r="H44" s="362">
        <v>11727.35</v>
      </c>
      <c r="I44" s="362">
        <v>357051.54</v>
      </c>
    </row>
    <row r="45" spans="1:9" x14ac:dyDescent="0.2">
      <c r="A45" s="349" t="s">
        <v>341</v>
      </c>
      <c r="B45" s="359">
        <v>128</v>
      </c>
      <c r="C45" s="349" t="s">
        <v>858</v>
      </c>
      <c r="D45" s="349" t="s">
        <v>859</v>
      </c>
      <c r="E45" s="360">
        <v>226712.3</v>
      </c>
      <c r="F45" s="360">
        <v>303759.48</v>
      </c>
      <c r="G45" s="362">
        <v>302669.53000000003</v>
      </c>
      <c r="H45" s="362">
        <v>1089.95</v>
      </c>
      <c r="I45" s="362">
        <v>227802.25</v>
      </c>
    </row>
    <row r="46" spans="1:9" x14ac:dyDescent="0.2">
      <c r="A46" s="349" t="s">
        <v>341</v>
      </c>
      <c r="B46" s="359">
        <v>38099</v>
      </c>
      <c r="C46" s="349" t="s">
        <v>860</v>
      </c>
      <c r="D46" s="349" t="s">
        <v>818</v>
      </c>
      <c r="E46" s="360">
        <v>449492.02</v>
      </c>
      <c r="F46" s="360">
        <v>772275.74</v>
      </c>
      <c r="G46" s="362">
        <v>449809.15</v>
      </c>
      <c r="H46" s="362">
        <v>322466.59000000003</v>
      </c>
      <c r="I46" s="362">
        <v>771958.61</v>
      </c>
    </row>
    <row r="47" spans="1:9" x14ac:dyDescent="0.2">
      <c r="A47" s="349" t="s">
        <v>341</v>
      </c>
      <c r="B47" s="359">
        <v>38061</v>
      </c>
      <c r="C47" s="349" t="s">
        <v>861</v>
      </c>
      <c r="D47" s="349" t="s">
        <v>862</v>
      </c>
      <c r="E47" s="363">
        <v>500.11</v>
      </c>
      <c r="F47" s="360">
        <v>15047.05</v>
      </c>
      <c r="G47" s="362">
        <v>15547.16</v>
      </c>
      <c r="H47" s="361">
        <v>-500.11</v>
      </c>
      <c r="I47" s="361">
        <v>0</v>
      </c>
    </row>
    <row r="48" spans="1:9" x14ac:dyDescent="0.2">
      <c r="A48" s="349" t="s">
        <v>341</v>
      </c>
      <c r="B48" s="359">
        <v>52469</v>
      </c>
      <c r="C48" s="349" t="s">
        <v>863</v>
      </c>
      <c r="D48" s="349" t="s">
        <v>864</v>
      </c>
      <c r="E48" s="360">
        <v>354950.81</v>
      </c>
      <c r="F48" s="360">
        <v>33847.769999999997</v>
      </c>
      <c r="G48" s="362">
        <v>49830.12</v>
      </c>
      <c r="H48" s="362">
        <v>-15982.35</v>
      </c>
      <c r="I48" s="362">
        <v>338968.46</v>
      </c>
    </row>
    <row r="49" spans="1:9" x14ac:dyDescent="0.2">
      <c r="A49" s="349" t="s">
        <v>341</v>
      </c>
      <c r="B49" s="359">
        <v>52764</v>
      </c>
      <c r="C49" s="349" t="s">
        <v>865</v>
      </c>
      <c r="D49" s="349" t="s">
        <v>866</v>
      </c>
      <c r="E49" s="363">
        <v>0</v>
      </c>
      <c r="F49" s="360">
        <v>10000000</v>
      </c>
      <c r="G49" s="361">
        <v>0</v>
      </c>
      <c r="H49" s="362">
        <v>10000000</v>
      </c>
      <c r="I49" s="362">
        <v>10000000</v>
      </c>
    </row>
    <row r="50" spans="1:9" x14ac:dyDescent="0.2">
      <c r="A50" s="349" t="s">
        <v>341</v>
      </c>
      <c r="B50" s="359">
        <v>52776</v>
      </c>
      <c r="C50" s="349" t="s">
        <v>867</v>
      </c>
      <c r="D50" s="349" t="s">
        <v>866</v>
      </c>
      <c r="E50" s="363">
        <v>0</v>
      </c>
      <c r="F50" s="360">
        <v>600364.53</v>
      </c>
      <c r="G50" s="362">
        <v>250000</v>
      </c>
      <c r="H50" s="362">
        <v>350364.53</v>
      </c>
      <c r="I50" s="362">
        <v>350364.53</v>
      </c>
    </row>
    <row r="51" spans="1:9" x14ac:dyDescent="0.2">
      <c r="A51" s="349" t="s">
        <v>341</v>
      </c>
      <c r="B51" s="354">
        <v>53514</v>
      </c>
      <c r="C51" s="355" t="s">
        <v>868</v>
      </c>
      <c r="D51" s="355" t="s">
        <v>869</v>
      </c>
      <c r="E51" s="356">
        <v>1414.51</v>
      </c>
      <c r="F51" s="356">
        <v>1069859.75</v>
      </c>
      <c r="G51" s="357">
        <v>1070827.96</v>
      </c>
      <c r="H51" s="358">
        <v>-968.21</v>
      </c>
      <c r="I51" s="358">
        <v>446.3</v>
      </c>
    </row>
    <row r="52" spans="1:9" x14ac:dyDescent="0.2">
      <c r="A52" s="349" t="s">
        <v>341</v>
      </c>
      <c r="B52" s="359">
        <v>74</v>
      </c>
      <c r="C52" s="349" t="s">
        <v>870</v>
      </c>
      <c r="D52" s="349" t="s">
        <v>871</v>
      </c>
      <c r="E52" s="363">
        <v>902.93</v>
      </c>
      <c r="F52" s="360">
        <v>591310.34</v>
      </c>
      <c r="G52" s="362">
        <v>591889.1</v>
      </c>
      <c r="H52" s="361">
        <v>-578.76</v>
      </c>
      <c r="I52" s="361">
        <v>324.17</v>
      </c>
    </row>
    <row r="53" spans="1:9" x14ac:dyDescent="0.2">
      <c r="A53" s="349" t="s">
        <v>341</v>
      </c>
      <c r="B53" s="359">
        <v>52875</v>
      </c>
      <c r="C53" s="349" t="s">
        <v>872</v>
      </c>
      <c r="D53" s="349" t="s">
        <v>873</v>
      </c>
      <c r="E53" s="363">
        <v>174.08</v>
      </c>
      <c r="F53" s="363">
        <v>0</v>
      </c>
      <c r="G53" s="361">
        <v>51.95</v>
      </c>
      <c r="H53" s="361">
        <v>-51.95</v>
      </c>
      <c r="I53" s="361">
        <v>122.13</v>
      </c>
    </row>
    <row r="54" spans="1:9" x14ac:dyDescent="0.2">
      <c r="A54" s="349" t="s">
        <v>341</v>
      </c>
      <c r="B54" s="359">
        <v>53571</v>
      </c>
      <c r="C54" s="349" t="s">
        <v>874</v>
      </c>
      <c r="D54" s="349" t="s">
        <v>875</v>
      </c>
      <c r="E54" s="363">
        <v>0</v>
      </c>
      <c r="F54" s="360">
        <v>12190</v>
      </c>
      <c r="G54" s="362">
        <v>12190</v>
      </c>
      <c r="H54" s="361">
        <v>0</v>
      </c>
      <c r="I54" s="361">
        <v>0</v>
      </c>
    </row>
    <row r="55" spans="1:9" x14ac:dyDescent="0.2">
      <c r="A55" s="349" t="s">
        <v>341</v>
      </c>
      <c r="B55" s="359">
        <v>53574</v>
      </c>
      <c r="C55" s="349" t="s">
        <v>876</v>
      </c>
      <c r="D55" s="349" t="s">
        <v>877</v>
      </c>
      <c r="E55" s="363">
        <v>0</v>
      </c>
      <c r="F55" s="360">
        <v>57240</v>
      </c>
      <c r="G55" s="362">
        <v>57240</v>
      </c>
      <c r="H55" s="361">
        <v>0</v>
      </c>
      <c r="I55" s="361">
        <v>0</v>
      </c>
    </row>
    <row r="56" spans="1:9" x14ac:dyDescent="0.2">
      <c r="A56" s="349" t="s">
        <v>341</v>
      </c>
      <c r="B56" s="359">
        <v>80</v>
      </c>
      <c r="C56" s="349" t="s">
        <v>878</v>
      </c>
      <c r="D56" s="349" t="s">
        <v>879</v>
      </c>
      <c r="E56" s="363">
        <v>221.5</v>
      </c>
      <c r="F56" s="360">
        <v>60335.44</v>
      </c>
      <c r="G56" s="362">
        <v>60556.94</v>
      </c>
      <c r="H56" s="361">
        <v>-221.5</v>
      </c>
      <c r="I56" s="361">
        <v>0</v>
      </c>
    </row>
    <row r="57" spans="1:9" x14ac:dyDescent="0.2">
      <c r="A57" s="349" t="s">
        <v>341</v>
      </c>
      <c r="B57" s="359">
        <v>53074</v>
      </c>
      <c r="C57" s="349" t="s">
        <v>880</v>
      </c>
      <c r="D57" s="349" t="s">
        <v>881</v>
      </c>
      <c r="E57" s="363">
        <v>116</v>
      </c>
      <c r="F57" s="360">
        <v>24000</v>
      </c>
      <c r="G57" s="362">
        <v>24116</v>
      </c>
      <c r="H57" s="361">
        <v>-116</v>
      </c>
      <c r="I57" s="361">
        <v>0</v>
      </c>
    </row>
    <row r="58" spans="1:9" x14ac:dyDescent="0.2">
      <c r="A58" s="349" t="s">
        <v>341</v>
      </c>
      <c r="B58" s="354">
        <v>53515</v>
      </c>
      <c r="C58" s="355" t="s">
        <v>882</v>
      </c>
      <c r="D58" s="355" t="s">
        <v>883</v>
      </c>
      <c r="E58" s="356">
        <v>4239567.84</v>
      </c>
      <c r="F58" s="356">
        <v>220353.75</v>
      </c>
      <c r="G58" s="357">
        <v>870170.47</v>
      </c>
      <c r="H58" s="357">
        <v>-649816.72</v>
      </c>
      <c r="I58" s="357">
        <v>3589751.12</v>
      </c>
    </row>
    <row r="59" spans="1:9" x14ac:dyDescent="0.2">
      <c r="A59" s="349" t="s">
        <v>341</v>
      </c>
      <c r="B59" s="359">
        <v>129</v>
      </c>
      <c r="C59" s="349" t="s">
        <v>884</v>
      </c>
      <c r="D59" s="349" t="s">
        <v>871</v>
      </c>
      <c r="E59" s="360">
        <v>646054.93000000005</v>
      </c>
      <c r="F59" s="360">
        <v>2183.0700000000002</v>
      </c>
      <c r="G59" s="362">
        <v>591310.34</v>
      </c>
      <c r="H59" s="362">
        <v>-589127.27</v>
      </c>
      <c r="I59" s="362">
        <v>56927.66</v>
      </c>
    </row>
    <row r="60" spans="1:9" x14ac:dyDescent="0.2">
      <c r="A60" s="349" t="s">
        <v>341</v>
      </c>
      <c r="B60" s="359">
        <v>53283</v>
      </c>
      <c r="C60" s="349" t="s">
        <v>885</v>
      </c>
      <c r="D60" s="349" t="s">
        <v>886</v>
      </c>
      <c r="E60" s="360">
        <v>20486.310000000001</v>
      </c>
      <c r="F60" s="363">
        <v>76.23</v>
      </c>
      <c r="G60" s="361">
        <v>0</v>
      </c>
      <c r="H60" s="361">
        <v>76.23</v>
      </c>
      <c r="I60" s="362">
        <v>20562.54</v>
      </c>
    </row>
    <row r="61" spans="1:9" x14ac:dyDescent="0.2">
      <c r="A61" s="349" t="s">
        <v>341</v>
      </c>
      <c r="B61" s="359">
        <v>53568</v>
      </c>
      <c r="C61" s="349" t="s">
        <v>887</v>
      </c>
      <c r="D61" s="349" t="s">
        <v>888</v>
      </c>
      <c r="E61" s="363">
        <v>559.57000000000005</v>
      </c>
      <c r="F61" s="363">
        <v>1.63</v>
      </c>
      <c r="G61" s="361">
        <v>7.0000000000000007E-2</v>
      </c>
      <c r="H61" s="361">
        <v>1.56</v>
      </c>
      <c r="I61" s="361">
        <v>561.13</v>
      </c>
    </row>
    <row r="62" spans="1:9" x14ac:dyDescent="0.2">
      <c r="A62" s="349" t="s">
        <v>341</v>
      </c>
      <c r="B62" s="359">
        <v>53570</v>
      </c>
      <c r="C62" s="349" t="s">
        <v>889</v>
      </c>
      <c r="D62" s="349" t="s">
        <v>890</v>
      </c>
      <c r="E62" s="360">
        <v>51277.52</v>
      </c>
      <c r="F62" s="363">
        <v>149.08000000000001</v>
      </c>
      <c r="G62" s="361">
        <v>6.48</v>
      </c>
      <c r="H62" s="361">
        <v>142.6</v>
      </c>
      <c r="I62" s="362">
        <v>51420.12</v>
      </c>
    </row>
    <row r="63" spans="1:9" x14ac:dyDescent="0.2">
      <c r="A63" s="349" t="s">
        <v>341</v>
      </c>
      <c r="B63" s="359">
        <v>53572</v>
      </c>
      <c r="C63" s="349" t="s">
        <v>891</v>
      </c>
      <c r="D63" s="349" t="s">
        <v>892</v>
      </c>
      <c r="E63" s="360">
        <v>156734.87</v>
      </c>
      <c r="F63" s="363">
        <v>443.36</v>
      </c>
      <c r="G63" s="362">
        <v>12209.83</v>
      </c>
      <c r="H63" s="362">
        <v>-11766.47</v>
      </c>
      <c r="I63" s="362">
        <v>144968.4</v>
      </c>
    </row>
    <row r="64" spans="1:9" x14ac:dyDescent="0.2">
      <c r="A64" s="349" t="s">
        <v>341</v>
      </c>
      <c r="B64" s="359">
        <v>53573</v>
      </c>
      <c r="C64" s="349" t="s">
        <v>893</v>
      </c>
      <c r="D64" s="349" t="s">
        <v>894</v>
      </c>
      <c r="E64" s="360">
        <v>57563.46</v>
      </c>
      <c r="F64" s="363">
        <v>37.130000000000003</v>
      </c>
      <c r="G64" s="362">
        <v>57247.29</v>
      </c>
      <c r="H64" s="362">
        <v>-57210.16</v>
      </c>
      <c r="I64" s="361">
        <v>353.3</v>
      </c>
    </row>
    <row r="65" spans="1:9" x14ac:dyDescent="0.2">
      <c r="A65" s="349" t="s">
        <v>341</v>
      </c>
      <c r="B65" s="359">
        <v>53575</v>
      </c>
      <c r="C65" s="349" t="s">
        <v>895</v>
      </c>
      <c r="D65" s="349" t="s">
        <v>896</v>
      </c>
      <c r="E65" s="360">
        <v>3191524.27</v>
      </c>
      <c r="F65" s="360">
        <v>16705.48</v>
      </c>
      <c r="G65" s="362">
        <v>60848.6</v>
      </c>
      <c r="H65" s="362">
        <v>-44143.12</v>
      </c>
      <c r="I65" s="362">
        <v>3147381.15</v>
      </c>
    </row>
    <row r="66" spans="1:9" x14ac:dyDescent="0.2">
      <c r="A66" s="349" t="s">
        <v>341</v>
      </c>
      <c r="B66" s="359">
        <v>53499</v>
      </c>
      <c r="C66" s="349" t="s">
        <v>897</v>
      </c>
      <c r="D66" s="349" t="s">
        <v>898</v>
      </c>
      <c r="E66" s="360">
        <v>115366.91</v>
      </c>
      <c r="F66" s="363">
        <v>348.15</v>
      </c>
      <c r="G66" s="362">
        <v>24000</v>
      </c>
      <c r="H66" s="362">
        <v>-23651.85</v>
      </c>
      <c r="I66" s="362">
        <v>91715.06</v>
      </c>
    </row>
    <row r="67" spans="1:9" x14ac:dyDescent="0.2">
      <c r="A67" s="349" t="s">
        <v>341</v>
      </c>
      <c r="B67" s="359">
        <v>53715</v>
      </c>
      <c r="C67" s="349" t="s">
        <v>899</v>
      </c>
      <c r="D67" s="349" t="s">
        <v>900</v>
      </c>
      <c r="E67" s="363">
        <v>0</v>
      </c>
      <c r="F67" s="360">
        <v>200409.62</v>
      </c>
      <c r="G67" s="362">
        <v>124547.86</v>
      </c>
      <c r="H67" s="362">
        <v>75861.759999999995</v>
      </c>
      <c r="I67" s="362">
        <v>75861.759999999995</v>
      </c>
    </row>
    <row r="68" spans="1:9" x14ac:dyDescent="0.2">
      <c r="A68" s="349" t="s">
        <v>341</v>
      </c>
      <c r="B68" s="354">
        <v>36555</v>
      </c>
      <c r="C68" s="355" t="s">
        <v>901</v>
      </c>
      <c r="D68" s="355" t="s">
        <v>902</v>
      </c>
      <c r="E68" s="356">
        <v>29101747.07</v>
      </c>
      <c r="F68" s="356">
        <v>13430797.66</v>
      </c>
      <c r="G68" s="357">
        <v>15092611.1</v>
      </c>
      <c r="H68" s="357">
        <v>-1661813.44</v>
      </c>
      <c r="I68" s="357">
        <v>27439933.629999999</v>
      </c>
    </row>
    <row r="69" spans="1:9" x14ac:dyDescent="0.2">
      <c r="A69" s="349" t="s">
        <v>341</v>
      </c>
      <c r="B69" s="354">
        <v>53335</v>
      </c>
      <c r="C69" s="355" t="s">
        <v>903</v>
      </c>
      <c r="D69" s="355" t="s">
        <v>904</v>
      </c>
      <c r="E69" s="356">
        <v>158008.26</v>
      </c>
      <c r="F69" s="356">
        <v>1886.77</v>
      </c>
      <c r="G69" s="357">
        <v>32555.99</v>
      </c>
      <c r="H69" s="357">
        <v>-30669.22</v>
      </c>
      <c r="I69" s="357">
        <v>127339.04</v>
      </c>
    </row>
    <row r="70" spans="1:9" x14ac:dyDescent="0.2">
      <c r="A70" s="349" t="s">
        <v>341</v>
      </c>
      <c r="B70" s="359">
        <v>53336</v>
      </c>
      <c r="C70" s="349" t="s">
        <v>905</v>
      </c>
      <c r="D70" s="349" t="s">
        <v>904</v>
      </c>
      <c r="E70" s="360">
        <v>162779.96</v>
      </c>
      <c r="F70" s="363">
        <v>0</v>
      </c>
      <c r="G70" s="362">
        <v>32555.99</v>
      </c>
      <c r="H70" s="362">
        <v>-32555.99</v>
      </c>
      <c r="I70" s="362">
        <v>130223.97</v>
      </c>
    </row>
    <row r="71" spans="1:9" x14ac:dyDescent="0.2">
      <c r="A71" s="349" t="s">
        <v>341</v>
      </c>
      <c r="B71" s="359">
        <v>53337</v>
      </c>
      <c r="C71" s="349" t="s">
        <v>906</v>
      </c>
      <c r="D71" s="349" t="s">
        <v>907</v>
      </c>
      <c r="E71" s="360">
        <v>-4771.7</v>
      </c>
      <c r="F71" s="360">
        <v>1886.77</v>
      </c>
      <c r="G71" s="361">
        <v>0</v>
      </c>
      <c r="H71" s="362">
        <v>1886.77</v>
      </c>
      <c r="I71" s="362">
        <v>-2884.93</v>
      </c>
    </row>
    <row r="72" spans="1:9" x14ac:dyDescent="0.2">
      <c r="A72" s="349" t="s">
        <v>341</v>
      </c>
      <c r="B72" s="354">
        <v>36556</v>
      </c>
      <c r="C72" s="355" t="s">
        <v>908</v>
      </c>
      <c r="D72" s="355" t="s">
        <v>909</v>
      </c>
      <c r="E72" s="356">
        <v>11990619.26</v>
      </c>
      <c r="F72" s="356">
        <v>8434422.1600000001</v>
      </c>
      <c r="G72" s="357">
        <v>8771801.0700000003</v>
      </c>
      <c r="H72" s="357">
        <v>-337378.91</v>
      </c>
      <c r="I72" s="357">
        <v>11653240.35</v>
      </c>
    </row>
    <row r="73" spans="1:9" x14ac:dyDescent="0.2">
      <c r="A73" s="349" t="s">
        <v>341</v>
      </c>
      <c r="B73" s="359">
        <v>395</v>
      </c>
      <c r="C73" s="349" t="s">
        <v>910</v>
      </c>
      <c r="D73" s="349" t="s">
        <v>911</v>
      </c>
      <c r="E73" s="360">
        <v>3571.71</v>
      </c>
      <c r="F73" s="363">
        <v>371.33</v>
      </c>
      <c r="G73" s="361">
        <v>420.58</v>
      </c>
      <c r="H73" s="361">
        <v>-49.25</v>
      </c>
      <c r="I73" s="362">
        <v>3522.46</v>
      </c>
    </row>
    <row r="74" spans="1:9" x14ac:dyDescent="0.2">
      <c r="A74" s="349" t="s">
        <v>341</v>
      </c>
      <c r="B74" s="359">
        <v>33136</v>
      </c>
      <c r="C74" s="349" t="s">
        <v>912</v>
      </c>
      <c r="D74" s="349" t="s">
        <v>913</v>
      </c>
      <c r="E74" s="360">
        <v>41834.559999999998</v>
      </c>
      <c r="F74" s="363">
        <v>70.39</v>
      </c>
      <c r="G74" s="362">
        <v>35537.97</v>
      </c>
      <c r="H74" s="362">
        <v>-35467.58</v>
      </c>
      <c r="I74" s="362">
        <v>6366.98</v>
      </c>
    </row>
    <row r="75" spans="1:9" x14ac:dyDescent="0.2">
      <c r="A75" s="349" t="s">
        <v>341</v>
      </c>
      <c r="B75" s="359">
        <v>396</v>
      </c>
      <c r="C75" s="349" t="s">
        <v>914</v>
      </c>
      <c r="D75" s="349" t="s">
        <v>915</v>
      </c>
      <c r="E75" s="360">
        <v>3173.8</v>
      </c>
      <c r="F75" s="360">
        <v>1088.79</v>
      </c>
      <c r="G75" s="361">
        <v>382.13</v>
      </c>
      <c r="H75" s="361">
        <v>706.66</v>
      </c>
      <c r="I75" s="362">
        <v>3880.46</v>
      </c>
    </row>
    <row r="76" spans="1:9" x14ac:dyDescent="0.2">
      <c r="A76" s="349" t="s">
        <v>341</v>
      </c>
      <c r="B76" s="359">
        <v>388</v>
      </c>
      <c r="C76" s="349" t="s">
        <v>916</v>
      </c>
      <c r="D76" s="349" t="s">
        <v>917</v>
      </c>
      <c r="E76" s="363">
        <v>0</v>
      </c>
      <c r="F76" s="363">
        <v>80</v>
      </c>
      <c r="G76" s="361">
        <v>80</v>
      </c>
      <c r="H76" s="361">
        <v>0</v>
      </c>
      <c r="I76" s="361">
        <v>0</v>
      </c>
    </row>
    <row r="77" spans="1:9" x14ac:dyDescent="0.2">
      <c r="A77" s="349" t="s">
        <v>341</v>
      </c>
      <c r="B77" s="359">
        <v>392</v>
      </c>
      <c r="C77" s="349" t="s">
        <v>918</v>
      </c>
      <c r="D77" s="349" t="s">
        <v>919</v>
      </c>
      <c r="E77" s="360">
        <v>406319.12</v>
      </c>
      <c r="F77" s="360">
        <v>164335.24</v>
      </c>
      <c r="G77" s="362">
        <v>220480.32</v>
      </c>
      <c r="H77" s="362">
        <v>-56145.08</v>
      </c>
      <c r="I77" s="362">
        <v>350174.04</v>
      </c>
    </row>
    <row r="78" spans="1:9" x14ac:dyDescent="0.2">
      <c r="A78" s="349" t="s">
        <v>341</v>
      </c>
      <c r="B78" s="359">
        <v>391</v>
      </c>
      <c r="C78" s="349" t="s">
        <v>920</v>
      </c>
      <c r="D78" s="349" t="s">
        <v>921</v>
      </c>
      <c r="E78" s="363">
        <v>137.4</v>
      </c>
      <c r="F78" s="363">
        <v>0</v>
      </c>
      <c r="G78" s="361">
        <v>0</v>
      </c>
      <c r="H78" s="361">
        <v>0</v>
      </c>
      <c r="I78" s="361">
        <v>137.4</v>
      </c>
    </row>
    <row r="79" spans="1:9" x14ac:dyDescent="0.2">
      <c r="A79" s="349" t="s">
        <v>341</v>
      </c>
      <c r="B79" s="359">
        <v>51149</v>
      </c>
      <c r="C79" s="349" t="s">
        <v>922</v>
      </c>
      <c r="D79" s="349" t="s">
        <v>923</v>
      </c>
      <c r="E79" s="360">
        <v>494400.81</v>
      </c>
      <c r="F79" s="360">
        <v>4870814.78</v>
      </c>
      <c r="G79" s="362">
        <v>5300000</v>
      </c>
      <c r="H79" s="362">
        <v>-429185.22</v>
      </c>
      <c r="I79" s="362">
        <v>65215.59</v>
      </c>
    </row>
    <row r="80" spans="1:9" x14ac:dyDescent="0.2">
      <c r="A80" s="349" t="s">
        <v>341</v>
      </c>
      <c r="B80" s="359">
        <v>406</v>
      </c>
      <c r="C80" s="349" t="s">
        <v>924</v>
      </c>
      <c r="D80" s="349" t="s">
        <v>925</v>
      </c>
      <c r="E80" s="360">
        <v>234988.48</v>
      </c>
      <c r="F80" s="360">
        <v>122437.7</v>
      </c>
      <c r="G80" s="362">
        <v>196677.62</v>
      </c>
      <c r="H80" s="362">
        <v>-74239.92</v>
      </c>
      <c r="I80" s="362">
        <v>160748.56</v>
      </c>
    </row>
    <row r="81" spans="1:9" x14ac:dyDescent="0.2">
      <c r="A81" s="349" t="s">
        <v>341</v>
      </c>
      <c r="B81" s="359">
        <v>51181</v>
      </c>
      <c r="C81" s="349" t="s">
        <v>926</v>
      </c>
      <c r="D81" s="349" t="s">
        <v>927</v>
      </c>
      <c r="E81" s="363">
        <v>0</v>
      </c>
      <c r="F81" s="360">
        <v>1202</v>
      </c>
      <c r="G81" s="362">
        <v>1202</v>
      </c>
      <c r="H81" s="361">
        <v>0</v>
      </c>
      <c r="I81" s="361">
        <v>0</v>
      </c>
    </row>
    <row r="82" spans="1:9" x14ac:dyDescent="0.2">
      <c r="A82" s="349" t="s">
        <v>341</v>
      </c>
      <c r="B82" s="359">
        <v>394</v>
      </c>
      <c r="C82" s="349" t="s">
        <v>928</v>
      </c>
      <c r="D82" s="349" t="s">
        <v>929</v>
      </c>
      <c r="E82" s="360">
        <v>28355.33</v>
      </c>
      <c r="F82" s="360">
        <v>2501.69</v>
      </c>
      <c r="G82" s="362">
        <v>16599.55</v>
      </c>
      <c r="H82" s="362">
        <v>-14097.86</v>
      </c>
      <c r="I82" s="362">
        <v>14257.47</v>
      </c>
    </row>
    <row r="83" spans="1:9" x14ac:dyDescent="0.2">
      <c r="A83" s="349" t="s">
        <v>341</v>
      </c>
      <c r="B83" s="359">
        <v>51321</v>
      </c>
      <c r="C83" s="349" t="s">
        <v>930</v>
      </c>
      <c r="D83" s="349" t="s">
        <v>931</v>
      </c>
      <c r="E83" s="363">
        <v>770.85</v>
      </c>
      <c r="F83" s="363">
        <v>567.32000000000005</v>
      </c>
      <c r="G83" s="361">
        <v>770.85</v>
      </c>
      <c r="H83" s="361">
        <v>-203.53</v>
      </c>
      <c r="I83" s="361">
        <v>567.32000000000005</v>
      </c>
    </row>
    <row r="84" spans="1:9" x14ac:dyDescent="0.2">
      <c r="A84" s="349" t="s">
        <v>341</v>
      </c>
      <c r="B84" s="359">
        <v>38252</v>
      </c>
      <c r="C84" s="349" t="s">
        <v>932</v>
      </c>
      <c r="D84" s="349" t="s">
        <v>933</v>
      </c>
      <c r="E84" s="363">
        <v>898</v>
      </c>
      <c r="F84" s="363">
        <v>130</v>
      </c>
      <c r="G84" s="361">
        <v>65</v>
      </c>
      <c r="H84" s="361">
        <v>65</v>
      </c>
      <c r="I84" s="361">
        <v>963</v>
      </c>
    </row>
    <row r="85" spans="1:9" x14ac:dyDescent="0.2">
      <c r="A85" s="349" t="s">
        <v>341</v>
      </c>
      <c r="B85" s="359">
        <v>398</v>
      </c>
      <c r="C85" s="349" t="s">
        <v>934</v>
      </c>
      <c r="D85" s="349" t="s">
        <v>935</v>
      </c>
      <c r="E85" s="360">
        <v>1148377.93</v>
      </c>
      <c r="F85" s="360">
        <v>256387.21</v>
      </c>
      <c r="G85" s="362">
        <v>291313.36</v>
      </c>
      <c r="H85" s="362">
        <v>-34926.15</v>
      </c>
      <c r="I85" s="362">
        <v>1113451.78</v>
      </c>
    </row>
    <row r="86" spans="1:9" x14ac:dyDescent="0.2">
      <c r="A86" s="349" t="s">
        <v>341</v>
      </c>
      <c r="B86" s="359">
        <v>401</v>
      </c>
      <c r="C86" s="349" t="s">
        <v>936</v>
      </c>
      <c r="D86" s="349" t="s">
        <v>937</v>
      </c>
      <c r="E86" s="360">
        <v>1444.11</v>
      </c>
      <c r="F86" s="363">
        <v>440.76</v>
      </c>
      <c r="G86" s="362">
        <v>1444.11</v>
      </c>
      <c r="H86" s="362">
        <v>-1003.35</v>
      </c>
      <c r="I86" s="361">
        <v>440.76</v>
      </c>
    </row>
    <row r="87" spans="1:9" x14ac:dyDescent="0.2">
      <c r="A87" s="349" t="s">
        <v>341</v>
      </c>
      <c r="B87" s="359">
        <v>37840</v>
      </c>
      <c r="C87" s="349" t="s">
        <v>938</v>
      </c>
      <c r="D87" s="349" t="s">
        <v>939</v>
      </c>
      <c r="E87" s="360">
        <v>47976.01</v>
      </c>
      <c r="F87" s="360">
        <v>2374.69</v>
      </c>
      <c r="G87" s="362">
        <v>12984.51</v>
      </c>
      <c r="H87" s="362">
        <v>-10609.82</v>
      </c>
      <c r="I87" s="362">
        <v>37366.19</v>
      </c>
    </row>
    <row r="88" spans="1:9" x14ac:dyDescent="0.2">
      <c r="A88" s="349" t="s">
        <v>341</v>
      </c>
      <c r="B88" s="359">
        <v>400</v>
      </c>
      <c r="C88" s="349" t="s">
        <v>940</v>
      </c>
      <c r="D88" s="349" t="s">
        <v>941</v>
      </c>
      <c r="E88" s="360">
        <v>23560.84</v>
      </c>
      <c r="F88" s="363">
        <v>572.62</v>
      </c>
      <c r="G88" s="362">
        <v>8018.27</v>
      </c>
      <c r="H88" s="362">
        <v>-7445.65</v>
      </c>
      <c r="I88" s="362">
        <v>16115.19</v>
      </c>
    </row>
    <row r="89" spans="1:9" x14ac:dyDescent="0.2">
      <c r="A89" s="349" t="s">
        <v>341</v>
      </c>
      <c r="B89" s="359">
        <v>402</v>
      </c>
      <c r="C89" s="349" t="s">
        <v>942</v>
      </c>
      <c r="D89" s="349" t="s">
        <v>943</v>
      </c>
      <c r="E89" s="360">
        <v>44719.79</v>
      </c>
      <c r="F89" s="360">
        <v>41647.64</v>
      </c>
      <c r="G89" s="362">
        <v>29319.45</v>
      </c>
      <c r="H89" s="362">
        <v>12328.19</v>
      </c>
      <c r="I89" s="362">
        <v>57047.98</v>
      </c>
    </row>
    <row r="90" spans="1:9" x14ac:dyDescent="0.2">
      <c r="A90" s="349" t="s">
        <v>341</v>
      </c>
      <c r="B90" s="359">
        <v>33307</v>
      </c>
      <c r="C90" s="349" t="s">
        <v>944</v>
      </c>
      <c r="D90" s="349" t="s">
        <v>945</v>
      </c>
      <c r="E90" s="360">
        <v>264697.48</v>
      </c>
      <c r="F90" s="363">
        <v>0</v>
      </c>
      <c r="G90" s="361">
        <v>0</v>
      </c>
      <c r="H90" s="361">
        <v>0</v>
      </c>
      <c r="I90" s="362">
        <v>264697.48</v>
      </c>
    </row>
    <row r="91" spans="1:9" x14ac:dyDescent="0.2">
      <c r="A91" s="349" t="s">
        <v>341</v>
      </c>
      <c r="B91" s="359">
        <v>51840</v>
      </c>
      <c r="C91" s="349" t="s">
        <v>946</v>
      </c>
      <c r="D91" s="349" t="s">
        <v>947</v>
      </c>
      <c r="E91" s="360">
        <v>40039.31</v>
      </c>
      <c r="F91" s="360">
        <v>20165.080000000002</v>
      </c>
      <c r="G91" s="362">
        <v>8471.32</v>
      </c>
      <c r="H91" s="362">
        <v>11693.76</v>
      </c>
      <c r="I91" s="362">
        <v>51733.07</v>
      </c>
    </row>
    <row r="92" spans="1:9" x14ac:dyDescent="0.2">
      <c r="A92" s="349" t="s">
        <v>341</v>
      </c>
      <c r="B92" s="359">
        <v>38307</v>
      </c>
      <c r="C92" s="349" t="s">
        <v>948</v>
      </c>
      <c r="D92" s="349" t="s">
        <v>949</v>
      </c>
      <c r="E92" s="360">
        <v>102789.46</v>
      </c>
      <c r="F92" s="360">
        <v>17058.25</v>
      </c>
      <c r="G92" s="362">
        <v>1863.68</v>
      </c>
      <c r="H92" s="362">
        <v>15194.57</v>
      </c>
      <c r="I92" s="362">
        <v>117984.03</v>
      </c>
    </row>
    <row r="93" spans="1:9" x14ac:dyDescent="0.2">
      <c r="A93" s="349" t="s">
        <v>341</v>
      </c>
      <c r="B93" s="359">
        <v>412</v>
      </c>
      <c r="C93" s="349" t="s">
        <v>950</v>
      </c>
      <c r="D93" s="349" t="s">
        <v>951</v>
      </c>
      <c r="E93" s="360">
        <v>422594.92</v>
      </c>
      <c r="F93" s="360">
        <v>90859.99</v>
      </c>
      <c r="G93" s="362">
        <v>37135.74</v>
      </c>
      <c r="H93" s="362">
        <v>53724.25</v>
      </c>
      <c r="I93" s="362">
        <v>476319.17</v>
      </c>
    </row>
    <row r="94" spans="1:9" x14ac:dyDescent="0.2">
      <c r="A94" s="349" t="s">
        <v>341</v>
      </c>
      <c r="B94" s="359">
        <v>404</v>
      </c>
      <c r="C94" s="349" t="s">
        <v>952</v>
      </c>
      <c r="D94" s="349" t="s">
        <v>953</v>
      </c>
      <c r="E94" s="360">
        <v>149068.28</v>
      </c>
      <c r="F94" s="360">
        <v>19971.21</v>
      </c>
      <c r="G94" s="362">
        <v>40756.129999999997</v>
      </c>
      <c r="H94" s="362">
        <v>-20784.919999999998</v>
      </c>
      <c r="I94" s="362">
        <v>128283.36</v>
      </c>
    </row>
    <row r="95" spans="1:9" x14ac:dyDescent="0.2">
      <c r="A95" s="349" t="s">
        <v>341</v>
      </c>
      <c r="B95" s="359">
        <v>50870</v>
      </c>
      <c r="C95" s="349" t="s">
        <v>954</v>
      </c>
      <c r="D95" s="349" t="s">
        <v>955</v>
      </c>
      <c r="E95" s="363">
        <v>0</v>
      </c>
      <c r="F95" s="363">
        <v>164</v>
      </c>
      <c r="G95" s="361">
        <v>0</v>
      </c>
      <c r="H95" s="361">
        <v>164</v>
      </c>
      <c r="I95" s="361">
        <v>164</v>
      </c>
    </row>
    <row r="96" spans="1:9" x14ac:dyDescent="0.2">
      <c r="A96" s="349" t="s">
        <v>341</v>
      </c>
      <c r="B96" s="359">
        <v>52068</v>
      </c>
      <c r="C96" s="349" t="s">
        <v>956</v>
      </c>
      <c r="D96" s="349" t="s">
        <v>957</v>
      </c>
      <c r="E96" s="360">
        <v>2160.12</v>
      </c>
      <c r="F96" s="363">
        <v>0</v>
      </c>
      <c r="G96" s="361">
        <v>0</v>
      </c>
      <c r="H96" s="361">
        <v>0</v>
      </c>
      <c r="I96" s="362">
        <v>2160.12</v>
      </c>
    </row>
    <row r="97" spans="1:9" x14ac:dyDescent="0.2">
      <c r="A97" s="349" t="s">
        <v>341</v>
      </c>
      <c r="B97" s="359">
        <v>416</v>
      </c>
      <c r="C97" s="349" t="s">
        <v>958</v>
      </c>
      <c r="D97" s="349" t="s">
        <v>959</v>
      </c>
      <c r="E97" s="360">
        <v>5160.88</v>
      </c>
      <c r="F97" s="360">
        <v>2072.19</v>
      </c>
      <c r="G97" s="362">
        <v>2497.39</v>
      </c>
      <c r="H97" s="361">
        <v>-425.2</v>
      </c>
      <c r="I97" s="362">
        <v>4735.68</v>
      </c>
    </row>
    <row r="98" spans="1:9" x14ac:dyDescent="0.2">
      <c r="A98" s="349" t="s">
        <v>341</v>
      </c>
      <c r="B98" s="359">
        <v>12342</v>
      </c>
      <c r="C98" s="349" t="s">
        <v>960</v>
      </c>
      <c r="D98" s="349" t="s">
        <v>961</v>
      </c>
      <c r="E98" s="360">
        <v>2432.5100000000002</v>
      </c>
      <c r="F98" s="360">
        <v>10052.08</v>
      </c>
      <c r="G98" s="362">
        <v>1647.01</v>
      </c>
      <c r="H98" s="362">
        <v>8405.07</v>
      </c>
      <c r="I98" s="362">
        <v>10837.58</v>
      </c>
    </row>
    <row r="99" spans="1:9" x14ac:dyDescent="0.2">
      <c r="A99" s="349" t="s">
        <v>341</v>
      </c>
      <c r="B99" s="359">
        <v>52519</v>
      </c>
      <c r="C99" s="349" t="s">
        <v>962</v>
      </c>
      <c r="D99" s="349" t="s">
        <v>963</v>
      </c>
      <c r="E99" s="360">
        <v>80952.539999999994</v>
      </c>
      <c r="F99" s="360">
        <v>19653.11</v>
      </c>
      <c r="G99" s="362">
        <v>27620.89</v>
      </c>
      <c r="H99" s="362">
        <v>-7967.78</v>
      </c>
      <c r="I99" s="362">
        <v>72984.759999999995</v>
      </c>
    </row>
    <row r="100" spans="1:9" x14ac:dyDescent="0.2">
      <c r="A100" s="349" t="s">
        <v>341</v>
      </c>
      <c r="B100" s="359">
        <v>32891</v>
      </c>
      <c r="C100" s="349" t="s">
        <v>964</v>
      </c>
      <c r="D100" s="349" t="s">
        <v>965</v>
      </c>
      <c r="E100" s="360">
        <v>813264.96</v>
      </c>
      <c r="F100" s="360">
        <v>44644.18</v>
      </c>
      <c r="G100" s="362">
        <v>100325.34</v>
      </c>
      <c r="H100" s="362">
        <v>-55681.16</v>
      </c>
      <c r="I100" s="362">
        <v>757583.8</v>
      </c>
    </row>
    <row r="101" spans="1:9" x14ac:dyDescent="0.2">
      <c r="A101" s="349" t="s">
        <v>341</v>
      </c>
      <c r="B101" s="359">
        <v>12344</v>
      </c>
      <c r="C101" s="349" t="s">
        <v>966</v>
      </c>
      <c r="D101" s="349" t="s">
        <v>967</v>
      </c>
      <c r="E101" s="360">
        <v>24451.94</v>
      </c>
      <c r="F101" s="360">
        <v>7989.54</v>
      </c>
      <c r="G101" s="361">
        <v>0</v>
      </c>
      <c r="H101" s="362">
        <v>7989.54</v>
      </c>
      <c r="I101" s="362">
        <v>32441.48</v>
      </c>
    </row>
    <row r="102" spans="1:9" x14ac:dyDescent="0.2">
      <c r="A102" s="349" t="s">
        <v>341</v>
      </c>
      <c r="B102" s="359">
        <v>51341</v>
      </c>
      <c r="C102" s="349" t="s">
        <v>968</v>
      </c>
      <c r="D102" s="349" t="s">
        <v>969</v>
      </c>
      <c r="E102" s="360">
        <v>1487.01</v>
      </c>
      <c r="F102" s="363">
        <v>0</v>
      </c>
      <c r="G102" s="361">
        <v>0</v>
      </c>
      <c r="H102" s="361">
        <v>0</v>
      </c>
      <c r="I102" s="362">
        <v>1487.01</v>
      </c>
    </row>
    <row r="103" spans="1:9" x14ac:dyDescent="0.2">
      <c r="A103" s="349" t="s">
        <v>341</v>
      </c>
      <c r="B103" s="359">
        <v>12348</v>
      </c>
      <c r="C103" s="349" t="s">
        <v>970</v>
      </c>
      <c r="D103" s="349" t="s">
        <v>971</v>
      </c>
      <c r="E103" s="363">
        <v>454.31</v>
      </c>
      <c r="F103" s="363">
        <v>0</v>
      </c>
      <c r="G103" s="361">
        <v>0</v>
      </c>
      <c r="H103" s="361">
        <v>0</v>
      </c>
      <c r="I103" s="361">
        <v>454.31</v>
      </c>
    </row>
    <row r="104" spans="1:9" x14ac:dyDescent="0.2">
      <c r="A104" s="349" t="s">
        <v>341</v>
      </c>
      <c r="B104" s="359">
        <v>38036</v>
      </c>
      <c r="C104" s="349" t="s">
        <v>972</v>
      </c>
      <c r="D104" s="349" t="s">
        <v>973</v>
      </c>
      <c r="E104" s="360">
        <v>335020.15999999997</v>
      </c>
      <c r="F104" s="363">
        <v>0</v>
      </c>
      <c r="G104" s="361">
        <v>0</v>
      </c>
      <c r="H104" s="361">
        <v>0</v>
      </c>
      <c r="I104" s="362">
        <v>335020.15999999997</v>
      </c>
    </row>
    <row r="105" spans="1:9" x14ac:dyDescent="0.2">
      <c r="A105" s="349" t="s">
        <v>341</v>
      </c>
      <c r="B105" s="359">
        <v>38173</v>
      </c>
      <c r="C105" s="349" t="s">
        <v>974</v>
      </c>
      <c r="D105" s="349" t="s">
        <v>975</v>
      </c>
      <c r="E105" s="360">
        <v>1585710.22</v>
      </c>
      <c r="F105" s="360">
        <v>862416.58</v>
      </c>
      <c r="G105" s="362">
        <v>131276.22</v>
      </c>
      <c r="H105" s="362">
        <v>731140.36</v>
      </c>
      <c r="I105" s="362">
        <v>2316850.58</v>
      </c>
    </row>
    <row r="106" spans="1:9" x14ac:dyDescent="0.2">
      <c r="A106" s="349" t="s">
        <v>341</v>
      </c>
      <c r="B106" s="359">
        <v>37685</v>
      </c>
      <c r="C106" s="349" t="s">
        <v>976</v>
      </c>
      <c r="D106" s="349" t="s">
        <v>977</v>
      </c>
      <c r="E106" s="360">
        <v>146688.60999999999</v>
      </c>
      <c r="F106" s="360">
        <v>30039.55</v>
      </c>
      <c r="G106" s="362">
        <v>75225.34</v>
      </c>
      <c r="H106" s="362">
        <v>-45185.79</v>
      </c>
      <c r="I106" s="362">
        <v>101502.82</v>
      </c>
    </row>
    <row r="107" spans="1:9" x14ac:dyDescent="0.2">
      <c r="A107" s="349" t="s">
        <v>341</v>
      </c>
      <c r="B107" s="359">
        <v>52105</v>
      </c>
      <c r="C107" s="349" t="s">
        <v>978</v>
      </c>
      <c r="D107" s="349" t="s">
        <v>979</v>
      </c>
      <c r="E107" s="360">
        <v>95196.67</v>
      </c>
      <c r="F107" s="363">
        <v>0</v>
      </c>
      <c r="G107" s="361">
        <v>0</v>
      </c>
      <c r="H107" s="361">
        <v>0</v>
      </c>
      <c r="I107" s="362">
        <v>95196.67</v>
      </c>
    </row>
    <row r="108" spans="1:9" x14ac:dyDescent="0.2">
      <c r="A108" s="349" t="s">
        <v>341</v>
      </c>
      <c r="B108" s="359">
        <v>33913</v>
      </c>
      <c r="C108" s="349" t="s">
        <v>980</v>
      </c>
      <c r="D108" s="349" t="s">
        <v>981</v>
      </c>
      <c r="E108" s="360">
        <v>2882.61</v>
      </c>
      <c r="F108" s="363">
        <v>671.01</v>
      </c>
      <c r="G108" s="361">
        <v>0</v>
      </c>
      <c r="H108" s="361">
        <v>671.01</v>
      </c>
      <c r="I108" s="362">
        <v>3553.62</v>
      </c>
    </row>
    <row r="109" spans="1:9" x14ac:dyDescent="0.2">
      <c r="A109" s="349" t="s">
        <v>341</v>
      </c>
      <c r="B109" s="359">
        <v>12360</v>
      </c>
      <c r="C109" s="349" t="s">
        <v>982</v>
      </c>
      <c r="D109" s="349" t="s">
        <v>983</v>
      </c>
      <c r="E109" s="360">
        <v>2004.95</v>
      </c>
      <c r="F109" s="363">
        <v>55</v>
      </c>
      <c r="G109" s="361">
        <v>869.5</v>
      </c>
      <c r="H109" s="361">
        <v>-814.5</v>
      </c>
      <c r="I109" s="362">
        <v>1190.45</v>
      </c>
    </row>
    <row r="110" spans="1:9" x14ac:dyDescent="0.2">
      <c r="A110" s="349" t="s">
        <v>341</v>
      </c>
      <c r="B110" s="359">
        <v>12361</v>
      </c>
      <c r="C110" s="349" t="s">
        <v>984</v>
      </c>
      <c r="D110" s="349" t="s">
        <v>985</v>
      </c>
      <c r="E110" s="360">
        <v>51698.83</v>
      </c>
      <c r="F110" s="360">
        <v>17094.990000000002</v>
      </c>
      <c r="G110" s="362">
        <v>24241.88</v>
      </c>
      <c r="H110" s="362">
        <v>-7146.89</v>
      </c>
      <c r="I110" s="362">
        <v>44551.94</v>
      </c>
    </row>
    <row r="111" spans="1:9" x14ac:dyDescent="0.2">
      <c r="A111" s="349" t="s">
        <v>341</v>
      </c>
      <c r="B111" s="359">
        <v>12367</v>
      </c>
      <c r="C111" s="349" t="s">
        <v>986</v>
      </c>
      <c r="D111" s="349" t="s">
        <v>987</v>
      </c>
      <c r="E111" s="360">
        <v>207494.86</v>
      </c>
      <c r="F111" s="360">
        <v>91139.5</v>
      </c>
      <c r="G111" s="362">
        <v>114409.66</v>
      </c>
      <c r="H111" s="362">
        <v>-23270.16</v>
      </c>
      <c r="I111" s="362">
        <v>184224.7</v>
      </c>
    </row>
    <row r="112" spans="1:9" x14ac:dyDescent="0.2">
      <c r="A112" s="349" t="s">
        <v>341</v>
      </c>
      <c r="B112" s="359">
        <v>12371</v>
      </c>
      <c r="C112" s="349" t="s">
        <v>988</v>
      </c>
      <c r="D112" s="349" t="s">
        <v>989</v>
      </c>
      <c r="E112" s="360">
        <v>87289.07</v>
      </c>
      <c r="F112" s="360">
        <v>6003.4</v>
      </c>
      <c r="G112" s="362">
        <v>38470.32</v>
      </c>
      <c r="H112" s="362">
        <v>-32466.92</v>
      </c>
      <c r="I112" s="362">
        <v>54822.15</v>
      </c>
    </row>
    <row r="113" spans="1:9" x14ac:dyDescent="0.2">
      <c r="A113" s="349" t="s">
        <v>341</v>
      </c>
      <c r="B113" s="359">
        <v>12372</v>
      </c>
      <c r="C113" s="349" t="s">
        <v>990</v>
      </c>
      <c r="D113" s="349" t="s">
        <v>991</v>
      </c>
      <c r="E113" s="360">
        <v>1690.9</v>
      </c>
      <c r="F113" s="363">
        <v>0</v>
      </c>
      <c r="G113" s="361">
        <v>0</v>
      </c>
      <c r="H113" s="361">
        <v>0</v>
      </c>
      <c r="I113" s="362">
        <v>1690.9</v>
      </c>
    </row>
    <row r="114" spans="1:9" x14ac:dyDescent="0.2">
      <c r="A114" s="349" t="s">
        <v>341</v>
      </c>
      <c r="B114" s="359">
        <v>12381</v>
      </c>
      <c r="C114" s="349" t="s">
        <v>992</v>
      </c>
      <c r="D114" s="349" t="s">
        <v>993</v>
      </c>
      <c r="E114" s="360">
        <v>52960.51</v>
      </c>
      <c r="F114" s="360">
        <v>31516.67</v>
      </c>
      <c r="G114" s="362">
        <v>9682.6</v>
      </c>
      <c r="H114" s="362">
        <v>21834.07</v>
      </c>
      <c r="I114" s="362">
        <v>74794.58</v>
      </c>
    </row>
    <row r="115" spans="1:9" x14ac:dyDescent="0.2">
      <c r="A115" s="349" t="s">
        <v>341</v>
      </c>
      <c r="B115" s="359">
        <v>38594</v>
      </c>
      <c r="C115" s="349" t="s">
        <v>994</v>
      </c>
      <c r="D115" s="349" t="s">
        <v>995</v>
      </c>
      <c r="E115" s="360">
        <v>163855.71</v>
      </c>
      <c r="F115" s="360">
        <v>49983.199999999997</v>
      </c>
      <c r="G115" s="362">
        <v>81744.77</v>
      </c>
      <c r="H115" s="362">
        <v>-31761.57</v>
      </c>
      <c r="I115" s="362">
        <v>132094.14000000001</v>
      </c>
    </row>
    <row r="116" spans="1:9" x14ac:dyDescent="0.2">
      <c r="A116" s="349" t="s">
        <v>341</v>
      </c>
      <c r="B116" s="359">
        <v>51326</v>
      </c>
      <c r="C116" s="349" t="s">
        <v>996</v>
      </c>
      <c r="D116" s="349" t="s">
        <v>997</v>
      </c>
      <c r="E116" s="360">
        <v>2268</v>
      </c>
      <c r="F116" s="363">
        <v>0</v>
      </c>
      <c r="G116" s="361">
        <v>0</v>
      </c>
      <c r="H116" s="361">
        <v>0</v>
      </c>
      <c r="I116" s="362">
        <v>2268</v>
      </c>
    </row>
    <row r="117" spans="1:9" x14ac:dyDescent="0.2">
      <c r="A117" s="349" t="s">
        <v>341</v>
      </c>
      <c r="B117" s="359">
        <v>37048</v>
      </c>
      <c r="C117" s="349" t="s">
        <v>998</v>
      </c>
      <c r="D117" s="349" t="s">
        <v>999</v>
      </c>
      <c r="E117" s="363">
        <v>752.42</v>
      </c>
      <c r="F117" s="360">
        <v>15782.19</v>
      </c>
      <c r="G117" s="361">
        <v>0</v>
      </c>
      <c r="H117" s="362">
        <v>15782.19</v>
      </c>
      <c r="I117" s="362">
        <v>16534.61</v>
      </c>
    </row>
    <row r="118" spans="1:9" x14ac:dyDescent="0.2">
      <c r="A118" s="349" t="s">
        <v>341</v>
      </c>
      <c r="B118" s="359">
        <v>12387</v>
      </c>
      <c r="C118" s="349" t="s">
        <v>1000</v>
      </c>
      <c r="D118" s="349" t="s">
        <v>1001</v>
      </c>
      <c r="E118" s="360">
        <v>1050317.04</v>
      </c>
      <c r="F118" s="360">
        <v>383642.03</v>
      </c>
      <c r="G118" s="362">
        <v>688768.88</v>
      </c>
      <c r="H118" s="362">
        <v>-305126.84999999998</v>
      </c>
      <c r="I118" s="362">
        <v>745190.19</v>
      </c>
    </row>
    <row r="119" spans="1:9" x14ac:dyDescent="0.2">
      <c r="A119" s="349" t="s">
        <v>341</v>
      </c>
      <c r="B119" s="359">
        <v>12401</v>
      </c>
      <c r="C119" s="349" t="s">
        <v>1002</v>
      </c>
      <c r="D119" s="349" t="s">
        <v>1003</v>
      </c>
      <c r="E119" s="363">
        <v>100</v>
      </c>
      <c r="F119" s="363">
        <v>0</v>
      </c>
      <c r="G119" s="361">
        <v>100</v>
      </c>
      <c r="H119" s="361">
        <v>-100</v>
      </c>
      <c r="I119" s="361">
        <v>0</v>
      </c>
    </row>
    <row r="120" spans="1:9" x14ac:dyDescent="0.2">
      <c r="A120" s="349" t="s">
        <v>341</v>
      </c>
      <c r="B120" s="359">
        <v>51224</v>
      </c>
      <c r="C120" s="349" t="s">
        <v>1004</v>
      </c>
      <c r="D120" s="349" t="s">
        <v>1005</v>
      </c>
      <c r="E120" s="360">
        <v>40481.019999999997</v>
      </c>
      <c r="F120" s="363">
        <v>0</v>
      </c>
      <c r="G120" s="361">
        <v>83</v>
      </c>
      <c r="H120" s="361">
        <v>-83</v>
      </c>
      <c r="I120" s="362">
        <v>40398.019999999997</v>
      </c>
    </row>
    <row r="121" spans="1:9" x14ac:dyDescent="0.2">
      <c r="A121" s="349" t="s">
        <v>341</v>
      </c>
      <c r="B121" s="359">
        <v>12403</v>
      </c>
      <c r="C121" s="349" t="s">
        <v>1006</v>
      </c>
      <c r="D121" s="349" t="s">
        <v>1007</v>
      </c>
      <c r="E121" s="360">
        <v>573894.46</v>
      </c>
      <c r="F121" s="360">
        <v>540289.04</v>
      </c>
      <c r="G121" s="362">
        <v>575373.74</v>
      </c>
      <c r="H121" s="362">
        <v>-35084.699999999997</v>
      </c>
      <c r="I121" s="362">
        <v>538809.76</v>
      </c>
    </row>
    <row r="122" spans="1:9" x14ac:dyDescent="0.2">
      <c r="A122" s="349" t="s">
        <v>341</v>
      </c>
      <c r="B122" s="359">
        <v>33975</v>
      </c>
      <c r="C122" s="349" t="s">
        <v>1008</v>
      </c>
      <c r="D122" s="349" t="s">
        <v>1009</v>
      </c>
      <c r="E122" s="360">
        <v>2954369.63</v>
      </c>
      <c r="F122" s="360">
        <v>639866.62</v>
      </c>
      <c r="G122" s="362">
        <v>619859.65</v>
      </c>
      <c r="H122" s="362">
        <v>20006.97</v>
      </c>
      <c r="I122" s="362">
        <v>2974376.6</v>
      </c>
    </row>
    <row r="123" spans="1:9" x14ac:dyDescent="0.2">
      <c r="A123" s="349" t="s">
        <v>341</v>
      </c>
      <c r="B123" s="359">
        <v>52887</v>
      </c>
      <c r="C123" s="349" t="s">
        <v>1010</v>
      </c>
      <c r="D123" s="349" t="s">
        <v>1011</v>
      </c>
      <c r="E123" s="360">
        <v>10183.299999999999</v>
      </c>
      <c r="F123" s="363">
        <v>0</v>
      </c>
      <c r="G123" s="362">
        <v>10183.299999999999</v>
      </c>
      <c r="H123" s="362">
        <v>-10183.299999999999</v>
      </c>
      <c r="I123" s="361">
        <v>0</v>
      </c>
    </row>
    <row r="124" spans="1:9" x14ac:dyDescent="0.2">
      <c r="A124" s="349" t="s">
        <v>341</v>
      </c>
      <c r="B124" s="359">
        <v>38921</v>
      </c>
      <c r="C124" s="349" t="s">
        <v>1012</v>
      </c>
      <c r="D124" s="349" t="s">
        <v>1013</v>
      </c>
      <c r="E124" s="360">
        <v>147863.46</v>
      </c>
      <c r="F124" s="363">
        <v>0</v>
      </c>
      <c r="G124" s="361">
        <v>0</v>
      </c>
      <c r="H124" s="361">
        <v>0</v>
      </c>
      <c r="I124" s="362">
        <v>147863.46</v>
      </c>
    </row>
    <row r="125" spans="1:9" x14ac:dyDescent="0.2">
      <c r="A125" s="349" t="s">
        <v>341</v>
      </c>
      <c r="B125" s="359">
        <v>33511</v>
      </c>
      <c r="C125" s="349" t="s">
        <v>1014</v>
      </c>
      <c r="D125" s="349" t="s">
        <v>1015</v>
      </c>
      <c r="E125" s="363">
        <v>384.47</v>
      </c>
      <c r="F125" s="363">
        <v>0</v>
      </c>
      <c r="G125" s="361">
        <v>0</v>
      </c>
      <c r="H125" s="361">
        <v>0</v>
      </c>
      <c r="I125" s="361">
        <v>384.47</v>
      </c>
    </row>
    <row r="126" spans="1:9" x14ac:dyDescent="0.2">
      <c r="A126" s="349" t="s">
        <v>341</v>
      </c>
      <c r="B126" s="359">
        <v>408</v>
      </c>
      <c r="C126" s="349" t="s">
        <v>1016</v>
      </c>
      <c r="D126" s="349" t="s">
        <v>1017</v>
      </c>
      <c r="E126" s="360">
        <v>87429.9</v>
      </c>
      <c r="F126" s="360">
        <v>68270.59</v>
      </c>
      <c r="G126" s="362">
        <v>65898.990000000005</v>
      </c>
      <c r="H126" s="362">
        <v>2371.6</v>
      </c>
      <c r="I126" s="362">
        <v>89801.5</v>
      </c>
    </row>
    <row r="127" spans="1:9" x14ac:dyDescent="0.2">
      <c r="A127" s="349" t="s">
        <v>341</v>
      </c>
      <c r="B127" s="354">
        <v>53060</v>
      </c>
      <c r="C127" s="355" t="s">
        <v>1018</v>
      </c>
      <c r="D127" s="355" t="s">
        <v>1019</v>
      </c>
      <c r="E127" s="356">
        <v>101052.06</v>
      </c>
      <c r="F127" s="356">
        <v>117459.79</v>
      </c>
      <c r="G127" s="357">
        <v>96714.86</v>
      </c>
      <c r="H127" s="357">
        <v>20744.93</v>
      </c>
      <c r="I127" s="357">
        <v>121796.99</v>
      </c>
    </row>
    <row r="128" spans="1:9" x14ac:dyDescent="0.2">
      <c r="A128" s="349" t="s">
        <v>341</v>
      </c>
      <c r="B128" s="359">
        <v>12380</v>
      </c>
      <c r="C128" s="349" t="s">
        <v>1020</v>
      </c>
      <c r="D128" s="349" t="s">
        <v>1021</v>
      </c>
      <c r="E128" s="360">
        <v>101052.06</v>
      </c>
      <c r="F128" s="360">
        <v>117459.79</v>
      </c>
      <c r="G128" s="362">
        <v>96714.86</v>
      </c>
      <c r="H128" s="362">
        <v>20744.93</v>
      </c>
      <c r="I128" s="362">
        <v>121796.99</v>
      </c>
    </row>
    <row r="129" spans="1:9" x14ac:dyDescent="0.2">
      <c r="A129" s="349" t="s">
        <v>341</v>
      </c>
      <c r="B129" s="354">
        <v>52376</v>
      </c>
      <c r="C129" s="355" t="s">
        <v>1022</v>
      </c>
      <c r="D129" s="355" t="s">
        <v>1023</v>
      </c>
      <c r="E129" s="356">
        <v>1902362.17</v>
      </c>
      <c r="F129" s="356">
        <v>410566.85</v>
      </c>
      <c r="G129" s="357">
        <v>543233.61</v>
      </c>
      <c r="H129" s="357">
        <v>-132666.76</v>
      </c>
      <c r="I129" s="357">
        <v>1769695.41</v>
      </c>
    </row>
    <row r="130" spans="1:9" x14ac:dyDescent="0.2">
      <c r="A130" s="349" t="s">
        <v>341</v>
      </c>
      <c r="B130" s="359">
        <v>52380</v>
      </c>
      <c r="C130" s="349" t="s">
        <v>1024</v>
      </c>
      <c r="D130" s="349" t="s">
        <v>1025</v>
      </c>
      <c r="E130" s="360">
        <v>111901.68</v>
      </c>
      <c r="F130" s="360">
        <v>42631.22</v>
      </c>
      <c r="G130" s="362">
        <v>50146.38</v>
      </c>
      <c r="H130" s="362">
        <v>-7515.16</v>
      </c>
      <c r="I130" s="362">
        <v>104386.52</v>
      </c>
    </row>
    <row r="131" spans="1:9" x14ac:dyDescent="0.2">
      <c r="A131" s="349" t="s">
        <v>341</v>
      </c>
      <c r="B131" s="359">
        <v>52381</v>
      </c>
      <c r="C131" s="349" t="s">
        <v>1026</v>
      </c>
      <c r="D131" s="349" t="s">
        <v>1027</v>
      </c>
      <c r="E131" s="360">
        <v>65711.679999999993</v>
      </c>
      <c r="F131" s="360">
        <v>13972.42</v>
      </c>
      <c r="G131" s="362">
        <v>26319.59</v>
      </c>
      <c r="H131" s="362">
        <v>-12347.17</v>
      </c>
      <c r="I131" s="362">
        <v>53364.51</v>
      </c>
    </row>
    <row r="132" spans="1:9" x14ac:dyDescent="0.2">
      <c r="A132" s="349" t="s">
        <v>341</v>
      </c>
      <c r="B132" s="359">
        <v>52382</v>
      </c>
      <c r="C132" s="349" t="s">
        <v>1028</v>
      </c>
      <c r="D132" s="349" t="s">
        <v>1029</v>
      </c>
      <c r="E132" s="360">
        <v>126028.4</v>
      </c>
      <c r="F132" s="360">
        <v>45130.06</v>
      </c>
      <c r="G132" s="361">
        <v>129.47</v>
      </c>
      <c r="H132" s="362">
        <v>45000.59</v>
      </c>
      <c r="I132" s="362">
        <v>171028.99</v>
      </c>
    </row>
    <row r="133" spans="1:9" x14ac:dyDescent="0.2">
      <c r="A133" s="349" t="s">
        <v>341</v>
      </c>
      <c r="B133" s="359">
        <v>52383</v>
      </c>
      <c r="C133" s="349" t="s">
        <v>1030</v>
      </c>
      <c r="D133" s="349" t="s">
        <v>1031</v>
      </c>
      <c r="E133" s="360">
        <v>38943.370000000003</v>
      </c>
      <c r="F133" s="360">
        <v>13878.99</v>
      </c>
      <c r="G133" s="362">
        <v>15724.31</v>
      </c>
      <c r="H133" s="362">
        <v>-1845.32</v>
      </c>
      <c r="I133" s="362">
        <v>37098.050000000003</v>
      </c>
    </row>
    <row r="134" spans="1:9" x14ac:dyDescent="0.2">
      <c r="A134" s="349" t="s">
        <v>341</v>
      </c>
      <c r="B134" s="359">
        <v>52384</v>
      </c>
      <c r="C134" s="349" t="s">
        <v>1032</v>
      </c>
      <c r="D134" s="349" t="s">
        <v>1033</v>
      </c>
      <c r="E134" s="360">
        <v>1371.21</v>
      </c>
      <c r="F134" s="363">
        <v>0</v>
      </c>
      <c r="G134" s="361">
        <v>68.2</v>
      </c>
      <c r="H134" s="361">
        <v>-68.2</v>
      </c>
      <c r="I134" s="362">
        <v>1303.01</v>
      </c>
    </row>
    <row r="135" spans="1:9" x14ac:dyDescent="0.2">
      <c r="A135" s="349" t="s">
        <v>341</v>
      </c>
      <c r="B135" s="359">
        <v>52386</v>
      </c>
      <c r="C135" s="349" t="s">
        <v>1034</v>
      </c>
      <c r="D135" s="349" t="s">
        <v>1035</v>
      </c>
      <c r="E135" s="360">
        <v>1156.6099999999999</v>
      </c>
      <c r="F135" s="360">
        <v>1998.05</v>
      </c>
      <c r="G135" s="361">
        <v>39.42</v>
      </c>
      <c r="H135" s="362">
        <v>1958.63</v>
      </c>
      <c r="I135" s="362">
        <v>3115.24</v>
      </c>
    </row>
    <row r="136" spans="1:9" x14ac:dyDescent="0.2">
      <c r="A136" s="349" t="s">
        <v>341</v>
      </c>
      <c r="B136" s="359">
        <v>52387</v>
      </c>
      <c r="C136" s="349" t="s">
        <v>1036</v>
      </c>
      <c r="D136" s="349" t="s">
        <v>1037</v>
      </c>
      <c r="E136" s="360">
        <v>417694.75</v>
      </c>
      <c r="F136" s="360">
        <v>129178.6</v>
      </c>
      <c r="G136" s="362">
        <v>126715.51</v>
      </c>
      <c r="H136" s="362">
        <v>2463.09</v>
      </c>
      <c r="I136" s="362">
        <v>420157.84</v>
      </c>
    </row>
    <row r="137" spans="1:9" x14ac:dyDescent="0.2">
      <c r="A137" s="349" t="s">
        <v>341</v>
      </c>
      <c r="B137" s="359">
        <v>52388</v>
      </c>
      <c r="C137" s="349" t="s">
        <v>1038</v>
      </c>
      <c r="D137" s="349" t="s">
        <v>1039</v>
      </c>
      <c r="E137" s="360">
        <v>304354.78000000003</v>
      </c>
      <c r="F137" s="360">
        <v>72940.399999999994</v>
      </c>
      <c r="G137" s="362">
        <v>99059.07</v>
      </c>
      <c r="H137" s="362">
        <v>-26118.67</v>
      </c>
      <c r="I137" s="362">
        <v>278236.11</v>
      </c>
    </row>
    <row r="138" spans="1:9" x14ac:dyDescent="0.2">
      <c r="A138" s="349" t="s">
        <v>341</v>
      </c>
      <c r="B138" s="359">
        <v>52389</v>
      </c>
      <c r="C138" s="349" t="s">
        <v>1040</v>
      </c>
      <c r="D138" s="349" t="s">
        <v>1041</v>
      </c>
      <c r="E138" s="360">
        <v>16114.14</v>
      </c>
      <c r="F138" s="360">
        <v>2739.65</v>
      </c>
      <c r="G138" s="361">
        <v>0</v>
      </c>
      <c r="H138" s="362">
        <v>2739.65</v>
      </c>
      <c r="I138" s="362">
        <v>18853.79</v>
      </c>
    </row>
    <row r="139" spans="1:9" x14ac:dyDescent="0.2">
      <c r="A139" s="349" t="s">
        <v>341</v>
      </c>
      <c r="B139" s="359">
        <v>52390</v>
      </c>
      <c r="C139" s="349" t="s">
        <v>1042</v>
      </c>
      <c r="D139" s="349" t="s">
        <v>1043</v>
      </c>
      <c r="E139" s="360">
        <v>239994.54</v>
      </c>
      <c r="F139" s="363">
        <v>0</v>
      </c>
      <c r="G139" s="362">
        <v>138654.57999999999</v>
      </c>
      <c r="H139" s="362">
        <v>-138654.57999999999</v>
      </c>
      <c r="I139" s="362">
        <v>101339.96</v>
      </c>
    </row>
    <row r="140" spans="1:9" x14ac:dyDescent="0.2">
      <c r="A140" s="349" t="s">
        <v>341</v>
      </c>
      <c r="B140" s="359">
        <v>52391</v>
      </c>
      <c r="C140" s="349" t="s">
        <v>1044</v>
      </c>
      <c r="D140" s="349" t="s">
        <v>1045</v>
      </c>
      <c r="E140" s="360">
        <v>19124.5</v>
      </c>
      <c r="F140" s="360">
        <v>27920.21</v>
      </c>
      <c r="G140" s="362">
        <v>16559.740000000002</v>
      </c>
      <c r="H140" s="362">
        <v>11360.47</v>
      </c>
      <c r="I140" s="362">
        <v>30484.97</v>
      </c>
    </row>
    <row r="141" spans="1:9" x14ac:dyDescent="0.2">
      <c r="A141" s="349" t="s">
        <v>341</v>
      </c>
      <c r="B141" s="359">
        <v>52392</v>
      </c>
      <c r="C141" s="349" t="s">
        <v>1046</v>
      </c>
      <c r="D141" s="349" t="s">
        <v>1047</v>
      </c>
      <c r="E141" s="363">
        <v>0</v>
      </c>
      <c r="F141" s="363">
        <v>192.5</v>
      </c>
      <c r="G141" s="362">
        <v>2221</v>
      </c>
      <c r="H141" s="362">
        <v>-2028.5</v>
      </c>
      <c r="I141" s="362">
        <v>-2028.5</v>
      </c>
    </row>
    <row r="142" spans="1:9" x14ac:dyDescent="0.2">
      <c r="A142" s="349" t="s">
        <v>341</v>
      </c>
      <c r="B142" s="359">
        <v>52393</v>
      </c>
      <c r="C142" s="349" t="s">
        <v>1048</v>
      </c>
      <c r="D142" s="349" t="s">
        <v>1049</v>
      </c>
      <c r="E142" s="360">
        <v>41279.96</v>
      </c>
      <c r="F142" s="363">
        <v>508.64</v>
      </c>
      <c r="G142" s="362">
        <v>27430.25</v>
      </c>
      <c r="H142" s="362">
        <v>-26921.61</v>
      </c>
      <c r="I142" s="362">
        <v>14358.35</v>
      </c>
    </row>
    <row r="143" spans="1:9" x14ac:dyDescent="0.2">
      <c r="A143" s="349" t="s">
        <v>341</v>
      </c>
      <c r="B143" s="359">
        <v>52394</v>
      </c>
      <c r="C143" s="349" t="s">
        <v>1050</v>
      </c>
      <c r="D143" s="349" t="s">
        <v>1051</v>
      </c>
      <c r="E143" s="360">
        <v>19174.009999999998</v>
      </c>
      <c r="F143" s="360">
        <v>16052.11</v>
      </c>
      <c r="G143" s="362">
        <v>4703.4799999999996</v>
      </c>
      <c r="H143" s="362">
        <v>11348.63</v>
      </c>
      <c r="I143" s="362">
        <v>30522.639999999999</v>
      </c>
    </row>
    <row r="144" spans="1:9" x14ac:dyDescent="0.2">
      <c r="A144" s="349" t="s">
        <v>341</v>
      </c>
      <c r="B144" s="359">
        <v>52415</v>
      </c>
      <c r="C144" s="349" t="s">
        <v>1052</v>
      </c>
      <c r="D144" s="349" t="s">
        <v>1053</v>
      </c>
      <c r="E144" s="360">
        <v>37909.18</v>
      </c>
      <c r="F144" s="360">
        <v>2044.43</v>
      </c>
      <c r="G144" s="362">
        <v>7944</v>
      </c>
      <c r="H144" s="362">
        <v>-5899.57</v>
      </c>
      <c r="I144" s="362">
        <v>32009.61</v>
      </c>
    </row>
    <row r="145" spans="1:9" x14ac:dyDescent="0.2">
      <c r="A145" s="349" t="s">
        <v>341</v>
      </c>
      <c r="B145" s="359">
        <v>52477</v>
      </c>
      <c r="C145" s="349" t="s">
        <v>1054</v>
      </c>
      <c r="D145" s="349" t="s">
        <v>1055</v>
      </c>
      <c r="E145" s="360">
        <v>1237.28</v>
      </c>
      <c r="F145" s="363">
        <v>12</v>
      </c>
      <c r="G145" s="361">
        <v>125.69</v>
      </c>
      <c r="H145" s="361">
        <v>-113.69</v>
      </c>
      <c r="I145" s="362">
        <v>1123.5899999999999</v>
      </c>
    </row>
    <row r="146" spans="1:9" x14ac:dyDescent="0.2">
      <c r="A146" s="349" t="s">
        <v>341</v>
      </c>
      <c r="B146" s="359">
        <v>52478</v>
      </c>
      <c r="C146" s="349" t="s">
        <v>1056</v>
      </c>
      <c r="D146" s="349" t="s">
        <v>1057</v>
      </c>
      <c r="E146" s="360">
        <v>3854.88</v>
      </c>
      <c r="F146" s="363">
        <v>320.89999999999998</v>
      </c>
      <c r="G146" s="361">
        <v>0</v>
      </c>
      <c r="H146" s="361">
        <v>320.89999999999998</v>
      </c>
      <c r="I146" s="362">
        <v>4175.78</v>
      </c>
    </row>
    <row r="147" spans="1:9" x14ac:dyDescent="0.2">
      <c r="A147" s="349" t="s">
        <v>341</v>
      </c>
      <c r="B147" s="359">
        <v>52479</v>
      </c>
      <c r="C147" s="349" t="s">
        <v>1058</v>
      </c>
      <c r="D147" s="349" t="s">
        <v>1059</v>
      </c>
      <c r="E147" s="360">
        <v>32327.52</v>
      </c>
      <c r="F147" s="360">
        <v>38930.019999999997</v>
      </c>
      <c r="G147" s="362">
        <v>20863.189999999999</v>
      </c>
      <c r="H147" s="362">
        <v>18066.830000000002</v>
      </c>
      <c r="I147" s="362">
        <v>50394.35</v>
      </c>
    </row>
    <row r="148" spans="1:9" x14ac:dyDescent="0.2">
      <c r="A148" s="349" t="s">
        <v>341</v>
      </c>
      <c r="B148" s="359">
        <v>52480</v>
      </c>
      <c r="C148" s="349" t="s">
        <v>1060</v>
      </c>
      <c r="D148" s="349" t="s">
        <v>1061</v>
      </c>
      <c r="E148" s="360">
        <v>38028.129999999997</v>
      </c>
      <c r="F148" s="360">
        <v>1980.65</v>
      </c>
      <c r="G148" s="362">
        <v>5449.58</v>
      </c>
      <c r="H148" s="362">
        <v>-3468.93</v>
      </c>
      <c r="I148" s="362">
        <v>34559.199999999997</v>
      </c>
    </row>
    <row r="149" spans="1:9" x14ac:dyDescent="0.2">
      <c r="A149" s="349" t="s">
        <v>341</v>
      </c>
      <c r="B149" s="359">
        <v>52481</v>
      </c>
      <c r="C149" s="349" t="s">
        <v>1062</v>
      </c>
      <c r="D149" s="349" t="s">
        <v>1063</v>
      </c>
      <c r="E149" s="360">
        <v>2149.27</v>
      </c>
      <c r="F149" s="363">
        <v>0</v>
      </c>
      <c r="G149" s="361">
        <v>0</v>
      </c>
      <c r="H149" s="361">
        <v>0</v>
      </c>
      <c r="I149" s="362">
        <v>2149.27</v>
      </c>
    </row>
    <row r="150" spans="1:9" x14ac:dyDescent="0.2">
      <c r="A150" s="349" t="s">
        <v>341</v>
      </c>
      <c r="B150" s="359">
        <v>52482</v>
      </c>
      <c r="C150" s="349" t="s">
        <v>1064</v>
      </c>
      <c r="D150" s="349" t="s">
        <v>1065</v>
      </c>
      <c r="E150" s="360">
        <v>2293.81</v>
      </c>
      <c r="F150" s="363">
        <v>136</v>
      </c>
      <c r="G150" s="362">
        <v>1080.1500000000001</v>
      </c>
      <c r="H150" s="361">
        <v>-944.15</v>
      </c>
      <c r="I150" s="362">
        <v>1349.66</v>
      </c>
    </row>
    <row r="151" spans="1:9" x14ac:dyDescent="0.2">
      <c r="A151" s="349" t="s">
        <v>341</v>
      </c>
      <c r="B151" s="359">
        <v>52483</v>
      </c>
      <c r="C151" s="349" t="s">
        <v>1066</v>
      </c>
      <c r="D151" s="349" t="s">
        <v>1067</v>
      </c>
      <c r="E151" s="360">
        <v>2257.17</v>
      </c>
      <c r="F151" s="363">
        <v>0</v>
      </c>
      <c r="G151" s="361">
        <v>0</v>
      </c>
      <c r="H151" s="361">
        <v>0</v>
      </c>
      <c r="I151" s="362">
        <v>2257.17</v>
      </c>
    </row>
    <row r="152" spans="1:9" x14ac:dyDescent="0.2">
      <c r="A152" s="349" t="s">
        <v>341</v>
      </c>
      <c r="B152" s="359">
        <v>53609</v>
      </c>
      <c r="C152" s="349" t="s">
        <v>1068</v>
      </c>
      <c r="D152" s="349" t="s">
        <v>1069</v>
      </c>
      <c r="E152" s="360">
        <v>1700.56</v>
      </c>
      <c r="F152" s="363">
        <v>0</v>
      </c>
      <c r="G152" s="361">
        <v>0</v>
      </c>
      <c r="H152" s="361">
        <v>0</v>
      </c>
      <c r="I152" s="362">
        <v>1700.56</v>
      </c>
    </row>
    <row r="153" spans="1:9" x14ac:dyDescent="0.2">
      <c r="A153" s="349" t="s">
        <v>341</v>
      </c>
      <c r="B153" s="359">
        <v>53613</v>
      </c>
      <c r="C153" s="349" t="s">
        <v>1070</v>
      </c>
      <c r="D153" s="349" t="s">
        <v>1071</v>
      </c>
      <c r="E153" s="360">
        <v>31059.9</v>
      </c>
      <c r="F153" s="363">
        <v>0</v>
      </c>
      <c r="G153" s="361">
        <v>0</v>
      </c>
      <c r="H153" s="361">
        <v>0</v>
      </c>
      <c r="I153" s="362">
        <v>31059.9</v>
      </c>
    </row>
    <row r="154" spans="1:9" x14ac:dyDescent="0.2">
      <c r="A154" s="349" t="s">
        <v>341</v>
      </c>
      <c r="B154" s="359">
        <v>53619</v>
      </c>
      <c r="C154" s="349" t="s">
        <v>1072</v>
      </c>
      <c r="D154" s="349" t="s">
        <v>1073</v>
      </c>
      <c r="E154" s="360">
        <v>15985.31</v>
      </c>
      <c r="F154" s="363">
        <v>0</v>
      </c>
      <c r="G154" s="361">
        <v>0</v>
      </c>
      <c r="H154" s="361">
        <v>0</v>
      </c>
      <c r="I154" s="362">
        <v>15985.31</v>
      </c>
    </row>
    <row r="155" spans="1:9" x14ac:dyDescent="0.2">
      <c r="A155" s="349" t="s">
        <v>341</v>
      </c>
      <c r="B155" s="359">
        <v>53623</v>
      </c>
      <c r="C155" s="349" t="s">
        <v>1074</v>
      </c>
      <c r="D155" s="349" t="s">
        <v>1075</v>
      </c>
      <c r="E155" s="363">
        <v>128.4</v>
      </c>
      <c r="F155" s="363">
        <v>0</v>
      </c>
      <c r="G155" s="361">
        <v>0</v>
      </c>
      <c r="H155" s="361">
        <v>0</v>
      </c>
      <c r="I155" s="361">
        <v>128.4</v>
      </c>
    </row>
    <row r="156" spans="1:9" x14ac:dyDescent="0.2">
      <c r="A156" s="349" t="s">
        <v>341</v>
      </c>
      <c r="B156" s="359">
        <v>53627</v>
      </c>
      <c r="C156" s="349" t="s">
        <v>1076</v>
      </c>
      <c r="D156" s="349" t="s">
        <v>1077</v>
      </c>
      <c r="E156" s="360">
        <v>7837.18</v>
      </c>
      <c r="F156" s="363">
        <v>0</v>
      </c>
      <c r="G156" s="361">
        <v>0</v>
      </c>
      <c r="H156" s="361">
        <v>0</v>
      </c>
      <c r="I156" s="362">
        <v>7837.18</v>
      </c>
    </row>
    <row r="157" spans="1:9" x14ac:dyDescent="0.2">
      <c r="A157" s="349" t="s">
        <v>341</v>
      </c>
      <c r="B157" s="359">
        <v>53629</v>
      </c>
      <c r="C157" s="349" t="s">
        <v>1078</v>
      </c>
      <c r="D157" s="349" t="s">
        <v>1079</v>
      </c>
      <c r="E157" s="360">
        <v>2627.42</v>
      </c>
      <c r="F157" s="363">
        <v>0</v>
      </c>
      <c r="G157" s="361">
        <v>0</v>
      </c>
      <c r="H157" s="361">
        <v>0</v>
      </c>
      <c r="I157" s="362">
        <v>2627.42</v>
      </c>
    </row>
    <row r="158" spans="1:9" x14ac:dyDescent="0.2">
      <c r="A158" s="349" t="s">
        <v>341</v>
      </c>
      <c r="B158" s="359">
        <v>53631</v>
      </c>
      <c r="C158" s="349" t="s">
        <v>1080</v>
      </c>
      <c r="D158" s="349" t="s">
        <v>1081</v>
      </c>
      <c r="E158" s="363">
        <v>761.82</v>
      </c>
      <c r="F158" s="363">
        <v>0</v>
      </c>
      <c r="G158" s="361">
        <v>0</v>
      </c>
      <c r="H158" s="361">
        <v>0</v>
      </c>
      <c r="I158" s="361">
        <v>761.82</v>
      </c>
    </row>
    <row r="159" spans="1:9" x14ac:dyDescent="0.2">
      <c r="A159" s="349" t="s">
        <v>341</v>
      </c>
      <c r="B159" s="359">
        <v>53633</v>
      </c>
      <c r="C159" s="349" t="s">
        <v>1082</v>
      </c>
      <c r="D159" s="349" t="s">
        <v>1081</v>
      </c>
      <c r="E159" s="363">
        <v>735.05</v>
      </c>
      <c r="F159" s="363">
        <v>0</v>
      </c>
      <c r="G159" s="361">
        <v>0</v>
      </c>
      <c r="H159" s="361">
        <v>0</v>
      </c>
      <c r="I159" s="361">
        <v>735.05</v>
      </c>
    </row>
    <row r="160" spans="1:9" x14ac:dyDescent="0.2">
      <c r="A160" s="349" t="s">
        <v>341</v>
      </c>
      <c r="B160" s="359">
        <v>53635</v>
      </c>
      <c r="C160" s="349" t="s">
        <v>1083</v>
      </c>
      <c r="D160" s="349" t="s">
        <v>1084</v>
      </c>
      <c r="E160" s="360">
        <v>1973.97</v>
      </c>
      <c r="F160" s="363">
        <v>0</v>
      </c>
      <c r="G160" s="361">
        <v>0</v>
      </c>
      <c r="H160" s="361">
        <v>0</v>
      </c>
      <c r="I160" s="362">
        <v>1973.97</v>
      </c>
    </row>
    <row r="161" spans="1:9" x14ac:dyDescent="0.2">
      <c r="A161" s="349" t="s">
        <v>341</v>
      </c>
      <c r="B161" s="359">
        <v>53637</v>
      </c>
      <c r="C161" s="349" t="s">
        <v>1085</v>
      </c>
      <c r="D161" s="349" t="s">
        <v>1086</v>
      </c>
      <c r="E161" s="363">
        <v>6</v>
      </c>
      <c r="F161" s="363">
        <v>0</v>
      </c>
      <c r="G161" s="361">
        <v>0</v>
      </c>
      <c r="H161" s="361">
        <v>0</v>
      </c>
      <c r="I161" s="361">
        <v>6</v>
      </c>
    </row>
    <row r="162" spans="1:9" x14ac:dyDescent="0.2">
      <c r="A162" s="349" t="s">
        <v>341</v>
      </c>
      <c r="B162" s="359">
        <v>53639</v>
      </c>
      <c r="C162" s="349" t="s">
        <v>1087</v>
      </c>
      <c r="D162" s="349" t="s">
        <v>1088</v>
      </c>
      <c r="E162" s="363">
        <v>120.52</v>
      </c>
      <c r="F162" s="363">
        <v>0</v>
      </c>
      <c r="G162" s="361">
        <v>0</v>
      </c>
      <c r="H162" s="361">
        <v>0</v>
      </c>
      <c r="I162" s="361">
        <v>120.52</v>
      </c>
    </row>
    <row r="163" spans="1:9" x14ac:dyDescent="0.2">
      <c r="A163" s="349" t="s">
        <v>341</v>
      </c>
      <c r="B163" s="359">
        <v>53642</v>
      </c>
      <c r="C163" s="349" t="s">
        <v>1089</v>
      </c>
      <c r="D163" s="349" t="s">
        <v>1090</v>
      </c>
      <c r="E163" s="360">
        <v>1787.02</v>
      </c>
      <c r="F163" s="363">
        <v>0</v>
      </c>
      <c r="G163" s="361">
        <v>0</v>
      </c>
      <c r="H163" s="361">
        <v>0</v>
      </c>
      <c r="I163" s="362">
        <v>1787.02</v>
      </c>
    </row>
    <row r="164" spans="1:9" x14ac:dyDescent="0.2">
      <c r="A164" s="349" t="s">
        <v>341</v>
      </c>
      <c r="B164" s="359">
        <v>53644</v>
      </c>
      <c r="C164" s="349" t="s">
        <v>1091</v>
      </c>
      <c r="D164" s="349" t="s">
        <v>1090</v>
      </c>
      <c r="E164" s="360">
        <v>4513.47</v>
      </c>
      <c r="F164" s="363">
        <v>0</v>
      </c>
      <c r="G164" s="361">
        <v>0</v>
      </c>
      <c r="H164" s="361">
        <v>0</v>
      </c>
      <c r="I164" s="362">
        <v>4513.47</v>
      </c>
    </row>
    <row r="165" spans="1:9" x14ac:dyDescent="0.2">
      <c r="A165" s="349" t="s">
        <v>341</v>
      </c>
      <c r="B165" s="359">
        <v>53647</v>
      </c>
      <c r="C165" s="349" t="s">
        <v>1092</v>
      </c>
      <c r="D165" s="349" t="s">
        <v>1093</v>
      </c>
      <c r="E165" s="360">
        <v>2132.3200000000002</v>
      </c>
      <c r="F165" s="363">
        <v>0</v>
      </c>
      <c r="G165" s="361">
        <v>0</v>
      </c>
      <c r="H165" s="361">
        <v>0</v>
      </c>
      <c r="I165" s="362">
        <v>2132.3200000000002</v>
      </c>
    </row>
    <row r="166" spans="1:9" x14ac:dyDescent="0.2">
      <c r="A166" s="349" t="s">
        <v>341</v>
      </c>
      <c r="B166" s="359">
        <v>53655</v>
      </c>
      <c r="C166" s="349" t="s">
        <v>1094</v>
      </c>
      <c r="D166" s="349" t="s">
        <v>1095</v>
      </c>
      <c r="E166" s="363">
        <v>0.14000000000000001</v>
      </c>
      <c r="F166" s="363">
        <v>0</v>
      </c>
      <c r="G166" s="361">
        <v>0</v>
      </c>
      <c r="H166" s="361">
        <v>0</v>
      </c>
      <c r="I166" s="361">
        <v>0.14000000000000001</v>
      </c>
    </row>
    <row r="167" spans="1:9" x14ac:dyDescent="0.2">
      <c r="A167" s="349" t="s">
        <v>341</v>
      </c>
      <c r="B167" s="359">
        <v>53658</v>
      </c>
      <c r="C167" s="349" t="s">
        <v>1096</v>
      </c>
      <c r="D167" s="349" t="s">
        <v>1097</v>
      </c>
      <c r="E167" s="363">
        <v>178.54</v>
      </c>
      <c r="F167" s="363">
        <v>0</v>
      </c>
      <c r="G167" s="361">
        <v>0</v>
      </c>
      <c r="H167" s="361">
        <v>0</v>
      </c>
      <c r="I167" s="361">
        <v>178.54</v>
      </c>
    </row>
    <row r="168" spans="1:9" x14ac:dyDescent="0.2">
      <c r="A168" s="349" t="s">
        <v>341</v>
      </c>
      <c r="B168" s="359">
        <v>53662</v>
      </c>
      <c r="C168" s="349" t="s">
        <v>1098</v>
      </c>
      <c r="D168" s="349" t="s">
        <v>1099</v>
      </c>
      <c r="E168" s="360">
        <v>1807.58</v>
      </c>
      <c r="F168" s="363">
        <v>0</v>
      </c>
      <c r="G168" s="361">
        <v>0</v>
      </c>
      <c r="H168" s="361">
        <v>0</v>
      </c>
      <c r="I168" s="362">
        <v>1807.58</v>
      </c>
    </row>
    <row r="169" spans="1:9" x14ac:dyDescent="0.2">
      <c r="A169" s="349" t="s">
        <v>341</v>
      </c>
      <c r="B169" s="359">
        <v>53668</v>
      </c>
      <c r="C169" s="349" t="s">
        <v>1100</v>
      </c>
      <c r="D169" s="349" t="s">
        <v>1101</v>
      </c>
      <c r="E169" s="363">
        <v>2.4</v>
      </c>
      <c r="F169" s="363">
        <v>0</v>
      </c>
      <c r="G169" s="361">
        <v>0</v>
      </c>
      <c r="H169" s="361">
        <v>0</v>
      </c>
      <c r="I169" s="361">
        <v>2.4</v>
      </c>
    </row>
    <row r="170" spans="1:9" x14ac:dyDescent="0.2">
      <c r="A170" s="349" t="s">
        <v>341</v>
      </c>
      <c r="B170" s="359">
        <v>53673</v>
      </c>
      <c r="C170" s="349" t="s">
        <v>1102</v>
      </c>
      <c r="D170" s="349" t="s">
        <v>1103</v>
      </c>
      <c r="E170" s="363">
        <v>193.83</v>
      </c>
      <c r="F170" s="363">
        <v>0</v>
      </c>
      <c r="G170" s="361">
        <v>0</v>
      </c>
      <c r="H170" s="361">
        <v>0</v>
      </c>
      <c r="I170" s="361">
        <v>193.83</v>
      </c>
    </row>
    <row r="171" spans="1:9" x14ac:dyDescent="0.2">
      <c r="A171" s="349" t="s">
        <v>341</v>
      </c>
      <c r="B171" s="359">
        <v>53675</v>
      </c>
      <c r="C171" s="349" t="s">
        <v>1104</v>
      </c>
      <c r="D171" s="349" t="s">
        <v>1105</v>
      </c>
      <c r="E171" s="360">
        <v>289265.93</v>
      </c>
      <c r="F171" s="363">
        <v>0</v>
      </c>
      <c r="G171" s="361">
        <v>0</v>
      </c>
      <c r="H171" s="361">
        <v>0</v>
      </c>
      <c r="I171" s="362">
        <v>289265.93</v>
      </c>
    </row>
    <row r="172" spans="1:9" x14ac:dyDescent="0.2">
      <c r="A172" s="349" t="s">
        <v>341</v>
      </c>
      <c r="B172" s="359">
        <v>53679</v>
      </c>
      <c r="C172" s="349" t="s">
        <v>1106</v>
      </c>
      <c r="D172" s="349" t="s">
        <v>1107</v>
      </c>
      <c r="E172" s="360">
        <v>7351.36</v>
      </c>
      <c r="F172" s="363">
        <v>0</v>
      </c>
      <c r="G172" s="361">
        <v>0</v>
      </c>
      <c r="H172" s="361">
        <v>0</v>
      </c>
      <c r="I172" s="362">
        <v>7351.36</v>
      </c>
    </row>
    <row r="173" spans="1:9" x14ac:dyDescent="0.2">
      <c r="A173" s="349" t="s">
        <v>341</v>
      </c>
      <c r="B173" s="359">
        <v>53683</v>
      </c>
      <c r="C173" s="349" t="s">
        <v>1108</v>
      </c>
      <c r="D173" s="349" t="s">
        <v>1109</v>
      </c>
      <c r="E173" s="363">
        <v>294.01</v>
      </c>
      <c r="F173" s="363">
        <v>0</v>
      </c>
      <c r="G173" s="361">
        <v>0</v>
      </c>
      <c r="H173" s="361">
        <v>0</v>
      </c>
      <c r="I173" s="361">
        <v>294.01</v>
      </c>
    </row>
    <row r="174" spans="1:9" x14ac:dyDescent="0.2">
      <c r="A174" s="349" t="s">
        <v>341</v>
      </c>
      <c r="B174" s="359">
        <v>53687</v>
      </c>
      <c r="C174" s="349" t="s">
        <v>1110</v>
      </c>
      <c r="D174" s="349" t="s">
        <v>1111</v>
      </c>
      <c r="E174" s="360">
        <v>8992.57</v>
      </c>
      <c r="F174" s="363">
        <v>0</v>
      </c>
      <c r="G174" s="361">
        <v>0</v>
      </c>
      <c r="H174" s="361">
        <v>0</v>
      </c>
      <c r="I174" s="362">
        <v>8992.57</v>
      </c>
    </row>
    <row r="175" spans="1:9" x14ac:dyDescent="0.2">
      <c r="A175" s="349" t="s">
        <v>341</v>
      </c>
      <c r="B175" s="354">
        <v>52395</v>
      </c>
      <c r="C175" s="355" t="s">
        <v>1112</v>
      </c>
      <c r="D175" s="355" t="s">
        <v>1113</v>
      </c>
      <c r="E175" s="356">
        <v>9336433.4199999999</v>
      </c>
      <c r="F175" s="356">
        <v>508384.31</v>
      </c>
      <c r="G175" s="357">
        <v>367917.83</v>
      </c>
      <c r="H175" s="357">
        <v>140466.48000000001</v>
      </c>
      <c r="I175" s="357">
        <v>9476899.9000000004</v>
      </c>
    </row>
    <row r="176" spans="1:9" x14ac:dyDescent="0.2">
      <c r="A176" s="349" t="s">
        <v>341</v>
      </c>
      <c r="B176" s="359">
        <v>52399</v>
      </c>
      <c r="C176" s="349" t="s">
        <v>1114</v>
      </c>
      <c r="D176" s="349" t="s">
        <v>1115</v>
      </c>
      <c r="E176" s="360">
        <v>1361759.93</v>
      </c>
      <c r="F176" s="360">
        <v>47073.46</v>
      </c>
      <c r="G176" s="362">
        <v>5091.1899999999996</v>
      </c>
      <c r="H176" s="362">
        <v>41982.27</v>
      </c>
      <c r="I176" s="362">
        <v>1403742.2</v>
      </c>
    </row>
    <row r="177" spans="1:9" x14ac:dyDescent="0.2">
      <c r="A177" s="349" t="s">
        <v>341</v>
      </c>
      <c r="B177" s="359">
        <v>52401</v>
      </c>
      <c r="C177" s="349" t="s">
        <v>1116</v>
      </c>
      <c r="D177" s="349" t="s">
        <v>1117</v>
      </c>
      <c r="E177" s="360">
        <v>543146.89</v>
      </c>
      <c r="F177" s="360">
        <v>25840.31</v>
      </c>
      <c r="G177" s="361">
        <v>0</v>
      </c>
      <c r="H177" s="362">
        <v>25840.31</v>
      </c>
      <c r="I177" s="362">
        <v>568987.19999999995</v>
      </c>
    </row>
    <row r="178" spans="1:9" x14ac:dyDescent="0.2">
      <c r="A178" s="349" t="s">
        <v>341</v>
      </c>
      <c r="B178" s="359">
        <v>52402</v>
      </c>
      <c r="C178" s="349" t="s">
        <v>1118</v>
      </c>
      <c r="D178" s="349" t="s">
        <v>1119</v>
      </c>
      <c r="E178" s="360">
        <v>247202.05</v>
      </c>
      <c r="F178" s="363">
        <v>129.47</v>
      </c>
      <c r="G178" s="362">
        <v>33184.910000000003</v>
      </c>
      <c r="H178" s="362">
        <v>-33055.440000000002</v>
      </c>
      <c r="I178" s="362">
        <v>214146.61</v>
      </c>
    </row>
    <row r="179" spans="1:9" x14ac:dyDescent="0.2">
      <c r="A179" s="349" t="s">
        <v>341</v>
      </c>
      <c r="B179" s="359">
        <v>52403</v>
      </c>
      <c r="C179" s="349" t="s">
        <v>1120</v>
      </c>
      <c r="D179" s="349" t="s">
        <v>1121</v>
      </c>
      <c r="E179" s="360">
        <v>98875.94</v>
      </c>
      <c r="F179" s="360">
        <v>15147.29</v>
      </c>
      <c r="G179" s="361">
        <v>799.62</v>
      </c>
      <c r="H179" s="362">
        <v>14347.67</v>
      </c>
      <c r="I179" s="362">
        <v>113223.61</v>
      </c>
    </row>
    <row r="180" spans="1:9" x14ac:dyDescent="0.2">
      <c r="A180" s="349" t="s">
        <v>341</v>
      </c>
      <c r="B180" s="359">
        <v>52404</v>
      </c>
      <c r="C180" s="349" t="s">
        <v>1122</v>
      </c>
      <c r="D180" s="349" t="s">
        <v>1123</v>
      </c>
      <c r="E180" s="360">
        <v>63309.17</v>
      </c>
      <c r="F180" s="363">
        <v>1.95</v>
      </c>
      <c r="G180" s="361">
        <v>0</v>
      </c>
      <c r="H180" s="361">
        <v>1.95</v>
      </c>
      <c r="I180" s="362">
        <v>63311.12</v>
      </c>
    </row>
    <row r="181" spans="1:9" x14ac:dyDescent="0.2">
      <c r="A181" s="349" t="s">
        <v>341</v>
      </c>
      <c r="B181" s="359">
        <v>52405</v>
      </c>
      <c r="C181" s="349" t="s">
        <v>1124</v>
      </c>
      <c r="D181" s="349" t="s">
        <v>1125</v>
      </c>
      <c r="E181" s="360">
        <v>31573.79</v>
      </c>
      <c r="F181" s="363">
        <v>0</v>
      </c>
      <c r="G181" s="361">
        <v>0</v>
      </c>
      <c r="H181" s="361">
        <v>0</v>
      </c>
      <c r="I181" s="362">
        <v>31573.79</v>
      </c>
    </row>
    <row r="182" spans="1:9" x14ac:dyDescent="0.2">
      <c r="A182" s="349" t="s">
        <v>341</v>
      </c>
      <c r="B182" s="359">
        <v>52406</v>
      </c>
      <c r="C182" s="349" t="s">
        <v>1126</v>
      </c>
      <c r="D182" s="349" t="s">
        <v>1127</v>
      </c>
      <c r="E182" s="360">
        <v>33272.17</v>
      </c>
      <c r="F182" s="363">
        <v>0</v>
      </c>
      <c r="G182" s="361">
        <v>25.38</v>
      </c>
      <c r="H182" s="361">
        <v>-25.38</v>
      </c>
      <c r="I182" s="362">
        <v>33246.79</v>
      </c>
    </row>
    <row r="183" spans="1:9" x14ac:dyDescent="0.2">
      <c r="A183" s="349" t="s">
        <v>341</v>
      </c>
      <c r="B183" s="359">
        <v>52407</v>
      </c>
      <c r="C183" s="349" t="s">
        <v>1128</v>
      </c>
      <c r="D183" s="349" t="s">
        <v>1129</v>
      </c>
      <c r="E183" s="360">
        <v>1402260.61</v>
      </c>
      <c r="F183" s="360">
        <v>125699.58</v>
      </c>
      <c r="G183" s="362">
        <v>109205.51</v>
      </c>
      <c r="H183" s="362">
        <v>16494.07</v>
      </c>
      <c r="I183" s="362">
        <v>1418754.68</v>
      </c>
    </row>
    <row r="184" spans="1:9" x14ac:dyDescent="0.2">
      <c r="A184" s="349" t="s">
        <v>341</v>
      </c>
      <c r="B184" s="359">
        <v>52408</v>
      </c>
      <c r="C184" s="349" t="s">
        <v>1130</v>
      </c>
      <c r="D184" s="349" t="s">
        <v>1131</v>
      </c>
      <c r="E184" s="360">
        <v>1453275.05</v>
      </c>
      <c r="F184" s="360">
        <v>97679.49</v>
      </c>
      <c r="G184" s="362">
        <v>208595.59</v>
      </c>
      <c r="H184" s="362">
        <v>-110916.1</v>
      </c>
      <c r="I184" s="362">
        <v>1342358.95</v>
      </c>
    </row>
    <row r="185" spans="1:9" x14ac:dyDescent="0.2">
      <c r="A185" s="349" t="s">
        <v>341</v>
      </c>
      <c r="B185" s="359">
        <v>52409</v>
      </c>
      <c r="C185" s="349" t="s">
        <v>1132</v>
      </c>
      <c r="D185" s="349" t="s">
        <v>1133</v>
      </c>
      <c r="E185" s="360">
        <v>437843.72</v>
      </c>
      <c r="F185" s="363">
        <v>0</v>
      </c>
      <c r="G185" s="361">
        <v>0</v>
      </c>
      <c r="H185" s="361">
        <v>0</v>
      </c>
      <c r="I185" s="362">
        <v>437843.72</v>
      </c>
    </row>
    <row r="186" spans="1:9" x14ac:dyDescent="0.2">
      <c r="A186" s="349" t="s">
        <v>341</v>
      </c>
      <c r="B186" s="359">
        <v>52410</v>
      </c>
      <c r="C186" s="349" t="s">
        <v>1134</v>
      </c>
      <c r="D186" s="349" t="s">
        <v>1135</v>
      </c>
      <c r="E186" s="360">
        <v>1774044.77</v>
      </c>
      <c r="F186" s="360">
        <v>118736.25</v>
      </c>
      <c r="G186" s="361">
        <v>0</v>
      </c>
      <c r="H186" s="362">
        <v>118736.25</v>
      </c>
      <c r="I186" s="362">
        <v>1892781.02</v>
      </c>
    </row>
    <row r="187" spans="1:9" x14ac:dyDescent="0.2">
      <c r="A187" s="349" t="s">
        <v>341</v>
      </c>
      <c r="B187" s="359">
        <v>52411</v>
      </c>
      <c r="C187" s="349" t="s">
        <v>1136</v>
      </c>
      <c r="D187" s="349" t="s">
        <v>1137</v>
      </c>
      <c r="E187" s="360">
        <v>91872.63</v>
      </c>
      <c r="F187" s="360">
        <v>15523.45</v>
      </c>
      <c r="G187" s="362">
        <v>4554.53</v>
      </c>
      <c r="H187" s="362">
        <v>10968.92</v>
      </c>
      <c r="I187" s="362">
        <v>102841.55</v>
      </c>
    </row>
    <row r="188" spans="1:9" x14ac:dyDescent="0.2">
      <c r="A188" s="349" t="s">
        <v>341</v>
      </c>
      <c r="B188" s="359">
        <v>52412</v>
      </c>
      <c r="C188" s="349" t="s">
        <v>1138</v>
      </c>
      <c r="D188" s="349" t="s">
        <v>1139</v>
      </c>
      <c r="E188" s="360">
        <v>4128.16</v>
      </c>
      <c r="F188" s="363">
        <v>65</v>
      </c>
      <c r="G188" s="361">
        <v>0</v>
      </c>
      <c r="H188" s="361">
        <v>65</v>
      </c>
      <c r="I188" s="362">
        <v>4193.16</v>
      </c>
    </row>
    <row r="189" spans="1:9" x14ac:dyDescent="0.2">
      <c r="A189" s="349" t="s">
        <v>341</v>
      </c>
      <c r="B189" s="359">
        <v>52413</v>
      </c>
      <c r="C189" s="349" t="s">
        <v>1140</v>
      </c>
      <c r="D189" s="349" t="s">
        <v>1141</v>
      </c>
      <c r="E189" s="360">
        <v>173368.79</v>
      </c>
      <c r="F189" s="360">
        <v>25718.45</v>
      </c>
      <c r="G189" s="362">
        <v>2884.52</v>
      </c>
      <c r="H189" s="362">
        <v>22833.93</v>
      </c>
      <c r="I189" s="362">
        <v>196202.72</v>
      </c>
    </row>
    <row r="190" spans="1:9" x14ac:dyDescent="0.2">
      <c r="A190" s="349" t="s">
        <v>341</v>
      </c>
      <c r="B190" s="359">
        <v>52414</v>
      </c>
      <c r="C190" s="349" t="s">
        <v>1142</v>
      </c>
      <c r="D190" s="349" t="s">
        <v>1143</v>
      </c>
      <c r="E190" s="360">
        <v>201533.03</v>
      </c>
      <c r="F190" s="360">
        <v>5338.86</v>
      </c>
      <c r="G190" s="362">
        <v>1579.59</v>
      </c>
      <c r="H190" s="362">
        <v>3759.27</v>
      </c>
      <c r="I190" s="362">
        <v>205292.3</v>
      </c>
    </row>
    <row r="191" spans="1:9" x14ac:dyDescent="0.2">
      <c r="A191" s="349" t="s">
        <v>341</v>
      </c>
      <c r="B191" s="359">
        <v>52416</v>
      </c>
      <c r="C191" s="349" t="s">
        <v>1144</v>
      </c>
      <c r="D191" s="349" t="s">
        <v>1145</v>
      </c>
      <c r="E191" s="360">
        <v>102135.54</v>
      </c>
      <c r="F191" s="360">
        <v>7944</v>
      </c>
      <c r="G191" s="362">
        <v>1985.77</v>
      </c>
      <c r="H191" s="362">
        <v>5958.23</v>
      </c>
      <c r="I191" s="362">
        <v>108093.77</v>
      </c>
    </row>
    <row r="192" spans="1:9" x14ac:dyDescent="0.2">
      <c r="A192" s="349" t="s">
        <v>341</v>
      </c>
      <c r="B192" s="359">
        <v>52484</v>
      </c>
      <c r="C192" s="349" t="s">
        <v>1146</v>
      </c>
      <c r="D192" s="349" t="s">
        <v>1147</v>
      </c>
      <c r="E192" s="360">
        <v>36384.230000000003</v>
      </c>
      <c r="F192" s="363">
        <v>125.69</v>
      </c>
      <c r="G192" s="361">
        <v>11.21</v>
      </c>
      <c r="H192" s="361">
        <v>114.48</v>
      </c>
      <c r="I192" s="362">
        <v>36498.71</v>
      </c>
    </row>
    <row r="193" spans="1:9" x14ac:dyDescent="0.2">
      <c r="A193" s="349" t="s">
        <v>341</v>
      </c>
      <c r="B193" s="359">
        <v>52485</v>
      </c>
      <c r="C193" s="349" t="s">
        <v>1148</v>
      </c>
      <c r="D193" s="349" t="s">
        <v>1149</v>
      </c>
      <c r="E193" s="360">
        <v>42090.54</v>
      </c>
      <c r="F193" s="363">
        <v>0</v>
      </c>
      <c r="G193" s="361">
        <v>0</v>
      </c>
      <c r="H193" s="361">
        <v>0</v>
      </c>
      <c r="I193" s="362">
        <v>42090.54</v>
      </c>
    </row>
    <row r="194" spans="1:9" x14ac:dyDescent="0.2">
      <c r="A194" s="349" t="s">
        <v>341</v>
      </c>
      <c r="B194" s="359">
        <v>52486</v>
      </c>
      <c r="C194" s="349" t="s">
        <v>1150</v>
      </c>
      <c r="D194" s="349" t="s">
        <v>1151</v>
      </c>
      <c r="E194" s="360">
        <v>246811.17</v>
      </c>
      <c r="F194" s="360">
        <v>18972.740000000002</v>
      </c>
      <c r="G194" s="361">
        <v>0</v>
      </c>
      <c r="H194" s="362">
        <v>18972.740000000002</v>
      </c>
      <c r="I194" s="362">
        <v>265783.90999999997</v>
      </c>
    </row>
    <row r="195" spans="1:9" x14ac:dyDescent="0.2">
      <c r="A195" s="349" t="s">
        <v>341</v>
      </c>
      <c r="B195" s="359">
        <v>52487</v>
      </c>
      <c r="C195" s="349" t="s">
        <v>1152</v>
      </c>
      <c r="D195" s="349" t="s">
        <v>1153</v>
      </c>
      <c r="E195" s="360">
        <v>41349.980000000003</v>
      </c>
      <c r="F195" s="360">
        <v>3444.73</v>
      </c>
      <c r="G195" s="361">
        <v>0.01</v>
      </c>
      <c r="H195" s="362">
        <v>3444.72</v>
      </c>
      <c r="I195" s="362">
        <v>44794.7</v>
      </c>
    </row>
    <row r="196" spans="1:9" x14ac:dyDescent="0.2">
      <c r="A196" s="349" t="s">
        <v>341</v>
      </c>
      <c r="B196" s="359">
        <v>52488</v>
      </c>
      <c r="C196" s="349" t="s">
        <v>1154</v>
      </c>
      <c r="D196" s="349" t="s">
        <v>1155</v>
      </c>
      <c r="E196" s="360">
        <v>7939.23</v>
      </c>
      <c r="F196" s="363">
        <v>0</v>
      </c>
      <c r="G196" s="361">
        <v>0</v>
      </c>
      <c r="H196" s="361">
        <v>0</v>
      </c>
      <c r="I196" s="362">
        <v>7939.23</v>
      </c>
    </row>
    <row r="197" spans="1:9" x14ac:dyDescent="0.2">
      <c r="A197" s="349" t="s">
        <v>341</v>
      </c>
      <c r="B197" s="359">
        <v>52489</v>
      </c>
      <c r="C197" s="349" t="s">
        <v>1156</v>
      </c>
      <c r="D197" s="349" t="s">
        <v>1157</v>
      </c>
      <c r="E197" s="360">
        <v>11807.16</v>
      </c>
      <c r="F197" s="363">
        <v>0</v>
      </c>
      <c r="G197" s="361">
        <v>0</v>
      </c>
      <c r="H197" s="361">
        <v>0</v>
      </c>
      <c r="I197" s="362">
        <v>11807.16</v>
      </c>
    </row>
    <row r="198" spans="1:9" x14ac:dyDescent="0.2">
      <c r="A198" s="349" t="s">
        <v>341</v>
      </c>
      <c r="B198" s="359">
        <v>52490</v>
      </c>
      <c r="C198" s="349" t="s">
        <v>1158</v>
      </c>
      <c r="D198" s="349" t="s">
        <v>1159</v>
      </c>
      <c r="E198" s="360">
        <v>25604.880000000001</v>
      </c>
      <c r="F198" s="363">
        <v>943.59</v>
      </c>
      <c r="G198" s="361">
        <v>0</v>
      </c>
      <c r="H198" s="361">
        <v>943.59</v>
      </c>
      <c r="I198" s="362">
        <v>26548.47</v>
      </c>
    </row>
    <row r="199" spans="1:9" x14ac:dyDescent="0.2">
      <c r="A199" s="349" t="s">
        <v>341</v>
      </c>
      <c r="B199" s="359">
        <v>53610</v>
      </c>
      <c r="C199" s="349" t="s">
        <v>1160</v>
      </c>
      <c r="D199" s="349" t="s">
        <v>1161</v>
      </c>
      <c r="E199" s="360">
        <v>9495.1200000000008</v>
      </c>
      <c r="F199" s="363">
        <v>0</v>
      </c>
      <c r="G199" s="361">
        <v>0</v>
      </c>
      <c r="H199" s="361">
        <v>0</v>
      </c>
      <c r="I199" s="362">
        <v>9495.1200000000008</v>
      </c>
    </row>
    <row r="200" spans="1:9" x14ac:dyDescent="0.2">
      <c r="A200" s="349" t="s">
        <v>341</v>
      </c>
      <c r="B200" s="359">
        <v>53612</v>
      </c>
      <c r="C200" s="349" t="s">
        <v>1162</v>
      </c>
      <c r="D200" s="349" t="s">
        <v>1163</v>
      </c>
      <c r="E200" s="363">
        <v>300.02</v>
      </c>
      <c r="F200" s="363">
        <v>0</v>
      </c>
      <c r="G200" s="361">
        <v>0</v>
      </c>
      <c r="H200" s="361">
        <v>0</v>
      </c>
      <c r="I200" s="361">
        <v>300.02</v>
      </c>
    </row>
    <row r="201" spans="1:9" x14ac:dyDescent="0.2">
      <c r="A201" s="349" t="s">
        <v>341</v>
      </c>
      <c r="B201" s="359">
        <v>53624</v>
      </c>
      <c r="C201" s="349" t="s">
        <v>1164</v>
      </c>
      <c r="D201" s="349" t="s">
        <v>1165</v>
      </c>
      <c r="E201" s="360">
        <v>27128.89</v>
      </c>
      <c r="F201" s="363">
        <v>0</v>
      </c>
      <c r="G201" s="361">
        <v>0</v>
      </c>
      <c r="H201" s="361">
        <v>0</v>
      </c>
      <c r="I201" s="362">
        <v>27128.89</v>
      </c>
    </row>
    <row r="202" spans="1:9" x14ac:dyDescent="0.2">
      <c r="A202" s="349" t="s">
        <v>341</v>
      </c>
      <c r="B202" s="359">
        <v>53628</v>
      </c>
      <c r="C202" s="349" t="s">
        <v>1166</v>
      </c>
      <c r="D202" s="349" t="s">
        <v>1167</v>
      </c>
      <c r="E202" s="360">
        <v>1648.06</v>
      </c>
      <c r="F202" s="363">
        <v>0</v>
      </c>
      <c r="G202" s="361">
        <v>0</v>
      </c>
      <c r="H202" s="361">
        <v>0</v>
      </c>
      <c r="I202" s="362">
        <v>1648.06</v>
      </c>
    </row>
    <row r="203" spans="1:9" x14ac:dyDescent="0.2">
      <c r="A203" s="349" t="s">
        <v>341</v>
      </c>
      <c r="B203" s="359">
        <v>53630</v>
      </c>
      <c r="C203" s="349" t="s">
        <v>1168</v>
      </c>
      <c r="D203" s="349" t="s">
        <v>1169</v>
      </c>
      <c r="E203" s="360">
        <v>7872.51</v>
      </c>
      <c r="F203" s="363">
        <v>0</v>
      </c>
      <c r="G203" s="361">
        <v>0</v>
      </c>
      <c r="H203" s="361">
        <v>0</v>
      </c>
      <c r="I203" s="362">
        <v>7872.51</v>
      </c>
    </row>
    <row r="204" spans="1:9" x14ac:dyDescent="0.2">
      <c r="A204" s="349" t="s">
        <v>341</v>
      </c>
      <c r="B204" s="359">
        <v>53634</v>
      </c>
      <c r="C204" s="349" t="s">
        <v>1170</v>
      </c>
      <c r="D204" s="349" t="s">
        <v>1171</v>
      </c>
      <c r="E204" s="363">
        <v>165.83</v>
      </c>
      <c r="F204" s="363">
        <v>0</v>
      </c>
      <c r="G204" s="361">
        <v>0</v>
      </c>
      <c r="H204" s="361">
        <v>0</v>
      </c>
      <c r="I204" s="361">
        <v>165.83</v>
      </c>
    </row>
    <row r="205" spans="1:9" x14ac:dyDescent="0.2">
      <c r="A205" s="349" t="s">
        <v>341</v>
      </c>
      <c r="B205" s="359">
        <v>53638</v>
      </c>
      <c r="C205" s="349" t="s">
        <v>1172</v>
      </c>
      <c r="D205" s="349" t="s">
        <v>1173</v>
      </c>
      <c r="E205" s="363">
        <v>1.52</v>
      </c>
      <c r="F205" s="363">
        <v>0</v>
      </c>
      <c r="G205" s="361">
        <v>0</v>
      </c>
      <c r="H205" s="361">
        <v>0</v>
      </c>
      <c r="I205" s="361">
        <v>1.52</v>
      </c>
    </row>
    <row r="206" spans="1:9" x14ac:dyDescent="0.2">
      <c r="A206" s="349" t="s">
        <v>341</v>
      </c>
      <c r="B206" s="359">
        <v>53640</v>
      </c>
      <c r="C206" s="349" t="s">
        <v>1174</v>
      </c>
      <c r="D206" s="349" t="s">
        <v>1175</v>
      </c>
      <c r="E206" s="360">
        <v>1961.45</v>
      </c>
      <c r="F206" s="363">
        <v>0</v>
      </c>
      <c r="G206" s="361">
        <v>0</v>
      </c>
      <c r="H206" s="361">
        <v>0</v>
      </c>
      <c r="I206" s="362">
        <v>1961.45</v>
      </c>
    </row>
    <row r="207" spans="1:9" x14ac:dyDescent="0.2">
      <c r="A207" s="349" t="s">
        <v>341</v>
      </c>
      <c r="B207" s="359">
        <v>53643</v>
      </c>
      <c r="C207" s="349" t="s">
        <v>1176</v>
      </c>
      <c r="D207" s="349" t="s">
        <v>1177</v>
      </c>
      <c r="E207" s="360">
        <v>77105.38</v>
      </c>
      <c r="F207" s="363">
        <v>0</v>
      </c>
      <c r="G207" s="361">
        <v>0</v>
      </c>
      <c r="H207" s="361">
        <v>0</v>
      </c>
      <c r="I207" s="362">
        <v>77105.38</v>
      </c>
    </row>
    <row r="208" spans="1:9" x14ac:dyDescent="0.2">
      <c r="A208" s="349" t="s">
        <v>341</v>
      </c>
      <c r="B208" s="359">
        <v>53645</v>
      </c>
      <c r="C208" s="349" t="s">
        <v>1178</v>
      </c>
      <c r="D208" s="349" t="s">
        <v>1177</v>
      </c>
      <c r="E208" s="360">
        <v>20397.96</v>
      </c>
      <c r="F208" s="363">
        <v>0</v>
      </c>
      <c r="G208" s="361">
        <v>0</v>
      </c>
      <c r="H208" s="361">
        <v>0</v>
      </c>
      <c r="I208" s="362">
        <v>20397.96</v>
      </c>
    </row>
    <row r="209" spans="1:9" x14ac:dyDescent="0.2">
      <c r="A209" s="349" t="s">
        <v>341</v>
      </c>
      <c r="B209" s="359">
        <v>53659</v>
      </c>
      <c r="C209" s="349" t="s">
        <v>1179</v>
      </c>
      <c r="D209" s="349" t="s">
        <v>1180</v>
      </c>
      <c r="E209" s="360">
        <v>4320.09</v>
      </c>
      <c r="F209" s="363">
        <v>0</v>
      </c>
      <c r="G209" s="361">
        <v>0</v>
      </c>
      <c r="H209" s="361">
        <v>0</v>
      </c>
      <c r="I209" s="362">
        <v>4320.09</v>
      </c>
    </row>
    <row r="210" spans="1:9" x14ac:dyDescent="0.2">
      <c r="A210" s="349" t="s">
        <v>341</v>
      </c>
      <c r="B210" s="359">
        <v>53663</v>
      </c>
      <c r="C210" s="349" t="s">
        <v>1181</v>
      </c>
      <c r="D210" s="349" t="s">
        <v>1182</v>
      </c>
      <c r="E210" s="360">
        <v>6313.24</v>
      </c>
      <c r="F210" s="363">
        <v>0</v>
      </c>
      <c r="G210" s="361">
        <v>0</v>
      </c>
      <c r="H210" s="361">
        <v>0</v>
      </c>
      <c r="I210" s="362">
        <v>6313.24</v>
      </c>
    </row>
    <row r="211" spans="1:9" x14ac:dyDescent="0.2">
      <c r="A211" s="349" t="s">
        <v>341</v>
      </c>
      <c r="B211" s="359">
        <v>53676</v>
      </c>
      <c r="C211" s="349" t="s">
        <v>1183</v>
      </c>
      <c r="D211" s="349" t="s">
        <v>1184</v>
      </c>
      <c r="E211" s="360">
        <v>623619.91</v>
      </c>
      <c r="F211" s="363">
        <v>0</v>
      </c>
      <c r="G211" s="361">
        <v>0</v>
      </c>
      <c r="H211" s="361">
        <v>0</v>
      </c>
      <c r="I211" s="362">
        <v>623619.91</v>
      </c>
    </row>
    <row r="212" spans="1:9" x14ac:dyDescent="0.2">
      <c r="A212" s="349" t="s">
        <v>341</v>
      </c>
      <c r="B212" s="359">
        <v>53680</v>
      </c>
      <c r="C212" s="349" t="s">
        <v>1185</v>
      </c>
      <c r="D212" s="349" t="s">
        <v>1186</v>
      </c>
      <c r="E212" s="360">
        <v>14993.39</v>
      </c>
      <c r="F212" s="363">
        <v>0</v>
      </c>
      <c r="G212" s="361">
        <v>0</v>
      </c>
      <c r="H212" s="361">
        <v>0</v>
      </c>
      <c r="I212" s="362">
        <v>14993.39</v>
      </c>
    </row>
    <row r="213" spans="1:9" x14ac:dyDescent="0.2">
      <c r="A213" s="349" t="s">
        <v>341</v>
      </c>
      <c r="B213" s="359">
        <v>53684</v>
      </c>
      <c r="C213" s="349" t="s">
        <v>1187</v>
      </c>
      <c r="D213" s="349" t="s">
        <v>1188</v>
      </c>
      <c r="E213" s="360">
        <v>15016.14</v>
      </c>
      <c r="F213" s="363">
        <v>0</v>
      </c>
      <c r="G213" s="361">
        <v>0</v>
      </c>
      <c r="H213" s="361">
        <v>0</v>
      </c>
      <c r="I213" s="362">
        <v>15016.14</v>
      </c>
    </row>
    <row r="214" spans="1:9" x14ac:dyDescent="0.2">
      <c r="A214" s="349" t="s">
        <v>341</v>
      </c>
      <c r="B214" s="359">
        <v>53688</v>
      </c>
      <c r="C214" s="349" t="s">
        <v>1189</v>
      </c>
      <c r="D214" s="349" t="s">
        <v>1190</v>
      </c>
      <c r="E214" s="360">
        <v>94502.080000000002</v>
      </c>
      <c r="F214" s="363">
        <v>0</v>
      </c>
      <c r="G214" s="361">
        <v>0</v>
      </c>
      <c r="H214" s="361">
        <v>0</v>
      </c>
      <c r="I214" s="362">
        <v>94502.080000000002</v>
      </c>
    </row>
    <row r="215" spans="1:9" x14ac:dyDescent="0.2">
      <c r="A215" s="349" t="s">
        <v>341</v>
      </c>
      <c r="B215" s="359">
        <v>53796</v>
      </c>
      <c r="C215" s="349" t="s">
        <v>1191</v>
      </c>
      <c r="D215" s="349" t="s">
        <v>1192</v>
      </c>
      <c r="E215" s="363">
        <v>2.4</v>
      </c>
      <c r="F215" s="363">
        <v>0</v>
      </c>
      <c r="G215" s="361">
        <v>0</v>
      </c>
      <c r="H215" s="361">
        <v>0</v>
      </c>
      <c r="I215" s="361">
        <v>2.4</v>
      </c>
    </row>
    <row r="216" spans="1:9" x14ac:dyDescent="0.2">
      <c r="A216" s="349" t="s">
        <v>341</v>
      </c>
      <c r="B216" s="354">
        <v>37125</v>
      </c>
      <c r="C216" s="355" t="s">
        <v>1193</v>
      </c>
      <c r="D216" s="355" t="s">
        <v>1194</v>
      </c>
      <c r="E216" s="356">
        <v>5512766.6399999997</v>
      </c>
      <c r="F216" s="356">
        <v>3853859.87</v>
      </c>
      <c r="G216" s="357">
        <v>5180677.26</v>
      </c>
      <c r="H216" s="357">
        <v>-1326817.3899999999</v>
      </c>
      <c r="I216" s="357">
        <v>4185949.25</v>
      </c>
    </row>
    <row r="217" spans="1:9" x14ac:dyDescent="0.2">
      <c r="A217" s="349" t="s">
        <v>341</v>
      </c>
      <c r="B217" s="359">
        <v>502</v>
      </c>
      <c r="C217" s="349" t="s">
        <v>1195</v>
      </c>
      <c r="D217" s="349" t="s">
        <v>1196</v>
      </c>
      <c r="E217" s="360">
        <v>2223671.4</v>
      </c>
      <c r="F217" s="360">
        <v>917407.23</v>
      </c>
      <c r="G217" s="362">
        <v>1766091.19</v>
      </c>
      <c r="H217" s="362">
        <v>-848683.96</v>
      </c>
      <c r="I217" s="362">
        <v>1374987.44</v>
      </c>
    </row>
    <row r="218" spans="1:9" x14ac:dyDescent="0.2">
      <c r="A218" s="349" t="s">
        <v>341</v>
      </c>
      <c r="B218" s="359">
        <v>492</v>
      </c>
      <c r="C218" s="349" t="s">
        <v>1197</v>
      </c>
      <c r="D218" s="349" t="s">
        <v>1198</v>
      </c>
      <c r="E218" s="360">
        <v>1333447.55</v>
      </c>
      <c r="F218" s="360">
        <v>1597861.76</v>
      </c>
      <c r="G218" s="362">
        <v>1917275.78</v>
      </c>
      <c r="H218" s="362">
        <v>-319414.02</v>
      </c>
      <c r="I218" s="362">
        <v>1014033.53</v>
      </c>
    </row>
    <row r="219" spans="1:9" x14ac:dyDescent="0.2">
      <c r="A219" s="349" t="s">
        <v>341</v>
      </c>
      <c r="B219" s="359">
        <v>493</v>
      </c>
      <c r="C219" s="349" t="s">
        <v>1199</v>
      </c>
      <c r="D219" s="349" t="s">
        <v>1200</v>
      </c>
      <c r="E219" s="360">
        <v>555672.49</v>
      </c>
      <c r="F219" s="360">
        <v>606541.69999999995</v>
      </c>
      <c r="G219" s="362">
        <v>900495.88</v>
      </c>
      <c r="H219" s="362">
        <v>-293954.18</v>
      </c>
      <c r="I219" s="362">
        <v>261718.31</v>
      </c>
    </row>
    <row r="220" spans="1:9" x14ac:dyDescent="0.2">
      <c r="A220" s="349" t="s">
        <v>341</v>
      </c>
      <c r="B220" s="359">
        <v>53328</v>
      </c>
      <c r="C220" s="349" t="s">
        <v>1201</v>
      </c>
      <c r="D220" s="349" t="s">
        <v>1202</v>
      </c>
      <c r="E220" s="360">
        <v>338791.92</v>
      </c>
      <c r="F220" s="360">
        <v>170952.29</v>
      </c>
      <c r="G220" s="362">
        <v>147005.1</v>
      </c>
      <c r="H220" s="362">
        <v>23947.19</v>
      </c>
      <c r="I220" s="362">
        <v>362739.11</v>
      </c>
    </row>
    <row r="221" spans="1:9" x14ac:dyDescent="0.2">
      <c r="A221" s="349" t="s">
        <v>341</v>
      </c>
      <c r="B221" s="359">
        <v>53329</v>
      </c>
      <c r="C221" s="349" t="s">
        <v>1203</v>
      </c>
      <c r="D221" s="349" t="s">
        <v>1204</v>
      </c>
      <c r="E221" s="360">
        <v>1061183.28</v>
      </c>
      <c r="F221" s="360">
        <v>561096.89</v>
      </c>
      <c r="G221" s="362">
        <v>449809.31</v>
      </c>
      <c r="H221" s="362">
        <v>111287.58</v>
      </c>
      <c r="I221" s="362">
        <v>1172470.8600000001</v>
      </c>
    </row>
    <row r="222" spans="1:9" x14ac:dyDescent="0.2">
      <c r="A222" s="349" t="s">
        <v>341</v>
      </c>
      <c r="B222" s="354">
        <v>37128</v>
      </c>
      <c r="C222" s="355" t="s">
        <v>1205</v>
      </c>
      <c r="D222" s="355" t="s">
        <v>1206</v>
      </c>
      <c r="E222" s="356">
        <v>100505.26</v>
      </c>
      <c r="F222" s="356">
        <v>104217.91</v>
      </c>
      <c r="G222" s="357">
        <v>99710.48</v>
      </c>
      <c r="H222" s="357">
        <v>4507.43</v>
      </c>
      <c r="I222" s="357">
        <v>105012.69</v>
      </c>
    </row>
    <row r="223" spans="1:9" x14ac:dyDescent="0.2">
      <c r="A223" s="349" t="s">
        <v>341</v>
      </c>
      <c r="B223" s="359">
        <v>37818</v>
      </c>
      <c r="C223" s="349" t="s">
        <v>1207</v>
      </c>
      <c r="D223" s="349" t="s">
        <v>1208</v>
      </c>
      <c r="E223" s="360">
        <v>9034.65</v>
      </c>
      <c r="F223" s="360">
        <v>10407.49</v>
      </c>
      <c r="G223" s="362">
        <v>10584.04</v>
      </c>
      <c r="H223" s="361">
        <v>-176.55</v>
      </c>
      <c r="I223" s="362">
        <v>8858.1</v>
      </c>
    </row>
    <row r="224" spans="1:9" x14ac:dyDescent="0.2">
      <c r="A224" s="349" t="s">
        <v>341</v>
      </c>
      <c r="B224" s="359">
        <v>37819</v>
      </c>
      <c r="C224" s="349" t="s">
        <v>1209</v>
      </c>
      <c r="D224" s="349" t="s">
        <v>1210</v>
      </c>
      <c r="E224" s="360">
        <v>91470.61</v>
      </c>
      <c r="F224" s="360">
        <v>61780.800000000003</v>
      </c>
      <c r="G224" s="362">
        <v>57176.82</v>
      </c>
      <c r="H224" s="362">
        <v>4603.9799999999996</v>
      </c>
      <c r="I224" s="362">
        <v>96074.59</v>
      </c>
    </row>
    <row r="225" spans="1:9" x14ac:dyDescent="0.2">
      <c r="A225" s="349" t="s">
        <v>341</v>
      </c>
      <c r="B225" s="359">
        <v>37817</v>
      </c>
      <c r="C225" s="349" t="s">
        <v>1211</v>
      </c>
      <c r="D225" s="349" t="s">
        <v>1212</v>
      </c>
      <c r="E225" s="363">
        <v>0</v>
      </c>
      <c r="F225" s="360">
        <v>32029.62</v>
      </c>
      <c r="G225" s="362">
        <v>31949.62</v>
      </c>
      <c r="H225" s="361">
        <v>80</v>
      </c>
      <c r="I225" s="361">
        <v>80</v>
      </c>
    </row>
    <row r="226" spans="1:9" x14ac:dyDescent="0.2">
      <c r="A226" s="349" t="s">
        <v>341</v>
      </c>
      <c r="B226" s="354">
        <v>533</v>
      </c>
      <c r="C226" s="355" t="s">
        <v>1213</v>
      </c>
      <c r="D226" s="355" t="s">
        <v>1214</v>
      </c>
      <c r="E226" s="356">
        <v>3559532.36</v>
      </c>
      <c r="F226" s="356">
        <v>8038315.5</v>
      </c>
      <c r="G226" s="357">
        <v>7682182.8200000003</v>
      </c>
      <c r="H226" s="357">
        <v>356132.68</v>
      </c>
      <c r="I226" s="357">
        <v>3915665.04</v>
      </c>
    </row>
    <row r="227" spans="1:9" x14ac:dyDescent="0.2">
      <c r="A227" s="349" t="s">
        <v>341</v>
      </c>
      <c r="B227" s="354">
        <v>578</v>
      </c>
      <c r="C227" s="355" t="s">
        <v>1215</v>
      </c>
      <c r="D227" s="355" t="s">
        <v>1216</v>
      </c>
      <c r="E227" s="364">
        <v>0</v>
      </c>
      <c r="F227" s="356">
        <v>1800</v>
      </c>
      <c r="G227" s="357">
        <v>1800</v>
      </c>
      <c r="H227" s="358">
        <v>0</v>
      </c>
      <c r="I227" s="358">
        <v>0</v>
      </c>
    </row>
    <row r="228" spans="1:9" x14ac:dyDescent="0.2">
      <c r="A228" s="349" t="s">
        <v>341</v>
      </c>
      <c r="B228" s="359">
        <v>590</v>
      </c>
      <c r="C228" s="349" t="s">
        <v>1217</v>
      </c>
      <c r="D228" s="349" t="s">
        <v>1216</v>
      </c>
      <c r="E228" s="363">
        <v>0</v>
      </c>
      <c r="F228" s="360">
        <v>1800</v>
      </c>
      <c r="G228" s="362">
        <v>1800</v>
      </c>
      <c r="H228" s="361">
        <v>0</v>
      </c>
      <c r="I228" s="361">
        <v>0</v>
      </c>
    </row>
    <row r="229" spans="1:9" x14ac:dyDescent="0.2">
      <c r="A229" s="349" t="s">
        <v>341</v>
      </c>
      <c r="B229" s="354">
        <v>53476</v>
      </c>
      <c r="C229" s="355" t="s">
        <v>1218</v>
      </c>
      <c r="D229" s="355" t="s">
        <v>1219</v>
      </c>
      <c r="E229" s="356">
        <v>60000</v>
      </c>
      <c r="F229" s="356">
        <v>30000</v>
      </c>
      <c r="G229" s="357">
        <v>30000</v>
      </c>
      <c r="H229" s="358">
        <v>0</v>
      </c>
      <c r="I229" s="357">
        <v>60000</v>
      </c>
    </row>
    <row r="230" spans="1:9" x14ac:dyDescent="0.2">
      <c r="A230" s="349" t="s">
        <v>341</v>
      </c>
      <c r="B230" s="359">
        <v>53477</v>
      </c>
      <c r="C230" s="349" t="s">
        <v>1220</v>
      </c>
      <c r="D230" s="349" t="s">
        <v>1221</v>
      </c>
      <c r="E230" s="360">
        <v>60000</v>
      </c>
      <c r="F230" s="360">
        <v>30000</v>
      </c>
      <c r="G230" s="362">
        <v>30000</v>
      </c>
      <c r="H230" s="361">
        <v>0</v>
      </c>
      <c r="I230" s="362">
        <v>60000</v>
      </c>
    </row>
    <row r="231" spans="1:9" x14ac:dyDescent="0.2">
      <c r="A231" s="349" t="s">
        <v>341</v>
      </c>
      <c r="B231" s="354">
        <v>591</v>
      </c>
      <c r="C231" s="355" t="s">
        <v>1222</v>
      </c>
      <c r="D231" s="355" t="s">
        <v>1223</v>
      </c>
      <c r="E231" s="356">
        <v>99529.63</v>
      </c>
      <c r="F231" s="356">
        <v>1131905.47</v>
      </c>
      <c r="G231" s="357">
        <v>947121.61</v>
      </c>
      <c r="H231" s="357">
        <v>184783.86</v>
      </c>
      <c r="I231" s="357">
        <v>284313.49</v>
      </c>
    </row>
    <row r="232" spans="1:9" x14ac:dyDescent="0.2">
      <c r="A232" s="349" t="s">
        <v>341</v>
      </c>
      <c r="B232" s="359">
        <v>349</v>
      </c>
      <c r="C232" s="349" t="s">
        <v>1224</v>
      </c>
      <c r="D232" s="349" t="s">
        <v>1225</v>
      </c>
      <c r="E232" s="363">
        <v>0</v>
      </c>
      <c r="F232" s="360">
        <v>115779.16</v>
      </c>
      <c r="G232" s="362">
        <v>115779.16</v>
      </c>
      <c r="H232" s="361">
        <v>0</v>
      </c>
      <c r="I232" s="361">
        <v>0</v>
      </c>
    </row>
    <row r="233" spans="1:9" x14ac:dyDescent="0.2">
      <c r="A233" s="349" t="s">
        <v>341</v>
      </c>
      <c r="B233" s="359">
        <v>355</v>
      </c>
      <c r="C233" s="349" t="s">
        <v>1226</v>
      </c>
      <c r="D233" s="349" t="s">
        <v>1227</v>
      </c>
      <c r="E233" s="360">
        <v>99529.63</v>
      </c>
      <c r="F233" s="360">
        <v>726659.15</v>
      </c>
      <c r="G233" s="362">
        <v>702928.44</v>
      </c>
      <c r="H233" s="362">
        <v>23730.71</v>
      </c>
      <c r="I233" s="362">
        <v>123260.34</v>
      </c>
    </row>
    <row r="234" spans="1:9" x14ac:dyDescent="0.2">
      <c r="A234" s="349" t="s">
        <v>341</v>
      </c>
      <c r="B234" s="359">
        <v>361</v>
      </c>
      <c r="C234" s="349" t="s">
        <v>1228</v>
      </c>
      <c r="D234" s="349" t="s">
        <v>1229</v>
      </c>
      <c r="E234" s="363">
        <v>0</v>
      </c>
      <c r="F234" s="360">
        <v>289467.15999999997</v>
      </c>
      <c r="G234" s="362">
        <v>128414.01</v>
      </c>
      <c r="H234" s="362">
        <v>161053.15</v>
      </c>
      <c r="I234" s="362">
        <v>161053.15</v>
      </c>
    </row>
    <row r="235" spans="1:9" x14ac:dyDescent="0.2">
      <c r="A235" s="349" t="s">
        <v>341</v>
      </c>
      <c r="B235" s="354">
        <v>362</v>
      </c>
      <c r="C235" s="355" t="s">
        <v>1230</v>
      </c>
      <c r="D235" s="355" t="s">
        <v>1231</v>
      </c>
      <c r="E235" s="356">
        <v>260894.62</v>
      </c>
      <c r="F235" s="356">
        <v>201148.94</v>
      </c>
      <c r="G235" s="357">
        <v>202485.24</v>
      </c>
      <c r="H235" s="357">
        <v>-1336.3</v>
      </c>
      <c r="I235" s="357">
        <v>259558.32</v>
      </c>
    </row>
    <row r="236" spans="1:9" x14ac:dyDescent="0.2">
      <c r="A236" s="349" t="s">
        <v>341</v>
      </c>
      <c r="B236" s="359">
        <v>375</v>
      </c>
      <c r="C236" s="349" t="s">
        <v>1232</v>
      </c>
      <c r="D236" s="349" t="s">
        <v>1233</v>
      </c>
      <c r="E236" s="360">
        <v>260894.62</v>
      </c>
      <c r="F236" s="360">
        <v>201148.94</v>
      </c>
      <c r="G236" s="362">
        <v>202485.24</v>
      </c>
      <c r="H236" s="362">
        <v>-1336.3</v>
      </c>
      <c r="I236" s="362">
        <v>259558.32</v>
      </c>
    </row>
    <row r="237" spans="1:9" x14ac:dyDescent="0.2">
      <c r="A237" s="349" t="s">
        <v>341</v>
      </c>
      <c r="B237" s="354">
        <v>40370</v>
      </c>
      <c r="C237" s="355" t="s">
        <v>1234</v>
      </c>
      <c r="D237" s="355" t="s">
        <v>1235</v>
      </c>
      <c r="E237" s="356">
        <v>35174.04</v>
      </c>
      <c r="F237" s="364">
        <v>0</v>
      </c>
      <c r="G237" s="358">
        <v>0</v>
      </c>
      <c r="H237" s="358">
        <v>0</v>
      </c>
      <c r="I237" s="357">
        <v>35174.04</v>
      </c>
    </row>
    <row r="238" spans="1:9" x14ac:dyDescent="0.2">
      <c r="A238" s="349" t="s">
        <v>341</v>
      </c>
      <c r="B238" s="359">
        <v>12471</v>
      </c>
      <c r="C238" s="349" t="s">
        <v>1236</v>
      </c>
      <c r="D238" s="349" t="s">
        <v>1235</v>
      </c>
      <c r="E238" s="360">
        <v>9750.7199999999993</v>
      </c>
      <c r="F238" s="363">
        <v>0</v>
      </c>
      <c r="G238" s="361">
        <v>0</v>
      </c>
      <c r="H238" s="361">
        <v>0</v>
      </c>
      <c r="I238" s="362">
        <v>9750.7199999999993</v>
      </c>
    </row>
    <row r="239" spans="1:9" x14ac:dyDescent="0.2">
      <c r="A239" s="349" t="s">
        <v>341</v>
      </c>
      <c r="B239" s="359">
        <v>51470</v>
      </c>
      <c r="C239" s="349" t="s">
        <v>1237</v>
      </c>
      <c r="D239" s="349" t="s">
        <v>1238</v>
      </c>
      <c r="E239" s="360">
        <v>25423.32</v>
      </c>
      <c r="F239" s="363">
        <v>0</v>
      </c>
      <c r="G239" s="361">
        <v>0</v>
      </c>
      <c r="H239" s="361">
        <v>0</v>
      </c>
      <c r="I239" s="362">
        <v>25423.32</v>
      </c>
    </row>
    <row r="240" spans="1:9" x14ac:dyDescent="0.2">
      <c r="A240" s="349" t="s">
        <v>341</v>
      </c>
      <c r="B240" s="354">
        <v>53061</v>
      </c>
      <c r="C240" s="355" t="s">
        <v>1239</v>
      </c>
      <c r="D240" s="355" t="s">
        <v>1240</v>
      </c>
      <c r="E240" s="356">
        <v>269405.53000000003</v>
      </c>
      <c r="F240" s="356">
        <v>802664.28</v>
      </c>
      <c r="G240" s="357">
        <v>269405.53000000003</v>
      </c>
      <c r="H240" s="357">
        <v>533258.75</v>
      </c>
      <c r="I240" s="357">
        <v>802664.28</v>
      </c>
    </row>
    <row r="241" spans="1:9" x14ac:dyDescent="0.2">
      <c r="A241" s="349" t="s">
        <v>341</v>
      </c>
      <c r="B241" s="359">
        <v>522</v>
      </c>
      <c r="C241" s="349" t="s">
        <v>1241</v>
      </c>
      <c r="D241" s="349" t="s">
        <v>9</v>
      </c>
      <c r="E241" s="360">
        <v>199045.21</v>
      </c>
      <c r="F241" s="360">
        <v>199045.21</v>
      </c>
      <c r="G241" s="362">
        <v>199045.21</v>
      </c>
      <c r="H241" s="361">
        <v>0</v>
      </c>
      <c r="I241" s="362">
        <v>199045.21</v>
      </c>
    </row>
    <row r="242" spans="1:9" x14ac:dyDescent="0.2">
      <c r="A242" s="349" t="s">
        <v>341</v>
      </c>
      <c r="B242" s="359">
        <v>53297</v>
      </c>
      <c r="C242" s="349" t="s">
        <v>1242</v>
      </c>
      <c r="D242" s="349" t="s">
        <v>1243</v>
      </c>
      <c r="E242" s="360">
        <v>70360.320000000007</v>
      </c>
      <c r="F242" s="360">
        <v>70360.320000000007</v>
      </c>
      <c r="G242" s="362">
        <v>70360.320000000007</v>
      </c>
      <c r="H242" s="361">
        <v>0</v>
      </c>
      <c r="I242" s="362">
        <v>70360.320000000007</v>
      </c>
    </row>
    <row r="243" spans="1:9" x14ac:dyDescent="0.2">
      <c r="A243" s="349" t="s">
        <v>341</v>
      </c>
      <c r="B243" s="359">
        <v>33096</v>
      </c>
      <c r="C243" s="349" t="s">
        <v>1244</v>
      </c>
      <c r="D243" s="349" t="s">
        <v>1245</v>
      </c>
      <c r="E243" s="363">
        <v>0</v>
      </c>
      <c r="F243" s="360">
        <v>533258.75</v>
      </c>
      <c r="G243" s="361">
        <v>0</v>
      </c>
      <c r="H243" s="362">
        <v>533258.75</v>
      </c>
      <c r="I243" s="362">
        <v>533258.75</v>
      </c>
    </row>
    <row r="244" spans="1:9" x14ac:dyDescent="0.2">
      <c r="A244" s="349" t="s">
        <v>341</v>
      </c>
      <c r="B244" s="354">
        <v>534</v>
      </c>
      <c r="C244" s="355" t="s">
        <v>1246</v>
      </c>
      <c r="D244" s="355" t="s">
        <v>1247</v>
      </c>
      <c r="E244" s="356">
        <v>2687670</v>
      </c>
      <c r="F244" s="356">
        <v>5303970.03</v>
      </c>
      <c r="G244" s="357">
        <v>5717629.4299999997</v>
      </c>
      <c r="H244" s="357">
        <v>-413659.4</v>
      </c>
      <c r="I244" s="357">
        <v>2274010.6</v>
      </c>
    </row>
    <row r="245" spans="1:9" x14ac:dyDescent="0.2">
      <c r="A245" s="349" t="s">
        <v>341</v>
      </c>
      <c r="B245" s="359">
        <v>12327</v>
      </c>
      <c r="C245" s="349" t="s">
        <v>1248</v>
      </c>
      <c r="D245" s="349" t="s">
        <v>1249</v>
      </c>
      <c r="E245" s="363">
        <v>0</v>
      </c>
      <c r="F245" s="360">
        <v>140199.82</v>
      </c>
      <c r="G245" s="362">
        <v>140199.82</v>
      </c>
      <c r="H245" s="361">
        <v>0</v>
      </c>
      <c r="I245" s="361">
        <v>0</v>
      </c>
    </row>
    <row r="246" spans="1:9" x14ac:dyDescent="0.2">
      <c r="A246" s="349" t="s">
        <v>341</v>
      </c>
      <c r="B246" s="359">
        <v>29485</v>
      </c>
      <c r="C246" s="349" t="s">
        <v>1250</v>
      </c>
      <c r="D246" s="349" t="s">
        <v>1251</v>
      </c>
      <c r="E246" s="363">
        <v>0</v>
      </c>
      <c r="F246" s="360">
        <v>47009.05</v>
      </c>
      <c r="G246" s="362">
        <v>47009.05</v>
      </c>
      <c r="H246" s="361">
        <v>0</v>
      </c>
      <c r="I246" s="361">
        <v>0</v>
      </c>
    </row>
    <row r="247" spans="1:9" x14ac:dyDescent="0.2">
      <c r="A247" s="349" t="s">
        <v>341</v>
      </c>
      <c r="B247" s="359">
        <v>550</v>
      </c>
      <c r="C247" s="349" t="s">
        <v>1252</v>
      </c>
      <c r="D247" s="349" t="s">
        <v>1253</v>
      </c>
      <c r="E247" s="360">
        <v>29063.39</v>
      </c>
      <c r="F247" s="360">
        <v>37160.480000000003</v>
      </c>
      <c r="G247" s="362">
        <v>49404.800000000003</v>
      </c>
      <c r="H247" s="362">
        <v>-12244.32</v>
      </c>
      <c r="I247" s="362">
        <v>16819.07</v>
      </c>
    </row>
    <row r="248" spans="1:9" x14ac:dyDescent="0.2">
      <c r="A248" s="349" t="s">
        <v>341</v>
      </c>
      <c r="B248" s="359">
        <v>553</v>
      </c>
      <c r="C248" s="349" t="s">
        <v>1254</v>
      </c>
      <c r="D248" s="349" t="s">
        <v>1255</v>
      </c>
      <c r="E248" s="360">
        <v>1523.3</v>
      </c>
      <c r="F248" s="360">
        <v>8814.76</v>
      </c>
      <c r="G248" s="362">
        <v>9496.16</v>
      </c>
      <c r="H248" s="361">
        <v>-681.4</v>
      </c>
      <c r="I248" s="361">
        <v>841.9</v>
      </c>
    </row>
    <row r="249" spans="1:9" x14ac:dyDescent="0.2">
      <c r="A249" s="349" t="s">
        <v>341</v>
      </c>
      <c r="B249" s="359">
        <v>544</v>
      </c>
      <c r="C249" s="349" t="s">
        <v>1256</v>
      </c>
      <c r="D249" s="349" t="s">
        <v>1257</v>
      </c>
      <c r="E249" s="360">
        <v>2322.15</v>
      </c>
      <c r="F249" s="360">
        <v>3338.38</v>
      </c>
      <c r="G249" s="362">
        <v>4006.88</v>
      </c>
      <c r="H249" s="361">
        <v>-668.5</v>
      </c>
      <c r="I249" s="362">
        <v>1653.65</v>
      </c>
    </row>
    <row r="250" spans="1:9" x14ac:dyDescent="0.2">
      <c r="A250" s="349" t="s">
        <v>341</v>
      </c>
      <c r="B250" s="359">
        <v>25043</v>
      </c>
      <c r="C250" s="349" t="s">
        <v>1258</v>
      </c>
      <c r="D250" s="349" t="s">
        <v>1259</v>
      </c>
      <c r="E250" s="363">
        <v>0</v>
      </c>
      <c r="F250" s="360">
        <v>1195.07</v>
      </c>
      <c r="G250" s="362">
        <v>1195.07</v>
      </c>
      <c r="H250" s="361">
        <v>0</v>
      </c>
      <c r="I250" s="361">
        <v>0</v>
      </c>
    </row>
    <row r="251" spans="1:9" x14ac:dyDescent="0.2">
      <c r="A251" s="349" t="s">
        <v>341</v>
      </c>
      <c r="B251" s="359">
        <v>542</v>
      </c>
      <c r="C251" s="349" t="s">
        <v>1260</v>
      </c>
      <c r="D251" s="349" t="s">
        <v>1261</v>
      </c>
      <c r="E251" s="360">
        <v>42961.15</v>
      </c>
      <c r="F251" s="360">
        <v>53830.42</v>
      </c>
      <c r="G251" s="362">
        <v>56119.3</v>
      </c>
      <c r="H251" s="362">
        <v>-2288.88</v>
      </c>
      <c r="I251" s="362">
        <v>40672.269999999997</v>
      </c>
    </row>
    <row r="252" spans="1:9" x14ac:dyDescent="0.2">
      <c r="A252" s="349" t="s">
        <v>341</v>
      </c>
      <c r="B252" s="359">
        <v>545</v>
      </c>
      <c r="C252" s="349" t="s">
        <v>1262</v>
      </c>
      <c r="D252" s="349" t="s">
        <v>1263</v>
      </c>
      <c r="E252" s="360">
        <v>20315.400000000001</v>
      </c>
      <c r="F252" s="360">
        <v>44046.02</v>
      </c>
      <c r="G252" s="362">
        <v>55177.22</v>
      </c>
      <c r="H252" s="362">
        <v>-11131.2</v>
      </c>
      <c r="I252" s="362">
        <v>9184.2000000000007</v>
      </c>
    </row>
    <row r="253" spans="1:9" x14ac:dyDescent="0.2">
      <c r="A253" s="349" t="s">
        <v>341</v>
      </c>
      <c r="B253" s="359">
        <v>546</v>
      </c>
      <c r="C253" s="349" t="s">
        <v>1264</v>
      </c>
      <c r="D253" s="349" t="s">
        <v>1265</v>
      </c>
      <c r="E253" s="360">
        <v>69065.25</v>
      </c>
      <c r="F253" s="360">
        <v>133588.12</v>
      </c>
      <c r="G253" s="362">
        <v>157952.87</v>
      </c>
      <c r="H253" s="362">
        <v>-24364.75</v>
      </c>
      <c r="I253" s="362">
        <v>44700.5</v>
      </c>
    </row>
    <row r="254" spans="1:9" x14ac:dyDescent="0.2">
      <c r="A254" s="349" t="s">
        <v>341</v>
      </c>
      <c r="B254" s="359">
        <v>547</v>
      </c>
      <c r="C254" s="349" t="s">
        <v>1266</v>
      </c>
      <c r="D254" s="349" t="s">
        <v>1267</v>
      </c>
      <c r="E254" s="360">
        <v>45033.04</v>
      </c>
      <c r="F254" s="360">
        <v>52425.279999999999</v>
      </c>
      <c r="G254" s="362">
        <v>55871.34</v>
      </c>
      <c r="H254" s="362">
        <v>-3446.06</v>
      </c>
      <c r="I254" s="362">
        <v>41586.980000000003</v>
      </c>
    </row>
    <row r="255" spans="1:9" x14ac:dyDescent="0.2">
      <c r="A255" s="349" t="s">
        <v>341</v>
      </c>
      <c r="B255" s="359">
        <v>541</v>
      </c>
      <c r="C255" s="349" t="s">
        <v>1268</v>
      </c>
      <c r="D255" s="349" t="s">
        <v>1269</v>
      </c>
      <c r="E255" s="360">
        <v>70785.39</v>
      </c>
      <c r="F255" s="360">
        <v>332304.63</v>
      </c>
      <c r="G255" s="362">
        <v>337430.95</v>
      </c>
      <c r="H255" s="362">
        <v>-5126.32</v>
      </c>
      <c r="I255" s="362">
        <v>65659.070000000007</v>
      </c>
    </row>
    <row r="256" spans="1:9" x14ac:dyDescent="0.2">
      <c r="A256" s="349" t="s">
        <v>341</v>
      </c>
      <c r="B256" s="359">
        <v>32960</v>
      </c>
      <c r="C256" s="349" t="s">
        <v>1270</v>
      </c>
      <c r="D256" s="349" t="s">
        <v>1271</v>
      </c>
      <c r="E256" s="360">
        <v>848429.23</v>
      </c>
      <c r="F256" s="360">
        <v>1637776.82</v>
      </c>
      <c r="G256" s="362">
        <v>1842869.97</v>
      </c>
      <c r="H256" s="362">
        <v>-205093.15</v>
      </c>
      <c r="I256" s="362">
        <v>643336.07999999996</v>
      </c>
    </row>
    <row r="257" spans="1:9" x14ac:dyDescent="0.2">
      <c r="A257" s="349" t="s">
        <v>341</v>
      </c>
      <c r="B257" s="359">
        <v>552</v>
      </c>
      <c r="C257" s="349" t="s">
        <v>1272</v>
      </c>
      <c r="D257" s="349" t="s">
        <v>1273</v>
      </c>
      <c r="E257" s="360">
        <v>350193.5</v>
      </c>
      <c r="F257" s="360">
        <v>81398.490000000005</v>
      </c>
      <c r="G257" s="362">
        <v>78278.259999999995</v>
      </c>
      <c r="H257" s="362">
        <v>3120.23</v>
      </c>
      <c r="I257" s="362">
        <v>353313.73</v>
      </c>
    </row>
    <row r="258" spans="1:9" x14ac:dyDescent="0.2">
      <c r="A258" s="349" t="s">
        <v>341</v>
      </c>
      <c r="B258" s="359">
        <v>540</v>
      </c>
      <c r="C258" s="349" t="s">
        <v>1274</v>
      </c>
      <c r="D258" s="349" t="s">
        <v>1275</v>
      </c>
      <c r="E258" s="360">
        <v>706030.73</v>
      </c>
      <c r="F258" s="360">
        <v>2675204.46</v>
      </c>
      <c r="G258" s="362">
        <v>2788864.31</v>
      </c>
      <c r="H258" s="362">
        <v>-113659.85</v>
      </c>
      <c r="I258" s="362">
        <v>592370.88</v>
      </c>
    </row>
    <row r="259" spans="1:9" x14ac:dyDescent="0.2">
      <c r="A259" s="349" t="s">
        <v>341</v>
      </c>
      <c r="B259" s="359">
        <v>549</v>
      </c>
      <c r="C259" s="349" t="s">
        <v>1276</v>
      </c>
      <c r="D259" s="349" t="s">
        <v>1277</v>
      </c>
      <c r="E259" s="360">
        <v>385050.36</v>
      </c>
      <c r="F259" s="363">
        <v>11.97</v>
      </c>
      <c r="G259" s="362">
        <v>10239.969999999999</v>
      </c>
      <c r="H259" s="362">
        <v>-10228</v>
      </c>
      <c r="I259" s="362">
        <v>374822.36</v>
      </c>
    </row>
    <row r="260" spans="1:9" x14ac:dyDescent="0.2">
      <c r="A260" s="349" t="s">
        <v>341</v>
      </c>
      <c r="B260" s="359">
        <v>548</v>
      </c>
      <c r="C260" s="349" t="s">
        <v>1278</v>
      </c>
      <c r="D260" s="349" t="s">
        <v>1279</v>
      </c>
      <c r="E260" s="360">
        <v>69632.22</v>
      </c>
      <c r="F260" s="360">
        <v>10186.33</v>
      </c>
      <c r="G260" s="362">
        <v>26251.06</v>
      </c>
      <c r="H260" s="362">
        <v>-16064.73</v>
      </c>
      <c r="I260" s="362">
        <v>53567.49</v>
      </c>
    </row>
    <row r="261" spans="1:9" x14ac:dyDescent="0.2">
      <c r="A261" s="349" t="s">
        <v>341</v>
      </c>
      <c r="B261" s="359">
        <v>51988</v>
      </c>
      <c r="C261" s="349" t="s">
        <v>1280</v>
      </c>
      <c r="D261" s="349" t="s">
        <v>1281</v>
      </c>
      <c r="E261" s="360">
        <v>47264.89</v>
      </c>
      <c r="F261" s="360">
        <v>45479.93</v>
      </c>
      <c r="G261" s="362">
        <v>57262.400000000001</v>
      </c>
      <c r="H261" s="362">
        <v>-11782.47</v>
      </c>
      <c r="I261" s="362">
        <v>35482.42</v>
      </c>
    </row>
    <row r="262" spans="1:9" x14ac:dyDescent="0.2">
      <c r="A262" s="349" t="s">
        <v>341</v>
      </c>
      <c r="B262" s="354">
        <v>40380</v>
      </c>
      <c r="C262" s="355" t="s">
        <v>1282</v>
      </c>
      <c r="D262" s="355" t="s">
        <v>1283</v>
      </c>
      <c r="E262" s="356">
        <v>146858.54</v>
      </c>
      <c r="F262" s="356">
        <v>566826.78</v>
      </c>
      <c r="G262" s="357">
        <v>513741.01</v>
      </c>
      <c r="H262" s="357">
        <v>53085.77</v>
      </c>
      <c r="I262" s="357">
        <v>199944.31</v>
      </c>
    </row>
    <row r="263" spans="1:9" x14ac:dyDescent="0.2">
      <c r="A263" s="349" t="s">
        <v>341</v>
      </c>
      <c r="B263" s="359">
        <v>12248</v>
      </c>
      <c r="C263" s="349" t="s">
        <v>1284</v>
      </c>
      <c r="D263" s="349" t="s">
        <v>1283</v>
      </c>
      <c r="E263" s="360">
        <v>146858.54</v>
      </c>
      <c r="F263" s="360">
        <v>566826.78</v>
      </c>
      <c r="G263" s="362">
        <v>513741.01</v>
      </c>
      <c r="H263" s="362">
        <v>53085.77</v>
      </c>
      <c r="I263" s="362">
        <v>199944.31</v>
      </c>
    </row>
    <row r="264" spans="1:9" x14ac:dyDescent="0.2">
      <c r="A264" s="349" t="s">
        <v>341</v>
      </c>
      <c r="B264" s="354">
        <v>607</v>
      </c>
      <c r="C264" s="355" t="s">
        <v>1285</v>
      </c>
      <c r="D264" s="355" t="s">
        <v>1286</v>
      </c>
      <c r="E264" s="356">
        <v>31308.25</v>
      </c>
      <c r="F264" s="364">
        <v>0</v>
      </c>
      <c r="G264" s="357">
        <v>3677.06</v>
      </c>
      <c r="H264" s="357">
        <v>-3677.06</v>
      </c>
      <c r="I264" s="357">
        <v>27631.19</v>
      </c>
    </row>
    <row r="265" spans="1:9" x14ac:dyDescent="0.2">
      <c r="A265" s="349" t="s">
        <v>341</v>
      </c>
      <c r="B265" s="354">
        <v>608</v>
      </c>
      <c r="C265" s="355" t="s">
        <v>1287</v>
      </c>
      <c r="D265" s="355" t="s">
        <v>1286</v>
      </c>
      <c r="E265" s="356">
        <v>31308.25</v>
      </c>
      <c r="F265" s="364">
        <v>0</v>
      </c>
      <c r="G265" s="357">
        <v>3677.06</v>
      </c>
      <c r="H265" s="357">
        <v>-3677.06</v>
      </c>
      <c r="I265" s="357">
        <v>27631.19</v>
      </c>
    </row>
    <row r="266" spans="1:9" x14ac:dyDescent="0.2">
      <c r="A266" s="349" t="s">
        <v>341</v>
      </c>
      <c r="B266" s="359">
        <v>621</v>
      </c>
      <c r="C266" s="349" t="s">
        <v>1288</v>
      </c>
      <c r="D266" s="349" t="s">
        <v>1289</v>
      </c>
      <c r="E266" s="363">
        <v>354.73</v>
      </c>
      <c r="F266" s="363">
        <v>0</v>
      </c>
      <c r="G266" s="361">
        <v>101.33</v>
      </c>
      <c r="H266" s="361">
        <v>-101.33</v>
      </c>
      <c r="I266" s="361">
        <v>253.4</v>
      </c>
    </row>
    <row r="267" spans="1:9" x14ac:dyDescent="0.2">
      <c r="A267" s="349" t="s">
        <v>341</v>
      </c>
      <c r="B267" s="359">
        <v>638</v>
      </c>
      <c r="C267" s="349" t="s">
        <v>1290</v>
      </c>
      <c r="D267" s="349" t="s">
        <v>1291</v>
      </c>
      <c r="E267" s="360">
        <v>30953.52</v>
      </c>
      <c r="F267" s="363">
        <v>0</v>
      </c>
      <c r="G267" s="362">
        <v>3575.73</v>
      </c>
      <c r="H267" s="362">
        <v>-3575.73</v>
      </c>
      <c r="I267" s="362">
        <v>27377.79</v>
      </c>
    </row>
    <row r="268" spans="1:9" x14ac:dyDescent="0.2">
      <c r="A268" s="349" t="s">
        <v>341</v>
      </c>
      <c r="B268" s="354">
        <v>661</v>
      </c>
      <c r="C268" s="355" t="s">
        <v>1292</v>
      </c>
      <c r="D268" s="355" t="s">
        <v>1293</v>
      </c>
      <c r="E268" s="356">
        <v>79430841.069999993</v>
      </c>
      <c r="F268" s="356">
        <v>303160.55</v>
      </c>
      <c r="G268" s="357">
        <v>219193.04</v>
      </c>
      <c r="H268" s="357">
        <v>83967.51</v>
      </c>
      <c r="I268" s="357">
        <v>79514808.579999998</v>
      </c>
    </row>
    <row r="269" spans="1:9" x14ac:dyDescent="0.2">
      <c r="A269" s="349" t="s">
        <v>341</v>
      </c>
      <c r="B269" s="354">
        <v>662</v>
      </c>
      <c r="C269" s="355" t="s">
        <v>1294</v>
      </c>
      <c r="D269" s="355" t="s">
        <v>1295</v>
      </c>
      <c r="E269" s="356">
        <v>663854.54</v>
      </c>
      <c r="F269" s="364">
        <v>0</v>
      </c>
      <c r="G269" s="358">
        <v>0</v>
      </c>
      <c r="H269" s="358">
        <v>0</v>
      </c>
      <c r="I269" s="357">
        <v>663854.54</v>
      </c>
    </row>
    <row r="270" spans="1:9" x14ac:dyDescent="0.2">
      <c r="A270" s="349" t="s">
        <v>341</v>
      </c>
      <c r="B270" s="354">
        <v>38383</v>
      </c>
      <c r="C270" s="355" t="s">
        <v>1296</v>
      </c>
      <c r="D270" s="355" t="s">
        <v>1297</v>
      </c>
      <c r="E270" s="356">
        <v>663854.54</v>
      </c>
      <c r="F270" s="364">
        <v>0</v>
      </c>
      <c r="G270" s="358">
        <v>0</v>
      </c>
      <c r="H270" s="358">
        <v>0</v>
      </c>
      <c r="I270" s="357">
        <v>663854.54</v>
      </c>
    </row>
    <row r="271" spans="1:9" x14ac:dyDescent="0.2">
      <c r="A271" s="349" t="s">
        <v>341</v>
      </c>
      <c r="B271" s="359">
        <v>829</v>
      </c>
      <c r="C271" s="349" t="s">
        <v>1298</v>
      </c>
      <c r="D271" s="349" t="s">
        <v>1299</v>
      </c>
      <c r="E271" s="360">
        <v>663854.54</v>
      </c>
      <c r="F271" s="363">
        <v>0</v>
      </c>
      <c r="G271" s="361">
        <v>0</v>
      </c>
      <c r="H271" s="361">
        <v>0</v>
      </c>
      <c r="I271" s="362">
        <v>663854.54</v>
      </c>
    </row>
    <row r="272" spans="1:9" x14ac:dyDescent="0.2">
      <c r="A272" s="349" t="s">
        <v>341</v>
      </c>
      <c r="B272" s="354">
        <v>845</v>
      </c>
      <c r="C272" s="355" t="s">
        <v>1300</v>
      </c>
      <c r="D272" s="355" t="s">
        <v>1301</v>
      </c>
      <c r="E272" s="356">
        <v>3150032.84</v>
      </c>
      <c r="F272" s="356">
        <v>82832.66</v>
      </c>
      <c r="G272" s="358">
        <v>0</v>
      </c>
      <c r="H272" s="357">
        <v>82832.66</v>
      </c>
      <c r="I272" s="357">
        <v>3232865.5</v>
      </c>
    </row>
    <row r="273" spans="1:9" x14ac:dyDescent="0.2">
      <c r="A273" s="349" t="s">
        <v>341</v>
      </c>
      <c r="B273" s="354">
        <v>40391</v>
      </c>
      <c r="C273" s="355" t="s">
        <v>1302</v>
      </c>
      <c r="D273" s="355" t="s">
        <v>1301</v>
      </c>
      <c r="E273" s="356">
        <v>3123032.84</v>
      </c>
      <c r="F273" s="356">
        <v>12332.66</v>
      </c>
      <c r="G273" s="358">
        <v>0</v>
      </c>
      <c r="H273" s="357">
        <v>12332.66</v>
      </c>
      <c r="I273" s="357">
        <v>3135365.5</v>
      </c>
    </row>
    <row r="274" spans="1:9" x14ac:dyDescent="0.2">
      <c r="A274" s="349" t="s">
        <v>341</v>
      </c>
      <c r="B274" s="359">
        <v>854</v>
      </c>
      <c r="C274" s="349" t="s">
        <v>1303</v>
      </c>
      <c r="D274" s="349" t="s">
        <v>1304</v>
      </c>
      <c r="E274" s="360">
        <v>156534.89000000001</v>
      </c>
      <c r="F274" s="363">
        <v>782.67</v>
      </c>
      <c r="G274" s="361">
        <v>0</v>
      </c>
      <c r="H274" s="361">
        <v>782.67</v>
      </c>
      <c r="I274" s="362">
        <v>157317.56</v>
      </c>
    </row>
    <row r="275" spans="1:9" x14ac:dyDescent="0.2">
      <c r="A275" s="349" t="s">
        <v>341</v>
      </c>
      <c r="B275" s="359">
        <v>860</v>
      </c>
      <c r="C275" s="349" t="s">
        <v>1305</v>
      </c>
      <c r="D275" s="349" t="s">
        <v>1306</v>
      </c>
      <c r="E275" s="360">
        <v>908129.18</v>
      </c>
      <c r="F275" s="360">
        <v>3632.52</v>
      </c>
      <c r="G275" s="361">
        <v>0</v>
      </c>
      <c r="H275" s="362">
        <v>3632.52</v>
      </c>
      <c r="I275" s="362">
        <v>911761.7</v>
      </c>
    </row>
    <row r="276" spans="1:9" x14ac:dyDescent="0.2">
      <c r="A276" s="349" t="s">
        <v>341</v>
      </c>
      <c r="B276" s="359">
        <v>866</v>
      </c>
      <c r="C276" s="349" t="s">
        <v>1307</v>
      </c>
      <c r="D276" s="349" t="s">
        <v>1308</v>
      </c>
      <c r="E276" s="360">
        <v>38442.71</v>
      </c>
      <c r="F276" s="363">
        <v>153.77000000000001</v>
      </c>
      <c r="G276" s="361">
        <v>0</v>
      </c>
      <c r="H276" s="361">
        <v>153.77000000000001</v>
      </c>
      <c r="I276" s="362">
        <v>38596.480000000003</v>
      </c>
    </row>
    <row r="277" spans="1:9" x14ac:dyDescent="0.2">
      <c r="A277" s="349" t="s">
        <v>341</v>
      </c>
      <c r="B277" s="359">
        <v>51311</v>
      </c>
      <c r="C277" s="349" t="s">
        <v>1309</v>
      </c>
      <c r="D277" s="349" t="s">
        <v>1310</v>
      </c>
      <c r="E277" s="363">
        <v>440.84</v>
      </c>
      <c r="F277" s="363">
        <v>0</v>
      </c>
      <c r="G277" s="361">
        <v>0</v>
      </c>
      <c r="H277" s="361">
        <v>0</v>
      </c>
      <c r="I277" s="361">
        <v>440.84</v>
      </c>
    </row>
    <row r="278" spans="1:9" x14ac:dyDescent="0.2">
      <c r="A278" s="349" t="s">
        <v>341</v>
      </c>
      <c r="B278" s="359">
        <v>872</v>
      </c>
      <c r="C278" s="349" t="s">
        <v>1311</v>
      </c>
      <c r="D278" s="349" t="s">
        <v>1312</v>
      </c>
      <c r="E278" s="360">
        <v>2019485.22</v>
      </c>
      <c r="F278" s="360">
        <v>7763.7</v>
      </c>
      <c r="G278" s="361">
        <v>0</v>
      </c>
      <c r="H278" s="362">
        <v>7763.7</v>
      </c>
      <c r="I278" s="362">
        <v>2027248.92</v>
      </c>
    </row>
    <row r="279" spans="1:9" x14ac:dyDescent="0.2">
      <c r="A279" s="349" t="s">
        <v>341</v>
      </c>
      <c r="B279" s="354">
        <v>899</v>
      </c>
      <c r="C279" s="355" t="s">
        <v>1313</v>
      </c>
      <c r="D279" s="355" t="s">
        <v>1314</v>
      </c>
      <c r="E279" s="356">
        <v>27000</v>
      </c>
      <c r="F279" s="356">
        <v>70500</v>
      </c>
      <c r="G279" s="358">
        <v>0</v>
      </c>
      <c r="H279" s="357">
        <v>70500</v>
      </c>
      <c r="I279" s="357">
        <v>97500</v>
      </c>
    </row>
    <row r="280" spans="1:9" x14ac:dyDescent="0.2">
      <c r="A280" s="349" t="s">
        <v>341</v>
      </c>
      <c r="B280" s="359">
        <v>52534</v>
      </c>
      <c r="C280" s="349" t="s">
        <v>1315</v>
      </c>
      <c r="D280" s="349" t="s">
        <v>1316</v>
      </c>
      <c r="E280" s="360">
        <v>27000</v>
      </c>
      <c r="F280" s="360">
        <v>70500</v>
      </c>
      <c r="G280" s="361">
        <v>0</v>
      </c>
      <c r="H280" s="362">
        <v>70500</v>
      </c>
      <c r="I280" s="362">
        <v>97500</v>
      </c>
    </row>
    <row r="281" spans="1:9" x14ac:dyDescent="0.2">
      <c r="A281" s="349" t="s">
        <v>341</v>
      </c>
      <c r="B281" s="354">
        <v>907</v>
      </c>
      <c r="C281" s="355" t="s">
        <v>1317</v>
      </c>
      <c r="D281" s="355" t="s">
        <v>1318</v>
      </c>
      <c r="E281" s="356">
        <v>73560968.689999998</v>
      </c>
      <c r="F281" s="356">
        <v>217081.79</v>
      </c>
      <c r="G281" s="357">
        <v>207084.59</v>
      </c>
      <c r="H281" s="357">
        <v>9997.2000000000007</v>
      </c>
      <c r="I281" s="357">
        <v>73570965.890000001</v>
      </c>
    </row>
    <row r="282" spans="1:9" x14ac:dyDescent="0.2">
      <c r="A282" s="349" t="s">
        <v>341</v>
      </c>
      <c r="B282" s="354">
        <v>924</v>
      </c>
      <c r="C282" s="355" t="s">
        <v>1319</v>
      </c>
      <c r="D282" s="355" t="s">
        <v>1320</v>
      </c>
      <c r="E282" s="356">
        <v>68803016.659999996</v>
      </c>
      <c r="F282" s="356">
        <v>30808.81</v>
      </c>
      <c r="G282" s="358">
        <v>0</v>
      </c>
      <c r="H282" s="357">
        <v>30808.81</v>
      </c>
      <c r="I282" s="357">
        <v>68833825.469999999</v>
      </c>
    </row>
    <row r="283" spans="1:9" x14ac:dyDescent="0.2">
      <c r="A283" s="349" t="s">
        <v>341</v>
      </c>
      <c r="B283" s="359">
        <v>933</v>
      </c>
      <c r="C283" s="349" t="s">
        <v>1321</v>
      </c>
      <c r="D283" s="349" t="s">
        <v>1322</v>
      </c>
      <c r="E283" s="360">
        <v>19773097</v>
      </c>
      <c r="F283" s="363">
        <v>0</v>
      </c>
      <c r="G283" s="361">
        <v>0</v>
      </c>
      <c r="H283" s="361">
        <v>0</v>
      </c>
      <c r="I283" s="362">
        <v>19773097</v>
      </c>
    </row>
    <row r="284" spans="1:9" x14ac:dyDescent="0.2">
      <c r="A284" s="349" t="s">
        <v>341</v>
      </c>
      <c r="B284" s="359">
        <v>938</v>
      </c>
      <c r="C284" s="349" t="s">
        <v>1323</v>
      </c>
      <c r="D284" s="349" t="s">
        <v>1324</v>
      </c>
      <c r="E284" s="360">
        <v>26724527.829999998</v>
      </c>
      <c r="F284" s="363">
        <v>0</v>
      </c>
      <c r="G284" s="361">
        <v>0</v>
      </c>
      <c r="H284" s="361">
        <v>0</v>
      </c>
      <c r="I284" s="362">
        <v>26724527.829999998</v>
      </c>
    </row>
    <row r="285" spans="1:9" x14ac:dyDescent="0.2">
      <c r="A285" s="349" t="s">
        <v>341</v>
      </c>
      <c r="B285" s="359">
        <v>1030</v>
      </c>
      <c r="C285" s="349" t="s">
        <v>1325</v>
      </c>
      <c r="D285" s="349" t="s">
        <v>1326</v>
      </c>
      <c r="E285" s="360">
        <v>1494387.86</v>
      </c>
      <c r="F285" s="363">
        <v>0</v>
      </c>
      <c r="G285" s="361">
        <v>0</v>
      </c>
      <c r="H285" s="361">
        <v>0</v>
      </c>
      <c r="I285" s="362">
        <v>1494387.86</v>
      </c>
    </row>
    <row r="286" spans="1:9" x14ac:dyDescent="0.2">
      <c r="A286" s="349" t="s">
        <v>341</v>
      </c>
      <c r="B286" s="359">
        <v>1085</v>
      </c>
      <c r="C286" s="349" t="s">
        <v>1327</v>
      </c>
      <c r="D286" s="349" t="s">
        <v>1328</v>
      </c>
      <c r="E286" s="360">
        <v>15944767.83</v>
      </c>
      <c r="F286" s="360">
        <v>19090</v>
      </c>
      <c r="G286" s="361">
        <v>0</v>
      </c>
      <c r="H286" s="362">
        <v>19090</v>
      </c>
      <c r="I286" s="362">
        <v>15963857.83</v>
      </c>
    </row>
    <row r="287" spans="1:9" x14ac:dyDescent="0.2">
      <c r="A287" s="349" t="s">
        <v>341</v>
      </c>
      <c r="B287" s="359">
        <v>32515</v>
      </c>
      <c r="C287" s="349" t="s">
        <v>1329</v>
      </c>
      <c r="D287" s="349" t="s">
        <v>1330</v>
      </c>
      <c r="E287" s="360">
        <v>1156072.5900000001</v>
      </c>
      <c r="F287" s="363">
        <v>0</v>
      </c>
      <c r="G287" s="361">
        <v>0</v>
      </c>
      <c r="H287" s="361">
        <v>0</v>
      </c>
      <c r="I287" s="362">
        <v>1156072.5900000001</v>
      </c>
    </row>
    <row r="288" spans="1:9" x14ac:dyDescent="0.2">
      <c r="A288" s="349" t="s">
        <v>341</v>
      </c>
      <c r="B288" s="359">
        <v>1172</v>
      </c>
      <c r="C288" s="349" t="s">
        <v>1331</v>
      </c>
      <c r="D288" s="349" t="s">
        <v>1332</v>
      </c>
      <c r="E288" s="360">
        <v>343187.95</v>
      </c>
      <c r="F288" s="360">
        <v>2373</v>
      </c>
      <c r="G288" s="361">
        <v>0</v>
      </c>
      <c r="H288" s="362">
        <v>2373</v>
      </c>
      <c r="I288" s="362">
        <v>345560.95</v>
      </c>
    </row>
    <row r="289" spans="1:9" x14ac:dyDescent="0.2">
      <c r="A289" s="349" t="s">
        <v>341</v>
      </c>
      <c r="B289" s="359">
        <v>1248</v>
      </c>
      <c r="C289" s="349" t="s">
        <v>1333</v>
      </c>
      <c r="D289" s="349" t="s">
        <v>1334</v>
      </c>
      <c r="E289" s="360">
        <v>3168715.32</v>
      </c>
      <c r="F289" s="360">
        <v>9345.81</v>
      </c>
      <c r="G289" s="361">
        <v>0</v>
      </c>
      <c r="H289" s="362">
        <v>9345.81</v>
      </c>
      <c r="I289" s="362">
        <v>3178061.13</v>
      </c>
    </row>
    <row r="290" spans="1:9" x14ac:dyDescent="0.2">
      <c r="A290" s="349" t="s">
        <v>341</v>
      </c>
      <c r="B290" s="359">
        <v>1303</v>
      </c>
      <c r="C290" s="349" t="s">
        <v>1335</v>
      </c>
      <c r="D290" s="349" t="s">
        <v>679</v>
      </c>
      <c r="E290" s="360">
        <v>173874.58</v>
      </c>
      <c r="F290" s="363">
        <v>0</v>
      </c>
      <c r="G290" s="361">
        <v>0</v>
      </c>
      <c r="H290" s="361">
        <v>0</v>
      </c>
      <c r="I290" s="362">
        <v>173874.58</v>
      </c>
    </row>
    <row r="291" spans="1:9" x14ac:dyDescent="0.2">
      <c r="A291" s="349" t="s">
        <v>341</v>
      </c>
      <c r="B291" s="359">
        <v>1086</v>
      </c>
      <c r="C291" s="349" t="s">
        <v>1336</v>
      </c>
      <c r="D291" s="349" t="s">
        <v>1337</v>
      </c>
      <c r="E291" s="360">
        <v>24385.7</v>
      </c>
      <c r="F291" s="363">
        <v>0</v>
      </c>
      <c r="G291" s="361">
        <v>0</v>
      </c>
      <c r="H291" s="361">
        <v>0</v>
      </c>
      <c r="I291" s="362">
        <v>24385.7</v>
      </c>
    </row>
    <row r="292" spans="1:9" x14ac:dyDescent="0.2">
      <c r="A292" s="349" t="s">
        <v>341</v>
      </c>
      <c r="B292" s="354">
        <v>964</v>
      </c>
      <c r="C292" s="355" t="s">
        <v>1338</v>
      </c>
      <c r="D292" s="355" t="s">
        <v>1339</v>
      </c>
      <c r="E292" s="356">
        <v>-22632715.789999999</v>
      </c>
      <c r="F292" s="364">
        <v>0</v>
      </c>
      <c r="G292" s="357">
        <v>176671.11</v>
      </c>
      <c r="H292" s="357">
        <v>-176671.11</v>
      </c>
      <c r="I292" s="357">
        <v>-22809386.899999999</v>
      </c>
    </row>
    <row r="293" spans="1:9" x14ac:dyDescent="0.2">
      <c r="A293" s="349" t="s">
        <v>341</v>
      </c>
      <c r="B293" s="359">
        <v>969</v>
      </c>
      <c r="C293" s="349" t="s">
        <v>1340</v>
      </c>
      <c r="D293" s="349" t="s">
        <v>1341</v>
      </c>
      <c r="E293" s="360">
        <v>-9887511.1099999994</v>
      </c>
      <c r="F293" s="363">
        <v>0</v>
      </c>
      <c r="G293" s="362">
        <v>31660.28</v>
      </c>
      <c r="H293" s="362">
        <v>-31660.28</v>
      </c>
      <c r="I293" s="362">
        <v>-9919171.3900000006</v>
      </c>
    </row>
    <row r="294" spans="1:9" x14ac:dyDescent="0.2">
      <c r="A294" s="349" t="s">
        <v>341</v>
      </c>
      <c r="B294" s="359">
        <v>1043</v>
      </c>
      <c r="C294" s="349" t="s">
        <v>1342</v>
      </c>
      <c r="D294" s="349" t="s">
        <v>1343</v>
      </c>
      <c r="E294" s="360">
        <v>-59392.63</v>
      </c>
      <c r="F294" s="363">
        <v>0</v>
      </c>
      <c r="G294" s="362">
        <v>2450.85</v>
      </c>
      <c r="H294" s="362">
        <v>-2450.85</v>
      </c>
      <c r="I294" s="362">
        <v>-61843.48</v>
      </c>
    </row>
    <row r="295" spans="1:9" x14ac:dyDescent="0.2">
      <c r="A295" s="349" t="s">
        <v>341</v>
      </c>
      <c r="B295" s="359">
        <v>1115</v>
      </c>
      <c r="C295" s="349" t="s">
        <v>1344</v>
      </c>
      <c r="D295" s="349" t="s">
        <v>1345</v>
      </c>
      <c r="E295" s="360">
        <v>-8433562.5500000007</v>
      </c>
      <c r="F295" s="363">
        <v>0</v>
      </c>
      <c r="G295" s="362">
        <v>88118.87</v>
      </c>
      <c r="H295" s="362">
        <v>-88118.87</v>
      </c>
      <c r="I295" s="362">
        <v>-8521681.4199999999</v>
      </c>
    </row>
    <row r="296" spans="1:9" x14ac:dyDescent="0.2">
      <c r="A296" s="349" t="s">
        <v>341</v>
      </c>
      <c r="B296" s="359">
        <v>51259</v>
      </c>
      <c r="C296" s="349" t="s">
        <v>1346</v>
      </c>
      <c r="D296" s="349" t="s">
        <v>1347</v>
      </c>
      <c r="E296" s="360">
        <v>-1392598.14</v>
      </c>
      <c r="F296" s="363">
        <v>0</v>
      </c>
      <c r="G296" s="362">
        <v>37077.629999999997</v>
      </c>
      <c r="H296" s="362">
        <v>-37077.629999999997</v>
      </c>
      <c r="I296" s="362">
        <v>-1429675.77</v>
      </c>
    </row>
    <row r="297" spans="1:9" x14ac:dyDescent="0.2">
      <c r="A297" s="349" t="s">
        <v>341</v>
      </c>
      <c r="B297" s="359">
        <v>1192</v>
      </c>
      <c r="C297" s="349" t="s">
        <v>1348</v>
      </c>
      <c r="D297" s="349" t="s">
        <v>1349</v>
      </c>
      <c r="E297" s="360">
        <v>-197281.73</v>
      </c>
      <c r="F297" s="363">
        <v>0</v>
      </c>
      <c r="G297" s="362">
        <v>2490.5</v>
      </c>
      <c r="H297" s="362">
        <v>-2490.5</v>
      </c>
      <c r="I297" s="362">
        <v>-199772.23</v>
      </c>
    </row>
    <row r="298" spans="1:9" x14ac:dyDescent="0.2">
      <c r="A298" s="349" t="s">
        <v>341</v>
      </c>
      <c r="B298" s="359">
        <v>1261</v>
      </c>
      <c r="C298" s="349" t="s">
        <v>1350</v>
      </c>
      <c r="D298" s="349" t="s">
        <v>1351</v>
      </c>
      <c r="E298" s="360">
        <v>-1890909.91</v>
      </c>
      <c r="F298" s="363">
        <v>0</v>
      </c>
      <c r="G298" s="362">
        <v>12286.31</v>
      </c>
      <c r="H298" s="362">
        <v>-12286.31</v>
      </c>
      <c r="I298" s="362">
        <v>-1903196.22</v>
      </c>
    </row>
    <row r="299" spans="1:9" x14ac:dyDescent="0.2">
      <c r="A299" s="349" t="s">
        <v>341</v>
      </c>
      <c r="B299" s="359">
        <v>1316</v>
      </c>
      <c r="C299" s="349" t="s">
        <v>1352</v>
      </c>
      <c r="D299" s="349" t="s">
        <v>1353</v>
      </c>
      <c r="E299" s="360">
        <v>-80893.17</v>
      </c>
      <c r="F299" s="363">
        <v>0</v>
      </c>
      <c r="G299" s="362">
        <v>1394.71</v>
      </c>
      <c r="H299" s="362">
        <v>-1394.71</v>
      </c>
      <c r="I299" s="362">
        <v>-82287.88</v>
      </c>
    </row>
    <row r="300" spans="1:9" x14ac:dyDescent="0.2">
      <c r="A300" s="349" t="s">
        <v>341</v>
      </c>
      <c r="B300" s="359">
        <v>36995</v>
      </c>
      <c r="C300" s="349" t="s">
        <v>1354</v>
      </c>
      <c r="D300" s="349" t="s">
        <v>1355</v>
      </c>
      <c r="E300" s="360">
        <v>-690566.55</v>
      </c>
      <c r="F300" s="363">
        <v>0</v>
      </c>
      <c r="G300" s="362">
        <v>1191.96</v>
      </c>
      <c r="H300" s="362">
        <v>-1191.96</v>
      </c>
      <c r="I300" s="362">
        <v>-691758.51</v>
      </c>
    </row>
    <row r="301" spans="1:9" x14ac:dyDescent="0.2">
      <c r="A301" s="349" t="s">
        <v>341</v>
      </c>
      <c r="B301" s="354">
        <v>34339</v>
      </c>
      <c r="C301" s="355" t="s">
        <v>1356</v>
      </c>
      <c r="D301" s="355" t="s">
        <v>1357</v>
      </c>
      <c r="E301" s="356">
        <v>10558130</v>
      </c>
      <c r="F301" s="356">
        <v>109391.01</v>
      </c>
      <c r="G301" s="358">
        <v>0</v>
      </c>
      <c r="H301" s="357">
        <v>109391.01</v>
      </c>
      <c r="I301" s="357">
        <v>10667521.01</v>
      </c>
    </row>
    <row r="302" spans="1:9" x14ac:dyDescent="0.2">
      <c r="A302" s="349" t="s">
        <v>341</v>
      </c>
      <c r="B302" s="359">
        <v>984</v>
      </c>
      <c r="C302" s="349" t="s">
        <v>1358</v>
      </c>
      <c r="D302" s="349" t="s">
        <v>1359</v>
      </c>
      <c r="E302" s="360">
        <v>1949862.9</v>
      </c>
      <c r="F302" s="363">
        <v>0</v>
      </c>
      <c r="G302" s="361">
        <v>0</v>
      </c>
      <c r="H302" s="361">
        <v>0</v>
      </c>
      <c r="I302" s="362">
        <v>1949862.9</v>
      </c>
    </row>
    <row r="303" spans="1:9" x14ac:dyDescent="0.2">
      <c r="A303" s="349" t="s">
        <v>341</v>
      </c>
      <c r="B303" s="359">
        <v>986</v>
      </c>
      <c r="C303" s="349" t="s">
        <v>1360</v>
      </c>
      <c r="D303" s="349" t="s">
        <v>1361</v>
      </c>
      <c r="E303" s="360">
        <v>254870.1</v>
      </c>
      <c r="F303" s="363">
        <v>0</v>
      </c>
      <c r="G303" s="361">
        <v>0</v>
      </c>
      <c r="H303" s="361">
        <v>0</v>
      </c>
      <c r="I303" s="362">
        <v>254870.1</v>
      </c>
    </row>
    <row r="304" spans="1:9" x14ac:dyDescent="0.2">
      <c r="A304" s="349" t="s">
        <v>341</v>
      </c>
      <c r="B304" s="359">
        <v>987</v>
      </c>
      <c r="C304" s="349" t="s">
        <v>1362</v>
      </c>
      <c r="D304" s="349" t="s">
        <v>1363</v>
      </c>
      <c r="E304" s="360">
        <v>1827113.72</v>
      </c>
      <c r="F304" s="363">
        <v>0</v>
      </c>
      <c r="G304" s="361">
        <v>0</v>
      </c>
      <c r="H304" s="361">
        <v>0</v>
      </c>
      <c r="I304" s="362">
        <v>1827113.72</v>
      </c>
    </row>
    <row r="305" spans="1:9" x14ac:dyDescent="0.2">
      <c r="A305" s="349" t="s">
        <v>341</v>
      </c>
      <c r="B305" s="359">
        <v>1057</v>
      </c>
      <c r="C305" s="349" t="s">
        <v>1364</v>
      </c>
      <c r="D305" s="349" t="s">
        <v>1365</v>
      </c>
      <c r="E305" s="360">
        <v>395399.74</v>
      </c>
      <c r="F305" s="360">
        <v>5700</v>
      </c>
      <c r="G305" s="361">
        <v>0</v>
      </c>
      <c r="H305" s="362">
        <v>5700</v>
      </c>
      <c r="I305" s="362">
        <v>401099.74</v>
      </c>
    </row>
    <row r="306" spans="1:9" x14ac:dyDescent="0.2">
      <c r="A306" s="349" t="s">
        <v>341</v>
      </c>
      <c r="B306" s="359">
        <v>1136</v>
      </c>
      <c r="C306" s="349" t="s">
        <v>1366</v>
      </c>
      <c r="D306" s="349" t="s">
        <v>1367</v>
      </c>
      <c r="E306" s="360">
        <v>415010.67</v>
      </c>
      <c r="F306" s="363">
        <v>0</v>
      </c>
      <c r="G306" s="361">
        <v>0</v>
      </c>
      <c r="H306" s="361">
        <v>0</v>
      </c>
      <c r="I306" s="362">
        <v>415010.67</v>
      </c>
    </row>
    <row r="307" spans="1:9" x14ac:dyDescent="0.2">
      <c r="A307" s="349" t="s">
        <v>341</v>
      </c>
      <c r="B307" s="359">
        <v>1214</v>
      </c>
      <c r="C307" s="349" t="s">
        <v>1368</v>
      </c>
      <c r="D307" s="349" t="s">
        <v>1369</v>
      </c>
      <c r="E307" s="360">
        <v>1196165.97</v>
      </c>
      <c r="F307" s="360">
        <v>59054.36</v>
      </c>
      <c r="G307" s="361">
        <v>0</v>
      </c>
      <c r="H307" s="362">
        <v>59054.36</v>
      </c>
      <c r="I307" s="362">
        <v>1255220.33</v>
      </c>
    </row>
    <row r="308" spans="1:9" x14ac:dyDescent="0.2">
      <c r="A308" s="349" t="s">
        <v>341</v>
      </c>
      <c r="B308" s="359">
        <v>1275</v>
      </c>
      <c r="C308" s="349" t="s">
        <v>1370</v>
      </c>
      <c r="D308" s="349" t="s">
        <v>1371</v>
      </c>
      <c r="E308" s="360">
        <v>1274727.45</v>
      </c>
      <c r="F308" s="360">
        <v>29297.599999999999</v>
      </c>
      <c r="G308" s="361">
        <v>0</v>
      </c>
      <c r="H308" s="362">
        <v>29297.599999999999</v>
      </c>
      <c r="I308" s="362">
        <v>1304025.05</v>
      </c>
    </row>
    <row r="309" spans="1:9" x14ac:dyDescent="0.2">
      <c r="A309" s="349" t="s">
        <v>341</v>
      </c>
      <c r="B309" s="359">
        <v>1329</v>
      </c>
      <c r="C309" s="349" t="s">
        <v>1372</v>
      </c>
      <c r="D309" s="349" t="s">
        <v>1373</v>
      </c>
      <c r="E309" s="360">
        <v>93884.800000000003</v>
      </c>
      <c r="F309" s="363">
        <v>0</v>
      </c>
      <c r="G309" s="361">
        <v>0</v>
      </c>
      <c r="H309" s="361">
        <v>0</v>
      </c>
      <c r="I309" s="362">
        <v>93884.800000000003</v>
      </c>
    </row>
    <row r="310" spans="1:9" x14ac:dyDescent="0.2">
      <c r="A310" s="349" t="s">
        <v>341</v>
      </c>
      <c r="B310" s="359">
        <v>25071</v>
      </c>
      <c r="C310" s="349" t="s">
        <v>1374</v>
      </c>
      <c r="D310" s="349" t="s">
        <v>1375</v>
      </c>
      <c r="E310" s="360">
        <v>78571.520000000004</v>
      </c>
      <c r="F310" s="363">
        <v>0</v>
      </c>
      <c r="G310" s="361">
        <v>0</v>
      </c>
      <c r="H310" s="361">
        <v>0</v>
      </c>
      <c r="I310" s="362">
        <v>78571.520000000004</v>
      </c>
    </row>
    <row r="311" spans="1:9" x14ac:dyDescent="0.2">
      <c r="A311" s="349" t="s">
        <v>341</v>
      </c>
      <c r="B311" s="359">
        <v>25073</v>
      </c>
      <c r="C311" s="349" t="s">
        <v>1376</v>
      </c>
      <c r="D311" s="349" t="s">
        <v>1377</v>
      </c>
      <c r="E311" s="360">
        <v>1499</v>
      </c>
      <c r="F311" s="363">
        <v>0</v>
      </c>
      <c r="G311" s="361">
        <v>0</v>
      </c>
      <c r="H311" s="361">
        <v>0</v>
      </c>
      <c r="I311" s="362">
        <v>1499</v>
      </c>
    </row>
    <row r="312" spans="1:9" x14ac:dyDescent="0.2">
      <c r="A312" s="349" t="s">
        <v>341</v>
      </c>
      <c r="B312" s="359">
        <v>1465</v>
      </c>
      <c r="C312" s="349" t="s">
        <v>1378</v>
      </c>
      <c r="D312" s="349" t="s">
        <v>1379</v>
      </c>
      <c r="E312" s="360">
        <v>2727</v>
      </c>
      <c r="F312" s="363">
        <v>0</v>
      </c>
      <c r="G312" s="361">
        <v>0</v>
      </c>
      <c r="H312" s="361">
        <v>0</v>
      </c>
      <c r="I312" s="362">
        <v>2727</v>
      </c>
    </row>
    <row r="313" spans="1:9" x14ac:dyDescent="0.2">
      <c r="A313" s="349" t="s">
        <v>341</v>
      </c>
      <c r="B313" s="359">
        <v>53019</v>
      </c>
      <c r="C313" s="349" t="s">
        <v>1380</v>
      </c>
      <c r="D313" s="349" t="s">
        <v>1381</v>
      </c>
      <c r="E313" s="360">
        <v>1260000</v>
      </c>
      <c r="F313" s="363">
        <v>0</v>
      </c>
      <c r="G313" s="361">
        <v>0</v>
      </c>
      <c r="H313" s="361">
        <v>0</v>
      </c>
      <c r="I313" s="362">
        <v>1260000</v>
      </c>
    </row>
    <row r="314" spans="1:9" x14ac:dyDescent="0.2">
      <c r="A314" s="349" t="s">
        <v>341</v>
      </c>
      <c r="B314" s="359">
        <v>1095</v>
      </c>
      <c r="C314" s="349" t="s">
        <v>1382</v>
      </c>
      <c r="D314" s="349" t="s">
        <v>1383</v>
      </c>
      <c r="E314" s="360">
        <v>1597894.15</v>
      </c>
      <c r="F314" s="363">
        <v>0</v>
      </c>
      <c r="G314" s="361">
        <v>0</v>
      </c>
      <c r="H314" s="361">
        <v>0</v>
      </c>
      <c r="I314" s="362">
        <v>1597894.15</v>
      </c>
    </row>
    <row r="315" spans="1:9" x14ac:dyDescent="0.2">
      <c r="A315" s="349" t="s">
        <v>341</v>
      </c>
      <c r="B315" s="359">
        <v>36947</v>
      </c>
      <c r="C315" s="349" t="s">
        <v>1384</v>
      </c>
      <c r="D315" s="349" t="s">
        <v>1385</v>
      </c>
      <c r="E315" s="360">
        <v>1969.05</v>
      </c>
      <c r="F315" s="363">
        <v>0</v>
      </c>
      <c r="G315" s="361">
        <v>0</v>
      </c>
      <c r="H315" s="361">
        <v>0</v>
      </c>
      <c r="I315" s="362">
        <v>1969.05</v>
      </c>
    </row>
    <row r="316" spans="1:9" x14ac:dyDescent="0.2">
      <c r="A316" s="349" t="s">
        <v>341</v>
      </c>
      <c r="B316" s="359">
        <v>38157</v>
      </c>
      <c r="C316" s="349" t="s">
        <v>1386</v>
      </c>
      <c r="D316" s="349" t="s">
        <v>1387</v>
      </c>
      <c r="E316" s="360">
        <v>13707.04</v>
      </c>
      <c r="F316" s="363">
        <v>0</v>
      </c>
      <c r="G316" s="361">
        <v>0</v>
      </c>
      <c r="H316" s="361">
        <v>0</v>
      </c>
      <c r="I316" s="362">
        <v>13707.04</v>
      </c>
    </row>
    <row r="317" spans="1:9" x14ac:dyDescent="0.2">
      <c r="A317" s="349" t="s">
        <v>341</v>
      </c>
      <c r="B317" s="359">
        <v>40438</v>
      </c>
      <c r="C317" s="349" t="s">
        <v>1388</v>
      </c>
      <c r="D317" s="349" t="s">
        <v>1389</v>
      </c>
      <c r="E317" s="360">
        <v>193046.89</v>
      </c>
      <c r="F317" s="360">
        <v>15339.05</v>
      </c>
      <c r="G317" s="361">
        <v>0</v>
      </c>
      <c r="H317" s="362">
        <v>15339.05</v>
      </c>
      <c r="I317" s="362">
        <v>208385.94</v>
      </c>
    </row>
    <row r="318" spans="1:9" x14ac:dyDescent="0.2">
      <c r="A318" s="349" t="s">
        <v>341</v>
      </c>
      <c r="B318" s="359">
        <v>25069</v>
      </c>
      <c r="C318" s="349" t="s">
        <v>1390</v>
      </c>
      <c r="D318" s="349" t="s">
        <v>1391</v>
      </c>
      <c r="E318" s="360">
        <v>1680</v>
      </c>
      <c r="F318" s="363">
        <v>0</v>
      </c>
      <c r="G318" s="361">
        <v>0</v>
      </c>
      <c r="H318" s="361">
        <v>0</v>
      </c>
      <c r="I318" s="362">
        <v>1680</v>
      </c>
    </row>
    <row r="319" spans="1:9" x14ac:dyDescent="0.2">
      <c r="A319" s="349" t="s">
        <v>341</v>
      </c>
      <c r="B319" s="354">
        <v>1061</v>
      </c>
      <c r="C319" s="355" t="s">
        <v>1392</v>
      </c>
      <c r="D319" s="355" t="s">
        <v>1393</v>
      </c>
      <c r="E319" s="356">
        <v>-2205609.1</v>
      </c>
      <c r="F319" s="364">
        <v>0</v>
      </c>
      <c r="G319" s="357">
        <v>21933.89</v>
      </c>
      <c r="H319" s="357">
        <v>-21933.89</v>
      </c>
      <c r="I319" s="357">
        <v>-2227542.9900000002</v>
      </c>
    </row>
    <row r="320" spans="1:9" x14ac:dyDescent="0.2">
      <c r="A320" s="349" t="s">
        <v>341</v>
      </c>
      <c r="B320" s="359">
        <v>1070</v>
      </c>
      <c r="C320" s="349" t="s">
        <v>1394</v>
      </c>
      <c r="D320" s="349" t="s">
        <v>1395</v>
      </c>
      <c r="E320" s="360">
        <v>-205438.37</v>
      </c>
      <c r="F320" s="363">
        <v>0</v>
      </c>
      <c r="G320" s="362">
        <v>2283.12</v>
      </c>
      <c r="H320" s="362">
        <v>-2283.12</v>
      </c>
      <c r="I320" s="362">
        <v>-207721.49</v>
      </c>
    </row>
    <row r="321" spans="1:9" x14ac:dyDescent="0.2">
      <c r="A321" s="349" t="s">
        <v>341</v>
      </c>
      <c r="B321" s="359">
        <v>1157</v>
      </c>
      <c r="C321" s="349" t="s">
        <v>1396</v>
      </c>
      <c r="D321" s="349" t="s">
        <v>1397</v>
      </c>
      <c r="E321" s="360">
        <v>-283257.78999999998</v>
      </c>
      <c r="F321" s="363">
        <v>0</v>
      </c>
      <c r="G321" s="362">
        <v>2592.63</v>
      </c>
      <c r="H321" s="362">
        <v>-2592.63</v>
      </c>
      <c r="I321" s="362">
        <v>-285850.42</v>
      </c>
    </row>
    <row r="322" spans="1:9" x14ac:dyDescent="0.2">
      <c r="A322" s="349" t="s">
        <v>341</v>
      </c>
      <c r="B322" s="359">
        <v>1234</v>
      </c>
      <c r="C322" s="349" t="s">
        <v>1398</v>
      </c>
      <c r="D322" s="349" t="s">
        <v>1399</v>
      </c>
      <c r="E322" s="360">
        <v>-795421.64</v>
      </c>
      <c r="F322" s="363">
        <v>0</v>
      </c>
      <c r="G322" s="362">
        <v>9945.09</v>
      </c>
      <c r="H322" s="362">
        <v>-9945.09</v>
      </c>
      <c r="I322" s="362">
        <v>-805366.73</v>
      </c>
    </row>
    <row r="323" spans="1:9" x14ac:dyDescent="0.2">
      <c r="A323" s="349" t="s">
        <v>341</v>
      </c>
      <c r="B323" s="359">
        <v>1288</v>
      </c>
      <c r="C323" s="349" t="s">
        <v>1400</v>
      </c>
      <c r="D323" s="349" t="s">
        <v>1401</v>
      </c>
      <c r="E323" s="360">
        <v>-764786.08</v>
      </c>
      <c r="F323" s="363">
        <v>0</v>
      </c>
      <c r="G323" s="362">
        <v>5470.47</v>
      </c>
      <c r="H323" s="362">
        <v>-5470.47</v>
      </c>
      <c r="I323" s="362">
        <v>-770256.55</v>
      </c>
    </row>
    <row r="324" spans="1:9" x14ac:dyDescent="0.2">
      <c r="A324" s="349" t="s">
        <v>341</v>
      </c>
      <c r="B324" s="359">
        <v>1312</v>
      </c>
      <c r="C324" s="349" t="s">
        <v>1402</v>
      </c>
      <c r="D324" s="349" t="s">
        <v>1403</v>
      </c>
      <c r="E324" s="360">
        <v>-88768.95</v>
      </c>
      <c r="F324" s="363">
        <v>0</v>
      </c>
      <c r="G324" s="362">
        <v>1442.9</v>
      </c>
      <c r="H324" s="362">
        <v>-1442.9</v>
      </c>
      <c r="I324" s="362">
        <v>-90211.85</v>
      </c>
    </row>
    <row r="325" spans="1:9" x14ac:dyDescent="0.2">
      <c r="A325" s="349" t="s">
        <v>341</v>
      </c>
      <c r="B325" s="359">
        <v>28074</v>
      </c>
      <c r="C325" s="349" t="s">
        <v>1404</v>
      </c>
      <c r="D325" s="349" t="s">
        <v>1405</v>
      </c>
      <c r="E325" s="360">
        <v>-9225.34</v>
      </c>
      <c r="F325" s="363">
        <v>0</v>
      </c>
      <c r="G325" s="361">
        <v>12.49</v>
      </c>
      <c r="H325" s="361">
        <v>-12.49</v>
      </c>
      <c r="I325" s="362">
        <v>-9237.83</v>
      </c>
    </row>
    <row r="326" spans="1:9" x14ac:dyDescent="0.2">
      <c r="A326" s="349" t="s">
        <v>341</v>
      </c>
      <c r="B326" s="359">
        <v>28071</v>
      </c>
      <c r="C326" s="349" t="s">
        <v>1406</v>
      </c>
      <c r="D326" s="349" t="s">
        <v>1405</v>
      </c>
      <c r="E326" s="360">
        <v>-58710.93</v>
      </c>
      <c r="F326" s="363">
        <v>0</v>
      </c>
      <c r="G326" s="361">
        <v>187.19</v>
      </c>
      <c r="H326" s="361">
        <v>-187.19</v>
      </c>
      <c r="I326" s="362">
        <v>-58898.12</v>
      </c>
    </row>
    <row r="327" spans="1:9" x14ac:dyDescent="0.2">
      <c r="A327" s="349" t="s">
        <v>341</v>
      </c>
      <c r="B327" s="354">
        <v>34346</v>
      </c>
      <c r="C327" s="355" t="s">
        <v>1407</v>
      </c>
      <c r="D327" s="355" t="s">
        <v>1408</v>
      </c>
      <c r="E327" s="356">
        <v>14023298.859999999</v>
      </c>
      <c r="F327" s="356">
        <v>76881.97</v>
      </c>
      <c r="G327" s="358">
        <v>0</v>
      </c>
      <c r="H327" s="357">
        <v>76881.97</v>
      </c>
      <c r="I327" s="357">
        <v>14100180.83</v>
      </c>
    </row>
    <row r="328" spans="1:9" x14ac:dyDescent="0.2">
      <c r="A328" s="349" t="s">
        <v>341</v>
      </c>
      <c r="B328" s="359">
        <v>12874</v>
      </c>
      <c r="C328" s="349" t="s">
        <v>1409</v>
      </c>
      <c r="D328" s="349" t="s">
        <v>1410</v>
      </c>
      <c r="E328" s="360">
        <v>8348365.0099999998</v>
      </c>
      <c r="F328" s="360">
        <v>76881.97</v>
      </c>
      <c r="G328" s="361">
        <v>0</v>
      </c>
      <c r="H328" s="362">
        <v>76881.97</v>
      </c>
      <c r="I328" s="362">
        <v>8425246.9800000004</v>
      </c>
    </row>
    <row r="329" spans="1:9" x14ac:dyDescent="0.2">
      <c r="A329" s="349" t="s">
        <v>341</v>
      </c>
      <c r="B329" s="359">
        <v>33283</v>
      </c>
      <c r="C329" s="349" t="s">
        <v>1411</v>
      </c>
      <c r="D329" s="349" t="s">
        <v>1412</v>
      </c>
      <c r="E329" s="360">
        <v>2739526.9</v>
      </c>
      <c r="F329" s="363">
        <v>0</v>
      </c>
      <c r="G329" s="361">
        <v>0</v>
      </c>
      <c r="H329" s="361">
        <v>0</v>
      </c>
      <c r="I329" s="362">
        <v>2739526.9</v>
      </c>
    </row>
    <row r="330" spans="1:9" x14ac:dyDescent="0.2">
      <c r="A330" s="349" t="s">
        <v>341</v>
      </c>
      <c r="B330" s="359">
        <v>37733</v>
      </c>
      <c r="C330" s="349" t="s">
        <v>1413</v>
      </c>
      <c r="D330" s="349" t="s">
        <v>1414</v>
      </c>
      <c r="E330" s="360">
        <v>2490398.4300000002</v>
      </c>
      <c r="F330" s="363">
        <v>0</v>
      </c>
      <c r="G330" s="361">
        <v>0</v>
      </c>
      <c r="H330" s="361">
        <v>0</v>
      </c>
      <c r="I330" s="362">
        <v>2490398.4300000002</v>
      </c>
    </row>
    <row r="331" spans="1:9" x14ac:dyDescent="0.2">
      <c r="A331" s="349" t="s">
        <v>341</v>
      </c>
      <c r="B331" s="359">
        <v>33678</v>
      </c>
      <c r="C331" s="349" t="s">
        <v>1415</v>
      </c>
      <c r="D331" s="349" t="s">
        <v>1416</v>
      </c>
      <c r="E331" s="360">
        <v>347851.02</v>
      </c>
      <c r="F331" s="363">
        <v>0</v>
      </c>
      <c r="G331" s="361">
        <v>0</v>
      </c>
      <c r="H331" s="361">
        <v>0</v>
      </c>
      <c r="I331" s="362">
        <v>347851.02</v>
      </c>
    </row>
    <row r="332" spans="1:9" x14ac:dyDescent="0.2">
      <c r="A332" s="349" t="s">
        <v>341</v>
      </c>
      <c r="B332" s="359">
        <v>51903</v>
      </c>
      <c r="C332" s="349" t="s">
        <v>1417</v>
      </c>
      <c r="D332" s="349" t="s">
        <v>1418</v>
      </c>
      <c r="E332" s="360">
        <v>97157.5</v>
      </c>
      <c r="F332" s="363">
        <v>0</v>
      </c>
      <c r="G332" s="361">
        <v>0</v>
      </c>
      <c r="H332" s="361">
        <v>0</v>
      </c>
      <c r="I332" s="362">
        <v>97157.5</v>
      </c>
    </row>
    <row r="333" spans="1:9" x14ac:dyDescent="0.2">
      <c r="A333" s="349" t="s">
        <v>341</v>
      </c>
      <c r="B333" s="354">
        <v>34338</v>
      </c>
      <c r="C333" s="355" t="s">
        <v>1419</v>
      </c>
      <c r="D333" s="355" t="s">
        <v>1420</v>
      </c>
      <c r="E333" s="356">
        <v>1114513.5</v>
      </c>
      <c r="F333" s="364">
        <v>0</v>
      </c>
      <c r="G333" s="358">
        <v>0</v>
      </c>
      <c r="H333" s="358">
        <v>0</v>
      </c>
      <c r="I333" s="357">
        <v>1114513.5</v>
      </c>
    </row>
    <row r="334" spans="1:9" x14ac:dyDescent="0.2">
      <c r="A334" s="349" t="s">
        <v>341</v>
      </c>
      <c r="B334" s="359">
        <v>1426</v>
      </c>
      <c r="C334" s="349" t="s">
        <v>1421</v>
      </c>
      <c r="D334" s="349" t="s">
        <v>1422</v>
      </c>
      <c r="E334" s="360">
        <v>1114513.5</v>
      </c>
      <c r="F334" s="363">
        <v>0</v>
      </c>
      <c r="G334" s="361">
        <v>0</v>
      </c>
      <c r="H334" s="361">
        <v>0</v>
      </c>
      <c r="I334" s="362">
        <v>1114513.5</v>
      </c>
    </row>
    <row r="335" spans="1:9" x14ac:dyDescent="0.2">
      <c r="A335" s="349" t="s">
        <v>341</v>
      </c>
      <c r="B335" s="354">
        <v>38404</v>
      </c>
      <c r="C335" s="355" t="s">
        <v>1423</v>
      </c>
      <c r="D335" s="355" t="s">
        <v>1424</v>
      </c>
      <c r="E335" s="356">
        <v>-428776.58</v>
      </c>
      <c r="F335" s="364">
        <v>0</v>
      </c>
      <c r="G335" s="357">
        <v>6751.83</v>
      </c>
      <c r="H335" s="357">
        <v>-6751.83</v>
      </c>
      <c r="I335" s="357">
        <v>-435528.41</v>
      </c>
    </row>
    <row r="336" spans="1:9" x14ac:dyDescent="0.2">
      <c r="A336" s="349" t="s">
        <v>341</v>
      </c>
      <c r="B336" s="359">
        <v>1454</v>
      </c>
      <c r="C336" s="349" t="s">
        <v>1425</v>
      </c>
      <c r="D336" s="349" t="s">
        <v>1426</v>
      </c>
      <c r="E336" s="360">
        <v>-428776.58</v>
      </c>
      <c r="F336" s="363">
        <v>0</v>
      </c>
      <c r="G336" s="362">
        <v>6751.83</v>
      </c>
      <c r="H336" s="362">
        <v>-6751.83</v>
      </c>
      <c r="I336" s="362">
        <v>-435528.41</v>
      </c>
    </row>
    <row r="337" spans="1:9" x14ac:dyDescent="0.2">
      <c r="A337" s="349" t="s">
        <v>341</v>
      </c>
      <c r="B337" s="354">
        <v>53694</v>
      </c>
      <c r="C337" s="355" t="s">
        <v>1427</v>
      </c>
      <c r="D337" s="355" t="s">
        <v>1428</v>
      </c>
      <c r="E337" s="356">
        <v>4367269.05</v>
      </c>
      <c r="F337" s="364">
        <v>0</v>
      </c>
      <c r="G337" s="358">
        <v>0</v>
      </c>
      <c r="H337" s="358">
        <v>0</v>
      </c>
      <c r="I337" s="357">
        <v>4367269.05</v>
      </c>
    </row>
    <row r="338" spans="1:9" x14ac:dyDescent="0.2">
      <c r="A338" s="349" t="s">
        <v>341</v>
      </c>
      <c r="B338" s="359">
        <v>51466</v>
      </c>
      <c r="C338" s="349" t="s">
        <v>1429</v>
      </c>
      <c r="D338" s="349" t="s">
        <v>1430</v>
      </c>
      <c r="E338" s="360">
        <v>207331.20000000001</v>
      </c>
      <c r="F338" s="363">
        <v>0</v>
      </c>
      <c r="G338" s="361">
        <v>0</v>
      </c>
      <c r="H338" s="361">
        <v>0</v>
      </c>
      <c r="I338" s="362">
        <v>207331.20000000001</v>
      </c>
    </row>
    <row r="339" spans="1:9" x14ac:dyDescent="0.2">
      <c r="A339" s="349" t="s">
        <v>341</v>
      </c>
      <c r="B339" s="359">
        <v>51258</v>
      </c>
      <c r="C339" s="349" t="s">
        <v>1431</v>
      </c>
      <c r="D339" s="349" t="s">
        <v>1432</v>
      </c>
      <c r="E339" s="360">
        <v>4159937.85</v>
      </c>
      <c r="F339" s="363">
        <v>0</v>
      </c>
      <c r="G339" s="361">
        <v>0</v>
      </c>
      <c r="H339" s="361">
        <v>0</v>
      </c>
      <c r="I339" s="362">
        <v>4159937.85</v>
      </c>
    </row>
    <row r="340" spans="1:9" x14ac:dyDescent="0.2">
      <c r="A340" s="349" t="s">
        <v>341</v>
      </c>
      <c r="B340" s="354">
        <v>53695</v>
      </c>
      <c r="C340" s="355" t="s">
        <v>1433</v>
      </c>
      <c r="D340" s="355" t="s">
        <v>1434</v>
      </c>
      <c r="E340" s="356">
        <v>-38157.910000000003</v>
      </c>
      <c r="F340" s="364">
        <v>0</v>
      </c>
      <c r="G340" s="357">
        <v>1727.76</v>
      </c>
      <c r="H340" s="357">
        <v>-1727.76</v>
      </c>
      <c r="I340" s="357">
        <v>-39885.67</v>
      </c>
    </row>
    <row r="341" spans="1:9" x14ac:dyDescent="0.2">
      <c r="A341" s="349" t="s">
        <v>341</v>
      </c>
      <c r="B341" s="359">
        <v>51467</v>
      </c>
      <c r="C341" s="349" t="s">
        <v>1435</v>
      </c>
      <c r="D341" s="349" t="s">
        <v>1351</v>
      </c>
      <c r="E341" s="360">
        <v>-38064.910000000003</v>
      </c>
      <c r="F341" s="363">
        <v>0</v>
      </c>
      <c r="G341" s="362">
        <v>1727.76</v>
      </c>
      <c r="H341" s="362">
        <v>-1727.76</v>
      </c>
      <c r="I341" s="362">
        <v>-39792.67</v>
      </c>
    </row>
    <row r="342" spans="1:9" x14ac:dyDescent="0.2">
      <c r="A342" s="349" t="s">
        <v>341</v>
      </c>
      <c r="B342" s="359">
        <v>1188</v>
      </c>
      <c r="C342" s="349" t="s">
        <v>1436</v>
      </c>
      <c r="D342" s="349" t="s">
        <v>1437</v>
      </c>
      <c r="E342" s="363">
        <v>-93</v>
      </c>
      <c r="F342" s="363">
        <v>0</v>
      </c>
      <c r="G342" s="361">
        <v>0</v>
      </c>
      <c r="H342" s="361">
        <v>0</v>
      </c>
      <c r="I342" s="361">
        <v>-93</v>
      </c>
    </row>
    <row r="343" spans="1:9" x14ac:dyDescent="0.2">
      <c r="A343" s="349" t="s">
        <v>341</v>
      </c>
      <c r="B343" s="354">
        <v>34498</v>
      </c>
      <c r="C343" s="355" t="s">
        <v>1438</v>
      </c>
      <c r="D343" s="355" t="s">
        <v>1439</v>
      </c>
      <c r="E343" s="356">
        <v>2055985</v>
      </c>
      <c r="F343" s="356">
        <v>3246.1</v>
      </c>
      <c r="G343" s="357">
        <v>12108.45</v>
      </c>
      <c r="H343" s="357">
        <v>-8862.35</v>
      </c>
      <c r="I343" s="357">
        <v>2047122.65</v>
      </c>
    </row>
    <row r="344" spans="1:9" x14ac:dyDescent="0.2">
      <c r="A344" s="349" t="s">
        <v>341</v>
      </c>
      <c r="B344" s="354">
        <v>44846</v>
      </c>
      <c r="C344" s="355" t="s">
        <v>1440</v>
      </c>
      <c r="D344" s="355" t="s">
        <v>1441</v>
      </c>
      <c r="E344" s="356">
        <v>2832717.28</v>
      </c>
      <c r="F344" s="356">
        <v>3246.1</v>
      </c>
      <c r="G344" s="357">
        <v>2436.1</v>
      </c>
      <c r="H344" s="358">
        <v>810</v>
      </c>
      <c r="I344" s="357">
        <v>2833527.28</v>
      </c>
    </row>
    <row r="345" spans="1:9" x14ac:dyDescent="0.2">
      <c r="A345" s="349" t="s">
        <v>341</v>
      </c>
      <c r="B345" s="359">
        <v>1181</v>
      </c>
      <c r="C345" s="349" t="s">
        <v>1442</v>
      </c>
      <c r="D345" s="349" t="s">
        <v>1443</v>
      </c>
      <c r="E345" s="360">
        <v>2829388.05</v>
      </c>
      <c r="F345" s="360">
        <v>3246.1</v>
      </c>
      <c r="G345" s="362">
        <v>2436.1</v>
      </c>
      <c r="H345" s="361">
        <v>810</v>
      </c>
      <c r="I345" s="362">
        <v>2830198.05</v>
      </c>
    </row>
    <row r="346" spans="1:9" x14ac:dyDescent="0.2">
      <c r="A346" s="349" t="s">
        <v>341</v>
      </c>
      <c r="B346" s="359">
        <v>1435</v>
      </c>
      <c r="C346" s="349" t="s">
        <v>1444</v>
      </c>
      <c r="D346" s="349" t="s">
        <v>1445</v>
      </c>
      <c r="E346" s="360">
        <v>3329.23</v>
      </c>
      <c r="F346" s="363">
        <v>0</v>
      </c>
      <c r="G346" s="361">
        <v>0</v>
      </c>
      <c r="H346" s="361">
        <v>0</v>
      </c>
      <c r="I346" s="362">
        <v>3329.23</v>
      </c>
    </row>
    <row r="347" spans="1:9" x14ac:dyDescent="0.2">
      <c r="A347" s="349" t="s">
        <v>341</v>
      </c>
      <c r="B347" s="354">
        <v>40483</v>
      </c>
      <c r="C347" s="355" t="s">
        <v>1446</v>
      </c>
      <c r="D347" s="355" t="s">
        <v>1447</v>
      </c>
      <c r="E347" s="356">
        <v>-773520.42</v>
      </c>
      <c r="F347" s="364">
        <v>0</v>
      </c>
      <c r="G347" s="357">
        <v>7575.09</v>
      </c>
      <c r="H347" s="357">
        <v>-7575.09</v>
      </c>
      <c r="I347" s="357">
        <v>-781095.51</v>
      </c>
    </row>
    <row r="348" spans="1:9" x14ac:dyDescent="0.2">
      <c r="A348" s="349" t="s">
        <v>341</v>
      </c>
      <c r="B348" s="359">
        <v>42749</v>
      </c>
      <c r="C348" s="349" t="s">
        <v>1448</v>
      </c>
      <c r="D348" s="349" t="s">
        <v>1447</v>
      </c>
      <c r="E348" s="360">
        <v>-773520.42</v>
      </c>
      <c r="F348" s="363">
        <v>0</v>
      </c>
      <c r="G348" s="362">
        <v>7575.09</v>
      </c>
      <c r="H348" s="362">
        <v>-7575.09</v>
      </c>
      <c r="I348" s="362">
        <v>-781095.51</v>
      </c>
    </row>
    <row r="349" spans="1:9" x14ac:dyDescent="0.2">
      <c r="A349" s="349" t="s">
        <v>341</v>
      </c>
      <c r="B349" s="354">
        <v>34523</v>
      </c>
      <c r="C349" s="355" t="s">
        <v>1449</v>
      </c>
      <c r="D349" s="355" t="s">
        <v>1450</v>
      </c>
      <c r="E349" s="356">
        <v>156895</v>
      </c>
      <c r="F349" s="364">
        <v>0</v>
      </c>
      <c r="G349" s="358">
        <v>0</v>
      </c>
      <c r="H349" s="358">
        <v>0</v>
      </c>
      <c r="I349" s="357">
        <v>156895</v>
      </c>
    </row>
    <row r="350" spans="1:9" x14ac:dyDescent="0.2">
      <c r="A350" s="349" t="s">
        <v>341</v>
      </c>
      <c r="B350" s="359">
        <v>1223</v>
      </c>
      <c r="C350" s="349" t="s">
        <v>1451</v>
      </c>
      <c r="D350" s="349" t="s">
        <v>1452</v>
      </c>
      <c r="E350" s="360">
        <v>156895</v>
      </c>
      <c r="F350" s="363">
        <v>0</v>
      </c>
      <c r="G350" s="361">
        <v>0</v>
      </c>
      <c r="H350" s="361">
        <v>0</v>
      </c>
      <c r="I350" s="362">
        <v>156895</v>
      </c>
    </row>
    <row r="351" spans="1:9" x14ac:dyDescent="0.2">
      <c r="A351" s="349" t="s">
        <v>341</v>
      </c>
      <c r="B351" s="354">
        <v>40497</v>
      </c>
      <c r="C351" s="355" t="s">
        <v>1453</v>
      </c>
      <c r="D351" s="355" t="s">
        <v>1454</v>
      </c>
      <c r="E351" s="356">
        <v>-160106.85999999999</v>
      </c>
      <c r="F351" s="364">
        <v>0</v>
      </c>
      <c r="G351" s="357">
        <v>2097.2600000000002</v>
      </c>
      <c r="H351" s="357">
        <v>-2097.2600000000002</v>
      </c>
      <c r="I351" s="357">
        <v>-162204.12</v>
      </c>
    </row>
    <row r="352" spans="1:9" x14ac:dyDescent="0.2">
      <c r="A352" s="349" t="s">
        <v>341</v>
      </c>
      <c r="B352" s="359">
        <v>42745</v>
      </c>
      <c r="C352" s="349" t="s">
        <v>1455</v>
      </c>
      <c r="D352" s="349" t="s">
        <v>1454</v>
      </c>
      <c r="E352" s="360">
        <v>-160106.85999999999</v>
      </c>
      <c r="F352" s="363">
        <v>0</v>
      </c>
      <c r="G352" s="362">
        <v>2097.2600000000002</v>
      </c>
      <c r="H352" s="362">
        <v>-2097.2600000000002</v>
      </c>
      <c r="I352" s="362">
        <v>-162204.12</v>
      </c>
    </row>
    <row r="353" spans="1:9" x14ac:dyDescent="0.2">
      <c r="A353" s="349" t="s">
        <v>341</v>
      </c>
      <c r="B353" s="354">
        <v>1578</v>
      </c>
      <c r="C353" s="355" t="s">
        <v>1456</v>
      </c>
      <c r="D353" s="355" t="s">
        <v>1457</v>
      </c>
      <c r="E353" s="356">
        <v>107570307.27</v>
      </c>
      <c r="F353" s="356">
        <v>51847920</v>
      </c>
      <c r="G353" s="357">
        <v>59504543.390000001</v>
      </c>
      <c r="H353" s="357">
        <v>7656623.3899999997</v>
      </c>
      <c r="I353" s="357">
        <v>115226930.66</v>
      </c>
    </row>
    <row r="354" spans="1:9" x14ac:dyDescent="0.2">
      <c r="A354" s="349" t="s">
        <v>341</v>
      </c>
      <c r="B354" s="354">
        <v>1579</v>
      </c>
      <c r="C354" s="355" t="s">
        <v>1458</v>
      </c>
      <c r="D354" s="355" t="s">
        <v>1459</v>
      </c>
      <c r="E354" s="356">
        <v>32076833.579999998</v>
      </c>
      <c r="F354" s="356">
        <v>49294544.509999998</v>
      </c>
      <c r="G354" s="357">
        <v>48210544.270000003</v>
      </c>
      <c r="H354" s="357">
        <v>-1084000.24</v>
      </c>
      <c r="I354" s="357">
        <v>30992833.34</v>
      </c>
    </row>
    <row r="355" spans="1:9" x14ac:dyDescent="0.2">
      <c r="A355" s="349" t="s">
        <v>341</v>
      </c>
      <c r="B355" s="354">
        <v>1899</v>
      </c>
      <c r="C355" s="355" t="s">
        <v>1460</v>
      </c>
      <c r="D355" s="355" t="s">
        <v>1461</v>
      </c>
      <c r="E355" s="356">
        <v>6006113.2699999996</v>
      </c>
      <c r="F355" s="356">
        <v>6101632.0700000003</v>
      </c>
      <c r="G355" s="357">
        <v>5032211.26</v>
      </c>
      <c r="H355" s="357">
        <v>-1069420.81</v>
      </c>
      <c r="I355" s="357">
        <v>4936692.46</v>
      </c>
    </row>
    <row r="356" spans="1:9" x14ac:dyDescent="0.2">
      <c r="A356" s="349" t="s">
        <v>341</v>
      </c>
      <c r="B356" s="354">
        <v>1900</v>
      </c>
      <c r="C356" s="355" t="s">
        <v>1462</v>
      </c>
      <c r="D356" s="355" t="s">
        <v>1463</v>
      </c>
      <c r="E356" s="356">
        <v>4954724.8</v>
      </c>
      <c r="F356" s="356">
        <v>4779178.6399999997</v>
      </c>
      <c r="G356" s="357">
        <v>4113504.27</v>
      </c>
      <c r="H356" s="357">
        <v>-665674.37</v>
      </c>
      <c r="I356" s="357">
        <v>4289050.43</v>
      </c>
    </row>
    <row r="357" spans="1:9" x14ac:dyDescent="0.2">
      <c r="A357" s="349" t="s">
        <v>341</v>
      </c>
      <c r="B357" s="359">
        <v>52920</v>
      </c>
      <c r="C357" s="349" t="s">
        <v>1464</v>
      </c>
      <c r="D357" s="349" t="s">
        <v>1465</v>
      </c>
      <c r="E357" s="360">
        <v>1355.36</v>
      </c>
      <c r="F357" s="360">
        <v>2225.9</v>
      </c>
      <c r="G357" s="362">
        <v>3489.48</v>
      </c>
      <c r="H357" s="362">
        <v>1263.58</v>
      </c>
      <c r="I357" s="362">
        <v>2618.94</v>
      </c>
    </row>
    <row r="358" spans="1:9" x14ac:dyDescent="0.2">
      <c r="A358" s="349" t="s">
        <v>341</v>
      </c>
      <c r="B358" s="359">
        <v>37314</v>
      </c>
      <c r="C358" s="349" t="s">
        <v>1466</v>
      </c>
      <c r="D358" s="349" t="s">
        <v>1467</v>
      </c>
      <c r="E358" s="360">
        <v>5222.2299999999996</v>
      </c>
      <c r="F358" s="363">
        <v>0</v>
      </c>
      <c r="G358" s="362">
        <v>1774.81</v>
      </c>
      <c r="H358" s="362">
        <v>1774.81</v>
      </c>
      <c r="I358" s="362">
        <v>6997.04</v>
      </c>
    </row>
    <row r="359" spans="1:9" x14ac:dyDescent="0.2">
      <c r="A359" s="349" t="s">
        <v>341</v>
      </c>
      <c r="B359" s="359">
        <v>1910</v>
      </c>
      <c r="C359" s="349" t="s">
        <v>1468</v>
      </c>
      <c r="D359" s="349" t="s">
        <v>1469</v>
      </c>
      <c r="E359" s="360">
        <v>17130.73</v>
      </c>
      <c r="F359" s="360">
        <v>17130.73</v>
      </c>
      <c r="G359" s="362">
        <v>15607.99</v>
      </c>
      <c r="H359" s="362">
        <v>-1522.74</v>
      </c>
      <c r="I359" s="362">
        <v>15607.99</v>
      </c>
    </row>
    <row r="360" spans="1:9" x14ac:dyDescent="0.2">
      <c r="A360" s="349" t="s">
        <v>341</v>
      </c>
      <c r="B360" s="359">
        <v>37739</v>
      </c>
      <c r="C360" s="349" t="s">
        <v>1470</v>
      </c>
      <c r="D360" s="349" t="s">
        <v>1471</v>
      </c>
      <c r="E360" s="363">
        <v>187.6</v>
      </c>
      <c r="F360" s="363">
        <v>0</v>
      </c>
      <c r="G360" s="361">
        <v>0</v>
      </c>
      <c r="H360" s="361">
        <v>0</v>
      </c>
      <c r="I360" s="361">
        <v>187.6</v>
      </c>
    </row>
    <row r="361" spans="1:9" x14ac:dyDescent="0.2">
      <c r="A361" s="349" t="s">
        <v>341</v>
      </c>
      <c r="B361" s="359">
        <v>51848</v>
      </c>
      <c r="C361" s="349" t="s">
        <v>1472</v>
      </c>
      <c r="D361" s="349" t="s">
        <v>1473</v>
      </c>
      <c r="E361" s="360">
        <v>10879.64</v>
      </c>
      <c r="F361" s="360">
        <v>14679.44</v>
      </c>
      <c r="G361" s="362">
        <v>11512.8</v>
      </c>
      <c r="H361" s="362">
        <v>-3166.64</v>
      </c>
      <c r="I361" s="362">
        <v>7713</v>
      </c>
    </row>
    <row r="362" spans="1:9" x14ac:dyDescent="0.2">
      <c r="A362" s="349" t="s">
        <v>341</v>
      </c>
      <c r="B362" s="359">
        <v>1913</v>
      </c>
      <c r="C362" s="349" t="s">
        <v>1474</v>
      </c>
      <c r="D362" s="349" t="s">
        <v>1475</v>
      </c>
      <c r="E362" s="360">
        <v>3306.29</v>
      </c>
      <c r="F362" s="360">
        <v>3453.29</v>
      </c>
      <c r="G362" s="362">
        <v>4453.1400000000003</v>
      </c>
      <c r="H362" s="361">
        <v>999.85</v>
      </c>
      <c r="I362" s="362">
        <v>4306.1400000000003</v>
      </c>
    </row>
    <row r="363" spans="1:9" x14ac:dyDescent="0.2">
      <c r="A363" s="349" t="s">
        <v>341</v>
      </c>
      <c r="B363" s="359">
        <v>51787</v>
      </c>
      <c r="C363" s="349" t="s">
        <v>1476</v>
      </c>
      <c r="D363" s="349" t="s">
        <v>1477</v>
      </c>
      <c r="E363" s="363">
        <v>0</v>
      </c>
      <c r="F363" s="360">
        <v>7483.04</v>
      </c>
      <c r="G363" s="362">
        <v>7483.04</v>
      </c>
      <c r="H363" s="361">
        <v>0</v>
      </c>
      <c r="I363" s="361">
        <v>0</v>
      </c>
    </row>
    <row r="364" spans="1:9" x14ac:dyDescent="0.2">
      <c r="A364" s="349" t="s">
        <v>341</v>
      </c>
      <c r="B364" s="359">
        <v>52871</v>
      </c>
      <c r="C364" s="349" t="s">
        <v>1478</v>
      </c>
      <c r="D364" s="349" t="s">
        <v>1479</v>
      </c>
      <c r="E364" s="363">
        <v>720</v>
      </c>
      <c r="F364" s="363">
        <v>0</v>
      </c>
      <c r="G364" s="361">
        <v>0</v>
      </c>
      <c r="H364" s="361">
        <v>0</v>
      </c>
      <c r="I364" s="361">
        <v>720</v>
      </c>
    </row>
    <row r="365" spans="1:9" x14ac:dyDescent="0.2">
      <c r="A365" s="349" t="s">
        <v>341</v>
      </c>
      <c r="B365" s="359">
        <v>51937</v>
      </c>
      <c r="C365" s="349" t="s">
        <v>1480</v>
      </c>
      <c r="D365" s="349" t="s">
        <v>1481</v>
      </c>
      <c r="E365" s="360">
        <v>10084.44</v>
      </c>
      <c r="F365" s="360">
        <v>10814.86</v>
      </c>
      <c r="G365" s="362">
        <v>12570.14</v>
      </c>
      <c r="H365" s="362">
        <v>1755.28</v>
      </c>
      <c r="I365" s="362">
        <v>11839.72</v>
      </c>
    </row>
    <row r="366" spans="1:9" x14ac:dyDescent="0.2">
      <c r="A366" s="349" t="s">
        <v>341</v>
      </c>
      <c r="B366" s="359">
        <v>51473</v>
      </c>
      <c r="C366" s="349" t="s">
        <v>1482</v>
      </c>
      <c r="D366" s="349" t="s">
        <v>1483</v>
      </c>
      <c r="E366" s="360">
        <v>5476.8</v>
      </c>
      <c r="F366" s="360">
        <v>5476.8</v>
      </c>
      <c r="G366" s="362">
        <v>5868</v>
      </c>
      <c r="H366" s="361">
        <v>391.2</v>
      </c>
      <c r="I366" s="362">
        <v>5868</v>
      </c>
    </row>
    <row r="367" spans="1:9" x14ac:dyDescent="0.2">
      <c r="A367" s="349" t="s">
        <v>341</v>
      </c>
      <c r="B367" s="359">
        <v>1916</v>
      </c>
      <c r="C367" s="349" t="s">
        <v>1484</v>
      </c>
      <c r="D367" s="349" t="s">
        <v>1485</v>
      </c>
      <c r="E367" s="360">
        <v>34861.69</v>
      </c>
      <c r="F367" s="360">
        <v>88774.28</v>
      </c>
      <c r="G367" s="362">
        <v>78965.820000000007</v>
      </c>
      <c r="H367" s="362">
        <v>-9808.4599999999991</v>
      </c>
      <c r="I367" s="362">
        <v>25053.23</v>
      </c>
    </row>
    <row r="368" spans="1:9" x14ac:dyDescent="0.2">
      <c r="A368" s="349" t="s">
        <v>341</v>
      </c>
      <c r="B368" s="359">
        <v>1919</v>
      </c>
      <c r="C368" s="349" t="s">
        <v>1486</v>
      </c>
      <c r="D368" s="349" t="s">
        <v>1487</v>
      </c>
      <c r="E368" s="360">
        <v>1349.08</v>
      </c>
      <c r="F368" s="363">
        <v>0</v>
      </c>
      <c r="G368" s="361">
        <v>0</v>
      </c>
      <c r="H368" s="361">
        <v>0</v>
      </c>
      <c r="I368" s="362">
        <v>1349.08</v>
      </c>
    </row>
    <row r="369" spans="1:9" x14ac:dyDescent="0.2">
      <c r="A369" s="349" t="s">
        <v>341</v>
      </c>
      <c r="B369" s="359">
        <v>52572</v>
      </c>
      <c r="C369" s="349" t="s">
        <v>1488</v>
      </c>
      <c r="D369" s="349" t="s">
        <v>1489</v>
      </c>
      <c r="E369" s="363">
        <v>288.83999999999997</v>
      </c>
      <c r="F369" s="363">
        <v>0</v>
      </c>
      <c r="G369" s="361">
        <v>0</v>
      </c>
      <c r="H369" s="361">
        <v>0</v>
      </c>
      <c r="I369" s="361">
        <v>288.83999999999997</v>
      </c>
    </row>
    <row r="370" spans="1:9" x14ac:dyDescent="0.2">
      <c r="A370" s="349" t="s">
        <v>341</v>
      </c>
      <c r="B370" s="359">
        <v>51488</v>
      </c>
      <c r="C370" s="349" t="s">
        <v>1490</v>
      </c>
      <c r="D370" s="349" t="s">
        <v>1491</v>
      </c>
      <c r="E370" s="360">
        <v>1360.69</v>
      </c>
      <c r="F370" s="360">
        <v>5609.82</v>
      </c>
      <c r="G370" s="362">
        <v>8412.5499999999993</v>
      </c>
      <c r="H370" s="362">
        <v>2802.73</v>
      </c>
      <c r="I370" s="362">
        <v>4163.42</v>
      </c>
    </row>
    <row r="371" spans="1:9" x14ac:dyDescent="0.2">
      <c r="A371" s="349" t="s">
        <v>341</v>
      </c>
      <c r="B371" s="359">
        <v>37295</v>
      </c>
      <c r="C371" s="349" t="s">
        <v>1492</v>
      </c>
      <c r="D371" s="349" t="s">
        <v>1493</v>
      </c>
      <c r="E371" s="360">
        <v>22852</v>
      </c>
      <c r="F371" s="360">
        <v>22852</v>
      </c>
      <c r="G371" s="362">
        <v>24034</v>
      </c>
      <c r="H371" s="362">
        <v>1182</v>
      </c>
      <c r="I371" s="362">
        <v>24034</v>
      </c>
    </row>
    <row r="372" spans="1:9" x14ac:dyDescent="0.2">
      <c r="A372" s="349" t="s">
        <v>341</v>
      </c>
      <c r="B372" s="359">
        <v>1920</v>
      </c>
      <c r="C372" s="349" t="s">
        <v>1494</v>
      </c>
      <c r="D372" s="349" t="s">
        <v>1495</v>
      </c>
      <c r="E372" s="360">
        <v>1532.81</v>
      </c>
      <c r="F372" s="360">
        <v>1596.88</v>
      </c>
      <c r="G372" s="362">
        <v>1808.66</v>
      </c>
      <c r="H372" s="361">
        <v>211.78</v>
      </c>
      <c r="I372" s="362">
        <v>1744.59</v>
      </c>
    </row>
    <row r="373" spans="1:9" x14ac:dyDescent="0.2">
      <c r="A373" s="349" t="s">
        <v>341</v>
      </c>
      <c r="B373" s="359">
        <v>33749</v>
      </c>
      <c r="C373" s="349" t="s">
        <v>1496</v>
      </c>
      <c r="D373" s="349" t="s">
        <v>1497</v>
      </c>
      <c r="E373" s="363">
        <v>976.96</v>
      </c>
      <c r="F373" s="363">
        <v>976.96</v>
      </c>
      <c r="G373" s="362">
        <v>6063.3</v>
      </c>
      <c r="H373" s="362">
        <v>5086.34</v>
      </c>
      <c r="I373" s="362">
        <v>6063.3</v>
      </c>
    </row>
    <row r="374" spans="1:9" x14ac:dyDescent="0.2">
      <c r="A374" s="349" t="s">
        <v>341</v>
      </c>
      <c r="B374" s="359">
        <v>52767</v>
      </c>
      <c r="C374" s="349" t="s">
        <v>1498</v>
      </c>
      <c r="D374" s="349" t="s">
        <v>1499</v>
      </c>
      <c r="E374" s="360">
        <v>1714.88</v>
      </c>
      <c r="F374" s="363">
        <v>644.4</v>
      </c>
      <c r="G374" s="361">
        <v>643.49</v>
      </c>
      <c r="H374" s="361">
        <v>-0.91</v>
      </c>
      <c r="I374" s="362">
        <v>1713.97</v>
      </c>
    </row>
    <row r="375" spans="1:9" x14ac:dyDescent="0.2">
      <c r="A375" s="349" t="s">
        <v>341</v>
      </c>
      <c r="B375" s="359">
        <v>52930</v>
      </c>
      <c r="C375" s="349" t="s">
        <v>1500</v>
      </c>
      <c r="D375" s="349" t="s">
        <v>1501</v>
      </c>
      <c r="E375" s="360">
        <v>17081.29</v>
      </c>
      <c r="F375" s="360">
        <v>17020.8</v>
      </c>
      <c r="G375" s="362">
        <v>9928.7999999999993</v>
      </c>
      <c r="H375" s="362">
        <v>-7092</v>
      </c>
      <c r="I375" s="362">
        <v>9989.2900000000009</v>
      </c>
    </row>
    <row r="376" spans="1:9" x14ac:dyDescent="0.2">
      <c r="A376" s="349" t="s">
        <v>341</v>
      </c>
      <c r="B376" s="359">
        <v>33517</v>
      </c>
      <c r="C376" s="349" t="s">
        <v>1502</v>
      </c>
      <c r="D376" s="349" t="s">
        <v>1503</v>
      </c>
      <c r="E376" s="360">
        <v>17730</v>
      </c>
      <c r="F376" s="360">
        <v>17730</v>
      </c>
      <c r="G376" s="362">
        <v>9928.7999999999993</v>
      </c>
      <c r="H376" s="362">
        <v>-7801.2</v>
      </c>
      <c r="I376" s="362">
        <v>9928.7999999999993</v>
      </c>
    </row>
    <row r="377" spans="1:9" x14ac:dyDescent="0.2">
      <c r="A377" s="349" t="s">
        <v>341</v>
      </c>
      <c r="B377" s="359">
        <v>1924</v>
      </c>
      <c r="C377" s="349" t="s">
        <v>1504</v>
      </c>
      <c r="D377" s="349" t="s">
        <v>1505</v>
      </c>
      <c r="E377" s="360">
        <v>4911.21</v>
      </c>
      <c r="F377" s="360">
        <v>4911.21</v>
      </c>
      <c r="G377" s="361">
        <v>0</v>
      </c>
      <c r="H377" s="362">
        <v>-4911.21</v>
      </c>
      <c r="I377" s="361">
        <v>0</v>
      </c>
    </row>
    <row r="378" spans="1:9" x14ac:dyDescent="0.2">
      <c r="A378" s="349" t="s">
        <v>341</v>
      </c>
      <c r="B378" s="359">
        <v>51659</v>
      </c>
      <c r="C378" s="349" t="s">
        <v>1506</v>
      </c>
      <c r="D378" s="349" t="s">
        <v>1507</v>
      </c>
      <c r="E378" s="360">
        <v>7260.69</v>
      </c>
      <c r="F378" s="360">
        <v>14146.82</v>
      </c>
      <c r="G378" s="362">
        <v>9925.35</v>
      </c>
      <c r="H378" s="362">
        <v>-4221.47</v>
      </c>
      <c r="I378" s="362">
        <v>3039.22</v>
      </c>
    </row>
    <row r="379" spans="1:9" x14ac:dyDescent="0.2">
      <c r="A379" s="349" t="s">
        <v>341</v>
      </c>
      <c r="B379" s="359">
        <v>37767</v>
      </c>
      <c r="C379" s="349" t="s">
        <v>1508</v>
      </c>
      <c r="D379" s="349" t="s">
        <v>1509</v>
      </c>
      <c r="E379" s="360">
        <v>22636.91</v>
      </c>
      <c r="F379" s="360">
        <v>23786.77</v>
      </c>
      <c r="G379" s="362">
        <v>18121.3</v>
      </c>
      <c r="H379" s="362">
        <v>-5665.47</v>
      </c>
      <c r="I379" s="362">
        <v>16971.439999999999</v>
      </c>
    </row>
    <row r="380" spans="1:9" x14ac:dyDescent="0.2">
      <c r="A380" s="349" t="s">
        <v>341</v>
      </c>
      <c r="B380" s="359">
        <v>52072</v>
      </c>
      <c r="C380" s="349" t="s">
        <v>1510</v>
      </c>
      <c r="D380" s="349" t="s">
        <v>1511</v>
      </c>
      <c r="E380" s="360">
        <v>3607.45</v>
      </c>
      <c r="F380" s="360">
        <v>4314.0600000000004</v>
      </c>
      <c r="G380" s="362">
        <v>6304.89</v>
      </c>
      <c r="H380" s="362">
        <v>1990.83</v>
      </c>
      <c r="I380" s="362">
        <v>5598.28</v>
      </c>
    </row>
    <row r="381" spans="1:9" x14ac:dyDescent="0.2">
      <c r="A381" s="349" t="s">
        <v>341</v>
      </c>
      <c r="B381" s="359">
        <v>52513</v>
      </c>
      <c r="C381" s="349" t="s">
        <v>1512</v>
      </c>
      <c r="D381" s="349" t="s">
        <v>1513</v>
      </c>
      <c r="E381" s="360">
        <v>23808.1</v>
      </c>
      <c r="F381" s="360">
        <v>13220.02</v>
      </c>
      <c r="G381" s="362">
        <v>16647.09</v>
      </c>
      <c r="H381" s="362">
        <v>3427.07</v>
      </c>
      <c r="I381" s="362">
        <v>27235.17</v>
      </c>
    </row>
    <row r="382" spans="1:9" x14ac:dyDescent="0.2">
      <c r="A382" s="349" t="s">
        <v>341</v>
      </c>
      <c r="B382" s="359">
        <v>36728</v>
      </c>
      <c r="C382" s="349" t="s">
        <v>1514</v>
      </c>
      <c r="D382" s="349" t="s">
        <v>1515</v>
      </c>
      <c r="E382" s="360">
        <v>17413.64</v>
      </c>
      <c r="F382" s="360">
        <v>17413.64</v>
      </c>
      <c r="G382" s="362">
        <v>1583.88</v>
      </c>
      <c r="H382" s="362">
        <v>-15829.76</v>
      </c>
      <c r="I382" s="362">
        <v>1583.88</v>
      </c>
    </row>
    <row r="383" spans="1:9" x14ac:dyDescent="0.2">
      <c r="A383" s="349" t="s">
        <v>341</v>
      </c>
      <c r="B383" s="359">
        <v>52427</v>
      </c>
      <c r="C383" s="349" t="s">
        <v>1516</v>
      </c>
      <c r="D383" s="349" t="s">
        <v>1517</v>
      </c>
      <c r="E383" s="360">
        <v>3546.08</v>
      </c>
      <c r="F383" s="360">
        <v>3546.08</v>
      </c>
      <c r="G383" s="361">
        <v>0</v>
      </c>
      <c r="H383" s="362">
        <v>-3546.08</v>
      </c>
      <c r="I383" s="361">
        <v>0</v>
      </c>
    </row>
    <row r="384" spans="1:9" x14ac:dyDescent="0.2">
      <c r="A384" s="349" t="s">
        <v>341</v>
      </c>
      <c r="B384" s="359">
        <v>33075</v>
      </c>
      <c r="C384" s="349" t="s">
        <v>1518</v>
      </c>
      <c r="D384" s="349" t="s">
        <v>1519</v>
      </c>
      <c r="E384" s="360">
        <v>67747.14</v>
      </c>
      <c r="F384" s="360">
        <v>54958.32</v>
      </c>
      <c r="G384" s="362">
        <v>74212.12</v>
      </c>
      <c r="H384" s="362">
        <v>19253.8</v>
      </c>
      <c r="I384" s="362">
        <v>87000.94</v>
      </c>
    </row>
    <row r="385" spans="1:9" x14ac:dyDescent="0.2">
      <c r="A385" s="349" t="s">
        <v>341</v>
      </c>
      <c r="B385" s="359">
        <v>53036</v>
      </c>
      <c r="C385" s="349" t="s">
        <v>1520</v>
      </c>
      <c r="D385" s="349" t="s">
        <v>1521</v>
      </c>
      <c r="E385" s="360">
        <v>3486</v>
      </c>
      <c r="F385" s="360">
        <v>3922.66</v>
      </c>
      <c r="G385" s="362">
        <v>2315.66</v>
      </c>
      <c r="H385" s="362">
        <v>-1607</v>
      </c>
      <c r="I385" s="362">
        <v>1879</v>
      </c>
    </row>
    <row r="386" spans="1:9" x14ac:dyDescent="0.2">
      <c r="A386" s="349" t="s">
        <v>341</v>
      </c>
      <c r="B386" s="359">
        <v>1926</v>
      </c>
      <c r="C386" s="349" t="s">
        <v>1522</v>
      </c>
      <c r="D386" s="349" t="s">
        <v>1523</v>
      </c>
      <c r="E386" s="360">
        <v>5110.84</v>
      </c>
      <c r="F386" s="360">
        <v>5387.34</v>
      </c>
      <c r="G386" s="362">
        <v>4211.87</v>
      </c>
      <c r="H386" s="362">
        <v>-1175.47</v>
      </c>
      <c r="I386" s="362">
        <v>3935.37</v>
      </c>
    </row>
    <row r="387" spans="1:9" x14ac:dyDescent="0.2">
      <c r="A387" s="349" t="s">
        <v>341</v>
      </c>
      <c r="B387" s="359">
        <v>51362</v>
      </c>
      <c r="C387" s="349" t="s">
        <v>1524</v>
      </c>
      <c r="D387" s="349" t="s">
        <v>1525</v>
      </c>
      <c r="E387" s="363">
        <v>272</v>
      </c>
      <c r="F387" s="363">
        <v>0</v>
      </c>
      <c r="G387" s="361">
        <v>0</v>
      </c>
      <c r="H387" s="361">
        <v>0</v>
      </c>
      <c r="I387" s="361">
        <v>272</v>
      </c>
    </row>
    <row r="388" spans="1:9" x14ac:dyDescent="0.2">
      <c r="A388" s="349" t="s">
        <v>341</v>
      </c>
      <c r="B388" s="359">
        <v>1929</v>
      </c>
      <c r="C388" s="349" t="s">
        <v>1526</v>
      </c>
      <c r="D388" s="349" t="s">
        <v>1527</v>
      </c>
      <c r="E388" s="360">
        <v>4768.2</v>
      </c>
      <c r="F388" s="360">
        <v>17338.400000000001</v>
      </c>
      <c r="G388" s="362">
        <v>12570.2</v>
      </c>
      <c r="H388" s="362">
        <v>-4768.2</v>
      </c>
      <c r="I388" s="361">
        <v>0</v>
      </c>
    </row>
    <row r="389" spans="1:9" x14ac:dyDescent="0.2">
      <c r="A389" s="349" t="s">
        <v>341</v>
      </c>
      <c r="B389" s="359">
        <v>33730</v>
      </c>
      <c r="C389" s="349" t="s">
        <v>1528</v>
      </c>
      <c r="D389" s="349" t="s">
        <v>1529</v>
      </c>
      <c r="E389" s="360">
        <v>4180.21</v>
      </c>
      <c r="F389" s="360">
        <v>5227.72</v>
      </c>
      <c r="G389" s="362">
        <v>3495.28</v>
      </c>
      <c r="H389" s="362">
        <v>-1732.44</v>
      </c>
      <c r="I389" s="362">
        <v>2447.77</v>
      </c>
    </row>
    <row r="390" spans="1:9" x14ac:dyDescent="0.2">
      <c r="A390" s="349" t="s">
        <v>341</v>
      </c>
      <c r="B390" s="359">
        <v>38112</v>
      </c>
      <c r="C390" s="349" t="s">
        <v>1530</v>
      </c>
      <c r="D390" s="349" t="s">
        <v>1531</v>
      </c>
      <c r="E390" s="360">
        <v>11325.09</v>
      </c>
      <c r="F390" s="360">
        <v>1897.82</v>
      </c>
      <c r="G390" s="362">
        <v>5973.58</v>
      </c>
      <c r="H390" s="362">
        <v>4075.76</v>
      </c>
      <c r="I390" s="362">
        <v>15400.85</v>
      </c>
    </row>
    <row r="391" spans="1:9" x14ac:dyDescent="0.2">
      <c r="A391" s="349" t="s">
        <v>341</v>
      </c>
      <c r="B391" s="359">
        <v>51677</v>
      </c>
      <c r="C391" s="349" t="s">
        <v>1532</v>
      </c>
      <c r="D391" s="349" t="s">
        <v>1533</v>
      </c>
      <c r="E391" s="360">
        <v>7800.66</v>
      </c>
      <c r="F391" s="360">
        <v>7800.66</v>
      </c>
      <c r="G391" s="362">
        <v>7800.66</v>
      </c>
      <c r="H391" s="361">
        <v>0</v>
      </c>
      <c r="I391" s="362">
        <v>7800.66</v>
      </c>
    </row>
    <row r="392" spans="1:9" x14ac:dyDescent="0.2">
      <c r="A392" s="349" t="s">
        <v>341</v>
      </c>
      <c r="B392" s="359">
        <v>34057</v>
      </c>
      <c r="C392" s="349" t="s">
        <v>1534</v>
      </c>
      <c r="D392" s="349" t="s">
        <v>1535</v>
      </c>
      <c r="E392" s="360">
        <v>12000</v>
      </c>
      <c r="F392" s="360">
        <v>12000</v>
      </c>
      <c r="G392" s="362">
        <v>12000</v>
      </c>
      <c r="H392" s="361">
        <v>0</v>
      </c>
      <c r="I392" s="362">
        <v>12000</v>
      </c>
    </row>
    <row r="393" spans="1:9" x14ac:dyDescent="0.2">
      <c r="A393" s="349" t="s">
        <v>341</v>
      </c>
      <c r="B393" s="359">
        <v>52862</v>
      </c>
      <c r="C393" s="349" t="s">
        <v>1536</v>
      </c>
      <c r="D393" s="349" t="s">
        <v>1537</v>
      </c>
      <c r="E393" s="360">
        <v>24052.18</v>
      </c>
      <c r="F393" s="360">
        <v>24352.799999999999</v>
      </c>
      <c r="G393" s="362">
        <v>16184.81</v>
      </c>
      <c r="H393" s="362">
        <v>-8167.99</v>
      </c>
      <c r="I393" s="362">
        <v>15884.19</v>
      </c>
    </row>
    <row r="394" spans="1:9" x14ac:dyDescent="0.2">
      <c r="A394" s="349" t="s">
        <v>341</v>
      </c>
      <c r="B394" s="359">
        <v>51736</v>
      </c>
      <c r="C394" s="349" t="s">
        <v>1538</v>
      </c>
      <c r="D394" s="349" t="s">
        <v>1539</v>
      </c>
      <c r="E394" s="360">
        <v>10278.44</v>
      </c>
      <c r="F394" s="360">
        <v>10278.44</v>
      </c>
      <c r="G394" s="362">
        <v>9275.52</v>
      </c>
      <c r="H394" s="362">
        <v>-1002.92</v>
      </c>
      <c r="I394" s="362">
        <v>9275.52</v>
      </c>
    </row>
    <row r="395" spans="1:9" x14ac:dyDescent="0.2">
      <c r="A395" s="349" t="s">
        <v>341</v>
      </c>
      <c r="B395" s="359">
        <v>51980</v>
      </c>
      <c r="C395" s="349" t="s">
        <v>1540</v>
      </c>
      <c r="D395" s="349" t="s">
        <v>1541</v>
      </c>
      <c r="E395" s="360">
        <v>7846.08</v>
      </c>
      <c r="F395" s="360">
        <v>7801.2</v>
      </c>
      <c r="G395" s="362">
        <v>10638</v>
      </c>
      <c r="H395" s="362">
        <v>2836.8</v>
      </c>
      <c r="I395" s="362">
        <v>10682.88</v>
      </c>
    </row>
    <row r="396" spans="1:9" x14ac:dyDescent="0.2">
      <c r="A396" s="349" t="s">
        <v>341</v>
      </c>
      <c r="B396" s="359">
        <v>52422</v>
      </c>
      <c r="C396" s="349" t="s">
        <v>1542</v>
      </c>
      <c r="D396" s="349" t="s">
        <v>1543</v>
      </c>
      <c r="E396" s="363">
        <v>123.2</v>
      </c>
      <c r="F396" s="363">
        <v>0</v>
      </c>
      <c r="G396" s="361">
        <v>0</v>
      </c>
      <c r="H396" s="361">
        <v>0</v>
      </c>
      <c r="I396" s="361">
        <v>123.2</v>
      </c>
    </row>
    <row r="397" spans="1:9" x14ac:dyDescent="0.2">
      <c r="A397" s="349" t="s">
        <v>341</v>
      </c>
      <c r="B397" s="359">
        <v>52549</v>
      </c>
      <c r="C397" s="349" t="s">
        <v>1544</v>
      </c>
      <c r="D397" s="349" t="s">
        <v>1545</v>
      </c>
      <c r="E397" s="363">
        <v>581.70000000000005</v>
      </c>
      <c r="F397" s="363">
        <v>0</v>
      </c>
      <c r="G397" s="361">
        <v>0</v>
      </c>
      <c r="H397" s="361">
        <v>0</v>
      </c>
      <c r="I397" s="361">
        <v>581.70000000000005</v>
      </c>
    </row>
    <row r="398" spans="1:9" x14ac:dyDescent="0.2">
      <c r="A398" s="349" t="s">
        <v>341</v>
      </c>
      <c r="B398" s="359">
        <v>33910</v>
      </c>
      <c r="C398" s="349" t="s">
        <v>1546</v>
      </c>
      <c r="D398" s="349" t="s">
        <v>1547</v>
      </c>
      <c r="E398" s="363">
        <v>158.4</v>
      </c>
      <c r="F398" s="363">
        <v>0</v>
      </c>
      <c r="G398" s="361">
        <v>0</v>
      </c>
      <c r="H398" s="361">
        <v>0</v>
      </c>
      <c r="I398" s="361">
        <v>158.4</v>
      </c>
    </row>
    <row r="399" spans="1:9" x14ac:dyDescent="0.2">
      <c r="A399" s="349" t="s">
        <v>341</v>
      </c>
      <c r="B399" s="359">
        <v>52933</v>
      </c>
      <c r="C399" s="349" t="s">
        <v>1548</v>
      </c>
      <c r="D399" s="349" t="s">
        <v>1549</v>
      </c>
      <c r="E399" s="360">
        <v>5673.6</v>
      </c>
      <c r="F399" s="360">
        <v>5673.6</v>
      </c>
      <c r="G399" s="362">
        <v>7092</v>
      </c>
      <c r="H399" s="362">
        <v>1418.4</v>
      </c>
      <c r="I399" s="362">
        <v>7092</v>
      </c>
    </row>
    <row r="400" spans="1:9" x14ac:dyDescent="0.2">
      <c r="A400" s="349" t="s">
        <v>341</v>
      </c>
      <c r="B400" s="359">
        <v>32872</v>
      </c>
      <c r="C400" s="349" t="s">
        <v>1550</v>
      </c>
      <c r="D400" s="349" t="s">
        <v>1551</v>
      </c>
      <c r="E400" s="360">
        <v>3159.81</v>
      </c>
      <c r="F400" s="363">
        <v>0</v>
      </c>
      <c r="G400" s="361">
        <v>0</v>
      </c>
      <c r="H400" s="361">
        <v>0</v>
      </c>
      <c r="I400" s="362">
        <v>3159.81</v>
      </c>
    </row>
    <row r="401" spans="1:9" x14ac:dyDescent="0.2">
      <c r="A401" s="349" t="s">
        <v>341</v>
      </c>
      <c r="B401" s="359">
        <v>52877</v>
      </c>
      <c r="C401" s="349" t="s">
        <v>1552</v>
      </c>
      <c r="D401" s="349" t="s">
        <v>1553</v>
      </c>
      <c r="E401" s="360">
        <v>16210.14</v>
      </c>
      <c r="F401" s="360">
        <v>16210.14</v>
      </c>
      <c r="G401" s="362">
        <v>14352.68</v>
      </c>
      <c r="H401" s="362">
        <v>-1857.46</v>
      </c>
      <c r="I401" s="362">
        <v>14352.68</v>
      </c>
    </row>
    <row r="402" spans="1:9" x14ac:dyDescent="0.2">
      <c r="A402" s="349" t="s">
        <v>341</v>
      </c>
      <c r="B402" s="359">
        <v>51152</v>
      </c>
      <c r="C402" s="349" t="s">
        <v>1554</v>
      </c>
      <c r="D402" s="349" t="s">
        <v>1555</v>
      </c>
      <c r="E402" s="360">
        <v>17517.740000000002</v>
      </c>
      <c r="F402" s="360">
        <v>19059.32</v>
      </c>
      <c r="G402" s="362">
        <v>23100.55</v>
      </c>
      <c r="H402" s="362">
        <v>4041.23</v>
      </c>
      <c r="I402" s="362">
        <v>21558.97</v>
      </c>
    </row>
    <row r="403" spans="1:9" x14ac:dyDescent="0.2">
      <c r="A403" s="349" t="s">
        <v>341</v>
      </c>
      <c r="B403" s="359">
        <v>52861</v>
      </c>
      <c r="C403" s="349" t="s">
        <v>1556</v>
      </c>
      <c r="D403" s="349" t="s">
        <v>1557</v>
      </c>
      <c r="E403" s="363">
        <v>430.7</v>
      </c>
      <c r="F403" s="363">
        <v>0</v>
      </c>
      <c r="G403" s="361">
        <v>0</v>
      </c>
      <c r="H403" s="361">
        <v>0</v>
      </c>
      <c r="I403" s="361">
        <v>430.7</v>
      </c>
    </row>
    <row r="404" spans="1:9" x14ac:dyDescent="0.2">
      <c r="A404" s="349" t="s">
        <v>341</v>
      </c>
      <c r="B404" s="359">
        <v>37811</v>
      </c>
      <c r="C404" s="349" t="s">
        <v>1558</v>
      </c>
      <c r="D404" s="349" t="s">
        <v>1559</v>
      </c>
      <c r="E404" s="360">
        <v>2926.03</v>
      </c>
      <c r="F404" s="360">
        <v>2606.83</v>
      </c>
      <c r="G404" s="361">
        <v>159.6</v>
      </c>
      <c r="H404" s="362">
        <v>-2447.23</v>
      </c>
      <c r="I404" s="361">
        <v>478.8</v>
      </c>
    </row>
    <row r="405" spans="1:9" x14ac:dyDescent="0.2">
      <c r="A405" s="349" t="s">
        <v>341</v>
      </c>
      <c r="B405" s="359">
        <v>37315</v>
      </c>
      <c r="C405" s="349" t="s">
        <v>1560</v>
      </c>
      <c r="D405" s="349" t="s">
        <v>1561</v>
      </c>
      <c r="E405" s="363">
        <v>160.96</v>
      </c>
      <c r="F405" s="360">
        <v>3271.5</v>
      </c>
      <c r="G405" s="362">
        <v>4368.96</v>
      </c>
      <c r="H405" s="362">
        <v>1097.46</v>
      </c>
      <c r="I405" s="362">
        <v>1258.42</v>
      </c>
    </row>
    <row r="406" spans="1:9" x14ac:dyDescent="0.2">
      <c r="A406" s="349" t="s">
        <v>341</v>
      </c>
      <c r="B406" s="359">
        <v>52299</v>
      </c>
      <c r="C406" s="349" t="s">
        <v>1562</v>
      </c>
      <c r="D406" s="349" t="s">
        <v>1563</v>
      </c>
      <c r="E406" s="363">
        <v>0</v>
      </c>
      <c r="F406" s="363">
        <v>0</v>
      </c>
      <c r="G406" s="362">
        <v>5910</v>
      </c>
      <c r="H406" s="362">
        <v>5910</v>
      </c>
      <c r="I406" s="362">
        <v>5910</v>
      </c>
    </row>
    <row r="407" spans="1:9" x14ac:dyDescent="0.2">
      <c r="A407" s="349" t="s">
        <v>341</v>
      </c>
      <c r="B407" s="359">
        <v>33141</v>
      </c>
      <c r="C407" s="349" t="s">
        <v>1564</v>
      </c>
      <c r="D407" s="349" t="s">
        <v>1565</v>
      </c>
      <c r="E407" s="363">
        <v>41.16</v>
      </c>
      <c r="F407" s="363">
        <v>0</v>
      </c>
      <c r="G407" s="361">
        <v>0</v>
      </c>
      <c r="H407" s="361">
        <v>0</v>
      </c>
      <c r="I407" s="361">
        <v>41.16</v>
      </c>
    </row>
    <row r="408" spans="1:9" x14ac:dyDescent="0.2">
      <c r="A408" s="349" t="s">
        <v>341</v>
      </c>
      <c r="B408" s="359">
        <v>52813</v>
      </c>
      <c r="C408" s="349" t="s">
        <v>1566</v>
      </c>
      <c r="D408" s="349" t="s">
        <v>1567</v>
      </c>
      <c r="E408" s="363">
        <v>50.4</v>
      </c>
      <c r="F408" s="363">
        <v>0</v>
      </c>
      <c r="G408" s="361">
        <v>0</v>
      </c>
      <c r="H408" s="361">
        <v>0</v>
      </c>
      <c r="I408" s="361">
        <v>50.4</v>
      </c>
    </row>
    <row r="409" spans="1:9" x14ac:dyDescent="0.2">
      <c r="A409" s="349" t="s">
        <v>341</v>
      </c>
      <c r="B409" s="359">
        <v>33133</v>
      </c>
      <c r="C409" s="349" t="s">
        <v>1568</v>
      </c>
      <c r="D409" s="349" t="s">
        <v>1569</v>
      </c>
      <c r="E409" s="360">
        <v>13144.95</v>
      </c>
      <c r="F409" s="360">
        <v>13936.33</v>
      </c>
      <c r="G409" s="362">
        <v>12052.66</v>
      </c>
      <c r="H409" s="362">
        <v>-1883.67</v>
      </c>
      <c r="I409" s="362">
        <v>11261.28</v>
      </c>
    </row>
    <row r="410" spans="1:9" x14ac:dyDescent="0.2">
      <c r="A410" s="349" t="s">
        <v>341</v>
      </c>
      <c r="B410" s="359">
        <v>50987</v>
      </c>
      <c r="C410" s="349" t="s">
        <v>1570</v>
      </c>
      <c r="D410" s="349" t="s">
        <v>1571</v>
      </c>
      <c r="E410" s="363">
        <v>170.01</v>
      </c>
      <c r="F410" s="363">
        <v>0</v>
      </c>
      <c r="G410" s="361">
        <v>0</v>
      </c>
      <c r="H410" s="361">
        <v>0</v>
      </c>
      <c r="I410" s="361">
        <v>170.01</v>
      </c>
    </row>
    <row r="411" spans="1:9" x14ac:dyDescent="0.2">
      <c r="A411" s="349" t="s">
        <v>341</v>
      </c>
      <c r="B411" s="359">
        <v>12439</v>
      </c>
      <c r="C411" s="349" t="s">
        <v>1572</v>
      </c>
      <c r="D411" s="349" t="s">
        <v>1573</v>
      </c>
      <c r="E411" s="360">
        <v>2021.36</v>
      </c>
      <c r="F411" s="363">
        <v>0</v>
      </c>
      <c r="G411" s="361">
        <v>40.659999999999997</v>
      </c>
      <c r="H411" s="361">
        <v>40.659999999999997</v>
      </c>
      <c r="I411" s="362">
        <v>2062.02</v>
      </c>
    </row>
    <row r="412" spans="1:9" x14ac:dyDescent="0.2">
      <c r="A412" s="349" t="s">
        <v>341</v>
      </c>
      <c r="B412" s="359">
        <v>33586</v>
      </c>
      <c r="C412" s="349" t="s">
        <v>1574</v>
      </c>
      <c r="D412" s="349" t="s">
        <v>1575</v>
      </c>
      <c r="E412" s="360">
        <v>15888.19</v>
      </c>
      <c r="F412" s="360">
        <v>15888.19</v>
      </c>
      <c r="G412" s="362">
        <v>14194.97</v>
      </c>
      <c r="H412" s="362">
        <v>-1693.22</v>
      </c>
      <c r="I412" s="362">
        <v>14194.97</v>
      </c>
    </row>
    <row r="413" spans="1:9" x14ac:dyDescent="0.2">
      <c r="A413" s="349" t="s">
        <v>341</v>
      </c>
      <c r="B413" s="359">
        <v>52808</v>
      </c>
      <c r="C413" s="349" t="s">
        <v>1576</v>
      </c>
      <c r="D413" s="349" t="s">
        <v>1577</v>
      </c>
      <c r="E413" s="360">
        <v>11429.82</v>
      </c>
      <c r="F413" s="360">
        <v>42101.71</v>
      </c>
      <c r="G413" s="362">
        <v>43648.25</v>
      </c>
      <c r="H413" s="362">
        <v>1546.54</v>
      </c>
      <c r="I413" s="362">
        <v>12976.36</v>
      </c>
    </row>
    <row r="414" spans="1:9" x14ac:dyDescent="0.2">
      <c r="A414" s="349" t="s">
        <v>341</v>
      </c>
      <c r="B414" s="359">
        <v>38719</v>
      </c>
      <c r="C414" s="349" t="s">
        <v>1578</v>
      </c>
      <c r="D414" s="349" t="s">
        <v>1579</v>
      </c>
      <c r="E414" s="360">
        <v>13172.91</v>
      </c>
      <c r="F414" s="360">
        <v>13172.91</v>
      </c>
      <c r="G414" s="362">
        <v>10843.8</v>
      </c>
      <c r="H414" s="362">
        <v>-2329.11</v>
      </c>
      <c r="I414" s="362">
        <v>10843.8</v>
      </c>
    </row>
    <row r="415" spans="1:9" x14ac:dyDescent="0.2">
      <c r="A415" s="349" t="s">
        <v>341</v>
      </c>
      <c r="B415" s="359">
        <v>52542</v>
      </c>
      <c r="C415" s="349" t="s">
        <v>1580</v>
      </c>
      <c r="D415" s="349" t="s">
        <v>1581</v>
      </c>
      <c r="E415" s="363">
        <v>0</v>
      </c>
      <c r="F415" s="363">
        <v>0</v>
      </c>
      <c r="G415" s="362">
        <v>2669.97</v>
      </c>
      <c r="H415" s="362">
        <v>2669.97</v>
      </c>
      <c r="I415" s="362">
        <v>2669.97</v>
      </c>
    </row>
    <row r="416" spans="1:9" x14ac:dyDescent="0.2">
      <c r="A416" s="349" t="s">
        <v>341</v>
      </c>
      <c r="B416" s="359">
        <v>51101</v>
      </c>
      <c r="C416" s="349" t="s">
        <v>1582</v>
      </c>
      <c r="D416" s="349" t="s">
        <v>1583</v>
      </c>
      <c r="E416" s="360">
        <v>1694.47</v>
      </c>
      <c r="F416" s="360">
        <v>1754.47</v>
      </c>
      <c r="G416" s="362">
        <v>2686.41</v>
      </c>
      <c r="H416" s="361">
        <v>931.94</v>
      </c>
      <c r="I416" s="362">
        <v>2626.41</v>
      </c>
    </row>
    <row r="417" spans="1:9" x14ac:dyDescent="0.2">
      <c r="A417" s="349" t="s">
        <v>341</v>
      </c>
      <c r="B417" s="359">
        <v>12241</v>
      </c>
      <c r="C417" s="349" t="s">
        <v>1584</v>
      </c>
      <c r="D417" s="349" t="s">
        <v>1585</v>
      </c>
      <c r="E417" s="360">
        <v>34762.76</v>
      </c>
      <c r="F417" s="360">
        <v>5704.69</v>
      </c>
      <c r="G417" s="362">
        <v>3213.18</v>
      </c>
      <c r="H417" s="362">
        <v>-2491.5100000000002</v>
      </c>
      <c r="I417" s="362">
        <v>32271.25</v>
      </c>
    </row>
    <row r="418" spans="1:9" x14ac:dyDescent="0.2">
      <c r="A418" s="349" t="s">
        <v>341</v>
      </c>
      <c r="B418" s="359">
        <v>32720</v>
      </c>
      <c r="C418" s="349" t="s">
        <v>1586</v>
      </c>
      <c r="D418" s="349" t="s">
        <v>1587</v>
      </c>
      <c r="E418" s="360">
        <v>14918.2</v>
      </c>
      <c r="F418" s="360">
        <v>14918.2</v>
      </c>
      <c r="G418" s="362">
        <v>5673.6</v>
      </c>
      <c r="H418" s="362">
        <v>-9244.6</v>
      </c>
      <c r="I418" s="362">
        <v>5673.6</v>
      </c>
    </row>
    <row r="419" spans="1:9" x14ac:dyDescent="0.2">
      <c r="A419" s="349" t="s">
        <v>341</v>
      </c>
      <c r="B419" s="359">
        <v>34135</v>
      </c>
      <c r="C419" s="349" t="s">
        <v>1588</v>
      </c>
      <c r="D419" s="349" t="s">
        <v>1589</v>
      </c>
      <c r="E419" s="363">
        <v>224</v>
      </c>
      <c r="F419" s="363">
        <v>0</v>
      </c>
      <c r="G419" s="361">
        <v>0</v>
      </c>
      <c r="H419" s="361">
        <v>0</v>
      </c>
      <c r="I419" s="361">
        <v>224</v>
      </c>
    </row>
    <row r="420" spans="1:9" x14ac:dyDescent="0.2">
      <c r="A420" s="349" t="s">
        <v>341</v>
      </c>
      <c r="B420" s="359">
        <v>50986</v>
      </c>
      <c r="C420" s="349" t="s">
        <v>1590</v>
      </c>
      <c r="D420" s="349" t="s">
        <v>1591</v>
      </c>
      <c r="E420" s="360">
        <v>2285.5100000000002</v>
      </c>
      <c r="F420" s="363">
        <v>0</v>
      </c>
      <c r="G420" s="362">
        <v>1100.44</v>
      </c>
      <c r="H420" s="362">
        <v>1100.44</v>
      </c>
      <c r="I420" s="362">
        <v>3385.95</v>
      </c>
    </row>
    <row r="421" spans="1:9" x14ac:dyDescent="0.2">
      <c r="A421" s="349" t="s">
        <v>341</v>
      </c>
      <c r="B421" s="359">
        <v>33621</v>
      </c>
      <c r="C421" s="349" t="s">
        <v>1592</v>
      </c>
      <c r="D421" s="349" t="s">
        <v>1593</v>
      </c>
      <c r="E421" s="360">
        <v>4420.2</v>
      </c>
      <c r="F421" s="363">
        <v>0</v>
      </c>
      <c r="G421" s="361">
        <v>327.39999999999998</v>
      </c>
      <c r="H421" s="361">
        <v>327.39999999999998</v>
      </c>
      <c r="I421" s="362">
        <v>4747.6000000000004</v>
      </c>
    </row>
    <row r="422" spans="1:9" x14ac:dyDescent="0.2">
      <c r="A422" s="349" t="s">
        <v>341</v>
      </c>
      <c r="B422" s="359">
        <v>38860</v>
      </c>
      <c r="C422" s="349" t="s">
        <v>1594</v>
      </c>
      <c r="D422" s="349" t="s">
        <v>1595</v>
      </c>
      <c r="E422" s="360">
        <v>2313.7600000000002</v>
      </c>
      <c r="F422" s="360">
        <v>2393.7600000000002</v>
      </c>
      <c r="G422" s="362">
        <v>4422.78</v>
      </c>
      <c r="H422" s="362">
        <v>2029.02</v>
      </c>
      <c r="I422" s="362">
        <v>4342.78</v>
      </c>
    </row>
    <row r="423" spans="1:9" x14ac:dyDescent="0.2">
      <c r="A423" s="349" t="s">
        <v>341</v>
      </c>
      <c r="B423" s="359">
        <v>51443</v>
      </c>
      <c r="C423" s="349" t="s">
        <v>1596</v>
      </c>
      <c r="D423" s="349" t="s">
        <v>1597</v>
      </c>
      <c r="E423" s="360">
        <v>8443.74</v>
      </c>
      <c r="F423" s="360">
        <v>14768.38</v>
      </c>
      <c r="G423" s="362">
        <v>18197.419999999998</v>
      </c>
      <c r="H423" s="362">
        <v>3429.04</v>
      </c>
      <c r="I423" s="362">
        <v>11872.78</v>
      </c>
    </row>
    <row r="424" spans="1:9" x14ac:dyDescent="0.2">
      <c r="A424" s="349" t="s">
        <v>341</v>
      </c>
      <c r="B424" s="359">
        <v>52902</v>
      </c>
      <c r="C424" s="349" t="s">
        <v>1598</v>
      </c>
      <c r="D424" s="349" t="s">
        <v>1599</v>
      </c>
      <c r="E424" s="360">
        <v>6300.15</v>
      </c>
      <c r="F424" s="360">
        <v>6300.15</v>
      </c>
      <c r="G424" s="362">
        <v>5520.1</v>
      </c>
      <c r="H424" s="361">
        <v>-780.05</v>
      </c>
      <c r="I424" s="362">
        <v>5520.1</v>
      </c>
    </row>
    <row r="425" spans="1:9" x14ac:dyDescent="0.2">
      <c r="A425" s="349" t="s">
        <v>341</v>
      </c>
      <c r="B425" s="359">
        <v>52716</v>
      </c>
      <c r="C425" s="349" t="s">
        <v>1600</v>
      </c>
      <c r="D425" s="349" t="s">
        <v>1601</v>
      </c>
      <c r="E425" s="360">
        <v>4333.43</v>
      </c>
      <c r="F425" s="360">
        <v>4333.43</v>
      </c>
      <c r="G425" s="361">
        <v>0</v>
      </c>
      <c r="H425" s="362">
        <v>-4333.43</v>
      </c>
      <c r="I425" s="361">
        <v>0</v>
      </c>
    </row>
    <row r="426" spans="1:9" x14ac:dyDescent="0.2">
      <c r="A426" s="349" t="s">
        <v>341</v>
      </c>
      <c r="B426" s="359">
        <v>52735</v>
      </c>
      <c r="C426" s="349" t="s">
        <v>1602</v>
      </c>
      <c r="D426" s="349" t="s">
        <v>1603</v>
      </c>
      <c r="E426" s="360">
        <v>3546.08</v>
      </c>
      <c r="F426" s="360">
        <v>3546.08</v>
      </c>
      <c r="G426" s="362">
        <v>2718.65</v>
      </c>
      <c r="H426" s="361">
        <v>-827.43</v>
      </c>
      <c r="I426" s="362">
        <v>2718.65</v>
      </c>
    </row>
    <row r="427" spans="1:9" x14ac:dyDescent="0.2">
      <c r="A427" s="349" t="s">
        <v>341</v>
      </c>
      <c r="B427" s="359">
        <v>51733</v>
      </c>
      <c r="C427" s="349" t="s">
        <v>1604</v>
      </c>
      <c r="D427" s="349" t="s">
        <v>1605</v>
      </c>
      <c r="E427" s="360">
        <v>15893.51</v>
      </c>
      <c r="F427" s="360">
        <v>15893.51</v>
      </c>
      <c r="G427" s="362">
        <v>17130.73</v>
      </c>
      <c r="H427" s="362">
        <v>1237.22</v>
      </c>
      <c r="I427" s="362">
        <v>17130.73</v>
      </c>
    </row>
    <row r="428" spans="1:9" x14ac:dyDescent="0.2">
      <c r="A428" s="349" t="s">
        <v>341</v>
      </c>
      <c r="B428" s="359">
        <v>37654</v>
      </c>
      <c r="C428" s="349" t="s">
        <v>1606</v>
      </c>
      <c r="D428" s="349" t="s">
        <v>1607</v>
      </c>
      <c r="E428" s="363">
        <v>0</v>
      </c>
      <c r="F428" s="363">
        <v>0</v>
      </c>
      <c r="G428" s="362">
        <v>6757.2</v>
      </c>
      <c r="H428" s="362">
        <v>6757.2</v>
      </c>
      <c r="I428" s="362">
        <v>6757.2</v>
      </c>
    </row>
    <row r="429" spans="1:9" x14ac:dyDescent="0.2">
      <c r="A429" s="349" t="s">
        <v>341</v>
      </c>
      <c r="B429" s="359">
        <v>52423</v>
      </c>
      <c r="C429" s="349" t="s">
        <v>1608</v>
      </c>
      <c r="D429" s="349" t="s">
        <v>1609</v>
      </c>
      <c r="E429" s="360">
        <v>3041.3</v>
      </c>
      <c r="F429" s="363">
        <v>886.52</v>
      </c>
      <c r="G429" s="361">
        <v>906.22</v>
      </c>
      <c r="H429" s="361">
        <v>19.7</v>
      </c>
      <c r="I429" s="362">
        <v>3061</v>
      </c>
    </row>
    <row r="430" spans="1:9" x14ac:dyDescent="0.2">
      <c r="A430" s="349" t="s">
        <v>341</v>
      </c>
      <c r="B430" s="359">
        <v>52466</v>
      </c>
      <c r="C430" s="349" t="s">
        <v>1610</v>
      </c>
      <c r="D430" s="349" t="s">
        <v>1611</v>
      </c>
      <c r="E430" s="360">
        <v>10434.959999999999</v>
      </c>
      <c r="F430" s="360">
        <v>10434.959999999999</v>
      </c>
      <c r="G430" s="362">
        <v>9275.52</v>
      </c>
      <c r="H430" s="362">
        <v>-1159.44</v>
      </c>
      <c r="I430" s="362">
        <v>9275.52</v>
      </c>
    </row>
    <row r="431" spans="1:9" x14ac:dyDescent="0.2">
      <c r="A431" s="349" t="s">
        <v>341</v>
      </c>
      <c r="B431" s="359">
        <v>38354</v>
      </c>
      <c r="C431" s="349" t="s">
        <v>1612</v>
      </c>
      <c r="D431" s="349" t="s">
        <v>1613</v>
      </c>
      <c r="E431" s="360">
        <v>4752.2299999999996</v>
      </c>
      <c r="F431" s="360">
        <v>4752.2299999999996</v>
      </c>
      <c r="G431" s="362">
        <v>6957.96</v>
      </c>
      <c r="H431" s="362">
        <v>2205.73</v>
      </c>
      <c r="I431" s="362">
        <v>6957.96</v>
      </c>
    </row>
    <row r="432" spans="1:9" x14ac:dyDescent="0.2">
      <c r="A432" s="349" t="s">
        <v>341</v>
      </c>
      <c r="B432" s="359">
        <v>52804</v>
      </c>
      <c r="C432" s="349" t="s">
        <v>1614</v>
      </c>
      <c r="D432" s="349" t="s">
        <v>1615</v>
      </c>
      <c r="E432" s="363">
        <v>389.2</v>
      </c>
      <c r="F432" s="363">
        <v>0</v>
      </c>
      <c r="G432" s="361">
        <v>49</v>
      </c>
      <c r="H432" s="361">
        <v>49</v>
      </c>
      <c r="I432" s="361">
        <v>438.2</v>
      </c>
    </row>
    <row r="433" spans="1:9" x14ac:dyDescent="0.2">
      <c r="A433" s="349" t="s">
        <v>341</v>
      </c>
      <c r="B433" s="359">
        <v>52467</v>
      </c>
      <c r="C433" s="349" t="s">
        <v>1616</v>
      </c>
      <c r="D433" s="349" t="s">
        <v>1617</v>
      </c>
      <c r="E433" s="360">
        <v>14275.6</v>
      </c>
      <c r="F433" s="360">
        <v>14275.6</v>
      </c>
      <c r="G433" s="362">
        <v>14846.63</v>
      </c>
      <c r="H433" s="361">
        <v>571.03</v>
      </c>
      <c r="I433" s="362">
        <v>14846.63</v>
      </c>
    </row>
    <row r="434" spans="1:9" x14ac:dyDescent="0.2">
      <c r="A434" s="349" t="s">
        <v>341</v>
      </c>
      <c r="B434" s="359">
        <v>52162</v>
      </c>
      <c r="C434" s="349" t="s">
        <v>1618</v>
      </c>
      <c r="D434" s="349" t="s">
        <v>1619</v>
      </c>
      <c r="E434" s="363">
        <v>255.55</v>
      </c>
      <c r="F434" s="363">
        <v>315.55</v>
      </c>
      <c r="G434" s="361">
        <v>250.27</v>
      </c>
      <c r="H434" s="361">
        <v>-65.28</v>
      </c>
      <c r="I434" s="361">
        <v>190.27</v>
      </c>
    </row>
    <row r="435" spans="1:9" x14ac:dyDescent="0.2">
      <c r="A435" s="349" t="s">
        <v>341</v>
      </c>
      <c r="B435" s="359">
        <v>52870</v>
      </c>
      <c r="C435" s="349" t="s">
        <v>1620</v>
      </c>
      <c r="D435" s="349" t="s">
        <v>1621</v>
      </c>
      <c r="E435" s="360">
        <v>1103.2</v>
      </c>
      <c r="F435" s="363">
        <v>0</v>
      </c>
      <c r="G435" s="361">
        <v>0</v>
      </c>
      <c r="H435" s="361">
        <v>0</v>
      </c>
      <c r="I435" s="362">
        <v>1103.2</v>
      </c>
    </row>
    <row r="436" spans="1:9" x14ac:dyDescent="0.2">
      <c r="A436" s="349" t="s">
        <v>341</v>
      </c>
      <c r="B436" s="359">
        <v>52506</v>
      </c>
      <c r="C436" s="349" t="s">
        <v>1622</v>
      </c>
      <c r="D436" s="349" t="s">
        <v>1623</v>
      </c>
      <c r="E436" s="360">
        <v>13548.43</v>
      </c>
      <c r="F436" s="360">
        <v>10973.44</v>
      </c>
      <c r="G436" s="362">
        <v>9639.86</v>
      </c>
      <c r="H436" s="362">
        <v>-1333.58</v>
      </c>
      <c r="I436" s="362">
        <v>12214.85</v>
      </c>
    </row>
    <row r="437" spans="1:9" x14ac:dyDescent="0.2">
      <c r="A437" s="349" t="s">
        <v>341</v>
      </c>
      <c r="B437" s="359">
        <v>52470</v>
      </c>
      <c r="C437" s="349" t="s">
        <v>1624</v>
      </c>
      <c r="D437" s="349" t="s">
        <v>1625</v>
      </c>
      <c r="E437" s="360">
        <v>2870.85</v>
      </c>
      <c r="F437" s="360">
        <v>3704.73</v>
      </c>
      <c r="G437" s="362">
        <v>5975.24</v>
      </c>
      <c r="H437" s="362">
        <v>2270.5100000000002</v>
      </c>
      <c r="I437" s="362">
        <v>5141.3599999999997</v>
      </c>
    </row>
    <row r="438" spans="1:9" x14ac:dyDescent="0.2">
      <c r="A438" s="349" t="s">
        <v>341</v>
      </c>
      <c r="B438" s="359">
        <v>33777</v>
      </c>
      <c r="C438" s="349" t="s">
        <v>1626</v>
      </c>
      <c r="D438" s="349" t="s">
        <v>1627</v>
      </c>
      <c r="E438" s="360">
        <v>19936.150000000001</v>
      </c>
      <c r="F438" s="360">
        <v>19883.349999999999</v>
      </c>
      <c r="G438" s="362">
        <v>20708.57</v>
      </c>
      <c r="H438" s="361">
        <v>825.22</v>
      </c>
      <c r="I438" s="362">
        <v>20761.37</v>
      </c>
    </row>
    <row r="439" spans="1:9" x14ac:dyDescent="0.2">
      <c r="A439" s="349" t="s">
        <v>341</v>
      </c>
      <c r="B439" s="359">
        <v>1952</v>
      </c>
      <c r="C439" s="349" t="s">
        <v>1628</v>
      </c>
      <c r="D439" s="349" t="s">
        <v>1629</v>
      </c>
      <c r="E439" s="360">
        <v>53909.32</v>
      </c>
      <c r="F439" s="360">
        <v>53909.32</v>
      </c>
      <c r="G439" s="362">
        <v>60380.93</v>
      </c>
      <c r="H439" s="362">
        <v>6471.61</v>
      </c>
      <c r="I439" s="362">
        <v>60380.93</v>
      </c>
    </row>
    <row r="440" spans="1:9" x14ac:dyDescent="0.2">
      <c r="A440" s="349" t="s">
        <v>341</v>
      </c>
      <c r="B440" s="359">
        <v>52929</v>
      </c>
      <c r="C440" s="349" t="s">
        <v>1630</v>
      </c>
      <c r="D440" s="349" t="s">
        <v>1631</v>
      </c>
      <c r="E440" s="360">
        <v>187573.06</v>
      </c>
      <c r="F440" s="360">
        <v>187573.06</v>
      </c>
      <c r="G440" s="362">
        <v>194611.87</v>
      </c>
      <c r="H440" s="362">
        <v>7038.81</v>
      </c>
      <c r="I440" s="362">
        <v>194611.87</v>
      </c>
    </row>
    <row r="441" spans="1:9" x14ac:dyDescent="0.2">
      <c r="A441" s="349" t="s">
        <v>341</v>
      </c>
      <c r="B441" s="359">
        <v>51651</v>
      </c>
      <c r="C441" s="349" t="s">
        <v>1632</v>
      </c>
      <c r="D441" s="349" t="s">
        <v>1633</v>
      </c>
      <c r="E441" s="360">
        <v>14105.2</v>
      </c>
      <c r="F441" s="360">
        <v>14105.2</v>
      </c>
      <c r="G441" s="362">
        <v>10559.2</v>
      </c>
      <c r="H441" s="362">
        <v>-3546</v>
      </c>
      <c r="I441" s="362">
        <v>10559.2</v>
      </c>
    </row>
    <row r="442" spans="1:9" x14ac:dyDescent="0.2">
      <c r="A442" s="349" t="s">
        <v>341</v>
      </c>
      <c r="B442" s="359">
        <v>37517</v>
      </c>
      <c r="C442" s="349" t="s">
        <v>1634</v>
      </c>
      <c r="D442" s="349" t="s">
        <v>1635</v>
      </c>
      <c r="E442" s="360">
        <v>25907.5</v>
      </c>
      <c r="F442" s="360">
        <v>10152.31</v>
      </c>
      <c r="G442" s="362">
        <v>5958.96</v>
      </c>
      <c r="H442" s="362">
        <v>-4193.3500000000004</v>
      </c>
      <c r="I442" s="362">
        <v>21714.15</v>
      </c>
    </row>
    <row r="443" spans="1:9" x14ac:dyDescent="0.2">
      <c r="A443" s="349" t="s">
        <v>341</v>
      </c>
      <c r="B443" s="359">
        <v>51796</v>
      </c>
      <c r="C443" s="349" t="s">
        <v>1636</v>
      </c>
      <c r="D443" s="349" t="s">
        <v>1637</v>
      </c>
      <c r="E443" s="360">
        <v>14846.63</v>
      </c>
      <c r="F443" s="360">
        <v>14846.63</v>
      </c>
      <c r="G443" s="362">
        <v>11991.51</v>
      </c>
      <c r="H443" s="362">
        <v>-2855.12</v>
      </c>
      <c r="I443" s="362">
        <v>11991.51</v>
      </c>
    </row>
    <row r="444" spans="1:9" x14ac:dyDescent="0.2">
      <c r="A444" s="349" t="s">
        <v>341</v>
      </c>
      <c r="B444" s="359">
        <v>52065</v>
      </c>
      <c r="C444" s="349" t="s">
        <v>1638</v>
      </c>
      <c r="D444" s="349" t="s">
        <v>1639</v>
      </c>
      <c r="E444" s="360">
        <v>6521.98</v>
      </c>
      <c r="F444" s="360">
        <v>7124.15</v>
      </c>
      <c r="G444" s="362">
        <v>7021.8</v>
      </c>
      <c r="H444" s="361">
        <v>-102.35</v>
      </c>
      <c r="I444" s="362">
        <v>6419.63</v>
      </c>
    </row>
    <row r="445" spans="1:9" x14ac:dyDescent="0.2">
      <c r="A445" s="349" t="s">
        <v>341</v>
      </c>
      <c r="B445" s="359">
        <v>51832</v>
      </c>
      <c r="C445" s="349" t="s">
        <v>1640</v>
      </c>
      <c r="D445" s="349" t="s">
        <v>1641</v>
      </c>
      <c r="E445" s="360">
        <v>2613.98</v>
      </c>
      <c r="F445" s="360">
        <v>19834.349999999999</v>
      </c>
      <c r="G445" s="362">
        <v>19973.03</v>
      </c>
      <c r="H445" s="361">
        <v>138.68</v>
      </c>
      <c r="I445" s="362">
        <v>2752.66</v>
      </c>
    </row>
    <row r="446" spans="1:9" x14ac:dyDescent="0.2">
      <c r="A446" s="349" t="s">
        <v>341</v>
      </c>
      <c r="B446" s="359">
        <v>52993</v>
      </c>
      <c r="C446" s="349" t="s">
        <v>1642</v>
      </c>
      <c r="D446" s="349" t="s">
        <v>1643</v>
      </c>
      <c r="E446" s="360">
        <v>1033.28</v>
      </c>
      <c r="F446" s="363">
        <v>0</v>
      </c>
      <c r="G446" s="361">
        <v>0</v>
      </c>
      <c r="H446" s="361">
        <v>0</v>
      </c>
      <c r="I446" s="362">
        <v>1033.28</v>
      </c>
    </row>
    <row r="447" spans="1:9" x14ac:dyDescent="0.2">
      <c r="A447" s="349" t="s">
        <v>341</v>
      </c>
      <c r="B447" s="359">
        <v>51104</v>
      </c>
      <c r="C447" s="349" t="s">
        <v>1644</v>
      </c>
      <c r="D447" s="349" t="s">
        <v>1645</v>
      </c>
      <c r="E447" s="363">
        <v>626.5</v>
      </c>
      <c r="F447" s="363">
        <v>0</v>
      </c>
      <c r="G447" s="361">
        <v>0</v>
      </c>
      <c r="H447" s="361">
        <v>0</v>
      </c>
      <c r="I447" s="361">
        <v>626.5</v>
      </c>
    </row>
    <row r="448" spans="1:9" x14ac:dyDescent="0.2">
      <c r="A448" s="349" t="s">
        <v>341</v>
      </c>
      <c r="B448" s="359">
        <v>37735</v>
      </c>
      <c r="C448" s="349" t="s">
        <v>1646</v>
      </c>
      <c r="D448" s="349" t="s">
        <v>1647</v>
      </c>
      <c r="E448" s="360">
        <v>1536.63</v>
      </c>
      <c r="F448" s="363">
        <v>0</v>
      </c>
      <c r="G448" s="361">
        <v>0</v>
      </c>
      <c r="H448" s="361">
        <v>0</v>
      </c>
      <c r="I448" s="362">
        <v>1536.63</v>
      </c>
    </row>
    <row r="449" spans="1:9" x14ac:dyDescent="0.2">
      <c r="A449" s="349" t="s">
        <v>341</v>
      </c>
      <c r="B449" s="359">
        <v>52806</v>
      </c>
      <c r="C449" s="349" t="s">
        <v>1648</v>
      </c>
      <c r="D449" s="349" t="s">
        <v>1649</v>
      </c>
      <c r="E449" s="360">
        <v>3546</v>
      </c>
      <c r="F449" s="360">
        <v>3546</v>
      </c>
      <c r="G449" s="362">
        <v>5910</v>
      </c>
      <c r="H449" s="362">
        <v>2364</v>
      </c>
      <c r="I449" s="362">
        <v>5910</v>
      </c>
    </row>
    <row r="450" spans="1:9" x14ac:dyDescent="0.2">
      <c r="A450" s="349" t="s">
        <v>341</v>
      </c>
      <c r="B450" s="359">
        <v>33733</v>
      </c>
      <c r="C450" s="349" t="s">
        <v>1650</v>
      </c>
      <c r="D450" s="349" t="s">
        <v>1651</v>
      </c>
      <c r="E450" s="363">
        <v>0</v>
      </c>
      <c r="F450" s="363">
        <v>0</v>
      </c>
      <c r="G450" s="361">
        <v>560</v>
      </c>
      <c r="H450" s="361">
        <v>560</v>
      </c>
      <c r="I450" s="361">
        <v>560</v>
      </c>
    </row>
    <row r="451" spans="1:9" x14ac:dyDescent="0.2">
      <c r="A451" s="349" t="s">
        <v>341</v>
      </c>
      <c r="B451" s="359">
        <v>52573</v>
      </c>
      <c r="C451" s="349" t="s">
        <v>1652</v>
      </c>
      <c r="D451" s="349" t="s">
        <v>1653</v>
      </c>
      <c r="E451" s="360">
        <v>2497.39</v>
      </c>
      <c r="F451" s="360">
        <v>1025.96</v>
      </c>
      <c r="G451" s="361">
        <v>43</v>
      </c>
      <c r="H451" s="361">
        <v>-982.96</v>
      </c>
      <c r="I451" s="362">
        <v>1514.43</v>
      </c>
    </row>
    <row r="452" spans="1:9" x14ac:dyDescent="0.2">
      <c r="A452" s="349" t="s">
        <v>341</v>
      </c>
      <c r="B452" s="359">
        <v>37737</v>
      </c>
      <c r="C452" s="349" t="s">
        <v>1654</v>
      </c>
      <c r="D452" s="349" t="s">
        <v>1655</v>
      </c>
      <c r="E452" s="363">
        <v>731</v>
      </c>
      <c r="F452" s="360">
        <v>5043.96</v>
      </c>
      <c r="G452" s="362">
        <v>5644.03</v>
      </c>
      <c r="H452" s="361">
        <v>600.07000000000005</v>
      </c>
      <c r="I452" s="362">
        <v>1331.07</v>
      </c>
    </row>
    <row r="453" spans="1:9" x14ac:dyDescent="0.2">
      <c r="A453" s="349" t="s">
        <v>341</v>
      </c>
      <c r="B453" s="359">
        <v>52196</v>
      </c>
      <c r="C453" s="349" t="s">
        <v>1656</v>
      </c>
      <c r="D453" s="349" t="s">
        <v>1657</v>
      </c>
      <c r="E453" s="360">
        <v>8842.33</v>
      </c>
      <c r="F453" s="360">
        <v>16671.96</v>
      </c>
      <c r="G453" s="362">
        <v>16066.21</v>
      </c>
      <c r="H453" s="361">
        <v>-605.75</v>
      </c>
      <c r="I453" s="362">
        <v>8236.58</v>
      </c>
    </row>
    <row r="454" spans="1:9" x14ac:dyDescent="0.2">
      <c r="A454" s="349" t="s">
        <v>341</v>
      </c>
      <c r="B454" s="359">
        <v>38859</v>
      </c>
      <c r="C454" s="349" t="s">
        <v>1658</v>
      </c>
      <c r="D454" s="349" t="s">
        <v>1659</v>
      </c>
      <c r="E454" s="360">
        <v>18426.07</v>
      </c>
      <c r="F454" s="360">
        <v>22222.799999999999</v>
      </c>
      <c r="G454" s="362">
        <v>25741.88</v>
      </c>
      <c r="H454" s="362">
        <v>3519.08</v>
      </c>
      <c r="I454" s="362">
        <v>21945.15</v>
      </c>
    </row>
    <row r="455" spans="1:9" x14ac:dyDescent="0.2">
      <c r="A455" s="349" t="s">
        <v>341</v>
      </c>
      <c r="B455" s="359">
        <v>37672</v>
      </c>
      <c r="C455" s="349" t="s">
        <v>1660</v>
      </c>
      <c r="D455" s="349" t="s">
        <v>1661</v>
      </c>
      <c r="E455" s="363">
        <v>206.55</v>
      </c>
      <c r="F455" s="363">
        <v>0</v>
      </c>
      <c r="G455" s="361">
        <v>0</v>
      </c>
      <c r="H455" s="361">
        <v>0</v>
      </c>
      <c r="I455" s="361">
        <v>206.55</v>
      </c>
    </row>
    <row r="456" spans="1:9" x14ac:dyDescent="0.2">
      <c r="A456" s="349" t="s">
        <v>341</v>
      </c>
      <c r="B456" s="359">
        <v>52982</v>
      </c>
      <c r="C456" s="349" t="s">
        <v>1662</v>
      </c>
      <c r="D456" s="349" t="s">
        <v>1663</v>
      </c>
      <c r="E456" s="360">
        <v>5013.3999999999996</v>
      </c>
      <c r="F456" s="360">
        <v>2836.8</v>
      </c>
      <c r="G456" s="362">
        <v>2836.8</v>
      </c>
      <c r="H456" s="361">
        <v>0</v>
      </c>
      <c r="I456" s="362">
        <v>5013.3999999999996</v>
      </c>
    </row>
    <row r="457" spans="1:9" x14ac:dyDescent="0.2">
      <c r="A457" s="349" t="s">
        <v>341</v>
      </c>
      <c r="B457" s="359">
        <v>52550</v>
      </c>
      <c r="C457" s="349" t="s">
        <v>1664</v>
      </c>
      <c r="D457" s="349" t="s">
        <v>1665</v>
      </c>
      <c r="E457" s="360">
        <v>16485.990000000002</v>
      </c>
      <c r="F457" s="360">
        <v>7200.35</v>
      </c>
      <c r="G457" s="362">
        <v>14146.57</v>
      </c>
      <c r="H457" s="362">
        <v>6946.22</v>
      </c>
      <c r="I457" s="362">
        <v>23432.21</v>
      </c>
    </row>
    <row r="458" spans="1:9" x14ac:dyDescent="0.2">
      <c r="A458" s="349" t="s">
        <v>341</v>
      </c>
      <c r="B458" s="359">
        <v>52567</v>
      </c>
      <c r="C458" s="349" t="s">
        <v>1666</v>
      </c>
      <c r="D458" s="349" t="s">
        <v>1667</v>
      </c>
      <c r="E458" s="363">
        <v>889.45</v>
      </c>
      <c r="F458" s="360">
        <v>2637.34</v>
      </c>
      <c r="G458" s="362">
        <v>4369.1899999999996</v>
      </c>
      <c r="H458" s="362">
        <v>1731.85</v>
      </c>
      <c r="I458" s="362">
        <v>2621.3000000000002</v>
      </c>
    </row>
    <row r="459" spans="1:9" x14ac:dyDescent="0.2">
      <c r="A459" s="349" t="s">
        <v>341</v>
      </c>
      <c r="B459" s="359">
        <v>32926</v>
      </c>
      <c r="C459" s="349" t="s">
        <v>1668</v>
      </c>
      <c r="D459" s="349" t="s">
        <v>1669</v>
      </c>
      <c r="E459" s="360">
        <v>11958.71</v>
      </c>
      <c r="F459" s="360">
        <v>9850</v>
      </c>
      <c r="G459" s="362">
        <v>9850</v>
      </c>
      <c r="H459" s="361">
        <v>0</v>
      </c>
      <c r="I459" s="362">
        <v>11958.71</v>
      </c>
    </row>
    <row r="460" spans="1:9" x14ac:dyDescent="0.2">
      <c r="A460" s="349" t="s">
        <v>341</v>
      </c>
      <c r="B460" s="359">
        <v>51670</v>
      </c>
      <c r="C460" s="349" t="s">
        <v>1670</v>
      </c>
      <c r="D460" s="349" t="s">
        <v>1671</v>
      </c>
      <c r="E460" s="363">
        <v>46.06</v>
      </c>
      <c r="F460" s="363">
        <v>0</v>
      </c>
      <c r="G460" s="361">
        <v>0</v>
      </c>
      <c r="H460" s="361">
        <v>0</v>
      </c>
      <c r="I460" s="361">
        <v>46.06</v>
      </c>
    </row>
    <row r="461" spans="1:9" x14ac:dyDescent="0.2">
      <c r="A461" s="349" t="s">
        <v>341</v>
      </c>
      <c r="B461" s="359">
        <v>52957</v>
      </c>
      <c r="C461" s="349" t="s">
        <v>1672</v>
      </c>
      <c r="D461" s="349" t="s">
        <v>1673</v>
      </c>
      <c r="E461" s="363">
        <v>182.4</v>
      </c>
      <c r="F461" s="363">
        <v>0</v>
      </c>
      <c r="G461" s="361">
        <v>0</v>
      </c>
      <c r="H461" s="361">
        <v>0</v>
      </c>
      <c r="I461" s="361">
        <v>182.4</v>
      </c>
    </row>
    <row r="462" spans="1:9" x14ac:dyDescent="0.2">
      <c r="A462" s="349" t="s">
        <v>341</v>
      </c>
      <c r="B462" s="359">
        <v>51692</v>
      </c>
      <c r="C462" s="349" t="s">
        <v>1674</v>
      </c>
      <c r="D462" s="349" t="s">
        <v>1675</v>
      </c>
      <c r="E462" s="360">
        <v>4150.79</v>
      </c>
      <c r="F462" s="360">
        <v>4150.79</v>
      </c>
      <c r="G462" s="362">
        <v>7119.15</v>
      </c>
      <c r="H462" s="362">
        <v>2968.36</v>
      </c>
      <c r="I462" s="362">
        <v>7119.15</v>
      </c>
    </row>
    <row r="463" spans="1:9" x14ac:dyDescent="0.2">
      <c r="A463" s="349" t="s">
        <v>341</v>
      </c>
      <c r="B463" s="359">
        <v>52073</v>
      </c>
      <c r="C463" s="349" t="s">
        <v>1676</v>
      </c>
      <c r="D463" s="349" t="s">
        <v>1677</v>
      </c>
      <c r="E463" s="360">
        <v>2284.1</v>
      </c>
      <c r="F463" s="363">
        <v>0</v>
      </c>
      <c r="G463" s="362">
        <v>2284.1</v>
      </c>
      <c r="H463" s="362">
        <v>2284.1</v>
      </c>
      <c r="I463" s="362">
        <v>4568.2</v>
      </c>
    </row>
    <row r="464" spans="1:9" x14ac:dyDescent="0.2">
      <c r="A464" s="349" t="s">
        <v>341</v>
      </c>
      <c r="B464" s="359">
        <v>1964</v>
      </c>
      <c r="C464" s="349" t="s">
        <v>1678</v>
      </c>
      <c r="D464" s="349" t="s">
        <v>1679</v>
      </c>
      <c r="E464" s="360">
        <v>7299.04</v>
      </c>
      <c r="F464" s="360">
        <v>8156.74</v>
      </c>
      <c r="G464" s="362">
        <v>6778.07</v>
      </c>
      <c r="H464" s="362">
        <v>-1378.67</v>
      </c>
      <c r="I464" s="362">
        <v>5920.37</v>
      </c>
    </row>
    <row r="465" spans="1:9" x14ac:dyDescent="0.2">
      <c r="A465" s="349" t="s">
        <v>341</v>
      </c>
      <c r="B465" s="359">
        <v>52876</v>
      </c>
      <c r="C465" s="349" t="s">
        <v>1680</v>
      </c>
      <c r="D465" s="349" t="s">
        <v>1681</v>
      </c>
      <c r="E465" s="363">
        <v>955.9</v>
      </c>
      <c r="F465" s="363">
        <v>0</v>
      </c>
      <c r="G465" s="361">
        <v>0</v>
      </c>
      <c r="H465" s="361">
        <v>0</v>
      </c>
      <c r="I465" s="361">
        <v>955.9</v>
      </c>
    </row>
    <row r="466" spans="1:9" x14ac:dyDescent="0.2">
      <c r="A466" s="349" t="s">
        <v>341</v>
      </c>
      <c r="B466" s="359">
        <v>52928</v>
      </c>
      <c r="C466" s="349" t="s">
        <v>1682</v>
      </c>
      <c r="D466" s="349" t="s">
        <v>1683</v>
      </c>
      <c r="E466" s="360">
        <v>7012.1</v>
      </c>
      <c r="F466" s="360">
        <v>4728</v>
      </c>
      <c r="G466" s="362">
        <v>16251.13</v>
      </c>
      <c r="H466" s="362">
        <v>11523.13</v>
      </c>
      <c r="I466" s="362">
        <v>18535.23</v>
      </c>
    </row>
    <row r="467" spans="1:9" x14ac:dyDescent="0.2">
      <c r="A467" s="349" t="s">
        <v>341</v>
      </c>
      <c r="B467" s="359">
        <v>53035</v>
      </c>
      <c r="C467" s="349" t="s">
        <v>1684</v>
      </c>
      <c r="D467" s="349" t="s">
        <v>1685</v>
      </c>
      <c r="E467" s="360">
        <v>13980</v>
      </c>
      <c r="F467" s="360">
        <v>13680</v>
      </c>
      <c r="G467" s="362">
        <v>6480</v>
      </c>
      <c r="H467" s="362">
        <v>-7200</v>
      </c>
      <c r="I467" s="362">
        <v>6780</v>
      </c>
    </row>
    <row r="468" spans="1:9" x14ac:dyDescent="0.2">
      <c r="A468" s="349" t="s">
        <v>341</v>
      </c>
      <c r="B468" s="359">
        <v>33531</v>
      </c>
      <c r="C468" s="349" t="s">
        <v>1686</v>
      </c>
      <c r="D468" s="349" t="s">
        <v>1687</v>
      </c>
      <c r="E468" s="363">
        <v>940.32</v>
      </c>
      <c r="F468" s="363">
        <v>0</v>
      </c>
      <c r="G468" s="361">
        <v>843.03</v>
      </c>
      <c r="H468" s="361">
        <v>843.03</v>
      </c>
      <c r="I468" s="362">
        <v>1783.35</v>
      </c>
    </row>
    <row r="469" spans="1:9" x14ac:dyDescent="0.2">
      <c r="A469" s="349" t="s">
        <v>341</v>
      </c>
      <c r="B469" s="359">
        <v>51747</v>
      </c>
      <c r="C469" s="349" t="s">
        <v>1688</v>
      </c>
      <c r="D469" s="349" t="s">
        <v>1689</v>
      </c>
      <c r="E469" s="360">
        <v>5624.1</v>
      </c>
      <c r="F469" s="360">
        <v>5624.1</v>
      </c>
      <c r="G469" s="362">
        <v>4208.8999999999996</v>
      </c>
      <c r="H469" s="362">
        <v>-1415.2</v>
      </c>
      <c r="I469" s="362">
        <v>4208.8999999999996</v>
      </c>
    </row>
    <row r="470" spans="1:9" x14ac:dyDescent="0.2">
      <c r="A470" s="349" t="s">
        <v>341</v>
      </c>
      <c r="B470" s="359">
        <v>51230</v>
      </c>
      <c r="C470" s="349" t="s">
        <v>1690</v>
      </c>
      <c r="D470" s="349" t="s">
        <v>1691</v>
      </c>
      <c r="E470" s="360">
        <v>4260.79</v>
      </c>
      <c r="F470" s="363">
        <v>818.85</v>
      </c>
      <c r="G470" s="362">
        <v>2734.15</v>
      </c>
      <c r="H470" s="362">
        <v>1915.3</v>
      </c>
      <c r="I470" s="362">
        <v>6176.09</v>
      </c>
    </row>
    <row r="471" spans="1:9" x14ac:dyDescent="0.2">
      <c r="A471" s="349" t="s">
        <v>341</v>
      </c>
      <c r="B471" s="359">
        <v>12243</v>
      </c>
      <c r="C471" s="349" t="s">
        <v>1692</v>
      </c>
      <c r="D471" s="349" t="s">
        <v>1693</v>
      </c>
      <c r="E471" s="360">
        <v>8206.5300000000007</v>
      </c>
      <c r="F471" s="360">
        <v>8746</v>
      </c>
      <c r="G471" s="362">
        <v>8599.39</v>
      </c>
      <c r="H471" s="361">
        <v>-146.61000000000001</v>
      </c>
      <c r="I471" s="362">
        <v>8059.92</v>
      </c>
    </row>
    <row r="472" spans="1:9" x14ac:dyDescent="0.2">
      <c r="A472" s="349" t="s">
        <v>341</v>
      </c>
      <c r="B472" s="359">
        <v>51207</v>
      </c>
      <c r="C472" s="349" t="s">
        <v>1694</v>
      </c>
      <c r="D472" s="349" t="s">
        <v>1695</v>
      </c>
      <c r="E472" s="360">
        <v>28959</v>
      </c>
      <c r="F472" s="360">
        <v>68402.02</v>
      </c>
      <c r="G472" s="362">
        <v>63674.03</v>
      </c>
      <c r="H472" s="362">
        <v>-4727.99</v>
      </c>
      <c r="I472" s="362">
        <v>24231.01</v>
      </c>
    </row>
    <row r="473" spans="1:9" x14ac:dyDescent="0.2">
      <c r="A473" s="349" t="s">
        <v>341</v>
      </c>
      <c r="B473" s="359">
        <v>36703</v>
      </c>
      <c r="C473" s="349" t="s">
        <v>1696</v>
      </c>
      <c r="D473" s="349" t="s">
        <v>1697</v>
      </c>
      <c r="E473" s="360">
        <v>1381.8</v>
      </c>
      <c r="F473" s="360">
        <v>1381.8</v>
      </c>
      <c r="G473" s="361">
        <v>888.3</v>
      </c>
      <c r="H473" s="361">
        <v>-493.5</v>
      </c>
      <c r="I473" s="361">
        <v>888.3</v>
      </c>
    </row>
    <row r="474" spans="1:9" x14ac:dyDescent="0.2">
      <c r="A474" s="349" t="s">
        <v>341</v>
      </c>
      <c r="B474" s="359">
        <v>51073</v>
      </c>
      <c r="C474" s="349" t="s">
        <v>1698</v>
      </c>
      <c r="D474" s="349" t="s">
        <v>1699</v>
      </c>
      <c r="E474" s="360">
        <v>52727.56</v>
      </c>
      <c r="F474" s="363">
        <v>0</v>
      </c>
      <c r="G474" s="362">
        <v>4049.53</v>
      </c>
      <c r="H474" s="362">
        <v>4049.53</v>
      </c>
      <c r="I474" s="362">
        <v>56777.09</v>
      </c>
    </row>
    <row r="475" spans="1:9" x14ac:dyDescent="0.2">
      <c r="A475" s="349" t="s">
        <v>341</v>
      </c>
      <c r="B475" s="359">
        <v>53033</v>
      </c>
      <c r="C475" s="349" t="s">
        <v>1700</v>
      </c>
      <c r="D475" s="349" t="s">
        <v>1701</v>
      </c>
      <c r="E475" s="360">
        <v>19985.849999999999</v>
      </c>
      <c r="F475" s="360">
        <v>19985.849999999999</v>
      </c>
      <c r="G475" s="362">
        <v>20556.87</v>
      </c>
      <c r="H475" s="361">
        <v>571.02</v>
      </c>
      <c r="I475" s="362">
        <v>20556.87</v>
      </c>
    </row>
    <row r="476" spans="1:9" x14ac:dyDescent="0.2">
      <c r="A476" s="349" t="s">
        <v>341</v>
      </c>
      <c r="B476" s="359">
        <v>52724</v>
      </c>
      <c r="C476" s="349" t="s">
        <v>1702</v>
      </c>
      <c r="D476" s="349" t="s">
        <v>1703</v>
      </c>
      <c r="E476" s="360">
        <v>7092</v>
      </c>
      <c r="F476" s="360">
        <v>7092</v>
      </c>
      <c r="G476" s="362">
        <v>8510.4</v>
      </c>
      <c r="H476" s="362">
        <v>1418.4</v>
      </c>
      <c r="I476" s="362">
        <v>8510.4</v>
      </c>
    </row>
    <row r="477" spans="1:9" x14ac:dyDescent="0.2">
      <c r="A477" s="349" t="s">
        <v>341</v>
      </c>
      <c r="B477" s="359">
        <v>38054</v>
      </c>
      <c r="C477" s="349" t="s">
        <v>1704</v>
      </c>
      <c r="D477" s="349" t="s">
        <v>1705</v>
      </c>
      <c r="E477" s="360">
        <v>5499.96</v>
      </c>
      <c r="F477" s="360">
        <v>6746.36</v>
      </c>
      <c r="G477" s="362">
        <v>2277.8000000000002</v>
      </c>
      <c r="H477" s="362">
        <v>-4468.5600000000004</v>
      </c>
      <c r="I477" s="362">
        <v>1031.4000000000001</v>
      </c>
    </row>
    <row r="478" spans="1:9" x14ac:dyDescent="0.2">
      <c r="A478" s="349" t="s">
        <v>341</v>
      </c>
      <c r="B478" s="359">
        <v>52901</v>
      </c>
      <c r="C478" s="349" t="s">
        <v>1706</v>
      </c>
      <c r="D478" s="349" t="s">
        <v>1707</v>
      </c>
      <c r="E478" s="360">
        <v>16374.7</v>
      </c>
      <c r="F478" s="360">
        <v>26683.49</v>
      </c>
      <c r="G478" s="362">
        <v>18774.830000000002</v>
      </c>
      <c r="H478" s="362">
        <v>-7908.66</v>
      </c>
      <c r="I478" s="362">
        <v>8466.0400000000009</v>
      </c>
    </row>
    <row r="479" spans="1:9" x14ac:dyDescent="0.2">
      <c r="A479" s="349" t="s">
        <v>341</v>
      </c>
      <c r="B479" s="359">
        <v>51072</v>
      </c>
      <c r="C479" s="349" t="s">
        <v>1708</v>
      </c>
      <c r="D479" s="349" t="s">
        <v>1709</v>
      </c>
      <c r="E479" s="363">
        <v>231</v>
      </c>
      <c r="F479" s="363">
        <v>0</v>
      </c>
      <c r="G479" s="361">
        <v>0</v>
      </c>
      <c r="H479" s="361">
        <v>0</v>
      </c>
      <c r="I479" s="361">
        <v>231</v>
      </c>
    </row>
    <row r="480" spans="1:9" x14ac:dyDescent="0.2">
      <c r="A480" s="349" t="s">
        <v>341</v>
      </c>
      <c r="B480" s="359">
        <v>52561</v>
      </c>
      <c r="C480" s="349" t="s">
        <v>1710</v>
      </c>
      <c r="D480" s="349" t="s">
        <v>1711</v>
      </c>
      <c r="E480" s="360">
        <v>2092.8000000000002</v>
      </c>
      <c r="F480" s="360">
        <v>2016</v>
      </c>
      <c r="G480" s="362">
        <v>1344</v>
      </c>
      <c r="H480" s="361">
        <v>-672</v>
      </c>
      <c r="I480" s="362">
        <v>1420.8</v>
      </c>
    </row>
    <row r="481" spans="1:9" x14ac:dyDescent="0.2">
      <c r="A481" s="349" t="s">
        <v>341</v>
      </c>
      <c r="B481" s="359">
        <v>52282</v>
      </c>
      <c r="C481" s="349" t="s">
        <v>1712</v>
      </c>
      <c r="D481" s="349" t="s">
        <v>1713</v>
      </c>
      <c r="E481" s="360">
        <v>3588.02</v>
      </c>
      <c r="F481" s="363">
        <v>0</v>
      </c>
      <c r="G481" s="361">
        <v>0</v>
      </c>
      <c r="H481" s="361">
        <v>0</v>
      </c>
      <c r="I481" s="362">
        <v>3588.02</v>
      </c>
    </row>
    <row r="482" spans="1:9" x14ac:dyDescent="0.2">
      <c r="A482" s="349" t="s">
        <v>341</v>
      </c>
      <c r="B482" s="359">
        <v>33355</v>
      </c>
      <c r="C482" s="349" t="s">
        <v>1714</v>
      </c>
      <c r="D482" s="349" t="s">
        <v>1715</v>
      </c>
      <c r="E482" s="360">
        <v>5064.4399999999996</v>
      </c>
      <c r="F482" s="360">
        <v>4236.3999999999996</v>
      </c>
      <c r="G482" s="362">
        <v>2767.32</v>
      </c>
      <c r="H482" s="362">
        <v>-1469.08</v>
      </c>
      <c r="I482" s="362">
        <v>3595.36</v>
      </c>
    </row>
    <row r="483" spans="1:9" x14ac:dyDescent="0.2">
      <c r="A483" s="349" t="s">
        <v>341</v>
      </c>
      <c r="B483" s="359">
        <v>52838</v>
      </c>
      <c r="C483" s="349" t="s">
        <v>1716</v>
      </c>
      <c r="D483" s="349" t="s">
        <v>1717</v>
      </c>
      <c r="E483" s="363">
        <v>268.10000000000002</v>
      </c>
      <c r="F483" s="363">
        <v>0</v>
      </c>
      <c r="G483" s="361">
        <v>0</v>
      </c>
      <c r="H483" s="361">
        <v>0</v>
      </c>
      <c r="I483" s="361">
        <v>268.10000000000002</v>
      </c>
    </row>
    <row r="484" spans="1:9" x14ac:dyDescent="0.2">
      <c r="A484" s="349" t="s">
        <v>341</v>
      </c>
      <c r="B484" s="359">
        <v>33784</v>
      </c>
      <c r="C484" s="349" t="s">
        <v>1718</v>
      </c>
      <c r="D484" s="349" t="s">
        <v>1719</v>
      </c>
      <c r="E484" s="360">
        <v>19457.53</v>
      </c>
      <c r="F484" s="360">
        <v>19457.53</v>
      </c>
      <c r="G484" s="362">
        <v>17173.439999999999</v>
      </c>
      <c r="H484" s="362">
        <v>-2284.09</v>
      </c>
      <c r="I484" s="362">
        <v>17173.439999999999</v>
      </c>
    </row>
    <row r="485" spans="1:9" x14ac:dyDescent="0.2">
      <c r="A485" s="349" t="s">
        <v>341</v>
      </c>
      <c r="B485" s="359">
        <v>33903</v>
      </c>
      <c r="C485" s="349" t="s">
        <v>1720</v>
      </c>
      <c r="D485" s="349" t="s">
        <v>1721</v>
      </c>
      <c r="E485" s="360">
        <v>10292</v>
      </c>
      <c r="F485" s="363">
        <v>0</v>
      </c>
      <c r="G485" s="361">
        <v>985</v>
      </c>
      <c r="H485" s="361">
        <v>985</v>
      </c>
      <c r="I485" s="362">
        <v>11277</v>
      </c>
    </row>
    <row r="486" spans="1:9" x14ac:dyDescent="0.2">
      <c r="A486" s="349" t="s">
        <v>341</v>
      </c>
      <c r="B486" s="359">
        <v>52807</v>
      </c>
      <c r="C486" s="349" t="s">
        <v>1722</v>
      </c>
      <c r="D486" s="349" t="s">
        <v>1723</v>
      </c>
      <c r="E486" s="360">
        <v>14282.5</v>
      </c>
      <c r="F486" s="360">
        <v>14282.5</v>
      </c>
      <c r="G486" s="362">
        <v>14184</v>
      </c>
      <c r="H486" s="361">
        <v>-98.5</v>
      </c>
      <c r="I486" s="362">
        <v>14184</v>
      </c>
    </row>
    <row r="487" spans="1:9" x14ac:dyDescent="0.2">
      <c r="A487" s="349" t="s">
        <v>341</v>
      </c>
      <c r="B487" s="359">
        <v>1969</v>
      </c>
      <c r="C487" s="349" t="s">
        <v>1724</v>
      </c>
      <c r="D487" s="349" t="s">
        <v>1725</v>
      </c>
      <c r="E487" s="363">
        <v>0</v>
      </c>
      <c r="F487" s="363">
        <v>0</v>
      </c>
      <c r="G487" s="361">
        <v>855.58</v>
      </c>
      <c r="H487" s="361">
        <v>855.58</v>
      </c>
      <c r="I487" s="361">
        <v>855.58</v>
      </c>
    </row>
    <row r="488" spans="1:9" x14ac:dyDescent="0.2">
      <c r="A488" s="349" t="s">
        <v>341</v>
      </c>
      <c r="B488" s="359">
        <v>51794</v>
      </c>
      <c r="C488" s="349" t="s">
        <v>1726</v>
      </c>
      <c r="D488" s="349" t="s">
        <v>1727</v>
      </c>
      <c r="E488" s="360">
        <v>33293.93</v>
      </c>
      <c r="F488" s="360">
        <v>38381.769999999997</v>
      </c>
      <c r="G488" s="362">
        <v>24934.25</v>
      </c>
      <c r="H488" s="362">
        <v>-13447.52</v>
      </c>
      <c r="I488" s="362">
        <v>19846.41</v>
      </c>
    </row>
    <row r="489" spans="1:9" x14ac:dyDescent="0.2">
      <c r="A489" s="349" t="s">
        <v>341</v>
      </c>
      <c r="B489" s="359">
        <v>1970</v>
      </c>
      <c r="C489" s="349" t="s">
        <v>1728</v>
      </c>
      <c r="D489" s="349" t="s">
        <v>1729</v>
      </c>
      <c r="E489" s="360">
        <v>15742.29</v>
      </c>
      <c r="F489" s="360">
        <v>39636.67</v>
      </c>
      <c r="G489" s="362">
        <v>36700.559999999998</v>
      </c>
      <c r="H489" s="362">
        <v>-2936.11</v>
      </c>
      <c r="I489" s="362">
        <v>12806.18</v>
      </c>
    </row>
    <row r="490" spans="1:9" x14ac:dyDescent="0.2">
      <c r="A490" s="349" t="s">
        <v>341</v>
      </c>
      <c r="B490" s="359">
        <v>1972</v>
      </c>
      <c r="C490" s="349" t="s">
        <v>1730</v>
      </c>
      <c r="D490" s="349" t="s">
        <v>1731</v>
      </c>
      <c r="E490" s="360">
        <v>30384.42</v>
      </c>
      <c r="F490" s="360">
        <v>75825.279999999999</v>
      </c>
      <c r="G490" s="362">
        <v>78121.14</v>
      </c>
      <c r="H490" s="362">
        <v>2295.86</v>
      </c>
      <c r="I490" s="362">
        <v>32680.28</v>
      </c>
    </row>
    <row r="491" spans="1:9" x14ac:dyDescent="0.2">
      <c r="A491" s="349" t="s">
        <v>341</v>
      </c>
      <c r="B491" s="359">
        <v>1973</v>
      </c>
      <c r="C491" s="349" t="s">
        <v>1732</v>
      </c>
      <c r="D491" s="349" t="s">
        <v>1733</v>
      </c>
      <c r="E491" s="360">
        <v>2292.7199999999998</v>
      </c>
      <c r="F491" s="363">
        <v>0</v>
      </c>
      <c r="G491" s="361">
        <v>296.8</v>
      </c>
      <c r="H491" s="361">
        <v>296.8</v>
      </c>
      <c r="I491" s="362">
        <v>2589.52</v>
      </c>
    </row>
    <row r="492" spans="1:9" x14ac:dyDescent="0.2">
      <c r="A492" s="349" t="s">
        <v>341</v>
      </c>
      <c r="B492" s="359">
        <v>52864</v>
      </c>
      <c r="C492" s="349" t="s">
        <v>1734</v>
      </c>
      <c r="D492" s="349" t="s">
        <v>1735</v>
      </c>
      <c r="E492" s="360">
        <v>4158.6000000000004</v>
      </c>
      <c r="F492" s="360">
        <v>4586.9399999999996</v>
      </c>
      <c r="G492" s="362">
        <v>3713.54</v>
      </c>
      <c r="H492" s="361">
        <v>-873.4</v>
      </c>
      <c r="I492" s="362">
        <v>3285.2</v>
      </c>
    </row>
    <row r="493" spans="1:9" x14ac:dyDescent="0.2">
      <c r="A493" s="349" t="s">
        <v>341</v>
      </c>
      <c r="B493" s="359">
        <v>51814</v>
      </c>
      <c r="C493" s="349" t="s">
        <v>1736</v>
      </c>
      <c r="D493" s="349" t="s">
        <v>1737</v>
      </c>
      <c r="E493" s="360">
        <v>12525.51</v>
      </c>
      <c r="F493" s="360">
        <v>12331.43</v>
      </c>
      <c r="G493" s="362">
        <v>2248.58</v>
      </c>
      <c r="H493" s="362">
        <v>-10082.85</v>
      </c>
      <c r="I493" s="362">
        <v>2442.66</v>
      </c>
    </row>
    <row r="494" spans="1:9" x14ac:dyDescent="0.2">
      <c r="A494" s="349" t="s">
        <v>341</v>
      </c>
      <c r="B494" s="359">
        <v>51854</v>
      </c>
      <c r="C494" s="349" t="s">
        <v>1738</v>
      </c>
      <c r="D494" s="349" t="s">
        <v>1739</v>
      </c>
      <c r="E494" s="360">
        <v>3314.99</v>
      </c>
      <c r="F494" s="360">
        <v>5479.77</v>
      </c>
      <c r="G494" s="362">
        <v>6672.72</v>
      </c>
      <c r="H494" s="362">
        <v>1192.95</v>
      </c>
      <c r="I494" s="362">
        <v>4507.9399999999996</v>
      </c>
    </row>
    <row r="495" spans="1:9" x14ac:dyDescent="0.2">
      <c r="A495" s="349" t="s">
        <v>341</v>
      </c>
      <c r="B495" s="359">
        <v>50972</v>
      </c>
      <c r="C495" s="349" t="s">
        <v>1740</v>
      </c>
      <c r="D495" s="349" t="s">
        <v>1741</v>
      </c>
      <c r="E495" s="360">
        <v>14490.06</v>
      </c>
      <c r="F495" s="360">
        <v>13983.06</v>
      </c>
      <c r="G495" s="362">
        <v>12016.21</v>
      </c>
      <c r="H495" s="362">
        <v>-1966.85</v>
      </c>
      <c r="I495" s="362">
        <v>12523.21</v>
      </c>
    </row>
    <row r="496" spans="1:9" x14ac:dyDescent="0.2">
      <c r="A496" s="349" t="s">
        <v>341</v>
      </c>
      <c r="B496" s="359">
        <v>51674</v>
      </c>
      <c r="C496" s="349" t="s">
        <v>1742</v>
      </c>
      <c r="D496" s="349" t="s">
        <v>1743</v>
      </c>
      <c r="E496" s="360">
        <v>26126.16</v>
      </c>
      <c r="F496" s="360">
        <v>37394.559999999998</v>
      </c>
      <c r="G496" s="362">
        <v>36371.629999999997</v>
      </c>
      <c r="H496" s="362">
        <v>-1022.93</v>
      </c>
      <c r="I496" s="362">
        <v>25103.23</v>
      </c>
    </row>
    <row r="497" spans="1:9" x14ac:dyDescent="0.2">
      <c r="A497" s="349" t="s">
        <v>341</v>
      </c>
      <c r="B497" s="359">
        <v>51367</v>
      </c>
      <c r="C497" s="349" t="s">
        <v>1744</v>
      </c>
      <c r="D497" s="349" t="s">
        <v>1745</v>
      </c>
      <c r="E497" s="360">
        <v>9320.8799999999992</v>
      </c>
      <c r="F497" s="360">
        <v>11915.64</v>
      </c>
      <c r="G497" s="362">
        <v>10678.57</v>
      </c>
      <c r="H497" s="362">
        <v>-1237.07</v>
      </c>
      <c r="I497" s="362">
        <v>8083.81</v>
      </c>
    </row>
    <row r="498" spans="1:9" x14ac:dyDescent="0.2">
      <c r="A498" s="349" t="s">
        <v>341</v>
      </c>
      <c r="B498" s="359">
        <v>52005</v>
      </c>
      <c r="C498" s="349" t="s">
        <v>1746</v>
      </c>
      <c r="D498" s="349" t="s">
        <v>1747</v>
      </c>
      <c r="E498" s="363">
        <v>772.1</v>
      </c>
      <c r="F498" s="363">
        <v>460</v>
      </c>
      <c r="G498" s="361">
        <v>0</v>
      </c>
      <c r="H498" s="361">
        <v>-460</v>
      </c>
      <c r="I498" s="361">
        <v>312.10000000000002</v>
      </c>
    </row>
    <row r="499" spans="1:9" x14ac:dyDescent="0.2">
      <c r="A499" s="349" t="s">
        <v>341</v>
      </c>
      <c r="B499" s="359">
        <v>52658</v>
      </c>
      <c r="C499" s="349" t="s">
        <v>1748</v>
      </c>
      <c r="D499" s="349" t="s">
        <v>1749</v>
      </c>
      <c r="E499" s="360">
        <v>22000</v>
      </c>
      <c r="F499" s="360">
        <v>22000</v>
      </c>
      <c r="G499" s="362">
        <v>22000</v>
      </c>
      <c r="H499" s="361">
        <v>0</v>
      </c>
      <c r="I499" s="362">
        <v>22000</v>
      </c>
    </row>
    <row r="500" spans="1:9" x14ac:dyDescent="0.2">
      <c r="A500" s="349" t="s">
        <v>341</v>
      </c>
      <c r="B500" s="359">
        <v>52090</v>
      </c>
      <c r="C500" s="349" t="s">
        <v>1750</v>
      </c>
      <c r="D500" s="349" t="s">
        <v>1751</v>
      </c>
      <c r="E500" s="360">
        <v>1392.39</v>
      </c>
      <c r="F500" s="360">
        <v>1370.74</v>
      </c>
      <c r="G500" s="362">
        <v>1847.23</v>
      </c>
      <c r="H500" s="361">
        <v>476.49</v>
      </c>
      <c r="I500" s="362">
        <v>1868.88</v>
      </c>
    </row>
    <row r="501" spans="1:9" x14ac:dyDescent="0.2">
      <c r="A501" s="349" t="s">
        <v>341</v>
      </c>
      <c r="B501" s="359">
        <v>52093</v>
      </c>
      <c r="C501" s="349" t="s">
        <v>1752</v>
      </c>
      <c r="D501" s="349" t="s">
        <v>1753</v>
      </c>
      <c r="E501" s="360">
        <v>12453.4</v>
      </c>
      <c r="F501" s="360">
        <v>12772.03</v>
      </c>
      <c r="G501" s="362">
        <v>19594.18</v>
      </c>
      <c r="H501" s="362">
        <v>6822.15</v>
      </c>
      <c r="I501" s="362">
        <v>19275.55</v>
      </c>
    </row>
    <row r="502" spans="1:9" x14ac:dyDescent="0.2">
      <c r="A502" s="349" t="s">
        <v>341</v>
      </c>
      <c r="B502" s="359">
        <v>33790</v>
      </c>
      <c r="C502" s="349" t="s">
        <v>1754</v>
      </c>
      <c r="D502" s="349" t="s">
        <v>1755</v>
      </c>
      <c r="E502" s="363">
        <v>65.599999999999994</v>
      </c>
      <c r="F502" s="363">
        <v>0</v>
      </c>
      <c r="G502" s="361">
        <v>0</v>
      </c>
      <c r="H502" s="361">
        <v>0</v>
      </c>
      <c r="I502" s="361">
        <v>65.599999999999994</v>
      </c>
    </row>
    <row r="503" spans="1:9" x14ac:dyDescent="0.2">
      <c r="A503" s="349" t="s">
        <v>341</v>
      </c>
      <c r="B503" s="359">
        <v>51737</v>
      </c>
      <c r="C503" s="349" t="s">
        <v>1756</v>
      </c>
      <c r="D503" s="349" t="s">
        <v>1757</v>
      </c>
      <c r="E503" s="363">
        <v>179.2</v>
      </c>
      <c r="F503" s="363">
        <v>0</v>
      </c>
      <c r="G503" s="361">
        <v>0</v>
      </c>
      <c r="H503" s="361">
        <v>0</v>
      </c>
      <c r="I503" s="361">
        <v>179.2</v>
      </c>
    </row>
    <row r="504" spans="1:9" x14ac:dyDescent="0.2">
      <c r="A504" s="349" t="s">
        <v>341</v>
      </c>
      <c r="B504" s="359">
        <v>52979</v>
      </c>
      <c r="C504" s="349" t="s">
        <v>1758</v>
      </c>
      <c r="D504" s="349" t="s">
        <v>1759</v>
      </c>
      <c r="E504" s="360">
        <v>2837.78</v>
      </c>
      <c r="F504" s="360">
        <v>2837.78</v>
      </c>
      <c r="G504" s="362">
        <v>5167.3100000000004</v>
      </c>
      <c r="H504" s="362">
        <v>2329.5300000000002</v>
      </c>
      <c r="I504" s="362">
        <v>5167.3100000000004</v>
      </c>
    </row>
    <row r="505" spans="1:9" x14ac:dyDescent="0.2">
      <c r="A505" s="349" t="s">
        <v>341</v>
      </c>
      <c r="B505" s="359">
        <v>52704</v>
      </c>
      <c r="C505" s="349" t="s">
        <v>1760</v>
      </c>
      <c r="D505" s="349" t="s">
        <v>1761</v>
      </c>
      <c r="E505" s="363">
        <v>500</v>
      </c>
      <c r="F505" s="363">
        <v>0</v>
      </c>
      <c r="G505" s="361">
        <v>0</v>
      </c>
      <c r="H505" s="361">
        <v>0</v>
      </c>
      <c r="I505" s="361">
        <v>500</v>
      </c>
    </row>
    <row r="506" spans="1:9" x14ac:dyDescent="0.2">
      <c r="A506" s="349" t="s">
        <v>341</v>
      </c>
      <c r="B506" s="359">
        <v>52352</v>
      </c>
      <c r="C506" s="349" t="s">
        <v>1762</v>
      </c>
      <c r="D506" s="349" t="s">
        <v>1763</v>
      </c>
      <c r="E506" s="360">
        <v>6852.29</v>
      </c>
      <c r="F506" s="363">
        <v>0</v>
      </c>
      <c r="G506" s="362">
        <v>3426.15</v>
      </c>
      <c r="H506" s="362">
        <v>3426.15</v>
      </c>
      <c r="I506" s="362">
        <v>10278.44</v>
      </c>
    </row>
    <row r="507" spans="1:9" x14ac:dyDescent="0.2">
      <c r="A507" s="349" t="s">
        <v>341</v>
      </c>
      <c r="B507" s="359">
        <v>1951</v>
      </c>
      <c r="C507" s="349" t="s">
        <v>1764</v>
      </c>
      <c r="D507" s="349" t="s">
        <v>1765</v>
      </c>
      <c r="E507" s="363">
        <v>528</v>
      </c>
      <c r="F507" s="363">
        <v>0</v>
      </c>
      <c r="G507" s="361">
        <v>0</v>
      </c>
      <c r="H507" s="361">
        <v>0</v>
      </c>
      <c r="I507" s="361">
        <v>528</v>
      </c>
    </row>
    <row r="508" spans="1:9" x14ac:dyDescent="0.2">
      <c r="A508" s="349" t="s">
        <v>341</v>
      </c>
      <c r="B508" s="359">
        <v>52344</v>
      </c>
      <c r="C508" s="349" t="s">
        <v>1766</v>
      </c>
      <c r="D508" s="349" t="s">
        <v>1767</v>
      </c>
      <c r="E508" s="360">
        <v>1914.16</v>
      </c>
      <c r="F508" s="360">
        <v>3121.61</v>
      </c>
      <c r="G508" s="362">
        <v>2648.01</v>
      </c>
      <c r="H508" s="361">
        <v>-473.6</v>
      </c>
      <c r="I508" s="362">
        <v>1440.56</v>
      </c>
    </row>
    <row r="509" spans="1:9" x14ac:dyDescent="0.2">
      <c r="A509" s="349" t="s">
        <v>341</v>
      </c>
      <c r="B509" s="359">
        <v>52630</v>
      </c>
      <c r="C509" s="349" t="s">
        <v>1768</v>
      </c>
      <c r="D509" s="349" t="s">
        <v>1769</v>
      </c>
      <c r="E509" s="360">
        <v>21298.11</v>
      </c>
      <c r="F509" s="360">
        <v>25566.31</v>
      </c>
      <c r="G509" s="362">
        <v>26818.95</v>
      </c>
      <c r="H509" s="362">
        <v>1252.6400000000001</v>
      </c>
      <c r="I509" s="362">
        <v>22550.75</v>
      </c>
    </row>
    <row r="510" spans="1:9" x14ac:dyDescent="0.2">
      <c r="A510" s="349" t="s">
        <v>341</v>
      </c>
      <c r="B510" s="359">
        <v>1986</v>
      </c>
      <c r="C510" s="349" t="s">
        <v>1770</v>
      </c>
      <c r="D510" s="349" t="s">
        <v>1771</v>
      </c>
      <c r="E510" s="360">
        <v>2720.44</v>
      </c>
      <c r="F510" s="360">
        <v>10431.33</v>
      </c>
      <c r="G510" s="362">
        <v>9059.6</v>
      </c>
      <c r="H510" s="362">
        <v>-1371.73</v>
      </c>
      <c r="I510" s="362">
        <v>1348.71</v>
      </c>
    </row>
    <row r="511" spans="1:9" x14ac:dyDescent="0.2">
      <c r="A511" s="349" t="s">
        <v>341</v>
      </c>
      <c r="B511" s="359">
        <v>52980</v>
      </c>
      <c r="C511" s="349" t="s">
        <v>1772</v>
      </c>
      <c r="D511" s="349" t="s">
        <v>1773</v>
      </c>
      <c r="E511" s="360">
        <v>2923.99</v>
      </c>
      <c r="F511" s="363">
        <v>120</v>
      </c>
      <c r="G511" s="362">
        <v>1901.2</v>
      </c>
      <c r="H511" s="362">
        <v>1781.2</v>
      </c>
      <c r="I511" s="362">
        <v>4705.1899999999996</v>
      </c>
    </row>
    <row r="512" spans="1:9" x14ac:dyDescent="0.2">
      <c r="A512" s="349" t="s">
        <v>341</v>
      </c>
      <c r="B512" s="359">
        <v>51887</v>
      </c>
      <c r="C512" s="349" t="s">
        <v>1774</v>
      </c>
      <c r="D512" s="349" t="s">
        <v>1775</v>
      </c>
      <c r="E512" s="360">
        <v>1643.3</v>
      </c>
      <c r="F512" s="363">
        <v>0</v>
      </c>
      <c r="G512" s="361">
        <v>0</v>
      </c>
      <c r="H512" s="361">
        <v>0</v>
      </c>
      <c r="I512" s="362">
        <v>1643.3</v>
      </c>
    </row>
    <row r="513" spans="1:9" x14ac:dyDescent="0.2">
      <c r="A513" s="349" t="s">
        <v>341</v>
      </c>
      <c r="B513" s="359">
        <v>52913</v>
      </c>
      <c r="C513" s="349" t="s">
        <v>1776</v>
      </c>
      <c r="D513" s="349" t="s">
        <v>1777</v>
      </c>
      <c r="E513" s="360">
        <v>1457.25</v>
      </c>
      <c r="F513" s="363">
        <v>0</v>
      </c>
      <c r="G513" s="361">
        <v>0</v>
      </c>
      <c r="H513" s="361">
        <v>0</v>
      </c>
      <c r="I513" s="362">
        <v>1457.25</v>
      </c>
    </row>
    <row r="514" spans="1:9" x14ac:dyDescent="0.2">
      <c r="A514" s="349" t="s">
        <v>341</v>
      </c>
      <c r="B514" s="359">
        <v>51519</v>
      </c>
      <c r="C514" s="349" t="s">
        <v>1778</v>
      </c>
      <c r="D514" s="349" t="s">
        <v>1779</v>
      </c>
      <c r="E514" s="363">
        <v>264</v>
      </c>
      <c r="F514" s="363">
        <v>0</v>
      </c>
      <c r="G514" s="361">
        <v>0</v>
      </c>
      <c r="H514" s="361">
        <v>0</v>
      </c>
      <c r="I514" s="361">
        <v>264</v>
      </c>
    </row>
    <row r="515" spans="1:9" x14ac:dyDescent="0.2">
      <c r="A515" s="349" t="s">
        <v>341</v>
      </c>
      <c r="B515" s="359">
        <v>52958</v>
      </c>
      <c r="C515" s="349" t="s">
        <v>1780</v>
      </c>
      <c r="D515" s="349" t="s">
        <v>1781</v>
      </c>
      <c r="E515" s="360">
        <v>17177.18</v>
      </c>
      <c r="F515" s="360">
        <v>16212.56</v>
      </c>
      <c r="G515" s="362">
        <v>15680.08</v>
      </c>
      <c r="H515" s="361">
        <v>-532.48</v>
      </c>
      <c r="I515" s="362">
        <v>16644.7</v>
      </c>
    </row>
    <row r="516" spans="1:9" x14ac:dyDescent="0.2">
      <c r="A516" s="349" t="s">
        <v>341</v>
      </c>
      <c r="B516" s="359">
        <v>52866</v>
      </c>
      <c r="C516" s="349" t="s">
        <v>1782</v>
      </c>
      <c r="D516" s="349" t="s">
        <v>1783</v>
      </c>
      <c r="E516" s="360">
        <v>10613.26</v>
      </c>
      <c r="F516" s="360">
        <v>1187.2</v>
      </c>
      <c r="G516" s="361">
        <v>941.84</v>
      </c>
      <c r="H516" s="361">
        <v>-245.36</v>
      </c>
      <c r="I516" s="362">
        <v>10367.9</v>
      </c>
    </row>
    <row r="517" spans="1:9" x14ac:dyDescent="0.2">
      <c r="A517" s="349" t="s">
        <v>341</v>
      </c>
      <c r="B517" s="359">
        <v>50937</v>
      </c>
      <c r="C517" s="349" t="s">
        <v>1784</v>
      </c>
      <c r="D517" s="349" t="s">
        <v>1785</v>
      </c>
      <c r="E517" s="360">
        <v>4439.3900000000003</v>
      </c>
      <c r="F517" s="360">
        <v>4439.3900000000003</v>
      </c>
      <c r="G517" s="362">
        <v>1208.5899999999999</v>
      </c>
      <c r="H517" s="362">
        <v>-3230.8</v>
      </c>
      <c r="I517" s="362">
        <v>1208.5899999999999</v>
      </c>
    </row>
    <row r="518" spans="1:9" x14ac:dyDescent="0.2">
      <c r="A518" s="349" t="s">
        <v>341</v>
      </c>
      <c r="B518" s="359">
        <v>52789</v>
      </c>
      <c r="C518" s="349" t="s">
        <v>1786</v>
      </c>
      <c r="D518" s="349" t="s">
        <v>1787</v>
      </c>
      <c r="E518" s="363">
        <v>580.09</v>
      </c>
      <c r="F518" s="363">
        <v>0</v>
      </c>
      <c r="G518" s="361">
        <v>0</v>
      </c>
      <c r="H518" s="361">
        <v>0</v>
      </c>
      <c r="I518" s="361">
        <v>580.09</v>
      </c>
    </row>
    <row r="519" spans="1:9" x14ac:dyDescent="0.2">
      <c r="A519" s="349" t="s">
        <v>341</v>
      </c>
      <c r="B519" s="359">
        <v>52421</v>
      </c>
      <c r="C519" s="349" t="s">
        <v>1788</v>
      </c>
      <c r="D519" s="349" t="s">
        <v>1789</v>
      </c>
      <c r="E519" s="363">
        <v>38.5</v>
      </c>
      <c r="F519" s="363">
        <v>0</v>
      </c>
      <c r="G519" s="361">
        <v>0</v>
      </c>
      <c r="H519" s="361">
        <v>0</v>
      </c>
      <c r="I519" s="361">
        <v>38.5</v>
      </c>
    </row>
    <row r="520" spans="1:9" x14ac:dyDescent="0.2">
      <c r="A520" s="349" t="s">
        <v>341</v>
      </c>
      <c r="B520" s="359">
        <v>51656</v>
      </c>
      <c r="C520" s="349" t="s">
        <v>1790</v>
      </c>
      <c r="D520" s="349" t="s">
        <v>1791</v>
      </c>
      <c r="E520" s="363">
        <v>350.7</v>
      </c>
      <c r="F520" s="363">
        <v>0</v>
      </c>
      <c r="G520" s="361">
        <v>0</v>
      </c>
      <c r="H520" s="361">
        <v>0</v>
      </c>
      <c r="I520" s="361">
        <v>350.7</v>
      </c>
    </row>
    <row r="521" spans="1:9" x14ac:dyDescent="0.2">
      <c r="A521" s="349" t="s">
        <v>341</v>
      </c>
      <c r="B521" s="359">
        <v>1990</v>
      </c>
      <c r="C521" s="349" t="s">
        <v>1792</v>
      </c>
      <c r="D521" s="349" t="s">
        <v>1793</v>
      </c>
      <c r="E521" s="360">
        <v>9899.2099999999991</v>
      </c>
      <c r="F521" s="360">
        <v>3971.52</v>
      </c>
      <c r="G521" s="362">
        <v>3971.52</v>
      </c>
      <c r="H521" s="361">
        <v>0</v>
      </c>
      <c r="I521" s="362">
        <v>9899.2099999999991</v>
      </c>
    </row>
    <row r="522" spans="1:9" x14ac:dyDescent="0.2">
      <c r="A522" s="349" t="s">
        <v>341</v>
      </c>
      <c r="B522" s="359">
        <v>51730</v>
      </c>
      <c r="C522" s="349" t="s">
        <v>1794</v>
      </c>
      <c r="D522" s="349" t="s">
        <v>1795</v>
      </c>
      <c r="E522" s="360">
        <v>1418.4</v>
      </c>
      <c r="F522" s="360">
        <v>1418.4</v>
      </c>
      <c r="G522" s="361">
        <v>0</v>
      </c>
      <c r="H522" s="362">
        <v>-1418.4</v>
      </c>
      <c r="I522" s="361">
        <v>0</v>
      </c>
    </row>
    <row r="523" spans="1:9" x14ac:dyDescent="0.2">
      <c r="A523" s="349" t="s">
        <v>341</v>
      </c>
      <c r="B523" s="359">
        <v>51520</v>
      </c>
      <c r="C523" s="349" t="s">
        <v>1796</v>
      </c>
      <c r="D523" s="349" t="s">
        <v>1797</v>
      </c>
      <c r="E523" s="363">
        <v>460.8</v>
      </c>
      <c r="F523" s="363">
        <v>0</v>
      </c>
      <c r="G523" s="361">
        <v>0</v>
      </c>
      <c r="H523" s="361">
        <v>0</v>
      </c>
      <c r="I523" s="361">
        <v>460.8</v>
      </c>
    </row>
    <row r="524" spans="1:9" x14ac:dyDescent="0.2">
      <c r="A524" s="349" t="s">
        <v>341</v>
      </c>
      <c r="B524" s="359">
        <v>1914</v>
      </c>
      <c r="C524" s="349" t="s">
        <v>1798</v>
      </c>
      <c r="D524" s="349" t="s">
        <v>1799</v>
      </c>
      <c r="E524" s="363">
        <v>693.83</v>
      </c>
      <c r="F524" s="363">
        <v>693.83</v>
      </c>
      <c r="G524" s="361">
        <v>563.22</v>
      </c>
      <c r="H524" s="361">
        <v>-130.61000000000001</v>
      </c>
      <c r="I524" s="361">
        <v>563.22</v>
      </c>
    </row>
    <row r="525" spans="1:9" x14ac:dyDescent="0.2">
      <c r="A525" s="349" t="s">
        <v>341</v>
      </c>
      <c r="B525" s="359">
        <v>51040</v>
      </c>
      <c r="C525" s="349" t="s">
        <v>1800</v>
      </c>
      <c r="D525" s="349" t="s">
        <v>1801</v>
      </c>
      <c r="E525" s="360">
        <v>5579.5</v>
      </c>
      <c r="F525" s="360">
        <v>5460.5</v>
      </c>
      <c r="G525" s="362">
        <v>5460.5</v>
      </c>
      <c r="H525" s="361">
        <v>0</v>
      </c>
      <c r="I525" s="362">
        <v>5579.5</v>
      </c>
    </row>
    <row r="526" spans="1:9" x14ac:dyDescent="0.2">
      <c r="A526" s="349" t="s">
        <v>341</v>
      </c>
      <c r="B526" s="359">
        <v>51208</v>
      </c>
      <c r="C526" s="349" t="s">
        <v>1802</v>
      </c>
      <c r="D526" s="349" t="s">
        <v>1803</v>
      </c>
      <c r="E526" s="363">
        <v>680.39</v>
      </c>
      <c r="F526" s="363">
        <v>0</v>
      </c>
      <c r="G526" s="361">
        <v>0</v>
      </c>
      <c r="H526" s="361">
        <v>0</v>
      </c>
      <c r="I526" s="361">
        <v>680.39</v>
      </c>
    </row>
    <row r="527" spans="1:9" x14ac:dyDescent="0.2">
      <c r="A527" s="349" t="s">
        <v>341</v>
      </c>
      <c r="B527" s="359">
        <v>51282</v>
      </c>
      <c r="C527" s="349" t="s">
        <v>1804</v>
      </c>
      <c r="D527" s="349" t="s">
        <v>1805</v>
      </c>
      <c r="E527" s="360">
        <v>5997.23</v>
      </c>
      <c r="F527" s="360">
        <v>6978.83</v>
      </c>
      <c r="G527" s="362">
        <v>8256.5499999999993</v>
      </c>
      <c r="H527" s="362">
        <v>1277.72</v>
      </c>
      <c r="I527" s="362">
        <v>7274.95</v>
      </c>
    </row>
    <row r="528" spans="1:9" x14ac:dyDescent="0.2">
      <c r="A528" s="349" t="s">
        <v>341</v>
      </c>
      <c r="B528" s="359">
        <v>52053</v>
      </c>
      <c r="C528" s="349" t="s">
        <v>1806</v>
      </c>
      <c r="D528" s="349" t="s">
        <v>1807</v>
      </c>
      <c r="E528" s="360">
        <v>9943.57</v>
      </c>
      <c r="F528" s="360">
        <v>9943.57</v>
      </c>
      <c r="G528" s="362">
        <v>9642.98</v>
      </c>
      <c r="H528" s="361">
        <v>-300.58999999999997</v>
      </c>
      <c r="I528" s="362">
        <v>9642.98</v>
      </c>
    </row>
    <row r="529" spans="1:9" x14ac:dyDescent="0.2">
      <c r="A529" s="349" t="s">
        <v>341</v>
      </c>
      <c r="B529" s="359">
        <v>38311</v>
      </c>
      <c r="C529" s="349" t="s">
        <v>1808</v>
      </c>
      <c r="D529" s="349" t="s">
        <v>1809</v>
      </c>
      <c r="E529" s="360">
        <v>14925</v>
      </c>
      <c r="F529" s="360">
        <v>15466.52</v>
      </c>
      <c r="G529" s="362">
        <v>15316.52</v>
      </c>
      <c r="H529" s="361">
        <v>-150</v>
      </c>
      <c r="I529" s="362">
        <v>14775</v>
      </c>
    </row>
    <row r="530" spans="1:9" x14ac:dyDescent="0.2">
      <c r="A530" s="349" t="s">
        <v>341</v>
      </c>
      <c r="B530" s="359">
        <v>52760</v>
      </c>
      <c r="C530" s="349" t="s">
        <v>1810</v>
      </c>
      <c r="D530" s="349" t="s">
        <v>1811</v>
      </c>
      <c r="E530" s="360">
        <v>11453.63</v>
      </c>
      <c r="F530" s="363">
        <v>0</v>
      </c>
      <c r="G530" s="361">
        <v>55</v>
      </c>
      <c r="H530" s="361">
        <v>55</v>
      </c>
      <c r="I530" s="362">
        <v>11508.63</v>
      </c>
    </row>
    <row r="531" spans="1:9" x14ac:dyDescent="0.2">
      <c r="A531" s="349" t="s">
        <v>341</v>
      </c>
      <c r="B531" s="359">
        <v>51481</v>
      </c>
      <c r="C531" s="349" t="s">
        <v>1812</v>
      </c>
      <c r="D531" s="349" t="s">
        <v>1813</v>
      </c>
      <c r="E531" s="363">
        <v>463.2</v>
      </c>
      <c r="F531" s="363">
        <v>0</v>
      </c>
      <c r="G531" s="361">
        <v>0</v>
      </c>
      <c r="H531" s="361">
        <v>0</v>
      </c>
      <c r="I531" s="361">
        <v>463.2</v>
      </c>
    </row>
    <row r="532" spans="1:9" x14ac:dyDescent="0.2">
      <c r="A532" s="349" t="s">
        <v>341</v>
      </c>
      <c r="B532" s="359">
        <v>50951</v>
      </c>
      <c r="C532" s="349" t="s">
        <v>1814</v>
      </c>
      <c r="D532" s="349" t="s">
        <v>1815</v>
      </c>
      <c r="E532" s="360">
        <v>1970</v>
      </c>
      <c r="F532" s="360">
        <v>6381.96</v>
      </c>
      <c r="G532" s="362">
        <v>6381.96</v>
      </c>
      <c r="H532" s="361">
        <v>0</v>
      </c>
      <c r="I532" s="362">
        <v>1970</v>
      </c>
    </row>
    <row r="533" spans="1:9" x14ac:dyDescent="0.2">
      <c r="A533" s="349" t="s">
        <v>341</v>
      </c>
      <c r="B533" s="359">
        <v>34223</v>
      </c>
      <c r="C533" s="349" t="s">
        <v>1816</v>
      </c>
      <c r="D533" s="349" t="s">
        <v>1817</v>
      </c>
      <c r="E533" s="360">
        <v>38624.04</v>
      </c>
      <c r="F533" s="360">
        <v>46496.66</v>
      </c>
      <c r="G533" s="362">
        <v>46811.71</v>
      </c>
      <c r="H533" s="361">
        <v>315.05</v>
      </c>
      <c r="I533" s="362">
        <v>38939.089999999997</v>
      </c>
    </row>
    <row r="534" spans="1:9" x14ac:dyDescent="0.2">
      <c r="A534" s="349" t="s">
        <v>341</v>
      </c>
      <c r="B534" s="359">
        <v>51888</v>
      </c>
      <c r="C534" s="349" t="s">
        <v>1818</v>
      </c>
      <c r="D534" s="349" t="s">
        <v>1819</v>
      </c>
      <c r="E534" s="360">
        <v>1096.3599999999999</v>
      </c>
      <c r="F534" s="363">
        <v>0</v>
      </c>
      <c r="G534" s="361">
        <v>0</v>
      </c>
      <c r="H534" s="361">
        <v>0</v>
      </c>
      <c r="I534" s="362">
        <v>1096.3599999999999</v>
      </c>
    </row>
    <row r="535" spans="1:9" x14ac:dyDescent="0.2">
      <c r="A535" s="349" t="s">
        <v>341</v>
      </c>
      <c r="B535" s="359">
        <v>51660</v>
      </c>
      <c r="C535" s="349" t="s">
        <v>1820</v>
      </c>
      <c r="D535" s="349" t="s">
        <v>1821</v>
      </c>
      <c r="E535" s="360">
        <v>3143.63</v>
      </c>
      <c r="F535" s="360">
        <v>3143.63</v>
      </c>
      <c r="G535" s="362">
        <v>2767.6</v>
      </c>
      <c r="H535" s="361">
        <v>-376.03</v>
      </c>
      <c r="I535" s="362">
        <v>2767.6</v>
      </c>
    </row>
    <row r="536" spans="1:9" x14ac:dyDescent="0.2">
      <c r="A536" s="349" t="s">
        <v>341</v>
      </c>
      <c r="B536" s="359">
        <v>1995</v>
      </c>
      <c r="C536" s="349" t="s">
        <v>1822</v>
      </c>
      <c r="D536" s="349" t="s">
        <v>1823</v>
      </c>
      <c r="E536" s="360">
        <v>32512.57</v>
      </c>
      <c r="F536" s="360">
        <v>31370.52</v>
      </c>
      <c r="G536" s="362">
        <v>28515.39</v>
      </c>
      <c r="H536" s="362">
        <v>-2855.13</v>
      </c>
      <c r="I536" s="362">
        <v>29657.439999999999</v>
      </c>
    </row>
    <row r="537" spans="1:9" x14ac:dyDescent="0.2">
      <c r="A537" s="349" t="s">
        <v>341</v>
      </c>
      <c r="B537" s="359">
        <v>1996</v>
      </c>
      <c r="C537" s="349" t="s">
        <v>1824</v>
      </c>
      <c r="D537" s="349" t="s">
        <v>1825</v>
      </c>
      <c r="E537" s="360">
        <v>1999222.94</v>
      </c>
      <c r="F537" s="360">
        <v>1646805.46</v>
      </c>
      <c r="G537" s="362">
        <v>949932.63</v>
      </c>
      <c r="H537" s="362">
        <v>-696872.83</v>
      </c>
      <c r="I537" s="362">
        <v>1302350.1100000001</v>
      </c>
    </row>
    <row r="538" spans="1:9" x14ac:dyDescent="0.2">
      <c r="A538" s="349" t="s">
        <v>341</v>
      </c>
      <c r="B538" s="359">
        <v>51797</v>
      </c>
      <c r="C538" s="349" t="s">
        <v>1826</v>
      </c>
      <c r="D538" s="349" t="s">
        <v>1827</v>
      </c>
      <c r="E538" s="360">
        <v>28519.68</v>
      </c>
      <c r="F538" s="360">
        <v>32521.65</v>
      </c>
      <c r="G538" s="362">
        <v>35041.9</v>
      </c>
      <c r="H538" s="362">
        <v>2520.25</v>
      </c>
      <c r="I538" s="362">
        <v>31039.93</v>
      </c>
    </row>
    <row r="539" spans="1:9" x14ac:dyDescent="0.2">
      <c r="A539" s="349" t="s">
        <v>341</v>
      </c>
      <c r="B539" s="359">
        <v>52468</v>
      </c>
      <c r="C539" s="349" t="s">
        <v>1828</v>
      </c>
      <c r="D539" s="349" t="s">
        <v>1829</v>
      </c>
      <c r="E539" s="363">
        <v>201.6</v>
      </c>
      <c r="F539" s="363">
        <v>0</v>
      </c>
      <c r="G539" s="361">
        <v>44</v>
      </c>
      <c r="H539" s="361">
        <v>44</v>
      </c>
      <c r="I539" s="361">
        <v>245.6</v>
      </c>
    </row>
    <row r="540" spans="1:9" x14ac:dyDescent="0.2">
      <c r="A540" s="349" t="s">
        <v>341</v>
      </c>
      <c r="B540" s="359">
        <v>53024</v>
      </c>
      <c r="C540" s="349" t="s">
        <v>1830</v>
      </c>
      <c r="D540" s="349" t="s">
        <v>1831</v>
      </c>
      <c r="E540" s="360">
        <v>2519.9899999999998</v>
      </c>
      <c r="F540" s="360">
        <v>6340.65</v>
      </c>
      <c r="G540" s="362">
        <v>6866.13</v>
      </c>
      <c r="H540" s="361">
        <v>525.48</v>
      </c>
      <c r="I540" s="362">
        <v>3045.47</v>
      </c>
    </row>
    <row r="541" spans="1:9" x14ac:dyDescent="0.2">
      <c r="A541" s="349" t="s">
        <v>341</v>
      </c>
      <c r="B541" s="359">
        <v>51771</v>
      </c>
      <c r="C541" s="349" t="s">
        <v>1832</v>
      </c>
      <c r="D541" s="349" t="s">
        <v>1833</v>
      </c>
      <c r="E541" s="363">
        <v>0</v>
      </c>
      <c r="F541" s="360">
        <v>20954.8</v>
      </c>
      <c r="G541" s="362">
        <v>20954.8</v>
      </c>
      <c r="H541" s="361">
        <v>0</v>
      </c>
      <c r="I541" s="361">
        <v>0</v>
      </c>
    </row>
    <row r="542" spans="1:9" x14ac:dyDescent="0.2">
      <c r="A542" s="349" t="s">
        <v>341</v>
      </c>
      <c r="B542" s="359">
        <v>38856</v>
      </c>
      <c r="C542" s="349" t="s">
        <v>1834</v>
      </c>
      <c r="D542" s="349" t="s">
        <v>1835</v>
      </c>
      <c r="E542" s="363">
        <v>505</v>
      </c>
      <c r="F542" s="363">
        <v>0</v>
      </c>
      <c r="G542" s="361">
        <v>189.54</v>
      </c>
      <c r="H542" s="361">
        <v>189.54</v>
      </c>
      <c r="I542" s="361">
        <v>694.54</v>
      </c>
    </row>
    <row r="543" spans="1:9" x14ac:dyDescent="0.2">
      <c r="A543" s="349" t="s">
        <v>341</v>
      </c>
      <c r="B543" s="359">
        <v>52867</v>
      </c>
      <c r="C543" s="349" t="s">
        <v>1836</v>
      </c>
      <c r="D543" s="349" t="s">
        <v>1837</v>
      </c>
      <c r="E543" s="360">
        <v>4601.21</v>
      </c>
      <c r="F543" s="363">
        <v>0</v>
      </c>
      <c r="G543" s="361">
        <v>0</v>
      </c>
      <c r="H543" s="361">
        <v>0</v>
      </c>
      <c r="I543" s="362">
        <v>4601.21</v>
      </c>
    </row>
    <row r="544" spans="1:9" x14ac:dyDescent="0.2">
      <c r="A544" s="349" t="s">
        <v>341</v>
      </c>
      <c r="B544" s="359">
        <v>52004</v>
      </c>
      <c r="C544" s="349" t="s">
        <v>1838</v>
      </c>
      <c r="D544" s="349" t="s">
        <v>1839</v>
      </c>
      <c r="E544" s="363">
        <v>847.16</v>
      </c>
      <c r="F544" s="363">
        <v>0</v>
      </c>
      <c r="G544" s="361">
        <v>0</v>
      </c>
      <c r="H544" s="361">
        <v>0</v>
      </c>
      <c r="I544" s="361">
        <v>847.16</v>
      </c>
    </row>
    <row r="545" spans="1:9" x14ac:dyDescent="0.2">
      <c r="A545" s="349" t="s">
        <v>341</v>
      </c>
      <c r="B545" s="359">
        <v>2000</v>
      </c>
      <c r="C545" s="349" t="s">
        <v>1840</v>
      </c>
      <c r="D545" s="349" t="s">
        <v>1841</v>
      </c>
      <c r="E545" s="363">
        <v>78.260000000000005</v>
      </c>
      <c r="F545" s="363">
        <v>0</v>
      </c>
      <c r="G545" s="361">
        <v>0</v>
      </c>
      <c r="H545" s="361">
        <v>0</v>
      </c>
      <c r="I545" s="361">
        <v>78.260000000000005</v>
      </c>
    </row>
    <row r="546" spans="1:9" x14ac:dyDescent="0.2">
      <c r="A546" s="349" t="s">
        <v>341</v>
      </c>
      <c r="B546" s="359">
        <v>52740</v>
      </c>
      <c r="C546" s="349" t="s">
        <v>1842</v>
      </c>
      <c r="D546" s="349" t="s">
        <v>1843</v>
      </c>
      <c r="E546" s="360">
        <v>2676.96</v>
      </c>
      <c r="F546" s="363">
        <v>0</v>
      </c>
      <c r="G546" s="361">
        <v>0</v>
      </c>
      <c r="H546" s="361">
        <v>0</v>
      </c>
      <c r="I546" s="362">
        <v>2676.96</v>
      </c>
    </row>
    <row r="547" spans="1:9" x14ac:dyDescent="0.2">
      <c r="A547" s="349" t="s">
        <v>341</v>
      </c>
      <c r="B547" s="359">
        <v>37909</v>
      </c>
      <c r="C547" s="349" t="s">
        <v>1844</v>
      </c>
      <c r="D547" s="349" t="s">
        <v>1845</v>
      </c>
      <c r="E547" s="360">
        <v>5319</v>
      </c>
      <c r="F547" s="360">
        <v>5319</v>
      </c>
      <c r="G547" s="362">
        <v>13593</v>
      </c>
      <c r="H547" s="362">
        <v>8274</v>
      </c>
      <c r="I547" s="362">
        <v>13593</v>
      </c>
    </row>
    <row r="548" spans="1:9" x14ac:dyDescent="0.2">
      <c r="A548" s="349" t="s">
        <v>341</v>
      </c>
      <c r="B548" s="359">
        <v>2002</v>
      </c>
      <c r="C548" s="349" t="s">
        <v>1846</v>
      </c>
      <c r="D548" s="349" t="s">
        <v>1847</v>
      </c>
      <c r="E548" s="363">
        <v>262.2</v>
      </c>
      <c r="F548" s="363">
        <v>0</v>
      </c>
      <c r="G548" s="361">
        <v>0</v>
      </c>
      <c r="H548" s="361">
        <v>0</v>
      </c>
      <c r="I548" s="361">
        <v>262.2</v>
      </c>
    </row>
    <row r="549" spans="1:9" x14ac:dyDescent="0.2">
      <c r="A549" s="349" t="s">
        <v>341</v>
      </c>
      <c r="B549" s="359">
        <v>51683</v>
      </c>
      <c r="C549" s="349" t="s">
        <v>1848</v>
      </c>
      <c r="D549" s="349" t="s">
        <v>1849</v>
      </c>
      <c r="E549" s="360">
        <v>3000</v>
      </c>
      <c r="F549" s="360">
        <v>3000</v>
      </c>
      <c r="G549" s="362">
        <v>3000</v>
      </c>
      <c r="H549" s="361">
        <v>0</v>
      </c>
      <c r="I549" s="362">
        <v>3000</v>
      </c>
    </row>
    <row r="550" spans="1:9" x14ac:dyDescent="0.2">
      <c r="A550" s="349" t="s">
        <v>341</v>
      </c>
      <c r="B550" s="359">
        <v>52052</v>
      </c>
      <c r="C550" s="349" t="s">
        <v>1850</v>
      </c>
      <c r="D550" s="349" t="s">
        <v>1851</v>
      </c>
      <c r="E550" s="360">
        <v>1142.05</v>
      </c>
      <c r="F550" s="363">
        <v>0</v>
      </c>
      <c r="G550" s="361">
        <v>0</v>
      </c>
      <c r="H550" s="361">
        <v>0</v>
      </c>
      <c r="I550" s="362">
        <v>1142.05</v>
      </c>
    </row>
    <row r="551" spans="1:9" x14ac:dyDescent="0.2">
      <c r="A551" s="349" t="s">
        <v>341</v>
      </c>
      <c r="B551" s="359">
        <v>52512</v>
      </c>
      <c r="C551" s="349" t="s">
        <v>1852</v>
      </c>
      <c r="D551" s="349" t="s">
        <v>1853</v>
      </c>
      <c r="E551" s="363">
        <v>78.75</v>
      </c>
      <c r="F551" s="363">
        <v>0</v>
      </c>
      <c r="G551" s="361">
        <v>0</v>
      </c>
      <c r="H551" s="361">
        <v>0</v>
      </c>
      <c r="I551" s="361">
        <v>78.75</v>
      </c>
    </row>
    <row r="552" spans="1:9" x14ac:dyDescent="0.2">
      <c r="A552" s="349" t="s">
        <v>341</v>
      </c>
      <c r="B552" s="359">
        <v>37431</v>
      </c>
      <c r="C552" s="349" t="s">
        <v>1854</v>
      </c>
      <c r="D552" s="349" t="s">
        <v>1855</v>
      </c>
      <c r="E552" s="363">
        <v>190</v>
      </c>
      <c r="F552" s="363">
        <v>0</v>
      </c>
      <c r="G552" s="362">
        <v>6097.9</v>
      </c>
      <c r="H552" s="362">
        <v>6097.9</v>
      </c>
      <c r="I552" s="362">
        <v>6287.9</v>
      </c>
    </row>
    <row r="553" spans="1:9" x14ac:dyDescent="0.2">
      <c r="A553" s="349" t="s">
        <v>341</v>
      </c>
      <c r="B553" s="359">
        <v>2011</v>
      </c>
      <c r="C553" s="349" t="s">
        <v>1856</v>
      </c>
      <c r="D553" s="349" t="s">
        <v>1857</v>
      </c>
      <c r="E553" s="363">
        <v>646</v>
      </c>
      <c r="F553" s="363">
        <v>0</v>
      </c>
      <c r="G553" s="361">
        <v>0</v>
      </c>
      <c r="H553" s="361">
        <v>0</v>
      </c>
      <c r="I553" s="361">
        <v>646</v>
      </c>
    </row>
    <row r="554" spans="1:9" x14ac:dyDescent="0.2">
      <c r="A554" s="349" t="s">
        <v>341</v>
      </c>
      <c r="B554" s="359">
        <v>2012</v>
      </c>
      <c r="C554" s="349" t="s">
        <v>1858</v>
      </c>
      <c r="D554" s="349" t="s">
        <v>1859</v>
      </c>
      <c r="E554" s="360">
        <v>2322.5100000000002</v>
      </c>
      <c r="F554" s="360">
        <v>2322.5100000000002</v>
      </c>
      <c r="G554" s="362">
        <v>3225.91</v>
      </c>
      <c r="H554" s="361">
        <v>903.4</v>
      </c>
      <c r="I554" s="362">
        <v>3225.91</v>
      </c>
    </row>
    <row r="555" spans="1:9" x14ac:dyDescent="0.2">
      <c r="A555" s="349" t="s">
        <v>341</v>
      </c>
      <c r="B555" s="359">
        <v>2013</v>
      </c>
      <c r="C555" s="349" t="s">
        <v>1860</v>
      </c>
      <c r="D555" s="349" t="s">
        <v>1861</v>
      </c>
      <c r="E555" s="363">
        <v>232</v>
      </c>
      <c r="F555" s="363">
        <v>0</v>
      </c>
      <c r="G555" s="361">
        <v>0</v>
      </c>
      <c r="H555" s="361">
        <v>0</v>
      </c>
      <c r="I555" s="361">
        <v>232</v>
      </c>
    </row>
    <row r="556" spans="1:9" x14ac:dyDescent="0.2">
      <c r="A556" s="349" t="s">
        <v>341</v>
      </c>
      <c r="B556" s="359">
        <v>52556</v>
      </c>
      <c r="C556" s="349" t="s">
        <v>1862</v>
      </c>
      <c r="D556" s="349" t="s">
        <v>1863</v>
      </c>
      <c r="E556" s="360">
        <v>18056.62</v>
      </c>
      <c r="F556" s="360">
        <v>15916.22</v>
      </c>
      <c r="G556" s="362">
        <v>22549.200000000001</v>
      </c>
      <c r="H556" s="362">
        <v>6632.98</v>
      </c>
      <c r="I556" s="362">
        <v>24689.599999999999</v>
      </c>
    </row>
    <row r="557" spans="1:9" x14ac:dyDescent="0.2">
      <c r="A557" s="349" t="s">
        <v>341</v>
      </c>
      <c r="B557" s="359">
        <v>37038</v>
      </c>
      <c r="C557" s="349" t="s">
        <v>1864</v>
      </c>
      <c r="D557" s="349" t="s">
        <v>1865</v>
      </c>
      <c r="E557" s="360">
        <v>33320.79</v>
      </c>
      <c r="F557" s="360">
        <v>25723.27</v>
      </c>
      <c r="G557" s="362">
        <v>6415.3</v>
      </c>
      <c r="H557" s="362">
        <v>-19307.97</v>
      </c>
      <c r="I557" s="362">
        <v>14012.82</v>
      </c>
    </row>
    <row r="558" spans="1:9" x14ac:dyDescent="0.2">
      <c r="A558" s="349" t="s">
        <v>341</v>
      </c>
      <c r="B558" s="359">
        <v>51676</v>
      </c>
      <c r="C558" s="349" t="s">
        <v>1866</v>
      </c>
      <c r="D558" s="349" t="s">
        <v>1867</v>
      </c>
      <c r="E558" s="360">
        <v>3152.01</v>
      </c>
      <c r="F558" s="360">
        <v>3152.01</v>
      </c>
      <c r="G558" s="362">
        <v>3940.01</v>
      </c>
      <c r="H558" s="361">
        <v>788</v>
      </c>
      <c r="I558" s="362">
        <v>3940.01</v>
      </c>
    </row>
    <row r="559" spans="1:9" x14ac:dyDescent="0.2">
      <c r="A559" s="349" t="s">
        <v>341</v>
      </c>
      <c r="B559" s="359">
        <v>36619</v>
      </c>
      <c r="C559" s="349" t="s">
        <v>1868</v>
      </c>
      <c r="D559" s="349" t="s">
        <v>1869</v>
      </c>
      <c r="E559" s="363">
        <v>0</v>
      </c>
      <c r="F559" s="360">
        <v>9455.25</v>
      </c>
      <c r="G559" s="362">
        <v>9455.25</v>
      </c>
      <c r="H559" s="361">
        <v>0</v>
      </c>
      <c r="I559" s="361">
        <v>0</v>
      </c>
    </row>
    <row r="560" spans="1:9" x14ac:dyDescent="0.2">
      <c r="A560" s="349" t="s">
        <v>341</v>
      </c>
      <c r="B560" s="359">
        <v>51732</v>
      </c>
      <c r="C560" s="349" t="s">
        <v>1870</v>
      </c>
      <c r="D560" s="349" t="s">
        <v>1871</v>
      </c>
      <c r="E560" s="360">
        <v>2836.8</v>
      </c>
      <c r="F560" s="360">
        <v>2836.8</v>
      </c>
      <c r="G560" s="362">
        <v>5673.6</v>
      </c>
      <c r="H560" s="362">
        <v>2836.8</v>
      </c>
      <c r="I560" s="362">
        <v>5673.6</v>
      </c>
    </row>
    <row r="561" spans="1:9" x14ac:dyDescent="0.2">
      <c r="A561" s="349" t="s">
        <v>341</v>
      </c>
      <c r="B561" s="359">
        <v>52908</v>
      </c>
      <c r="C561" s="349" t="s">
        <v>1872</v>
      </c>
      <c r="D561" s="349" t="s">
        <v>1873</v>
      </c>
      <c r="E561" s="363">
        <v>120</v>
      </c>
      <c r="F561" s="363">
        <v>0</v>
      </c>
      <c r="G561" s="361">
        <v>0</v>
      </c>
      <c r="H561" s="361">
        <v>0</v>
      </c>
      <c r="I561" s="361">
        <v>120</v>
      </c>
    </row>
    <row r="562" spans="1:9" x14ac:dyDescent="0.2">
      <c r="A562" s="349" t="s">
        <v>341</v>
      </c>
      <c r="B562" s="359">
        <v>51808</v>
      </c>
      <c r="C562" s="349" t="s">
        <v>1874</v>
      </c>
      <c r="D562" s="349" t="s">
        <v>1875</v>
      </c>
      <c r="E562" s="363">
        <v>624</v>
      </c>
      <c r="F562" s="363">
        <v>0</v>
      </c>
      <c r="G562" s="361">
        <v>0</v>
      </c>
      <c r="H562" s="361">
        <v>0</v>
      </c>
      <c r="I562" s="361">
        <v>624</v>
      </c>
    </row>
    <row r="563" spans="1:9" x14ac:dyDescent="0.2">
      <c r="A563" s="349" t="s">
        <v>341</v>
      </c>
      <c r="B563" s="359">
        <v>52307</v>
      </c>
      <c r="C563" s="349" t="s">
        <v>1876</v>
      </c>
      <c r="D563" s="349" t="s">
        <v>1877</v>
      </c>
      <c r="E563" s="360">
        <v>1946.4</v>
      </c>
      <c r="F563" s="360">
        <v>1418.4</v>
      </c>
      <c r="G563" s="362">
        <v>1418.4</v>
      </c>
      <c r="H563" s="361">
        <v>0</v>
      </c>
      <c r="I563" s="362">
        <v>1946.4</v>
      </c>
    </row>
    <row r="564" spans="1:9" x14ac:dyDescent="0.2">
      <c r="A564" s="349" t="s">
        <v>341</v>
      </c>
      <c r="B564" s="359">
        <v>51214</v>
      </c>
      <c r="C564" s="349" t="s">
        <v>1878</v>
      </c>
      <c r="D564" s="349" t="s">
        <v>1879</v>
      </c>
      <c r="E564" s="360">
        <v>17728.77</v>
      </c>
      <c r="F564" s="360">
        <v>17728.77</v>
      </c>
      <c r="G564" s="362">
        <v>17728.77</v>
      </c>
      <c r="H564" s="361">
        <v>0</v>
      </c>
      <c r="I564" s="362">
        <v>17728.77</v>
      </c>
    </row>
    <row r="565" spans="1:9" x14ac:dyDescent="0.2">
      <c r="A565" s="349" t="s">
        <v>341</v>
      </c>
      <c r="B565" s="359">
        <v>37671</v>
      </c>
      <c r="C565" s="349" t="s">
        <v>1880</v>
      </c>
      <c r="D565" s="349" t="s">
        <v>1881</v>
      </c>
      <c r="E565" s="363">
        <v>825.19</v>
      </c>
      <c r="F565" s="363">
        <v>0</v>
      </c>
      <c r="G565" s="361">
        <v>0</v>
      </c>
      <c r="H565" s="361">
        <v>0</v>
      </c>
      <c r="I565" s="361">
        <v>825.19</v>
      </c>
    </row>
    <row r="566" spans="1:9" x14ac:dyDescent="0.2">
      <c r="A566" s="349" t="s">
        <v>341</v>
      </c>
      <c r="B566" s="359">
        <v>51103</v>
      </c>
      <c r="C566" s="349" t="s">
        <v>1882</v>
      </c>
      <c r="D566" s="349" t="s">
        <v>1883</v>
      </c>
      <c r="E566" s="360">
        <v>4370.82</v>
      </c>
      <c r="F566" s="363">
        <v>0</v>
      </c>
      <c r="G566" s="361">
        <v>87.5</v>
      </c>
      <c r="H566" s="361">
        <v>87.5</v>
      </c>
      <c r="I566" s="362">
        <v>4458.32</v>
      </c>
    </row>
    <row r="567" spans="1:9" x14ac:dyDescent="0.2">
      <c r="A567" s="349" t="s">
        <v>341</v>
      </c>
      <c r="B567" s="359">
        <v>2017</v>
      </c>
      <c r="C567" s="349" t="s">
        <v>1884</v>
      </c>
      <c r="D567" s="349" t="s">
        <v>1885</v>
      </c>
      <c r="E567" s="360">
        <v>57949.36</v>
      </c>
      <c r="F567" s="360">
        <v>65058.86</v>
      </c>
      <c r="G567" s="362">
        <v>61761.57</v>
      </c>
      <c r="H567" s="362">
        <v>-3297.29</v>
      </c>
      <c r="I567" s="362">
        <v>54652.07</v>
      </c>
    </row>
    <row r="568" spans="1:9" x14ac:dyDescent="0.2">
      <c r="A568" s="349" t="s">
        <v>341</v>
      </c>
      <c r="B568" s="359">
        <v>52790</v>
      </c>
      <c r="C568" s="349" t="s">
        <v>1886</v>
      </c>
      <c r="D568" s="349" t="s">
        <v>1887</v>
      </c>
      <c r="E568" s="360">
        <v>2986.41</v>
      </c>
      <c r="F568" s="360">
        <v>10634.82</v>
      </c>
      <c r="G568" s="362">
        <v>11633.38</v>
      </c>
      <c r="H568" s="361">
        <v>998.56</v>
      </c>
      <c r="I568" s="362">
        <v>3984.97</v>
      </c>
    </row>
    <row r="569" spans="1:9" x14ac:dyDescent="0.2">
      <c r="A569" s="349" t="s">
        <v>341</v>
      </c>
      <c r="B569" s="359">
        <v>52897</v>
      </c>
      <c r="C569" s="349" t="s">
        <v>1888</v>
      </c>
      <c r="D569" s="349" t="s">
        <v>1889</v>
      </c>
      <c r="E569" s="363">
        <v>0</v>
      </c>
      <c r="F569" s="363">
        <v>0</v>
      </c>
      <c r="G569" s="362">
        <v>1142.05</v>
      </c>
      <c r="H569" s="362">
        <v>1142.05</v>
      </c>
      <c r="I569" s="362">
        <v>1142.05</v>
      </c>
    </row>
    <row r="570" spans="1:9" x14ac:dyDescent="0.2">
      <c r="A570" s="349" t="s">
        <v>341</v>
      </c>
      <c r="B570" s="359">
        <v>51332</v>
      </c>
      <c r="C570" s="349" t="s">
        <v>1890</v>
      </c>
      <c r="D570" s="349" t="s">
        <v>1891</v>
      </c>
      <c r="E570" s="360">
        <v>23291.98</v>
      </c>
      <c r="F570" s="360">
        <v>37535.08</v>
      </c>
      <c r="G570" s="362">
        <v>21466.45</v>
      </c>
      <c r="H570" s="362">
        <v>-16068.63</v>
      </c>
      <c r="I570" s="362">
        <v>7223.35</v>
      </c>
    </row>
    <row r="571" spans="1:9" x14ac:dyDescent="0.2">
      <c r="A571" s="349" t="s">
        <v>341</v>
      </c>
      <c r="B571" s="359">
        <v>52860</v>
      </c>
      <c r="C571" s="349" t="s">
        <v>1892</v>
      </c>
      <c r="D571" s="349" t="s">
        <v>1893</v>
      </c>
      <c r="E571" s="360">
        <v>2770.17</v>
      </c>
      <c r="F571" s="363">
        <v>0</v>
      </c>
      <c r="G571" s="361">
        <v>0</v>
      </c>
      <c r="H571" s="361">
        <v>0</v>
      </c>
      <c r="I571" s="362">
        <v>2770.17</v>
      </c>
    </row>
    <row r="572" spans="1:9" x14ac:dyDescent="0.2">
      <c r="A572" s="349" t="s">
        <v>341</v>
      </c>
      <c r="B572" s="359">
        <v>33031</v>
      </c>
      <c r="C572" s="349" t="s">
        <v>1894</v>
      </c>
      <c r="D572" s="349" t="s">
        <v>1895</v>
      </c>
      <c r="E572" s="360">
        <v>13600</v>
      </c>
      <c r="F572" s="360">
        <v>13600</v>
      </c>
      <c r="G572" s="362">
        <v>10800</v>
      </c>
      <c r="H572" s="362">
        <v>-2800</v>
      </c>
      <c r="I572" s="362">
        <v>10800</v>
      </c>
    </row>
    <row r="573" spans="1:9" x14ac:dyDescent="0.2">
      <c r="A573" s="349" t="s">
        <v>341</v>
      </c>
      <c r="B573" s="359">
        <v>52631</v>
      </c>
      <c r="C573" s="349" t="s">
        <v>1896</v>
      </c>
      <c r="D573" s="349" t="s">
        <v>1897</v>
      </c>
      <c r="E573" s="360">
        <v>3439.3</v>
      </c>
      <c r="F573" s="360">
        <v>2742.66</v>
      </c>
      <c r="G573" s="362">
        <v>4380.38</v>
      </c>
      <c r="H573" s="362">
        <v>1637.72</v>
      </c>
      <c r="I573" s="362">
        <v>5077.0200000000004</v>
      </c>
    </row>
    <row r="574" spans="1:9" x14ac:dyDescent="0.2">
      <c r="A574" s="349" t="s">
        <v>341</v>
      </c>
      <c r="B574" s="359">
        <v>52865</v>
      </c>
      <c r="C574" s="349" t="s">
        <v>1898</v>
      </c>
      <c r="D574" s="349" t="s">
        <v>1899</v>
      </c>
      <c r="E574" s="360">
        <v>2055.21</v>
      </c>
      <c r="F574" s="363">
        <v>0</v>
      </c>
      <c r="G574" s="361">
        <v>100.66</v>
      </c>
      <c r="H574" s="361">
        <v>100.66</v>
      </c>
      <c r="I574" s="362">
        <v>2155.87</v>
      </c>
    </row>
    <row r="575" spans="1:9" x14ac:dyDescent="0.2">
      <c r="A575" s="349" t="s">
        <v>341</v>
      </c>
      <c r="B575" s="359">
        <v>52326</v>
      </c>
      <c r="C575" s="349" t="s">
        <v>1900</v>
      </c>
      <c r="D575" s="349" t="s">
        <v>1901</v>
      </c>
      <c r="E575" s="360">
        <v>5269.96</v>
      </c>
      <c r="F575" s="363">
        <v>0</v>
      </c>
      <c r="G575" s="361">
        <v>784.3</v>
      </c>
      <c r="H575" s="361">
        <v>784.3</v>
      </c>
      <c r="I575" s="362">
        <v>6054.26</v>
      </c>
    </row>
    <row r="576" spans="1:9" x14ac:dyDescent="0.2">
      <c r="A576" s="349" t="s">
        <v>341</v>
      </c>
      <c r="B576" s="359">
        <v>52592</v>
      </c>
      <c r="C576" s="349" t="s">
        <v>1902</v>
      </c>
      <c r="D576" s="349" t="s">
        <v>1903</v>
      </c>
      <c r="E576" s="360">
        <v>16907.349999999999</v>
      </c>
      <c r="F576" s="360">
        <v>17953.599999999999</v>
      </c>
      <c r="G576" s="362">
        <v>24543.11</v>
      </c>
      <c r="H576" s="362">
        <v>6589.51</v>
      </c>
      <c r="I576" s="362">
        <v>23496.86</v>
      </c>
    </row>
    <row r="577" spans="1:9" x14ac:dyDescent="0.2">
      <c r="A577" s="349" t="s">
        <v>341</v>
      </c>
      <c r="B577" s="359">
        <v>51192</v>
      </c>
      <c r="C577" s="349" t="s">
        <v>1904</v>
      </c>
      <c r="D577" s="349" t="s">
        <v>1905</v>
      </c>
      <c r="E577" s="360">
        <v>6870.11</v>
      </c>
      <c r="F577" s="360">
        <v>14123.52</v>
      </c>
      <c r="G577" s="362">
        <v>14819.59</v>
      </c>
      <c r="H577" s="361">
        <v>696.07</v>
      </c>
      <c r="I577" s="362">
        <v>7566.18</v>
      </c>
    </row>
    <row r="578" spans="1:9" x14ac:dyDescent="0.2">
      <c r="A578" s="349" t="s">
        <v>341</v>
      </c>
      <c r="B578" s="359">
        <v>2022</v>
      </c>
      <c r="C578" s="349" t="s">
        <v>1906</v>
      </c>
      <c r="D578" s="349" t="s">
        <v>1907</v>
      </c>
      <c r="E578" s="360">
        <v>61075.71</v>
      </c>
      <c r="F578" s="360">
        <v>61075.71</v>
      </c>
      <c r="G578" s="362">
        <v>49705.49</v>
      </c>
      <c r="H578" s="362">
        <v>-11370.22</v>
      </c>
      <c r="I578" s="362">
        <v>49705.49</v>
      </c>
    </row>
    <row r="579" spans="1:9" x14ac:dyDescent="0.2">
      <c r="A579" s="349" t="s">
        <v>341</v>
      </c>
      <c r="B579" s="359">
        <v>2023</v>
      </c>
      <c r="C579" s="349" t="s">
        <v>1908</v>
      </c>
      <c r="D579" s="349" t="s">
        <v>1909</v>
      </c>
      <c r="E579" s="363">
        <v>823.77</v>
      </c>
      <c r="F579" s="363">
        <v>823.77</v>
      </c>
      <c r="G579" s="362">
        <v>7761.45</v>
      </c>
      <c r="H579" s="362">
        <v>6937.68</v>
      </c>
      <c r="I579" s="362">
        <v>7761.45</v>
      </c>
    </row>
    <row r="580" spans="1:9" x14ac:dyDescent="0.2">
      <c r="A580" s="349" t="s">
        <v>341</v>
      </c>
      <c r="B580" s="359">
        <v>2024</v>
      </c>
      <c r="C580" s="349" t="s">
        <v>1910</v>
      </c>
      <c r="D580" s="349" t="s">
        <v>1911</v>
      </c>
      <c r="E580" s="360">
        <v>8385.7999999999993</v>
      </c>
      <c r="F580" s="360">
        <v>9108.2000000000007</v>
      </c>
      <c r="G580" s="362">
        <v>11372</v>
      </c>
      <c r="H580" s="362">
        <v>2263.8000000000002</v>
      </c>
      <c r="I580" s="362">
        <v>10649.6</v>
      </c>
    </row>
    <row r="581" spans="1:9" x14ac:dyDescent="0.2">
      <c r="A581" s="349" t="s">
        <v>341</v>
      </c>
      <c r="B581" s="359">
        <v>2025</v>
      </c>
      <c r="C581" s="349" t="s">
        <v>1912</v>
      </c>
      <c r="D581" s="349" t="s">
        <v>1913</v>
      </c>
      <c r="E581" s="360">
        <v>5769.07</v>
      </c>
      <c r="F581" s="360">
        <v>12664.84</v>
      </c>
      <c r="G581" s="362">
        <v>14248.72</v>
      </c>
      <c r="H581" s="362">
        <v>1583.88</v>
      </c>
      <c r="I581" s="362">
        <v>7352.95</v>
      </c>
    </row>
    <row r="582" spans="1:9" x14ac:dyDescent="0.2">
      <c r="A582" s="349" t="s">
        <v>341</v>
      </c>
      <c r="B582" s="359">
        <v>51485</v>
      </c>
      <c r="C582" s="349" t="s">
        <v>1914</v>
      </c>
      <c r="D582" s="349" t="s">
        <v>1915</v>
      </c>
      <c r="E582" s="360">
        <v>3524.63</v>
      </c>
      <c r="F582" s="360">
        <v>3985.24</v>
      </c>
      <c r="G582" s="362">
        <v>4191.41</v>
      </c>
      <c r="H582" s="361">
        <v>206.17</v>
      </c>
      <c r="I582" s="362">
        <v>3730.8</v>
      </c>
    </row>
    <row r="583" spans="1:9" x14ac:dyDescent="0.2">
      <c r="A583" s="349" t="s">
        <v>341</v>
      </c>
      <c r="B583" s="359">
        <v>51114</v>
      </c>
      <c r="C583" s="349" t="s">
        <v>1916</v>
      </c>
      <c r="D583" s="349" t="s">
        <v>1917</v>
      </c>
      <c r="E583" s="360">
        <v>3302.5</v>
      </c>
      <c r="F583" s="360">
        <v>4070.96</v>
      </c>
      <c r="G583" s="362">
        <v>6491.41</v>
      </c>
      <c r="H583" s="362">
        <v>2420.4499999999998</v>
      </c>
      <c r="I583" s="362">
        <v>5722.95</v>
      </c>
    </row>
    <row r="584" spans="1:9" x14ac:dyDescent="0.2">
      <c r="A584" s="349" t="s">
        <v>341</v>
      </c>
      <c r="B584" s="359">
        <v>51741</v>
      </c>
      <c r="C584" s="349" t="s">
        <v>1918</v>
      </c>
      <c r="D584" s="349" t="s">
        <v>1919</v>
      </c>
      <c r="E584" s="360">
        <v>17061.66</v>
      </c>
      <c r="F584" s="360">
        <v>13564.44</v>
      </c>
      <c r="G584" s="362">
        <v>12125.97</v>
      </c>
      <c r="H584" s="362">
        <v>-1438.47</v>
      </c>
      <c r="I584" s="362">
        <v>15623.19</v>
      </c>
    </row>
    <row r="585" spans="1:9" x14ac:dyDescent="0.2">
      <c r="A585" s="349" t="s">
        <v>341</v>
      </c>
      <c r="B585" s="359">
        <v>38198</v>
      </c>
      <c r="C585" s="349" t="s">
        <v>1920</v>
      </c>
      <c r="D585" s="349" t="s">
        <v>1921</v>
      </c>
      <c r="E585" s="363">
        <v>529.15</v>
      </c>
      <c r="F585" s="363">
        <v>0</v>
      </c>
      <c r="G585" s="361">
        <v>0</v>
      </c>
      <c r="H585" s="361">
        <v>0</v>
      </c>
      <c r="I585" s="361">
        <v>529.15</v>
      </c>
    </row>
    <row r="586" spans="1:9" x14ac:dyDescent="0.2">
      <c r="A586" s="349" t="s">
        <v>341</v>
      </c>
      <c r="B586" s="359">
        <v>37812</v>
      </c>
      <c r="C586" s="349" t="s">
        <v>1922</v>
      </c>
      <c r="D586" s="349" t="s">
        <v>1923</v>
      </c>
      <c r="E586" s="360">
        <v>24200.15</v>
      </c>
      <c r="F586" s="360">
        <v>3283</v>
      </c>
      <c r="G586" s="362">
        <v>4005.42</v>
      </c>
      <c r="H586" s="361">
        <v>722.42</v>
      </c>
      <c r="I586" s="362">
        <v>24922.57</v>
      </c>
    </row>
    <row r="587" spans="1:9" x14ac:dyDescent="0.2">
      <c r="A587" s="349" t="s">
        <v>341</v>
      </c>
      <c r="B587" s="359">
        <v>52070</v>
      </c>
      <c r="C587" s="349" t="s">
        <v>1924</v>
      </c>
      <c r="D587" s="349" t="s">
        <v>1925</v>
      </c>
      <c r="E587" s="360">
        <v>10366.32</v>
      </c>
      <c r="F587" s="360">
        <v>8569.5499999999993</v>
      </c>
      <c r="G587" s="362">
        <v>4317.0600000000004</v>
      </c>
      <c r="H587" s="362">
        <v>-4252.49</v>
      </c>
      <c r="I587" s="362">
        <v>6113.83</v>
      </c>
    </row>
    <row r="588" spans="1:9" x14ac:dyDescent="0.2">
      <c r="A588" s="349" t="s">
        <v>341</v>
      </c>
      <c r="B588" s="359">
        <v>51682</v>
      </c>
      <c r="C588" s="349" t="s">
        <v>1926</v>
      </c>
      <c r="D588" s="349" t="s">
        <v>1927</v>
      </c>
      <c r="E588" s="360">
        <v>4951.3100000000004</v>
      </c>
      <c r="F588" s="360">
        <v>4951.3100000000004</v>
      </c>
      <c r="G588" s="362">
        <v>4697.12</v>
      </c>
      <c r="H588" s="361">
        <v>-254.19</v>
      </c>
      <c r="I588" s="362">
        <v>4697.12</v>
      </c>
    </row>
    <row r="589" spans="1:9" x14ac:dyDescent="0.2">
      <c r="A589" s="349" t="s">
        <v>341</v>
      </c>
      <c r="B589" s="359">
        <v>52346</v>
      </c>
      <c r="C589" s="349" t="s">
        <v>1928</v>
      </c>
      <c r="D589" s="349" t="s">
        <v>1929</v>
      </c>
      <c r="E589" s="360">
        <v>4596.6000000000004</v>
      </c>
      <c r="F589" s="360">
        <v>4596.6000000000004</v>
      </c>
      <c r="G589" s="362">
        <v>5770.2</v>
      </c>
      <c r="H589" s="362">
        <v>1173.5999999999999</v>
      </c>
      <c r="I589" s="362">
        <v>5770.2</v>
      </c>
    </row>
    <row r="590" spans="1:9" x14ac:dyDescent="0.2">
      <c r="A590" s="349" t="s">
        <v>341</v>
      </c>
      <c r="B590" s="359">
        <v>52599</v>
      </c>
      <c r="C590" s="349" t="s">
        <v>1930</v>
      </c>
      <c r="D590" s="349" t="s">
        <v>1931</v>
      </c>
      <c r="E590" s="360">
        <v>2313.66</v>
      </c>
      <c r="F590" s="360">
        <v>2405.84</v>
      </c>
      <c r="G590" s="362">
        <v>3851.85</v>
      </c>
      <c r="H590" s="362">
        <v>1446.01</v>
      </c>
      <c r="I590" s="362">
        <v>3759.67</v>
      </c>
    </row>
    <row r="591" spans="1:9" x14ac:dyDescent="0.2">
      <c r="A591" s="349" t="s">
        <v>341</v>
      </c>
      <c r="B591" s="359">
        <v>53012</v>
      </c>
      <c r="C591" s="349" t="s">
        <v>1932</v>
      </c>
      <c r="D591" s="349" t="s">
        <v>1933</v>
      </c>
      <c r="E591" s="360">
        <v>4930.88</v>
      </c>
      <c r="F591" s="360">
        <v>4840.88</v>
      </c>
      <c r="G591" s="362">
        <v>5892.51</v>
      </c>
      <c r="H591" s="362">
        <v>1051.6300000000001</v>
      </c>
      <c r="I591" s="362">
        <v>5982.51</v>
      </c>
    </row>
    <row r="592" spans="1:9" x14ac:dyDescent="0.2">
      <c r="A592" s="349" t="s">
        <v>341</v>
      </c>
      <c r="B592" s="359">
        <v>2031</v>
      </c>
      <c r="C592" s="349" t="s">
        <v>1934</v>
      </c>
      <c r="D592" s="349" t="s">
        <v>1935</v>
      </c>
      <c r="E592" s="360">
        <v>13613.43</v>
      </c>
      <c r="F592" s="360">
        <v>32367.07</v>
      </c>
      <c r="G592" s="362">
        <v>31622.91</v>
      </c>
      <c r="H592" s="361">
        <v>-744.16</v>
      </c>
      <c r="I592" s="362">
        <v>12869.27</v>
      </c>
    </row>
    <row r="593" spans="1:9" x14ac:dyDescent="0.2">
      <c r="A593" s="349" t="s">
        <v>341</v>
      </c>
      <c r="B593" s="359">
        <v>36875</v>
      </c>
      <c r="C593" s="349" t="s">
        <v>1936</v>
      </c>
      <c r="D593" s="349" t="s">
        <v>1937</v>
      </c>
      <c r="E593" s="360">
        <v>3745.51</v>
      </c>
      <c r="F593" s="360">
        <v>4328.01</v>
      </c>
      <c r="G593" s="362">
        <v>3821.86</v>
      </c>
      <c r="H593" s="361">
        <v>-506.15</v>
      </c>
      <c r="I593" s="362">
        <v>3239.36</v>
      </c>
    </row>
    <row r="594" spans="1:9" x14ac:dyDescent="0.2">
      <c r="A594" s="349" t="s">
        <v>341</v>
      </c>
      <c r="B594" s="359">
        <v>2035</v>
      </c>
      <c r="C594" s="349" t="s">
        <v>1938</v>
      </c>
      <c r="D594" s="349" t="s">
        <v>1939</v>
      </c>
      <c r="E594" s="363">
        <v>0</v>
      </c>
      <c r="F594" s="363">
        <v>0</v>
      </c>
      <c r="G594" s="362">
        <v>60000</v>
      </c>
      <c r="H594" s="362">
        <v>60000</v>
      </c>
      <c r="I594" s="362">
        <v>60000</v>
      </c>
    </row>
    <row r="595" spans="1:9" x14ac:dyDescent="0.2">
      <c r="A595" s="349" t="s">
        <v>341</v>
      </c>
      <c r="B595" s="359">
        <v>2037</v>
      </c>
      <c r="C595" s="349" t="s">
        <v>1940</v>
      </c>
      <c r="D595" s="349" t="s">
        <v>1941</v>
      </c>
      <c r="E595" s="360">
        <v>3009.35</v>
      </c>
      <c r="F595" s="360">
        <v>1779.35</v>
      </c>
      <c r="G595" s="362">
        <v>1525.16</v>
      </c>
      <c r="H595" s="361">
        <v>-254.19</v>
      </c>
      <c r="I595" s="362">
        <v>2755.16</v>
      </c>
    </row>
    <row r="596" spans="1:9" x14ac:dyDescent="0.2">
      <c r="A596" s="349" t="s">
        <v>341</v>
      </c>
      <c r="B596" s="359">
        <v>2040</v>
      </c>
      <c r="C596" s="349" t="s">
        <v>1942</v>
      </c>
      <c r="D596" s="349" t="s">
        <v>1943</v>
      </c>
      <c r="E596" s="363">
        <v>705.88</v>
      </c>
      <c r="F596" s="363">
        <v>0</v>
      </c>
      <c r="G596" s="361">
        <v>0</v>
      </c>
      <c r="H596" s="361">
        <v>0</v>
      </c>
      <c r="I596" s="361">
        <v>705.88</v>
      </c>
    </row>
    <row r="597" spans="1:9" x14ac:dyDescent="0.2">
      <c r="A597" s="349" t="s">
        <v>341</v>
      </c>
      <c r="B597" s="359">
        <v>36661</v>
      </c>
      <c r="C597" s="349" t="s">
        <v>1944</v>
      </c>
      <c r="D597" s="349" t="s">
        <v>1945</v>
      </c>
      <c r="E597" s="360">
        <v>12906.53</v>
      </c>
      <c r="F597" s="360">
        <v>20376.96</v>
      </c>
      <c r="G597" s="362">
        <v>22182.62</v>
      </c>
      <c r="H597" s="362">
        <v>1805.66</v>
      </c>
      <c r="I597" s="362">
        <v>14712.19</v>
      </c>
    </row>
    <row r="598" spans="1:9" x14ac:dyDescent="0.2">
      <c r="A598" s="349" t="s">
        <v>341</v>
      </c>
      <c r="B598" s="359">
        <v>36613</v>
      </c>
      <c r="C598" s="349" t="s">
        <v>1946</v>
      </c>
      <c r="D598" s="349" t="s">
        <v>1947</v>
      </c>
      <c r="E598" s="360">
        <v>3454.67</v>
      </c>
      <c r="F598" s="360">
        <v>2787</v>
      </c>
      <c r="G598" s="362">
        <v>4197</v>
      </c>
      <c r="H598" s="362">
        <v>1410</v>
      </c>
      <c r="I598" s="362">
        <v>4864.67</v>
      </c>
    </row>
    <row r="599" spans="1:9" x14ac:dyDescent="0.2">
      <c r="A599" s="349" t="s">
        <v>341</v>
      </c>
      <c r="B599" s="359">
        <v>2041</v>
      </c>
      <c r="C599" s="349" t="s">
        <v>1948</v>
      </c>
      <c r="D599" s="349" t="s">
        <v>1949</v>
      </c>
      <c r="E599" s="360">
        <v>9853.2800000000007</v>
      </c>
      <c r="F599" s="360">
        <v>9423.2800000000007</v>
      </c>
      <c r="G599" s="362">
        <v>9897.48</v>
      </c>
      <c r="H599" s="361">
        <v>474.2</v>
      </c>
      <c r="I599" s="362">
        <v>10327.48</v>
      </c>
    </row>
    <row r="600" spans="1:9" x14ac:dyDescent="0.2">
      <c r="A600" s="349" t="s">
        <v>341</v>
      </c>
      <c r="B600" s="359">
        <v>52741</v>
      </c>
      <c r="C600" s="349" t="s">
        <v>1950</v>
      </c>
      <c r="D600" s="349" t="s">
        <v>1951</v>
      </c>
      <c r="E600" s="360">
        <v>1962.37</v>
      </c>
      <c r="F600" s="363">
        <v>0</v>
      </c>
      <c r="G600" s="361">
        <v>0</v>
      </c>
      <c r="H600" s="361">
        <v>0</v>
      </c>
      <c r="I600" s="362">
        <v>1962.37</v>
      </c>
    </row>
    <row r="601" spans="1:9" x14ac:dyDescent="0.2">
      <c r="A601" s="349" t="s">
        <v>341</v>
      </c>
      <c r="B601" s="359">
        <v>2042</v>
      </c>
      <c r="C601" s="349" t="s">
        <v>1952</v>
      </c>
      <c r="D601" s="349" t="s">
        <v>1953</v>
      </c>
      <c r="E601" s="363">
        <v>128.03</v>
      </c>
      <c r="F601" s="363">
        <v>0</v>
      </c>
      <c r="G601" s="361">
        <v>0</v>
      </c>
      <c r="H601" s="361">
        <v>0</v>
      </c>
      <c r="I601" s="361">
        <v>128.03</v>
      </c>
    </row>
    <row r="602" spans="1:9" x14ac:dyDescent="0.2">
      <c r="A602" s="349" t="s">
        <v>341</v>
      </c>
      <c r="B602" s="359">
        <v>37830</v>
      </c>
      <c r="C602" s="349" t="s">
        <v>1954</v>
      </c>
      <c r="D602" s="349" t="s">
        <v>1955</v>
      </c>
      <c r="E602" s="360">
        <v>6524.05</v>
      </c>
      <c r="F602" s="360">
        <v>5400</v>
      </c>
      <c r="G602" s="362">
        <v>7200</v>
      </c>
      <c r="H602" s="362">
        <v>1800</v>
      </c>
      <c r="I602" s="362">
        <v>8324.0499999999993</v>
      </c>
    </row>
    <row r="603" spans="1:9" x14ac:dyDescent="0.2">
      <c r="A603" s="349" t="s">
        <v>341</v>
      </c>
      <c r="B603" s="359">
        <v>2043</v>
      </c>
      <c r="C603" s="349" t="s">
        <v>1956</v>
      </c>
      <c r="D603" s="349" t="s">
        <v>1957</v>
      </c>
      <c r="E603" s="360">
        <v>93736.7</v>
      </c>
      <c r="F603" s="360">
        <v>107564.72</v>
      </c>
      <c r="G603" s="362">
        <v>116632.37</v>
      </c>
      <c r="H603" s="362">
        <v>9067.65</v>
      </c>
      <c r="I603" s="362">
        <v>102804.35</v>
      </c>
    </row>
    <row r="604" spans="1:9" x14ac:dyDescent="0.2">
      <c r="A604" s="349" t="s">
        <v>341</v>
      </c>
      <c r="B604" s="359">
        <v>37839</v>
      </c>
      <c r="C604" s="349" t="s">
        <v>1958</v>
      </c>
      <c r="D604" s="349" t="s">
        <v>1959</v>
      </c>
      <c r="E604" s="363">
        <v>23.2</v>
      </c>
      <c r="F604" s="363">
        <v>0</v>
      </c>
      <c r="G604" s="361">
        <v>0</v>
      </c>
      <c r="H604" s="361">
        <v>0</v>
      </c>
      <c r="I604" s="361">
        <v>23.2</v>
      </c>
    </row>
    <row r="605" spans="1:9" x14ac:dyDescent="0.2">
      <c r="A605" s="349" t="s">
        <v>341</v>
      </c>
      <c r="B605" s="359">
        <v>32890</v>
      </c>
      <c r="C605" s="349" t="s">
        <v>1960</v>
      </c>
      <c r="D605" s="349" t="s">
        <v>1961</v>
      </c>
      <c r="E605" s="363">
        <v>163.47</v>
      </c>
      <c r="F605" s="363">
        <v>25</v>
      </c>
      <c r="G605" s="361">
        <v>0</v>
      </c>
      <c r="H605" s="361">
        <v>-25</v>
      </c>
      <c r="I605" s="361">
        <v>138.47</v>
      </c>
    </row>
    <row r="606" spans="1:9" x14ac:dyDescent="0.2">
      <c r="A606" s="349" t="s">
        <v>341</v>
      </c>
      <c r="B606" s="359">
        <v>52698</v>
      </c>
      <c r="C606" s="349" t="s">
        <v>1962</v>
      </c>
      <c r="D606" s="349" t="s">
        <v>1963</v>
      </c>
      <c r="E606" s="360">
        <v>1382.33</v>
      </c>
      <c r="F606" s="363">
        <v>0</v>
      </c>
      <c r="G606" s="361">
        <v>0</v>
      </c>
      <c r="H606" s="361">
        <v>0</v>
      </c>
      <c r="I606" s="362">
        <v>1382.33</v>
      </c>
    </row>
    <row r="607" spans="1:9" x14ac:dyDescent="0.2">
      <c r="A607" s="349" t="s">
        <v>341</v>
      </c>
      <c r="B607" s="359">
        <v>52975</v>
      </c>
      <c r="C607" s="349" t="s">
        <v>1964</v>
      </c>
      <c r="D607" s="349" t="s">
        <v>1965</v>
      </c>
      <c r="E607" s="360">
        <v>6281.27</v>
      </c>
      <c r="F607" s="360">
        <v>6281.27</v>
      </c>
      <c r="G607" s="362">
        <v>7994.34</v>
      </c>
      <c r="H607" s="362">
        <v>1713.07</v>
      </c>
      <c r="I607" s="362">
        <v>7994.34</v>
      </c>
    </row>
    <row r="608" spans="1:9" x14ac:dyDescent="0.2">
      <c r="A608" s="349" t="s">
        <v>341</v>
      </c>
      <c r="B608" s="359">
        <v>38589</v>
      </c>
      <c r="C608" s="349" t="s">
        <v>1966</v>
      </c>
      <c r="D608" s="349" t="s">
        <v>1967</v>
      </c>
      <c r="E608" s="360">
        <v>9417.58</v>
      </c>
      <c r="F608" s="360">
        <v>18212.88</v>
      </c>
      <c r="G608" s="362">
        <v>18570.75</v>
      </c>
      <c r="H608" s="361">
        <v>357.87</v>
      </c>
      <c r="I608" s="362">
        <v>9775.4500000000007</v>
      </c>
    </row>
    <row r="609" spans="1:9" x14ac:dyDescent="0.2">
      <c r="A609" s="349" t="s">
        <v>341</v>
      </c>
      <c r="B609" s="359">
        <v>38285</v>
      </c>
      <c r="C609" s="349" t="s">
        <v>1968</v>
      </c>
      <c r="D609" s="349" t="s">
        <v>1969</v>
      </c>
      <c r="E609" s="360">
        <v>31413.05</v>
      </c>
      <c r="F609" s="360">
        <v>31265.53</v>
      </c>
      <c r="G609" s="362">
        <v>37401.78</v>
      </c>
      <c r="H609" s="362">
        <v>6136.25</v>
      </c>
      <c r="I609" s="362">
        <v>37549.300000000003</v>
      </c>
    </row>
    <row r="610" spans="1:9" x14ac:dyDescent="0.2">
      <c r="A610" s="349" t="s">
        <v>341</v>
      </c>
      <c r="B610" s="359">
        <v>51671</v>
      </c>
      <c r="C610" s="349" t="s">
        <v>1970</v>
      </c>
      <c r="D610" s="349" t="s">
        <v>1971</v>
      </c>
      <c r="E610" s="360">
        <v>1013.07</v>
      </c>
      <c r="F610" s="360">
        <v>16910.97</v>
      </c>
      <c r="G610" s="362">
        <v>18561.09</v>
      </c>
      <c r="H610" s="362">
        <v>1650.12</v>
      </c>
      <c r="I610" s="362">
        <v>2663.19</v>
      </c>
    </row>
    <row r="611" spans="1:9" x14ac:dyDescent="0.2">
      <c r="A611" s="349" t="s">
        <v>341</v>
      </c>
      <c r="B611" s="359">
        <v>52718</v>
      </c>
      <c r="C611" s="349" t="s">
        <v>1972</v>
      </c>
      <c r="D611" s="349" t="s">
        <v>1973</v>
      </c>
      <c r="E611" s="363">
        <v>388.8</v>
      </c>
      <c r="F611" s="363">
        <v>0</v>
      </c>
      <c r="G611" s="361">
        <v>0</v>
      </c>
      <c r="H611" s="361">
        <v>0</v>
      </c>
      <c r="I611" s="361">
        <v>388.8</v>
      </c>
    </row>
    <row r="612" spans="1:9" x14ac:dyDescent="0.2">
      <c r="A612" s="349" t="s">
        <v>341</v>
      </c>
      <c r="B612" s="359">
        <v>51113</v>
      </c>
      <c r="C612" s="349" t="s">
        <v>1974</v>
      </c>
      <c r="D612" s="349" t="s">
        <v>1975</v>
      </c>
      <c r="E612" s="360">
        <v>3104</v>
      </c>
      <c r="F612" s="360">
        <v>2967</v>
      </c>
      <c r="G612" s="361">
        <v>516</v>
      </c>
      <c r="H612" s="362">
        <v>-2451</v>
      </c>
      <c r="I612" s="361">
        <v>653</v>
      </c>
    </row>
    <row r="613" spans="1:9" x14ac:dyDescent="0.2">
      <c r="A613" s="349" t="s">
        <v>341</v>
      </c>
      <c r="B613" s="359">
        <v>52050</v>
      </c>
      <c r="C613" s="349" t="s">
        <v>1976</v>
      </c>
      <c r="D613" s="349" t="s">
        <v>1977</v>
      </c>
      <c r="E613" s="360">
        <v>5123.42</v>
      </c>
      <c r="F613" s="360">
        <v>4416.91</v>
      </c>
      <c r="G613" s="362">
        <v>6474.66</v>
      </c>
      <c r="H613" s="362">
        <v>2057.75</v>
      </c>
      <c r="I613" s="362">
        <v>7181.17</v>
      </c>
    </row>
    <row r="614" spans="1:9" x14ac:dyDescent="0.2">
      <c r="A614" s="349" t="s">
        <v>341</v>
      </c>
      <c r="B614" s="359">
        <v>53186</v>
      </c>
      <c r="C614" s="349" t="s">
        <v>1978</v>
      </c>
      <c r="D614" s="349" t="s">
        <v>1979</v>
      </c>
      <c r="E614" s="360">
        <v>5271.03</v>
      </c>
      <c r="F614" s="360">
        <v>31132.13</v>
      </c>
      <c r="G614" s="362">
        <v>30403.07</v>
      </c>
      <c r="H614" s="361">
        <v>-729.06</v>
      </c>
      <c r="I614" s="362">
        <v>4541.97</v>
      </c>
    </row>
    <row r="615" spans="1:9" x14ac:dyDescent="0.2">
      <c r="A615" s="349" t="s">
        <v>341</v>
      </c>
      <c r="B615" s="359">
        <v>53187</v>
      </c>
      <c r="C615" s="349" t="s">
        <v>1980</v>
      </c>
      <c r="D615" s="349" t="s">
        <v>1981</v>
      </c>
      <c r="E615" s="363">
        <v>608</v>
      </c>
      <c r="F615" s="363">
        <v>0</v>
      </c>
      <c r="G615" s="361">
        <v>0</v>
      </c>
      <c r="H615" s="361">
        <v>0</v>
      </c>
      <c r="I615" s="361">
        <v>608</v>
      </c>
    </row>
    <row r="616" spans="1:9" x14ac:dyDescent="0.2">
      <c r="A616" s="349" t="s">
        <v>341</v>
      </c>
      <c r="B616" s="359">
        <v>53007</v>
      </c>
      <c r="C616" s="349" t="s">
        <v>1982</v>
      </c>
      <c r="D616" s="349" t="s">
        <v>1983</v>
      </c>
      <c r="E616" s="363">
        <v>404</v>
      </c>
      <c r="F616" s="363">
        <v>404</v>
      </c>
      <c r="G616" s="361">
        <v>822.39</v>
      </c>
      <c r="H616" s="361">
        <v>418.39</v>
      </c>
      <c r="I616" s="361">
        <v>822.39</v>
      </c>
    </row>
    <row r="617" spans="1:9" x14ac:dyDescent="0.2">
      <c r="A617" s="349" t="s">
        <v>341</v>
      </c>
      <c r="B617" s="359">
        <v>53008</v>
      </c>
      <c r="C617" s="349" t="s">
        <v>1984</v>
      </c>
      <c r="D617" s="349" t="s">
        <v>1985</v>
      </c>
      <c r="E617" s="360">
        <v>5635.89</v>
      </c>
      <c r="F617" s="360">
        <v>3257.33</v>
      </c>
      <c r="G617" s="362">
        <v>2861.23</v>
      </c>
      <c r="H617" s="361">
        <v>-396.1</v>
      </c>
      <c r="I617" s="362">
        <v>5239.79</v>
      </c>
    </row>
    <row r="618" spans="1:9" x14ac:dyDescent="0.2">
      <c r="A618" s="349" t="s">
        <v>341</v>
      </c>
      <c r="B618" s="359">
        <v>53022</v>
      </c>
      <c r="C618" s="349" t="s">
        <v>1986</v>
      </c>
      <c r="D618" s="349" t="s">
        <v>1987</v>
      </c>
      <c r="E618" s="363">
        <v>93.1</v>
      </c>
      <c r="F618" s="363">
        <v>0</v>
      </c>
      <c r="G618" s="361">
        <v>0</v>
      </c>
      <c r="H618" s="361">
        <v>0</v>
      </c>
      <c r="I618" s="361">
        <v>93.1</v>
      </c>
    </row>
    <row r="619" spans="1:9" x14ac:dyDescent="0.2">
      <c r="A619" s="349" t="s">
        <v>341</v>
      </c>
      <c r="B619" s="359">
        <v>53023</v>
      </c>
      <c r="C619" s="349" t="s">
        <v>1988</v>
      </c>
      <c r="D619" s="349" t="s">
        <v>1989</v>
      </c>
      <c r="E619" s="363">
        <v>228</v>
      </c>
      <c r="F619" s="363">
        <v>0</v>
      </c>
      <c r="G619" s="361">
        <v>0</v>
      </c>
      <c r="H619" s="361">
        <v>0</v>
      </c>
      <c r="I619" s="361">
        <v>228</v>
      </c>
    </row>
    <row r="620" spans="1:9" x14ac:dyDescent="0.2">
      <c r="A620" s="349" t="s">
        <v>341</v>
      </c>
      <c r="B620" s="359">
        <v>53051</v>
      </c>
      <c r="C620" s="349" t="s">
        <v>1990</v>
      </c>
      <c r="D620" s="349" t="s">
        <v>1991</v>
      </c>
      <c r="E620" s="360">
        <v>12900</v>
      </c>
      <c r="F620" s="360">
        <v>13934.9</v>
      </c>
      <c r="G620" s="362">
        <v>14725.9</v>
      </c>
      <c r="H620" s="361">
        <v>791</v>
      </c>
      <c r="I620" s="362">
        <v>13691</v>
      </c>
    </row>
    <row r="621" spans="1:9" x14ac:dyDescent="0.2">
      <c r="A621" s="349" t="s">
        <v>341</v>
      </c>
      <c r="B621" s="359">
        <v>53081</v>
      </c>
      <c r="C621" s="349" t="s">
        <v>1992</v>
      </c>
      <c r="D621" s="349" t="s">
        <v>1993</v>
      </c>
      <c r="E621" s="360">
        <v>57347.69</v>
      </c>
      <c r="F621" s="360">
        <v>56926.17</v>
      </c>
      <c r="G621" s="362">
        <v>53967.69</v>
      </c>
      <c r="H621" s="362">
        <v>-2958.48</v>
      </c>
      <c r="I621" s="362">
        <v>54389.21</v>
      </c>
    </row>
    <row r="622" spans="1:9" x14ac:dyDescent="0.2">
      <c r="A622" s="349" t="s">
        <v>341</v>
      </c>
      <c r="B622" s="359">
        <v>53091</v>
      </c>
      <c r="C622" s="349" t="s">
        <v>1994</v>
      </c>
      <c r="D622" s="349" t="s">
        <v>1995</v>
      </c>
      <c r="E622" s="360">
        <v>14020.88</v>
      </c>
      <c r="F622" s="360">
        <v>14216.12</v>
      </c>
      <c r="G622" s="362">
        <v>22113.08</v>
      </c>
      <c r="H622" s="362">
        <v>7896.96</v>
      </c>
      <c r="I622" s="362">
        <v>21917.84</v>
      </c>
    </row>
    <row r="623" spans="1:9" x14ac:dyDescent="0.2">
      <c r="A623" s="349" t="s">
        <v>341</v>
      </c>
      <c r="B623" s="359">
        <v>53092</v>
      </c>
      <c r="C623" s="349" t="s">
        <v>1996</v>
      </c>
      <c r="D623" s="349" t="s">
        <v>1997</v>
      </c>
      <c r="E623" s="360">
        <v>1683.54</v>
      </c>
      <c r="F623" s="363">
        <v>0</v>
      </c>
      <c r="G623" s="361">
        <v>0</v>
      </c>
      <c r="H623" s="361">
        <v>0</v>
      </c>
      <c r="I623" s="362">
        <v>1683.54</v>
      </c>
    </row>
    <row r="624" spans="1:9" x14ac:dyDescent="0.2">
      <c r="A624" s="349" t="s">
        <v>341</v>
      </c>
      <c r="B624" s="359">
        <v>53115</v>
      </c>
      <c r="C624" s="349" t="s">
        <v>1998</v>
      </c>
      <c r="D624" s="349" t="s">
        <v>1999</v>
      </c>
      <c r="E624" s="360">
        <v>3466.04</v>
      </c>
      <c r="F624" s="360">
        <v>3670.03</v>
      </c>
      <c r="G624" s="362">
        <v>5328.94</v>
      </c>
      <c r="H624" s="362">
        <v>1658.91</v>
      </c>
      <c r="I624" s="362">
        <v>5124.95</v>
      </c>
    </row>
    <row r="625" spans="1:9" x14ac:dyDescent="0.2">
      <c r="A625" s="349" t="s">
        <v>341</v>
      </c>
      <c r="B625" s="359">
        <v>53116</v>
      </c>
      <c r="C625" s="349" t="s">
        <v>2000</v>
      </c>
      <c r="D625" s="349" t="s">
        <v>2001</v>
      </c>
      <c r="E625" s="360">
        <v>12787.51</v>
      </c>
      <c r="F625" s="360">
        <v>13455.11</v>
      </c>
      <c r="G625" s="362">
        <v>19254.38</v>
      </c>
      <c r="H625" s="362">
        <v>5799.27</v>
      </c>
      <c r="I625" s="362">
        <v>18586.78</v>
      </c>
    </row>
    <row r="626" spans="1:9" x14ac:dyDescent="0.2">
      <c r="A626" s="349" t="s">
        <v>341</v>
      </c>
      <c r="B626" s="359">
        <v>53125</v>
      </c>
      <c r="C626" s="349" t="s">
        <v>2002</v>
      </c>
      <c r="D626" s="349" t="s">
        <v>2003</v>
      </c>
      <c r="E626" s="360">
        <v>2364.0100000000002</v>
      </c>
      <c r="F626" s="360">
        <v>2364.0100000000002</v>
      </c>
      <c r="G626" s="362">
        <v>5256.45</v>
      </c>
      <c r="H626" s="362">
        <v>2892.44</v>
      </c>
      <c r="I626" s="362">
        <v>5256.45</v>
      </c>
    </row>
    <row r="627" spans="1:9" x14ac:dyDescent="0.2">
      <c r="A627" s="349" t="s">
        <v>341</v>
      </c>
      <c r="B627" s="359">
        <v>53127</v>
      </c>
      <c r="C627" s="349" t="s">
        <v>2004</v>
      </c>
      <c r="D627" s="349" t="s">
        <v>2005</v>
      </c>
      <c r="E627" s="360">
        <v>1760</v>
      </c>
      <c r="F627" s="360">
        <v>2105.14</v>
      </c>
      <c r="G627" s="362">
        <v>2371.14</v>
      </c>
      <c r="H627" s="361">
        <v>266</v>
      </c>
      <c r="I627" s="362">
        <v>2026</v>
      </c>
    </row>
    <row r="628" spans="1:9" x14ac:dyDescent="0.2">
      <c r="A628" s="349" t="s">
        <v>341</v>
      </c>
      <c r="B628" s="359">
        <v>53026</v>
      </c>
      <c r="C628" s="349" t="s">
        <v>2006</v>
      </c>
      <c r="D628" s="349" t="s">
        <v>2007</v>
      </c>
      <c r="E628" s="363">
        <v>231.53</v>
      </c>
      <c r="F628" s="363">
        <v>0</v>
      </c>
      <c r="G628" s="361">
        <v>0</v>
      </c>
      <c r="H628" s="361">
        <v>0</v>
      </c>
      <c r="I628" s="361">
        <v>231.53</v>
      </c>
    </row>
    <row r="629" spans="1:9" x14ac:dyDescent="0.2">
      <c r="A629" s="349" t="s">
        <v>341</v>
      </c>
      <c r="B629" s="359">
        <v>53088</v>
      </c>
      <c r="C629" s="349" t="s">
        <v>2008</v>
      </c>
      <c r="D629" s="349" t="s">
        <v>2009</v>
      </c>
      <c r="E629" s="360">
        <v>13293.96</v>
      </c>
      <c r="F629" s="360">
        <v>13433.96</v>
      </c>
      <c r="G629" s="362">
        <v>4956.6499999999996</v>
      </c>
      <c r="H629" s="362">
        <v>-8477.31</v>
      </c>
      <c r="I629" s="362">
        <v>4816.6499999999996</v>
      </c>
    </row>
    <row r="630" spans="1:9" x14ac:dyDescent="0.2">
      <c r="A630" s="349" t="s">
        <v>341</v>
      </c>
      <c r="B630" s="359">
        <v>52197</v>
      </c>
      <c r="C630" s="349" t="s">
        <v>2010</v>
      </c>
      <c r="D630" s="349" t="s">
        <v>2011</v>
      </c>
      <c r="E630" s="363">
        <v>997.92</v>
      </c>
      <c r="F630" s="363">
        <v>336</v>
      </c>
      <c r="G630" s="361">
        <v>661.92</v>
      </c>
      <c r="H630" s="361">
        <v>325.92</v>
      </c>
      <c r="I630" s="362">
        <v>1323.84</v>
      </c>
    </row>
    <row r="631" spans="1:9" x14ac:dyDescent="0.2">
      <c r="A631" s="349" t="s">
        <v>341</v>
      </c>
      <c r="B631" s="359">
        <v>53196</v>
      </c>
      <c r="C631" s="349" t="s">
        <v>2012</v>
      </c>
      <c r="D631" s="349" t="s">
        <v>2013</v>
      </c>
      <c r="E631" s="363">
        <v>528</v>
      </c>
      <c r="F631" s="363">
        <v>0</v>
      </c>
      <c r="G631" s="361">
        <v>382.8</v>
      </c>
      <c r="H631" s="361">
        <v>382.8</v>
      </c>
      <c r="I631" s="361">
        <v>910.8</v>
      </c>
    </row>
    <row r="632" spans="1:9" x14ac:dyDescent="0.2">
      <c r="A632" s="349" t="s">
        <v>341</v>
      </c>
      <c r="B632" s="359">
        <v>53198</v>
      </c>
      <c r="C632" s="349" t="s">
        <v>2014</v>
      </c>
      <c r="D632" s="349" t="s">
        <v>2015</v>
      </c>
      <c r="E632" s="360">
        <v>1759.81</v>
      </c>
      <c r="F632" s="363">
        <v>889.5</v>
      </c>
      <c r="G632" s="362">
        <v>2571.12</v>
      </c>
      <c r="H632" s="362">
        <v>1681.62</v>
      </c>
      <c r="I632" s="362">
        <v>3441.43</v>
      </c>
    </row>
    <row r="633" spans="1:9" x14ac:dyDescent="0.2">
      <c r="A633" s="349" t="s">
        <v>341</v>
      </c>
      <c r="B633" s="359">
        <v>53200</v>
      </c>
      <c r="C633" s="349" t="s">
        <v>2016</v>
      </c>
      <c r="D633" s="349" t="s">
        <v>2017</v>
      </c>
      <c r="E633" s="360">
        <v>2781.3</v>
      </c>
      <c r="F633" s="360">
        <v>4857.5200000000004</v>
      </c>
      <c r="G633" s="362">
        <v>5651.62</v>
      </c>
      <c r="H633" s="361">
        <v>794.1</v>
      </c>
      <c r="I633" s="362">
        <v>3575.4</v>
      </c>
    </row>
    <row r="634" spans="1:9" x14ac:dyDescent="0.2">
      <c r="A634" s="349" t="s">
        <v>341</v>
      </c>
      <c r="B634" s="359">
        <v>53201</v>
      </c>
      <c r="C634" s="349" t="s">
        <v>2018</v>
      </c>
      <c r="D634" s="349" t="s">
        <v>2019</v>
      </c>
      <c r="E634" s="360">
        <v>1164.3800000000001</v>
      </c>
      <c r="F634" s="360">
        <v>2703.64</v>
      </c>
      <c r="G634" s="362">
        <v>2703.64</v>
      </c>
      <c r="H634" s="361">
        <v>0</v>
      </c>
      <c r="I634" s="362">
        <v>1164.3800000000001</v>
      </c>
    </row>
    <row r="635" spans="1:9" x14ac:dyDescent="0.2">
      <c r="A635" s="349" t="s">
        <v>341</v>
      </c>
      <c r="B635" s="359">
        <v>53202</v>
      </c>
      <c r="C635" s="349" t="s">
        <v>2020</v>
      </c>
      <c r="D635" s="349" t="s">
        <v>2021</v>
      </c>
      <c r="E635" s="360">
        <v>1013.07</v>
      </c>
      <c r="F635" s="360">
        <v>1013.07</v>
      </c>
      <c r="G635" s="361">
        <v>514.25</v>
      </c>
      <c r="H635" s="361">
        <v>-498.82</v>
      </c>
      <c r="I635" s="361">
        <v>514.25</v>
      </c>
    </row>
    <row r="636" spans="1:9" x14ac:dyDescent="0.2">
      <c r="A636" s="349" t="s">
        <v>341</v>
      </c>
      <c r="B636" s="359">
        <v>53220</v>
      </c>
      <c r="C636" s="349" t="s">
        <v>2022</v>
      </c>
      <c r="D636" s="349" t="s">
        <v>2023</v>
      </c>
      <c r="E636" s="360">
        <v>1137.6300000000001</v>
      </c>
      <c r="F636" s="363">
        <v>0</v>
      </c>
      <c r="G636" s="361">
        <v>0</v>
      </c>
      <c r="H636" s="361">
        <v>0</v>
      </c>
      <c r="I636" s="362">
        <v>1137.6300000000001</v>
      </c>
    </row>
    <row r="637" spans="1:9" x14ac:dyDescent="0.2">
      <c r="A637" s="349" t="s">
        <v>341</v>
      </c>
      <c r="B637" s="359">
        <v>53230</v>
      </c>
      <c r="C637" s="349" t="s">
        <v>2024</v>
      </c>
      <c r="D637" s="349" t="s">
        <v>2025</v>
      </c>
      <c r="E637" s="360">
        <v>2419.1</v>
      </c>
      <c r="F637" s="360">
        <v>8688.66</v>
      </c>
      <c r="G637" s="362">
        <v>7372.57</v>
      </c>
      <c r="H637" s="362">
        <v>-1316.09</v>
      </c>
      <c r="I637" s="362">
        <v>1103.01</v>
      </c>
    </row>
    <row r="638" spans="1:9" x14ac:dyDescent="0.2">
      <c r="A638" s="349" t="s">
        <v>341</v>
      </c>
      <c r="B638" s="359">
        <v>53240</v>
      </c>
      <c r="C638" s="349" t="s">
        <v>2026</v>
      </c>
      <c r="D638" s="349" t="s">
        <v>2027</v>
      </c>
      <c r="E638" s="360">
        <v>3731.5</v>
      </c>
      <c r="F638" s="360">
        <v>4221.5</v>
      </c>
      <c r="G638" s="362">
        <v>3447.78</v>
      </c>
      <c r="H638" s="361">
        <v>-773.72</v>
      </c>
      <c r="I638" s="362">
        <v>2957.78</v>
      </c>
    </row>
    <row r="639" spans="1:9" x14ac:dyDescent="0.2">
      <c r="A639" s="349" t="s">
        <v>341</v>
      </c>
      <c r="B639" s="359">
        <v>53243</v>
      </c>
      <c r="C639" s="349" t="s">
        <v>2028</v>
      </c>
      <c r="D639" s="349" t="s">
        <v>2029</v>
      </c>
      <c r="E639" s="360">
        <v>5018.13</v>
      </c>
      <c r="F639" s="360">
        <v>6881.45</v>
      </c>
      <c r="G639" s="362">
        <v>7302.31</v>
      </c>
      <c r="H639" s="361">
        <v>420.86</v>
      </c>
      <c r="I639" s="362">
        <v>5438.99</v>
      </c>
    </row>
    <row r="640" spans="1:9" x14ac:dyDescent="0.2">
      <c r="A640" s="349" t="s">
        <v>341</v>
      </c>
      <c r="B640" s="359">
        <v>53257</v>
      </c>
      <c r="C640" s="349" t="s">
        <v>2030</v>
      </c>
      <c r="D640" s="349" t="s">
        <v>2031</v>
      </c>
      <c r="E640" s="360">
        <v>19544</v>
      </c>
      <c r="F640" s="360">
        <v>19544</v>
      </c>
      <c r="G640" s="362">
        <v>3485</v>
      </c>
      <c r="H640" s="362">
        <v>-16059</v>
      </c>
      <c r="I640" s="362">
        <v>3485</v>
      </c>
    </row>
    <row r="641" spans="1:9" x14ac:dyDescent="0.2">
      <c r="A641" s="349" t="s">
        <v>341</v>
      </c>
      <c r="B641" s="359">
        <v>53282</v>
      </c>
      <c r="C641" s="349" t="s">
        <v>2032</v>
      </c>
      <c r="D641" s="349" t="s">
        <v>2033</v>
      </c>
      <c r="E641" s="360">
        <v>1897.62</v>
      </c>
      <c r="F641" s="360">
        <v>1837.62</v>
      </c>
      <c r="G641" s="362">
        <v>2089.1</v>
      </c>
      <c r="H641" s="361">
        <v>251.48</v>
      </c>
      <c r="I641" s="362">
        <v>2149.1</v>
      </c>
    </row>
    <row r="642" spans="1:9" x14ac:dyDescent="0.2">
      <c r="A642" s="349" t="s">
        <v>341</v>
      </c>
      <c r="B642" s="359">
        <v>53286</v>
      </c>
      <c r="C642" s="349" t="s">
        <v>2034</v>
      </c>
      <c r="D642" s="349" t="s">
        <v>2035</v>
      </c>
      <c r="E642" s="360">
        <v>1598.64</v>
      </c>
      <c r="F642" s="360">
        <v>2738.73</v>
      </c>
      <c r="G642" s="362">
        <v>2827.41</v>
      </c>
      <c r="H642" s="361">
        <v>88.68</v>
      </c>
      <c r="I642" s="362">
        <v>1687.32</v>
      </c>
    </row>
    <row r="643" spans="1:9" x14ac:dyDescent="0.2">
      <c r="A643" s="349" t="s">
        <v>341</v>
      </c>
      <c r="B643" s="359">
        <v>53288</v>
      </c>
      <c r="C643" s="349" t="s">
        <v>2036</v>
      </c>
      <c r="D643" s="349" t="s">
        <v>2037</v>
      </c>
      <c r="E643" s="363">
        <v>0</v>
      </c>
      <c r="F643" s="363">
        <v>0</v>
      </c>
      <c r="G643" s="362">
        <v>2284.1</v>
      </c>
      <c r="H643" s="362">
        <v>2284.1</v>
      </c>
      <c r="I643" s="362">
        <v>2284.1</v>
      </c>
    </row>
    <row r="644" spans="1:9" x14ac:dyDescent="0.2">
      <c r="A644" s="349" t="s">
        <v>341</v>
      </c>
      <c r="B644" s="359">
        <v>53303</v>
      </c>
      <c r="C644" s="349" t="s">
        <v>2038</v>
      </c>
      <c r="D644" s="349" t="s">
        <v>2039</v>
      </c>
      <c r="E644" s="363">
        <v>416.1</v>
      </c>
      <c r="F644" s="363">
        <v>0</v>
      </c>
      <c r="G644" s="361">
        <v>0</v>
      </c>
      <c r="H644" s="361">
        <v>0</v>
      </c>
      <c r="I644" s="361">
        <v>416.1</v>
      </c>
    </row>
    <row r="645" spans="1:9" x14ac:dyDescent="0.2">
      <c r="A645" s="349" t="s">
        <v>341</v>
      </c>
      <c r="B645" s="359">
        <v>53306</v>
      </c>
      <c r="C645" s="349" t="s">
        <v>2040</v>
      </c>
      <c r="D645" s="349" t="s">
        <v>2041</v>
      </c>
      <c r="E645" s="363">
        <v>671.26</v>
      </c>
      <c r="F645" s="363">
        <v>0</v>
      </c>
      <c r="G645" s="361">
        <v>62.72</v>
      </c>
      <c r="H645" s="361">
        <v>62.72</v>
      </c>
      <c r="I645" s="361">
        <v>733.98</v>
      </c>
    </row>
    <row r="646" spans="1:9" x14ac:dyDescent="0.2">
      <c r="A646" s="349" t="s">
        <v>341</v>
      </c>
      <c r="B646" s="359">
        <v>53309</v>
      </c>
      <c r="C646" s="349" t="s">
        <v>2042</v>
      </c>
      <c r="D646" s="349" t="s">
        <v>2043</v>
      </c>
      <c r="E646" s="360">
        <v>1785.64</v>
      </c>
      <c r="F646" s="363">
        <v>0</v>
      </c>
      <c r="G646" s="361">
        <v>509.74</v>
      </c>
      <c r="H646" s="361">
        <v>509.74</v>
      </c>
      <c r="I646" s="362">
        <v>2295.38</v>
      </c>
    </row>
    <row r="647" spans="1:9" x14ac:dyDescent="0.2">
      <c r="A647" s="349" t="s">
        <v>341</v>
      </c>
      <c r="B647" s="359">
        <v>53318</v>
      </c>
      <c r="C647" s="349" t="s">
        <v>2044</v>
      </c>
      <c r="D647" s="349" t="s">
        <v>2045</v>
      </c>
      <c r="E647" s="360">
        <v>2477.2199999999998</v>
      </c>
      <c r="F647" s="360">
        <v>1120.99</v>
      </c>
      <c r="G647" s="362">
        <v>2309.9699999999998</v>
      </c>
      <c r="H647" s="362">
        <v>1188.98</v>
      </c>
      <c r="I647" s="362">
        <v>3666.2</v>
      </c>
    </row>
    <row r="648" spans="1:9" x14ac:dyDescent="0.2">
      <c r="A648" s="349" t="s">
        <v>341</v>
      </c>
      <c r="B648" s="359">
        <v>53321</v>
      </c>
      <c r="C648" s="349" t="s">
        <v>2046</v>
      </c>
      <c r="D648" s="349" t="s">
        <v>2047</v>
      </c>
      <c r="E648" s="360">
        <v>4393.18</v>
      </c>
      <c r="F648" s="360">
        <v>4742.05</v>
      </c>
      <c r="G648" s="362">
        <v>4076.97</v>
      </c>
      <c r="H648" s="361">
        <v>-665.08</v>
      </c>
      <c r="I648" s="362">
        <v>3728.1</v>
      </c>
    </row>
    <row r="649" spans="1:9" x14ac:dyDescent="0.2">
      <c r="A649" s="349" t="s">
        <v>341</v>
      </c>
      <c r="B649" s="359">
        <v>53324</v>
      </c>
      <c r="C649" s="349" t="s">
        <v>2048</v>
      </c>
      <c r="D649" s="349" t="s">
        <v>2049</v>
      </c>
      <c r="E649" s="363">
        <v>976.75</v>
      </c>
      <c r="F649" s="363">
        <v>0</v>
      </c>
      <c r="G649" s="361">
        <v>779.68</v>
      </c>
      <c r="H649" s="361">
        <v>779.68</v>
      </c>
      <c r="I649" s="362">
        <v>1756.43</v>
      </c>
    </row>
    <row r="650" spans="1:9" x14ac:dyDescent="0.2">
      <c r="A650" s="349" t="s">
        <v>341</v>
      </c>
      <c r="B650" s="359">
        <v>53004</v>
      </c>
      <c r="C650" s="349" t="s">
        <v>2050</v>
      </c>
      <c r="D650" s="349" t="s">
        <v>2051</v>
      </c>
      <c r="E650" s="363">
        <v>187.43</v>
      </c>
      <c r="F650" s="363">
        <v>0</v>
      </c>
      <c r="G650" s="361">
        <v>0</v>
      </c>
      <c r="H650" s="361">
        <v>0</v>
      </c>
      <c r="I650" s="361">
        <v>187.43</v>
      </c>
    </row>
    <row r="651" spans="1:9" x14ac:dyDescent="0.2">
      <c r="A651" s="349" t="s">
        <v>341</v>
      </c>
      <c r="B651" s="359">
        <v>38003</v>
      </c>
      <c r="C651" s="349" t="s">
        <v>2052</v>
      </c>
      <c r="D651" s="349" t="s">
        <v>2053</v>
      </c>
      <c r="E651" s="363">
        <v>46.06</v>
      </c>
      <c r="F651" s="363">
        <v>0</v>
      </c>
      <c r="G651" s="361">
        <v>0</v>
      </c>
      <c r="H651" s="361">
        <v>0</v>
      </c>
      <c r="I651" s="361">
        <v>46.06</v>
      </c>
    </row>
    <row r="652" spans="1:9" x14ac:dyDescent="0.2">
      <c r="A652" s="349" t="s">
        <v>341</v>
      </c>
      <c r="B652" s="359">
        <v>53345</v>
      </c>
      <c r="C652" s="349" t="s">
        <v>2054</v>
      </c>
      <c r="D652" s="349" t="s">
        <v>2055</v>
      </c>
      <c r="E652" s="363">
        <v>225.16</v>
      </c>
      <c r="F652" s="363">
        <v>0</v>
      </c>
      <c r="G652" s="361">
        <v>62.72</v>
      </c>
      <c r="H652" s="361">
        <v>62.72</v>
      </c>
      <c r="I652" s="361">
        <v>287.88</v>
      </c>
    </row>
    <row r="653" spans="1:9" x14ac:dyDescent="0.2">
      <c r="A653" s="349" t="s">
        <v>341</v>
      </c>
      <c r="B653" s="359">
        <v>38027</v>
      </c>
      <c r="C653" s="349" t="s">
        <v>2056</v>
      </c>
      <c r="D653" s="349" t="s">
        <v>2057</v>
      </c>
      <c r="E653" s="360">
        <v>23494.93</v>
      </c>
      <c r="F653" s="360">
        <v>11196.93</v>
      </c>
      <c r="G653" s="362">
        <v>9776</v>
      </c>
      <c r="H653" s="362">
        <v>-1420.93</v>
      </c>
      <c r="I653" s="362">
        <v>22074</v>
      </c>
    </row>
    <row r="654" spans="1:9" x14ac:dyDescent="0.2">
      <c r="A654" s="349" t="s">
        <v>341</v>
      </c>
      <c r="B654" s="359">
        <v>53360</v>
      </c>
      <c r="C654" s="349" t="s">
        <v>2058</v>
      </c>
      <c r="D654" s="349" t="s">
        <v>2059</v>
      </c>
      <c r="E654" s="360">
        <v>8956.0300000000007</v>
      </c>
      <c r="F654" s="360">
        <v>2453.21</v>
      </c>
      <c r="G654" s="362">
        <v>3476.21</v>
      </c>
      <c r="H654" s="362">
        <v>1023</v>
      </c>
      <c r="I654" s="362">
        <v>9979.0300000000007</v>
      </c>
    </row>
    <row r="655" spans="1:9" x14ac:dyDescent="0.2">
      <c r="A655" s="349" t="s">
        <v>341</v>
      </c>
      <c r="B655" s="359">
        <v>53362</v>
      </c>
      <c r="C655" s="349" t="s">
        <v>2060</v>
      </c>
      <c r="D655" s="349" t="s">
        <v>2061</v>
      </c>
      <c r="E655" s="360">
        <v>277832.05</v>
      </c>
      <c r="F655" s="360">
        <v>277832.05</v>
      </c>
      <c r="G655" s="362">
        <v>266292.78000000003</v>
      </c>
      <c r="H655" s="362">
        <v>-11539.27</v>
      </c>
      <c r="I655" s="362">
        <v>266292.78000000003</v>
      </c>
    </row>
    <row r="656" spans="1:9" x14ac:dyDescent="0.2">
      <c r="A656" s="349" t="s">
        <v>341</v>
      </c>
      <c r="B656" s="359">
        <v>53366</v>
      </c>
      <c r="C656" s="349" t="s">
        <v>2062</v>
      </c>
      <c r="D656" s="349" t="s">
        <v>2063</v>
      </c>
      <c r="E656" s="360">
        <v>2622.67</v>
      </c>
      <c r="F656" s="360">
        <v>10612.32</v>
      </c>
      <c r="G656" s="362">
        <v>11299.51</v>
      </c>
      <c r="H656" s="361">
        <v>687.19</v>
      </c>
      <c r="I656" s="362">
        <v>3309.86</v>
      </c>
    </row>
    <row r="657" spans="1:9" x14ac:dyDescent="0.2">
      <c r="A657" s="349" t="s">
        <v>341</v>
      </c>
      <c r="B657" s="359">
        <v>53382</v>
      </c>
      <c r="C657" s="349" t="s">
        <v>2064</v>
      </c>
      <c r="D657" s="349" t="s">
        <v>2065</v>
      </c>
      <c r="E657" s="360">
        <v>5797.2</v>
      </c>
      <c r="F657" s="360">
        <v>5797.2</v>
      </c>
      <c r="G657" s="362">
        <v>2318.88</v>
      </c>
      <c r="H657" s="362">
        <v>-3478.32</v>
      </c>
      <c r="I657" s="362">
        <v>2318.88</v>
      </c>
    </row>
    <row r="658" spans="1:9" x14ac:dyDescent="0.2">
      <c r="A658" s="349" t="s">
        <v>341</v>
      </c>
      <c r="B658" s="359">
        <v>53385</v>
      </c>
      <c r="C658" s="349" t="s">
        <v>2066</v>
      </c>
      <c r="D658" s="349" t="s">
        <v>2067</v>
      </c>
      <c r="E658" s="360">
        <v>3554.77</v>
      </c>
      <c r="F658" s="360">
        <v>17889.78</v>
      </c>
      <c r="G658" s="362">
        <v>18025.78</v>
      </c>
      <c r="H658" s="361">
        <v>136</v>
      </c>
      <c r="I658" s="362">
        <v>3690.77</v>
      </c>
    </row>
    <row r="659" spans="1:9" x14ac:dyDescent="0.2">
      <c r="A659" s="349" t="s">
        <v>341</v>
      </c>
      <c r="B659" s="359">
        <v>53386</v>
      </c>
      <c r="C659" s="349" t="s">
        <v>2068</v>
      </c>
      <c r="D659" s="349" t="s">
        <v>2069</v>
      </c>
      <c r="E659" s="363">
        <v>647.29</v>
      </c>
      <c r="F659" s="363">
        <v>0</v>
      </c>
      <c r="G659" s="361">
        <v>98</v>
      </c>
      <c r="H659" s="361">
        <v>98</v>
      </c>
      <c r="I659" s="361">
        <v>745.29</v>
      </c>
    </row>
    <row r="660" spans="1:9" x14ac:dyDescent="0.2">
      <c r="A660" s="349" t="s">
        <v>341</v>
      </c>
      <c r="B660" s="359">
        <v>53389</v>
      </c>
      <c r="C660" s="349" t="s">
        <v>2070</v>
      </c>
      <c r="D660" s="349" t="s">
        <v>2071</v>
      </c>
      <c r="E660" s="363">
        <v>665.81</v>
      </c>
      <c r="F660" s="363">
        <v>0</v>
      </c>
      <c r="G660" s="361">
        <v>0</v>
      </c>
      <c r="H660" s="361">
        <v>0</v>
      </c>
      <c r="I660" s="361">
        <v>665.81</v>
      </c>
    </row>
    <row r="661" spans="1:9" x14ac:dyDescent="0.2">
      <c r="A661" s="349" t="s">
        <v>341</v>
      </c>
      <c r="B661" s="359">
        <v>53390</v>
      </c>
      <c r="C661" s="349" t="s">
        <v>2072</v>
      </c>
      <c r="D661" s="349" t="s">
        <v>2073</v>
      </c>
      <c r="E661" s="363">
        <v>581.73</v>
      </c>
      <c r="F661" s="363">
        <v>0</v>
      </c>
      <c r="G661" s="361">
        <v>49</v>
      </c>
      <c r="H661" s="361">
        <v>49</v>
      </c>
      <c r="I661" s="361">
        <v>630.73</v>
      </c>
    </row>
    <row r="662" spans="1:9" x14ac:dyDescent="0.2">
      <c r="A662" s="349" t="s">
        <v>341</v>
      </c>
      <c r="B662" s="359">
        <v>53391</v>
      </c>
      <c r="C662" s="349" t="s">
        <v>2074</v>
      </c>
      <c r="D662" s="349" t="s">
        <v>2075</v>
      </c>
      <c r="E662" s="363">
        <v>741.71</v>
      </c>
      <c r="F662" s="363">
        <v>0</v>
      </c>
      <c r="G662" s="361">
        <v>99.18</v>
      </c>
      <c r="H662" s="361">
        <v>99.18</v>
      </c>
      <c r="I662" s="361">
        <v>840.89</v>
      </c>
    </row>
    <row r="663" spans="1:9" x14ac:dyDescent="0.2">
      <c r="A663" s="349" t="s">
        <v>341</v>
      </c>
      <c r="B663" s="359">
        <v>53392</v>
      </c>
      <c r="C663" s="349" t="s">
        <v>2076</v>
      </c>
      <c r="D663" s="349" t="s">
        <v>2077</v>
      </c>
      <c r="E663" s="363">
        <v>62.72</v>
      </c>
      <c r="F663" s="363">
        <v>0</v>
      </c>
      <c r="G663" s="361">
        <v>0</v>
      </c>
      <c r="H663" s="361">
        <v>0</v>
      </c>
      <c r="I663" s="361">
        <v>62.72</v>
      </c>
    </row>
    <row r="664" spans="1:9" x14ac:dyDescent="0.2">
      <c r="A664" s="349" t="s">
        <v>341</v>
      </c>
      <c r="B664" s="359">
        <v>53393</v>
      </c>
      <c r="C664" s="349" t="s">
        <v>2078</v>
      </c>
      <c r="D664" s="349" t="s">
        <v>2079</v>
      </c>
      <c r="E664" s="363">
        <v>0</v>
      </c>
      <c r="F664" s="360">
        <v>3600</v>
      </c>
      <c r="G664" s="362">
        <v>3600</v>
      </c>
      <c r="H664" s="361">
        <v>0</v>
      </c>
      <c r="I664" s="361">
        <v>0</v>
      </c>
    </row>
    <row r="665" spans="1:9" x14ac:dyDescent="0.2">
      <c r="A665" s="349" t="s">
        <v>341</v>
      </c>
      <c r="B665" s="359">
        <v>53402</v>
      </c>
      <c r="C665" s="349" t="s">
        <v>2080</v>
      </c>
      <c r="D665" s="349" t="s">
        <v>2081</v>
      </c>
      <c r="E665" s="363">
        <v>360.33</v>
      </c>
      <c r="F665" s="363">
        <v>0</v>
      </c>
      <c r="G665" s="361">
        <v>49</v>
      </c>
      <c r="H665" s="361">
        <v>49</v>
      </c>
      <c r="I665" s="361">
        <v>409.33</v>
      </c>
    </row>
    <row r="666" spans="1:9" x14ac:dyDescent="0.2">
      <c r="A666" s="349" t="s">
        <v>341</v>
      </c>
      <c r="B666" s="359">
        <v>53403</v>
      </c>
      <c r="C666" s="349" t="s">
        <v>2082</v>
      </c>
      <c r="D666" s="349" t="s">
        <v>2083</v>
      </c>
      <c r="E666" s="363">
        <v>121.29</v>
      </c>
      <c r="F666" s="363">
        <v>0</v>
      </c>
      <c r="G666" s="361">
        <v>50.18</v>
      </c>
      <c r="H666" s="361">
        <v>50.18</v>
      </c>
      <c r="I666" s="361">
        <v>171.47</v>
      </c>
    </row>
    <row r="667" spans="1:9" x14ac:dyDescent="0.2">
      <c r="A667" s="349" t="s">
        <v>341</v>
      </c>
      <c r="B667" s="359">
        <v>53412</v>
      </c>
      <c r="C667" s="349" t="s">
        <v>2084</v>
      </c>
      <c r="D667" s="349" t="s">
        <v>2085</v>
      </c>
      <c r="E667" s="360">
        <v>4637.76</v>
      </c>
      <c r="F667" s="360">
        <v>4637.76</v>
      </c>
      <c r="G667" s="362">
        <v>2318.88</v>
      </c>
      <c r="H667" s="362">
        <v>-2318.88</v>
      </c>
      <c r="I667" s="362">
        <v>2318.88</v>
      </c>
    </row>
    <row r="668" spans="1:9" x14ac:dyDescent="0.2">
      <c r="A668" s="349" t="s">
        <v>341</v>
      </c>
      <c r="B668" s="359">
        <v>53414</v>
      </c>
      <c r="C668" s="349" t="s">
        <v>2086</v>
      </c>
      <c r="D668" s="349" t="s">
        <v>2087</v>
      </c>
      <c r="E668" s="360">
        <v>16530.400000000001</v>
      </c>
      <c r="F668" s="360">
        <v>15930.4</v>
      </c>
      <c r="G668" s="362">
        <v>14234.88</v>
      </c>
      <c r="H668" s="362">
        <v>-1695.52</v>
      </c>
      <c r="I668" s="362">
        <v>14834.88</v>
      </c>
    </row>
    <row r="669" spans="1:9" x14ac:dyDescent="0.2">
      <c r="A669" s="349" t="s">
        <v>341</v>
      </c>
      <c r="B669" s="359">
        <v>53420</v>
      </c>
      <c r="C669" s="349" t="s">
        <v>2088</v>
      </c>
      <c r="D669" s="349" t="s">
        <v>2089</v>
      </c>
      <c r="E669" s="363">
        <v>301</v>
      </c>
      <c r="F669" s="363">
        <v>0</v>
      </c>
      <c r="G669" s="361">
        <v>0</v>
      </c>
      <c r="H669" s="361">
        <v>0</v>
      </c>
      <c r="I669" s="361">
        <v>301</v>
      </c>
    </row>
    <row r="670" spans="1:9" x14ac:dyDescent="0.2">
      <c r="A670" s="349" t="s">
        <v>341</v>
      </c>
      <c r="B670" s="359">
        <v>53441</v>
      </c>
      <c r="C670" s="349" t="s">
        <v>2090</v>
      </c>
      <c r="D670" s="349" t="s">
        <v>2091</v>
      </c>
      <c r="E670" s="363">
        <v>584.66</v>
      </c>
      <c r="F670" s="363">
        <v>584.66</v>
      </c>
      <c r="G670" s="361">
        <v>228.48</v>
      </c>
      <c r="H670" s="361">
        <v>-356.18</v>
      </c>
      <c r="I670" s="361">
        <v>228.48</v>
      </c>
    </row>
    <row r="671" spans="1:9" x14ac:dyDescent="0.2">
      <c r="A671" s="349" t="s">
        <v>341</v>
      </c>
      <c r="B671" s="359">
        <v>53464</v>
      </c>
      <c r="C671" s="349" t="s">
        <v>2092</v>
      </c>
      <c r="D671" s="349" t="s">
        <v>2093</v>
      </c>
      <c r="E671" s="360">
        <v>1634.75</v>
      </c>
      <c r="F671" s="360">
        <v>6302.89</v>
      </c>
      <c r="G671" s="362">
        <v>5794.09</v>
      </c>
      <c r="H671" s="361">
        <v>-508.8</v>
      </c>
      <c r="I671" s="362">
        <v>1125.95</v>
      </c>
    </row>
    <row r="672" spans="1:9" x14ac:dyDescent="0.2">
      <c r="A672" s="349" t="s">
        <v>341</v>
      </c>
      <c r="B672" s="359">
        <v>53482</v>
      </c>
      <c r="C672" s="349" t="s">
        <v>2094</v>
      </c>
      <c r="D672" s="349" t="s">
        <v>2095</v>
      </c>
      <c r="E672" s="360">
        <v>11894.93</v>
      </c>
      <c r="F672" s="360">
        <v>11714.9</v>
      </c>
      <c r="G672" s="362">
        <v>3688.15</v>
      </c>
      <c r="H672" s="362">
        <v>-8026.75</v>
      </c>
      <c r="I672" s="362">
        <v>3868.18</v>
      </c>
    </row>
    <row r="673" spans="1:9" x14ac:dyDescent="0.2">
      <c r="A673" s="349" t="s">
        <v>341</v>
      </c>
      <c r="B673" s="359">
        <v>53484</v>
      </c>
      <c r="C673" s="349" t="s">
        <v>2096</v>
      </c>
      <c r="D673" s="349" t="s">
        <v>2097</v>
      </c>
      <c r="E673" s="360">
        <v>1615.4</v>
      </c>
      <c r="F673" s="360">
        <v>6726.41</v>
      </c>
      <c r="G673" s="362">
        <v>8313.24</v>
      </c>
      <c r="H673" s="362">
        <v>1586.83</v>
      </c>
      <c r="I673" s="362">
        <v>3202.23</v>
      </c>
    </row>
    <row r="674" spans="1:9" x14ac:dyDescent="0.2">
      <c r="A674" s="349" t="s">
        <v>341</v>
      </c>
      <c r="B674" s="359">
        <v>53489</v>
      </c>
      <c r="C674" s="349" t="s">
        <v>2098</v>
      </c>
      <c r="D674" s="349" t="s">
        <v>2099</v>
      </c>
      <c r="E674" s="363">
        <v>51.73</v>
      </c>
      <c r="F674" s="363">
        <v>0</v>
      </c>
      <c r="G674" s="361">
        <v>0</v>
      </c>
      <c r="H674" s="361">
        <v>0</v>
      </c>
      <c r="I674" s="361">
        <v>51.73</v>
      </c>
    </row>
    <row r="675" spans="1:9" x14ac:dyDescent="0.2">
      <c r="A675" s="349" t="s">
        <v>341</v>
      </c>
      <c r="B675" s="359">
        <v>53491</v>
      </c>
      <c r="C675" s="349" t="s">
        <v>2100</v>
      </c>
      <c r="D675" s="349" t="s">
        <v>2101</v>
      </c>
      <c r="E675" s="363">
        <v>138.43</v>
      </c>
      <c r="F675" s="363">
        <v>0</v>
      </c>
      <c r="G675" s="361">
        <v>0</v>
      </c>
      <c r="H675" s="361">
        <v>0</v>
      </c>
      <c r="I675" s="361">
        <v>138.43</v>
      </c>
    </row>
    <row r="676" spans="1:9" x14ac:dyDescent="0.2">
      <c r="A676" s="349" t="s">
        <v>341</v>
      </c>
      <c r="B676" s="359">
        <v>53500</v>
      </c>
      <c r="C676" s="349" t="s">
        <v>2102</v>
      </c>
      <c r="D676" s="349" t="s">
        <v>2103</v>
      </c>
      <c r="E676" s="363">
        <v>382.08</v>
      </c>
      <c r="F676" s="363">
        <v>0</v>
      </c>
      <c r="G676" s="361">
        <v>263.44</v>
      </c>
      <c r="H676" s="361">
        <v>263.44</v>
      </c>
      <c r="I676" s="361">
        <v>645.52</v>
      </c>
    </row>
    <row r="677" spans="1:9" x14ac:dyDescent="0.2">
      <c r="A677" s="349" t="s">
        <v>341</v>
      </c>
      <c r="B677" s="359">
        <v>53501</v>
      </c>
      <c r="C677" s="349" t="s">
        <v>2104</v>
      </c>
      <c r="D677" s="349" t="s">
        <v>2105</v>
      </c>
      <c r="E677" s="363">
        <v>549.72</v>
      </c>
      <c r="F677" s="363">
        <v>0</v>
      </c>
      <c r="G677" s="361">
        <v>0</v>
      </c>
      <c r="H677" s="361">
        <v>0</v>
      </c>
      <c r="I677" s="361">
        <v>549.72</v>
      </c>
    </row>
    <row r="678" spans="1:9" x14ac:dyDescent="0.2">
      <c r="A678" s="349" t="s">
        <v>341</v>
      </c>
      <c r="B678" s="359">
        <v>53511</v>
      </c>
      <c r="C678" s="349" t="s">
        <v>2106</v>
      </c>
      <c r="D678" s="349" t="s">
        <v>2107</v>
      </c>
      <c r="E678" s="360">
        <v>4988</v>
      </c>
      <c r="F678" s="360">
        <v>3312.18</v>
      </c>
      <c r="G678" s="362">
        <v>5306.18</v>
      </c>
      <c r="H678" s="362">
        <v>1994</v>
      </c>
      <c r="I678" s="362">
        <v>6982</v>
      </c>
    </row>
    <row r="679" spans="1:9" x14ac:dyDescent="0.2">
      <c r="A679" s="349" t="s">
        <v>341</v>
      </c>
      <c r="B679" s="359">
        <v>53524</v>
      </c>
      <c r="C679" s="349" t="s">
        <v>2108</v>
      </c>
      <c r="D679" s="349" t="s">
        <v>2109</v>
      </c>
      <c r="E679" s="363">
        <v>85.93</v>
      </c>
      <c r="F679" s="363">
        <v>0</v>
      </c>
      <c r="G679" s="361">
        <v>0</v>
      </c>
      <c r="H679" s="361">
        <v>0</v>
      </c>
      <c r="I679" s="361">
        <v>85.93</v>
      </c>
    </row>
    <row r="680" spans="1:9" x14ac:dyDescent="0.2">
      <c r="A680" s="349" t="s">
        <v>341</v>
      </c>
      <c r="B680" s="359">
        <v>53525</v>
      </c>
      <c r="C680" s="349" t="s">
        <v>2110</v>
      </c>
      <c r="D680" s="349" t="s">
        <v>2111</v>
      </c>
      <c r="E680" s="360">
        <v>2026.14</v>
      </c>
      <c r="F680" s="360">
        <v>2026.14</v>
      </c>
      <c r="G680" s="362">
        <v>1519.61</v>
      </c>
      <c r="H680" s="361">
        <v>-506.53</v>
      </c>
      <c r="I680" s="362">
        <v>1519.61</v>
      </c>
    </row>
    <row r="681" spans="1:9" x14ac:dyDescent="0.2">
      <c r="A681" s="349" t="s">
        <v>341</v>
      </c>
      <c r="B681" s="359">
        <v>53540</v>
      </c>
      <c r="C681" s="349" t="s">
        <v>2112</v>
      </c>
      <c r="D681" s="349" t="s">
        <v>2113</v>
      </c>
      <c r="E681" s="360">
        <v>10483.73</v>
      </c>
      <c r="F681" s="360">
        <v>4776.93</v>
      </c>
      <c r="G681" s="362">
        <v>3980</v>
      </c>
      <c r="H681" s="361">
        <v>-796.93</v>
      </c>
      <c r="I681" s="362">
        <v>9686.7999999999993</v>
      </c>
    </row>
    <row r="682" spans="1:9" x14ac:dyDescent="0.2">
      <c r="A682" s="349" t="s">
        <v>341</v>
      </c>
      <c r="B682" s="359">
        <v>53541</v>
      </c>
      <c r="C682" s="349" t="s">
        <v>2114</v>
      </c>
      <c r="D682" s="349" t="s">
        <v>2115</v>
      </c>
      <c r="E682" s="363">
        <v>702.09</v>
      </c>
      <c r="F682" s="363">
        <v>0</v>
      </c>
      <c r="G682" s="361">
        <v>0</v>
      </c>
      <c r="H682" s="361">
        <v>0</v>
      </c>
      <c r="I682" s="361">
        <v>702.09</v>
      </c>
    </row>
    <row r="683" spans="1:9" x14ac:dyDescent="0.2">
      <c r="A683" s="349" t="s">
        <v>341</v>
      </c>
      <c r="B683" s="359">
        <v>53542</v>
      </c>
      <c r="C683" s="349" t="s">
        <v>2116</v>
      </c>
      <c r="D683" s="349" t="s">
        <v>2117</v>
      </c>
      <c r="E683" s="360">
        <v>1315.3</v>
      </c>
      <c r="F683" s="363">
        <v>0</v>
      </c>
      <c r="G683" s="361">
        <v>387</v>
      </c>
      <c r="H683" s="361">
        <v>387</v>
      </c>
      <c r="I683" s="362">
        <v>1702.3</v>
      </c>
    </row>
    <row r="684" spans="1:9" x14ac:dyDescent="0.2">
      <c r="A684" s="349" t="s">
        <v>341</v>
      </c>
      <c r="B684" s="359">
        <v>53556</v>
      </c>
      <c r="C684" s="349" t="s">
        <v>2118</v>
      </c>
      <c r="D684" s="349" t="s">
        <v>2119</v>
      </c>
      <c r="E684" s="360">
        <v>2365</v>
      </c>
      <c r="F684" s="360">
        <v>2365</v>
      </c>
      <c r="G684" s="361">
        <v>989</v>
      </c>
      <c r="H684" s="362">
        <v>-1376</v>
      </c>
      <c r="I684" s="361">
        <v>989</v>
      </c>
    </row>
    <row r="685" spans="1:9" x14ac:dyDescent="0.2">
      <c r="A685" s="349" t="s">
        <v>341</v>
      </c>
      <c r="B685" s="359">
        <v>53557</v>
      </c>
      <c r="C685" s="349" t="s">
        <v>2120</v>
      </c>
      <c r="D685" s="349" t="s">
        <v>2121</v>
      </c>
      <c r="E685" s="360">
        <v>2400</v>
      </c>
      <c r="F685" s="360">
        <v>2400</v>
      </c>
      <c r="G685" s="362">
        <v>4000</v>
      </c>
      <c r="H685" s="362">
        <v>1600</v>
      </c>
      <c r="I685" s="362">
        <v>4000</v>
      </c>
    </row>
    <row r="686" spans="1:9" x14ac:dyDescent="0.2">
      <c r="A686" s="349" t="s">
        <v>341</v>
      </c>
      <c r="B686" s="359">
        <v>53558</v>
      </c>
      <c r="C686" s="349" t="s">
        <v>2122</v>
      </c>
      <c r="D686" s="349" t="s">
        <v>2123</v>
      </c>
      <c r="E686" s="360">
        <v>29693.26</v>
      </c>
      <c r="F686" s="360">
        <v>14846.63</v>
      </c>
      <c r="G686" s="362">
        <v>18272.78</v>
      </c>
      <c r="H686" s="362">
        <v>3426.15</v>
      </c>
      <c r="I686" s="362">
        <v>33119.410000000003</v>
      </c>
    </row>
    <row r="687" spans="1:9" x14ac:dyDescent="0.2">
      <c r="A687" s="349" t="s">
        <v>341</v>
      </c>
      <c r="B687" s="359">
        <v>53559</v>
      </c>
      <c r="C687" s="349" t="s">
        <v>2124</v>
      </c>
      <c r="D687" s="349" t="s">
        <v>2125</v>
      </c>
      <c r="E687" s="360">
        <v>1159.44</v>
      </c>
      <c r="F687" s="363">
        <v>0</v>
      </c>
      <c r="G687" s="362">
        <v>1159.44</v>
      </c>
      <c r="H687" s="362">
        <v>1159.44</v>
      </c>
      <c r="I687" s="362">
        <v>2318.88</v>
      </c>
    </row>
    <row r="688" spans="1:9" x14ac:dyDescent="0.2">
      <c r="A688" s="349" t="s">
        <v>341</v>
      </c>
      <c r="B688" s="359">
        <v>53577</v>
      </c>
      <c r="C688" s="349" t="s">
        <v>2126</v>
      </c>
      <c r="D688" s="349" t="s">
        <v>2127</v>
      </c>
      <c r="E688" s="360">
        <v>3513.15</v>
      </c>
      <c r="F688" s="360">
        <v>3712.51</v>
      </c>
      <c r="G688" s="362">
        <v>12105.27</v>
      </c>
      <c r="H688" s="362">
        <v>8392.76</v>
      </c>
      <c r="I688" s="362">
        <v>11905.91</v>
      </c>
    </row>
    <row r="689" spans="1:9" x14ac:dyDescent="0.2">
      <c r="A689" s="349" t="s">
        <v>341</v>
      </c>
      <c r="B689" s="359">
        <v>53597</v>
      </c>
      <c r="C689" s="349" t="s">
        <v>2128</v>
      </c>
      <c r="D689" s="349" t="s">
        <v>2129</v>
      </c>
      <c r="E689" s="360">
        <v>1542.75</v>
      </c>
      <c r="F689" s="360">
        <v>1542.75</v>
      </c>
      <c r="G689" s="362">
        <v>1542.75</v>
      </c>
      <c r="H689" s="361">
        <v>0</v>
      </c>
      <c r="I689" s="362">
        <v>1542.75</v>
      </c>
    </row>
    <row r="690" spans="1:9" x14ac:dyDescent="0.2">
      <c r="A690" s="349" t="s">
        <v>341</v>
      </c>
      <c r="B690" s="359">
        <v>53598</v>
      </c>
      <c r="C690" s="349" t="s">
        <v>2130</v>
      </c>
      <c r="D690" s="349" t="s">
        <v>2131</v>
      </c>
      <c r="E690" s="360">
        <v>1028.5</v>
      </c>
      <c r="F690" s="360">
        <v>1028.5</v>
      </c>
      <c r="G690" s="362">
        <v>1028.5</v>
      </c>
      <c r="H690" s="361">
        <v>0</v>
      </c>
      <c r="I690" s="362">
        <v>1028.5</v>
      </c>
    </row>
    <row r="691" spans="1:9" x14ac:dyDescent="0.2">
      <c r="A691" s="349" t="s">
        <v>341</v>
      </c>
      <c r="B691" s="359">
        <v>53602</v>
      </c>
      <c r="C691" s="349" t="s">
        <v>2132</v>
      </c>
      <c r="D691" s="349" t="s">
        <v>2133</v>
      </c>
      <c r="E691" s="360">
        <v>2195.39</v>
      </c>
      <c r="F691" s="363">
        <v>0</v>
      </c>
      <c r="G691" s="362">
        <v>1346.66</v>
      </c>
      <c r="H691" s="362">
        <v>1346.66</v>
      </c>
      <c r="I691" s="362">
        <v>3542.05</v>
      </c>
    </row>
    <row r="692" spans="1:9" x14ac:dyDescent="0.2">
      <c r="A692" s="349" t="s">
        <v>341</v>
      </c>
      <c r="B692" s="359">
        <v>53603</v>
      </c>
      <c r="C692" s="349" t="s">
        <v>2134</v>
      </c>
      <c r="D692" s="349" t="s">
        <v>2135</v>
      </c>
      <c r="E692" s="360">
        <v>1243.76</v>
      </c>
      <c r="F692" s="360">
        <v>1243.76</v>
      </c>
      <c r="G692" s="361">
        <v>0</v>
      </c>
      <c r="H692" s="362">
        <v>-1243.76</v>
      </c>
      <c r="I692" s="361">
        <v>0</v>
      </c>
    </row>
    <row r="693" spans="1:9" x14ac:dyDescent="0.2">
      <c r="A693" s="349" t="s">
        <v>341</v>
      </c>
      <c r="B693" s="359">
        <v>53703</v>
      </c>
      <c r="C693" s="349" t="s">
        <v>2136</v>
      </c>
      <c r="D693" s="349" t="s">
        <v>2137</v>
      </c>
      <c r="E693" s="360">
        <v>1519.61</v>
      </c>
      <c r="F693" s="360">
        <v>1519.61</v>
      </c>
      <c r="G693" s="362">
        <v>2026.14</v>
      </c>
      <c r="H693" s="361">
        <v>506.53</v>
      </c>
      <c r="I693" s="362">
        <v>2026.14</v>
      </c>
    </row>
    <row r="694" spans="1:9" x14ac:dyDescent="0.2">
      <c r="A694" s="349" t="s">
        <v>341</v>
      </c>
      <c r="B694" s="359">
        <v>53704</v>
      </c>
      <c r="C694" s="349" t="s">
        <v>2138</v>
      </c>
      <c r="D694" s="349" t="s">
        <v>2139</v>
      </c>
      <c r="E694" s="360">
        <v>2836.8</v>
      </c>
      <c r="F694" s="360">
        <v>2836.8</v>
      </c>
      <c r="G694" s="361">
        <v>0</v>
      </c>
      <c r="H694" s="362">
        <v>-2836.8</v>
      </c>
      <c r="I694" s="361">
        <v>0</v>
      </c>
    </row>
    <row r="695" spans="1:9" x14ac:dyDescent="0.2">
      <c r="A695" s="349" t="s">
        <v>341</v>
      </c>
      <c r="B695" s="359">
        <v>53705</v>
      </c>
      <c r="C695" s="349" t="s">
        <v>2140</v>
      </c>
      <c r="D695" s="349" t="s">
        <v>2141</v>
      </c>
      <c r="E695" s="360">
        <v>1438.79</v>
      </c>
      <c r="F695" s="360">
        <v>1438.79</v>
      </c>
      <c r="G695" s="362">
        <v>2502.1799999999998</v>
      </c>
      <c r="H695" s="362">
        <v>1063.3900000000001</v>
      </c>
      <c r="I695" s="362">
        <v>2502.1799999999998</v>
      </c>
    </row>
    <row r="696" spans="1:9" x14ac:dyDescent="0.2">
      <c r="A696" s="349" t="s">
        <v>341</v>
      </c>
      <c r="B696" s="359">
        <v>53706</v>
      </c>
      <c r="C696" s="349" t="s">
        <v>2142</v>
      </c>
      <c r="D696" s="349" t="s">
        <v>2143</v>
      </c>
      <c r="E696" s="360">
        <v>11505.91</v>
      </c>
      <c r="F696" s="360">
        <v>11505.91</v>
      </c>
      <c r="G696" s="362">
        <v>8903.74</v>
      </c>
      <c r="H696" s="362">
        <v>-2602.17</v>
      </c>
      <c r="I696" s="362">
        <v>8903.74</v>
      </c>
    </row>
    <row r="697" spans="1:9" x14ac:dyDescent="0.2">
      <c r="A697" s="349" t="s">
        <v>341</v>
      </c>
      <c r="B697" s="359">
        <v>53707</v>
      </c>
      <c r="C697" s="349" t="s">
        <v>2144</v>
      </c>
      <c r="D697" s="349" t="s">
        <v>2145</v>
      </c>
      <c r="E697" s="363">
        <v>0</v>
      </c>
      <c r="F697" s="363">
        <v>0</v>
      </c>
      <c r="G697" s="361">
        <v>125.44</v>
      </c>
      <c r="H697" s="361">
        <v>125.44</v>
      </c>
      <c r="I697" s="361">
        <v>125.44</v>
      </c>
    </row>
    <row r="698" spans="1:9" x14ac:dyDescent="0.2">
      <c r="A698" s="349" t="s">
        <v>341</v>
      </c>
      <c r="B698" s="359">
        <v>53797</v>
      </c>
      <c r="C698" s="349" t="s">
        <v>2146</v>
      </c>
      <c r="D698" s="349" t="s">
        <v>2147</v>
      </c>
      <c r="E698" s="363">
        <v>0</v>
      </c>
      <c r="F698" s="363">
        <v>0</v>
      </c>
      <c r="G698" s="361">
        <v>559</v>
      </c>
      <c r="H698" s="361">
        <v>559</v>
      </c>
      <c r="I698" s="361">
        <v>559</v>
      </c>
    </row>
    <row r="699" spans="1:9" x14ac:dyDescent="0.2">
      <c r="A699" s="349" t="s">
        <v>341</v>
      </c>
      <c r="B699" s="359">
        <v>53798</v>
      </c>
      <c r="C699" s="349" t="s">
        <v>2148</v>
      </c>
      <c r="D699" s="349" t="s">
        <v>2149</v>
      </c>
      <c r="E699" s="363">
        <v>0</v>
      </c>
      <c r="F699" s="363">
        <v>0</v>
      </c>
      <c r="G699" s="362">
        <v>1283.23</v>
      </c>
      <c r="H699" s="362">
        <v>1283.23</v>
      </c>
      <c r="I699" s="362">
        <v>1283.23</v>
      </c>
    </row>
    <row r="700" spans="1:9" x14ac:dyDescent="0.2">
      <c r="A700" s="349" t="s">
        <v>341</v>
      </c>
      <c r="B700" s="359">
        <v>53800</v>
      </c>
      <c r="C700" s="349" t="s">
        <v>2150</v>
      </c>
      <c r="D700" s="349" t="s">
        <v>2151</v>
      </c>
      <c r="E700" s="363">
        <v>0</v>
      </c>
      <c r="F700" s="363">
        <v>0</v>
      </c>
      <c r="G700" s="362">
        <v>1270.97</v>
      </c>
      <c r="H700" s="362">
        <v>1270.97</v>
      </c>
      <c r="I700" s="362">
        <v>1270.97</v>
      </c>
    </row>
    <row r="701" spans="1:9" x14ac:dyDescent="0.2">
      <c r="A701" s="349" t="s">
        <v>341</v>
      </c>
      <c r="B701" s="354">
        <v>37182</v>
      </c>
      <c r="C701" s="355" t="s">
        <v>2152</v>
      </c>
      <c r="D701" s="355" t="s">
        <v>2153</v>
      </c>
      <c r="E701" s="356">
        <v>136739.28</v>
      </c>
      <c r="F701" s="356">
        <v>151227.45000000001</v>
      </c>
      <c r="G701" s="357">
        <v>155919.71</v>
      </c>
      <c r="H701" s="357">
        <v>4692.26</v>
      </c>
      <c r="I701" s="357">
        <v>141431.54</v>
      </c>
    </row>
    <row r="702" spans="1:9" x14ac:dyDescent="0.2">
      <c r="A702" s="349" t="s">
        <v>341</v>
      </c>
      <c r="B702" s="359">
        <v>52706</v>
      </c>
      <c r="C702" s="349" t="s">
        <v>2154</v>
      </c>
      <c r="D702" s="349" t="s">
        <v>2155</v>
      </c>
      <c r="E702" s="360">
        <v>5233.67</v>
      </c>
      <c r="F702" s="360">
        <v>5265.59</v>
      </c>
      <c r="G702" s="362">
        <v>5714.94</v>
      </c>
      <c r="H702" s="361">
        <v>449.35</v>
      </c>
      <c r="I702" s="362">
        <v>5683.02</v>
      </c>
    </row>
    <row r="703" spans="1:9" x14ac:dyDescent="0.2">
      <c r="A703" s="349" t="s">
        <v>341</v>
      </c>
      <c r="B703" s="359">
        <v>51558</v>
      </c>
      <c r="C703" s="349" t="s">
        <v>2156</v>
      </c>
      <c r="D703" s="349" t="s">
        <v>2157</v>
      </c>
      <c r="E703" s="363">
        <v>284.8</v>
      </c>
      <c r="F703" s="363">
        <v>0</v>
      </c>
      <c r="G703" s="361">
        <v>0</v>
      </c>
      <c r="H703" s="361">
        <v>0</v>
      </c>
      <c r="I703" s="361">
        <v>284.8</v>
      </c>
    </row>
    <row r="704" spans="1:9" x14ac:dyDescent="0.2">
      <c r="A704" s="349" t="s">
        <v>341</v>
      </c>
      <c r="B704" s="359">
        <v>52719</v>
      </c>
      <c r="C704" s="349" t="s">
        <v>2158</v>
      </c>
      <c r="D704" s="349" t="s">
        <v>2159</v>
      </c>
      <c r="E704" s="363">
        <v>81.599999999999994</v>
      </c>
      <c r="F704" s="363">
        <v>0</v>
      </c>
      <c r="G704" s="361">
        <v>0</v>
      </c>
      <c r="H704" s="361">
        <v>0</v>
      </c>
      <c r="I704" s="361">
        <v>81.599999999999994</v>
      </c>
    </row>
    <row r="705" spans="1:9" x14ac:dyDescent="0.2">
      <c r="A705" s="349" t="s">
        <v>341</v>
      </c>
      <c r="B705" s="359">
        <v>52839</v>
      </c>
      <c r="C705" s="349" t="s">
        <v>2160</v>
      </c>
      <c r="D705" s="349" t="s">
        <v>2161</v>
      </c>
      <c r="E705" s="363">
        <v>88</v>
      </c>
      <c r="F705" s="363">
        <v>0</v>
      </c>
      <c r="G705" s="361">
        <v>0</v>
      </c>
      <c r="H705" s="361">
        <v>0</v>
      </c>
      <c r="I705" s="361">
        <v>88</v>
      </c>
    </row>
    <row r="706" spans="1:9" x14ac:dyDescent="0.2">
      <c r="A706" s="349" t="s">
        <v>341</v>
      </c>
      <c r="B706" s="359">
        <v>34128</v>
      </c>
      <c r="C706" s="349" t="s">
        <v>2162</v>
      </c>
      <c r="D706" s="349" t="s">
        <v>2163</v>
      </c>
      <c r="E706" s="360">
        <v>1676</v>
      </c>
      <c r="F706" s="360">
        <v>1885.96</v>
      </c>
      <c r="G706" s="362">
        <v>2464.0700000000002</v>
      </c>
      <c r="H706" s="361">
        <v>578.11</v>
      </c>
      <c r="I706" s="362">
        <v>2254.11</v>
      </c>
    </row>
    <row r="707" spans="1:9" x14ac:dyDescent="0.2">
      <c r="A707" s="349" t="s">
        <v>341</v>
      </c>
      <c r="B707" s="359">
        <v>51369</v>
      </c>
      <c r="C707" s="349" t="s">
        <v>2164</v>
      </c>
      <c r="D707" s="349" t="s">
        <v>2165</v>
      </c>
      <c r="E707" s="363">
        <v>770.4</v>
      </c>
      <c r="F707" s="363">
        <v>809.6</v>
      </c>
      <c r="G707" s="361">
        <v>452</v>
      </c>
      <c r="H707" s="361">
        <v>-357.6</v>
      </c>
      <c r="I707" s="361">
        <v>412.8</v>
      </c>
    </row>
    <row r="708" spans="1:9" x14ac:dyDescent="0.2">
      <c r="A708" s="349" t="s">
        <v>341</v>
      </c>
      <c r="B708" s="359">
        <v>52787</v>
      </c>
      <c r="C708" s="349" t="s">
        <v>2166</v>
      </c>
      <c r="D708" s="349" t="s">
        <v>2167</v>
      </c>
      <c r="E708" s="363">
        <v>0</v>
      </c>
      <c r="F708" s="363">
        <v>28.57</v>
      </c>
      <c r="G708" s="361">
        <v>48.57</v>
      </c>
      <c r="H708" s="361">
        <v>20</v>
      </c>
      <c r="I708" s="361">
        <v>20</v>
      </c>
    </row>
    <row r="709" spans="1:9" x14ac:dyDescent="0.2">
      <c r="A709" s="349" t="s">
        <v>341</v>
      </c>
      <c r="B709" s="359">
        <v>51115</v>
      </c>
      <c r="C709" s="349" t="s">
        <v>2168</v>
      </c>
      <c r="D709" s="349" t="s">
        <v>2169</v>
      </c>
      <c r="E709" s="360">
        <v>4078.92</v>
      </c>
      <c r="F709" s="360">
        <v>4345.32</v>
      </c>
      <c r="G709" s="362">
        <v>4281.1400000000003</v>
      </c>
      <c r="H709" s="361">
        <v>-64.180000000000007</v>
      </c>
      <c r="I709" s="362">
        <v>4014.74</v>
      </c>
    </row>
    <row r="710" spans="1:9" x14ac:dyDescent="0.2">
      <c r="A710" s="349" t="s">
        <v>341</v>
      </c>
      <c r="B710" s="359">
        <v>34044</v>
      </c>
      <c r="C710" s="349" t="s">
        <v>2170</v>
      </c>
      <c r="D710" s="349" t="s">
        <v>2171</v>
      </c>
      <c r="E710" s="363">
        <v>0</v>
      </c>
      <c r="F710" s="360">
        <v>1287.07</v>
      </c>
      <c r="G710" s="362">
        <v>1287.07</v>
      </c>
      <c r="H710" s="361">
        <v>0</v>
      </c>
      <c r="I710" s="361">
        <v>0</v>
      </c>
    </row>
    <row r="711" spans="1:9" x14ac:dyDescent="0.2">
      <c r="A711" s="349" t="s">
        <v>341</v>
      </c>
      <c r="B711" s="359">
        <v>52960</v>
      </c>
      <c r="C711" s="349" t="s">
        <v>2172</v>
      </c>
      <c r="D711" s="349" t="s">
        <v>2173</v>
      </c>
      <c r="E711" s="363">
        <v>133.85</v>
      </c>
      <c r="F711" s="360">
        <v>1606.43</v>
      </c>
      <c r="G711" s="362">
        <v>1612.98</v>
      </c>
      <c r="H711" s="361">
        <v>6.55</v>
      </c>
      <c r="I711" s="361">
        <v>140.4</v>
      </c>
    </row>
    <row r="712" spans="1:9" x14ac:dyDescent="0.2">
      <c r="A712" s="349" t="s">
        <v>341</v>
      </c>
      <c r="B712" s="359">
        <v>52507</v>
      </c>
      <c r="C712" s="349" t="s">
        <v>2174</v>
      </c>
      <c r="D712" s="349" t="s">
        <v>2175</v>
      </c>
      <c r="E712" s="363">
        <v>240</v>
      </c>
      <c r="F712" s="363">
        <v>0</v>
      </c>
      <c r="G712" s="361">
        <v>0</v>
      </c>
      <c r="H712" s="361">
        <v>0</v>
      </c>
      <c r="I712" s="361">
        <v>240</v>
      </c>
    </row>
    <row r="713" spans="1:9" x14ac:dyDescent="0.2">
      <c r="A713" s="349" t="s">
        <v>341</v>
      </c>
      <c r="B713" s="359">
        <v>52121</v>
      </c>
      <c r="C713" s="349" t="s">
        <v>2176</v>
      </c>
      <c r="D713" s="349" t="s">
        <v>2177</v>
      </c>
      <c r="E713" s="363">
        <v>0</v>
      </c>
      <c r="F713" s="363">
        <v>79.34</v>
      </c>
      <c r="G713" s="361">
        <v>79.34</v>
      </c>
      <c r="H713" s="361">
        <v>0</v>
      </c>
      <c r="I713" s="361">
        <v>0</v>
      </c>
    </row>
    <row r="714" spans="1:9" x14ac:dyDescent="0.2">
      <c r="A714" s="349" t="s">
        <v>341</v>
      </c>
      <c r="B714" s="359">
        <v>36763</v>
      </c>
      <c r="C714" s="349" t="s">
        <v>2178</v>
      </c>
      <c r="D714" s="349" t="s">
        <v>2179</v>
      </c>
      <c r="E714" s="363">
        <v>215.66</v>
      </c>
      <c r="F714" s="363">
        <v>0</v>
      </c>
      <c r="G714" s="361">
        <v>0</v>
      </c>
      <c r="H714" s="361">
        <v>0</v>
      </c>
      <c r="I714" s="361">
        <v>215.66</v>
      </c>
    </row>
    <row r="715" spans="1:9" x14ac:dyDescent="0.2">
      <c r="A715" s="349" t="s">
        <v>341</v>
      </c>
      <c r="B715" s="359">
        <v>38695</v>
      </c>
      <c r="C715" s="349" t="s">
        <v>2180</v>
      </c>
      <c r="D715" s="349" t="s">
        <v>2181</v>
      </c>
      <c r="E715" s="363">
        <v>25.8</v>
      </c>
      <c r="F715" s="363">
        <v>0</v>
      </c>
      <c r="G715" s="361">
        <v>0</v>
      </c>
      <c r="H715" s="361">
        <v>0</v>
      </c>
      <c r="I715" s="361">
        <v>25.8</v>
      </c>
    </row>
    <row r="716" spans="1:9" x14ac:dyDescent="0.2">
      <c r="A716" s="349" t="s">
        <v>341</v>
      </c>
      <c r="B716" s="359">
        <v>38368</v>
      </c>
      <c r="C716" s="349" t="s">
        <v>2182</v>
      </c>
      <c r="D716" s="349" t="s">
        <v>2183</v>
      </c>
      <c r="E716" s="363">
        <v>444.8</v>
      </c>
      <c r="F716" s="363">
        <v>545.15</v>
      </c>
      <c r="G716" s="361">
        <v>682.27</v>
      </c>
      <c r="H716" s="361">
        <v>137.12</v>
      </c>
      <c r="I716" s="361">
        <v>581.91999999999996</v>
      </c>
    </row>
    <row r="717" spans="1:9" x14ac:dyDescent="0.2">
      <c r="A717" s="349" t="s">
        <v>341</v>
      </c>
      <c r="B717" s="359">
        <v>51068</v>
      </c>
      <c r="C717" s="349" t="s">
        <v>2184</v>
      </c>
      <c r="D717" s="349" t="s">
        <v>2185</v>
      </c>
      <c r="E717" s="363">
        <v>542.88</v>
      </c>
      <c r="F717" s="363">
        <v>0</v>
      </c>
      <c r="G717" s="361">
        <v>0</v>
      </c>
      <c r="H717" s="361">
        <v>0</v>
      </c>
      <c r="I717" s="361">
        <v>542.88</v>
      </c>
    </row>
    <row r="718" spans="1:9" x14ac:dyDescent="0.2">
      <c r="A718" s="349" t="s">
        <v>341</v>
      </c>
      <c r="B718" s="359">
        <v>38272</v>
      </c>
      <c r="C718" s="349" t="s">
        <v>2186</v>
      </c>
      <c r="D718" s="349" t="s">
        <v>2187</v>
      </c>
      <c r="E718" s="363">
        <v>0</v>
      </c>
      <c r="F718" s="363">
        <v>329.38</v>
      </c>
      <c r="G718" s="361">
        <v>329.38</v>
      </c>
      <c r="H718" s="361">
        <v>0</v>
      </c>
      <c r="I718" s="361">
        <v>0</v>
      </c>
    </row>
    <row r="719" spans="1:9" x14ac:dyDescent="0.2">
      <c r="A719" s="349" t="s">
        <v>341</v>
      </c>
      <c r="B719" s="359">
        <v>52032</v>
      </c>
      <c r="C719" s="349" t="s">
        <v>2188</v>
      </c>
      <c r="D719" s="349" t="s">
        <v>2189</v>
      </c>
      <c r="E719" s="363">
        <v>392</v>
      </c>
      <c r="F719" s="363">
        <v>0</v>
      </c>
      <c r="G719" s="361">
        <v>20.260000000000002</v>
      </c>
      <c r="H719" s="361">
        <v>20.260000000000002</v>
      </c>
      <c r="I719" s="361">
        <v>412.26</v>
      </c>
    </row>
    <row r="720" spans="1:9" x14ac:dyDescent="0.2">
      <c r="A720" s="349" t="s">
        <v>341</v>
      </c>
      <c r="B720" s="359">
        <v>53013</v>
      </c>
      <c r="C720" s="349" t="s">
        <v>2190</v>
      </c>
      <c r="D720" s="349" t="s">
        <v>2191</v>
      </c>
      <c r="E720" s="363">
        <v>0</v>
      </c>
      <c r="F720" s="363">
        <v>0</v>
      </c>
      <c r="G720" s="362">
        <v>6747.39</v>
      </c>
      <c r="H720" s="362">
        <v>6747.39</v>
      </c>
      <c r="I720" s="362">
        <v>6747.39</v>
      </c>
    </row>
    <row r="721" spans="1:9" x14ac:dyDescent="0.2">
      <c r="A721" s="349" t="s">
        <v>341</v>
      </c>
      <c r="B721" s="359">
        <v>51361</v>
      </c>
      <c r="C721" s="349" t="s">
        <v>2192</v>
      </c>
      <c r="D721" s="349" t="s">
        <v>2193</v>
      </c>
      <c r="E721" s="363">
        <v>432</v>
      </c>
      <c r="F721" s="360">
        <v>3108.94</v>
      </c>
      <c r="G721" s="362">
        <v>3981.52</v>
      </c>
      <c r="H721" s="361">
        <v>872.58</v>
      </c>
      <c r="I721" s="362">
        <v>1304.58</v>
      </c>
    </row>
    <row r="722" spans="1:9" x14ac:dyDescent="0.2">
      <c r="A722" s="349" t="s">
        <v>341</v>
      </c>
      <c r="B722" s="359">
        <v>34216</v>
      </c>
      <c r="C722" s="349" t="s">
        <v>2194</v>
      </c>
      <c r="D722" s="349" t="s">
        <v>2195</v>
      </c>
      <c r="E722" s="363">
        <v>415.49</v>
      </c>
      <c r="F722" s="363">
        <v>0</v>
      </c>
      <c r="G722" s="361">
        <v>0</v>
      </c>
      <c r="H722" s="361">
        <v>0</v>
      </c>
      <c r="I722" s="361">
        <v>415.49</v>
      </c>
    </row>
    <row r="723" spans="1:9" x14ac:dyDescent="0.2">
      <c r="A723" s="349" t="s">
        <v>341</v>
      </c>
      <c r="B723" s="359">
        <v>52600</v>
      </c>
      <c r="C723" s="349" t="s">
        <v>2196</v>
      </c>
      <c r="D723" s="349" t="s">
        <v>2197</v>
      </c>
      <c r="E723" s="363">
        <v>883.84</v>
      </c>
      <c r="F723" s="363">
        <v>120</v>
      </c>
      <c r="G723" s="361">
        <v>120</v>
      </c>
      <c r="H723" s="361">
        <v>0</v>
      </c>
      <c r="I723" s="361">
        <v>883.84</v>
      </c>
    </row>
    <row r="724" spans="1:9" x14ac:dyDescent="0.2">
      <c r="A724" s="349" t="s">
        <v>341</v>
      </c>
      <c r="B724" s="359">
        <v>38002</v>
      </c>
      <c r="C724" s="349" t="s">
        <v>2198</v>
      </c>
      <c r="D724" s="349" t="s">
        <v>2199</v>
      </c>
      <c r="E724" s="363">
        <v>0</v>
      </c>
      <c r="F724" s="363">
        <v>364.8</v>
      </c>
      <c r="G724" s="361">
        <v>364.8</v>
      </c>
      <c r="H724" s="361">
        <v>0</v>
      </c>
      <c r="I724" s="361">
        <v>0</v>
      </c>
    </row>
    <row r="725" spans="1:9" x14ac:dyDescent="0.2">
      <c r="A725" s="349" t="s">
        <v>341</v>
      </c>
      <c r="B725" s="359">
        <v>33847</v>
      </c>
      <c r="C725" s="349" t="s">
        <v>2200</v>
      </c>
      <c r="D725" s="349" t="s">
        <v>2201</v>
      </c>
      <c r="E725" s="360">
        <v>1609.48</v>
      </c>
      <c r="F725" s="360">
        <v>2471.34</v>
      </c>
      <c r="G725" s="362">
        <v>2450.5500000000002</v>
      </c>
      <c r="H725" s="361">
        <v>-20.79</v>
      </c>
      <c r="I725" s="362">
        <v>1588.69</v>
      </c>
    </row>
    <row r="726" spans="1:9" x14ac:dyDescent="0.2">
      <c r="A726" s="349" t="s">
        <v>341</v>
      </c>
      <c r="B726" s="359">
        <v>33848</v>
      </c>
      <c r="C726" s="349" t="s">
        <v>2202</v>
      </c>
      <c r="D726" s="349" t="s">
        <v>2203</v>
      </c>
      <c r="E726" s="363">
        <v>0</v>
      </c>
      <c r="F726" s="363">
        <v>252.73</v>
      </c>
      <c r="G726" s="361">
        <v>252.73</v>
      </c>
      <c r="H726" s="361">
        <v>0</v>
      </c>
      <c r="I726" s="361">
        <v>0</v>
      </c>
    </row>
    <row r="727" spans="1:9" x14ac:dyDescent="0.2">
      <c r="A727" s="349" t="s">
        <v>341</v>
      </c>
      <c r="B727" s="359">
        <v>34026</v>
      </c>
      <c r="C727" s="349" t="s">
        <v>2204</v>
      </c>
      <c r="D727" s="349" t="s">
        <v>2205</v>
      </c>
      <c r="E727" s="363">
        <v>0</v>
      </c>
      <c r="F727" s="363">
        <v>104.59</v>
      </c>
      <c r="G727" s="361">
        <v>104.59</v>
      </c>
      <c r="H727" s="361">
        <v>0</v>
      </c>
      <c r="I727" s="361">
        <v>0</v>
      </c>
    </row>
    <row r="728" spans="1:9" x14ac:dyDescent="0.2">
      <c r="A728" s="349" t="s">
        <v>341</v>
      </c>
      <c r="B728" s="359">
        <v>33849</v>
      </c>
      <c r="C728" s="349" t="s">
        <v>2206</v>
      </c>
      <c r="D728" s="349" t="s">
        <v>2207</v>
      </c>
      <c r="E728" s="363">
        <v>0</v>
      </c>
      <c r="F728" s="363">
        <v>135.35</v>
      </c>
      <c r="G728" s="361">
        <v>155.35</v>
      </c>
      <c r="H728" s="361">
        <v>20</v>
      </c>
      <c r="I728" s="361">
        <v>20</v>
      </c>
    </row>
    <row r="729" spans="1:9" x14ac:dyDescent="0.2">
      <c r="A729" s="349" t="s">
        <v>341</v>
      </c>
      <c r="B729" s="359">
        <v>51547</v>
      </c>
      <c r="C729" s="349" t="s">
        <v>2208</v>
      </c>
      <c r="D729" s="349" t="s">
        <v>2209</v>
      </c>
      <c r="E729" s="360">
        <v>1369.22</v>
      </c>
      <c r="F729" s="363">
        <v>0</v>
      </c>
      <c r="G729" s="361">
        <v>0</v>
      </c>
      <c r="H729" s="361">
        <v>0</v>
      </c>
      <c r="I729" s="362">
        <v>1369.22</v>
      </c>
    </row>
    <row r="730" spans="1:9" x14ac:dyDescent="0.2">
      <c r="A730" s="349" t="s">
        <v>341</v>
      </c>
      <c r="B730" s="359">
        <v>51233</v>
      </c>
      <c r="C730" s="349" t="s">
        <v>2210</v>
      </c>
      <c r="D730" s="349" t="s">
        <v>2211</v>
      </c>
      <c r="E730" s="360">
        <v>1720</v>
      </c>
      <c r="F730" s="360">
        <v>1720</v>
      </c>
      <c r="G730" s="362">
        <v>1823.2</v>
      </c>
      <c r="H730" s="361">
        <v>103.2</v>
      </c>
      <c r="I730" s="362">
        <v>1823.2</v>
      </c>
    </row>
    <row r="731" spans="1:9" x14ac:dyDescent="0.2">
      <c r="A731" s="349" t="s">
        <v>341</v>
      </c>
      <c r="B731" s="359">
        <v>34069</v>
      </c>
      <c r="C731" s="349" t="s">
        <v>2212</v>
      </c>
      <c r="D731" s="349" t="s">
        <v>2213</v>
      </c>
      <c r="E731" s="360">
        <v>2571.27</v>
      </c>
      <c r="F731" s="360">
        <v>2571.27</v>
      </c>
      <c r="G731" s="362">
        <v>3124.15</v>
      </c>
      <c r="H731" s="361">
        <v>552.88</v>
      </c>
      <c r="I731" s="362">
        <v>3124.15</v>
      </c>
    </row>
    <row r="732" spans="1:9" x14ac:dyDescent="0.2">
      <c r="A732" s="349" t="s">
        <v>341</v>
      </c>
      <c r="B732" s="359">
        <v>36748</v>
      </c>
      <c r="C732" s="349" t="s">
        <v>2214</v>
      </c>
      <c r="D732" s="349" t="s">
        <v>2215</v>
      </c>
      <c r="E732" s="363">
        <v>76</v>
      </c>
      <c r="F732" s="363">
        <v>0</v>
      </c>
      <c r="G732" s="361">
        <v>0</v>
      </c>
      <c r="H732" s="361">
        <v>0</v>
      </c>
      <c r="I732" s="361">
        <v>76</v>
      </c>
    </row>
    <row r="733" spans="1:9" x14ac:dyDescent="0.2">
      <c r="A733" s="349" t="s">
        <v>341</v>
      </c>
      <c r="B733" s="359">
        <v>38294</v>
      </c>
      <c r="C733" s="349" t="s">
        <v>2216</v>
      </c>
      <c r="D733" s="349" t="s">
        <v>2217</v>
      </c>
      <c r="E733" s="360">
        <v>13457.25</v>
      </c>
      <c r="F733" s="360">
        <v>14268.29</v>
      </c>
      <c r="G733" s="362">
        <v>13655.48</v>
      </c>
      <c r="H733" s="361">
        <v>-612.80999999999995</v>
      </c>
      <c r="I733" s="362">
        <v>12844.44</v>
      </c>
    </row>
    <row r="734" spans="1:9" x14ac:dyDescent="0.2">
      <c r="A734" s="349" t="s">
        <v>341</v>
      </c>
      <c r="B734" s="359">
        <v>52981</v>
      </c>
      <c r="C734" s="349" t="s">
        <v>2218</v>
      </c>
      <c r="D734" s="349" t="s">
        <v>2219</v>
      </c>
      <c r="E734" s="360">
        <v>7110.21</v>
      </c>
      <c r="F734" s="360">
        <v>7727.28</v>
      </c>
      <c r="G734" s="362">
        <v>5208.08</v>
      </c>
      <c r="H734" s="362">
        <v>-2519.1999999999998</v>
      </c>
      <c r="I734" s="362">
        <v>4591.01</v>
      </c>
    </row>
    <row r="735" spans="1:9" x14ac:dyDescent="0.2">
      <c r="A735" s="349" t="s">
        <v>341</v>
      </c>
      <c r="B735" s="359">
        <v>51913</v>
      </c>
      <c r="C735" s="349" t="s">
        <v>2220</v>
      </c>
      <c r="D735" s="349" t="s">
        <v>2221</v>
      </c>
      <c r="E735" s="363">
        <v>665.6</v>
      </c>
      <c r="F735" s="363">
        <v>0</v>
      </c>
      <c r="G735" s="361">
        <v>0</v>
      </c>
      <c r="H735" s="361">
        <v>0</v>
      </c>
      <c r="I735" s="361">
        <v>665.6</v>
      </c>
    </row>
    <row r="736" spans="1:9" x14ac:dyDescent="0.2">
      <c r="A736" s="349" t="s">
        <v>341</v>
      </c>
      <c r="B736" s="359">
        <v>51838</v>
      </c>
      <c r="C736" s="349" t="s">
        <v>2222</v>
      </c>
      <c r="D736" s="349" t="s">
        <v>2223</v>
      </c>
      <c r="E736" s="360">
        <v>3106.38</v>
      </c>
      <c r="F736" s="360">
        <v>3244.99</v>
      </c>
      <c r="G736" s="362">
        <v>3530.77</v>
      </c>
      <c r="H736" s="361">
        <v>285.77999999999997</v>
      </c>
      <c r="I736" s="362">
        <v>3392.16</v>
      </c>
    </row>
    <row r="737" spans="1:9" x14ac:dyDescent="0.2">
      <c r="A737" s="349" t="s">
        <v>341</v>
      </c>
      <c r="B737" s="359">
        <v>52915</v>
      </c>
      <c r="C737" s="349" t="s">
        <v>2224</v>
      </c>
      <c r="D737" s="349" t="s">
        <v>2225</v>
      </c>
      <c r="E737" s="363">
        <v>0</v>
      </c>
      <c r="F737" s="363">
        <v>39.200000000000003</v>
      </c>
      <c r="G737" s="361">
        <v>39.200000000000003</v>
      </c>
      <c r="H737" s="361">
        <v>0</v>
      </c>
      <c r="I737" s="361">
        <v>0</v>
      </c>
    </row>
    <row r="738" spans="1:9" x14ac:dyDescent="0.2">
      <c r="A738" s="349" t="s">
        <v>341</v>
      </c>
      <c r="B738" s="359">
        <v>51144</v>
      </c>
      <c r="C738" s="349" t="s">
        <v>2226</v>
      </c>
      <c r="D738" s="349" t="s">
        <v>2227</v>
      </c>
      <c r="E738" s="360">
        <v>3051.94</v>
      </c>
      <c r="F738" s="360">
        <v>3125.44</v>
      </c>
      <c r="G738" s="362">
        <v>1797.6</v>
      </c>
      <c r="H738" s="362">
        <v>-1327.84</v>
      </c>
      <c r="I738" s="362">
        <v>1724.1</v>
      </c>
    </row>
    <row r="739" spans="1:9" x14ac:dyDescent="0.2">
      <c r="A739" s="349" t="s">
        <v>341</v>
      </c>
      <c r="B739" s="359">
        <v>38335</v>
      </c>
      <c r="C739" s="349" t="s">
        <v>2228</v>
      </c>
      <c r="D739" s="349" t="s">
        <v>2229</v>
      </c>
      <c r="E739" s="363">
        <v>0</v>
      </c>
      <c r="F739" s="363">
        <v>68.94</v>
      </c>
      <c r="G739" s="361">
        <v>68.94</v>
      </c>
      <c r="H739" s="361">
        <v>0</v>
      </c>
      <c r="I739" s="361">
        <v>0</v>
      </c>
    </row>
    <row r="740" spans="1:9" x14ac:dyDescent="0.2">
      <c r="A740" s="349" t="s">
        <v>341</v>
      </c>
      <c r="B740" s="359">
        <v>33869</v>
      </c>
      <c r="C740" s="349" t="s">
        <v>2230</v>
      </c>
      <c r="D740" s="349" t="s">
        <v>2231</v>
      </c>
      <c r="E740" s="363">
        <v>144.9</v>
      </c>
      <c r="F740" s="363">
        <v>420.09</v>
      </c>
      <c r="G740" s="361">
        <v>315.19</v>
      </c>
      <c r="H740" s="361">
        <v>-104.9</v>
      </c>
      <c r="I740" s="361">
        <v>40</v>
      </c>
    </row>
    <row r="741" spans="1:9" x14ac:dyDescent="0.2">
      <c r="A741" s="349" t="s">
        <v>341</v>
      </c>
      <c r="B741" s="359">
        <v>36801</v>
      </c>
      <c r="C741" s="349" t="s">
        <v>2232</v>
      </c>
      <c r="D741" s="349" t="s">
        <v>2233</v>
      </c>
      <c r="E741" s="363">
        <v>807.01</v>
      </c>
      <c r="F741" s="363">
        <v>0</v>
      </c>
      <c r="G741" s="361">
        <v>0</v>
      </c>
      <c r="H741" s="361">
        <v>0</v>
      </c>
      <c r="I741" s="361">
        <v>807.01</v>
      </c>
    </row>
    <row r="742" spans="1:9" x14ac:dyDescent="0.2">
      <c r="A742" s="349" t="s">
        <v>341</v>
      </c>
      <c r="B742" s="359">
        <v>52996</v>
      </c>
      <c r="C742" s="349" t="s">
        <v>2234</v>
      </c>
      <c r="D742" s="349" t="s">
        <v>2235</v>
      </c>
      <c r="E742" s="360">
        <v>4056.3</v>
      </c>
      <c r="F742" s="360">
        <v>4093.82</v>
      </c>
      <c r="G742" s="362">
        <v>3124.57</v>
      </c>
      <c r="H742" s="361">
        <v>-969.25</v>
      </c>
      <c r="I742" s="362">
        <v>3087.05</v>
      </c>
    </row>
    <row r="743" spans="1:9" x14ac:dyDescent="0.2">
      <c r="A743" s="349" t="s">
        <v>341</v>
      </c>
      <c r="B743" s="359">
        <v>51143</v>
      </c>
      <c r="C743" s="349" t="s">
        <v>2236</v>
      </c>
      <c r="D743" s="349" t="s">
        <v>2237</v>
      </c>
      <c r="E743" s="360">
        <v>1290</v>
      </c>
      <c r="F743" s="360">
        <v>1332</v>
      </c>
      <c r="G743" s="362">
        <v>1931.75</v>
      </c>
      <c r="H743" s="361">
        <v>599.75</v>
      </c>
      <c r="I743" s="362">
        <v>1889.75</v>
      </c>
    </row>
    <row r="744" spans="1:9" x14ac:dyDescent="0.2">
      <c r="A744" s="349" t="s">
        <v>341</v>
      </c>
      <c r="B744" s="359">
        <v>51596</v>
      </c>
      <c r="C744" s="349" t="s">
        <v>2238</v>
      </c>
      <c r="D744" s="349" t="s">
        <v>2239</v>
      </c>
      <c r="E744" s="363">
        <v>173.86</v>
      </c>
      <c r="F744" s="363">
        <v>0</v>
      </c>
      <c r="G744" s="361">
        <v>0</v>
      </c>
      <c r="H744" s="361">
        <v>0</v>
      </c>
      <c r="I744" s="361">
        <v>173.86</v>
      </c>
    </row>
    <row r="745" spans="1:9" x14ac:dyDescent="0.2">
      <c r="A745" s="349" t="s">
        <v>341</v>
      </c>
      <c r="B745" s="359">
        <v>34206</v>
      </c>
      <c r="C745" s="349" t="s">
        <v>2240</v>
      </c>
      <c r="D745" s="349" t="s">
        <v>2241</v>
      </c>
      <c r="E745" s="363">
        <v>0</v>
      </c>
      <c r="F745" s="360">
        <v>1179.94</v>
      </c>
      <c r="G745" s="362">
        <v>1179.94</v>
      </c>
      <c r="H745" s="361">
        <v>0</v>
      </c>
      <c r="I745" s="361">
        <v>0</v>
      </c>
    </row>
    <row r="746" spans="1:9" x14ac:dyDescent="0.2">
      <c r="A746" s="349" t="s">
        <v>341</v>
      </c>
      <c r="B746" s="359">
        <v>52743</v>
      </c>
      <c r="C746" s="349" t="s">
        <v>2242</v>
      </c>
      <c r="D746" s="349" t="s">
        <v>2243</v>
      </c>
      <c r="E746" s="363">
        <v>873.58</v>
      </c>
      <c r="F746" s="363">
        <v>0</v>
      </c>
      <c r="G746" s="361">
        <v>0</v>
      </c>
      <c r="H746" s="361">
        <v>0</v>
      </c>
      <c r="I746" s="361">
        <v>873.58</v>
      </c>
    </row>
    <row r="747" spans="1:9" x14ac:dyDescent="0.2">
      <c r="A747" s="349" t="s">
        <v>341</v>
      </c>
      <c r="B747" s="359">
        <v>33880</v>
      </c>
      <c r="C747" s="349" t="s">
        <v>2244</v>
      </c>
      <c r="D747" s="349" t="s">
        <v>2245</v>
      </c>
      <c r="E747" s="363">
        <v>602</v>
      </c>
      <c r="F747" s="363">
        <v>662</v>
      </c>
      <c r="G747" s="362">
        <v>1178</v>
      </c>
      <c r="H747" s="361">
        <v>516</v>
      </c>
      <c r="I747" s="362">
        <v>1118</v>
      </c>
    </row>
    <row r="748" spans="1:9" x14ac:dyDescent="0.2">
      <c r="A748" s="349" t="s">
        <v>341</v>
      </c>
      <c r="B748" s="359">
        <v>33879</v>
      </c>
      <c r="C748" s="349" t="s">
        <v>2246</v>
      </c>
      <c r="D748" s="349" t="s">
        <v>2247</v>
      </c>
      <c r="E748" s="360">
        <v>4042.26</v>
      </c>
      <c r="F748" s="360">
        <v>5032.4399999999996</v>
      </c>
      <c r="G748" s="362">
        <v>5728.93</v>
      </c>
      <c r="H748" s="361">
        <v>696.49</v>
      </c>
      <c r="I748" s="362">
        <v>4738.75</v>
      </c>
    </row>
    <row r="749" spans="1:9" x14ac:dyDescent="0.2">
      <c r="A749" s="349" t="s">
        <v>341</v>
      </c>
      <c r="B749" s="359">
        <v>37265</v>
      </c>
      <c r="C749" s="349" t="s">
        <v>2248</v>
      </c>
      <c r="D749" s="349" t="s">
        <v>2249</v>
      </c>
      <c r="E749" s="363">
        <v>94.08</v>
      </c>
      <c r="F749" s="363">
        <v>0</v>
      </c>
      <c r="G749" s="361">
        <v>0</v>
      </c>
      <c r="H749" s="361">
        <v>0</v>
      </c>
      <c r="I749" s="361">
        <v>94.08</v>
      </c>
    </row>
    <row r="750" spans="1:9" x14ac:dyDescent="0.2">
      <c r="A750" s="349" t="s">
        <v>341</v>
      </c>
      <c r="B750" s="359">
        <v>37704</v>
      </c>
      <c r="C750" s="349" t="s">
        <v>2250</v>
      </c>
      <c r="D750" s="349" t="s">
        <v>2251</v>
      </c>
      <c r="E750" s="360">
        <v>2861.76</v>
      </c>
      <c r="F750" s="363">
        <v>0</v>
      </c>
      <c r="G750" s="361">
        <v>0</v>
      </c>
      <c r="H750" s="361">
        <v>0</v>
      </c>
      <c r="I750" s="362">
        <v>2861.76</v>
      </c>
    </row>
    <row r="751" spans="1:9" x14ac:dyDescent="0.2">
      <c r="A751" s="349" t="s">
        <v>341</v>
      </c>
      <c r="B751" s="359">
        <v>34073</v>
      </c>
      <c r="C751" s="349" t="s">
        <v>2252</v>
      </c>
      <c r="D751" s="349" t="s">
        <v>2253</v>
      </c>
      <c r="E751" s="360">
        <v>2603.35</v>
      </c>
      <c r="F751" s="360">
        <v>3266.7</v>
      </c>
      <c r="G751" s="362">
        <v>4812.76</v>
      </c>
      <c r="H751" s="362">
        <v>1546.06</v>
      </c>
      <c r="I751" s="362">
        <v>4149.41</v>
      </c>
    </row>
    <row r="752" spans="1:9" x14ac:dyDescent="0.2">
      <c r="A752" s="349" t="s">
        <v>341</v>
      </c>
      <c r="B752" s="359">
        <v>52187</v>
      </c>
      <c r="C752" s="349" t="s">
        <v>2254</v>
      </c>
      <c r="D752" s="349" t="s">
        <v>2255</v>
      </c>
      <c r="E752" s="363">
        <v>94.5</v>
      </c>
      <c r="F752" s="363">
        <v>0</v>
      </c>
      <c r="G752" s="361">
        <v>0</v>
      </c>
      <c r="H752" s="361">
        <v>0</v>
      </c>
      <c r="I752" s="361">
        <v>94.5</v>
      </c>
    </row>
    <row r="753" spans="1:9" x14ac:dyDescent="0.2">
      <c r="A753" s="349" t="s">
        <v>341</v>
      </c>
      <c r="B753" s="359">
        <v>34074</v>
      </c>
      <c r="C753" s="349" t="s">
        <v>2256</v>
      </c>
      <c r="D753" s="349" t="s">
        <v>2257</v>
      </c>
      <c r="E753" s="360">
        <v>6845.41</v>
      </c>
      <c r="F753" s="360">
        <v>6845.41</v>
      </c>
      <c r="G753" s="362">
        <v>9509.06</v>
      </c>
      <c r="H753" s="362">
        <v>2663.65</v>
      </c>
      <c r="I753" s="362">
        <v>9509.06</v>
      </c>
    </row>
    <row r="754" spans="1:9" x14ac:dyDescent="0.2">
      <c r="A754" s="349" t="s">
        <v>341</v>
      </c>
      <c r="B754" s="359">
        <v>34129</v>
      </c>
      <c r="C754" s="349" t="s">
        <v>2258</v>
      </c>
      <c r="D754" s="349" t="s">
        <v>2259</v>
      </c>
      <c r="E754" s="363">
        <v>0</v>
      </c>
      <c r="F754" s="363">
        <v>839.88</v>
      </c>
      <c r="G754" s="361">
        <v>839.88</v>
      </c>
      <c r="H754" s="361">
        <v>0</v>
      </c>
      <c r="I754" s="361">
        <v>0</v>
      </c>
    </row>
    <row r="755" spans="1:9" x14ac:dyDescent="0.2">
      <c r="A755" s="349" t="s">
        <v>341</v>
      </c>
      <c r="B755" s="359">
        <v>52323</v>
      </c>
      <c r="C755" s="349" t="s">
        <v>2260</v>
      </c>
      <c r="D755" s="349" t="s">
        <v>2261</v>
      </c>
      <c r="E755" s="360">
        <v>16500.400000000001</v>
      </c>
      <c r="F755" s="360">
        <v>16551.060000000001</v>
      </c>
      <c r="G755" s="362">
        <v>12787.4</v>
      </c>
      <c r="H755" s="362">
        <v>-3763.66</v>
      </c>
      <c r="I755" s="362">
        <v>12736.74</v>
      </c>
    </row>
    <row r="756" spans="1:9" x14ac:dyDescent="0.2">
      <c r="A756" s="349" t="s">
        <v>341</v>
      </c>
      <c r="B756" s="359">
        <v>52846</v>
      </c>
      <c r="C756" s="349" t="s">
        <v>2262</v>
      </c>
      <c r="D756" s="349" t="s">
        <v>2263</v>
      </c>
      <c r="E756" s="363">
        <v>205.92</v>
      </c>
      <c r="F756" s="363">
        <v>0</v>
      </c>
      <c r="G756" s="361">
        <v>0</v>
      </c>
      <c r="H756" s="361">
        <v>0</v>
      </c>
      <c r="I756" s="361">
        <v>205.92</v>
      </c>
    </row>
    <row r="757" spans="1:9" x14ac:dyDescent="0.2">
      <c r="A757" s="349" t="s">
        <v>341</v>
      </c>
      <c r="B757" s="359">
        <v>52999</v>
      </c>
      <c r="C757" s="349" t="s">
        <v>2264</v>
      </c>
      <c r="D757" s="349" t="s">
        <v>2265</v>
      </c>
      <c r="E757" s="363">
        <v>291.58</v>
      </c>
      <c r="F757" s="363">
        <v>0</v>
      </c>
      <c r="G757" s="361">
        <v>0</v>
      </c>
      <c r="H757" s="361">
        <v>0</v>
      </c>
      <c r="I757" s="361">
        <v>291.58</v>
      </c>
    </row>
    <row r="758" spans="1:9" x14ac:dyDescent="0.2">
      <c r="A758" s="349" t="s">
        <v>341</v>
      </c>
      <c r="B758" s="359">
        <v>52363</v>
      </c>
      <c r="C758" s="349" t="s">
        <v>2266</v>
      </c>
      <c r="D758" s="349" t="s">
        <v>2267</v>
      </c>
      <c r="E758" s="360">
        <v>19698.22</v>
      </c>
      <c r="F758" s="360">
        <v>19698.22</v>
      </c>
      <c r="G758" s="362">
        <v>10027.64</v>
      </c>
      <c r="H758" s="362">
        <v>-9670.58</v>
      </c>
      <c r="I758" s="362">
        <v>10027.64</v>
      </c>
    </row>
    <row r="759" spans="1:9" x14ac:dyDescent="0.2">
      <c r="A759" s="349" t="s">
        <v>341</v>
      </c>
      <c r="B759" s="359">
        <v>53027</v>
      </c>
      <c r="C759" s="349" t="s">
        <v>2268</v>
      </c>
      <c r="D759" s="349" t="s">
        <v>2269</v>
      </c>
      <c r="E759" s="363">
        <v>550.4</v>
      </c>
      <c r="F759" s="363">
        <v>741.27</v>
      </c>
      <c r="G759" s="361">
        <v>878.87</v>
      </c>
      <c r="H759" s="361">
        <v>137.6</v>
      </c>
      <c r="I759" s="361">
        <v>688</v>
      </c>
    </row>
    <row r="760" spans="1:9" x14ac:dyDescent="0.2">
      <c r="A760" s="349" t="s">
        <v>341</v>
      </c>
      <c r="B760" s="359">
        <v>53122</v>
      </c>
      <c r="C760" s="349" t="s">
        <v>2270</v>
      </c>
      <c r="D760" s="349" t="s">
        <v>2271</v>
      </c>
      <c r="E760" s="363">
        <v>829.17</v>
      </c>
      <c r="F760" s="363">
        <v>0</v>
      </c>
      <c r="G760" s="361">
        <v>0</v>
      </c>
      <c r="H760" s="361">
        <v>0</v>
      </c>
      <c r="I760" s="361">
        <v>829.17</v>
      </c>
    </row>
    <row r="761" spans="1:9" x14ac:dyDescent="0.2">
      <c r="A761" s="349" t="s">
        <v>341</v>
      </c>
      <c r="B761" s="359">
        <v>53121</v>
      </c>
      <c r="C761" s="349" t="s">
        <v>2272</v>
      </c>
      <c r="D761" s="349" t="s">
        <v>2273</v>
      </c>
      <c r="E761" s="363">
        <v>347.78</v>
      </c>
      <c r="F761" s="363">
        <v>0</v>
      </c>
      <c r="G761" s="361">
        <v>0</v>
      </c>
      <c r="H761" s="361">
        <v>0</v>
      </c>
      <c r="I761" s="361">
        <v>347.78</v>
      </c>
    </row>
    <row r="762" spans="1:9" x14ac:dyDescent="0.2">
      <c r="A762" s="349" t="s">
        <v>341</v>
      </c>
      <c r="B762" s="359">
        <v>53050</v>
      </c>
      <c r="C762" s="349" t="s">
        <v>2274</v>
      </c>
      <c r="D762" s="349" t="s">
        <v>2275</v>
      </c>
      <c r="E762" s="363">
        <v>158.19999999999999</v>
      </c>
      <c r="F762" s="363">
        <v>0</v>
      </c>
      <c r="G762" s="361">
        <v>0</v>
      </c>
      <c r="H762" s="361">
        <v>0</v>
      </c>
      <c r="I762" s="361">
        <v>158.19999999999999</v>
      </c>
    </row>
    <row r="763" spans="1:9" x14ac:dyDescent="0.2">
      <c r="A763" s="349" t="s">
        <v>341</v>
      </c>
      <c r="B763" s="359">
        <v>53087</v>
      </c>
      <c r="C763" s="349" t="s">
        <v>2276</v>
      </c>
      <c r="D763" s="349" t="s">
        <v>2277</v>
      </c>
      <c r="E763" s="363">
        <v>475.42</v>
      </c>
      <c r="F763" s="363">
        <v>0</v>
      </c>
      <c r="G763" s="361">
        <v>0</v>
      </c>
      <c r="H763" s="361">
        <v>0</v>
      </c>
      <c r="I763" s="361">
        <v>475.42</v>
      </c>
    </row>
    <row r="764" spans="1:9" x14ac:dyDescent="0.2">
      <c r="A764" s="349" t="s">
        <v>341</v>
      </c>
      <c r="B764" s="359">
        <v>53047</v>
      </c>
      <c r="C764" s="349" t="s">
        <v>2278</v>
      </c>
      <c r="D764" s="349" t="s">
        <v>2279</v>
      </c>
      <c r="E764" s="363">
        <v>681.32</v>
      </c>
      <c r="F764" s="363">
        <v>0</v>
      </c>
      <c r="G764" s="361">
        <v>0</v>
      </c>
      <c r="H764" s="361">
        <v>0</v>
      </c>
      <c r="I764" s="361">
        <v>681.32</v>
      </c>
    </row>
    <row r="765" spans="1:9" x14ac:dyDescent="0.2">
      <c r="A765" s="349" t="s">
        <v>341</v>
      </c>
      <c r="B765" s="359">
        <v>53118</v>
      </c>
      <c r="C765" s="349" t="s">
        <v>2280</v>
      </c>
      <c r="D765" s="349" t="s">
        <v>2281</v>
      </c>
      <c r="E765" s="363">
        <v>679.41</v>
      </c>
      <c r="F765" s="363">
        <v>0</v>
      </c>
      <c r="G765" s="361">
        <v>121.9</v>
      </c>
      <c r="H765" s="361">
        <v>121.9</v>
      </c>
      <c r="I765" s="361">
        <v>801.31</v>
      </c>
    </row>
    <row r="766" spans="1:9" x14ac:dyDescent="0.2">
      <c r="A766" s="349" t="s">
        <v>341</v>
      </c>
      <c r="B766" s="359">
        <v>53123</v>
      </c>
      <c r="C766" s="349" t="s">
        <v>2282</v>
      </c>
      <c r="D766" s="349" t="s">
        <v>2283</v>
      </c>
      <c r="E766" s="363">
        <v>233.76</v>
      </c>
      <c r="F766" s="363">
        <v>0</v>
      </c>
      <c r="G766" s="361">
        <v>121.9</v>
      </c>
      <c r="H766" s="361">
        <v>121.9</v>
      </c>
      <c r="I766" s="361">
        <v>355.66</v>
      </c>
    </row>
    <row r="767" spans="1:9" x14ac:dyDescent="0.2">
      <c r="A767" s="349" t="s">
        <v>341</v>
      </c>
      <c r="B767" s="359">
        <v>53117</v>
      </c>
      <c r="C767" s="349" t="s">
        <v>2284</v>
      </c>
      <c r="D767" s="349" t="s">
        <v>2285</v>
      </c>
      <c r="E767" s="360">
        <v>4495.25</v>
      </c>
      <c r="F767" s="360">
        <v>7005.29</v>
      </c>
      <c r="G767" s="362">
        <v>7015.87</v>
      </c>
      <c r="H767" s="361">
        <v>10.58</v>
      </c>
      <c r="I767" s="362">
        <v>4505.83</v>
      </c>
    </row>
    <row r="768" spans="1:9" x14ac:dyDescent="0.2">
      <c r="A768" s="349" t="s">
        <v>341</v>
      </c>
      <c r="B768" s="359">
        <v>53133</v>
      </c>
      <c r="C768" s="349" t="s">
        <v>2286</v>
      </c>
      <c r="D768" s="349" t="s">
        <v>2287</v>
      </c>
      <c r="E768" s="360">
        <v>5060.3900000000003</v>
      </c>
      <c r="F768" s="360">
        <v>18197.03</v>
      </c>
      <c r="G768" s="362">
        <v>15156.44</v>
      </c>
      <c r="H768" s="362">
        <v>-3040.59</v>
      </c>
      <c r="I768" s="362">
        <v>2019.8</v>
      </c>
    </row>
    <row r="769" spans="1:9" x14ac:dyDescent="0.2">
      <c r="A769" s="349" t="s">
        <v>341</v>
      </c>
      <c r="B769" s="359">
        <v>53099</v>
      </c>
      <c r="C769" s="349" t="s">
        <v>2288</v>
      </c>
      <c r="D769" s="349" t="s">
        <v>2289</v>
      </c>
      <c r="E769" s="363">
        <v>48.67</v>
      </c>
      <c r="F769" s="363">
        <v>0</v>
      </c>
      <c r="G769" s="361">
        <v>0</v>
      </c>
      <c r="H769" s="361">
        <v>0</v>
      </c>
      <c r="I769" s="361">
        <v>48.67</v>
      </c>
    </row>
    <row r="770" spans="1:9" x14ac:dyDescent="0.2">
      <c r="A770" s="349" t="s">
        <v>341</v>
      </c>
      <c r="B770" s="359">
        <v>53119</v>
      </c>
      <c r="C770" s="349" t="s">
        <v>2290</v>
      </c>
      <c r="D770" s="349" t="s">
        <v>2291</v>
      </c>
      <c r="E770" s="360">
        <v>1479.59</v>
      </c>
      <c r="F770" s="363">
        <v>0</v>
      </c>
      <c r="G770" s="361">
        <v>0</v>
      </c>
      <c r="H770" s="361">
        <v>0</v>
      </c>
      <c r="I770" s="362">
        <v>1479.59</v>
      </c>
    </row>
    <row r="771" spans="1:9" x14ac:dyDescent="0.2">
      <c r="A771" s="349" t="s">
        <v>341</v>
      </c>
      <c r="B771" s="359">
        <v>52899</v>
      </c>
      <c r="C771" s="349" t="s">
        <v>2292</v>
      </c>
      <c r="D771" s="349" t="s">
        <v>2293</v>
      </c>
      <c r="E771" s="363">
        <v>246.08</v>
      </c>
      <c r="F771" s="363">
        <v>0</v>
      </c>
      <c r="G771" s="361">
        <v>0</v>
      </c>
      <c r="H771" s="361">
        <v>0</v>
      </c>
      <c r="I771" s="361">
        <v>246.08</v>
      </c>
    </row>
    <row r="772" spans="1:9" x14ac:dyDescent="0.2">
      <c r="A772" s="349" t="s">
        <v>341</v>
      </c>
      <c r="B772" s="359">
        <v>51611</v>
      </c>
      <c r="C772" s="349" t="s">
        <v>2294</v>
      </c>
      <c r="D772" s="349" t="s">
        <v>2295</v>
      </c>
      <c r="E772" s="363">
        <v>429.31</v>
      </c>
      <c r="F772" s="363">
        <v>0</v>
      </c>
      <c r="G772" s="361">
        <v>0</v>
      </c>
      <c r="H772" s="361">
        <v>0</v>
      </c>
      <c r="I772" s="361">
        <v>429.31</v>
      </c>
    </row>
    <row r="773" spans="1:9" x14ac:dyDescent="0.2">
      <c r="A773" s="349" t="s">
        <v>341</v>
      </c>
      <c r="B773" s="359">
        <v>53193</v>
      </c>
      <c r="C773" s="349" t="s">
        <v>2296</v>
      </c>
      <c r="D773" s="349" t="s">
        <v>2297</v>
      </c>
      <c r="E773" s="363">
        <v>316.2</v>
      </c>
      <c r="F773" s="363">
        <v>0</v>
      </c>
      <c r="G773" s="361">
        <v>0</v>
      </c>
      <c r="H773" s="361">
        <v>0</v>
      </c>
      <c r="I773" s="361">
        <v>316.2</v>
      </c>
    </row>
    <row r="774" spans="1:9" x14ac:dyDescent="0.2">
      <c r="A774" s="349" t="s">
        <v>341</v>
      </c>
      <c r="B774" s="359">
        <v>33889</v>
      </c>
      <c r="C774" s="349" t="s">
        <v>2298</v>
      </c>
      <c r="D774" s="349" t="s">
        <v>2299</v>
      </c>
      <c r="E774" s="363">
        <v>220.55</v>
      </c>
      <c r="F774" s="363">
        <v>0</v>
      </c>
      <c r="G774" s="361">
        <v>0</v>
      </c>
      <c r="H774" s="361">
        <v>0</v>
      </c>
      <c r="I774" s="361">
        <v>220.55</v>
      </c>
    </row>
    <row r="775" spans="1:9" x14ac:dyDescent="0.2">
      <c r="A775" s="349" t="s">
        <v>341</v>
      </c>
      <c r="B775" s="359">
        <v>53245</v>
      </c>
      <c r="C775" s="349" t="s">
        <v>2300</v>
      </c>
      <c r="D775" s="349" t="s">
        <v>2301</v>
      </c>
      <c r="E775" s="360">
        <v>2982.45</v>
      </c>
      <c r="F775" s="360">
        <v>3155.19</v>
      </c>
      <c r="G775" s="362">
        <v>1427.78</v>
      </c>
      <c r="H775" s="362">
        <v>-1727.41</v>
      </c>
      <c r="I775" s="362">
        <v>1255.04</v>
      </c>
    </row>
    <row r="776" spans="1:9" x14ac:dyDescent="0.2">
      <c r="A776" s="349" t="s">
        <v>341</v>
      </c>
      <c r="B776" s="359">
        <v>52179</v>
      </c>
      <c r="C776" s="349" t="s">
        <v>2302</v>
      </c>
      <c r="D776" s="349" t="s">
        <v>2303</v>
      </c>
      <c r="E776" s="363">
        <v>201.71</v>
      </c>
      <c r="F776" s="363">
        <v>201.71</v>
      </c>
      <c r="G776" s="361">
        <v>0</v>
      </c>
      <c r="H776" s="361">
        <v>-201.71</v>
      </c>
      <c r="I776" s="361">
        <v>0</v>
      </c>
    </row>
    <row r="777" spans="1:9" x14ac:dyDescent="0.2">
      <c r="A777" s="349" t="s">
        <v>341</v>
      </c>
      <c r="B777" s="359">
        <v>53394</v>
      </c>
      <c r="C777" s="349" t="s">
        <v>2304</v>
      </c>
      <c r="D777" s="349" t="s">
        <v>2305</v>
      </c>
      <c r="E777" s="363">
        <v>652.82000000000005</v>
      </c>
      <c r="F777" s="363">
        <v>0</v>
      </c>
      <c r="G777" s="361">
        <v>0</v>
      </c>
      <c r="H777" s="361">
        <v>0</v>
      </c>
      <c r="I777" s="361">
        <v>652.82000000000005</v>
      </c>
    </row>
    <row r="778" spans="1:9" x14ac:dyDescent="0.2">
      <c r="A778" s="349" t="s">
        <v>341</v>
      </c>
      <c r="B778" s="359">
        <v>37886</v>
      </c>
      <c r="C778" s="349" t="s">
        <v>2306</v>
      </c>
      <c r="D778" s="349" t="s">
        <v>2307</v>
      </c>
      <c r="E778" s="363">
        <v>305.83</v>
      </c>
      <c r="F778" s="363">
        <v>451.51</v>
      </c>
      <c r="G778" s="361">
        <v>245.06</v>
      </c>
      <c r="H778" s="361">
        <v>-206.45</v>
      </c>
      <c r="I778" s="361">
        <v>99.38</v>
      </c>
    </row>
    <row r="779" spans="1:9" x14ac:dyDescent="0.2">
      <c r="A779" s="349" t="s">
        <v>341</v>
      </c>
      <c r="B779" s="359">
        <v>53485</v>
      </c>
      <c r="C779" s="349" t="s">
        <v>2308</v>
      </c>
      <c r="D779" s="349" t="s">
        <v>2309</v>
      </c>
      <c r="E779" s="360">
        <v>1440.03</v>
      </c>
      <c r="F779" s="360">
        <v>1440.03</v>
      </c>
      <c r="G779" s="361">
        <v>736.02</v>
      </c>
      <c r="H779" s="361">
        <v>-704.01</v>
      </c>
      <c r="I779" s="361">
        <v>736.02</v>
      </c>
    </row>
    <row r="780" spans="1:9" x14ac:dyDescent="0.2">
      <c r="A780" s="349" t="s">
        <v>341</v>
      </c>
      <c r="B780" s="359">
        <v>53487</v>
      </c>
      <c r="C780" s="349" t="s">
        <v>2310</v>
      </c>
      <c r="D780" s="349" t="s">
        <v>2311</v>
      </c>
      <c r="E780" s="360">
        <v>1662.68</v>
      </c>
      <c r="F780" s="363">
        <v>0</v>
      </c>
      <c r="G780" s="361">
        <v>0</v>
      </c>
      <c r="H780" s="361">
        <v>0</v>
      </c>
      <c r="I780" s="362">
        <v>1662.68</v>
      </c>
    </row>
    <row r="781" spans="1:9" x14ac:dyDescent="0.2">
      <c r="A781" s="349" t="s">
        <v>341</v>
      </c>
      <c r="B781" s="359">
        <v>53488</v>
      </c>
      <c r="C781" s="349" t="s">
        <v>2312</v>
      </c>
      <c r="D781" s="349" t="s">
        <v>2313</v>
      </c>
      <c r="E781" s="363">
        <v>0</v>
      </c>
      <c r="F781" s="363">
        <v>39.200000000000003</v>
      </c>
      <c r="G781" s="361">
        <v>39.200000000000003</v>
      </c>
      <c r="H781" s="361">
        <v>0</v>
      </c>
      <c r="I781" s="361">
        <v>0</v>
      </c>
    </row>
    <row r="782" spans="1:9" x14ac:dyDescent="0.2">
      <c r="A782" s="349" t="s">
        <v>341</v>
      </c>
      <c r="B782" s="359">
        <v>53492</v>
      </c>
      <c r="C782" s="349" t="s">
        <v>2314</v>
      </c>
      <c r="D782" s="349" t="s">
        <v>2315</v>
      </c>
      <c r="E782" s="363">
        <v>0</v>
      </c>
      <c r="F782" s="363">
        <v>117.6</v>
      </c>
      <c r="G782" s="361">
        <v>117.6</v>
      </c>
      <c r="H782" s="361">
        <v>0</v>
      </c>
      <c r="I782" s="361">
        <v>0</v>
      </c>
    </row>
    <row r="783" spans="1:9" x14ac:dyDescent="0.2">
      <c r="A783" s="349" t="s">
        <v>341</v>
      </c>
      <c r="B783" s="359">
        <v>34185</v>
      </c>
      <c r="C783" s="349" t="s">
        <v>2316</v>
      </c>
      <c r="D783" s="349" t="s">
        <v>2317</v>
      </c>
      <c r="E783" s="363">
        <v>0</v>
      </c>
      <c r="F783" s="363">
        <v>31.65</v>
      </c>
      <c r="G783" s="361">
        <v>31.65</v>
      </c>
      <c r="H783" s="361">
        <v>0</v>
      </c>
      <c r="I783" s="361">
        <v>0</v>
      </c>
    </row>
    <row r="784" spans="1:9" x14ac:dyDescent="0.2">
      <c r="A784" s="349" t="s">
        <v>341</v>
      </c>
      <c r="B784" s="359">
        <v>53517</v>
      </c>
      <c r="C784" s="349" t="s">
        <v>2318</v>
      </c>
      <c r="D784" s="349" t="s">
        <v>2319</v>
      </c>
      <c r="E784" s="363">
        <v>96</v>
      </c>
      <c r="F784" s="363">
        <v>96</v>
      </c>
      <c r="G784" s="361">
        <v>114.8</v>
      </c>
      <c r="H784" s="361">
        <v>18.8</v>
      </c>
      <c r="I784" s="361">
        <v>114.8</v>
      </c>
    </row>
    <row r="785" spans="1:9" x14ac:dyDescent="0.2">
      <c r="A785" s="349" t="s">
        <v>341</v>
      </c>
      <c r="B785" s="359">
        <v>34207</v>
      </c>
      <c r="C785" s="349" t="s">
        <v>2320</v>
      </c>
      <c r="D785" s="349" t="s">
        <v>2321</v>
      </c>
      <c r="E785" s="363">
        <v>243.2</v>
      </c>
      <c r="F785" s="363">
        <v>0</v>
      </c>
      <c r="G785" s="361">
        <v>0</v>
      </c>
      <c r="H785" s="361">
        <v>0</v>
      </c>
      <c r="I785" s="361">
        <v>243.2</v>
      </c>
    </row>
    <row r="786" spans="1:9" x14ac:dyDescent="0.2">
      <c r="A786" s="349" t="s">
        <v>341</v>
      </c>
      <c r="B786" s="359">
        <v>53533</v>
      </c>
      <c r="C786" s="349" t="s">
        <v>2322</v>
      </c>
      <c r="D786" s="349" t="s">
        <v>2323</v>
      </c>
      <c r="E786" s="363">
        <v>33.92</v>
      </c>
      <c r="F786" s="363">
        <v>0</v>
      </c>
      <c r="G786" s="361">
        <v>0</v>
      </c>
      <c r="H786" s="361">
        <v>0</v>
      </c>
      <c r="I786" s="361">
        <v>33.92</v>
      </c>
    </row>
    <row r="787" spans="1:9" x14ac:dyDescent="0.2">
      <c r="A787" s="349" t="s">
        <v>341</v>
      </c>
      <c r="B787" s="359">
        <v>53564</v>
      </c>
      <c r="C787" s="349" t="s">
        <v>2324</v>
      </c>
      <c r="D787" s="349" t="s">
        <v>2325</v>
      </c>
      <c r="E787" s="363">
        <v>16</v>
      </c>
      <c r="F787" s="363">
        <v>0</v>
      </c>
      <c r="G787" s="361">
        <v>0</v>
      </c>
      <c r="H787" s="361">
        <v>0</v>
      </c>
      <c r="I787" s="361">
        <v>16</v>
      </c>
    </row>
    <row r="788" spans="1:9" x14ac:dyDescent="0.2">
      <c r="A788" s="349" t="s">
        <v>341</v>
      </c>
      <c r="B788" s="359">
        <v>53592</v>
      </c>
      <c r="C788" s="349" t="s">
        <v>2326</v>
      </c>
      <c r="D788" s="349" t="s">
        <v>2327</v>
      </c>
      <c r="E788" s="363">
        <v>208.34</v>
      </c>
      <c r="F788" s="360">
        <v>4039.47</v>
      </c>
      <c r="G788" s="362">
        <v>3831.13</v>
      </c>
      <c r="H788" s="361">
        <v>-208.34</v>
      </c>
      <c r="I788" s="361">
        <v>0</v>
      </c>
    </row>
    <row r="789" spans="1:9" x14ac:dyDescent="0.2">
      <c r="A789" s="349" t="s">
        <v>341</v>
      </c>
      <c r="B789" s="359">
        <v>53600</v>
      </c>
      <c r="C789" s="349" t="s">
        <v>2328</v>
      </c>
      <c r="D789" s="349" t="s">
        <v>2329</v>
      </c>
      <c r="E789" s="363">
        <v>39.270000000000003</v>
      </c>
      <c r="F789" s="363">
        <v>0</v>
      </c>
      <c r="G789" s="361">
        <v>0</v>
      </c>
      <c r="H789" s="361">
        <v>0</v>
      </c>
      <c r="I789" s="361">
        <v>39.270000000000003</v>
      </c>
    </row>
    <row r="790" spans="1:9" x14ac:dyDescent="0.2">
      <c r="A790" s="349" t="s">
        <v>341</v>
      </c>
      <c r="B790" s="359">
        <v>53604</v>
      </c>
      <c r="C790" s="349" t="s">
        <v>2330</v>
      </c>
      <c r="D790" s="349" t="s">
        <v>2331</v>
      </c>
      <c r="E790" s="363">
        <v>458.97</v>
      </c>
      <c r="F790" s="363">
        <v>0</v>
      </c>
      <c r="G790" s="361">
        <v>0</v>
      </c>
      <c r="H790" s="361">
        <v>0</v>
      </c>
      <c r="I790" s="361">
        <v>458.97</v>
      </c>
    </row>
    <row r="791" spans="1:9" x14ac:dyDescent="0.2">
      <c r="A791" s="349" t="s">
        <v>341</v>
      </c>
      <c r="B791" s="359">
        <v>37742</v>
      </c>
      <c r="C791" s="349" t="s">
        <v>2332</v>
      </c>
      <c r="D791" s="349" t="s">
        <v>2333</v>
      </c>
      <c r="E791" s="363">
        <v>284.37</v>
      </c>
      <c r="F791" s="363">
        <v>284.37</v>
      </c>
      <c r="G791" s="361">
        <v>0</v>
      </c>
      <c r="H791" s="361">
        <v>-284.37</v>
      </c>
      <c r="I791" s="361">
        <v>0</v>
      </c>
    </row>
    <row r="792" spans="1:9" x14ac:dyDescent="0.2">
      <c r="A792" s="349" t="s">
        <v>341</v>
      </c>
      <c r="B792" s="359">
        <v>36829</v>
      </c>
      <c r="C792" s="349" t="s">
        <v>2334</v>
      </c>
      <c r="D792" s="349" t="s">
        <v>2335</v>
      </c>
      <c r="E792" s="363">
        <v>0</v>
      </c>
      <c r="F792" s="363">
        <v>0</v>
      </c>
      <c r="G792" s="362">
        <v>14250</v>
      </c>
      <c r="H792" s="362">
        <v>14250</v>
      </c>
      <c r="I792" s="362">
        <v>14250</v>
      </c>
    </row>
    <row r="793" spans="1:9" x14ac:dyDescent="0.2">
      <c r="A793" s="349" t="s">
        <v>341</v>
      </c>
      <c r="B793" s="354">
        <v>37181</v>
      </c>
      <c r="C793" s="355" t="s">
        <v>2336</v>
      </c>
      <c r="D793" s="355" t="s">
        <v>2337</v>
      </c>
      <c r="E793" s="356">
        <v>914649.19</v>
      </c>
      <c r="F793" s="356">
        <v>1171225.98</v>
      </c>
      <c r="G793" s="357">
        <v>762787.28</v>
      </c>
      <c r="H793" s="357">
        <v>-408438.7</v>
      </c>
      <c r="I793" s="357">
        <v>506210.49</v>
      </c>
    </row>
    <row r="794" spans="1:9" x14ac:dyDescent="0.2">
      <c r="A794" s="349" t="s">
        <v>341</v>
      </c>
      <c r="B794" s="359">
        <v>33981</v>
      </c>
      <c r="C794" s="349" t="s">
        <v>2338</v>
      </c>
      <c r="D794" s="349" t="s">
        <v>2339</v>
      </c>
      <c r="E794" s="360">
        <v>914649.19</v>
      </c>
      <c r="F794" s="360">
        <v>1171225.98</v>
      </c>
      <c r="G794" s="362">
        <v>762787.28</v>
      </c>
      <c r="H794" s="362">
        <v>-408438.7</v>
      </c>
      <c r="I794" s="362">
        <v>506210.49</v>
      </c>
    </row>
    <row r="795" spans="1:9" x14ac:dyDescent="0.2">
      <c r="A795" s="349" t="s">
        <v>341</v>
      </c>
      <c r="B795" s="354">
        <v>2274</v>
      </c>
      <c r="C795" s="355" t="s">
        <v>2340</v>
      </c>
      <c r="D795" s="355" t="s">
        <v>2341</v>
      </c>
      <c r="E795" s="356">
        <v>7347668.4100000001</v>
      </c>
      <c r="F795" s="356">
        <v>11007578.52</v>
      </c>
      <c r="G795" s="357">
        <v>11001908.84</v>
      </c>
      <c r="H795" s="357">
        <v>-5669.68</v>
      </c>
      <c r="I795" s="357">
        <v>7341998.7300000004</v>
      </c>
    </row>
    <row r="796" spans="1:9" x14ac:dyDescent="0.2">
      <c r="A796" s="349" t="s">
        <v>341</v>
      </c>
      <c r="B796" s="354">
        <v>2275</v>
      </c>
      <c r="C796" s="355" t="s">
        <v>2342</v>
      </c>
      <c r="D796" s="355" t="s">
        <v>2343</v>
      </c>
      <c r="E796" s="356">
        <v>2118677.7999999998</v>
      </c>
      <c r="F796" s="356">
        <v>7987901.9400000004</v>
      </c>
      <c r="G796" s="357">
        <v>8007408.4699999997</v>
      </c>
      <c r="H796" s="357">
        <v>19506.53</v>
      </c>
      <c r="I796" s="357">
        <v>2138184.33</v>
      </c>
    </row>
    <row r="797" spans="1:9" x14ac:dyDescent="0.2">
      <c r="A797" s="349" t="s">
        <v>341</v>
      </c>
      <c r="B797" s="359">
        <v>2285</v>
      </c>
      <c r="C797" s="349" t="s">
        <v>2344</v>
      </c>
      <c r="D797" s="349" t="s">
        <v>2345</v>
      </c>
      <c r="E797" s="360">
        <v>2103877.35</v>
      </c>
      <c r="F797" s="360">
        <v>7845528.29</v>
      </c>
      <c r="G797" s="362">
        <v>7863386.8700000001</v>
      </c>
      <c r="H797" s="362">
        <v>17858.580000000002</v>
      </c>
      <c r="I797" s="362">
        <v>2121735.9300000002</v>
      </c>
    </row>
    <row r="798" spans="1:9" x14ac:dyDescent="0.2">
      <c r="A798" s="349" t="s">
        <v>341</v>
      </c>
      <c r="B798" s="359">
        <v>2298</v>
      </c>
      <c r="C798" s="349" t="s">
        <v>2346</v>
      </c>
      <c r="D798" s="349" t="s">
        <v>2347</v>
      </c>
      <c r="E798" s="360">
        <v>14800.45</v>
      </c>
      <c r="F798" s="360">
        <v>142373.65</v>
      </c>
      <c r="G798" s="362">
        <v>144021.6</v>
      </c>
      <c r="H798" s="362">
        <v>1647.95</v>
      </c>
      <c r="I798" s="362">
        <v>16448.400000000001</v>
      </c>
    </row>
    <row r="799" spans="1:9" x14ac:dyDescent="0.2">
      <c r="A799" s="349" t="s">
        <v>341</v>
      </c>
      <c r="B799" s="354">
        <v>37280</v>
      </c>
      <c r="C799" s="355" t="s">
        <v>2348</v>
      </c>
      <c r="D799" s="355" t="s">
        <v>2349</v>
      </c>
      <c r="E799" s="356">
        <v>3416436.38</v>
      </c>
      <c r="F799" s="356">
        <v>420576.98</v>
      </c>
      <c r="G799" s="357">
        <v>616504.12</v>
      </c>
      <c r="H799" s="357">
        <v>195927.14</v>
      </c>
      <c r="I799" s="357">
        <v>3612363.52</v>
      </c>
    </row>
    <row r="800" spans="1:9" x14ac:dyDescent="0.2">
      <c r="A800" s="349" t="s">
        <v>341</v>
      </c>
      <c r="B800" s="359">
        <v>2064</v>
      </c>
      <c r="C800" s="349" t="s">
        <v>2350</v>
      </c>
      <c r="D800" s="349" t="s">
        <v>2351</v>
      </c>
      <c r="E800" s="360">
        <v>3416436.38</v>
      </c>
      <c r="F800" s="360">
        <v>418011.56</v>
      </c>
      <c r="G800" s="362">
        <v>348434.84</v>
      </c>
      <c r="H800" s="362">
        <v>-69576.72</v>
      </c>
      <c r="I800" s="362">
        <v>3346859.66</v>
      </c>
    </row>
    <row r="801" spans="1:9" x14ac:dyDescent="0.2">
      <c r="A801" s="349" t="s">
        <v>341</v>
      </c>
      <c r="B801" s="359">
        <v>2058</v>
      </c>
      <c r="C801" s="349" t="s">
        <v>2352</v>
      </c>
      <c r="D801" s="349" t="s">
        <v>2353</v>
      </c>
      <c r="E801" s="363">
        <v>0</v>
      </c>
      <c r="F801" s="360">
        <v>2565.42</v>
      </c>
      <c r="G801" s="362">
        <v>268069.28000000003</v>
      </c>
      <c r="H801" s="362">
        <v>265503.86</v>
      </c>
      <c r="I801" s="362">
        <v>265503.86</v>
      </c>
    </row>
    <row r="802" spans="1:9" x14ac:dyDescent="0.2">
      <c r="A802" s="349" t="s">
        <v>341</v>
      </c>
      <c r="B802" s="354">
        <v>4260</v>
      </c>
      <c r="C802" s="355" t="s">
        <v>2354</v>
      </c>
      <c r="D802" s="355" t="s">
        <v>2355</v>
      </c>
      <c r="E802" s="356">
        <v>522879.25</v>
      </c>
      <c r="F802" s="356">
        <v>592740.89</v>
      </c>
      <c r="G802" s="357">
        <v>540983.52</v>
      </c>
      <c r="H802" s="357">
        <v>-51757.37</v>
      </c>
      <c r="I802" s="357">
        <v>471121.88</v>
      </c>
    </row>
    <row r="803" spans="1:9" x14ac:dyDescent="0.2">
      <c r="A803" s="349" t="s">
        <v>341</v>
      </c>
      <c r="B803" s="359">
        <v>4279</v>
      </c>
      <c r="C803" s="349" t="s">
        <v>2356</v>
      </c>
      <c r="D803" s="349" t="s">
        <v>2357</v>
      </c>
      <c r="E803" s="360">
        <v>283372.99</v>
      </c>
      <c r="F803" s="360">
        <v>301376.48</v>
      </c>
      <c r="G803" s="362">
        <v>270000</v>
      </c>
      <c r="H803" s="362">
        <v>-31376.48</v>
      </c>
      <c r="I803" s="362">
        <v>251996.51</v>
      </c>
    </row>
    <row r="804" spans="1:9" x14ac:dyDescent="0.2">
      <c r="A804" s="349" t="s">
        <v>341</v>
      </c>
      <c r="B804" s="359">
        <v>37823</v>
      </c>
      <c r="C804" s="349" t="s">
        <v>2358</v>
      </c>
      <c r="D804" s="349" t="s">
        <v>2359</v>
      </c>
      <c r="E804" s="360">
        <v>19220.11</v>
      </c>
      <c r="F804" s="360">
        <v>19220.11</v>
      </c>
      <c r="G804" s="362">
        <v>22684.42</v>
      </c>
      <c r="H804" s="362">
        <v>3464.31</v>
      </c>
      <c r="I804" s="362">
        <v>22684.42</v>
      </c>
    </row>
    <row r="805" spans="1:9" x14ac:dyDescent="0.2">
      <c r="A805" s="349" t="s">
        <v>341</v>
      </c>
      <c r="B805" s="359">
        <v>37824</v>
      </c>
      <c r="C805" s="349" t="s">
        <v>2360</v>
      </c>
      <c r="D805" s="349" t="s">
        <v>2361</v>
      </c>
      <c r="E805" s="360">
        <v>28104</v>
      </c>
      <c r="F805" s="360">
        <v>56118</v>
      </c>
      <c r="G805" s="362">
        <v>28014</v>
      </c>
      <c r="H805" s="362">
        <v>-28104</v>
      </c>
      <c r="I805" s="361">
        <v>0</v>
      </c>
    </row>
    <row r="806" spans="1:9" x14ac:dyDescent="0.2">
      <c r="A806" s="349" t="s">
        <v>341</v>
      </c>
      <c r="B806" s="359">
        <v>4282</v>
      </c>
      <c r="C806" s="349" t="s">
        <v>2362</v>
      </c>
      <c r="D806" s="349" t="s">
        <v>2363</v>
      </c>
      <c r="E806" s="360">
        <v>143091.66</v>
      </c>
      <c r="F806" s="360">
        <v>143110.22</v>
      </c>
      <c r="G806" s="362">
        <v>144707.91</v>
      </c>
      <c r="H806" s="362">
        <v>1597.69</v>
      </c>
      <c r="I806" s="362">
        <v>144689.35</v>
      </c>
    </row>
    <row r="807" spans="1:9" x14ac:dyDescent="0.2">
      <c r="A807" s="349" t="s">
        <v>341</v>
      </c>
      <c r="B807" s="359">
        <v>4274</v>
      </c>
      <c r="C807" s="349" t="s">
        <v>2364</v>
      </c>
      <c r="D807" s="349" t="s">
        <v>2365</v>
      </c>
      <c r="E807" s="360">
        <v>11624.29</v>
      </c>
      <c r="F807" s="360">
        <v>23248.58</v>
      </c>
      <c r="G807" s="362">
        <v>23104.18</v>
      </c>
      <c r="H807" s="361">
        <v>-144.4</v>
      </c>
      <c r="I807" s="362">
        <v>11479.89</v>
      </c>
    </row>
    <row r="808" spans="1:9" x14ac:dyDescent="0.2">
      <c r="A808" s="349" t="s">
        <v>341</v>
      </c>
      <c r="B808" s="359">
        <v>38316</v>
      </c>
      <c r="C808" s="349" t="s">
        <v>2366</v>
      </c>
      <c r="D808" s="349" t="s">
        <v>2367</v>
      </c>
      <c r="E808" s="360">
        <v>31623.5</v>
      </c>
      <c r="F808" s="360">
        <v>31623.5</v>
      </c>
      <c r="G808" s="362">
        <v>30315.85</v>
      </c>
      <c r="H808" s="362">
        <v>-1307.6500000000001</v>
      </c>
      <c r="I808" s="362">
        <v>30315.85</v>
      </c>
    </row>
    <row r="809" spans="1:9" x14ac:dyDescent="0.2">
      <c r="A809" s="349" t="s">
        <v>341</v>
      </c>
      <c r="B809" s="359">
        <v>51359</v>
      </c>
      <c r="C809" s="349" t="s">
        <v>2368</v>
      </c>
      <c r="D809" s="349" t="s">
        <v>2369</v>
      </c>
      <c r="E809" s="360">
        <v>5842.7</v>
      </c>
      <c r="F809" s="360">
        <v>12528</v>
      </c>
      <c r="G809" s="362">
        <v>14112</v>
      </c>
      <c r="H809" s="362">
        <v>1584</v>
      </c>
      <c r="I809" s="362">
        <v>7426.7</v>
      </c>
    </row>
    <row r="810" spans="1:9" x14ac:dyDescent="0.2">
      <c r="A810" s="349" t="s">
        <v>341</v>
      </c>
      <c r="B810" s="359">
        <v>50983</v>
      </c>
      <c r="C810" s="349" t="s">
        <v>2370</v>
      </c>
      <c r="D810" s="349" t="s">
        <v>2371</v>
      </c>
      <c r="E810" s="363">
        <v>0</v>
      </c>
      <c r="F810" s="360">
        <v>5516</v>
      </c>
      <c r="G810" s="362">
        <v>8045.16</v>
      </c>
      <c r="H810" s="362">
        <v>2529.16</v>
      </c>
      <c r="I810" s="362">
        <v>2529.16</v>
      </c>
    </row>
    <row r="811" spans="1:9" x14ac:dyDescent="0.2">
      <c r="A811" s="349" t="s">
        <v>341</v>
      </c>
      <c r="B811" s="354">
        <v>2112</v>
      </c>
      <c r="C811" s="355" t="s">
        <v>2372</v>
      </c>
      <c r="D811" s="355" t="s">
        <v>2373</v>
      </c>
      <c r="E811" s="356">
        <v>1173413.9099999999</v>
      </c>
      <c r="F811" s="356">
        <v>1935847.61</v>
      </c>
      <c r="G811" s="357">
        <v>1805428.59</v>
      </c>
      <c r="H811" s="357">
        <v>-130419.02</v>
      </c>
      <c r="I811" s="357">
        <v>1042994.89</v>
      </c>
    </row>
    <row r="812" spans="1:9" x14ac:dyDescent="0.2">
      <c r="A812" s="349" t="s">
        <v>341</v>
      </c>
      <c r="B812" s="359">
        <v>12428</v>
      </c>
      <c r="C812" s="349" t="s">
        <v>2374</v>
      </c>
      <c r="D812" s="349" t="s">
        <v>2375</v>
      </c>
      <c r="E812" s="360">
        <v>259902.99</v>
      </c>
      <c r="F812" s="360">
        <v>547929.71</v>
      </c>
      <c r="G812" s="362">
        <v>549540.56999999995</v>
      </c>
      <c r="H812" s="362">
        <v>1610.86</v>
      </c>
      <c r="I812" s="362">
        <v>261513.85</v>
      </c>
    </row>
    <row r="813" spans="1:9" x14ac:dyDescent="0.2">
      <c r="A813" s="349" t="s">
        <v>341</v>
      </c>
      <c r="B813" s="359">
        <v>2129</v>
      </c>
      <c r="C813" s="349" t="s">
        <v>2376</v>
      </c>
      <c r="D813" s="349" t="s">
        <v>2377</v>
      </c>
      <c r="E813" s="360">
        <v>359268.96</v>
      </c>
      <c r="F813" s="360">
        <v>372588.39</v>
      </c>
      <c r="G813" s="362">
        <v>270777.25</v>
      </c>
      <c r="H813" s="362">
        <v>-101811.14</v>
      </c>
      <c r="I813" s="362">
        <v>257457.82</v>
      </c>
    </row>
    <row r="814" spans="1:9" x14ac:dyDescent="0.2">
      <c r="A814" s="349" t="s">
        <v>341</v>
      </c>
      <c r="B814" s="359">
        <v>38241</v>
      </c>
      <c r="C814" s="349" t="s">
        <v>2378</v>
      </c>
      <c r="D814" s="349" t="s">
        <v>2379</v>
      </c>
      <c r="E814" s="363">
        <v>883.21</v>
      </c>
      <c r="F814" s="360">
        <v>477256.19</v>
      </c>
      <c r="G814" s="362">
        <v>477152.53</v>
      </c>
      <c r="H814" s="361">
        <v>-103.66</v>
      </c>
      <c r="I814" s="361">
        <v>779.55</v>
      </c>
    </row>
    <row r="815" spans="1:9" x14ac:dyDescent="0.2">
      <c r="A815" s="349" t="s">
        <v>341</v>
      </c>
      <c r="B815" s="359">
        <v>2141</v>
      </c>
      <c r="C815" s="349" t="s">
        <v>2380</v>
      </c>
      <c r="D815" s="349" t="s">
        <v>2381</v>
      </c>
      <c r="E815" s="360">
        <v>258507.24</v>
      </c>
      <c r="F815" s="360">
        <v>274057.82</v>
      </c>
      <c r="G815" s="362">
        <v>188712.36</v>
      </c>
      <c r="H815" s="362">
        <v>-85345.46</v>
      </c>
      <c r="I815" s="362">
        <v>173161.78</v>
      </c>
    </row>
    <row r="816" spans="1:9" x14ac:dyDescent="0.2">
      <c r="A816" s="349" t="s">
        <v>341</v>
      </c>
      <c r="B816" s="359">
        <v>2149</v>
      </c>
      <c r="C816" s="349" t="s">
        <v>2382</v>
      </c>
      <c r="D816" s="349" t="s">
        <v>2383</v>
      </c>
      <c r="E816" s="360">
        <v>39683.39</v>
      </c>
      <c r="F816" s="360">
        <v>19907.830000000002</v>
      </c>
      <c r="G816" s="362">
        <v>22044.37</v>
      </c>
      <c r="H816" s="362">
        <v>2136.54</v>
      </c>
      <c r="I816" s="362">
        <v>41819.93</v>
      </c>
    </row>
    <row r="817" spans="1:9" x14ac:dyDescent="0.2">
      <c r="A817" s="349" t="s">
        <v>341</v>
      </c>
      <c r="B817" s="359">
        <v>2147</v>
      </c>
      <c r="C817" s="349" t="s">
        <v>2384</v>
      </c>
      <c r="D817" s="349" t="s">
        <v>2385</v>
      </c>
      <c r="E817" s="360">
        <v>54594.8</v>
      </c>
      <c r="F817" s="360">
        <v>54294.45</v>
      </c>
      <c r="G817" s="362">
        <v>65977.039999999994</v>
      </c>
      <c r="H817" s="362">
        <v>11682.59</v>
      </c>
      <c r="I817" s="362">
        <v>66277.39</v>
      </c>
    </row>
    <row r="818" spans="1:9" x14ac:dyDescent="0.2">
      <c r="A818" s="349" t="s">
        <v>341</v>
      </c>
      <c r="B818" s="359">
        <v>2152</v>
      </c>
      <c r="C818" s="349" t="s">
        <v>2386</v>
      </c>
      <c r="D818" s="349" t="s">
        <v>2387</v>
      </c>
      <c r="E818" s="363">
        <v>0</v>
      </c>
      <c r="F818" s="363">
        <v>0</v>
      </c>
      <c r="G818" s="361">
        <v>530.79999999999995</v>
      </c>
      <c r="H818" s="361">
        <v>530.79999999999995</v>
      </c>
      <c r="I818" s="361">
        <v>530.79999999999995</v>
      </c>
    </row>
    <row r="819" spans="1:9" x14ac:dyDescent="0.2">
      <c r="A819" s="349" t="s">
        <v>341</v>
      </c>
      <c r="B819" s="359">
        <v>2182</v>
      </c>
      <c r="C819" s="349" t="s">
        <v>2388</v>
      </c>
      <c r="D819" s="349" t="s">
        <v>2375</v>
      </c>
      <c r="E819" s="360">
        <v>21833.48</v>
      </c>
      <c r="F819" s="360">
        <v>17149.939999999999</v>
      </c>
      <c r="G819" s="362">
        <v>21519.439999999999</v>
      </c>
      <c r="H819" s="362">
        <v>4369.5</v>
      </c>
      <c r="I819" s="362">
        <v>26202.98</v>
      </c>
    </row>
    <row r="820" spans="1:9" x14ac:dyDescent="0.2">
      <c r="A820" s="349" t="s">
        <v>341</v>
      </c>
      <c r="B820" s="359">
        <v>2194</v>
      </c>
      <c r="C820" s="349" t="s">
        <v>2389</v>
      </c>
      <c r="D820" s="349" t="s">
        <v>2390</v>
      </c>
      <c r="E820" s="360">
        <v>178739.84</v>
      </c>
      <c r="F820" s="360">
        <v>172663.28</v>
      </c>
      <c r="G820" s="362">
        <v>209174.23</v>
      </c>
      <c r="H820" s="362">
        <v>36510.949999999997</v>
      </c>
      <c r="I820" s="362">
        <v>215250.79</v>
      </c>
    </row>
    <row r="821" spans="1:9" x14ac:dyDescent="0.2">
      <c r="A821" s="349" t="s">
        <v>341</v>
      </c>
      <c r="B821" s="354">
        <v>2195</v>
      </c>
      <c r="C821" s="355" t="s">
        <v>2391</v>
      </c>
      <c r="D821" s="355" t="s">
        <v>2392</v>
      </c>
      <c r="E821" s="356">
        <v>419600.87</v>
      </c>
      <c r="F821" s="356">
        <v>39134.550000000003</v>
      </c>
      <c r="G821" s="358">
        <v>0</v>
      </c>
      <c r="H821" s="357">
        <v>-39134.550000000003</v>
      </c>
      <c r="I821" s="357">
        <v>380466.32</v>
      </c>
    </row>
    <row r="822" spans="1:9" x14ac:dyDescent="0.2">
      <c r="A822" s="349" t="s">
        <v>341</v>
      </c>
      <c r="B822" s="359">
        <v>34046</v>
      </c>
      <c r="C822" s="349" t="s">
        <v>2393</v>
      </c>
      <c r="D822" s="349" t="s">
        <v>2394</v>
      </c>
      <c r="E822" s="360">
        <v>188158.93</v>
      </c>
      <c r="F822" s="360">
        <v>14768.72</v>
      </c>
      <c r="G822" s="361">
        <v>0</v>
      </c>
      <c r="H822" s="362">
        <v>-14768.72</v>
      </c>
      <c r="I822" s="362">
        <v>173390.21</v>
      </c>
    </row>
    <row r="823" spans="1:9" x14ac:dyDescent="0.2">
      <c r="A823" s="349" t="s">
        <v>341</v>
      </c>
      <c r="B823" s="359">
        <v>33116</v>
      </c>
      <c r="C823" s="349" t="s">
        <v>2395</v>
      </c>
      <c r="D823" s="349" t="s">
        <v>2396</v>
      </c>
      <c r="E823" s="360">
        <v>109469.4</v>
      </c>
      <c r="F823" s="360">
        <v>22984.49</v>
      </c>
      <c r="G823" s="361">
        <v>0</v>
      </c>
      <c r="H823" s="362">
        <v>-22984.49</v>
      </c>
      <c r="I823" s="362">
        <v>86484.91</v>
      </c>
    </row>
    <row r="824" spans="1:9" x14ac:dyDescent="0.2">
      <c r="A824" s="349" t="s">
        <v>341</v>
      </c>
      <c r="B824" s="359">
        <v>52147</v>
      </c>
      <c r="C824" s="349" t="s">
        <v>2397</v>
      </c>
      <c r="D824" s="349" t="s">
        <v>2398</v>
      </c>
      <c r="E824" s="360">
        <v>105396.48</v>
      </c>
      <c r="F824" s="363">
        <v>0</v>
      </c>
      <c r="G824" s="361">
        <v>0</v>
      </c>
      <c r="H824" s="361">
        <v>0</v>
      </c>
      <c r="I824" s="362">
        <v>105396.48</v>
      </c>
    </row>
    <row r="825" spans="1:9" x14ac:dyDescent="0.2">
      <c r="A825" s="349" t="s">
        <v>341</v>
      </c>
      <c r="B825" s="359">
        <v>53146</v>
      </c>
      <c r="C825" s="349" t="s">
        <v>2399</v>
      </c>
      <c r="D825" s="349" t="s">
        <v>2400</v>
      </c>
      <c r="E825" s="360">
        <v>16576.060000000001</v>
      </c>
      <c r="F825" s="360">
        <v>1381.34</v>
      </c>
      <c r="G825" s="361">
        <v>0</v>
      </c>
      <c r="H825" s="362">
        <v>-1381.34</v>
      </c>
      <c r="I825" s="362">
        <v>15194.72</v>
      </c>
    </row>
    <row r="826" spans="1:9" x14ac:dyDescent="0.2">
      <c r="A826" s="349" t="s">
        <v>341</v>
      </c>
      <c r="B826" s="354">
        <v>52168</v>
      </c>
      <c r="C826" s="355" t="s">
        <v>2401</v>
      </c>
      <c r="D826" s="355" t="s">
        <v>2402</v>
      </c>
      <c r="E826" s="356">
        <v>-337839.28</v>
      </c>
      <c r="F826" s="364">
        <v>0</v>
      </c>
      <c r="G826" s="358">
        <v>641.32000000000005</v>
      </c>
      <c r="H826" s="358">
        <v>641.32000000000005</v>
      </c>
      <c r="I826" s="357">
        <v>-337197.96</v>
      </c>
    </row>
    <row r="827" spans="1:9" x14ac:dyDescent="0.2">
      <c r="A827" s="349" t="s">
        <v>341</v>
      </c>
      <c r="B827" s="359">
        <v>52169</v>
      </c>
      <c r="C827" s="349" t="s">
        <v>2403</v>
      </c>
      <c r="D827" s="349" t="s">
        <v>2402</v>
      </c>
      <c r="E827" s="360">
        <v>-322743.24</v>
      </c>
      <c r="F827" s="363">
        <v>0</v>
      </c>
      <c r="G827" s="361">
        <v>0</v>
      </c>
      <c r="H827" s="361">
        <v>0</v>
      </c>
      <c r="I827" s="362">
        <v>-322743.24</v>
      </c>
    </row>
    <row r="828" spans="1:9" x14ac:dyDescent="0.2">
      <c r="A828" s="349" t="s">
        <v>341</v>
      </c>
      <c r="B828" s="359">
        <v>53150</v>
      </c>
      <c r="C828" s="349" t="s">
        <v>2404</v>
      </c>
      <c r="D828" s="349" t="s">
        <v>2405</v>
      </c>
      <c r="E828" s="360">
        <v>-15096.04</v>
      </c>
      <c r="F828" s="363">
        <v>0</v>
      </c>
      <c r="G828" s="361">
        <v>641.32000000000005</v>
      </c>
      <c r="H828" s="361">
        <v>641.32000000000005</v>
      </c>
      <c r="I828" s="362">
        <v>-14454.72</v>
      </c>
    </row>
    <row r="829" spans="1:9" x14ac:dyDescent="0.2">
      <c r="A829" s="349" t="s">
        <v>341</v>
      </c>
      <c r="B829" s="354">
        <v>53063</v>
      </c>
      <c r="C829" s="355" t="s">
        <v>2406</v>
      </c>
      <c r="D829" s="355" t="s">
        <v>2407</v>
      </c>
      <c r="E829" s="356">
        <v>11449.22</v>
      </c>
      <c r="F829" s="356">
        <v>10545.38</v>
      </c>
      <c r="G829" s="357">
        <v>10339.540000000001</v>
      </c>
      <c r="H829" s="358">
        <v>-205.84</v>
      </c>
      <c r="I829" s="357">
        <v>11243.38</v>
      </c>
    </row>
    <row r="830" spans="1:9" x14ac:dyDescent="0.2">
      <c r="A830" s="349" t="s">
        <v>341</v>
      </c>
      <c r="B830" s="359">
        <v>2188</v>
      </c>
      <c r="C830" s="349" t="s">
        <v>2408</v>
      </c>
      <c r="D830" s="349" t="s">
        <v>2409</v>
      </c>
      <c r="E830" s="360">
        <v>3273.56</v>
      </c>
      <c r="F830" s="360">
        <v>6486.6</v>
      </c>
      <c r="G830" s="362">
        <v>6391.95</v>
      </c>
      <c r="H830" s="361">
        <v>-94.65</v>
      </c>
      <c r="I830" s="362">
        <v>3178.91</v>
      </c>
    </row>
    <row r="831" spans="1:9" x14ac:dyDescent="0.2">
      <c r="A831" s="349" t="s">
        <v>341</v>
      </c>
      <c r="B831" s="359">
        <v>2190</v>
      </c>
      <c r="C831" s="349" t="s">
        <v>2410</v>
      </c>
      <c r="D831" s="349" t="s">
        <v>2411</v>
      </c>
      <c r="E831" s="360">
        <v>1030.32</v>
      </c>
      <c r="F831" s="363">
        <v>381.07</v>
      </c>
      <c r="G831" s="361">
        <v>381.07</v>
      </c>
      <c r="H831" s="361">
        <v>0</v>
      </c>
      <c r="I831" s="362">
        <v>1030.32</v>
      </c>
    </row>
    <row r="832" spans="1:9" x14ac:dyDescent="0.2">
      <c r="A832" s="349" t="s">
        <v>341</v>
      </c>
      <c r="B832" s="359">
        <v>2192</v>
      </c>
      <c r="C832" s="349" t="s">
        <v>2412</v>
      </c>
      <c r="D832" s="349" t="s">
        <v>2413</v>
      </c>
      <c r="E832" s="360">
        <v>7145.34</v>
      </c>
      <c r="F832" s="360">
        <v>3677.71</v>
      </c>
      <c r="G832" s="362">
        <v>3566.52</v>
      </c>
      <c r="H832" s="361">
        <v>-111.19</v>
      </c>
      <c r="I832" s="362">
        <v>7034.15</v>
      </c>
    </row>
    <row r="833" spans="1:9" x14ac:dyDescent="0.2">
      <c r="A833" s="349" t="s">
        <v>341</v>
      </c>
      <c r="B833" s="354">
        <v>2160</v>
      </c>
      <c r="C833" s="355" t="s">
        <v>2414</v>
      </c>
      <c r="D833" s="355" t="s">
        <v>2415</v>
      </c>
      <c r="E833" s="356">
        <v>23050.26</v>
      </c>
      <c r="F833" s="356">
        <v>20831.169999999998</v>
      </c>
      <c r="G833" s="357">
        <v>20603.28</v>
      </c>
      <c r="H833" s="358">
        <v>-227.89</v>
      </c>
      <c r="I833" s="357">
        <v>22822.37</v>
      </c>
    </row>
    <row r="834" spans="1:9" x14ac:dyDescent="0.2">
      <c r="A834" s="349" t="s">
        <v>341</v>
      </c>
      <c r="B834" s="359">
        <v>27139</v>
      </c>
      <c r="C834" s="349" t="s">
        <v>2416</v>
      </c>
      <c r="D834" s="349" t="s">
        <v>2417</v>
      </c>
      <c r="E834" s="363">
        <v>0</v>
      </c>
      <c r="F834" s="363">
        <v>300</v>
      </c>
      <c r="G834" s="361">
        <v>700</v>
      </c>
      <c r="H834" s="361">
        <v>400</v>
      </c>
      <c r="I834" s="361">
        <v>400</v>
      </c>
    </row>
    <row r="835" spans="1:9" x14ac:dyDescent="0.2">
      <c r="A835" s="349" t="s">
        <v>341</v>
      </c>
      <c r="B835" s="359">
        <v>2158</v>
      </c>
      <c r="C835" s="349" t="s">
        <v>2418</v>
      </c>
      <c r="D835" s="349" t="s">
        <v>2419</v>
      </c>
      <c r="E835" s="360">
        <v>23050.26</v>
      </c>
      <c r="F835" s="360">
        <v>20254.169999999998</v>
      </c>
      <c r="G835" s="362">
        <v>19626.28</v>
      </c>
      <c r="H835" s="361">
        <v>-627.89</v>
      </c>
      <c r="I835" s="362">
        <v>22422.37</v>
      </c>
    </row>
    <row r="836" spans="1:9" x14ac:dyDescent="0.2">
      <c r="A836" s="349" t="s">
        <v>341</v>
      </c>
      <c r="B836" s="359">
        <v>52615</v>
      </c>
      <c r="C836" s="349" t="s">
        <v>2420</v>
      </c>
      <c r="D836" s="349" t="s">
        <v>2421</v>
      </c>
      <c r="E836" s="363">
        <v>0</v>
      </c>
      <c r="F836" s="363">
        <v>277</v>
      </c>
      <c r="G836" s="361">
        <v>277</v>
      </c>
      <c r="H836" s="361">
        <v>0</v>
      </c>
      <c r="I836" s="361">
        <v>0</v>
      </c>
    </row>
    <row r="837" spans="1:9" x14ac:dyDescent="0.2">
      <c r="A837" s="349" t="s">
        <v>341</v>
      </c>
      <c r="B837" s="354">
        <v>2217</v>
      </c>
      <c r="C837" s="355" t="s">
        <v>2422</v>
      </c>
      <c r="D837" s="355" t="s">
        <v>2423</v>
      </c>
      <c r="E837" s="356">
        <v>6896831.1699999999</v>
      </c>
      <c r="F837" s="356">
        <v>12302023.83</v>
      </c>
      <c r="G837" s="357">
        <v>13151373.890000001</v>
      </c>
      <c r="H837" s="357">
        <v>849350.06</v>
      </c>
      <c r="I837" s="357">
        <v>7746181.2300000004</v>
      </c>
    </row>
    <row r="838" spans="1:9" x14ac:dyDescent="0.2">
      <c r="A838" s="349" t="s">
        <v>341</v>
      </c>
      <c r="B838" s="354">
        <v>2218</v>
      </c>
      <c r="C838" s="355" t="s">
        <v>2424</v>
      </c>
      <c r="D838" s="355" t="s">
        <v>2425</v>
      </c>
      <c r="E838" s="356">
        <v>12989017.689999999</v>
      </c>
      <c r="F838" s="356">
        <v>11192519.32</v>
      </c>
      <c r="G838" s="357">
        <v>12588576.25</v>
      </c>
      <c r="H838" s="357">
        <v>1396056.93</v>
      </c>
      <c r="I838" s="357">
        <v>14385074.619999999</v>
      </c>
    </row>
    <row r="839" spans="1:9" x14ac:dyDescent="0.2">
      <c r="A839" s="349" t="s">
        <v>341</v>
      </c>
      <c r="B839" s="359">
        <v>38068</v>
      </c>
      <c r="C839" s="349" t="s">
        <v>2426</v>
      </c>
      <c r="D839" s="349" t="s">
        <v>2427</v>
      </c>
      <c r="E839" s="360">
        <v>6723520.7999999998</v>
      </c>
      <c r="F839" s="360">
        <v>560293.4</v>
      </c>
      <c r="G839" s="361">
        <v>0</v>
      </c>
      <c r="H839" s="362">
        <v>-560293.4</v>
      </c>
      <c r="I839" s="362">
        <v>6163227.4000000004</v>
      </c>
    </row>
    <row r="840" spans="1:9" x14ac:dyDescent="0.2">
      <c r="A840" s="349" t="s">
        <v>341</v>
      </c>
      <c r="B840" s="359">
        <v>27148</v>
      </c>
      <c r="C840" s="349" t="s">
        <v>2428</v>
      </c>
      <c r="D840" s="349" t="s">
        <v>2429</v>
      </c>
      <c r="E840" s="360">
        <v>4031644.18</v>
      </c>
      <c r="F840" s="360">
        <v>335151.76</v>
      </c>
      <c r="G840" s="361">
        <v>0</v>
      </c>
      <c r="H840" s="362">
        <v>-335151.76</v>
      </c>
      <c r="I840" s="362">
        <v>3696492.42</v>
      </c>
    </row>
    <row r="841" spans="1:9" x14ac:dyDescent="0.2">
      <c r="A841" s="349" t="s">
        <v>341</v>
      </c>
      <c r="B841" s="359">
        <v>2255</v>
      </c>
      <c r="C841" s="349" t="s">
        <v>2430</v>
      </c>
      <c r="D841" s="349" t="s">
        <v>2431</v>
      </c>
      <c r="E841" s="363">
        <v>0</v>
      </c>
      <c r="F841" s="360">
        <v>10000000</v>
      </c>
      <c r="G841" s="362">
        <v>12437548.57</v>
      </c>
      <c r="H841" s="362">
        <v>2437548.5699999998</v>
      </c>
      <c r="I841" s="362">
        <v>2437548.5699999998</v>
      </c>
    </row>
    <row r="842" spans="1:9" x14ac:dyDescent="0.2">
      <c r="A842" s="349" t="s">
        <v>341</v>
      </c>
      <c r="B842" s="359">
        <v>51496</v>
      </c>
      <c r="C842" s="349" t="s">
        <v>2432</v>
      </c>
      <c r="D842" s="349" t="s">
        <v>2433</v>
      </c>
      <c r="E842" s="360">
        <v>2105859.1800000002</v>
      </c>
      <c r="F842" s="360">
        <v>177472.71</v>
      </c>
      <c r="G842" s="361">
        <v>0</v>
      </c>
      <c r="H842" s="362">
        <v>-177472.71</v>
      </c>
      <c r="I842" s="362">
        <v>1928386.47</v>
      </c>
    </row>
    <row r="843" spans="1:9" x14ac:dyDescent="0.2">
      <c r="A843" s="349" t="s">
        <v>341</v>
      </c>
      <c r="B843" s="359">
        <v>52133</v>
      </c>
      <c r="C843" s="349" t="s">
        <v>2434</v>
      </c>
      <c r="D843" s="349" t="s">
        <v>2435</v>
      </c>
      <c r="E843" s="360">
        <v>127993.53</v>
      </c>
      <c r="F843" s="360">
        <v>118157.2</v>
      </c>
      <c r="G843" s="362">
        <v>147599.26</v>
      </c>
      <c r="H843" s="362">
        <v>29442.06</v>
      </c>
      <c r="I843" s="362">
        <v>157435.59</v>
      </c>
    </row>
    <row r="844" spans="1:9" x14ac:dyDescent="0.2">
      <c r="A844" s="349" t="s">
        <v>341</v>
      </c>
      <c r="B844" s="359">
        <v>52832</v>
      </c>
      <c r="C844" s="349" t="s">
        <v>2436</v>
      </c>
      <c r="D844" s="349" t="s">
        <v>2437</v>
      </c>
      <c r="E844" s="363">
        <v>0</v>
      </c>
      <c r="F844" s="360">
        <v>1444.25</v>
      </c>
      <c r="G844" s="362">
        <v>3428.42</v>
      </c>
      <c r="H844" s="362">
        <v>1984.17</v>
      </c>
      <c r="I844" s="362">
        <v>1984.17</v>
      </c>
    </row>
    <row r="845" spans="1:9" x14ac:dyDescent="0.2">
      <c r="A845" s="349" t="s">
        <v>341</v>
      </c>
      <c r="B845" s="354">
        <v>38931</v>
      </c>
      <c r="C845" s="355" t="s">
        <v>2438</v>
      </c>
      <c r="D845" s="355" t="s">
        <v>2439</v>
      </c>
      <c r="E845" s="356">
        <v>-6358642.7800000003</v>
      </c>
      <c r="F845" s="356">
        <v>1058238.25</v>
      </c>
      <c r="G845" s="357">
        <v>548151.86</v>
      </c>
      <c r="H845" s="357">
        <v>-510086.39</v>
      </c>
      <c r="I845" s="357">
        <v>-6868729.1699999999</v>
      </c>
    </row>
    <row r="846" spans="1:9" x14ac:dyDescent="0.2">
      <c r="A846" s="349" t="s">
        <v>341</v>
      </c>
      <c r="B846" s="359">
        <v>38070</v>
      </c>
      <c r="C846" s="349" t="s">
        <v>2440</v>
      </c>
      <c r="D846" s="349" t="s">
        <v>2441</v>
      </c>
      <c r="E846" s="360">
        <v>-4146544.12</v>
      </c>
      <c r="F846" s="363">
        <v>0</v>
      </c>
      <c r="G846" s="362">
        <v>362690.85</v>
      </c>
      <c r="H846" s="362">
        <v>362690.85</v>
      </c>
      <c r="I846" s="362">
        <v>-3783853.27</v>
      </c>
    </row>
    <row r="847" spans="1:9" x14ac:dyDescent="0.2">
      <c r="A847" s="349" t="s">
        <v>341</v>
      </c>
      <c r="B847" s="359">
        <v>37451</v>
      </c>
      <c r="C847" s="349" t="s">
        <v>2442</v>
      </c>
      <c r="D847" s="349" t="s">
        <v>2443</v>
      </c>
      <c r="E847" s="363">
        <v>0</v>
      </c>
      <c r="F847" s="360">
        <v>1058238.25</v>
      </c>
      <c r="G847" s="361">
        <v>0</v>
      </c>
      <c r="H847" s="362">
        <v>-1058238.25</v>
      </c>
      <c r="I847" s="362">
        <v>-1058238.25</v>
      </c>
    </row>
    <row r="848" spans="1:9" x14ac:dyDescent="0.2">
      <c r="A848" s="349" t="s">
        <v>341</v>
      </c>
      <c r="B848" s="359">
        <v>51498</v>
      </c>
      <c r="C848" s="349" t="s">
        <v>2444</v>
      </c>
      <c r="D848" s="349" t="s">
        <v>2445</v>
      </c>
      <c r="E848" s="360">
        <v>-694094.46</v>
      </c>
      <c r="F848" s="363">
        <v>0</v>
      </c>
      <c r="G848" s="362">
        <v>59825.65</v>
      </c>
      <c r="H848" s="362">
        <v>59825.65</v>
      </c>
      <c r="I848" s="362">
        <v>-634268.81000000006</v>
      </c>
    </row>
    <row r="849" spans="1:9" x14ac:dyDescent="0.2">
      <c r="A849" s="349" t="s">
        <v>341</v>
      </c>
      <c r="B849" s="359">
        <v>37858</v>
      </c>
      <c r="C849" s="349" t="s">
        <v>2446</v>
      </c>
      <c r="D849" s="349" t="s">
        <v>2447</v>
      </c>
      <c r="E849" s="360">
        <v>-1431644.14</v>
      </c>
      <c r="F849" s="363">
        <v>0</v>
      </c>
      <c r="G849" s="362">
        <v>118485.09</v>
      </c>
      <c r="H849" s="362">
        <v>118485.09</v>
      </c>
      <c r="I849" s="362">
        <v>-1313159.05</v>
      </c>
    </row>
    <row r="850" spans="1:9" x14ac:dyDescent="0.2">
      <c r="A850" s="349" t="s">
        <v>341</v>
      </c>
      <c r="B850" s="359">
        <v>52459</v>
      </c>
      <c r="C850" s="349" t="s">
        <v>2448</v>
      </c>
      <c r="D850" s="349" t="s">
        <v>2449</v>
      </c>
      <c r="E850" s="360">
        <v>-86360.06</v>
      </c>
      <c r="F850" s="363">
        <v>0</v>
      </c>
      <c r="G850" s="362">
        <v>7150.27</v>
      </c>
      <c r="H850" s="362">
        <v>7150.27</v>
      </c>
      <c r="I850" s="362">
        <v>-79209.789999999994</v>
      </c>
    </row>
    <row r="851" spans="1:9" x14ac:dyDescent="0.2">
      <c r="A851" s="349" t="s">
        <v>341</v>
      </c>
      <c r="B851" s="354">
        <v>2257</v>
      </c>
      <c r="C851" s="355" t="s">
        <v>2450</v>
      </c>
      <c r="D851" s="355" t="s">
        <v>2451</v>
      </c>
      <c r="E851" s="356">
        <v>377500.04</v>
      </c>
      <c r="F851" s="356">
        <v>51266.26</v>
      </c>
      <c r="G851" s="358">
        <v>0</v>
      </c>
      <c r="H851" s="357">
        <v>-51266.26</v>
      </c>
      <c r="I851" s="357">
        <v>326233.78000000003</v>
      </c>
    </row>
    <row r="852" spans="1:9" x14ac:dyDescent="0.2">
      <c r="A852" s="349" t="s">
        <v>341</v>
      </c>
      <c r="B852" s="359">
        <v>12457</v>
      </c>
      <c r="C852" s="349" t="s">
        <v>2452</v>
      </c>
      <c r="D852" s="349" t="s">
        <v>2453</v>
      </c>
      <c r="E852" s="360">
        <v>5158.6499999999996</v>
      </c>
      <c r="F852" s="363">
        <v>888.31</v>
      </c>
      <c r="G852" s="361">
        <v>0</v>
      </c>
      <c r="H852" s="361">
        <v>-888.31</v>
      </c>
      <c r="I852" s="362">
        <v>4270.34</v>
      </c>
    </row>
    <row r="853" spans="1:9" x14ac:dyDescent="0.2">
      <c r="A853" s="349" t="s">
        <v>341</v>
      </c>
      <c r="B853" s="359">
        <v>51721</v>
      </c>
      <c r="C853" s="349" t="s">
        <v>2454</v>
      </c>
      <c r="D853" s="349" t="s">
        <v>2455</v>
      </c>
      <c r="E853" s="360">
        <v>154480.91</v>
      </c>
      <c r="F853" s="360">
        <v>32222.91</v>
      </c>
      <c r="G853" s="361">
        <v>0</v>
      </c>
      <c r="H853" s="362">
        <v>-32222.91</v>
      </c>
      <c r="I853" s="362">
        <v>122258</v>
      </c>
    </row>
    <row r="854" spans="1:9" x14ac:dyDescent="0.2">
      <c r="A854" s="349" t="s">
        <v>341</v>
      </c>
      <c r="B854" s="359">
        <v>52603</v>
      </c>
      <c r="C854" s="349" t="s">
        <v>2456</v>
      </c>
      <c r="D854" s="349" t="s">
        <v>2457</v>
      </c>
      <c r="E854" s="360">
        <v>217860.48000000001</v>
      </c>
      <c r="F854" s="360">
        <v>18155.04</v>
      </c>
      <c r="G854" s="361">
        <v>0</v>
      </c>
      <c r="H854" s="362">
        <v>-18155.04</v>
      </c>
      <c r="I854" s="362">
        <v>199705.44</v>
      </c>
    </row>
    <row r="855" spans="1:9" x14ac:dyDescent="0.2">
      <c r="A855" s="349" t="s">
        <v>341</v>
      </c>
      <c r="B855" s="354">
        <v>38932</v>
      </c>
      <c r="C855" s="355" t="s">
        <v>2458</v>
      </c>
      <c r="D855" s="355" t="s">
        <v>2459</v>
      </c>
      <c r="E855" s="356">
        <v>-111043.78</v>
      </c>
      <c r="F855" s="364">
        <v>0</v>
      </c>
      <c r="G855" s="357">
        <v>14645.78</v>
      </c>
      <c r="H855" s="357">
        <v>14645.78</v>
      </c>
      <c r="I855" s="357">
        <v>-96398</v>
      </c>
    </row>
    <row r="856" spans="1:9" x14ac:dyDescent="0.2">
      <c r="A856" s="349" t="s">
        <v>341</v>
      </c>
      <c r="B856" s="359">
        <v>36899</v>
      </c>
      <c r="C856" s="349" t="s">
        <v>2460</v>
      </c>
      <c r="D856" s="349" t="s">
        <v>907</v>
      </c>
      <c r="E856" s="360">
        <v>-1143.99</v>
      </c>
      <c r="F856" s="363">
        <v>0</v>
      </c>
      <c r="G856" s="361">
        <v>193.84</v>
      </c>
      <c r="H856" s="361">
        <v>193.84</v>
      </c>
      <c r="I856" s="361">
        <v>-950.15</v>
      </c>
    </row>
    <row r="857" spans="1:9" x14ac:dyDescent="0.2">
      <c r="A857" s="349" t="s">
        <v>341</v>
      </c>
      <c r="B857" s="359">
        <v>51755</v>
      </c>
      <c r="C857" s="349" t="s">
        <v>2461</v>
      </c>
      <c r="D857" s="349" t="s">
        <v>907</v>
      </c>
      <c r="E857" s="360">
        <v>-40402.99</v>
      </c>
      <c r="F857" s="363">
        <v>0</v>
      </c>
      <c r="G857" s="362">
        <v>11204.7</v>
      </c>
      <c r="H857" s="362">
        <v>11204.7</v>
      </c>
      <c r="I857" s="362">
        <v>-29198.29</v>
      </c>
    </row>
    <row r="858" spans="1:9" x14ac:dyDescent="0.2">
      <c r="A858" s="349" t="s">
        <v>341</v>
      </c>
      <c r="B858" s="359">
        <v>52605</v>
      </c>
      <c r="C858" s="349" t="s">
        <v>2462</v>
      </c>
      <c r="D858" s="349" t="s">
        <v>2463</v>
      </c>
      <c r="E858" s="360">
        <v>-69496.800000000003</v>
      </c>
      <c r="F858" s="363">
        <v>0</v>
      </c>
      <c r="G858" s="362">
        <v>3247.24</v>
      </c>
      <c r="H858" s="362">
        <v>3247.24</v>
      </c>
      <c r="I858" s="362">
        <v>-66249.56</v>
      </c>
    </row>
    <row r="859" spans="1:9" x14ac:dyDescent="0.2">
      <c r="A859" s="349" t="s">
        <v>341</v>
      </c>
      <c r="B859" s="354">
        <v>2305</v>
      </c>
      <c r="C859" s="355" t="s">
        <v>2464</v>
      </c>
      <c r="D859" s="355" t="s">
        <v>2465</v>
      </c>
      <c r="E859" s="356">
        <v>7355358.2599999998</v>
      </c>
      <c r="F859" s="356">
        <v>5136759.53</v>
      </c>
      <c r="G859" s="357">
        <v>4345256.75</v>
      </c>
      <c r="H859" s="357">
        <v>-791502.78</v>
      </c>
      <c r="I859" s="357">
        <v>6563855.4800000004</v>
      </c>
    </row>
    <row r="860" spans="1:9" x14ac:dyDescent="0.2">
      <c r="A860" s="349" t="s">
        <v>341</v>
      </c>
      <c r="B860" s="354">
        <v>2313</v>
      </c>
      <c r="C860" s="355" t="s">
        <v>2466</v>
      </c>
      <c r="D860" s="355" t="s">
        <v>2467</v>
      </c>
      <c r="E860" s="356">
        <v>3701283.02</v>
      </c>
      <c r="F860" s="356">
        <v>3143474.11</v>
      </c>
      <c r="G860" s="357">
        <v>2223052.62</v>
      </c>
      <c r="H860" s="357">
        <v>-920421.49</v>
      </c>
      <c r="I860" s="357">
        <v>2780861.53</v>
      </c>
    </row>
    <row r="861" spans="1:9" x14ac:dyDescent="0.2">
      <c r="A861" s="349" t="s">
        <v>341</v>
      </c>
      <c r="B861" s="359">
        <v>52702</v>
      </c>
      <c r="C861" s="349" t="s">
        <v>2468</v>
      </c>
      <c r="D861" s="349" t="s">
        <v>2469</v>
      </c>
      <c r="E861" s="363">
        <v>0</v>
      </c>
      <c r="F861" s="360">
        <v>1032.79</v>
      </c>
      <c r="G861" s="362">
        <v>1032.79</v>
      </c>
      <c r="H861" s="361">
        <v>0</v>
      </c>
      <c r="I861" s="361">
        <v>0</v>
      </c>
    </row>
    <row r="862" spans="1:9" x14ac:dyDescent="0.2">
      <c r="A862" s="349" t="s">
        <v>341</v>
      </c>
      <c r="B862" s="359">
        <v>52665</v>
      </c>
      <c r="C862" s="349" t="s">
        <v>2470</v>
      </c>
      <c r="D862" s="349" t="s">
        <v>2471</v>
      </c>
      <c r="E862" s="363">
        <v>791.8</v>
      </c>
      <c r="F862" s="363">
        <v>791.8</v>
      </c>
      <c r="G862" s="361">
        <v>968</v>
      </c>
      <c r="H862" s="361">
        <v>176.2</v>
      </c>
      <c r="I862" s="361">
        <v>968</v>
      </c>
    </row>
    <row r="863" spans="1:9" x14ac:dyDescent="0.2">
      <c r="A863" s="349" t="s">
        <v>341</v>
      </c>
      <c r="B863" s="359">
        <v>2366</v>
      </c>
      <c r="C863" s="349" t="s">
        <v>2472</v>
      </c>
      <c r="D863" s="349" t="s">
        <v>2473</v>
      </c>
      <c r="E863" s="360">
        <v>72359.850000000006</v>
      </c>
      <c r="F863" s="360">
        <v>56430.39</v>
      </c>
      <c r="G863" s="362">
        <v>46363.41</v>
      </c>
      <c r="H863" s="362">
        <v>-10066.98</v>
      </c>
      <c r="I863" s="362">
        <v>62292.87</v>
      </c>
    </row>
    <row r="864" spans="1:9" x14ac:dyDescent="0.2">
      <c r="A864" s="349" t="s">
        <v>341</v>
      </c>
      <c r="B864" s="359">
        <v>12449</v>
      </c>
      <c r="C864" s="349" t="s">
        <v>2474</v>
      </c>
      <c r="D864" s="349" t="s">
        <v>2475</v>
      </c>
      <c r="E864" s="360">
        <v>28704.5</v>
      </c>
      <c r="F864" s="363">
        <v>0</v>
      </c>
      <c r="G864" s="361">
        <v>0</v>
      </c>
      <c r="H864" s="361">
        <v>0</v>
      </c>
      <c r="I864" s="362">
        <v>28704.5</v>
      </c>
    </row>
    <row r="865" spans="1:9" x14ac:dyDescent="0.2">
      <c r="A865" s="349" t="s">
        <v>341</v>
      </c>
      <c r="B865" s="359">
        <v>3664</v>
      </c>
      <c r="C865" s="349" t="s">
        <v>2476</v>
      </c>
      <c r="D865" s="349" t="s">
        <v>2477</v>
      </c>
      <c r="E865" s="363">
        <v>625.5</v>
      </c>
      <c r="F865" s="363">
        <v>943.97</v>
      </c>
      <c r="G865" s="361">
        <v>799.99</v>
      </c>
      <c r="H865" s="361">
        <v>-143.97999999999999</v>
      </c>
      <c r="I865" s="361">
        <v>481.52</v>
      </c>
    </row>
    <row r="866" spans="1:9" x14ac:dyDescent="0.2">
      <c r="A866" s="349" t="s">
        <v>341</v>
      </c>
      <c r="B866" s="359">
        <v>38600</v>
      </c>
      <c r="C866" s="349" t="s">
        <v>2478</v>
      </c>
      <c r="D866" s="349" t="s">
        <v>2479</v>
      </c>
      <c r="E866" s="360">
        <v>12540.52</v>
      </c>
      <c r="F866" s="360">
        <v>14179.66</v>
      </c>
      <c r="G866" s="362">
        <v>14179.48</v>
      </c>
      <c r="H866" s="361">
        <v>-0.18</v>
      </c>
      <c r="I866" s="362">
        <v>12540.34</v>
      </c>
    </row>
    <row r="867" spans="1:9" x14ac:dyDescent="0.2">
      <c r="A867" s="349" t="s">
        <v>341</v>
      </c>
      <c r="B867" s="359">
        <v>2399</v>
      </c>
      <c r="C867" s="349" t="s">
        <v>2480</v>
      </c>
      <c r="D867" s="349" t="s">
        <v>2481</v>
      </c>
      <c r="E867" s="360">
        <v>19772.46</v>
      </c>
      <c r="F867" s="360">
        <v>20752.28</v>
      </c>
      <c r="G867" s="362">
        <v>11967.87</v>
      </c>
      <c r="H867" s="362">
        <v>-8784.41</v>
      </c>
      <c r="I867" s="362">
        <v>10988.05</v>
      </c>
    </row>
    <row r="868" spans="1:9" x14ac:dyDescent="0.2">
      <c r="A868" s="349" t="s">
        <v>341</v>
      </c>
      <c r="B868" s="359">
        <v>37957</v>
      </c>
      <c r="C868" s="349" t="s">
        <v>2482</v>
      </c>
      <c r="D868" s="349" t="s">
        <v>2483</v>
      </c>
      <c r="E868" s="360">
        <v>6845</v>
      </c>
      <c r="F868" s="360">
        <v>18314</v>
      </c>
      <c r="G868" s="362">
        <v>11469</v>
      </c>
      <c r="H868" s="362">
        <v>-6845</v>
      </c>
      <c r="I868" s="361">
        <v>0</v>
      </c>
    </row>
    <row r="869" spans="1:9" x14ac:dyDescent="0.2">
      <c r="A869" s="349" t="s">
        <v>341</v>
      </c>
      <c r="B869" s="359">
        <v>52644</v>
      </c>
      <c r="C869" s="349" t="s">
        <v>2484</v>
      </c>
      <c r="D869" s="349" t="s">
        <v>2485</v>
      </c>
      <c r="E869" s="363">
        <v>0</v>
      </c>
      <c r="F869" s="360">
        <v>20013.04</v>
      </c>
      <c r="G869" s="362">
        <v>20013.04</v>
      </c>
      <c r="H869" s="361">
        <v>0</v>
      </c>
      <c r="I869" s="361">
        <v>0</v>
      </c>
    </row>
    <row r="870" spans="1:9" x14ac:dyDescent="0.2">
      <c r="A870" s="349" t="s">
        <v>341</v>
      </c>
      <c r="B870" s="359">
        <v>52827</v>
      </c>
      <c r="C870" s="349" t="s">
        <v>2486</v>
      </c>
      <c r="D870" s="349" t="s">
        <v>2487</v>
      </c>
      <c r="E870" s="360">
        <v>4100</v>
      </c>
      <c r="F870" s="360">
        <v>4100</v>
      </c>
      <c r="G870" s="361">
        <v>0</v>
      </c>
      <c r="H870" s="362">
        <v>-4100</v>
      </c>
      <c r="I870" s="361">
        <v>0</v>
      </c>
    </row>
    <row r="871" spans="1:9" x14ac:dyDescent="0.2">
      <c r="A871" s="349" t="s">
        <v>341</v>
      </c>
      <c r="B871" s="359">
        <v>51364</v>
      </c>
      <c r="C871" s="349" t="s">
        <v>2488</v>
      </c>
      <c r="D871" s="349" t="s">
        <v>2489</v>
      </c>
      <c r="E871" s="363">
        <v>245</v>
      </c>
      <c r="F871" s="363">
        <v>245</v>
      </c>
      <c r="G871" s="361">
        <v>140</v>
      </c>
      <c r="H871" s="361">
        <v>-105</v>
      </c>
      <c r="I871" s="361">
        <v>140</v>
      </c>
    </row>
    <row r="872" spans="1:9" x14ac:dyDescent="0.2">
      <c r="A872" s="349" t="s">
        <v>341</v>
      </c>
      <c r="B872" s="359">
        <v>2417</v>
      </c>
      <c r="C872" s="349" t="s">
        <v>2490</v>
      </c>
      <c r="D872" s="349" t="s">
        <v>2491</v>
      </c>
      <c r="E872" s="363">
        <v>0</v>
      </c>
      <c r="F872" s="363">
        <v>0</v>
      </c>
      <c r="G872" s="361">
        <v>129.1</v>
      </c>
      <c r="H872" s="361">
        <v>129.1</v>
      </c>
      <c r="I872" s="361">
        <v>129.1</v>
      </c>
    </row>
    <row r="873" spans="1:9" x14ac:dyDescent="0.2">
      <c r="A873" s="349" t="s">
        <v>341</v>
      </c>
      <c r="B873" s="359">
        <v>51631</v>
      </c>
      <c r="C873" s="349" t="s">
        <v>2492</v>
      </c>
      <c r="D873" s="349" t="s">
        <v>2493</v>
      </c>
      <c r="E873" s="360">
        <v>1081.3399999999999</v>
      </c>
      <c r="F873" s="360">
        <v>2564.64</v>
      </c>
      <c r="G873" s="362">
        <v>1483.3</v>
      </c>
      <c r="H873" s="362">
        <v>-1081.3399999999999</v>
      </c>
      <c r="I873" s="361">
        <v>0</v>
      </c>
    </row>
    <row r="874" spans="1:9" x14ac:dyDescent="0.2">
      <c r="A874" s="349" t="s">
        <v>341</v>
      </c>
      <c r="B874" s="359">
        <v>38666</v>
      </c>
      <c r="C874" s="349" t="s">
        <v>2494</v>
      </c>
      <c r="D874" s="349" t="s">
        <v>2495</v>
      </c>
      <c r="E874" s="360">
        <v>21622.68</v>
      </c>
      <c r="F874" s="360">
        <v>27935.279999999999</v>
      </c>
      <c r="G874" s="362">
        <v>18544.8</v>
      </c>
      <c r="H874" s="362">
        <v>-9390.48</v>
      </c>
      <c r="I874" s="362">
        <v>12232.2</v>
      </c>
    </row>
    <row r="875" spans="1:9" x14ac:dyDescent="0.2">
      <c r="A875" s="349" t="s">
        <v>341</v>
      </c>
      <c r="B875" s="359">
        <v>33813</v>
      </c>
      <c r="C875" s="349" t="s">
        <v>2496</v>
      </c>
      <c r="D875" s="349" t="s">
        <v>2497</v>
      </c>
      <c r="E875" s="363">
        <v>0</v>
      </c>
      <c r="F875" s="363">
        <v>0</v>
      </c>
      <c r="G875" s="361">
        <v>327.82</v>
      </c>
      <c r="H875" s="361">
        <v>327.82</v>
      </c>
      <c r="I875" s="361">
        <v>327.82</v>
      </c>
    </row>
    <row r="876" spans="1:9" x14ac:dyDescent="0.2">
      <c r="A876" s="349" t="s">
        <v>341</v>
      </c>
      <c r="B876" s="359">
        <v>37690</v>
      </c>
      <c r="C876" s="349" t="s">
        <v>2498</v>
      </c>
      <c r="D876" s="349" t="s">
        <v>2499</v>
      </c>
      <c r="E876" s="360">
        <v>1020</v>
      </c>
      <c r="F876" s="360">
        <v>2040</v>
      </c>
      <c r="G876" s="362">
        <v>1020</v>
      </c>
      <c r="H876" s="362">
        <v>-1020</v>
      </c>
      <c r="I876" s="361">
        <v>0</v>
      </c>
    </row>
    <row r="877" spans="1:9" x14ac:dyDescent="0.2">
      <c r="A877" s="349" t="s">
        <v>341</v>
      </c>
      <c r="B877" s="359">
        <v>33795</v>
      </c>
      <c r="C877" s="349" t="s">
        <v>2500</v>
      </c>
      <c r="D877" s="349" t="s">
        <v>2501</v>
      </c>
      <c r="E877" s="363">
        <v>0</v>
      </c>
      <c r="F877" s="363">
        <v>0</v>
      </c>
      <c r="G877" s="361">
        <v>576.26</v>
      </c>
      <c r="H877" s="361">
        <v>576.26</v>
      </c>
      <c r="I877" s="361">
        <v>576.26</v>
      </c>
    </row>
    <row r="878" spans="1:9" x14ac:dyDescent="0.2">
      <c r="A878" s="349" t="s">
        <v>341</v>
      </c>
      <c r="B878" s="359">
        <v>32471</v>
      </c>
      <c r="C878" s="349" t="s">
        <v>2502</v>
      </c>
      <c r="D878" s="349" t="s">
        <v>2503</v>
      </c>
      <c r="E878" s="363">
        <v>430.77</v>
      </c>
      <c r="F878" s="360">
        <v>4115.3100000000004</v>
      </c>
      <c r="G878" s="362">
        <v>8393.7900000000009</v>
      </c>
      <c r="H878" s="362">
        <v>4278.4799999999996</v>
      </c>
      <c r="I878" s="362">
        <v>4709.25</v>
      </c>
    </row>
    <row r="879" spans="1:9" x14ac:dyDescent="0.2">
      <c r="A879" s="349" t="s">
        <v>341</v>
      </c>
      <c r="B879" s="359">
        <v>52111</v>
      </c>
      <c r="C879" s="349" t="s">
        <v>2504</v>
      </c>
      <c r="D879" s="349" t="s">
        <v>2505</v>
      </c>
      <c r="E879" s="360">
        <v>11271.12</v>
      </c>
      <c r="F879" s="360">
        <v>10946.77</v>
      </c>
      <c r="G879" s="362">
        <v>4559.08</v>
      </c>
      <c r="H879" s="362">
        <v>-6387.69</v>
      </c>
      <c r="I879" s="362">
        <v>4883.43</v>
      </c>
    </row>
    <row r="880" spans="1:9" x14ac:dyDescent="0.2">
      <c r="A880" s="349" t="s">
        <v>341</v>
      </c>
      <c r="B880" s="359">
        <v>2459</v>
      </c>
      <c r="C880" s="349" t="s">
        <v>2506</v>
      </c>
      <c r="D880" s="349" t="s">
        <v>2507</v>
      </c>
      <c r="E880" s="360">
        <v>30379.75</v>
      </c>
      <c r="F880" s="363">
        <v>0</v>
      </c>
      <c r="G880" s="361">
        <v>0</v>
      </c>
      <c r="H880" s="361">
        <v>0</v>
      </c>
      <c r="I880" s="362">
        <v>30379.75</v>
      </c>
    </row>
    <row r="881" spans="1:9" x14ac:dyDescent="0.2">
      <c r="A881" s="349" t="s">
        <v>341</v>
      </c>
      <c r="B881" s="359">
        <v>52685</v>
      </c>
      <c r="C881" s="349" t="s">
        <v>2508</v>
      </c>
      <c r="D881" s="349" t="s">
        <v>2509</v>
      </c>
      <c r="E881" s="360">
        <v>9124.5400000000009</v>
      </c>
      <c r="F881" s="360">
        <v>15901.66</v>
      </c>
      <c r="G881" s="362">
        <v>12647.01</v>
      </c>
      <c r="H881" s="362">
        <v>-3254.65</v>
      </c>
      <c r="I881" s="362">
        <v>5869.89</v>
      </c>
    </row>
    <row r="882" spans="1:9" x14ac:dyDescent="0.2">
      <c r="A882" s="349" t="s">
        <v>341</v>
      </c>
      <c r="B882" s="359">
        <v>51976</v>
      </c>
      <c r="C882" s="349" t="s">
        <v>2510</v>
      </c>
      <c r="D882" s="349" t="s">
        <v>2511</v>
      </c>
      <c r="E882" s="360">
        <v>1561.4</v>
      </c>
      <c r="F882" s="360">
        <v>1561.4</v>
      </c>
      <c r="G882" s="361">
        <v>0</v>
      </c>
      <c r="H882" s="362">
        <v>-1561.4</v>
      </c>
      <c r="I882" s="361">
        <v>0</v>
      </c>
    </row>
    <row r="883" spans="1:9" x14ac:dyDescent="0.2">
      <c r="A883" s="349" t="s">
        <v>341</v>
      </c>
      <c r="B883" s="359">
        <v>51427</v>
      </c>
      <c r="C883" s="349" t="s">
        <v>2512</v>
      </c>
      <c r="D883" s="349" t="s">
        <v>2513</v>
      </c>
      <c r="E883" s="363">
        <v>0</v>
      </c>
      <c r="F883" s="360">
        <v>2218.5</v>
      </c>
      <c r="G883" s="362">
        <v>2218.5</v>
      </c>
      <c r="H883" s="361">
        <v>0</v>
      </c>
      <c r="I883" s="361">
        <v>0</v>
      </c>
    </row>
    <row r="884" spans="1:9" x14ac:dyDescent="0.2">
      <c r="A884" s="349" t="s">
        <v>341</v>
      </c>
      <c r="B884" s="359">
        <v>51642</v>
      </c>
      <c r="C884" s="349" t="s">
        <v>2514</v>
      </c>
      <c r="D884" s="349" t="s">
        <v>2515</v>
      </c>
      <c r="E884" s="363">
        <v>833.35</v>
      </c>
      <c r="F884" s="363">
        <v>833.35</v>
      </c>
      <c r="G884" s="361">
        <v>833.35</v>
      </c>
      <c r="H884" s="361">
        <v>0</v>
      </c>
      <c r="I884" s="361">
        <v>833.35</v>
      </c>
    </row>
    <row r="885" spans="1:9" x14ac:dyDescent="0.2">
      <c r="A885" s="349" t="s">
        <v>341</v>
      </c>
      <c r="B885" s="359">
        <v>38346</v>
      </c>
      <c r="C885" s="349" t="s">
        <v>2516</v>
      </c>
      <c r="D885" s="349" t="s">
        <v>2517</v>
      </c>
      <c r="E885" s="363">
        <v>543.6</v>
      </c>
      <c r="F885" s="363">
        <v>543.6</v>
      </c>
      <c r="G885" s="361">
        <v>600</v>
      </c>
      <c r="H885" s="361">
        <v>56.4</v>
      </c>
      <c r="I885" s="361">
        <v>600</v>
      </c>
    </row>
    <row r="886" spans="1:9" x14ac:dyDescent="0.2">
      <c r="A886" s="349" t="s">
        <v>341</v>
      </c>
      <c r="B886" s="359">
        <v>38018</v>
      </c>
      <c r="C886" s="349" t="s">
        <v>2518</v>
      </c>
      <c r="D886" s="349" t="s">
        <v>2519</v>
      </c>
      <c r="E886" s="360">
        <v>16831.22</v>
      </c>
      <c r="F886" s="360">
        <v>20501.23</v>
      </c>
      <c r="G886" s="362">
        <v>11473.62</v>
      </c>
      <c r="H886" s="362">
        <v>-9027.61</v>
      </c>
      <c r="I886" s="362">
        <v>7803.61</v>
      </c>
    </row>
    <row r="887" spans="1:9" x14ac:dyDescent="0.2">
      <c r="A887" s="349" t="s">
        <v>341</v>
      </c>
      <c r="B887" s="359">
        <v>51917</v>
      </c>
      <c r="C887" s="349" t="s">
        <v>2520</v>
      </c>
      <c r="D887" s="349" t="s">
        <v>2521</v>
      </c>
      <c r="E887" s="360">
        <v>3945</v>
      </c>
      <c r="F887" s="360">
        <v>5587</v>
      </c>
      <c r="G887" s="362">
        <v>3492</v>
      </c>
      <c r="H887" s="362">
        <v>-2095</v>
      </c>
      <c r="I887" s="362">
        <v>1850</v>
      </c>
    </row>
    <row r="888" spans="1:9" x14ac:dyDescent="0.2">
      <c r="A888" s="349" t="s">
        <v>341</v>
      </c>
      <c r="B888" s="359">
        <v>52765</v>
      </c>
      <c r="C888" s="349" t="s">
        <v>2522</v>
      </c>
      <c r="D888" s="349" t="s">
        <v>2523</v>
      </c>
      <c r="E888" s="360">
        <v>60770.76</v>
      </c>
      <c r="F888" s="363">
        <v>0</v>
      </c>
      <c r="G888" s="361">
        <v>0</v>
      </c>
      <c r="H888" s="361">
        <v>0</v>
      </c>
      <c r="I888" s="362">
        <v>60770.76</v>
      </c>
    </row>
    <row r="889" spans="1:9" x14ac:dyDescent="0.2">
      <c r="A889" s="349" t="s">
        <v>341</v>
      </c>
      <c r="B889" s="359">
        <v>2857</v>
      </c>
      <c r="C889" s="349" t="s">
        <v>2524</v>
      </c>
      <c r="D889" s="349" t="s">
        <v>2525</v>
      </c>
      <c r="E889" s="363">
        <v>0</v>
      </c>
      <c r="F889" s="363">
        <v>0</v>
      </c>
      <c r="G889" s="361">
        <v>360</v>
      </c>
      <c r="H889" s="361">
        <v>360</v>
      </c>
      <c r="I889" s="361">
        <v>360</v>
      </c>
    </row>
    <row r="890" spans="1:9" x14ac:dyDescent="0.2">
      <c r="A890" s="349" t="s">
        <v>341</v>
      </c>
      <c r="B890" s="359">
        <v>2490</v>
      </c>
      <c r="C890" s="349" t="s">
        <v>2526</v>
      </c>
      <c r="D890" s="349" t="s">
        <v>2527</v>
      </c>
      <c r="E890" s="360">
        <v>85432.06</v>
      </c>
      <c r="F890" s="360">
        <v>27652.41</v>
      </c>
      <c r="G890" s="361">
        <v>0</v>
      </c>
      <c r="H890" s="362">
        <v>-27652.41</v>
      </c>
      <c r="I890" s="362">
        <v>57779.65</v>
      </c>
    </row>
    <row r="891" spans="1:9" x14ac:dyDescent="0.2">
      <c r="A891" s="349" t="s">
        <v>341</v>
      </c>
      <c r="B891" s="359">
        <v>51185</v>
      </c>
      <c r="C891" s="349" t="s">
        <v>2528</v>
      </c>
      <c r="D891" s="349" t="s">
        <v>2529</v>
      </c>
      <c r="E891" s="360">
        <v>21250</v>
      </c>
      <c r="F891" s="360">
        <v>21250</v>
      </c>
      <c r="G891" s="361">
        <v>0</v>
      </c>
      <c r="H891" s="362">
        <v>-21250</v>
      </c>
      <c r="I891" s="361">
        <v>0</v>
      </c>
    </row>
    <row r="892" spans="1:9" x14ac:dyDescent="0.2">
      <c r="A892" s="349" t="s">
        <v>341</v>
      </c>
      <c r="B892" s="359">
        <v>2498</v>
      </c>
      <c r="C892" s="349" t="s">
        <v>2530</v>
      </c>
      <c r="D892" s="349" t="s">
        <v>2531</v>
      </c>
      <c r="E892" s="363">
        <v>900</v>
      </c>
      <c r="F892" s="363">
        <v>900</v>
      </c>
      <c r="G892" s="361">
        <v>0</v>
      </c>
      <c r="H892" s="361">
        <v>-900</v>
      </c>
      <c r="I892" s="361">
        <v>0</v>
      </c>
    </row>
    <row r="893" spans="1:9" x14ac:dyDescent="0.2">
      <c r="A893" s="349" t="s">
        <v>341</v>
      </c>
      <c r="B893" s="359">
        <v>51257</v>
      </c>
      <c r="C893" s="349" t="s">
        <v>2532</v>
      </c>
      <c r="D893" s="349" t="s">
        <v>2533</v>
      </c>
      <c r="E893" s="360">
        <v>2500</v>
      </c>
      <c r="F893" s="360">
        <v>2500</v>
      </c>
      <c r="G893" s="361">
        <v>0</v>
      </c>
      <c r="H893" s="362">
        <v>-2500</v>
      </c>
      <c r="I893" s="361">
        <v>0</v>
      </c>
    </row>
    <row r="894" spans="1:9" x14ac:dyDescent="0.2">
      <c r="A894" s="349" t="s">
        <v>341</v>
      </c>
      <c r="B894" s="359">
        <v>52452</v>
      </c>
      <c r="C894" s="349" t="s">
        <v>2534</v>
      </c>
      <c r="D894" s="349" t="s">
        <v>2535</v>
      </c>
      <c r="E894" s="360">
        <v>77227.5</v>
      </c>
      <c r="F894" s="360">
        <v>40145</v>
      </c>
      <c r="G894" s="362">
        <v>34720.75</v>
      </c>
      <c r="H894" s="362">
        <v>-5424.25</v>
      </c>
      <c r="I894" s="362">
        <v>71803.25</v>
      </c>
    </row>
    <row r="895" spans="1:9" x14ac:dyDescent="0.2">
      <c r="A895" s="349" t="s">
        <v>341</v>
      </c>
      <c r="B895" s="359">
        <v>52755</v>
      </c>
      <c r="C895" s="349" t="s">
        <v>2536</v>
      </c>
      <c r="D895" s="349" t="s">
        <v>2537</v>
      </c>
      <c r="E895" s="360">
        <v>1767.66</v>
      </c>
      <c r="F895" s="360">
        <v>1572.7</v>
      </c>
      <c r="G895" s="361">
        <v>0</v>
      </c>
      <c r="H895" s="362">
        <v>-1572.7</v>
      </c>
      <c r="I895" s="361">
        <v>194.96</v>
      </c>
    </row>
    <row r="896" spans="1:9" x14ac:dyDescent="0.2">
      <c r="A896" s="349" t="s">
        <v>341</v>
      </c>
      <c r="B896" s="359">
        <v>3026</v>
      </c>
      <c r="C896" s="349" t="s">
        <v>2538</v>
      </c>
      <c r="D896" s="349" t="s">
        <v>2539</v>
      </c>
      <c r="E896" s="360">
        <v>3047.29</v>
      </c>
      <c r="F896" s="360">
        <v>3047.29</v>
      </c>
      <c r="G896" s="362">
        <v>2194.65</v>
      </c>
      <c r="H896" s="361">
        <v>-852.64</v>
      </c>
      <c r="I896" s="362">
        <v>2194.65</v>
      </c>
    </row>
    <row r="897" spans="1:9" x14ac:dyDescent="0.2">
      <c r="A897" s="349" t="s">
        <v>341</v>
      </c>
      <c r="B897" s="359">
        <v>37900</v>
      </c>
      <c r="C897" s="349" t="s">
        <v>2540</v>
      </c>
      <c r="D897" s="349" t="s">
        <v>2541</v>
      </c>
      <c r="E897" s="363">
        <v>171.67</v>
      </c>
      <c r="F897" s="363">
        <v>171.67</v>
      </c>
      <c r="G897" s="362">
        <v>1647</v>
      </c>
      <c r="H897" s="362">
        <v>1475.33</v>
      </c>
      <c r="I897" s="362">
        <v>1647</v>
      </c>
    </row>
    <row r="898" spans="1:9" x14ac:dyDescent="0.2">
      <c r="A898" s="349" t="s">
        <v>341</v>
      </c>
      <c r="B898" s="359">
        <v>2546</v>
      </c>
      <c r="C898" s="349" t="s">
        <v>2542</v>
      </c>
      <c r="D898" s="349" t="s">
        <v>2543</v>
      </c>
      <c r="E898" s="360">
        <v>6370.5</v>
      </c>
      <c r="F898" s="360">
        <v>7378.5</v>
      </c>
      <c r="G898" s="362">
        <v>2120.5</v>
      </c>
      <c r="H898" s="362">
        <v>-5258</v>
      </c>
      <c r="I898" s="362">
        <v>1112.5</v>
      </c>
    </row>
    <row r="899" spans="1:9" x14ac:dyDescent="0.2">
      <c r="A899" s="349" t="s">
        <v>341</v>
      </c>
      <c r="B899" s="359">
        <v>2551</v>
      </c>
      <c r="C899" s="349" t="s">
        <v>2544</v>
      </c>
      <c r="D899" s="349" t="s">
        <v>2545</v>
      </c>
      <c r="E899" s="363">
        <v>320</v>
      </c>
      <c r="F899" s="363">
        <v>320</v>
      </c>
      <c r="G899" s="361">
        <v>0</v>
      </c>
      <c r="H899" s="361">
        <v>-320</v>
      </c>
      <c r="I899" s="361">
        <v>0</v>
      </c>
    </row>
    <row r="900" spans="1:9" x14ac:dyDescent="0.2">
      <c r="A900" s="349" t="s">
        <v>341</v>
      </c>
      <c r="B900" s="359">
        <v>2555</v>
      </c>
      <c r="C900" s="349" t="s">
        <v>2546</v>
      </c>
      <c r="D900" s="349" t="s">
        <v>2547</v>
      </c>
      <c r="E900" s="363">
        <v>208.5</v>
      </c>
      <c r="F900" s="363">
        <v>208.5</v>
      </c>
      <c r="G900" s="361">
        <v>0</v>
      </c>
      <c r="H900" s="361">
        <v>-208.5</v>
      </c>
      <c r="I900" s="361">
        <v>0</v>
      </c>
    </row>
    <row r="901" spans="1:9" x14ac:dyDescent="0.2">
      <c r="A901" s="349" t="s">
        <v>341</v>
      </c>
      <c r="B901" s="359">
        <v>2556</v>
      </c>
      <c r="C901" s="349" t="s">
        <v>2548</v>
      </c>
      <c r="D901" s="349" t="s">
        <v>2549</v>
      </c>
      <c r="E901" s="360">
        <v>1429.45</v>
      </c>
      <c r="F901" s="360">
        <v>1821.45</v>
      </c>
      <c r="G901" s="361">
        <v>392</v>
      </c>
      <c r="H901" s="362">
        <v>-1429.45</v>
      </c>
      <c r="I901" s="361">
        <v>0</v>
      </c>
    </row>
    <row r="902" spans="1:9" x14ac:dyDescent="0.2">
      <c r="A902" s="349" t="s">
        <v>341</v>
      </c>
      <c r="B902" s="359">
        <v>2793</v>
      </c>
      <c r="C902" s="349" t="s">
        <v>2550</v>
      </c>
      <c r="D902" s="349" t="s">
        <v>2551</v>
      </c>
      <c r="E902" s="363">
        <v>0</v>
      </c>
      <c r="F902" s="360">
        <v>8496</v>
      </c>
      <c r="G902" s="362">
        <v>8496</v>
      </c>
      <c r="H902" s="361">
        <v>0</v>
      </c>
      <c r="I902" s="361">
        <v>0</v>
      </c>
    </row>
    <row r="903" spans="1:9" x14ac:dyDescent="0.2">
      <c r="A903" s="349" t="s">
        <v>341</v>
      </c>
      <c r="B903" s="359">
        <v>34064</v>
      </c>
      <c r="C903" s="349" t="s">
        <v>2552</v>
      </c>
      <c r="D903" s="349" t="s">
        <v>2553</v>
      </c>
      <c r="E903" s="360">
        <v>5510</v>
      </c>
      <c r="F903" s="360">
        <v>10130</v>
      </c>
      <c r="G903" s="362">
        <v>10444</v>
      </c>
      <c r="H903" s="361">
        <v>314</v>
      </c>
      <c r="I903" s="362">
        <v>5824</v>
      </c>
    </row>
    <row r="904" spans="1:9" x14ac:dyDescent="0.2">
      <c r="A904" s="349" t="s">
        <v>341</v>
      </c>
      <c r="B904" s="359">
        <v>52714</v>
      </c>
      <c r="C904" s="349" t="s">
        <v>2554</v>
      </c>
      <c r="D904" s="349" t="s">
        <v>2555</v>
      </c>
      <c r="E904" s="363">
        <v>0</v>
      </c>
      <c r="F904" s="363">
        <v>471.98</v>
      </c>
      <c r="G904" s="361">
        <v>471.98</v>
      </c>
      <c r="H904" s="361">
        <v>0</v>
      </c>
      <c r="I904" s="361">
        <v>0</v>
      </c>
    </row>
    <row r="905" spans="1:9" x14ac:dyDescent="0.2">
      <c r="A905" s="349" t="s">
        <v>341</v>
      </c>
      <c r="B905" s="359">
        <v>37883</v>
      </c>
      <c r="C905" s="349" t="s">
        <v>2556</v>
      </c>
      <c r="D905" s="349" t="s">
        <v>2557</v>
      </c>
      <c r="E905" s="360">
        <v>5918.45</v>
      </c>
      <c r="F905" s="360">
        <v>10054.450000000001</v>
      </c>
      <c r="G905" s="362">
        <v>4136</v>
      </c>
      <c r="H905" s="362">
        <v>-5918.45</v>
      </c>
      <c r="I905" s="361">
        <v>0</v>
      </c>
    </row>
    <row r="906" spans="1:9" x14ac:dyDescent="0.2">
      <c r="A906" s="349" t="s">
        <v>341</v>
      </c>
      <c r="B906" s="359">
        <v>33804</v>
      </c>
      <c r="C906" s="349" t="s">
        <v>2558</v>
      </c>
      <c r="D906" s="349" t="s">
        <v>2559</v>
      </c>
      <c r="E906" s="363">
        <v>918</v>
      </c>
      <c r="F906" s="360">
        <v>1758</v>
      </c>
      <c r="G906" s="361">
        <v>840</v>
      </c>
      <c r="H906" s="361">
        <v>-918</v>
      </c>
      <c r="I906" s="361">
        <v>0</v>
      </c>
    </row>
    <row r="907" spans="1:9" x14ac:dyDescent="0.2">
      <c r="A907" s="349" t="s">
        <v>341</v>
      </c>
      <c r="B907" s="359">
        <v>2572</v>
      </c>
      <c r="C907" s="349" t="s">
        <v>2560</v>
      </c>
      <c r="D907" s="349" t="s">
        <v>2561</v>
      </c>
      <c r="E907" s="363">
        <v>0</v>
      </c>
      <c r="F907" s="363">
        <v>0</v>
      </c>
      <c r="G907" s="361">
        <v>990.77</v>
      </c>
      <c r="H907" s="361">
        <v>990.77</v>
      </c>
      <c r="I907" s="361">
        <v>990.77</v>
      </c>
    </row>
    <row r="908" spans="1:9" x14ac:dyDescent="0.2">
      <c r="A908" s="349" t="s">
        <v>341</v>
      </c>
      <c r="B908" s="359">
        <v>37307</v>
      </c>
      <c r="C908" s="349" t="s">
        <v>2562</v>
      </c>
      <c r="D908" s="349" t="s">
        <v>2563</v>
      </c>
      <c r="E908" s="363">
        <v>312.5</v>
      </c>
      <c r="F908" s="363">
        <v>312.5</v>
      </c>
      <c r="G908" s="361">
        <v>0</v>
      </c>
      <c r="H908" s="361">
        <v>-312.5</v>
      </c>
      <c r="I908" s="361">
        <v>0</v>
      </c>
    </row>
    <row r="909" spans="1:9" x14ac:dyDescent="0.2">
      <c r="A909" s="349" t="s">
        <v>341</v>
      </c>
      <c r="B909" s="359">
        <v>2575</v>
      </c>
      <c r="C909" s="349" t="s">
        <v>2564</v>
      </c>
      <c r="D909" s="349" t="s">
        <v>2565</v>
      </c>
      <c r="E909" s="360">
        <v>73635.05</v>
      </c>
      <c r="F909" s="360">
        <v>75966.039999999994</v>
      </c>
      <c r="G909" s="362">
        <v>29000.23</v>
      </c>
      <c r="H909" s="362">
        <v>-46965.81</v>
      </c>
      <c r="I909" s="362">
        <v>26669.24</v>
      </c>
    </row>
    <row r="910" spans="1:9" x14ac:dyDescent="0.2">
      <c r="A910" s="349" t="s">
        <v>341</v>
      </c>
      <c r="B910" s="359">
        <v>2577</v>
      </c>
      <c r="C910" s="349" t="s">
        <v>2566</v>
      </c>
      <c r="D910" s="349" t="s">
        <v>2567</v>
      </c>
      <c r="E910" s="363">
        <v>0</v>
      </c>
      <c r="F910" s="363">
        <v>0</v>
      </c>
      <c r="G910" s="361">
        <v>540</v>
      </c>
      <c r="H910" s="361">
        <v>540</v>
      </c>
      <c r="I910" s="361">
        <v>540</v>
      </c>
    </row>
    <row r="911" spans="1:9" x14ac:dyDescent="0.2">
      <c r="A911" s="349" t="s">
        <v>341</v>
      </c>
      <c r="B911" s="359">
        <v>52935</v>
      </c>
      <c r="C911" s="349" t="s">
        <v>2568</v>
      </c>
      <c r="D911" s="349" t="s">
        <v>2569</v>
      </c>
      <c r="E911" s="363">
        <v>382.68</v>
      </c>
      <c r="F911" s="363">
        <v>382.68</v>
      </c>
      <c r="G911" s="361">
        <v>382.68</v>
      </c>
      <c r="H911" s="361">
        <v>0</v>
      </c>
      <c r="I911" s="361">
        <v>382.68</v>
      </c>
    </row>
    <row r="912" spans="1:9" x14ac:dyDescent="0.2">
      <c r="A912" s="349" t="s">
        <v>341</v>
      </c>
      <c r="B912" s="359">
        <v>37443</v>
      </c>
      <c r="C912" s="349" t="s">
        <v>2570</v>
      </c>
      <c r="D912" s="349" t="s">
        <v>2571</v>
      </c>
      <c r="E912" s="360">
        <v>152409.37</v>
      </c>
      <c r="F912" s="360">
        <v>172628.99</v>
      </c>
      <c r="G912" s="362">
        <v>98955.7</v>
      </c>
      <c r="H912" s="362">
        <v>-73673.289999999994</v>
      </c>
      <c r="I912" s="362">
        <v>78736.08</v>
      </c>
    </row>
    <row r="913" spans="1:9" x14ac:dyDescent="0.2">
      <c r="A913" s="349" t="s">
        <v>341</v>
      </c>
      <c r="B913" s="359">
        <v>2594</v>
      </c>
      <c r="C913" s="349" t="s">
        <v>2572</v>
      </c>
      <c r="D913" s="349" t="s">
        <v>2573</v>
      </c>
      <c r="E913" s="360">
        <v>3369</v>
      </c>
      <c r="F913" s="360">
        <v>3925</v>
      </c>
      <c r="G913" s="362">
        <v>5031</v>
      </c>
      <c r="H913" s="362">
        <v>1106</v>
      </c>
      <c r="I913" s="362">
        <v>4475</v>
      </c>
    </row>
    <row r="914" spans="1:9" x14ac:dyDescent="0.2">
      <c r="A914" s="349" t="s">
        <v>341</v>
      </c>
      <c r="B914" s="359">
        <v>34195</v>
      </c>
      <c r="C914" s="349" t="s">
        <v>2574</v>
      </c>
      <c r="D914" s="349" t="s">
        <v>2575</v>
      </c>
      <c r="E914" s="363">
        <v>0</v>
      </c>
      <c r="F914" s="363">
        <v>353.86</v>
      </c>
      <c r="G914" s="362">
        <v>1058.06</v>
      </c>
      <c r="H914" s="361">
        <v>704.2</v>
      </c>
      <c r="I914" s="361">
        <v>704.2</v>
      </c>
    </row>
    <row r="915" spans="1:9" x14ac:dyDescent="0.2">
      <c r="A915" s="349" t="s">
        <v>341</v>
      </c>
      <c r="B915" s="359">
        <v>33073</v>
      </c>
      <c r="C915" s="349" t="s">
        <v>2576</v>
      </c>
      <c r="D915" s="349" t="s">
        <v>2577</v>
      </c>
      <c r="E915" s="363">
        <v>106.1</v>
      </c>
      <c r="F915" s="363">
        <v>106.1</v>
      </c>
      <c r="G915" s="361">
        <v>0</v>
      </c>
      <c r="H915" s="361">
        <v>-106.1</v>
      </c>
      <c r="I915" s="361">
        <v>0</v>
      </c>
    </row>
    <row r="916" spans="1:9" x14ac:dyDescent="0.2">
      <c r="A916" s="349" t="s">
        <v>341</v>
      </c>
      <c r="B916" s="359">
        <v>2602</v>
      </c>
      <c r="C916" s="349" t="s">
        <v>2578</v>
      </c>
      <c r="D916" s="349" t="s">
        <v>2579</v>
      </c>
      <c r="E916" s="360">
        <v>166294.48000000001</v>
      </c>
      <c r="F916" s="360">
        <v>183146.88</v>
      </c>
      <c r="G916" s="362">
        <v>85220.92</v>
      </c>
      <c r="H916" s="362">
        <v>-97925.96</v>
      </c>
      <c r="I916" s="362">
        <v>68368.52</v>
      </c>
    </row>
    <row r="917" spans="1:9" x14ac:dyDescent="0.2">
      <c r="A917" s="349" t="s">
        <v>341</v>
      </c>
      <c r="B917" s="359">
        <v>52539</v>
      </c>
      <c r="C917" s="349" t="s">
        <v>2580</v>
      </c>
      <c r="D917" s="349" t="s">
        <v>2581</v>
      </c>
      <c r="E917" s="360">
        <v>34086.89</v>
      </c>
      <c r="F917" s="360">
        <v>25955.27</v>
      </c>
      <c r="G917" s="362">
        <v>29567.8</v>
      </c>
      <c r="H917" s="362">
        <v>3612.53</v>
      </c>
      <c r="I917" s="362">
        <v>37699.42</v>
      </c>
    </row>
    <row r="918" spans="1:9" x14ac:dyDescent="0.2">
      <c r="A918" s="349" t="s">
        <v>341</v>
      </c>
      <c r="B918" s="359">
        <v>33580</v>
      </c>
      <c r="C918" s="349" t="s">
        <v>2582</v>
      </c>
      <c r="D918" s="349" t="s">
        <v>2583</v>
      </c>
      <c r="E918" s="360">
        <v>17082.77</v>
      </c>
      <c r="F918" s="360">
        <v>33723.15</v>
      </c>
      <c r="G918" s="362">
        <v>17085.37</v>
      </c>
      <c r="H918" s="362">
        <v>-16637.78</v>
      </c>
      <c r="I918" s="361">
        <v>444.99</v>
      </c>
    </row>
    <row r="919" spans="1:9" x14ac:dyDescent="0.2">
      <c r="A919" s="349" t="s">
        <v>341</v>
      </c>
      <c r="B919" s="359">
        <v>2632</v>
      </c>
      <c r="C919" s="349" t="s">
        <v>2584</v>
      </c>
      <c r="D919" s="349" t="s">
        <v>2585</v>
      </c>
      <c r="E919" s="360">
        <v>13576.82</v>
      </c>
      <c r="F919" s="360">
        <v>18028.21</v>
      </c>
      <c r="G919" s="362">
        <v>23941.35</v>
      </c>
      <c r="H919" s="362">
        <v>5913.14</v>
      </c>
      <c r="I919" s="362">
        <v>19489.96</v>
      </c>
    </row>
    <row r="920" spans="1:9" x14ac:dyDescent="0.2">
      <c r="A920" s="349" t="s">
        <v>341</v>
      </c>
      <c r="B920" s="359">
        <v>2636</v>
      </c>
      <c r="C920" s="349" t="s">
        <v>2586</v>
      </c>
      <c r="D920" s="349" t="s">
        <v>2587</v>
      </c>
      <c r="E920" s="360">
        <v>1800</v>
      </c>
      <c r="F920" s="360">
        <v>1800</v>
      </c>
      <c r="G920" s="361">
        <v>0</v>
      </c>
      <c r="H920" s="362">
        <v>-1800</v>
      </c>
      <c r="I920" s="361">
        <v>0</v>
      </c>
    </row>
    <row r="921" spans="1:9" x14ac:dyDescent="0.2">
      <c r="A921" s="349" t="s">
        <v>341</v>
      </c>
      <c r="B921" s="359">
        <v>33709</v>
      </c>
      <c r="C921" s="349" t="s">
        <v>2588</v>
      </c>
      <c r="D921" s="349" t="s">
        <v>2589</v>
      </c>
      <c r="E921" s="360">
        <v>5076.3999999999996</v>
      </c>
      <c r="F921" s="360">
        <v>140077.20000000001</v>
      </c>
      <c r="G921" s="362">
        <v>135000.79999999999</v>
      </c>
      <c r="H921" s="362">
        <v>-5076.3999999999996</v>
      </c>
      <c r="I921" s="361">
        <v>0</v>
      </c>
    </row>
    <row r="922" spans="1:9" x14ac:dyDescent="0.2">
      <c r="A922" s="349" t="s">
        <v>341</v>
      </c>
      <c r="B922" s="359">
        <v>33758</v>
      </c>
      <c r="C922" s="349" t="s">
        <v>2590</v>
      </c>
      <c r="D922" s="349" t="s">
        <v>2591</v>
      </c>
      <c r="E922" s="363">
        <v>0</v>
      </c>
      <c r="F922" s="363">
        <v>0</v>
      </c>
      <c r="G922" s="362">
        <v>4620</v>
      </c>
      <c r="H922" s="362">
        <v>4620</v>
      </c>
      <c r="I922" s="362">
        <v>4620</v>
      </c>
    </row>
    <row r="923" spans="1:9" x14ac:dyDescent="0.2">
      <c r="A923" s="349" t="s">
        <v>341</v>
      </c>
      <c r="B923" s="359">
        <v>2644</v>
      </c>
      <c r="C923" s="349" t="s">
        <v>2592</v>
      </c>
      <c r="D923" s="349" t="s">
        <v>2593</v>
      </c>
      <c r="E923" s="363">
        <v>400</v>
      </c>
      <c r="F923" s="363">
        <v>500</v>
      </c>
      <c r="G923" s="361">
        <v>500</v>
      </c>
      <c r="H923" s="361">
        <v>0</v>
      </c>
      <c r="I923" s="361">
        <v>400</v>
      </c>
    </row>
    <row r="924" spans="1:9" x14ac:dyDescent="0.2">
      <c r="A924" s="349" t="s">
        <v>341</v>
      </c>
      <c r="B924" s="359">
        <v>37436</v>
      </c>
      <c r="C924" s="349" t="s">
        <v>2594</v>
      </c>
      <c r="D924" s="349" t="s">
        <v>2595</v>
      </c>
      <c r="E924" s="360">
        <v>10234.23</v>
      </c>
      <c r="F924" s="360">
        <v>15753.09</v>
      </c>
      <c r="G924" s="362">
        <v>13304.49</v>
      </c>
      <c r="H924" s="362">
        <v>-2448.6</v>
      </c>
      <c r="I924" s="362">
        <v>7785.63</v>
      </c>
    </row>
    <row r="925" spans="1:9" x14ac:dyDescent="0.2">
      <c r="A925" s="349" t="s">
        <v>341</v>
      </c>
      <c r="B925" s="359">
        <v>51805</v>
      </c>
      <c r="C925" s="349" t="s">
        <v>2596</v>
      </c>
      <c r="D925" s="349" t="s">
        <v>2597</v>
      </c>
      <c r="E925" s="360">
        <v>48829.4</v>
      </c>
      <c r="F925" s="360">
        <v>47149.4</v>
      </c>
      <c r="G925" s="362">
        <v>18251.400000000001</v>
      </c>
      <c r="H925" s="362">
        <v>-28898</v>
      </c>
      <c r="I925" s="362">
        <v>19931.400000000001</v>
      </c>
    </row>
    <row r="926" spans="1:9" x14ac:dyDescent="0.2">
      <c r="A926" s="349" t="s">
        <v>341</v>
      </c>
      <c r="B926" s="359">
        <v>2652</v>
      </c>
      <c r="C926" s="349" t="s">
        <v>2598</v>
      </c>
      <c r="D926" s="349" t="s">
        <v>2599</v>
      </c>
      <c r="E926" s="360">
        <v>12537.92</v>
      </c>
      <c r="F926" s="360">
        <v>12537.92</v>
      </c>
      <c r="G926" s="361">
        <v>862.65</v>
      </c>
      <c r="H926" s="362">
        <v>-11675.27</v>
      </c>
      <c r="I926" s="361">
        <v>862.65</v>
      </c>
    </row>
    <row r="927" spans="1:9" x14ac:dyDescent="0.2">
      <c r="A927" s="349" t="s">
        <v>341</v>
      </c>
      <c r="B927" s="359">
        <v>52000</v>
      </c>
      <c r="C927" s="349" t="s">
        <v>2600</v>
      </c>
      <c r="D927" s="349" t="s">
        <v>2601</v>
      </c>
      <c r="E927" s="363">
        <v>0</v>
      </c>
      <c r="F927" s="363">
        <v>0</v>
      </c>
      <c r="G927" s="362">
        <v>15137.76</v>
      </c>
      <c r="H927" s="362">
        <v>15137.76</v>
      </c>
      <c r="I927" s="362">
        <v>15137.76</v>
      </c>
    </row>
    <row r="928" spans="1:9" x14ac:dyDescent="0.2">
      <c r="A928" s="349" t="s">
        <v>341</v>
      </c>
      <c r="B928" s="359">
        <v>2654</v>
      </c>
      <c r="C928" s="349" t="s">
        <v>2602</v>
      </c>
      <c r="D928" s="349" t="s">
        <v>2603</v>
      </c>
      <c r="E928" s="360">
        <v>60157.32</v>
      </c>
      <c r="F928" s="360">
        <v>67334.570000000007</v>
      </c>
      <c r="G928" s="362">
        <v>43759.85</v>
      </c>
      <c r="H928" s="362">
        <v>-23574.720000000001</v>
      </c>
      <c r="I928" s="362">
        <v>36582.6</v>
      </c>
    </row>
    <row r="929" spans="1:9" x14ac:dyDescent="0.2">
      <c r="A929" s="349" t="s">
        <v>341</v>
      </c>
      <c r="B929" s="359">
        <v>32504</v>
      </c>
      <c r="C929" s="349" t="s">
        <v>2604</v>
      </c>
      <c r="D929" s="349" t="s">
        <v>2605</v>
      </c>
      <c r="E929" s="360">
        <v>1515</v>
      </c>
      <c r="F929" s="360">
        <v>1515</v>
      </c>
      <c r="G929" s="361">
        <v>0</v>
      </c>
      <c r="H929" s="362">
        <v>-1515</v>
      </c>
      <c r="I929" s="361">
        <v>0</v>
      </c>
    </row>
    <row r="930" spans="1:9" x14ac:dyDescent="0.2">
      <c r="A930" s="349" t="s">
        <v>341</v>
      </c>
      <c r="B930" s="359">
        <v>2670</v>
      </c>
      <c r="C930" s="349" t="s">
        <v>2606</v>
      </c>
      <c r="D930" s="349" t="s">
        <v>2607</v>
      </c>
      <c r="E930" s="360">
        <v>2164.1999999999998</v>
      </c>
      <c r="F930" s="360">
        <v>2391.9</v>
      </c>
      <c r="G930" s="362">
        <v>1976.65</v>
      </c>
      <c r="H930" s="361">
        <v>-415.25</v>
      </c>
      <c r="I930" s="362">
        <v>1748.95</v>
      </c>
    </row>
    <row r="931" spans="1:9" x14ac:dyDescent="0.2">
      <c r="A931" s="349" t="s">
        <v>341</v>
      </c>
      <c r="B931" s="359">
        <v>37997</v>
      </c>
      <c r="C931" s="349" t="s">
        <v>2608</v>
      </c>
      <c r="D931" s="349" t="s">
        <v>2609</v>
      </c>
      <c r="E931" s="360">
        <v>2029</v>
      </c>
      <c r="F931" s="360">
        <v>6985</v>
      </c>
      <c r="G931" s="362">
        <v>6562</v>
      </c>
      <c r="H931" s="361">
        <v>-423</v>
      </c>
      <c r="I931" s="362">
        <v>1606</v>
      </c>
    </row>
    <row r="932" spans="1:9" x14ac:dyDescent="0.2">
      <c r="A932" s="349" t="s">
        <v>341</v>
      </c>
      <c r="B932" s="359">
        <v>37764</v>
      </c>
      <c r="C932" s="349" t="s">
        <v>2610</v>
      </c>
      <c r="D932" s="349" t="s">
        <v>2611</v>
      </c>
      <c r="E932" s="360">
        <v>3246.2</v>
      </c>
      <c r="F932" s="360">
        <v>3246.2</v>
      </c>
      <c r="G932" s="362">
        <v>3092</v>
      </c>
      <c r="H932" s="361">
        <v>-154.19999999999999</v>
      </c>
      <c r="I932" s="362">
        <v>3092</v>
      </c>
    </row>
    <row r="933" spans="1:9" x14ac:dyDescent="0.2">
      <c r="A933" s="349" t="s">
        <v>341</v>
      </c>
      <c r="B933" s="359">
        <v>34132</v>
      </c>
      <c r="C933" s="349" t="s">
        <v>2612</v>
      </c>
      <c r="D933" s="349" t="s">
        <v>2613</v>
      </c>
      <c r="E933" s="360">
        <v>25082</v>
      </c>
      <c r="F933" s="360">
        <v>25448</v>
      </c>
      <c r="G933" s="362">
        <v>15082.8</v>
      </c>
      <c r="H933" s="362">
        <v>-10365.200000000001</v>
      </c>
      <c r="I933" s="362">
        <v>14716.8</v>
      </c>
    </row>
    <row r="934" spans="1:9" x14ac:dyDescent="0.2">
      <c r="A934" s="349" t="s">
        <v>341</v>
      </c>
      <c r="B934" s="359">
        <v>52437</v>
      </c>
      <c r="C934" s="349" t="s">
        <v>2614</v>
      </c>
      <c r="D934" s="349" t="s">
        <v>2615</v>
      </c>
      <c r="E934" s="360">
        <v>15038.5</v>
      </c>
      <c r="F934" s="360">
        <v>13059.75</v>
      </c>
      <c r="G934" s="362">
        <v>6610</v>
      </c>
      <c r="H934" s="362">
        <v>-6449.75</v>
      </c>
      <c r="I934" s="362">
        <v>8588.75</v>
      </c>
    </row>
    <row r="935" spans="1:9" x14ac:dyDescent="0.2">
      <c r="A935" s="349" t="s">
        <v>341</v>
      </c>
      <c r="B935" s="359">
        <v>36629</v>
      </c>
      <c r="C935" s="349" t="s">
        <v>2616</v>
      </c>
      <c r="D935" s="349" t="s">
        <v>2617</v>
      </c>
      <c r="E935" s="360">
        <v>37211.43</v>
      </c>
      <c r="F935" s="360">
        <v>32231.31</v>
      </c>
      <c r="G935" s="362">
        <v>9132.65</v>
      </c>
      <c r="H935" s="362">
        <v>-23098.66</v>
      </c>
      <c r="I935" s="362">
        <v>14112.77</v>
      </c>
    </row>
    <row r="936" spans="1:9" x14ac:dyDescent="0.2">
      <c r="A936" s="349" t="s">
        <v>341</v>
      </c>
      <c r="B936" s="359">
        <v>52225</v>
      </c>
      <c r="C936" s="349" t="s">
        <v>2618</v>
      </c>
      <c r="D936" s="349" t="s">
        <v>2619</v>
      </c>
      <c r="E936" s="360">
        <v>2555.4</v>
      </c>
      <c r="F936" s="360">
        <v>1568.8</v>
      </c>
      <c r="G936" s="362">
        <v>1288.3699999999999</v>
      </c>
      <c r="H936" s="361">
        <v>-280.43</v>
      </c>
      <c r="I936" s="362">
        <v>2274.9699999999998</v>
      </c>
    </row>
    <row r="937" spans="1:9" x14ac:dyDescent="0.2">
      <c r="A937" s="349" t="s">
        <v>341</v>
      </c>
      <c r="B937" s="359">
        <v>52884</v>
      </c>
      <c r="C937" s="349" t="s">
        <v>2620</v>
      </c>
      <c r="D937" s="349" t="s">
        <v>2621</v>
      </c>
      <c r="E937" s="363">
        <v>119.88</v>
      </c>
      <c r="F937" s="363">
        <v>0</v>
      </c>
      <c r="G937" s="361">
        <v>0</v>
      </c>
      <c r="H937" s="361">
        <v>0</v>
      </c>
      <c r="I937" s="361">
        <v>119.88</v>
      </c>
    </row>
    <row r="938" spans="1:9" x14ac:dyDescent="0.2">
      <c r="A938" s="349" t="s">
        <v>341</v>
      </c>
      <c r="B938" s="359">
        <v>2717</v>
      </c>
      <c r="C938" s="349" t="s">
        <v>2622</v>
      </c>
      <c r="D938" s="349" t="s">
        <v>2623</v>
      </c>
      <c r="E938" s="363">
        <v>266</v>
      </c>
      <c r="F938" s="360">
        <v>1330</v>
      </c>
      <c r="G938" s="362">
        <v>1064</v>
      </c>
      <c r="H938" s="361">
        <v>-266</v>
      </c>
      <c r="I938" s="361">
        <v>0</v>
      </c>
    </row>
    <row r="939" spans="1:9" x14ac:dyDescent="0.2">
      <c r="A939" s="349" t="s">
        <v>341</v>
      </c>
      <c r="B939" s="359">
        <v>34056</v>
      </c>
      <c r="C939" s="349" t="s">
        <v>2624</v>
      </c>
      <c r="D939" s="349" t="s">
        <v>2625</v>
      </c>
      <c r="E939" s="363">
        <v>24</v>
      </c>
      <c r="F939" s="360">
        <v>19268.11</v>
      </c>
      <c r="G939" s="362">
        <v>19325.91</v>
      </c>
      <c r="H939" s="361">
        <v>57.8</v>
      </c>
      <c r="I939" s="361">
        <v>81.8</v>
      </c>
    </row>
    <row r="940" spans="1:9" x14ac:dyDescent="0.2">
      <c r="A940" s="349" t="s">
        <v>341</v>
      </c>
      <c r="B940" s="359">
        <v>2719</v>
      </c>
      <c r="C940" s="349" t="s">
        <v>2626</v>
      </c>
      <c r="D940" s="349" t="s">
        <v>2627</v>
      </c>
      <c r="E940" s="360">
        <v>130825.32</v>
      </c>
      <c r="F940" s="360">
        <v>153607.79999999999</v>
      </c>
      <c r="G940" s="362">
        <v>74844.87</v>
      </c>
      <c r="H940" s="362">
        <v>-78762.929999999993</v>
      </c>
      <c r="I940" s="362">
        <v>52062.39</v>
      </c>
    </row>
    <row r="941" spans="1:9" x14ac:dyDescent="0.2">
      <c r="A941" s="349" t="s">
        <v>341</v>
      </c>
      <c r="B941" s="359">
        <v>25185</v>
      </c>
      <c r="C941" s="349" t="s">
        <v>2628</v>
      </c>
      <c r="D941" s="349" t="s">
        <v>2629</v>
      </c>
      <c r="E941" s="363">
        <v>0</v>
      </c>
      <c r="F941" s="363">
        <v>0</v>
      </c>
      <c r="G941" s="362">
        <v>1828</v>
      </c>
      <c r="H941" s="362">
        <v>1828</v>
      </c>
      <c r="I941" s="362">
        <v>1828</v>
      </c>
    </row>
    <row r="942" spans="1:9" x14ac:dyDescent="0.2">
      <c r="A942" s="349" t="s">
        <v>341</v>
      </c>
      <c r="B942" s="359">
        <v>53006</v>
      </c>
      <c r="C942" s="349" t="s">
        <v>2630</v>
      </c>
      <c r="D942" s="349" t="s">
        <v>2631</v>
      </c>
      <c r="E942" s="363">
        <v>840</v>
      </c>
      <c r="F942" s="363">
        <v>840</v>
      </c>
      <c r="G942" s="361">
        <v>0</v>
      </c>
      <c r="H942" s="361">
        <v>-840</v>
      </c>
      <c r="I942" s="361">
        <v>0</v>
      </c>
    </row>
    <row r="943" spans="1:9" x14ac:dyDescent="0.2">
      <c r="A943" s="349" t="s">
        <v>341</v>
      </c>
      <c r="B943" s="359">
        <v>37885</v>
      </c>
      <c r="C943" s="349" t="s">
        <v>2632</v>
      </c>
      <c r="D943" s="349" t="s">
        <v>2633</v>
      </c>
      <c r="E943" s="360">
        <v>60484.03</v>
      </c>
      <c r="F943" s="360">
        <v>43346.21</v>
      </c>
      <c r="G943" s="362">
        <v>27194.03</v>
      </c>
      <c r="H943" s="362">
        <v>-16152.18</v>
      </c>
      <c r="I943" s="362">
        <v>44331.85</v>
      </c>
    </row>
    <row r="944" spans="1:9" x14ac:dyDescent="0.2">
      <c r="A944" s="349" t="s">
        <v>341</v>
      </c>
      <c r="B944" s="359">
        <v>2729</v>
      </c>
      <c r="C944" s="349" t="s">
        <v>2634</v>
      </c>
      <c r="D944" s="349" t="s">
        <v>2635</v>
      </c>
      <c r="E944" s="360">
        <v>6449.27</v>
      </c>
      <c r="F944" s="360">
        <v>2149.75</v>
      </c>
      <c r="G944" s="361">
        <v>373.42</v>
      </c>
      <c r="H944" s="362">
        <v>-1776.33</v>
      </c>
      <c r="I944" s="362">
        <v>4672.9399999999996</v>
      </c>
    </row>
    <row r="945" spans="1:9" x14ac:dyDescent="0.2">
      <c r="A945" s="349" t="s">
        <v>341</v>
      </c>
      <c r="B945" s="359">
        <v>32920</v>
      </c>
      <c r="C945" s="349" t="s">
        <v>2636</v>
      </c>
      <c r="D945" s="349" t="s">
        <v>2637</v>
      </c>
      <c r="E945" s="360">
        <v>4407.3</v>
      </c>
      <c r="F945" s="360">
        <v>4407.3</v>
      </c>
      <c r="G945" s="361">
        <v>0</v>
      </c>
      <c r="H945" s="362">
        <v>-4407.3</v>
      </c>
      <c r="I945" s="361">
        <v>0</v>
      </c>
    </row>
    <row r="946" spans="1:9" x14ac:dyDescent="0.2">
      <c r="A946" s="349" t="s">
        <v>341</v>
      </c>
      <c r="B946" s="359">
        <v>51062</v>
      </c>
      <c r="C946" s="349" t="s">
        <v>2638</v>
      </c>
      <c r="D946" s="349" t="s">
        <v>2639</v>
      </c>
      <c r="E946" s="363">
        <v>572.1</v>
      </c>
      <c r="F946" s="363">
        <v>937.85</v>
      </c>
      <c r="G946" s="361">
        <v>731.5</v>
      </c>
      <c r="H946" s="361">
        <v>-206.35</v>
      </c>
      <c r="I946" s="361">
        <v>365.75</v>
      </c>
    </row>
    <row r="947" spans="1:9" x14ac:dyDescent="0.2">
      <c r="A947" s="349" t="s">
        <v>341</v>
      </c>
      <c r="B947" s="359">
        <v>38737</v>
      </c>
      <c r="C947" s="349" t="s">
        <v>2640</v>
      </c>
      <c r="D947" s="349" t="s">
        <v>2641</v>
      </c>
      <c r="E947" s="363">
        <v>0</v>
      </c>
      <c r="F947" s="363">
        <v>0</v>
      </c>
      <c r="G947" s="362">
        <v>6580.3</v>
      </c>
      <c r="H947" s="362">
        <v>6580.3</v>
      </c>
      <c r="I947" s="362">
        <v>6580.3</v>
      </c>
    </row>
    <row r="948" spans="1:9" x14ac:dyDescent="0.2">
      <c r="A948" s="349" t="s">
        <v>341</v>
      </c>
      <c r="B948" s="359">
        <v>36737</v>
      </c>
      <c r="C948" s="349" t="s">
        <v>2642</v>
      </c>
      <c r="D948" s="349" t="s">
        <v>2643</v>
      </c>
      <c r="E948" s="363">
        <v>0</v>
      </c>
      <c r="F948" s="363">
        <v>0</v>
      </c>
      <c r="G948" s="361">
        <v>561</v>
      </c>
      <c r="H948" s="361">
        <v>561</v>
      </c>
      <c r="I948" s="361">
        <v>561</v>
      </c>
    </row>
    <row r="949" spans="1:9" x14ac:dyDescent="0.2">
      <c r="A949" s="349" t="s">
        <v>341</v>
      </c>
      <c r="B949" s="359">
        <v>2752</v>
      </c>
      <c r="C949" s="349" t="s">
        <v>2644</v>
      </c>
      <c r="D949" s="349" t="s">
        <v>2645</v>
      </c>
      <c r="E949" s="360">
        <v>163942.42000000001</v>
      </c>
      <c r="F949" s="360">
        <v>126526.56</v>
      </c>
      <c r="G949" s="362">
        <v>88894.99</v>
      </c>
      <c r="H949" s="362">
        <v>-37631.57</v>
      </c>
      <c r="I949" s="362">
        <v>126310.85</v>
      </c>
    </row>
    <row r="950" spans="1:9" x14ac:dyDescent="0.2">
      <c r="A950" s="349" t="s">
        <v>341</v>
      </c>
      <c r="B950" s="359">
        <v>33134</v>
      </c>
      <c r="C950" s="349" t="s">
        <v>2646</v>
      </c>
      <c r="D950" s="349" t="s">
        <v>2647</v>
      </c>
      <c r="E950" s="363">
        <v>0</v>
      </c>
      <c r="F950" s="363">
        <v>0</v>
      </c>
      <c r="G950" s="362">
        <v>3665</v>
      </c>
      <c r="H950" s="362">
        <v>3665</v>
      </c>
      <c r="I950" s="362">
        <v>3665</v>
      </c>
    </row>
    <row r="951" spans="1:9" x14ac:dyDescent="0.2">
      <c r="A951" s="349" t="s">
        <v>341</v>
      </c>
      <c r="B951" s="359">
        <v>52579</v>
      </c>
      <c r="C951" s="349" t="s">
        <v>2648</v>
      </c>
      <c r="D951" s="349" t="s">
        <v>2649</v>
      </c>
      <c r="E951" s="360">
        <v>11912.2</v>
      </c>
      <c r="F951" s="360">
        <v>23824.400000000001</v>
      </c>
      <c r="G951" s="362">
        <v>11912.2</v>
      </c>
      <c r="H951" s="362">
        <v>-11912.2</v>
      </c>
      <c r="I951" s="361">
        <v>0</v>
      </c>
    </row>
    <row r="952" spans="1:9" x14ac:dyDescent="0.2">
      <c r="A952" s="349" t="s">
        <v>341</v>
      </c>
      <c r="B952" s="359">
        <v>37696</v>
      </c>
      <c r="C952" s="349" t="s">
        <v>2650</v>
      </c>
      <c r="D952" s="349" t="s">
        <v>2651</v>
      </c>
      <c r="E952" s="360">
        <v>1996.5</v>
      </c>
      <c r="F952" s="363">
        <v>696.5</v>
      </c>
      <c r="G952" s="361">
        <v>0</v>
      </c>
      <c r="H952" s="361">
        <v>-696.5</v>
      </c>
      <c r="I952" s="362">
        <v>1300</v>
      </c>
    </row>
    <row r="953" spans="1:9" x14ac:dyDescent="0.2">
      <c r="A953" s="349" t="s">
        <v>341</v>
      </c>
      <c r="B953" s="359">
        <v>12451</v>
      </c>
      <c r="C953" s="349" t="s">
        <v>2652</v>
      </c>
      <c r="D953" s="349" t="s">
        <v>2653</v>
      </c>
      <c r="E953" s="360">
        <v>4569.6000000000004</v>
      </c>
      <c r="F953" s="360">
        <v>5482.6</v>
      </c>
      <c r="G953" s="362">
        <v>6199.2</v>
      </c>
      <c r="H953" s="361">
        <v>716.6</v>
      </c>
      <c r="I953" s="362">
        <v>5286.2</v>
      </c>
    </row>
    <row r="954" spans="1:9" x14ac:dyDescent="0.2">
      <c r="A954" s="349" t="s">
        <v>341</v>
      </c>
      <c r="B954" s="359">
        <v>33988</v>
      </c>
      <c r="C954" s="349" t="s">
        <v>2654</v>
      </c>
      <c r="D954" s="349" t="s">
        <v>2655</v>
      </c>
      <c r="E954" s="360">
        <v>33559.660000000003</v>
      </c>
      <c r="F954" s="360">
        <v>47933.01</v>
      </c>
      <c r="G954" s="362">
        <v>30085</v>
      </c>
      <c r="H954" s="362">
        <v>-17848.009999999998</v>
      </c>
      <c r="I954" s="362">
        <v>15711.65</v>
      </c>
    </row>
    <row r="955" spans="1:9" x14ac:dyDescent="0.2">
      <c r="A955" s="349" t="s">
        <v>341</v>
      </c>
      <c r="B955" s="359">
        <v>37305</v>
      </c>
      <c r="C955" s="349" t="s">
        <v>2656</v>
      </c>
      <c r="D955" s="349" t="s">
        <v>2657</v>
      </c>
      <c r="E955" s="363">
        <v>726</v>
      </c>
      <c r="F955" s="360">
        <v>1452</v>
      </c>
      <c r="G955" s="361">
        <v>726</v>
      </c>
      <c r="H955" s="361">
        <v>-726</v>
      </c>
      <c r="I955" s="361">
        <v>0</v>
      </c>
    </row>
    <row r="956" spans="1:9" x14ac:dyDescent="0.2">
      <c r="A956" s="349" t="s">
        <v>341</v>
      </c>
      <c r="B956" s="359">
        <v>37995</v>
      </c>
      <c r="C956" s="349" t="s">
        <v>2658</v>
      </c>
      <c r="D956" s="349" t="s">
        <v>2659</v>
      </c>
      <c r="E956" s="360">
        <v>1787.74</v>
      </c>
      <c r="F956" s="360">
        <v>1787.74</v>
      </c>
      <c r="G956" s="361">
        <v>788.1</v>
      </c>
      <c r="H956" s="361">
        <v>-999.64</v>
      </c>
      <c r="I956" s="361">
        <v>788.1</v>
      </c>
    </row>
    <row r="957" spans="1:9" x14ac:dyDescent="0.2">
      <c r="A957" s="349" t="s">
        <v>341</v>
      </c>
      <c r="B957" s="359">
        <v>34147</v>
      </c>
      <c r="C957" s="349" t="s">
        <v>2660</v>
      </c>
      <c r="D957" s="349" t="s">
        <v>2661</v>
      </c>
      <c r="E957" s="363">
        <v>0</v>
      </c>
      <c r="F957" s="363">
        <v>0</v>
      </c>
      <c r="G957" s="362">
        <v>1260</v>
      </c>
      <c r="H957" s="362">
        <v>1260</v>
      </c>
      <c r="I957" s="362">
        <v>1260</v>
      </c>
    </row>
    <row r="958" spans="1:9" x14ac:dyDescent="0.2">
      <c r="A958" s="349" t="s">
        <v>341</v>
      </c>
      <c r="B958" s="359">
        <v>38208</v>
      </c>
      <c r="C958" s="349" t="s">
        <v>2662</v>
      </c>
      <c r="D958" s="349" t="s">
        <v>2663</v>
      </c>
      <c r="E958" s="360">
        <v>1955</v>
      </c>
      <c r="F958" s="360">
        <v>1415</v>
      </c>
      <c r="G958" s="361">
        <v>0</v>
      </c>
      <c r="H958" s="362">
        <v>-1415</v>
      </c>
      <c r="I958" s="361">
        <v>540</v>
      </c>
    </row>
    <row r="959" spans="1:9" x14ac:dyDescent="0.2">
      <c r="A959" s="349" t="s">
        <v>341</v>
      </c>
      <c r="B959" s="359">
        <v>2808</v>
      </c>
      <c r="C959" s="349" t="s">
        <v>2664</v>
      </c>
      <c r="D959" s="349" t="s">
        <v>2665</v>
      </c>
      <c r="E959" s="363">
        <v>220</v>
      </c>
      <c r="F959" s="363">
        <v>440</v>
      </c>
      <c r="G959" s="361">
        <v>220</v>
      </c>
      <c r="H959" s="361">
        <v>-220</v>
      </c>
      <c r="I959" s="361">
        <v>0</v>
      </c>
    </row>
    <row r="960" spans="1:9" x14ac:dyDescent="0.2">
      <c r="A960" s="349" t="s">
        <v>341</v>
      </c>
      <c r="B960" s="359">
        <v>2813</v>
      </c>
      <c r="C960" s="349" t="s">
        <v>2666</v>
      </c>
      <c r="D960" s="349" t="s">
        <v>2667</v>
      </c>
      <c r="E960" s="363">
        <v>0</v>
      </c>
      <c r="F960" s="363">
        <v>0</v>
      </c>
      <c r="G960" s="361">
        <v>370</v>
      </c>
      <c r="H960" s="361">
        <v>370</v>
      </c>
      <c r="I960" s="361">
        <v>370</v>
      </c>
    </row>
    <row r="961" spans="1:9" x14ac:dyDescent="0.2">
      <c r="A961" s="349" t="s">
        <v>341</v>
      </c>
      <c r="B961" s="359">
        <v>37678</v>
      </c>
      <c r="C961" s="349" t="s">
        <v>2668</v>
      </c>
      <c r="D961" s="349" t="s">
        <v>2669</v>
      </c>
      <c r="E961" s="360">
        <v>1606.55</v>
      </c>
      <c r="F961" s="360">
        <v>1606.55</v>
      </c>
      <c r="G961" s="362">
        <v>2238.48</v>
      </c>
      <c r="H961" s="361">
        <v>631.92999999999995</v>
      </c>
      <c r="I961" s="362">
        <v>2238.48</v>
      </c>
    </row>
    <row r="962" spans="1:9" x14ac:dyDescent="0.2">
      <c r="A962" s="349" t="s">
        <v>341</v>
      </c>
      <c r="B962" s="359">
        <v>2826</v>
      </c>
      <c r="C962" s="349" t="s">
        <v>2670</v>
      </c>
      <c r="D962" s="349" t="s">
        <v>2671</v>
      </c>
      <c r="E962" s="360">
        <v>33307.43</v>
      </c>
      <c r="F962" s="360">
        <v>31413.75</v>
      </c>
      <c r="G962" s="362">
        <v>28902.26</v>
      </c>
      <c r="H962" s="362">
        <v>-2511.4899999999998</v>
      </c>
      <c r="I962" s="362">
        <v>30795.94</v>
      </c>
    </row>
    <row r="963" spans="1:9" x14ac:dyDescent="0.2">
      <c r="A963" s="349" t="s">
        <v>341</v>
      </c>
      <c r="B963" s="359">
        <v>51384</v>
      </c>
      <c r="C963" s="349" t="s">
        <v>2672</v>
      </c>
      <c r="D963" s="349" t="s">
        <v>2673</v>
      </c>
      <c r="E963" s="360">
        <v>21937.41</v>
      </c>
      <c r="F963" s="360">
        <v>7920.81</v>
      </c>
      <c r="G963" s="362">
        <v>26510.959999999999</v>
      </c>
      <c r="H963" s="362">
        <v>18590.150000000001</v>
      </c>
      <c r="I963" s="362">
        <v>40527.56</v>
      </c>
    </row>
    <row r="964" spans="1:9" x14ac:dyDescent="0.2">
      <c r="A964" s="349" t="s">
        <v>341</v>
      </c>
      <c r="B964" s="359">
        <v>52079</v>
      </c>
      <c r="C964" s="349" t="s">
        <v>2674</v>
      </c>
      <c r="D964" s="349" t="s">
        <v>2675</v>
      </c>
      <c r="E964" s="363">
        <v>0</v>
      </c>
      <c r="F964" s="360">
        <v>5711.08</v>
      </c>
      <c r="G964" s="362">
        <v>5711.08</v>
      </c>
      <c r="H964" s="361">
        <v>0</v>
      </c>
      <c r="I964" s="361">
        <v>0</v>
      </c>
    </row>
    <row r="965" spans="1:9" x14ac:dyDescent="0.2">
      <c r="A965" s="349" t="s">
        <v>341</v>
      </c>
      <c r="B965" s="359">
        <v>51469</v>
      </c>
      <c r="C965" s="349" t="s">
        <v>2676</v>
      </c>
      <c r="D965" s="349" t="s">
        <v>2677</v>
      </c>
      <c r="E965" s="360">
        <v>4400</v>
      </c>
      <c r="F965" s="360">
        <v>4400</v>
      </c>
      <c r="G965" s="361">
        <v>0</v>
      </c>
      <c r="H965" s="362">
        <v>-4400</v>
      </c>
      <c r="I965" s="361">
        <v>0</v>
      </c>
    </row>
    <row r="966" spans="1:9" x14ac:dyDescent="0.2">
      <c r="A966" s="349" t="s">
        <v>341</v>
      </c>
      <c r="B966" s="359">
        <v>3849</v>
      </c>
      <c r="C966" s="349" t="s">
        <v>2678</v>
      </c>
      <c r="D966" s="349" t="s">
        <v>2679</v>
      </c>
      <c r="E966" s="363">
        <v>0</v>
      </c>
      <c r="F966" s="360">
        <v>2473.1999999999998</v>
      </c>
      <c r="G966" s="362">
        <v>12366</v>
      </c>
      <c r="H966" s="362">
        <v>9892.7999999999993</v>
      </c>
      <c r="I966" s="362">
        <v>9892.7999999999993</v>
      </c>
    </row>
    <row r="967" spans="1:9" x14ac:dyDescent="0.2">
      <c r="A967" s="349" t="s">
        <v>341</v>
      </c>
      <c r="B967" s="359">
        <v>37119</v>
      </c>
      <c r="C967" s="349" t="s">
        <v>2680</v>
      </c>
      <c r="D967" s="349" t="s">
        <v>2681</v>
      </c>
      <c r="E967" s="360">
        <v>38895.72</v>
      </c>
      <c r="F967" s="363">
        <v>0</v>
      </c>
      <c r="G967" s="361">
        <v>0</v>
      </c>
      <c r="H967" s="361">
        <v>0</v>
      </c>
      <c r="I967" s="362">
        <v>38895.72</v>
      </c>
    </row>
    <row r="968" spans="1:9" x14ac:dyDescent="0.2">
      <c r="A968" s="349" t="s">
        <v>341</v>
      </c>
      <c r="B968" s="359">
        <v>52343</v>
      </c>
      <c r="C968" s="349" t="s">
        <v>2682</v>
      </c>
      <c r="D968" s="349" t="s">
        <v>2683</v>
      </c>
      <c r="E968" s="360">
        <v>64049.5</v>
      </c>
      <c r="F968" s="360">
        <v>2582</v>
      </c>
      <c r="G968" s="361">
        <v>0</v>
      </c>
      <c r="H968" s="362">
        <v>-2582</v>
      </c>
      <c r="I968" s="362">
        <v>61467.5</v>
      </c>
    </row>
    <row r="969" spans="1:9" x14ac:dyDescent="0.2">
      <c r="A969" s="349" t="s">
        <v>341</v>
      </c>
      <c r="B969" s="359">
        <v>2864</v>
      </c>
      <c r="C969" s="349" t="s">
        <v>2684</v>
      </c>
      <c r="D969" s="349" t="s">
        <v>2685</v>
      </c>
      <c r="E969" s="360">
        <v>13057.34</v>
      </c>
      <c r="F969" s="360">
        <v>16717.34</v>
      </c>
      <c r="G969" s="362">
        <v>3660</v>
      </c>
      <c r="H969" s="362">
        <v>-13057.34</v>
      </c>
      <c r="I969" s="361">
        <v>0</v>
      </c>
    </row>
    <row r="970" spans="1:9" x14ac:dyDescent="0.2">
      <c r="A970" s="349" t="s">
        <v>341</v>
      </c>
      <c r="B970" s="359">
        <v>37444</v>
      </c>
      <c r="C970" s="349" t="s">
        <v>2686</v>
      </c>
      <c r="D970" s="349" t="s">
        <v>2687</v>
      </c>
      <c r="E970" s="360">
        <v>45765.65</v>
      </c>
      <c r="F970" s="360">
        <v>64413.599999999999</v>
      </c>
      <c r="G970" s="362">
        <v>45562.15</v>
      </c>
      <c r="H970" s="362">
        <v>-18851.45</v>
      </c>
      <c r="I970" s="362">
        <v>26914.2</v>
      </c>
    </row>
    <row r="971" spans="1:9" x14ac:dyDescent="0.2">
      <c r="A971" s="349" t="s">
        <v>341</v>
      </c>
      <c r="B971" s="359">
        <v>3860</v>
      </c>
      <c r="C971" s="349" t="s">
        <v>2688</v>
      </c>
      <c r="D971" s="349" t="s">
        <v>2689</v>
      </c>
      <c r="E971" s="360">
        <v>167401.07</v>
      </c>
      <c r="F971" s="363">
        <v>0</v>
      </c>
      <c r="G971" s="361">
        <v>0</v>
      </c>
      <c r="H971" s="361">
        <v>0</v>
      </c>
      <c r="I971" s="362">
        <v>167401.07</v>
      </c>
    </row>
    <row r="972" spans="1:9" x14ac:dyDescent="0.2">
      <c r="A972" s="349" t="s">
        <v>341</v>
      </c>
      <c r="B972" s="359">
        <v>2870</v>
      </c>
      <c r="C972" s="349" t="s">
        <v>2690</v>
      </c>
      <c r="D972" s="349" t="s">
        <v>2691</v>
      </c>
      <c r="E972" s="360">
        <v>6770.84</v>
      </c>
      <c r="F972" s="360">
        <v>14067.08</v>
      </c>
      <c r="G972" s="362">
        <v>12783.91</v>
      </c>
      <c r="H972" s="362">
        <v>-1283.17</v>
      </c>
      <c r="I972" s="362">
        <v>5487.67</v>
      </c>
    </row>
    <row r="973" spans="1:9" x14ac:dyDescent="0.2">
      <c r="A973" s="349" t="s">
        <v>341</v>
      </c>
      <c r="B973" s="359">
        <v>52434</v>
      </c>
      <c r="C973" s="349" t="s">
        <v>2692</v>
      </c>
      <c r="D973" s="349" t="s">
        <v>2693</v>
      </c>
      <c r="E973" s="363">
        <v>0</v>
      </c>
      <c r="F973" s="360">
        <v>1740</v>
      </c>
      <c r="G973" s="362">
        <v>3480</v>
      </c>
      <c r="H973" s="362">
        <v>1740</v>
      </c>
      <c r="I973" s="362">
        <v>1740</v>
      </c>
    </row>
    <row r="974" spans="1:9" x14ac:dyDescent="0.2">
      <c r="A974" s="349" t="s">
        <v>341</v>
      </c>
      <c r="B974" s="359">
        <v>2877</v>
      </c>
      <c r="C974" s="349" t="s">
        <v>2694</v>
      </c>
      <c r="D974" s="349" t="s">
        <v>2695</v>
      </c>
      <c r="E974" s="360">
        <v>2800</v>
      </c>
      <c r="F974" s="363">
        <v>0</v>
      </c>
      <c r="G974" s="361">
        <v>0</v>
      </c>
      <c r="H974" s="361">
        <v>0</v>
      </c>
      <c r="I974" s="362">
        <v>2800</v>
      </c>
    </row>
    <row r="975" spans="1:9" x14ac:dyDescent="0.2">
      <c r="A975" s="349" t="s">
        <v>341</v>
      </c>
      <c r="B975" s="359">
        <v>26391</v>
      </c>
      <c r="C975" s="349" t="s">
        <v>2696</v>
      </c>
      <c r="D975" s="349" t="s">
        <v>2697</v>
      </c>
      <c r="E975" s="360">
        <v>20578.919999999998</v>
      </c>
      <c r="F975" s="360">
        <v>16609.36</v>
      </c>
      <c r="G975" s="362">
        <v>10324.799999999999</v>
      </c>
      <c r="H975" s="362">
        <v>-6284.56</v>
      </c>
      <c r="I975" s="362">
        <v>14294.36</v>
      </c>
    </row>
    <row r="976" spans="1:9" x14ac:dyDescent="0.2">
      <c r="A976" s="349" t="s">
        <v>341</v>
      </c>
      <c r="B976" s="359">
        <v>2896</v>
      </c>
      <c r="C976" s="349" t="s">
        <v>2698</v>
      </c>
      <c r="D976" s="349" t="s">
        <v>2699</v>
      </c>
      <c r="E976" s="360">
        <v>20680.14</v>
      </c>
      <c r="F976" s="360">
        <v>20773.14</v>
      </c>
      <c r="G976" s="362">
        <v>26362</v>
      </c>
      <c r="H976" s="362">
        <v>5588.86</v>
      </c>
      <c r="I976" s="362">
        <v>26269</v>
      </c>
    </row>
    <row r="977" spans="1:9" x14ac:dyDescent="0.2">
      <c r="A977" s="349" t="s">
        <v>341</v>
      </c>
      <c r="B977" s="359">
        <v>33708</v>
      </c>
      <c r="C977" s="349" t="s">
        <v>2700</v>
      </c>
      <c r="D977" s="349" t="s">
        <v>2701</v>
      </c>
      <c r="E977" s="360">
        <v>1915</v>
      </c>
      <c r="F977" s="360">
        <v>1915</v>
      </c>
      <c r="G977" s="361">
        <v>0</v>
      </c>
      <c r="H977" s="362">
        <v>-1915</v>
      </c>
      <c r="I977" s="361">
        <v>0</v>
      </c>
    </row>
    <row r="978" spans="1:9" x14ac:dyDescent="0.2">
      <c r="A978" s="349" t="s">
        <v>341</v>
      </c>
      <c r="B978" s="359">
        <v>38280</v>
      </c>
      <c r="C978" s="349" t="s">
        <v>2702</v>
      </c>
      <c r="D978" s="349" t="s">
        <v>2703</v>
      </c>
      <c r="E978" s="360">
        <v>16290.12</v>
      </c>
      <c r="F978" s="360">
        <v>16769.2</v>
      </c>
      <c r="G978" s="362">
        <v>10744.09</v>
      </c>
      <c r="H978" s="362">
        <v>-6025.11</v>
      </c>
      <c r="I978" s="362">
        <v>10265.01</v>
      </c>
    </row>
    <row r="979" spans="1:9" x14ac:dyDescent="0.2">
      <c r="A979" s="349" t="s">
        <v>341</v>
      </c>
      <c r="B979" s="359">
        <v>51483</v>
      </c>
      <c r="C979" s="349" t="s">
        <v>2704</v>
      </c>
      <c r="D979" s="349" t="s">
        <v>2705</v>
      </c>
      <c r="E979" s="360">
        <v>11929.5</v>
      </c>
      <c r="F979" s="360">
        <v>11929.5</v>
      </c>
      <c r="G979" s="362">
        <v>27370.2</v>
      </c>
      <c r="H979" s="362">
        <v>15440.7</v>
      </c>
      <c r="I979" s="362">
        <v>27370.2</v>
      </c>
    </row>
    <row r="980" spans="1:9" x14ac:dyDescent="0.2">
      <c r="A980" s="349" t="s">
        <v>341</v>
      </c>
      <c r="B980" s="359">
        <v>2910</v>
      </c>
      <c r="C980" s="349" t="s">
        <v>2706</v>
      </c>
      <c r="D980" s="349" t="s">
        <v>2707</v>
      </c>
      <c r="E980" s="360">
        <v>1600</v>
      </c>
      <c r="F980" s="360">
        <v>1600</v>
      </c>
      <c r="G980" s="361">
        <v>0</v>
      </c>
      <c r="H980" s="362">
        <v>-1600</v>
      </c>
      <c r="I980" s="361">
        <v>0</v>
      </c>
    </row>
    <row r="981" spans="1:9" x14ac:dyDescent="0.2">
      <c r="A981" s="349" t="s">
        <v>341</v>
      </c>
      <c r="B981" s="359">
        <v>2925</v>
      </c>
      <c r="C981" s="349" t="s">
        <v>2708</v>
      </c>
      <c r="D981" s="349" t="s">
        <v>2709</v>
      </c>
      <c r="E981" s="360">
        <v>1902</v>
      </c>
      <c r="F981" s="363">
        <v>375</v>
      </c>
      <c r="G981" s="361">
        <v>250</v>
      </c>
      <c r="H981" s="361">
        <v>-125</v>
      </c>
      <c r="I981" s="362">
        <v>1777</v>
      </c>
    </row>
    <row r="982" spans="1:9" x14ac:dyDescent="0.2">
      <c r="A982" s="349" t="s">
        <v>341</v>
      </c>
      <c r="B982" s="359">
        <v>52953</v>
      </c>
      <c r="C982" s="349" t="s">
        <v>2710</v>
      </c>
      <c r="D982" s="349" t="s">
        <v>2711</v>
      </c>
      <c r="E982" s="360">
        <v>5810.3</v>
      </c>
      <c r="F982" s="360">
        <v>5810.3</v>
      </c>
      <c r="G982" s="361">
        <v>610.41999999999996</v>
      </c>
      <c r="H982" s="362">
        <v>-5199.88</v>
      </c>
      <c r="I982" s="361">
        <v>610.41999999999996</v>
      </c>
    </row>
    <row r="983" spans="1:9" x14ac:dyDescent="0.2">
      <c r="A983" s="349" t="s">
        <v>341</v>
      </c>
      <c r="B983" s="359">
        <v>33093</v>
      </c>
      <c r="C983" s="349" t="s">
        <v>2712</v>
      </c>
      <c r="D983" s="349" t="s">
        <v>2713</v>
      </c>
      <c r="E983" s="360">
        <v>1650</v>
      </c>
      <c r="F983" s="360">
        <v>1650</v>
      </c>
      <c r="G983" s="362">
        <v>3521</v>
      </c>
      <c r="H983" s="362">
        <v>1871</v>
      </c>
      <c r="I983" s="362">
        <v>3521</v>
      </c>
    </row>
    <row r="984" spans="1:9" x14ac:dyDescent="0.2">
      <c r="A984" s="349" t="s">
        <v>341</v>
      </c>
      <c r="B984" s="359">
        <v>38681</v>
      </c>
      <c r="C984" s="349" t="s">
        <v>2714</v>
      </c>
      <c r="D984" s="349" t="s">
        <v>2715</v>
      </c>
      <c r="E984" s="360">
        <v>7840</v>
      </c>
      <c r="F984" s="360">
        <v>7840</v>
      </c>
      <c r="G984" s="361">
        <v>0</v>
      </c>
      <c r="H984" s="362">
        <v>-7840</v>
      </c>
      <c r="I984" s="361">
        <v>0</v>
      </c>
    </row>
    <row r="985" spans="1:9" x14ac:dyDescent="0.2">
      <c r="A985" s="349" t="s">
        <v>341</v>
      </c>
      <c r="B985" s="359">
        <v>52674</v>
      </c>
      <c r="C985" s="349" t="s">
        <v>2716</v>
      </c>
      <c r="D985" s="349" t="s">
        <v>2717</v>
      </c>
      <c r="E985" s="360">
        <v>2634.5</v>
      </c>
      <c r="F985" s="360">
        <v>2634.5</v>
      </c>
      <c r="G985" s="361">
        <v>0</v>
      </c>
      <c r="H985" s="362">
        <v>-2634.5</v>
      </c>
      <c r="I985" s="361">
        <v>0</v>
      </c>
    </row>
    <row r="986" spans="1:9" x14ac:dyDescent="0.2">
      <c r="A986" s="349" t="s">
        <v>341</v>
      </c>
      <c r="B986" s="359">
        <v>52609</v>
      </c>
      <c r="C986" s="349" t="s">
        <v>2718</v>
      </c>
      <c r="D986" s="349" t="s">
        <v>2719</v>
      </c>
      <c r="E986" s="363">
        <v>0</v>
      </c>
      <c r="F986" s="360">
        <v>5000</v>
      </c>
      <c r="G986" s="362">
        <v>10000</v>
      </c>
      <c r="H986" s="362">
        <v>5000</v>
      </c>
      <c r="I986" s="362">
        <v>5000</v>
      </c>
    </row>
    <row r="987" spans="1:9" x14ac:dyDescent="0.2">
      <c r="A987" s="349" t="s">
        <v>341</v>
      </c>
      <c r="B987" s="359">
        <v>52786</v>
      </c>
      <c r="C987" s="349" t="s">
        <v>2720</v>
      </c>
      <c r="D987" s="349" t="s">
        <v>2721</v>
      </c>
      <c r="E987" s="363">
        <v>0</v>
      </c>
      <c r="F987" s="360">
        <v>3128</v>
      </c>
      <c r="G987" s="362">
        <v>3128</v>
      </c>
      <c r="H987" s="361">
        <v>0</v>
      </c>
      <c r="I987" s="361">
        <v>0</v>
      </c>
    </row>
    <row r="988" spans="1:9" x14ac:dyDescent="0.2">
      <c r="A988" s="349" t="s">
        <v>341</v>
      </c>
      <c r="B988" s="359">
        <v>51894</v>
      </c>
      <c r="C988" s="349" t="s">
        <v>2722</v>
      </c>
      <c r="D988" s="349" t="s">
        <v>2723</v>
      </c>
      <c r="E988" s="363">
        <v>0</v>
      </c>
      <c r="F988" s="360">
        <v>1770</v>
      </c>
      <c r="G988" s="362">
        <v>1770</v>
      </c>
      <c r="H988" s="361">
        <v>0</v>
      </c>
      <c r="I988" s="361">
        <v>0</v>
      </c>
    </row>
    <row r="989" spans="1:9" x14ac:dyDescent="0.2">
      <c r="A989" s="349" t="s">
        <v>341</v>
      </c>
      <c r="B989" s="359">
        <v>37791</v>
      </c>
      <c r="C989" s="349" t="s">
        <v>2724</v>
      </c>
      <c r="D989" s="349" t="s">
        <v>2725</v>
      </c>
      <c r="E989" s="360">
        <v>4720</v>
      </c>
      <c r="F989" s="360">
        <v>6160</v>
      </c>
      <c r="G989" s="362">
        <v>7040</v>
      </c>
      <c r="H989" s="361">
        <v>880</v>
      </c>
      <c r="I989" s="362">
        <v>5600</v>
      </c>
    </row>
    <row r="990" spans="1:9" x14ac:dyDescent="0.2">
      <c r="A990" s="349" t="s">
        <v>341</v>
      </c>
      <c r="B990" s="359">
        <v>51399</v>
      </c>
      <c r="C990" s="349" t="s">
        <v>2726</v>
      </c>
      <c r="D990" s="349" t="s">
        <v>2727</v>
      </c>
      <c r="E990" s="360">
        <v>13312.13</v>
      </c>
      <c r="F990" s="363">
        <v>0</v>
      </c>
      <c r="G990" s="361">
        <v>0</v>
      </c>
      <c r="H990" s="361">
        <v>0</v>
      </c>
      <c r="I990" s="362">
        <v>13312.13</v>
      </c>
    </row>
    <row r="991" spans="1:9" x14ac:dyDescent="0.2">
      <c r="A991" s="349" t="s">
        <v>341</v>
      </c>
      <c r="B991" s="359">
        <v>37956</v>
      </c>
      <c r="C991" s="349" t="s">
        <v>2728</v>
      </c>
      <c r="D991" s="349" t="s">
        <v>2729</v>
      </c>
      <c r="E991" s="363">
        <v>0</v>
      </c>
      <c r="F991" s="363">
        <v>110</v>
      </c>
      <c r="G991" s="361">
        <v>110</v>
      </c>
      <c r="H991" s="361">
        <v>0</v>
      </c>
      <c r="I991" s="361">
        <v>0</v>
      </c>
    </row>
    <row r="992" spans="1:9" x14ac:dyDescent="0.2">
      <c r="A992" s="349" t="s">
        <v>341</v>
      </c>
      <c r="B992" s="359">
        <v>52910</v>
      </c>
      <c r="C992" s="349" t="s">
        <v>2730</v>
      </c>
      <c r="D992" s="349" t="s">
        <v>2731</v>
      </c>
      <c r="E992" s="363">
        <v>0</v>
      </c>
      <c r="F992" s="363">
        <v>0</v>
      </c>
      <c r="G992" s="362">
        <v>1042.8</v>
      </c>
      <c r="H992" s="362">
        <v>1042.8</v>
      </c>
      <c r="I992" s="362">
        <v>1042.8</v>
      </c>
    </row>
    <row r="993" spans="1:9" x14ac:dyDescent="0.2">
      <c r="A993" s="349" t="s">
        <v>341</v>
      </c>
      <c r="B993" s="359">
        <v>3004</v>
      </c>
      <c r="C993" s="349" t="s">
        <v>2732</v>
      </c>
      <c r="D993" s="349" t="s">
        <v>2733</v>
      </c>
      <c r="E993" s="360">
        <v>101744.22</v>
      </c>
      <c r="F993" s="360">
        <v>54493.56</v>
      </c>
      <c r="G993" s="362">
        <v>29720</v>
      </c>
      <c r="H993" s="362">
        <v>-24773.56</v>
      </c>
      <c r="I993" s="362">
        <v>76970.66</v>
      </c>
    </row>
    <row r="994" spans="1:9" x14ac:dyDescent="0.2">
      <c r="A994" s="349" t="s">
        <v>341</v>
      </c>
      <c r="B994" s="359">
        <v>52918</v>
      </c>
      <c r="C994" s="349" t="s">
        <v>2734</v>
      </c>
      <c r="D994" s="349" t="s">
        <v>2735</v>
      </c>
      <c r="E994" s="363">
        <v>843.2</v>
      </c>
      <c r="F994" s="360">
        <v>1632.9</v>
      </c>
      <c r="G994" s="362">
        <v>1267.94</v>
      </c>
      <c r="H994" s="361">
        <v>-364.96</v>
      </c>
      <c r="I994" s="361">
        <v>478.24</v>
      </c>
    </row>
    <row r="995" spans="1:9" x14ac:dyDescent="0.2">
      <c r="A995" s="349" t="s">
        <v>341</v>
      </c>
      <c r="B995" s="359">
        <v>36692</v>
      </c>
      <c r="C995" s="349" t="s">
        <v>2736</v>
      </c>
      <c r="D995" s="349" t="s">
        <v>2737</v>
      </c>
      <c r="E995" s="360">
        <v>4619</v>
      </c>
      <c r="F995" s="360">
        <v>6204.35</v>
      </c>
      <c r="G995" s="362">
        <v>6121</v>
      </c>
      <c r="H995" s="361">
        <v>-83.35</v>
      </c>
      <c r="I995" s="362">
        <v>4535.6499999999996</v>
      </c>
    </row>
    <row r="996" spans="1:9" x14ac:dyDescent="0.2">
      <c r="A996" s="349" t="s">
        <v>341</v>
      </c>
      <c r="B996" s="359">
        <v>52149</v>
      </c>
      <c r="C996" s="349" t="s">
        <v>2738</v>
      </c>
      <c r="D996" s="349" t="s">
        <v>2739</v>
      </c>
      <c r="E996" s="363">
        <v>0</v>
      </c>
      <c r="F996" s="363">
        <v>702.5</v>
      </c>
      <c r="G996" s="361">
        <v>702.5</v>
      </c>
      <c r="H996" s="361">
        <v>0</v>
      </c>
      <c r="I996" s="361">
        <v>0</v>
      </c>
    </row>
    <row r="997" spans="1:9" x14ac:dyDescent="0.2">
      <c r="A997" s="349" t="s">
        <v>341</v>
      </c>
      <c r="B997" s="359">
        <v>51790</v>
      </c>
      <c r="C997" s="349" t="s">
        <v>2740</v>
      </c>
      <c r="D997" s="349" t="s">
        <v>2741</v>
      </c>
      <c r="E997" s="360">
        <v>1566.08</v>
      </c>
      <c r="F997" s="360">
        <v>1040.9100000000001</v>
      </c>
      <c r="G997" s="362">
        <v>2478.56</v>
      </c>
      <c r="H997" s="362">
        <v>1437.65</v>
      </c>
      <c r="I997" s="362">
        <v>3003.73</v>
      </c>
    </row>
    <row r="998" spans="1:9" x14ac:dyDescent="0.2">
      <c r="A998" s="349" t="s">
        <v>341</v>
      </c>
      <c r="B998" s="359">
        <v>3023</v>
      </c>
      <c r="C998" s="349" t="s">
        <v>2742</v>
      </c>
      <c r="D998" s="349" t="s">
        <v>2743</v>
      </c>
      <c r="E998" s="363">
        <v>0</v>
      </c>
      <c r="F998" s="363">
        <v>0</v>
      </c>
      <c r="G998" s="362">
        <v>6367</v>
      </c>
      <c r="H998" s="362">
        <v>6367</v>
      </c>
      <c r="I998" s="362">
        <v>6367</v>
      </c>
    </row>
    <row r="999" spans="1:9" x14ac:dyDescent="0.2">
      <c r="A999" s="349" t="s">
        <v>341</v>
      </c>
      <c r="B999" s="359">
        <v>3024</v>
      </c>
      <c r="C999" s="349" t="s">
        <v>2744</v>
      </c>
      <c r="D999" s="349" t="s">
        <v>2745</v>
      </c>
      <c r="E999" s="363">
        <v>888.01</v>
      </c>
      <c r="F999" s="363">
        <v>888.01</v>
      </c>
      <c r="G999" s="361">
        <v>0</v>
      </c>
      <c r="H999" s="361">
        <v>-888.01</v>
      </c>
      <c r="I999" s="361">
        <v>0</v>
      </c>
    </row>
    <row r="1000" spans="1:9" x14ac:dyDescent="0.2">
      <c r="A1000" s="349" t="s">
        <v>341</v>
      </c>
      <c r="B1000" s="359">
        <v>3038</v>
      </c>
      <c r="C1000" s="349" t="s">
        <v>2746</v>
      </c>
      <c r="D1000" s="349" t="s">
        <v>2747</v>
      </c>
      <c r="E1000" s="360">
        <v>14017.02</v>
      </c>
      <c r="F1000" s="360">
        <v>50890.09</v>
      </c>
      <c r="G1000" s="362">
        <v>55078.78</v>
      </c>
      <c r="H1000" s="362">
        <v>4188.6899999999996</v>
      </c>
      <c r="I1000" s="362">
        <v>18205.71</v>
      </c>
    </row>
    <row r="1001" spans="1:9" x14ac:dyDescent="0.2">
      <c r="A1001" s="349" t="s">
        <v>341</v>
      </c>
      <c r="B1001" s="359">
        <v>3039</v>
      </c>
      <c r="C1001" s="349" t="s">
        <v>2748</v>
      </c>
      <c r="D1001" s="349" t="s">
        <v>2749</v>
      </c>
      <c r="E1001" s="360">
        <v>13450</v>
      </c>
      <c r="F1001" s="360">
        <v>13450</v>
      </c>
      <c r="G1001" s="362">
        <v>6000</v>
      </c>
      <c r="H1001" s="362">
        <v>-7450</v>
      </c>
      <c r="I1001" s="362">
        <v>6000</v>
      </c>
    </row>
    <row r="1002" spans="1:9" x14ac:dyDescent="0.2">
      <c r="A1002" s="349" t="s">
        <v>341</v>
      </c>
      <c r="B1002" s="359">
        <v>3042</v>
      </c>
      <c r="C1002" s="349" t="s">
        <v>2750</v>
      </c>
      <c r="D1002" s="349" t="s">
        <v>2751</v>
      </c>
      <c r="E1002" s="360">
        <v>4655.3</v>
      </c>
      <c r="F1002" s="360">
        <v>4655.3</v>
      </c>
      <c r="G1002" s="361">
        <v>896.15</v>
      </c>
      <c r="H1002" s="362">
        <v>-3759.15</v>
      </c>
      <c r="I1002" s="361">
        <v>896.15</v>
      </c>
    </row>
    <row r="1003" spans="1:9" x14ac:dyDescent="0.2">
      <c r="A1003" s="349" t="s">
        <v>341</v>
      </c>
      <c r="B1003" s="359">
        <v>32957</v>
      </c>
      <c r="C1003" s="349" t="s">
        <v>2752</v>
      </c>
      <c r="D1003" s="349" t="s">
        <v>2753</v>
      </c>
      <c r="E1003" s="360">
        <v>26966.77</v>
      </c>
      <c r="F1003" s="360">
        <v>19386.599999999999</v>
      </c>
      <c r="G1003" s="362">
        <v>16071.52</v>
      </c>
      <c r="H1003" s="362">
        <v>-3315.08</v>
      </c>
      <c r="I1003" s="362">
        <v>23651.69</v>
      </c>
    </row>
    <row r="1004" spans="1:9" x14ac:dyDescent="0.2">
      <c r="A1004" s="349" t="s">
        <v>341</v>
      </c>
      <c r="B1004" s="359">
        <v>37457</v>
      </c>
      <c r="C1004" s="349" t="s">
        <v>2754</v>
      </c>
      <c r="D1004" s="349" t="s">
        <v>2755</v>
      </c>
      <c r="E1004" s="363">
        <v>584.04</v>
      </c>
      <c r="F1004" s="363">
        <v>584.04</v>
      </c>
      <c r="G1004" s="361">
        <v>0</v>
      </c>
      <c r="H1004" s="361">
        <v>-584.04</v>
      </c>
      <c r="I1004" s="361">
        <v>0</v>
      </c>
    </row>
    <row r="1005" spans="1:9" x14ac:dyDescent="0.2">
      <c r="A1005" s="349" t="s">
        <v>341</v>
      </c>
      <c r="B1005" s="359">
        <v>3055</v>
      </c>
      <c r="C1005" s="349" t="s">
        <v>2756</v>
      </c>
      <c r="D1005" s="349" t="s">
        <v>2757</v>
      </c>
      <c r="E1005" s="360">
        <v>3477.4</v>
      </c>
      <c r="F1005" s="360">
        <v>3477.4</v>
      </c>
      <c r="G1005" s="361">
        <v>0</v>
      </c>
      <c r="H1005" s="362">
        <v>-3477.4</v>
      </c>
      <c r="I1005" s="361">
        <v>0</v>
      </c>
    </row>
    <row r="1006" spans="1:9" x14ac:dyDescent="0.2">
      <c r="A1006" s="349" t="s">
        <v>341</v>
      </c>
      <c r="B1006" s="359">
        <v>51527</v>
      </c>
      <c r="C1006" s="349" t="s">
        <v>2758</v>
      </c>
      <c r="D1006" s="349" t="s">
        <v>2759</v>
      </c>
      <c r="E1006" s="360">
        <v>1288</v>
      </c>
      <c r="F1006" s="360">
        <v>1380</v>
      </c>
      <c r="G1006" s="361">
        <v>92</v>
      </c>
      <c r="H1006" s="362">
        <v>-1288</v>
      </c>
      <c r="I1006" s="361">
        <v>0</v>
      </c>
    </row>
    <row r="1007" spans="1:9" x14ac:dyDescent="0.2">
      <c r="A1007" s="349" t="s">
        <v>341</v>
      </c>
      <c r="B1007" s="359">
        <v>3077</v>
      </c>
      <c r="C1007" s="349" t="s">
        <v>2760</v>
      </c>
      <c r="D1007" s="349" t="s">
        <v>2761</v>
      </c>
      <c r="E1007" s="360">
        <v>1341.66</v>
      </c>
      <c r="F1007" s="360">
        <v>1341.66</v>
      </c>
      <c r="G1007" s="362">
        <v>3100</v>
      </c>
      <c r="H1007" s="362">
        <v>1758.34</v>
      </c>
      <c r="I1007" s="362">
        <v>3100</v>
      </c>
    </row>
    <row r="1008" spans="1:9" x14ac:dyDescent="0.2">
      <c r="A1008" s="349" t="s">
        <v>341</v>
      </c>
      <c r="B1008" s="359">
        <v>33676</v>
      </c>
      <c r="C1008" s="349" t="s">
        <v>2762</v>
      </c>
      <c r="D1008" s="349" t="s">
        <v>2763</v>
      </c>
      <c r="E1008" s="360">
        <v>8867.85</v>
      </c>
      <c r="F1008" s="360">
        <v>11872.6</v>
      </c>
      <c r="G1008" s="362">
        <v>16577.61</v>
      </c>
      <c r="H1008" s="362">
        <v>4705.01</v>
      </c>
      <c r="I1008" s="362">
        <v>13572.86</v>
      </c>
    </row>
    <row r="1009" spans="1:9" x14ac:dyDescent="0.2">
      <c r="A1009" s="349" t="s">
        <v>341</v>
      </c>
      <c r="B1009" s="359">
        <v>25050</v>
      </c>
      <c r="C1009" s="349" t="s">
        <v>2764</v>
      </c>
      <c r="D1009" s="349" t="s">
        <v>2765</v>
      </c>
      <c r="E1009" s="360">
        <v>1445.4</v>
      </c>
      <c r="F1009" s="360">
        <v>1445.4</v>
      </c>
      <c r="G1009" s="361">
        <v>0</v>
      </c>
      <c r="H1009" s="362">
        <v>-1445.4</v>
      </c>
      <c r="I1009" s="361">
        <v>0</v>
      </c>
    </row>
    <row r="1010" spans="1:9" x14ac:dyDescent="0.2">
      <c r="A1010" s="349" t="s">
        <v>341</v>
      </c>
      <c r="B1010" s="359">
        <v>33551</v>
      </c>
      <c r="C1010" s="349" t="s">
        <v>2766</v>
      </c>
      <c r="D1010" s="349" t="s">
        <v>2767</v>
      </c>
      <c r="E1010" s="363">
        <v>310.89</v>
      </c>
      <c r="F1010" s="363">
        <v>310.89</v>
      </c>
      <c r="G1010" s="361">
        <v>654.76</v>
      </c>
      <c r="H1010" s="361">
        <v>343.87</v>
      </c>
      <c r="I1010" s="361">
        <v>654.76</v>
      </c>
    </row>
    <row r="1011" spans="1:9" x14ac:dyDescent="0.2">
      <c r="A1011" s="349" t="s">
        <v>341</v>
      </c>
      <c r="B1011" s="359">
        <v>33295</v>
      </c>
      <c r="C1011" s="349" t="s">
        <v>2768</v>
      </c>
      <c r="D1011" s="349" t="s">
        <v>2769</v>
      </c>
      <c r="E1011" s="360">
        <v>1221.8599999999999</v>
      </c>
      <c r="F1011" s="363">
        <v>721.16</v>
      </c>
      <c r="G1011" s="362">
        <v>1001.4</v>
      </c>
      <c r="H1011" s="361">
        <v>280.24</v>
      </c>
      <c r="I1011" s="362">
        <v>1502.1</v>
      </c>
    </row>
    <row r="1012" spans="1:9" x14ac:dyDescent="0.2">
      <c r="A1012" s="349" t="s">
        <v>341</v>
      </c>
      <c r="B1012" s="359">
        <v>3090</v>
      </c>
      <c r="C1012" s="349" t="s">
        <v>2770</v>
      </c>
      <c r="D1012" s="349" t="s">
        <v>2771</v>
      </c>
      <c r="E1012" s="363">
        <v>610.20000000000005</v>
      </c>
      <c r="F1012" s="363">
        <v>610.20000000000005</v>
      </c>
      <c r="G1012" s="362">
        <v>1361.3</v>
      </c>
      <c r="H1012" s="361">
        <v>751.1</v>
      </c>
      <c r="I1012" s="362">
        <v>1361.3</v>
      </c>
    </row>
    <row r="1013" spans="1:9" x14ac:dyDescent="0.2">
      <c r="A1013" s="349" t="s">
        <v>341</v>
      </c>
      <c r="B1013" s="359">
        <v>52824</v>
      </c>
      <c r="C1013" s="349" t="s">
        <v>2772</v>
      </c>
      <c r="D1013" s="349" t="s">
        <v>2773</v>
      </c>
      <c r="E1013" s="363">
        <v>900</v>
      </c>
      <c r="F1013" s="363">
        <v>900</v>
      </c>
      <c r="G1013" s="361">
        <v>900</v>
      </c>
      <c r="H1013" s="361">
        <v>0</v>
      </c>
      <c r="I1013" s="361">
        <v>900</v>
      </c>
    </row>
    <row r="1014" spans="1:9" x14ac:dyDescent="0.2">
      <c r="A1014" s="349" t="s">
        <v>341</v>
      </c>
      <c r="B1014" s="359">
        <v>51018</v>
      </c>
      <c r="C1014" s="349" t="s">
        <v>2774</v>
      </c>
      <c r="D1014" s="349" t="s">
        <v>2775</v>
      </c>
      <c r="E1014" s="363">
        <v>750</v>
      </c>
      <c r="F1014" s="360">
        <v>1173</v>
      </c>
      <c r="G1014" s="361">
        <v>423</v>
      </c>
      <c r="H1014" s="361">
        <v>-750</v>
      </c>
      <c r="I1014" s="361">
        <v>0</v>
      </c>
    </row>
    <row r="1015" spans="1:9" x14ac:dyDescent="0.2">
      <c r="A1015" s="349" t="s">
        <v>341</v>
      </c>
      <c r="B1015" s="359">
        <v>52994</v>
      </c>
      <c r="C1015" s="349" t="s">
        <v>2776</v>
      </c>
      <c r="D1015" s="349" t="s">
        <v>2777</v>
      </c>
      <c r="E1015" s="363">
        <v>482</v>
      </c>
      <c r="F1015" s="363">
        <v>617</v>
      </c>
      <c r="G1015" s="361">
        <v>884</v>
      </c>
      <c r="H1015" s="361">
        <v>267</v>
      </c>
      <c r="I1015" s="361">
        <v>749</v>
      </c>
    </row>
    <row r="1016" spans="1:9" x14ac:dyDescent="0.2">
      <c r="A1016" s="349" t="s">
        <v>341</v>
      </c>
      <c r="B1016" s="359">
        <v>2335</v>
      </c>
      <c r="C1016" s="349" t="s">
        <v>2778</v>
      </c>
      <c r="D1016" s="349" t="s">
        <v>2779</v>
      </c>
      <c r="E1016" s="360">
        <v>23860.18</v>
      </c>
      <c r="F1016" s="360">
        <v>21933.52</v>
      </c>
      <c r="G1016" s="361">
        <v>385.2</v>
      </c>
      <c r="H1016" s="362">
        <v>-21548.32</v>
      </c>
      <c r="I1016" s="362">
        <v>2311.86</v>
      </c>
    </row>
    <row r="1017" spans="1:9" x14ac:dyDescent="0.2">
      <c r="A1017" s="349" t="s">
        <v>341</v>
      </c>
      <c r="B1017" s="359">
        <v>32968</v>
      </c>
      <c r="C1017" s="349" t="s">
        <v>2780</v>
      </c>
      <c r="D1017" s="349" t="s">
        <v>2781</v>
      </c>
      <c r="E1017" s="360">
        <v>3587.52</v>
      </c>
      <c r="F1017" s="360">
        <v>3587.52</v>
      </c>
      <c r="G1017" s="362">
        <v>2455.08</v>
      </c>
      <c r="H1017" s="362">
        <v>-1132.44</v>
      </c>
      <c r="I1017" s="362">
        <v>2455.08</v>
      </c>
    </row>
    <row r="1018" spans="1:9" x14ac:dyDescent="0.2">
      <c r="A1018" s="349" t="s">
        <v>341</v>
      </c>
      <c r="B1018" s="359">
        <v>3978</v>
      </c>
      <c r="C1018" s="349" t="s">
        <v>2782</v>
      </c>
      <c r="D1018" s="349" t="s">
        <v>2783</v>
      </c>
      <c r="E1018" s="363">
        <v>0</v>
      </c>
      <c r="F1018" s="363">
        <v>629.20000000000005</v>
      </c>
      <c r="G1018" s="362">
        <v>1258.4000000000001</v>
      </c>
      <c r="H1018" s="361">
        <v>629.20000000000005</v>
      </c>
      <c r="I1018" s="361">
        <v>629.20000000000005</v>
      </c>
    </row>
    <row r="1019" spans="1:9" x14ac:dyDescent="0.2">
      <c r="A1019" s="349" t="s">
        <v>341</v>
      </c>
      <c r="B1019" s="359">
        <v>3142</v>
      </c>
      <c r="C1019" s="349" t="s">
        <v>2784</v>
      </c>
      <c r="D1019" s="349" t="s">
        <v>2785</v>
      </c>
      <c r="E1019" s="360">
        <v>14601.27</v>
      </c>
      <c r="F1019" s="360">
        <v>16352.01</v>
      </c>
      <c r="G1019" s="362">
        <v>17830.82</v>
      </c>
      <c r="H1019" s="362">
        <v>1478.81</v>
      </c>
      <c r="I1019" s="362">
        <v>16080.08</v>
      </c>
    </row>
    <row r="1020" spans="1:9" x14ac:dyDescent="0.2">
      <c r="A1020" s="349" t="s">
        <v>341</v>
      </c>
      <c r="B1020" s="359">
        <v>52443</v>
      </c>
      <c r="C1020" s="349" t="s">
        <v>2786</v>
      </c>
      <c r="D1020" s="349" t="s">
        <v>2787</v>
      </c>
      <c r="E1020" s="360">
        <v>9500</v>
      </c>
      <c r="F1020" s="360">
        <v>12200</v>
      </c>
      <c r="G1020" s="362">
        <v>5655</v>
      </c>
      <c r="H1020" s="362">
        <v>-6545</v>
      </c>
      <c r="I1020" s="362">
        <v>2955</v>
      </c>
    </row>
    <row r="1021" spans="1:9" x14ac:dyDescent="0.2">
      <c r="A1021" s="349" t="s">
        <v>341</v>
      </c>
      <c r="B1021" s="359">
        <v>52564</v>
      </c>
      <c r="C1021" s="349" t="s">
        <v>2788</v>
      </c>
      <c r="D1021" s="349" t="s">
        <v>2789</v>
      </c>
      <c r="E1021" s="360">
        <v>4316.6499999999996</v>
      </c>
      <c r="F1021" s="360">
        <v>3416.65</v>
      </c>
      <c r="G1021" s="361">
        <v>0</v>
      </c>
      <c r="H1021" s="362">
        <v>-3416.65</v>
      </c>
      <c r="I1021" s="361">
        <v>900</v>
      </c>
    </row>
    <row r="1022" spans="1:9" x14ac:dyDescent="0.2">
      <c r="A1022" s="349" t="s">
        <v>341</v>
      </c>
      <c r="B1022" s="359">
        <v>37807</v>
      </c>
      <c r="C1022" s="349" t="s">
        <v>2790</v>
      </c>
      <c r="D1022" s="349" t="s">
        <v>2791</v>
      </c>
      <c r="E1022" s="360">
        <v>75748.759999999995</v>
      </c>
      <c r="F1022" s="360">
        <v>54479.199999999997</v>
      </c>
      <c r="G1022" s="362">
        <v>32911.24</v>
      </c>
      <c r="H1022" s="362">
        <v>-21567.96</v>
      </c>
      <c r="I1022" s="362">
        <v>54180.800000000003</v>
      </c>
    </row>
    <row r="1023" spans="1:9" x14ac:dyDescent="0.2">
      <c r="A1023" s="349" t="s">
        <v>341</v>
      </c>
      <c r="B1023" s="359">
        <v>52020</v>
      </c>
      <c r="C1023" s="349" t="s">
        <v>2792</v>
      </c>
      <c r="D1023" s="349" t="s">
        <v>2793</v>
      </c>
      <c r="E1023" s="363">
        <v>0</v>
      </c>
      <c r="F1023" s="363">
        <v>0</v>
      </c>
      <c r="G1023" s="362">
        <v>9900</v>
      </c>
      <c r="H1023" s="362">
        <v>9900</v>
      </c>
      <c r="I1023" s="362">
        <v>9900</v>
      </c>
    </row>
    <row r="1024" spans="1:9" x14ac:dyDescent="0.2">
      <c r="A1024" s="349" t="s">
        <v>341</v>
      </c>
      <c r="B1024" s="359">
        <v>51174</v>
      </c>
      <c r="C1024" s="349" t="s">
        <v>2794</v>
      </c>
      <c r="D1024" s="349" t="s">
        <v>2795</v>
      </c>
      <c r="E1024" s="360">
        <v>6216.64</v>
      </c>
      <c r="F1024" s="360">
        <v>4722.6400000000003</v>
      </c>
      <c r="G1024" s="362">
        <v>3555</v>
      </c>
      <c r="H1024" s="362">
        <v>-1167.6400000000001</v>
      </c>
      <c r="I1024" s="362">
        <v>5049</v>
      </c>
    </row>
    <row r="1025" spans="1:9" x14ac:dyDescent="0.2">
      <c r="A1025" s="349" t="s">
        <v>341</v>
      </c>
      <c r="B1025" s="359">
        <v>52145</v>
      </c>
      <c r="C1025" s="349" t="s">
        <v>2796</v>
      </c>
      <c r="D1025" s="349" t="s">
        <v>2797</v>
      </c>
      <c r="E1025" s="360">
        <v>20922.25</v>
      </c>
      <c r="F1025" s="360">
        <v>19992.25</v>
      </c>
      <c r="G1025" s="362">
        <v>8138.5</v>
      </c>
      <c r="H1025" s="362">
        <v>-11853.75</v>
      </c>
      <c r="I1025" s="362">
        <v>9068.5</v>
      </c>
    </row>
    <row r="1026" spans="1:9" x14ac:dyDescent="0.2">
      <c r="A1026" s="349" t="s">
        <v>341</v>
      </c>
      <c r="B1026" s="359">
        <v>51538</v>
      </c>
      <c r="C1026" s="349" t="s">
        <v>2798</v>
      </c>
      <c r="D1026" s="349" t="s">
        <v>2799</v>
      </c>
      <c r="E1026" s="360">
        <v>3359</v>
      </c>
      <c r="F1026" s="360">
        <v>1679.5</v>
      </c>
      <c r="G1026" s="362">
        <v>3905</v>
      </c>
      <c r="H1026" s="362">
        <v>2225.5</v>
      </c>
      <c r="I1026" s="362">
        <v>5584.5</v>
      </c>
    </row>
    <row r="1027" spans="1:9" x14ac:dyDescent="0.2">
      <c r="A1027" s="349" t="s">
        <v>341</v>
      </c>
      <c r="B1027" s="359">
        <v>37591</v>
      </c>
      <c r="C1027" s="349" t="s">
        <v>2800</v>
      </c>
      <c r="D1027" s="349" t="s">
        <v>2801</v>
      </c>
      <c r="E1027" s="360">
        <v>1944</v>
      </c>
      <c r="F1027" s="360">
        <v>1944</v>
      </c>
      <c r="G1027" s="361">
        <v>0</v>
      </c>
      <c r="H1027" s="362">
        <v>-1944</v>
      </c>
      <c r="I1027" s="361">
        <v>0</v>
      </c>
    </row>
    <row r="1028" spans="1:9" x14ac:dyDescent="0.2">
      <c r="A1028" s="349" t="s">
        <v>341</v>
      </c>
      <c r="B1028" s="359">
        <v>51500</v>
      </c>
      <c r="C1028" s="349" t="s">
        <v>2802</v>
      </c>
      <c r="D1028" s="349" t="s">
        <v>2803</v>
      </c>
      <c r="E1028" s="360">
        <v>5190</v>
      </c>
      <c r="F1028" s="360">
        <v>5190</v>
      </c>
      <c r="G1028" s="361">
        <v>0</v>
      </c>
      <c r="H1028" s="362">
        <v>-5190</v>
      </c>
      <c r="I1028" s="361">
        <v>0</v>
      </c>
    </row>
    <row r="1029" spans="1:9" x14ac:dyDescent="0.2">
      <c r="A1029" s="349" t="s">
        <v>341</v>
      </c>
      <c r="B1029" s="359">
        <v>3193</v>
      </c>
      <c r="C1029" s="349" t="s">
        <v>2804</v>
      </c>
      <c r="D1029" s="349" t="s">
        <v>2805</v>
      </c>
      <c r="E1029" s="360">
        <v>19273.55</v>
      </c>
      <c r="F1029" s="360">
        <v>25186.47</v>
      </c>
      <c r="G1029" s="362">
        <v>14948.8</v>
      </c>
      <c r="H1029" s="362">
        <v>-10237.67</v>
      </c>
      <c r="I1029" s="362">
        <v>9035.8799999999992</v>
      </c>
    </row>
    <row r="1030" spans="1:9" x14ac:dyDescent="0.2">
      <c r="A1030" s="349" t="s">
        <v>341</v>
      </c>
      <c r="B1030" s="359">
        <v>3194</v>
      </c>
      <c r="C1030" s="349" t="s">
        <v>2806</v>
      </c>
      <c r="D1030" s="349" t="s">
        <v>2807</v>
      </c>
      <c r="E1030" s="360">
        <v>43283.25</v>
      </c>
      <c r="F1030" s="360">
        <v>25485.88</v>
      </c>
      <c r="G1030" s="362">
        <v>13431.21</v>
      </c>
      <c r="H1030" s="362">
        <v>-12054.67</v>
      </c>
      <c r="I1030" s="362">
        <v>31228.58</v>
      </c>
    </row>
    <row r="1031" spans="1:9" x14ac:dyDescent="0.2">
      <c r="A1031" s="349" t="s">
        <v>341</v>
      </c>
      <c r="B1031" s="359">
        <v>37252</v>
      </c>
      <c r="C1031" s="349" t="s">
        <v>2808</v>
      </c>
      <c r="D1031" s="349" t="s">
        <v>2809</v>
      </c>
      <c r="E1031" s="360">
        <v>38974.47</v>
      </c>
      <c r="F1031" s="360">
        <v>35256.120000000003</v>
      </c>
      <c r="G1031" s="362">
        <v>23584.01</v>
      </c>
      <c r="H1031" s="362">
        <v>-11672.11</v>
      </c>
      <c r="I1031" s="362">
        <v>27302.36</v>
      </c>
    </row>
    <row r="1032" spans="1:9" x14ac:dyDescent="0.2">
      <c r="A1032" s="349" t="s">
        <v>341</v>
      </c>
      <c r="B1032" s="359">
        <v>52515</v>
      </c>
      <c r="C1032" s="349" t="s">
        <v>2810</v>
      </c>
      <c r="D1032" s="349" t="s">
        <v>2811</v>
      </c>
      <c r="E1032" s="360">
        <v>15750</v>
      </c>
      <c r="F1032" s="360">
        <v>15750</v>
      </c>
      <c r="G1032" s="361">
        <v>0</v>
      </c>
      <c r="H1032" s="362">
        <v>-15750</v>
      </c>
      <c r="I1032" s="361">
        <v>0</v>
      </c>
    </row>
    <row r="1033" spans="1:9" x14ac:dyDescent="0.2">
      <c r="A1033" s="349" t="s">
        <v>341</v>
      </c>
      <c r="B1033" s="359">
        <v>38248</v>
      </c>
      <c r="C1033" s="349" t="s">
        <v>2812</v>
      </c>
      <c r="D1033" s="349" t="s">
        <v>2813</v>
      </c>
      <c r="E1033" s="363">
        <v>0</v>
      </c>
      <c r="F1033" s="360">
        <v>5225</v>
      </c>
      <c r="G1033" s="362">
        <v>5225</v>
      </c>
      <c r="H1033" s="361">
        <v>0</v>
      </c>
      <c r="I1033" s="361">
        <v>0</v>
      </c>
    </row>
    <row r="1034" spans="1:9" x14ac:dyDescent="0.2">
      <c r="A1034" s="349" t="s">
        <v>341</v>
      </c>
      <c r="B1034" s="359">
        <v>33391</v>
      </c>
      <c r="C1034" s="349" t="s">
        <v>2814</v>
      </c>
      <c r="D1034" s="349" t="s">
        <v>2815</v>
      </c>
      <c r="E1034" s="363">
        <v>0</v>
      </c>
      <c r="F1034" s="363">
        <v>336.3</v>
      </c>
      <c r="G1034" s="361">
        <v>336.3</v>
      </c>
      <c r="H1034" s="361">
        <v>0</v>
      </c>
      <c r="I1034" s="361">
        <v>0</v>
      </c>
    </row>
    <row r="1035" spans="1:9" x14ac:dyDescent="0.2">
      <c r="A1035" s="349" t="s">
        <v>341</v>
      </c>
      <c r="B1035" s="359">
        <v>33753</v>
      </c>
      <c r="C1035" s="349" t="s">
        <v>2816</v>
      </c>
      <c r="D1035" s="349" t="s">
        <v>2817</v>
      </c>
      <c r="E1035" s="360">
        <v>10136</v>
      </c>
      <c r="F1035" s="363">
        <v>0</v>
      </c>
      <c r="G1035" s="361">
        <v>0</v>
      </c>
      <c r="H1035" s="361">
        <v>0</v>
      </c>
      <c r="I1035" s="362">
        <v>10136</v>
      </c>
    </row>
    <row r="1036" spans="1:9" x14ac:dyDescent="0.2">
      <c r="A1036" s="349" t="s">
        <v>341</v>
      </c>
      <c r="B1036" s="359">
        <v>52227</v>
      </c>
      <c r="C1036" s="349" t="s">
        <v>2818</v>
      </c>
      <c r="D1036" s="349" t="s">
        <v>2819</v>
      </c>
      <c r="E1036" s="360">
        <v>3158.4</v>
      </c>
      <c r="F1036" s="360">
        <v>4088.4</v>
      </c>
      <c r="G1036" s="362">
        <v>5944</v>
      </c>
      <c r="H1036" s="362">
        <v>1855.6</v>
      </c>
      <c r="I1036" s="362">
        <v>5014</v>
      </c>
    </row>
    <row r="1037" spans="1:9" x14ac:dyDescent="0.2">
      <c r="A1037" s="349" t="s">
        <v>341</v>
      </c>
      <c r="B1037" s="359">
        <v>3240</v>
      </c>
      <c r="C1037" s="349" t="s">
        <v>2820</v>
      </c>
      <c r="D1037" s="349" t="s">
        <v>2821</v>
      </c>
      <c r="E1037" s="363">
        <v>0</v>
      </c>
      <c r="F1037" s="363">
        <v>0</v>
      </c>
      <c r="G1037" s="362">
        <v>2100</v>
      </c>
      <c r="H1037" s="362">
        <v>2100</v>
      </c>
      <c r="I1037" s="362">
        <v>2100</v>
      </c>
    </row>
    <row r="1038" spans="1:9" x14ac:dyDescent="0.2">
      <c r="A1038" s="349" t="s">
        <v>341</v>
      </c>
      <c r="B1038" s="359">
        <v>52511</v>
      </c>
      <c r="C1038" s="349" t="s">
        <v>2822</v>
      </c>
      <c r="D1038" s="349" t="s">
        <v>2823</v>
      </c>
      <c r="E1038" s="360">
        <v>2682.63</v>
      </c>
      <c r="F1038" s="360">
        <v>2682.63</v>
      </c>
      <c r="G1038" s="361">
        <v>0</v>
      </c>
      <c r="H1038" s="362">
        <v>-2682.63</v>
      </c>
      <c r="I1038" s="361">
        <v>0</v>
      </c>
    </row>
    <row r="1039" spans="1:9" x14ac:dyDescent="0.2">
      <c r="A1039" s="349" t="s">
        <v>341</v>
      </c>
      <c r="B1039" s="359">
        <v>52298</v>
      </c>
      <c r="C1039" s="349" t="s">
        <v>2824</v>
      </c>
      <c r="D1039" s="349" t="s">
        <v>2825</v>
      </c>
      <c r="E1039" s="360">
        <v>25000</v>
      </c>
      <c r="F1039" s="363">
        <v>0</v>
      </c>
      <c r="G1039" s="361">
        <v>0</v>
      </c>
      <c r="H1039" s="361">
        <v>0</v>
      </c>
      <c r="I1039" s="362">
        <v>25000</v>
      </c>
    </row>
    <row r="1040" spans="1:9" x14ac:dyDescent="0.2">
      <c r="A1040" s="349" t="s">
        <v>341</v>
      </c>
      <c r="B1040" s="359">
        <v>3250</v>
      </c>
      <c r="C1040" s="349" t="s">
        <v>2826</v>
      </c>
      <c r="D1040" s="349" t="s">
        <v>2827</v>
      </c>
      <c r="E1040" s="360">
        <v>100390.62</v>
      </c>
      <c r="F1040" s="363">
        <v>0</v>
      </c>
      <c r="G1040" s="361">
        <v>0</v>
      </c>
      <c r="H1040" s="361">
        <v>0</v>
      </c>
      <c r="I1040" s="362">
        <v>100390.62</v>
      </c>
    </row>
    <row r="1041" spans="1:9" x14ac:dyDescent="0.2">
      <c r="A1041" s="349" t="s">
        <v>341</v>
      </c>
      <c r="B1041" s="359">
        <v>51294</v>
      </c>
      <c r="C1041" s="349" t="s">
        <v>2828</v>
      </c>
      <c r="D1041" s="349" t="s">
        <v>2829</v>
      </c>
      <c r="E1041" s="363">
        <v>0</v>
      </c>
      <c r="F1041" s="360">
        <v>9000</v>
      </c>
      <c r="G1041" s="362">
        <v>9000</v>
      </c>
      <c r="H1041" s="361">
        <v>0</v>
      </c>
      <c r="I1041" s="361">
        <v>0</v>
      </c>
    </row>
    <row r="1042" spans="1:9" x14ac:dyDescent="0.2">
      <c r="A1042" s="349" t="s">
        <v>341</v>
      </c>
      <c r="B1042" s="359">
        <v>2865</v>
      </c>
      <c r="C1042" s="349" t="s">
        <v>2830</v>
      </c>
      <c r="D1042" s="349" t="s">
        <v>2831</v>
      </c>
      <c r="E1042" s="363">
        <v>210</v>
      </c>
      <c r="F1042" s="363">
        <v>630</v>
      </c>
      <c r="G1042" s="361">
        <v>630</v>
      </c>
      <c r="H1042" s="361">
        <v>0</v>
      </c>
      <c r="I1042" s="361">
        <v>210</v>
      </c>
    </row>
    <row r="1043" spans="1:9" x14ac:dyDescent="0.2">
      <c r="A1043" s="349" t="s">
        <v>341</v>
      </c>
      <c r="B1043" s="359">
        <v>52621</v>
      </c>
      <c r="C1043" s="349" t="s">
        <v>2832</v>
      </c>
      <c r="D1043" s="349" t="s">
        <v>2833</v>
      </c>
      <c r="E1043" s="360">
        <v>2915.75</v>
      </c>
      <c r="F1043" s="360">
        <v>2915.75</v>
      </c>
      <c r="G1043" s="361">
        <v>0</v>
      </c>
      <c r="H1043" s="362">
        <v>-2915.75</v>
      </c>
      <c r="I1043" s="361">
        <v>0</v>
      </c>
    </row>
    <row r="1044" spans="1:9" x14ac:dyDescent="0.2">
      <c r="A1044" s="349" t="s">
        <v>341</v>
      </c>
      <c r="B1044" s="359">
        <v>52285</v>
      </c>
      <c r="C1044" s="349" t="s">
        <v>2834</v>
      </c>
      <c r="D1044" s="349" t="s">
        <v>2835</v>
      </c>
      <c r="E1044" s="360">
        <v>4880</v>
      </c>
      <c r="F1044" s="360">
        <v>2780</v>
      </c>
      <c r="G1044" s="361">
        <v>0</v>
      </c>
      <c r="H1044" s="362">
        <v>-2780</v>
      </c>
      <c r="I1044" s="362">
        <v>2100</v>
      </c>
    </row>
    <row r="1045" spans="1:9" x14ac:dyDescent="0.2">
      <c r="A1045" s="349" t="s">
        <v>341</v>
      </c>
      <c r="B1045" s="359">
        <v>3285</v>
      </c>
      <c r="C1045" s="349" t="s">
        <v>2836</v>
      </c>
      <c r="D1045" s="349" t="s">
        <v>2837</v>
      </c>
      <c r="E1045" s="360">
        <v>53619.6</v>
      </c>
      <c r="F1045" s="363">
        <v>0</v>
      </c>
      <c r="G1045" s="361">
        <v>0</v>
      </c>
      <c r="H1045" s="361">
        <v>0</v>
      </c>
      <c r="I1045" s="362">
        <v>53619.6</v>
      </c>
    </row>
    <row r="1046" spans="1:9" x14ac:dyDescent="0.2">
      <c r="A1046" s="349" t="s">
        <v>341</v>
      </c>
      <c r="B1046" s="359">
        <v>4055</v>
      </c>
      <c r="C1046" s="349" t="s">
        <v>2838</v>
      </c>
      <c r="D1046" s="349" t="s">
        <v>2839</v>
      </c>
      <c r="E1046" s="360">
        <v>2150.86</v>
      </c>
      <c r="F1046" s="363">
        <v>581.73</v>
      </c>
      <c r="G1046" s="361">
        <v>0</v>
      </c>
      <c r="H1046" s="361">
        <v>-581.73</v>
      </c>
      <c r="I1046" s="362">
        <v>1569.13</v>
      </c>
    </row>
    <row r="1047" spans="1:9" x14ac:dyDescent="0.2">
      <c r="A1047" s="349" t="s">
        <v>341</v>
      </c>
      <c r="B1047" s="359">
        <v>3325</v>
      </c>
      <c r="C1047" s="349" t="s">
        <v>2840</v>
      </c>
      <c r="D1047" s="349" t="s">
        <v>2841</v>
      </c>
      <c r="E1047" s="360">
        <v>48191.6</v>
      </c>
      <c r="F1047" s="360">
        <v>37040.120000000003</v>
      </c>
      <c r="G1047" s="362">
        <v>24891.5</v>
      </c>
      <c r="H1047" s="362">
        <v>-12148.62</v>
      </c>
      <c r="I1047" s="362">
        <v>36042.980000000003</v>
      </c>
    </row>
    <row r="1048" spans="1:9" x14ac:dyDescent="0.2">
      <c r="A1048" s="349" t="s">
        <v>341</v>
      </c>
      <c r="B1048" s="359">
        <v>3326</v>
      </c>
      <c r="C1048" s="349" t="s">
        <v>2842</v>
      </c>
      <c r="D1048" s="349" t="s">
        <v>2843</v>
      </c>
      <c r="E1048" s="360">
        <v>19438.96</v>
      </c>
      <c r="F1048" s="360">
        <v>14969.2</v>
      </c>
      <c r="G1048" s="362">
        <v>7170.79</v>
      </c>
      <c r="H1048" s="362">
        <v>-7798.41</v>
      </c>
      <c r="I1048" s="362">
        <v>11640.55</v>
      </c>
    </row>
    <row r="1049" spans="1:9" x14ac:dyDescent="0.2">
      <c r="A1049" s="349" t="s">
        <v>341</v>
      </c>
      <c r="B1049" s="359">
        <v>52759</v>
      </c>
      <c r="C1049" s="349" t="s">
        <v>2844</v>
      </c>
      <c r="D1049" s="349" t="s">
        <v>2845</v>
      </c>
      <c r="E1049" s="363">
        <v>677.6</v>
      </c>
      <c r="F1049" s="363">
        <v>677.6</v>
      </c>
      <c r="G1049" s="361">
        <v>484</v>
      </c>
      <c r="H1049" s="361">
        <v>-193.6</v>
      </c>
      <c r="I1049" s="361">
        <v>484</v>
      </c>
    </row>
    <row r="1050" spans="1:9" x14ac:dyDescent="0.2">
      <c r="A1050" s="349" t="s">
        <v>341</v>
      </c>
      <c r="B1050" s="359">
        <v>3345</v>
      </c>
      <c r="C1050" s="349" t="s">
        <v>2846</v>
      </c>
      <c r="D1050" s="349" t="s">
        <v>2847</v>
      </c>
      <c r="E1050" s="360">
        <v>1699.81</v>
      </c>
      <c r="F1050" s="360">
        <v>3263.06</v>
      </c>
      <c r="G1050" s="362">
        <v>4156.2</v>
      </c>
      <c r="H1050" s="361">
        <v>893.14</v>
      </c>
      <c r="I1050" s="362">
        <v>2592.9499999999998</v>
      </c>
    </row>
    <row r="1051" spans="1:9" x14ac:dyDescent="0.2">
      <c r="A1051" s="349" t="s">
        <v>341</v>
      </c>
      <c r="B1051" s="359">
        <v>53018</v>
      </c>
      <c r="C1051" s="349" t="s">
        <v>2848</v>
      </c>
      <c r="D1051" s="349" t="s">
        <v>2849</v>
      </c>
      <c r="E1051" s="360">
        <v>5820</v>
      </c>
      <c r="F1051" s="360">
        <v>2610</v>
      </c>
      <c r="G1051" s="362">
        <v>1540</v>
      </c>
      <c r="H1051" s="362">
        <v>-1070</v>
      </c>
      <c r="I1051" s="362">
        <v>4750</v>
      </c>
    </row>
    <row r="1052" spans="1:9" x14ac:dyDescent="0.2">
      <c r="A1052" s="349" t="s">
        <v>341</v>
      </c>
      <c r="B1052" s="359">
        <v>37903</v>
      </c>
      <c r="C1052" s="349" t="s">
        <v>2850</v>
      </c>
      <c r="D1052" s="349" t="s">
        <v>2851</v>
      </c>
      <c r="E1052" s="363">
        <v>0</v>
      </c>
      <c r="F1052" s="363">
        <v>0</v>
      </c>
      <c r="G1052" s="362">
        <v>4900</v>
      </c>
      <c r="H1052" s="362">
        <v>4900</v>
      </c>
      <c r="I1052" s="362">
        <v>4900</v>
      </c>
    </row>
    <row r="1053" spans="1:9" x14ac:dyDescent="0.2">
      <c r="A1053" s="349" t="s">
        <v>341</v>
      </c>
      <c r="B1053" s="359">
        <v>33751</v>
      </c>
      <c r="C1053" s="349" t="s">
        <v>2852</v>
      </c>
      <c r="D1053" s="349" t="s">
        <v>2853</v>
      </c>
      <c r="E1053" s="360">
        <v>15247.32</v>
      </c>
      <c r="F1053" s="360">
        <v>15441.52</v>
      </c>
      <c r="G1053" s="362">
        <v>7793.05</v>
      </c>
      <c r="H1053" s="362">
        <v>-7648.47</v>
      </c>
      <c r="I1053" s="362">
        <v>7598.85</v>
      </c>
    </row>
    <row r="1054" spans="1:9" x14ac:dyDescent="0.2">
      <c r="A1054" s="349" t="s">
        <v>341</v>
      </c>
      <c r="B1054" s="359">
        <v>52153</v>
      </c>
      <c r="C1054" s="349" t="s">
        <v>2854</v>
      </c>
      <c r="D1054" s="349" t="s">
        <v>2855</v>
      </c>
      <c r="E1054" s="363">
        <v>0</v>
      </c>
      <c r="F1054" s="360">
        <v>3598.25</v>
      </c>
      <c r="G1054" s="362">
        <v>3598.25</v>
      </c>
      <c r="H1054" s="361">
        <v>0</v>
      </c>
      <c r="I1054" s="361">
        <v>0</v>
      </c>
    </row>
    <row r="1055" spans="1:9" x14ac:dyDescent="0.2">
      <c r="A1055" s="349" t="s">
        <v>341</v>
      </c>
      <c r="B1055" s="359">
        <v>52355</v>
      </c>
      <c r="C1055" s="349" t="s">
        <v>2856</v>
      </c>
      <c r="D1055" s="349" t="s">
        <v>2857</v>
      </c>
      <c r="E1055" s="360">
        <v>2725</v>
      </c>
      <c r="F1055" s="360">
        <v>7417.5</v>
      </c>
      <c r="G1055" s="362">
        <v>4692.5</v>
      </c>
      <c r="H1055" s="362">
        <v>-2725</v>
      </c>
      <c r="I1055" s="361">
        <v>0</v>
      </c>
    </row>
    <row r="1056" spans="1:9" x14ac:dyDescent="0.2">
      <c r="A1056" s="349" t="s">
        <v>341</v>
      </c>
      <c r="B1056" s="359">
        <v>4097</v>
      </c>
      <c r="C1056" s="349" t="s">
        <v>2858</v>
      </c>
      <c r="D1056" s="349" t="s">
        <v>2859</v>
      </c>
      <c r="E1056" s="363">
        <v>0</v>
      </c>
      <c r="F1056" s="363">
        <v>225.3</v>
      </c>
      <c r="G1056" s="361">
        <v>225.3</v>
      </c>
      <c r="H1056" s="361">
        <v>0</v>
      </c>
      <c r="I1056" s="361">
        <v>0</v>
      </c>
    </row>
    <row r="1057" spans="1:9" x14ac:dyDescent="0.2">
      <c r="A1057" s="349" t="s">
        <v>341</v>
      </c>
      <c r="B1057" s="359">
        <v>52529</v>
      </c>
      <c r="C1057" s="349" t="s">
        <v>2860</v>
      </c>
      <c r="D1057" s="349" t="s">
        <v>2861</v>
      </c>
      <c r="E1057" s="360">
        <v>1129.3599999999999</v>
      </c>
      <c r="F1057" s="360">
        <v>4287.1000000000004</v>
      </c>
      <c r="G1057" s="362">
        <v>7045.54</v>
      </c>
      <c r="H1057" s="362">
        <v>2758.44</v>
      </c>
      <c r="I1057" s="362">
        <v>3887.8</v>
      </c>
    </row>
    <row r="1058" spans="1:9" x14ac:dyDescent="0.2">
      <c r="A1058" s="349" t="s">
        <v>341</v>
      </c>
      <c r="B1058" s="359">
        <v>38048</v>
      </c>
      <c r="C1058" s="349" t="s">
        <v>2862</v>
      </c>
      <c r="D1058" s="349" t="s">
        <v>2863</v>
      </c>
      <c r="E1058" s="360">
        <v>9324.49</v>
      </c>
      <c r="F1058" s="360">
        <v>9324.49</v>
      </c>
      <c r="G1058" s="361">
        <v>150</v>
      </c>
      <c r="H1058" s="362">
        <v>-9174.49</v>
      </c>
      <c r="I1058" s="361">
        <v>150</v>
      </c>
    </row>
    <row r="1059" spans="1:9" x14ac:dyDescent="0.2">
      <c r="A1059" s="349" t="s">
        <v>341</v>
      </c>
      <c r="B1059" s="359">
        <v>52722</v>
      </c>
      <c r="C1059" s="349" t="s">
        <v>2864</v>
      </c>
      <c r="D1059" s="349" t="s">
        <v>2865</v>
      </c>
      <c r="E1059" s="363">
        <v>0</v>
      </c>
      <c r="F1059" s="363">
        <v>733.86</v>
      </c>
      <c r="G1059" s="361">
        <v>733.86</v>
      </c>
      <c r="H1059" s="361">
        <v>0</v>
      </c>
      <c r="I1059" s="361">
        <v>0</v>
      </c>
    </row>
    <row r="1060" spans="1:9" x14ac:dyDescent="0.2">
      <c r="A1060" s="349" t="s">
        <v>341</v>
      </c>
      <c r="B1060" s="359">
        <v>3392</v>
      </c>
      <c r="C1060" s="349" t="s">
        <v>2866</v>
      </c>
      <c r="D1060" s="349" t="s">
        <v>2867</v>
      </c>
      <c r="E1060" s="360">
        <v>1500</v>
      </c>
      <c r="F1060" s="360">
        <v>2240</v>
      </c>
      <c r="G1060" s="361">
        <v>740</v>
      </c>
      <c r="H1060" s="362">
        <v>-1500</v>
      </c>
      <c r="I1060" s="361">
        <v>0</v>
      </c>
    </row>
    <row r="1061" spans="1:9" x14ac:dyDescent="0.2">
      <c r="A1061" s="349" t="s">
        <v>341</v>
      </c>
      <c r="B1061" s="359">
        <v>3393</v>
      </c>
      <c r="C1061" s="349" t="s">
        <v>2868</v>
      </c>
      <c r="D1061" s="349" t="s">
        <v>2869</v>
      </c>
      <c r="E1061" s="360">
        <v>9360</v>
      </c>
      <c r="F1061" s="360">
        <v>15760</v>
      </c>
      <c r="G1061" s="362">
        <v>6400</v>
      </c>
      <c r="H1061" s="362">
        <v>-9360</v>
      </c>
      <c r="I1061" s="361">
        <v>0</v>
      </c>
    </row>
    <row r="1062" spans="1:9" x14ac:dyDescent="0.2">
      <c r="A1062" s="349" t="s">
        <v>341</v>
      </c>
      <c r="B1062" s="359">
        <v>52580</v>
      </c>
      <c r="C1062" s="349" t="s">
        <v>2870</v>
      </c>
      <c r="D1062" s="349" t="s">
        <v>2871</v>
      </c>
      <c r="E1062" s="363">
        <v>0</v>
      </c>
      <c r="F1062" s="363">
        <v>0</v>
      </c>
      <c r="G1062" s="361">
        <v>250</v>
      </c>
      <c r="H1062" s="361">
        <v>250</v>
      </c>
      <c r="I1062" s="361">
        <v>250</v>
      </c>
    </row>
    <row r="1063" spans="1:9" x14ac:dyDescent="0.2">
      <c r="A1063" s="349" t="s">
        <v>341</v>
      </c>
      <c r="B1063" s="359">
        <v>52049</v>
      </c>
      <c r="C1063" s="349" t="s">
        <v>2872</v>
      </c>
      <c r="D1063" s="349" t="s">
        <v>2873</v>
      </c>
      <c r="E1063" s="360">
        <v>16692</v>
      </c>
      <c r="F1063" s="360">
        <v>18991.5</v>
      </c>
      <c r="G1063" s="362">
        <v>10618</v>
      </c>
      <c r="H1063" s="362">
        <v>-8373.5</v>
      </c>
      <c r="I1063" s="362">
        <v>8318.5</v>
      </c>
    </row>
    <row r="1064" spans="1:9" x14ac:dyDescent="0.2">
      <c r="A1064" s="349" t="s">
        <v>341</v>
      </c>
      <c r="B1064" s="359">
        <v>37642</v>
      </c>
      <c r="C1064" s="349" t="s">
        <v>2874</v>
      </c>
      <c r="D1064" s="349" t="s">
        <v>2875</v>
      </c>
      <c r="E1064" s="363">
        <v>378</v>
      </c>
      <c r="F1064" s="360">
        <v>1134</v>
      </c>
      <c r="G1064" s="361">
        <v>882</v>
      </c>
      <c r="H1064" s="361">
        <v>-252</v>
      </c>
      <c r="I1064" s="361">
        <v>126</v>
      </c>
    </row>
    <row r="1065" spans="1:9" x14ac:dyDescent="0.2">
      <c r="A1065" s="349" t="s">
        <v>341</v>
      </c>
      <c r="B1065" s="359">
        <v>4111</v>
      </c>
      <c r="C1065" s="349" t="s">
        <v>2876</v>
      </c>
      <c r="D1065" s="349" t="s">
        <v>2877</v>
      </c>
      <c r="E1065" s="363">
        <v>0</v>
      </c>
      <c r="F1065" s="363">
        <v>0</v>
      </c>
      <c r="G1065" s="362">
        <v>1165.58</v>
      </c>
      <c r="H1065" s="362">
        <v>1165.58</v>
      </c>
      <c r="I1065" s="362">
        <v>1165.58</v>
      </c>
    </row>
    <row r="1066" spans="1:9" x14ac:dyDescent="0.2">
      <c r="A1066" s="349" t="s">
        <v>341</v>
      </c>
      <c r="B1066" s="359">
        <v>38532</v>
      </c>
      <c r="C1066" s="349" t="s">
        <v>2878</v>
      </c>
      <c r="D1066" s="349" t="s">
        <v>2879</v>
      </c>
      <c r="E1066" s="363">
        <v>0</v>
      </c>
      <c r="F1066" s="363">
        <v>30</v>
      </c>
      <c r="G1066" s="361">
        <v>30</v>
      </c>
      <c r="H1066" s="361">
        <v>0</v>
      </c>
      <c r="I1066" s="361">
        <v>0</v>
      </c>
    </row>
    <row r="1067" spans="1:9" x14ac:dyDescent="0.2">
      <c r="A1067" s="349" t="s">
        <v>341</v>
      </c>
      <c r="B1067" s="359">
        <v>36780</v>
      </c>
      <c r="C1067" s="349" t="s">
        <v>2880</v>
      </c>
      <c r="D1067" s="349" t="s">
        <v>2881</v>
      </c>
      <c r="E1067" s="360">
        <v>4640.6000000000004</v>
      </c>
      <c r="F1067" s="363">
        <v>0</v>
      </c>
      <c r="G1067" s="361">
        <v>0</v>
      </c>
      <c r="H1067" s="361">
        <v>0</v>
      </c>
      <c r="I1067" s="362">
        <v>4640.6000000000004</v>
      </c>
    </row>
    <row r="1068" spans="1:9" x14ac:dyDescent="0.2">
      <c r="A1068" s="349" t="s">
        <v>341</v>
      </c>
      <c r="B1068" s="359">
        <v>52127</v>
      </c>
      <c r="C1068" s="349" t="s">
        <v>2882</v>
      </c>
      <c r="D1068" s="349" t="s">
        <v>2883</v>
      </c>
      <c r="E1068" s="360">
        <v>9155.27</v>
      </c>
      <c r="F1068" s="360">
        <v>8443.18</v>
      </c>
      <c r="G1068" s="362">
        <v>30517.5</v>
      </c>
      <c r="H1068" s="362">
        <v>22074.32</v>
      </c>
      <c r="I1068" s="362">
        <v>31229.59</v>
      </c>
    </row>
    <row r="1069" spans="1:9" x14ac:dyDescent="0.2">
      <c r="A1069" s="349" t="s">
        <v>341</v>
      </c>
      <c r="B1069" s="359">
        <v>52663</v>
      </c>
      <c r="C1069" s="349" t="s">
        <v>2884</v>
      </c>
      <c r="D1069" s="349" t="s">
        <v>2885</v>
      </c>
      <c r="E1069" s="363">
        <v>0</v>
      </c>
      <c r="F1069" s="363">
        <v>349.2</v>
      </c>
      <c r="G1069" s="361">
        <v>447.2</v>
      </c>
      <c r="H1069" s="361">
        <v>98</v>
      </c>
      <c r="I1069" s="361">
        <v>98</v>
      </c>
    </row>
    <row r="1070" spans="1:9" x14ac:dyDescent="0.2">
      <c r="A1070" s="349" t="s">
        <v>341</v>
      </c>
      <c r="B1070" s="359">
        <v>37257</v>
      </c>
      <c r="C1070" s="349" t="s">
        <v>2886</v>
      </c>
      <c r="D1070" s="349" t="s">
        <v>2887</v>
      </c>
      <c r="E1070" s="363">
        <v>716</v>
      </c>
      <c r="F1070" s="363">
        <v>716</v>
      </c>
      <c r="G1070" s="361">
        <v>0</v>
      </c>
      <c r="H1070" s="361">
        <v>-716</v>
      </c>
      <c r="I1070" s="361">
        <v>0</v>
      </c>
    </row>
    <row r="1071" spans="1:9" x14ac:dyDescent="0.2">
      <c r="A1071" s="349" t="s">
        <v>341</v>
      </c>
      <c r="B1071" s="359">
        <v>4125</v>
      </c>
      <c r="C1071" s="349" t="s">
        <v>2888</v>
      </c>
      <c r="D1071" s="349" t="s">
        <v>2889</v>
      </c>
      <c r="E1071" s="360">
        <v>3342.3</v>
      </c>
      <c r="F1071" s="360">
        <v>3342.3</v>
      </c>
      <c r="G1071" s="362">
        <v>3342.3</v>
      </c>
      <c r="H1071" s="361">
        <v>0</v>
      </c>
      <c r="I1071" s="362">
        <v>3342.3</v>
      </c>
    </row>
    <row r="1072" spans="1:9" x14ac:dyDescent="0.2">
      <c r="A1072" s="349" t="s">
        <v>341</v>
      </c>
      <c r="B1072" s="359">
        <v>52622</v>
      </c>
      <c r="C1072" s="349" t="s">
        <v>2890</v>
      </c>
      <c r="D1072" s="349" t="s">
        <v>2891</v>
      </c>
      <c r="E1072" s="363">
        <v>242</v>
      </c>
      <c r="F1072" s="363">
        <v>242</v>
      </c>
      <c r="G1072" s="361">
        <v>242</v>
      </c>
      <c r="H1072" s="361">
        <v>0</v>
      </c>
      <c r="I1072" s="361">
        <v>242</v>
      </c>
    </row>
    <row r="1073" spans="1:9" x14ac:dyDescent="0.2">
      <c r="A1073" s="349" t="s">
        <v>341</v>
      </c>
      <c r="B1073" s="359">
        <v>4130</v>
      </c>
      <c r="C1073" s="349" t="s">
        <v>2892</v>
      </c>
      <c r="D1073" s="349" t="s">
        <v>2893</v>
      </c>
      <c r="E1073" s="360">
        <v>1435.46</v>
      </c>
      <c r="F1073" s="360">
        <v>1435.46</v>
      </c>
      <c r="G1073" s="361">
        <v>0</v>
      </c>
      <c r="H1073" s="362">
        <v>-1435.46</v>
      </c>
      <c r="I1073" s="361">
        <v>0</v>
      </c>
    </row>
    <row r="1074" spans="1:9" x14ac:dyDescent="0.2">
      <c r="A1074" s="349" t="s">
        <v>341</v>
      </c>
      <c r="B1074" s="359">
        <v>52590</v>
      </c>
      <c r="C1074" s="349" t="s">
        <v>2894</v>
      </c>
      <c r="D1074" s="349" t="s">
        <v>2895</v>
      </c>
      <c r="E1074" s="360">
        <v>7908.96</v>
      </c>
      <c r="F1074" s="360">
        <v>9187.36</v>
      </c>
      <c r="G1074" s="362">
        <v>2556.8000000000002</v>
      </c>
      <c r="H1074" s="362">
        <v>-6630.56</v>
      </c>
      <c r="I1074" s="362">
        <v>1278.4000000000001</v>
      </c>
    </row>
    <row r="1075" spans="1:9" x14ac:dyDescent="0.2">
      <c r="A1075" s="349" t="s">
        <v>341</v>
      </c>
      <c r="B1075" s="359">
        <v>52669</v>
      </c>
      <c r="C1075" s="349" t="s">
        <v>2896</v>
      </c>
      <c r="D1075" s="349" t="s">
        <v>2897</v>
      </c>
      <c r="E1075" s="360">
        <v>9000</v>
      </c>
      <c r="F1075" s="363">
        <v>0</v>
      </c>
      <c r="G1075" s="361">
        <v>0</v>
      </c>
      <c r="H1075" s="361">
        <v>0</v>
      </c>
      <c r="I1075" s="362">
        <v>9000</v>
      </c>
    </row>
    <row r="1076" spans="1:9" x14ac:dyDescent="0.2">
      <c r="A1076" s="349" t="s">
        <v>341</v>
      </c>
      <c r="B1076" s="359">
        <v>3461</v>
      </c>
      <c r="C1076" s="349" t="s">
        <v>2898</v>
      </c>
      <c r="D1076" s="349" t="s">
        <v>2899</v>
      </c>
      <c r="E1076" s="360">
        <v>6056.88</v>
      </c>
      <c r="F1076" s="360">
        <v>6056.88</v>
      </c>
      <c r="G1076" s="362">
        <v>3028.44</v>
      </c>
      <c r="H1076" s="362">
        <v>-3028.44</v>
      </c>
      <c r="I1076" s="362">
        <v>3028.44</v>
      </c>
    </row>
    <row r="1077" spans="1:9" x14ac:dyDescent="0.2">
      <c r="A1077" s="349" t="s">
        <v>341</v>
      </c>
      <c r="B1077" s="359">
        <v>36717</v>
      </c>
      <c r="C1077" s="349" t="s">
        <v>2900</v>
      </c>
      <c r="D1077" s="349" t="s">
        <v>2901</v>
      </c>
      <c r="E1077" s="360">
        <v>6987.66</v>
      </c>
      <c r="F1077" s="360">
        <v>6987.66</v>
      </c>
      <c r="G1077" s="361">
        <v>0</v>
      </c>
      <c r="H1077" s="362">
        <v>-6987.66</v>
      </c>
      <c r="I1077" s="361">
        <v>0</v>
      </c>
    </row>
    <row r="1078" spans="1:9" x14ac:dyDescent="0.2">
      <c r="A1078" s="349" t="s">
        <v>341</v>
      </c>
      <c r="B1078" s="359">
        <v>37880</v>
      </c>
      <c r="C1078" s="349" t="s">
        <v>2902</v>
      </c>
      <c r="D1078" s="349" t="s">
        <v>2903</v>
      </c>
      <c r="E1078" s="360">
        <v>13763.73</v>
      </c>
      <c r="F1078" s="360">
        <v>21036.45</v>
      </c>
      <c r="G1078" s="362">
        <v>15021.9</v>
      </c>
      <c r="H1078" s="362">
        <v>-6014.55</v>
      </c>
      <c r="I1078" s="362">
        <v>7749.18</v>
      </c>
    </row>
    <row r="1079" spans="1:9" x14ac:dyDescent="0.2">
      <c r="A1079" s="349" t="s">
        <v>341</v>
      </c>
      <c r="B1079" s="359">
        <v>52109</v>
      </c>
      <c r="C1079" s="349" t="s">
        <v>2904</v>
      </c>
      <c r="D1079" s="349" t="s">
        <v>2905</v>
      </c>
      <c r="E1079" s="360">
        <v>62078.57</v>
      </c>
      <c r="F1079" s="360">
        <v>94808.37</v>
      </c>
      <c r="G1079" s="362">
        <v>157972.93</v>
      </c>
      <c r="H1079" s="362">
        <v>63164.56</v>
      </c>
      <c r="I1079" s="362">
        <v>125243.13</v>
      </c>
    </row>
    <row r="1080" spans="1:9" x14ac:dyDescent="0.2">
      <c r="A1080" s="349" t="s">
        <v>341</v>
      </c>
      <c r="B1080" s="359">
        <v>37750</v>
      </c>
      <c r="C1080" s="349" t="s">
        <v>2906</v>
      </c>
      <c r="D1080" s="349" t="s">
        <v>2907</v>
      </c>
      <c r="E1080" s="360">
        <v>51310.33</v>
      </c>
      <c r="F1080" s="360">
        <v>24483.759999999998</v>
      </c>
      <c r="G1080" s="362">
        <v>15668.99</v>
      </c>
      <c r="H1080" s="362">
        <v>-8814.77</v>
      </c>
      <c r="I1080" s="362">
        <v>42495.56</v>
      </c>
    </row>
    <row r="1081" spans="1:9" x14ac:dyDescent="0.2">
      <c r="A1081" s="349" t="s">
        <v>341</v>
      </c>
      <c r="B1081" s="359">
        <v>51668</v>
      </c>
      <c r="C1081" s="349" t="s">
        <v>2908</v>
      </c>
      <c r="D1081" s="349" t="s">
        <v>2909</v>
      </c>
      <c r="E1081" s="360">
        <v>51320.24</v>
      </c>
      <c r="F1081" s="360">
        <v>29229.61</v>
      </c>
      <c r="G1081" s="362">
        <v>17055.669999999998</v>
      </c>
      <c r="H1081" s="362">
        <v>-12173.94</v>
      </c>
      <c r="I1081" s="362">
        <v>39146.300000000003</v>
      </c>
    </row>
    <row r="1082" spans="1:9" x14ac:dyDescent="0.2">
      <c r="A1082" s="349" t="s">
        <v>341</v>
      </c>
      <c r="B1082" s="359">
        <v>3478</v>
      </c>
      <c r="C1082" s="349" t="s">
        <v>2910</v>
      </c>
      <c r="D1082" s="349" t="s">
        <v>2911</v>
      </c>
      <c r="E1082" s="360">
        <v>5111.8999999999996</v>
      </c>
      <c r="F1082" s="360">
        <v>5111.8999999999996</v>
      </c>
      <c r="G1082" s="362">
        <v>3593.61</v>
      </c>
      <c r="H1082" s="362">
        <v>-1518.29</v>
      </c>
      <c r="I1082" s="362">
        <v>3593.61</v>
      </c>
    </row>
    <row r="1083" spans="1:9" x14ac:dyDescent="0.2">
      <c r="A1083" s="349" t="s">
        <v>341</v>
      </c>
      <c r="B1083" s="359">
        <v>51064</v>
      </c>
      <c r="C1083" s="349" t="s">
        <v>2912</v>
      </c>
      <c r="D1083" s="349" t="s">
        <v>2913</v>
      </c>
      <c r="E1083" s="363">
        <v>0</v>
      </c>
      <c r="F1083" s="360">
        <v>3971.76</v>
      </c>
      <c r="G1083" s="362">
        <v>3971.76</v>
      </c>
      <c r="H1083" s="361">
        <v>0</v>
      </c>
      <c r="I1083" s="361">
        <v>0</v>
      </c>
    </row>
    <row r="1084" spans="1:9" x14ac:dyDescent="0.2">
      <c r="A1084" s="349" t="s">
        <v>341</v>
      </c>
      <c r="B1084" s="359">
        <v>52655</v>
      </c>
      <c r="C1084" s="349" t="s">
        <v>2914</v>
      </c>
      <c r="D1084" s="349" t="s">
        <v>2915</v>
      </c>
      <c r="E1084" s="363">
        <v>0</v>
      </c>
      <c r="F1084" s="363">
        <v>830</v>
      </c>
      <c r="G1084" s="362">
        <v>10280</v>
      </c>
      <c r="H1084" s="362">
        <v>9450</v>
      </c>
      <c r="I1084" s="362">
        <v>9450</v>
      </c>
    </row>
    <row r="1085" spans="1:9" x14ac:dyDescent="0.2">
      <c r="A1085" s="349" t="s">
        <v>341</v>
      </c>
      <c r="B1085" s="359">
        <v>38300</v>
      </c>
      <c r="C1085" s="349" t="s">
        <v>2916</v>
      </c>
      <c r="D1085" s="349" t="s">
        <v>2917</v>
      </c>
      <c r="E1085" s="363">
        <v>0</v>
      </c>
      <c r="F1085" s="363">
        <v>0</v>
      </c>
      <c r="G1085" s="361">
        <v>816</v>
      </c>
      <c r="H1085" s="361">
        <v>816</v>
      </c>
      <c r="I1085" s="361">
        <v>816</v>
      </c>
    </row>
    <row r="1086" spans="1:9" x14ac:dyDescent="0.2">
      <c r="A1086" s="349" t="s">
        <v>341</v>
      </c>
      <c r="B1086" s="359">
        <v>3484</v>
      </c>
      <c r="C1086" s="349" t="s">
        <v>2918</v>
      </c>
      <c r="D1086" s="349" t="s">
        <v>2919</v>
      </c>
      <c r="E1086" s="363">
        <v>0</v>
      </c>
      <c r="F1086" s="360">
        <v>12190</v>
      </c>
      <c r="G1086" s="362">
        <v>19090</v>
      </c>
      <c r="H1086" s="362">
        <v>6900</v>
      </c>
      <c r="I1086" s="362">
        <v>6900</v>
      </c>
    </row>
    <row r="1087" spans="1:9" x14ac:dyDescent="0.2">
      <c r="A1087" s="349" t="s">
        <v>341</v>
      </c>
      <c r="B1087" s="359">
        <v>34109</v>
      </c>
      <c r="C1087" s="349" t="s">
        <v>2920</v>
      </c>
      <c r="D1087" s="349" t="s">
        <v>2921</v>
      </c>
      <c r="E1087" s="360">
        <v>1956</v>
      </c>
      <c r="F1087" s="360">
        <v>1956</v>
      </c>
      <c r="G1087" s="362">
        <v>2780</v>
      </c>
      <c r="H1087" s="361">
        <v>824</v>
      </c>
      <c r="I1087" s="362">
        <v>2780</v>
      </c>
    </row>
    <row r="1088" spans="1:9" x14ac:dyDescent="0.2">
      <c r="A1088" s="349" t="s">
        <v>341</v>
      </c>
      <c r="B1088" s="359">
        <v>51513</v>
      </c>
      <c r="C1088" s="349" t="s">
        <v>2922</v>
      </c>
      <c r="D1088" s="349" t="s">
        <v>2923</v>
      </c>
      <c r="E1088" s="360">
        <v>1127.0999999999999</v>
      </c>
      <c r="F1088" s="360">
        <v>1127.0999999999999</v>
      </c>
      <c r="G1088" s="362">
        <v>8000</v>
      </c>
      <c r="H1088" s="362">
        <v>6872.9</v>
      </c>
      <c r="I1088" s="362">
        <v>8000</v>
      </c>
    </row>
    <row r="1089" spans="1:9" x14ac:dyDescent="0.2">
      <c r="A1089" s="349" t="s">
        <v>341</v>
      </c>
      <c r="B1089" s="359">
        <v>3496</v>
      </c>
      <c r="C1089" s="349" t="s">
        <v>2924</v>
      </c>
      <c r="D1089" s="349" t="s">
        <v>2925</v>
      </c>
      <c r="E1089" s="363">
        <v>268.5</v>
      </c>
      <c r="F1089" s="363">
        <v>268.5</v>
      </c>
      <c r="G1089" s="361">
        <v>119</v>
      </c>
      <c r="H1089" s="361">
        <v>-149.5</v>
      </c>
      <c r="I1089" s="361">
        <v>119</v>
      </c>
    </row>
    <row r="1090" spans="1:9" x14ac:dyDescent="0.2">
      <c r="A1090" s="349" t="s">
        <v>341</v>
      </c>
      <c r="B1090" s="359">
        <v>37902</v>
      </c>
      <c r="C1090" s="349" t="s">
        <v>2926</v>
      </c>
      <c r="D1090" s="349" t="s">
        <v>2927</v>
      </c>
      <c r="E1090" s="360">
        <v>5718.68</v>
      </c>
      <c r="F1090" s="360">
        <v>5718.68</v>
      </c>
      <c r="G1090" s="361">
        <v>0</v>
      </c>
      <c r="H1090" s="362">
        <v>-5718.68</v>
      </c>
      <c r="I1090" s="361">
        <v>0</v>
      </c>
    </row>
    <row r="1091" spans="1:9" x14ac:dyDescent="0.2">
      <c r="A1091" s="349" t="s">
        <v>341</v>
      </c>
      <c r="B1091" s="359">
        <v>3508</v>
      </c>
      <c r="C1091" s="349" t="s">
        <v>2928</v>
      </c>
      <c r="D1091" s="349" t="s">
        <v>2929</v>
      </c>
      <c r="E1091" s="360">
        <v>12109.45</v>
      </c>
      <c r="F1091" s="360">
        <v>12109.45</v>
      </c>
      <c r="G1091" s="362">
        <v>12109.45</v>
      </c>
      <c r="H1091" s="361">
        <v>0</v>
      </c>
      <c r="I1091" s="362">
        <v>12109.45</v>
      </c>
    </row>
    <row r="1092" spans="1:9" x14ac:dyDescent="0.2">
      <c r="A1092" s="349" t="s">
        <v>341</v>
      </c>
      <c r="B1092" s="359">
        <v>52845</v>
      </c>
      <c r="C1092" s="349" t="s">
        <v>2930</v>
      </c>
      <c r="D1092" s="349" t="s">
        <v>2931</v>
      </c>
      <c r="E1092" s="360">
        <v>13307.14</v>
      </c>
      <c r="F1092" s="360">
        <v>15257.14</v>
      </c>
      <c r="G1092" s="362">
        <v>15780</v>
      </c>
      <c r="H1092" s="361">
        <v>522.86</v>
      </c>
      <c r="I1092" s="362">
        <v>13830</v>
      </c>
    </row>
    <row r="1093" spans="1:9" x14ac:dyDescent="0.2">
      <c r="A1093" s="349" t="s">
        <v>341</v>
      </c>
      <c r="B1093" s="359">
        <v>37298</v>
      </c>
      <c r="C1093" s="349" t="s">
        <v>2932</v>
      </c>
      <c r="D1093" s="349" t="s">
        <v>2933</v>
      </c>
      <c r="E1093" s="360">
        <v>2055</v>
      </c>
      <c r="F1093" s="360">
        <v>3255</v>
      </c>
      <c r="G1093" s="362">
        <v>1200</v>
      </c>
      <c r="H1093" s="362">
        <v>-2055</v>
      </c>
      <c r="I1093" s="361">
        <v>0</v>
      </c>
    </row>
    <row r="1094" spans="1:9" x14ac:dyDescent="0.2">
      <c r="A1094" s="349" t="s">
        <v>341</v>
      </c>
      <c r="B1094" s="359">
        <v>3533</v>
      </c>
      <c r="C1094" s="349" t="s">
        <v>2934</v>
      </c>
      <c r="D1094" s="349" t="s">
        <v>2935</v>
      </c>
      <c r="E1094" s="363">
        <v>0</v>
      </c>
      <c r="F1094" s="363">
        <v>219.76</v>
      </c>
      <c r="G1094" s="361">
        <v>219.76</v>
      </c>
      <c r="H1094" s="361">
        <v>0</v>
      </c>
      <c r="I1094" s="361">
        <v>0</v>
      </c>
    </row>
    <row r="1095" spans="1:9" x14ac:dyDescent="0.2">
      <c r="A1095" s="349" t="s">
        <v>341</v>
      </c>
      <c r="B1095" s="359">
        <v>52970</v>
      </c>
      <c r="C1095" s="349" t="s">
        <v>2936</v>
      </c>
      <c r="D1095" s="349" t="s">
        <v>2937</v>
      </c>
      <c r="E1095" s="360">
        <v>2536</v>
      </c>
      <c r="F1095" s="360">
        <v>2536</v>
      </c>
      <c r="G1095" s="361">
        <v>0</v>
      </c>
      <c r="H1095" s="362">
        <v>-2536</v>
      </c>
      <c r="I1095" s="361">
        <v>0</v>
      </c>
    </row>
    <row r="1096" spans="1:9" x14ac:dyDescent="0.2">
      <c r="A1096" s="349" t="s">
        <v>341</v>
      </c>
      <c r="B1096" s="359">
        <v>34118</v>
      </c>
      <c r="C1096" s="349" t="s">
        <v>2938</v>
      </c>
      <c r="D1096" s="349" t="s">
        <v>2939</v>
      </c>
      <c r="E1096" s="360">
        <v>1000</v>
      </c>
      <c r="F1096" s="360">
        <v>1000</v>
      </c>
      <c r="G1096" s="361">
        <v>0</v>
      </c>
      <c r="H1096" s="362">
        <v>-1000</v>
      </c>
      <c r="I1096" s="361">
        <v>0</v>
      </c>
    </row>
    <row r="1097" spans="1:9" x14ac:dyDescent="0.2">
      <c r="A1097" s="349" t="s">
        <v>341</v>
      </c>
      <c r="B1097" s="359">
        <v>3551</v>
      </c>
      <c r="C1097" s="349" t="s">
        <v>2940</v>
      </c>
      <c r="D1097" s="349" t="s">
        <v>2941</v>
      </c>
      <c r="E1097" s="360">
        <v>13170.83</v>
      </c>
      <c r="F1097" s="360">
        <v>25915.08</v>
      </c>
      <c r="G1097" s="362">
        <v>26721.06</v>
      </c>
      <c r="H1097" s="361">
        <v>805.98</v>
      </c>
      <c r="I1097" s="362">
        <v>13976.81</v>
      </c>
    </row>
    <row r="1098" spans="1:9" x14ac:dyDescent="0.2">
      <c r="A1098" s="349" t="s">
        <v>341</v>
      </c>
      <c r="B1098" s="359">
        <v>4199</v>
      </c>
      <c r="C1098" s="349" t="s">
        <v>2942</v>
      </c>
      <c r="D1098" s="349" t="s">
        <v>2943</v>
      </c>
      <c r="E1098" s="360">
        <v>1654</v>
      </c>
      <c r="F1098" s="360">
        <v>1654</v>
      </c>
      <c r="G1098" s="361">
        <v>0</v>
      </c>
      <c r="H1098" s="362">
        <v>-1654</v>
      </c>
      <c r="I1098" s="361">
        <v>0</v>
      </c>
    </row>
    <row r="1099" spans="1:9" x14ac:dyDescent="0.2">
      <c r="A1099" s="349" t="s">
        <v>341</v>
      </c>
      <c r="B1099" s="359">
        <v>51189</v>
      </c>
      <c r="C1099" s="349" t="s">
        <v>2944</v>
      </c>
      <c r="D1099" s="349" t="s">
        <v>2945</v>
      </c>
      <c r="E1099" s="360">
        <v>1126</v>
      </c>
      <c r="F1099" s="360">
        <v>1126</v>
      </c>
      <c r="G1099" s="362">
        <v>2400</v>
      </c>
      <c r="H1099" s="362">
        <v>1274</v>
      </c>
      <c r="I1099" s="362">
        <v>2400</v>
      </c>
    </row>
    <row r="1100" spans="1:9" x14ac:dyDescent="0.2">
      <c r="A1100" s="349" t="s">
        <v>341</v>
      </c>
      <c r="B1100" s="359">
        <v>33227</v>
      </c>
      <c r="C1100" s="349" t="s">
        <v>2946</v>
      </c>
      <c r="D1100" s="349" t="s">
        <v>2947</v>
      </c>
      <c r="E1100" s="360">
        <v>6626.43</v>
      </c>
      <c r="F1100" s="360">
        <v>6626.43</v>
      </c>
      <c r="G1100" s="362">
        <v>1100.5899999999999</v>
      </c>
      <c r="H1100" s="362">
        <v>-5525.84</v>
      </c>
      <c r="I1100" s="362">
        <v>1100.5899999999999</v>
      </c>
    </row>
    <row r="1101" spans="1:9" x14ac:dyDescent="0.2">
      <c r="A1101" s="349" t="s">
        <v>341</v>
      </c>
      <c r="B1101" s="359">
        <v>52124</v>
      </c>
      <c r="C1101" s="349" t="s">
        <v>2948</v>
      </c>
      <c r="D1101" s="349" t="s">
        <v>2949</v>
      </c>
      <c r="E1101" s="360">
        <v>22965.37</v>
      </c>
      <c r="F1101" s="360">
        <v>9283.8700000000008</v>
      </c>
      <c r="G1101" s="362">
        <v>11363.5</v>
      </c>
      <c r="H1101" s="362">
        <v>2079.63</v>
      </c>
      <c r="I1101" s="362">
        <v>25045</v>
      </c>
    </row>
    <row r="1102" spans="1:9" x14ac:dyDescent="0.2">
      <c r="A1102" s="349" t="s">
        <v>341</v>
      </c>
      <c r="B1102" s="359">
        <v>4213</v>
      </c>
      <c r="C1102" s="349" t="s">
        <v>2950</v>
      </c>
      <c r="D1102" s="349" t="s">
        <v>2951</v>
      </c>
      <c r="E1102" s="363">
        <v>0</v>
      </c>
      <c r="F1102" s="363">
        <v>691</v>
      </c>
      <c r="G1102" s="361">
        <v>691</v>
      </c>
      <c r="H1102" s="361">
        <v>0</v>
      </c>
      <c r="I1102" s="361">
        <v>0</v>
      </c>
    </row>
    <row r="1103" spans="1:9" x14ac:dyDescent="0.2">
      <c r="A1103" s="349" t="s">
        <v>341</v>
      </c>
      <c r="B1103" s="359">
        <v>52176</v>
      </c>
      <c r="C1103" s="349" t="s">
        <v>2952</v>
      </c>
      <c r="D1103" s="349" t="s">
        <v>2953</v>
      </c>
      <c r="E1103" s="360">
        <v>168078.55</v>
      </c>
      <c r="F1103" s="360">
        <v>57805.86</v>
      </c>
      <c r="G1103" s="361">
        <v>0</v>
      </c>
      <c r="H1103" s="362">
        <v>-57805.86</v>
      </c>
      <c r="I1103" s="362">
        <v>110272.69</v>
      </c>
    </row>
    <row r="1104" spans="1:9" x14ac:dyDescent="0.2">
      <c r="A1104" s="349" t="s">
        <v>341</v>
      </c>
      <c r="B1104" s="359">
        <v>51173</v>
      </c>
      <c r="C1104" s="349" t="s">
        <v>2954</v>
      </c>
      <c r="D1104" s="349" t="s">
        <v>2955</v>
      </c>
      <c r="E1104" s="360">
        <v>11083.86</v>
      </c>
      <c r="F1104" s="360">
        <v>10180.530000000001</v>
      </c>
      <c r="G1104" s="362">
        <v>5880</v>
      </c>
      <c r="H1104" s="362">
        <v>-4300.53</v>
      </c>
      <c r="I1104" s="362">
        <v>6783.33</v>
      </c>
    </row>
    <row r="1105" spans="1:9" x14ac:dyDescent="0.2">
      <c r="A1105" s="349" t="s">
        <v>341</v>
      </c>
      <c r="B1105" s="359">
        <v>3605</v>
      </c>
      <c r="C1105" s="349" t="s">
        <v>2956</v>
      </c>
      <c r="D1105" s="349" t="s">
        <v>2957</v>
      </c>
      <c r="E1105" s="360">
        <v>2920.91</v>
      </c>
      <c r="F1105" s="360">
        <v>2720.91</v>
      </c>
      <c r="G1105" s="362">
        <v>2432.44</v>
      </c>
      <c r="H1105" s="361">
        <v>-288.47000000000003</v>
      </c>
      <c r="I1105" s="362">
        <v>2632.44</v>
      </c>
    </row>
    <row r="1106" spans="1:9" x14ac:dyDescent="0.2">
      <c r="A1106" s="349" t="s">
        <v>341</v>
      </c>
      <c r="B1106" s="359">
        <v>33803</v>
      </c>
      <c r="C1106" s="349" t="s">
        <v>2958</v>
      </c>
      <c r="D1106" s="349" t="s">
        <v>2959</v>
      </c>
      <c r="E1106" s="360">
        <v>18174</v>
      </c>
      <c r="F1106" s="360">
        <v>13032</v>
      </c>
      <c r="G1106" s="362">
        <v>7713</v>
      </c>
      <c r="H1106" s="362">
        <v>-5319</v>
      </c>
      <c r="I1106" s="362">
        <v>12855</v>
      </c>
    </row>
    <row r="1107" spans="1:9" x14ac:dyDescent="0.2">
      <c r="A1107" s="349" t="s">
        <v>341</v>
      </c>
      <c r="B1107" s="359">
        <v>53103</v>
      </c>
      <c r="C1107" s="349" t="s">
        <v>2960</v>
      </c>
      <c r="D1107" s="349" t="s">
        <v>2961</v>
      </c>
      <c r="E1107" s="363">
        <v>0</v>
      </c>
      <c r="F1107" s="360">
        <v>2283.33</v>
      </c>
      <c r="G1107" s="362">
        <v>2283.33</v>
      </c>
      <c r="H1107" s="361">
        <v>0</v>
      </c>
      <c r="I1107" s="361">
        <v>0</v>
      </c>
    </row>
    <row r="1108" spans="1:9" x14ac:dyDescent="0.2">
      <c r="A1108" s="349" t="s">
        <v>341</v>
      </c>
      <c r="B1108" s="359">
        <v>53071</v>
      </c>
      <c r="C1108" s="349" t="s">
        <v>2962</v>
      </c>
      <c r="D1108" s="349" t="s">
        <v>2963</v>
      </c>
      <c r="E1108" s="363">
        <v>0</v>
      </c>
      <c r="F1108" s="363">
        <v>0</v>
      </c>
      <c r="G1108" s="361">
        <v>119.5</v>
      </c>
      <c r="H1108" s="361">
        <v>119.5</v>
      </c>
      <c r="I1108" s="361">
        <v>119.5</v>
      </c>
    </row>
    <row r="1109" spans="1:9" x14ac:dyDescent="0.2">
      <c r="A1109" s="349" t="s">
        <v>341</v>
      </c>
      <c r="B1109" s="359">
        <v>53188</v>
      </c>
      <c r="C1109" s="349" t="s">
        <v>2964</v>
      </c>
      <c r="D1109" s="349" t="s">
        <v>2965</v>
      </c>
      <c r="E1109" s="363">
        <v>0</v>
      </c>
      <c r="F1109" s="363">
        <v>0</v>
      </c>
      <c r="G1109" s="361">
        <v>230</v>
      </c>
      <c r="H1109" s="361">
        <v>230</v>
      </c>
      <c r="I1109" s="361">
        <v>230</v>
      </c>
    </row>
    <row r="1110" spans="1:9" x14ac:dyDescent="0.2">
      <c r="A1110" s="349" t="s">
        <v>341</v>
      </c>
      <c r="B1110" s="359">
        <v>53042</v>
      </c>
      <c r="C1110" s="349" t="s">
        <v>2966</v>
      </c>
      <c r="D1110" s="349" t="s">
        <v>2967</v>
      </c>
      <c r="E1110" s="363">
        <v>0</v>
      </c>
      <c r="F1110" s="363">
        <v>36.96</v>
      </c>
      <c r="G1110" s="361">
        <v>36.96</v>
      </c>
      <c r="H1110" s="361">
        <v>0</v>
      </c>
      <c r="I1110" s="361">
        <v>0</v>
      </c>
    </row>
    <row r="1111" spans="1:9" x14ac:dyDescent="0.2">
      <c r="A1111" s="349" t="s">
        <v>341</v>
      </c>
      <c r="B1111" s="359">
        <v>37005</v>
      </c>
      <c r="C1111" s="349" t="s">
        <v>2968</v>
      </c>
      <c r="D1111" s="349" t="s">
        <v>2969</v>
      </c>
      <c r="E1111" s="360">
        <v>4021.62</v>
      </c>
      <c r="F1111" s="360">
        <v>4616.72</v>
      </c>
      <c r="G1111" s="362">
        <v>5513.52</v>
      </c>
      <c r="H1111" s="361">
        <v>896.8</v>
      </c>
      <c r="I1111" s="362">
        <v>4918.42</v>
      </c>
    </row>
    <row r="1112" spans="1:9" x14ac:dyDescent="0.2">
      <c r="A1112" s="349" t="s">
        <v>341</v>
      </c>
      <c r="B1112" s="359">
        <v>51055</v>
      </c>
      <c r="C1112" s="349" t="s">
        <v>2970</v>
      </c>
      <c r="D1112" s="349" t="s">
        <v>2971</v>
      </c>
      <c r="E1112" s="363">
        <v>517.5</v>
      </c>
      <c r="F1112" s="363">
        <v>517.5</v>
      </c>
      <c r="G1112" s="361">
        <v>0</v>
      </c>
      <c r="H1112" s="361">
        <v>-517.5</v>
      </c>
      <c r="I1112" s="361">
        <v>0</v>
      </c>
    </row>
    <row r="1113" spans="1:9" x14ac:dyDescent="0.2">
      <c r="A1113" s="349" t="s">
        <v>341</v>
      </c>
      <c r="B1113" s="359">
        <v>53168</v>
      </c>
      <c r="C1113" s="349" t="s">
        <v>2972</v>
      </c>
      <c r="D1113" s="349" t="s">
        <v>2973</v>
      </c>
      <c r="E1113" s="360">
        <v>1035</v>
      </c>
      <c r="F1113" s="363">
        <v>0</v>
      </c>
      <c r="G1113" s="361">
        <v>50</v>
      </c>
      <c r="H1113" s="361">
        <v>50</v>
      </c>
      <c r="I1113" s="362">
        <v>1085</v>
      </c>
    </row>
    <row r="1114" spans="1:9" x14ac:dyDescent="0.2">
      <c r="A1114" s="349" t="s">
        <v>341</v>
      </c>
      <c r="B1114" s="359">
        <v>53226</v>
      </c>
      <c r="C1114" s="349" t="s">
        <v>2974</v>
      </c>
      <c r="D1114" s="349" t="s">
        <v>2975</v>
      </c>
      <c r="E1114" s="360">
        <v>19690</v>
      </c>
      <c r="F1114" s="360">
        <v>8670</v>
      </c>
      <c r="G1114" s="361">
        <v>0</v>
      </c>
      <c r="H1114" s="362">
        <v>-8670</v>
      </c>
      <c r="I1114" s="362">
        <v>11020</v>
      </c>
    </row>
    <row r="1115" spans="1:9" x14ac:dyDescent="0.2">
      <c r="A1115" s="349" t="s">
        <v>341</v>
      </c>
      <c r="B1115" s="359">
        <v>53232</v>
      </c>
      <c r="C1115" s="349" t="s">
        <v>2976</v>
      </c>
      <c r="D1115" s="349" t="s">
        <v>2977</v>
      </c>
      <c r="E1115" s="360">
        <v>1389.52</v>
      </c>
      <c r="F1115" s="363">
        <v>837.32</v>
      </c>
      <c r="G1115" s="361">
        <v>0</v>
      </c>
      <c r="H1115" s="361">
        <v>-837.32</v>
      </c>
      <c r="I1115" s="361">
        <v>552.20000000000005</v>
      </c>
    </row>
    <row r="1116" spans="1:9" x14ac:dyDescent="0.2">
      <c r="A1116" s="349" t="s">
        <v>341</v>
      </c>
      <c r="B1116" s="359">
        <v>53242</v>
      </c>
      <c r="C1116" s="349" t="s">
        <v>2978</v>
      </c>
      <c r="D1116" s="349" t="s">
        <v>2979</v>
      </c>
      <c r="E1116" s="360">
        <v>3293.2</v>
      </c>
      <c r="F1116" s="360">
        <v>3293.2</v>
      </c>
      <c r="G1116" s="361">
        <v>0</v>
      </c>
      <c r="H1116" s="362">
        <v>-3293.2</v>
      </c>
      <c r="I1116" s="361">
        <v>0</v>
      </c>
    </row>
    <row r="1117" spans="1:9" x14ac:dyDescent="0.2">
      <c r="A1117" s="349" t="s">
        <v>341</v>
      </c>
      <c r="B1117" s="359">
        <v>53293</v>
      </c>
      <c r="C1117" s="349" t="s">
        <v>2980</v>
      </c>
      <c r="D1117" s="349" t="s">
        <v>2981</v>
      </c>
      <c r="E1117" s="360">
        <v>57240</v>
      </c>
      <c r="F1117" s="360">
        <v>57240</v>
      </c>
      <c r="G1117" s="361">
        <v>0</v>
      </c>
      <c r="H1117" s="362">
        <v>-57240</v>
      </c>
      <c r="I1117" s="361">
        <v>0</v>
      </c>
    </row>
    <row r="1118" spans="1:9" x14ac:dyDescent="0.2">
      <c r="A1118" s="349" t="s">
        <v>341</v>
      </c>
      <c r="B1118" s="359">
        <v>53349</v>
      </c>
      <c r="C1118" s="349" t="s">
        <v>2982</v>
      </c>
      <c r="D1118" s="349" t="s">
        <v>2983</v>
      </c>
      <c r="E1118" s="360">
        <v>3361.68</v>
      </c>
      <c r="F1118" s="360">
        <v>3361.68</v>
      </c>
      <c r="G1118" s="361">
        <v>0</v>
      </c>
      <c r="H1118" s="362">
        <v>-3361.68</v>
      </c>
      <c r="I1118" s="361">
        <v>0</v>
      </c>
    </row>
    <row r="1119" spans="1:9" x14ac:dyDescent="0.2">
      <c r="A1119" s="349" t="s">
        <v>341</v>
      </c>
      <c r="B1119" s="359">
        <v>4099</v>
      </c>
      <c r="C1119" s="349" t="s">
        <v>2984</v>
      </c>
      <c r="D1119" s="349" t="s">
        <v>2985</v>
      </c>
      <c r="E1119" s="363">
        <v>0</v>
      </c>
      <c r="F1119" s="363">
        <v>0</v>
      </c>
      <c r="G1119" s="362">
        <v>8700</v>
      </c>
      <c r="H1119" s="362">
        <v>8700</v>
      </c>
      <c r="I1119" s="362">
        <v>8700</v>
      </c>
    </row>
    <row r="1120" spans="1:9" x14ac:dyDescent="0.2">
      <c r="A1120" s="349" t="s">
        <v>341</v>
      </c>
      <c r="B1120" s="359">
        <v>53368</v>
      </c>
      <c r="C1120" s="349" t="s">
        <v>2986</v>
      </c>
      <c r="D1120" s="349" t="s">
        <v>2987</v>
      </c>
      <c r="E1120" s="360">
        <v>12627.4</v>
      </c>
      <c r="F1120" s="360">
        <v>13809.55</v>
      </c>
      <c r="G1120" s="362">
        <v>17501.02</v>
      </c>
      <c r="H1120" s="362">
        <v>3691.47</v>
      </c>
      <c r="I1120" s="362">
        <v>16318.87</v>
      </c>
    </row>
    <row r="1121" spans="1:9" x14ac:dyDescent="0.2">
      <c r="A1121" s="349" t="s">
        <v>341</v>
      </c>
      <c r="B1121" s="359">
        <v>53380</v>
      </c>
      <c r="C1121" s="349" t="s">
        <v>2988</v>
      </c>
      <c r="D1121" s="349" t="s">
        <v>2989</v>
      </c>
      <c r="E1121" s="363">
        <v>310.2</v>
      </c>
      <c r="F1121" s="363">
        <v>310.2</v>
      </c>
      <c r="G1121" s="361">
        <v>0</v>
      </c>
      <c r="H1121" s="361">
        <v>-310.2</v>
      </c>
      <c r="I1121" s="361">
        <v>0</v>
      </c>
    </row>
    <row r="1122" spans="1:9" x14ac:dyDescent="0.2">
      <c r="A1122" s="349" t="s">
        <v>341</v>
      </c>
      <c r="B1122" s="359">
        <v>53434</v>
      </c>
      <c r="C1122" s="349" t="s">
        <v>2990</v>
      </c>
      <c r="D1122" s="349" t="s">
        <v>2991</v>
      </c>
      <c r="E1122" s="363">
        <v>0</v>
      </c>
      <c r="F1122" s="363">
        <v>0</v>
      </c>
      <c r="G1122" s="361">
        <v>816</v>
      </c>
      <c r="H1122" s="361">
        <v>816</v>
      </c>
      <c r="I1122" s="361">
        <v>816</v>
      </c>
    </row>
    <row r="1123" spans="1:9" x14ac:dyDescent="0.2">
      <c r="A1123" s="349" t="s">
        <v>341</v>
      </c>
      <c r="B1123" s="359">
        <v>53435</v>
      </c>
      <c r="C1123" s="349" t="s">
        <v>2992</v>
      </c>
      <c r="D1123" s="349" t="s">
        <v>2993</v>
      </c>
      <c r="E1123" s="360">
        <v>1755</v>
      </c>
      <c r="F1123" s="360">
        <v>2652.9</v>
      </c>
      <c r="G1123" s="362">
        <v>6461.18</v>
      </c>
      <c r="H1123" s="362">
        <v>3808.28</v>
      </c>
      <c r="I1123" s="362">
        <v>5563.28</v>
      </c>
    </row>
    <row r="1124" spans="1:9" x14ac:dyDescent="0.2">
      <c r="A1124" s="349" t="s">
        <v>341</v>
      </c>
      <c r="B1124" s="359">
        <v>53470</v>
      </c>
      <c r="C1124" s="349" t="s">
        <v>2994</v>
      </c>
      <c r="D1124" s="349" t="s">
        <v>2995</v>
      </c>
      <c r="E1124" s="360">
        <v>3059.6</v>
      </c>
      <c r="F1124" s="360">
        <v>3059.6</v>
      </c>
      <c r="G1124" s="361">
        <v>0</v>
      </c>
      <c r="H1124" s="362">
        <v>-3059.6</v>
      </c>
      <c r="I1124" s="361">
        <v>0</v>
      </c>
    </row>
    <row r="1125" spans="1:9" x14ac:dyDescent="0.2">
      <c r="A1125" s="349" t="s">
        <v>341</v>
      </c>
      <c r="B1125" s="359">
        <v>53534</v>
      </c>
      <c r="C1125" s="349" t="s">
        <v>2996</v>
      </c>
      <c r="D1125" s="349" t="s">
        <v>2997</v>
      </c>
      <c r="E1125" s="363">
        <v>0</v>
      </c>
      <c r="F1125" s="360">
        <v>10615</v>
      </c>
      <c r="G1125" s="362">
        <v>10615</v>
      </c>
      <c r="H1125" s="361">
        <v>0</v>
      </c>
      <c r="I1125" s="361">
        <v>0</v>
      </c>
    </row>
    <row r="1126" spans="1:9" x14ac:dyDescent="0.2">
      <c r="A1126" s="349" t="s">
        <v>341</v>
      </c>
      <c r="B1126" s="359">
        <v>53546</v>
      </c>
      <c r="C1126" s="349" t="s">
        <v>2998</v>
      </c>
      <c r="D1126" s="349" t="s">
        <v>2999</v>
      </c>
      <c r="E1126" s="363">
        <v>505.7</v>
      </c>
      <c r="F1126" s="360">
        <v>2305.6999999999998</v>
      </c>
      <c r="G1126" s="362">
        <v>5135</v>
      </c>
      <c r="H1126" s="362">
        <v>2829.3</v>
      </c>
      <c r="I1126" s="362">
        <v>3335</v>
      </c>
    </row>
    <row r="1127" spans="1:9" x14ac:dyDescent="0.2">
      <c r="A1127" s="349" t="s">
        <v>341</v>
      </c>
      <c r="B1127" s="359">
        <v>53549</v>
      </c>
      <c r="C1127" s="349" t="s">
        <v>3000</v>
      </c>
      <c r="D1127" s="349" t="s">
        <v>3001</v>
      </c>
      <c r="E1127" s="363">
        <v>900</v>
      </c>
      <c r="F1127" s="360">
        <v>4550</v>
      </c>
      <c r="G1127" s="362">
        <v>4450</v>
      </c>
      <c r="H1127" s="361">
        <v>-100</v>
      </c>
      <c r="I1127" s="361">
        <v>800</v>
      </c>
    </row>
    <row r="1128" spans="1:9" x14ac:dyDescent="0.2">
      <c r="A1128" s="349" t="s">
        <v>341</v>
      </c>
      <c r="B1128" s="359">
        <v>3159</v>
      </c>
      <c r="C1128" s="349" t="s">
        <v>3002</v>
      </c>
      <c r="D1128" s="349" t="s">
        <v>3003</v>
      </c>
      <c r="E1128" s="360">
        <v>13278</v>
      </c>
      <c r="F1128" s="360">
        <v>13278</v>
      </c>
      <c r="G1128" s="361">
        <v>0</v>
      </c>
      <c r="H1128" s="362">
        <v>-13278</v>
      </c>
      <c r="I1128" s="361">
        <v>0</v>
      </c>
    </row>
    <row r="1129" spans="1:9" x14ac:dyDescent="0.2">
      <c r="A1129" s="349" t="s">
        <v>341</v>
      </c>
      <c r="B1129" s="359">
        <v>2840</v>
      </c>
      <c r="C1129" s="349" t="s">
        <v>3004</v>
      </c>
      <c r="D1129" s="349" t="s">
        <v>3005</v>
      </c>
      <c r="E1129" s="360">
        <v>9350</v>
      </c>
      <c r="F1129" s="360">
        <v>6950</v>
      </c>
      <c r="G1129" s="361">
        <v>0</v>
      </c>
      <c r="H1129" s="362">
        <v>-6950</v>
      </c>
      <c r="I1129" s="362">
        <v>2400</v>
      </c>
    </row>
    <row r="1130" spans="1:9" x14ac:dyDescent="0.2">
      <c r="A1130" s="349" t="s">
        <v>341</v>
      </c>
      <c r="B1130" s="359">
        <v>53588</v>
      </c>
      <c r="C1130" s="349" t="s">
        <v>3006</v>
      </c>
      <c r="D1130" s="349" t="s">
        <v>3007</v>
      </c>
      <c r="E1130" s="363">
        <v>0</v>
      </c>
      <c r="F1130" s="363">
        <v>0</v>
      </c>
      <c r="G1130" s="362">
        <v>2780</v>
      </c>
      <c r="H1130" s="362">
        <v>2780</v>
      </c>
      <c r="I1130" s="362">
        <v>2780</v>
      </c>
    </row>
    <row r="1131" spans="1:9" x14ac:dyDescent="0.2">
      <c r="A1131" s="349" t="s">
        <v>341</v>
      </c>
      <c r="B1131" s="359">
        <v>53594</v>
      </c>
      <c r="C1131" s="349" t="s">
        <v>3008</v>
      </c>
      <c r="D1131" s="349" t="s">
        <v>3009</v>
      </c>
      <c r="E1131" s="360">
        <v>2980</v>
      </c>
      <c r="F1131" s="360">
        <v>1490</v>
      </c>
      <c r="G1131" s="361">
        <v>735</v>
      </c>
      <c r="H1131" s="361">
        <v>-755</v>
      </c>
      <c r="I1131" s="362">
        <v>2225</v>
      </c>
    </row>
    <row r="1132" spans="1:9" x14ac:dyDescent="0.2">
      <c r="A1132" s="349" t="s">
        <v>341</v>
      </c>
      <c r="B1132" s="359">
        <v>33754</v>
      </c>
      <c r="C1132" s="349" t="s">
        <v>3010</v>
      </c>
      <c r="D1132" s="349" t="s">
        <v>3011</v>
      </c>
      <c r="E1132" s="360">
        <v>87500</v>
      </c>
      <c r="F1132" s="360">
        <v>14583.33</v>
      </c>
      <c r="G1132" s="361">
        <v>0</v>
      </c>
      <c r="H1132" s="362">
        <v>-14583.33</v>
      </c>
      <c r="I1132" s="362">
        <v>72916.67</v>
      </c>
    </row>
    <row r="1133" spans="1:9" x14ac:dyDescent="0.2">
      <c r="A1133" s="349" t="s">
        <v>341</v>
      </c>
      <c r="B1133" s="359">
        <v>53646</v>
      </c>
      <c r="C1133" s="349" t="s">
        <v>3012</v>
      </c>
      <c r="D1133" s="349" t="s">
        <v>3013</v>
      </c>
      <c r="E1133" s="360">
        <v>2621.4</v>
      </c>
      <c r="F1133" s="360">
        <v>2621.4</v>
      </c>
      <c r="G1133" s="361">
        <v>0</v>
      </c>
      <c r="H1133" s="362">
        <v>-2621.4</v>
      </c>
      <c r="I1133" s="361">
        <v>0</v>
      </c>
    </row>
    <row r="1134" spans="1:9" x14ac:dyDescent="0.2">
      <c r="A1134" s="349" t="s">
        <v>341</v>
      </c>
      <c r="B1134" s="359">
        <v>53697</v>
      </c>
      <c r="C1134" s="349" t="s">
        <v>3014</v>
      </c>
      <c r="D1134" s="349" t="s">
        <v>3015</v>
      </c>
      <c r="E1134" s="363">
        <v>0</v>
      </c>
      <c r="F1134" s="360">
        <v>39810</v>
      </c>
      <c r="G1134" s="362">
        <v>39810</v>
      </c>
      <c r="H1134" s="361">
        <v>0</v>
      </c>
      <c r="I1134" s="361">
        <v>0</v>
      </c>
    </row>
    <row r="1135" spans="1:9" x14ac:dyDescent="0.2">
      <c r="A1135" s="349" t="s">
        <v>341</v>
      </c>
      <c r="B1135" s="359">
        <v>3443</v>
      </c>
      <c r="C1135" s="349" t="s">
        <v>3016</v>
      </c>
      <c r="D1135" s="349" t="s">
        <v>3017</v>
      </c>
      <c r="E1135" s="363">
        <v>0</v>
      </c>
      <c r="F1135" s="360">
        <v>3040</v>
      </c>
      <c r="G1135" s="362">
        <v>3040</v>
      </c>
      <c r="H1135" s="361">
        <v>0</v>
      </c>
      <c r="I1135" s="361">
        <v>0</v>
      </c>
    </row>
    <row r="1136" spans="1:9" x14ac:dyDescent="0.2">
      <c r="A1136" s="349" t="s">
        <v>341</v>
      </c>
      <c r="B1136" s="359">
        <v>51664</v>
      </c>
      <c r="C1136" s="349" t="s">
        <v>3018</v>
      </c>
      <c r="D1136" s="349" t="s">
        <v>3019</v>
      </c>
      <c r="E1136" s="363">
        <v>0</v>
      </c>
      <c r="F1136" s="363">
        <v>350</v>
      </c>
      <c r="G1136" s="361">
        <v>350</v>
      </c>
      <c r="H1136" s="361">
        <v>0</v>
      </c>
      <c r="I1136" s="361">
        <v>0</v>
      </c>
    </row>
    <row r="1137" spans="1:9" x14ac:dyDescent="0.2">
      <c r="A1137" s="349" t="s">
        <v>341</v>
      </c>
      <c r="B1137" s="359">
        <v>33800</v>
      </c>
      <c r="C1137" s="349" t="s">
        <v>3020</v>
      </c>
      <c r="D1137" s="349" t="s">
        <v>3021</v>
      </c>
      <c r="E1137" s="363">
        <v>0</v>
      </c>
      <c r="F1137" s="360">
        <v>2600</v>
      </c>
      <c r="G1137" s="362">
        <v>2600</v>
      </c>
      <c r="H1137" s="361">
        <v>0</v>
      </c>
      <c r="I1137" s="361">
        <v>0</v>
      </c>
    </row>
    <row r="1138" spans="1:9" x14ac:dyDescent="0.2">
      <c r="A1138" s="349" t="s">
        <v>341</v>
      </c>
      <c r="B1138" s="359">
        <v>53727</v>
      </c>
      <c r="C1138" s="349" t="s">
        <v>3022</v>
      </c>
      <c r="D1138" s="349" t="s">
        <v>3023</v>
      </c>
      <c r="E1138" s="363">
        <v>0</v>
      </c>
      <c r="F1138" s="363">
        <v>0</v>
      </c>
      <c r="G1138" s="361">
        <v>989</v>
      </c>
      <c r="H1138" s="361">
        <v>989</v>
      </c>
      <c r="I1138" s="361">
        <v>989</v>
      </c>
    </row>
    <row r="1139" spans="1:9" x14ac:dyDescent="0.2">
      <c r="A1139" s="349" t="s">
        <v>341</v>
      </c>
      <c r="B1139" s="359">
        <v>53728</v>
      </c>
      <c r="C1139" s="349" t="s">
        <v>3024</v>
      </c>
      <c r="D1139" s="349" t="s">
        <v>3025</v>
      </c>
      <c r="E1139" s="363">
        <v>0</v>
      </c>
      <c r="F1139" s="363">
        <v>0</v>
      </c>
      <c r="G1139" s="361">
        <v>450</v>
      </c>
      <c r="H1139" s="361">
        <v>450</v>
      </c>
      <c r="I1139" s="361">
        <v>450</v>
      </c>
    </row>
    <row r="1140" spans="1:9" x14ac:dyDescent="0.2">
      <c r="A1140" s="349" t="s">
        <v>341</v>
      </c>
      <c r="B1140" s="359">
        <v>2532</v>
      </c>
      <c r="C1140" s="349" t="s">
        <v>3026</v>
      </c>
      <c r="D1140" s="349" t="s">
        <v>3027</v>
      </c>
      <c r="E1140" s="363">
        <v>0</v>
      </c>
      <c r="F1140" s="363">
        <v>0</v>
      </c>
      <c r="G1140" s="361">
        <v>449.5</v>
      </c>
      <c r="H1140" s="361">
        <v>449.5</v>
      </c>
      <c r="I1140" s="361">
        <v>449.5</v>
      </c>
    </row>
    <row r="1141" spans="1:9" x14ac:dyDescent="0.2">
      <c r="A1141" s="349" t="s">
        <v>341</v>
      </c>
      <c r="B1141" s="359">
        <v>37588</v>
      </c>
      <c r="C1141" s="349" t="s">
        <v>3028</v>
      </c>
      <c r="D1141" s="349" t="s">
        <v>3029</v>
      </c>
      <c r="E1141" s="363">
        <v>0</v>
      </c>
      <c r="F1141" s="363">
        <v>0</v>
      </c>
      <c r="G1141" s="362">
        <v>2023</v>
      </c>
      <c r="H1141" s="362">
        <v>2023</v>
      </c>
      <c r="I1141" s="362">
        <v>2023</v>
      </c>
    </row>
    <row r="1142" spans="1:9" x14ac:dyDescent="0.2">
      <c r="A1142" s="349" t="s">
        <v>341</v>
      </c>
      <c r="B1142" s="354">
        <v>53064</v>
      </c>
      <c r="C1142" s="355" t="s">
        <v>3030</v>
      </c>
      <c r="D1142" s="355" t="s">
        <v>3031</v>
      </c>
      <c r="E1142" s="356">
        <v>1953939.94</v>
      </c>
      <c r="F1142" s="356">
        <v>1623728.98</v>
      </c>
      <c r="G1142" s="357">
        <v>2117067.04</v>
      </c>
      <c r="H1142" s="357">
        <v>493338.06</v>
      </c>
      <c r="I1142" s="357">
        <v>2447278</v>
      </c>
    </row>
    <row r="1143" spans="1:9" x14ac:dyDescent="0.2">
      <c r="A1143" s="349" t="s">
        <v>341</v>
      </c>
      <c r="B1143" s="359">
        <v>36740</v>
      </c>
      <c r="C1143" s="349" t="s">
        <v>3032</v>
      </c>
      <c r="D1143" s="349" t="s">
        <v>3033</v>
      </c>
      <c r="E1143" s="363">
        <v>0</v>
      </c>
      <c r="F1143" s="360">
        <v>2233</v>
      </c>
      <c r="G1143" s="362">
        <v>2233</v>
      </c>
      <c r="H1143" s="361">
        <v>0</v>
      </c>
      <c r="I1143" s="361">
        <v>0</v>
      </c>
    </row>
    <row r="1144" spans="1:9" x14ac:dyDescent="0.2">
      <c r="A1144" s="349" t="s">
        <v>341</v>
      </c>
      <c r="B1144" s="359">
        <v>52254</v>
      </c>
      <c r="C1144" s="349" t="s">
        <v>3034</v>
      </c>
      <c r="D1144" s="349" t="s">
        <v>3035</v>
      </c>
      <c r="E1144" s="363">
        <v>870</v>
      </c>
      <c r="F1144" s="363">
        <v>870</v>
      </c>
      <c r="G1144" s="361">
        <v>0</v>
      </c>
      <c r="H1144" s="361">
        <v>-870</v>
      </c>
      <c r="I1144" s="361">
        <v>0</v>
      </c>
    </row>
    <row r="1145" spans="1:9" x14ac:dyDescent="0.2">
      <c r="A1145" s="349" t="s">
        <v>341</v>
      </c>
      <c r="B1145" s="359">
        <v>2384</v>
      </c>
      <c r="C1145" s="349" t="s">
        <v>3036</v>
      </c>
      <c r="D1145" s="349" t="s">
        <v>3037</v>
      </c>
      <c r="E1145" s="363">
        <v>0</v>
      </c>
      <c r="F1145" s="363">
        <v>0</v>
      </c>
      <c r="G1145" s="361">
        <v>300</v>
      </c>
      <c r="H1145" s="361">
        <v>300</v>
      </c>
      <c r="I1145" s="361">
        <v>300</v>
      </c>
    </row>
    <row r="1146" spans="1:9" x14ac:dyDescent="0.2">
      <c r="A1146" s="349" t="s">
        <v>341</v>
      </c>
      <c r="B1146" s="359">
        <v>1911</v>
      </c>
      <c r="C1146" s="349" t="s">
        <v>3038</v>
      </c>
      <c r="D1146" s="349" t="s">
        <v>3039</v>
      </c>
      <c r="E1146" s="363">
        <v>0</v>
      </c>
      <c r="F1146" s="360">
        <v>14422.84</v>
      </c>
      <c r="G1146" s="362">
        <v>14422.84</v>
      </c>
      <c r="H1146" s="361">
        <v>0</v>
      </c>
      <c r="I1146" s="361">
        <v>0</v>
      </c>
    </row>
    <row r="1147" spans="1:9" x14ac:dyDescent="0.2">
      <c r="A1147" s="349" t="s">
        <v>341</v>
      </c>
      <c r="B1147" s="359">
        <v>52546</v>
      </c>
      <c r="C1147" s="349" t="s">
        <v>3040</v>
      </c>
      <c r="D1147" s="349" t="s">
        <v>3041</v>
      </c>
      <c r="E1147" s="360">
        <v>22164.5</v>
      </c>
      <c r="F1147" s="360">
        <v>22164.5</v>
      </c>
      <c r="G1147" s="362">
        <v>17557</v>
      </c>
      <c r="H1147" s="362">
        <v>-4607.5</v>
      </c>
      <c r="I1147" s="362">
        <v>17557</v>
      </c>
    </row>
    <row r="1148" spans="1:9" x14ac:dyDescent="0.2">
      <c r="A1148" s="349" t="s">
        <v>341</v>
      </c>
      <c r="B1148" s="359">
        <v>51172</v>
      </c>
      <c r="C1148" s="349" t="s">
        <v>3042</v>
      </c>
      <c r="D1148" s="349" t="s">
        <v>3043</v>
      </c>
      <c r="E1148" s="363">
        <v>0</v>
      </c>
      <c r="F1148" s="360">
        <v>31623.5</v>
      </c>
      <c r="G1148" s="362">
        <v>31623.5</v>
      </c>
      <c r="H1148" s="361">
        <v>0</v>
      </c>
      <c r="I1148" s="361">
        <v>0</v>
      </c>
    </row>
    <row r="1149" spans="1:9" x14ac:dyDescent="0.2">
      <c r="A1149" s="349" t="s">
        <v>341</v>
      </c>
      <c r="B1149" s="359">
        <v>12459</v>
      </c>
      <c r="C1149" s="349" t="s">
        <v>3044</v>
      </c>
      <c r="D1149" s="349" t="s">
        <v>3045</v>
      </c>
      <c r="E1149" s="360">
        <v>1783.15</v>
      </c>
      <c r="F1149" s="360">
        <v>1783.15</v>
      </c>
      <c r="G1149" s="361">
        <v>0</v>
      </c>
      <c r="H1149" s="362">
        <v>-1783.15</v>
      </c>
      <c r="I1149" s="361">
        <v>0</v>
      </c>
    </row>
    <row r="1150" spans="1:9" x14ac:dyDescent="0.2">
      <c r="A1150" s="349" t="s">
        <v>341</v>
      </c>
      <c r="B1150" s="359">
        <v>51727</v>
      </c>
      <c r="C1150" s="349" t="s">
        <v>3046</v>
      </c>
      <c r="D1150" s="349" t="s">
        <v>3047</v>
      </c>
      <c r="E1150" s="360">
        <v>1060.81</v>
      </c>
      <c r="F1150" s="360">
        <v>1060.81</v>
      </c>
      <c r="G1150" s="361">
        <v>0</v>
      </c>
      <c r="H1150" s="362">
        <v>-1060.81</v>
      </c>
      <c r="I1150" s="361">
        <v>0</v>
      </c>
    </row>
    <row r="1151" spans="1:9" x14ac:dyDescent="0.2">
      <c r="A1151" s="349" t="s">
        <v>341</v>
      </c>
      <c r="B1151" s="359">
        <v>51283</v>
      </c>
      <c r="C1151" s="349" t="s">
        <v>3048</v>
      </c>
      <c r="D1151" s="349" t="s">
        <v>3049</v>
      </c>
      <c r="E1151" s="360">
        <v>230273.88</v>
      </c>
      <c r="F1151" s="360">
        <v>460547.76</v>
      </c>
      <c r="G1151" s="362">
        <v>440770.49</v>
      </c>
      <c r="H1151" s="362">
        <v>-19777.27</v>
      </c>
      <c r="I1151" s="362">
        <v>210496.61</v>
      </c>
    </row>
    <row r="1152" spans="1:9" x14ac:dyDescent="0.2">
      <c r="A1152" s="349" t="s">
        <v>341</v>
      </c>
      <c r="B1152" s="359">
        <v>51685</v>
      </c>
      <c r="C1152" s="349" t="s">
        <v>3050</v>
      </c>
      <c r="D1152" s="349" t="s">
        <v>3051</v>
      </c>
      <c r="E1152" s="363">
        <v>0</v>
      </c>
      <c r="F1152" s="360">
        <v>12624.19</v>
      </c>
      <c r="G1152" s="362">
        <v>12624.19</v>
      </c>
      <c r="H1152" s="361">
        <v>0</v>
      </c>
      <c r="I1152" s="361">
        <v>0</v>
      </c>
    </row>
    <row r="1153" spans="1:9" x14ac:dyDescent="0.2">
      <c r="A1153" s="349" t="s">
        <v>341</v>
      </c>
      <c r="B1153" s="359">
        <v>52278</v>
      </c>
      <c r="C1153" s="349" t="s">
        <v>3052</v>
      </c>
      <c r="D1153" s="349" t="s">
        <v>3053</v>
      </c>
      <c r="E1153" s="360">
        <v>22390.2</v>
      </c>
      <c r="F1153" s="363">
        <v>0</v>
      </c>
      <c r="G1153" s="361">
        <v>0</v>
      </c>
      <c r="H1153" s="361">
        <v>0</v>
      </c>
      <c r="I1153" s="362">
        <v>22390.2</v>
      </c>
    </row>
    <row r="1154" spans="1:9" x14ac:dyDescent="0.2">
      <c r="A1154" s="349" t="s">
        <v>341</v>
      </c>
      <c r="B1154" s="359">
        <v>52825</v>
      </c>
      <c r="C1154" s="349" t="s">
        <v>3054</v>
      </c>
      <c r="D1154" s="349" t="s">
        <v>3055</v>
      </c>
      <c r="E1154" s="363">
        <v>0</v>
      </c>
      <c r="F1154" s="360">
        <v>2815.5</v>
      </c>
      <c r="G1154" s="362">
        <v>2815.5</v>
      </c>
      <c r="H1154" s="361">
        <v>0</v>
      </c>
      <c r="I1154" s="361">
        <v>0</v>
      </c>
    </row>
    <row r="1155" spans="1:9" x14ac:dyDescent="0.2">
      <c r="A1155" s="349" t="s">
        <v>341</v>
      </c>
      <c r="B1155" s="359">
        <v>34155</v>
      </c>
      <c r="C1155" s="349" t="s">
        <v>3056</v>
      </c>
      <c r="D1155" s="349" t="s">
        <v>3057</v>
      </c>
      <c r="E1155" s="363">
        <v>0</v>
      </c>
      <c r="F1155" s="363">
        <v>0</v>
      </c>
      <c r="G1155" s="362">
        <v>5049</v>
      </c>
      <c r="H1155" s="362">
        <v>5049</v>
      </c>
      <c r="I1155" s="362">
        <v>5049</v>
      </c>
    </row>
    <row r="1156" spans="1:9" x14ac:dyDescent="0.2">
      <c r="A1156" s="349" t="s">
        <v>341</v>
      </c>
      <c r="B1156" s="359">
        <v>52017</v>
      </c>
      <c r="C1156" s="349" t="s">
        <v>3058</v>
      </c>
      <c r="D1156" s="349" t="s">
        <v>3059</v>
      </c>
      <c r="E1156" s="360">
        <v>1760</v>
      </c>
      <c r="F1156" s="360">
        <v>1760</v>
      </c>
      <c r="G1156" s="362">
        <v>1760</v>
      </c>
      <c r="H1156" s="361">
        <v>0</v>
      </c>
      <c r="I1156" s="362">
        <v>1760</v>
      </c>
    </row>
    <row r="1157" spans="1:9" x14ac:dyDescent="0.2">
      <c r="A1157" s="349" t="s">
        <v>341</v>
      </c>
      <c r="B1157" s="359">
        <v>38750</v>
      </c>
      <c r="C1157" s="349" t="s">
        <v>3060</v>
      </c>
      <c r="D1157" s="349" t="s">
        <v>3061</v>
      </c>
      <c r="E1157" s="363">
        <v>0</v>
      </c>
      <c r="F1157" s="363">
        <v>288</v>
      </c>
      <c r="G1157" s="361">
        <v>288</v>
      </c>
      <c r="H1157" s="361">
        <v>0</v>
      </c>
      <c r="I1157" s="361">
        <v>0</v>
      </c>
    </row>
    <row r="1158" spans="1:9" x14ac:dyDescent="0.2">
      <c r="A1158" s="349" t="s">
        <v>341</v>
      </c>
      <c r="B1158" s="359">
        <v>34106</v>
      </c>
      <c r="C1158" s="349" t="s">
        <v>3062</v>
      </c>
      <c r="D1158" s="349" t="s">
        <v>3063</v>
      </c>
      <c r="E1158" s="363">
        <v>0</v>
      </c>
      <c r="F1158" s="363">
        <v>668.58</v>
      </c>
      <c r="G1158" s="361">
        <v>668.58</v>
      </c>
      <c r="H1158" s="361">
        <v>0</v>
      </c>
      <c r="I1158" s="361">
        <v>0</v>
      </c>
    </row>
    <row r="1159" spans="1:9" x14ac:dyDescent="0.2">
      <c r="A1159" s="349" t="s">
        <v>341</v>
      </c>
      <c r="B1159" s="359">
        <v>38212</v>
      </c>
      <c r="C1159" s="349" t="s">
        <v>3064</v>
      </c>
      <c r="D1159" s="349" t="s">
        <v>3065</v>
      </c>
      <c r="E1159" s="363">
        <v>0</v>
      </c>
      <c r="F1159" s="363">
        <v>151.19999999999999</v>
      </c>
      <c r="G1159" s="361">
        <v>151.19999999999999</v>
      </c>
      <c r="H1159" s="361">
        <v>0</v>
      </c>
      <c r="I1159" s="361">
        <v>0</v>
      </c>
    </row>
    <row r="1160" spans="1:9" x14ac:dyDescent="0.2">
      <c r="A1160" s="349" t="s">
        <v>341</v>
      </c>
      <c r="B1160" s="359">
        <v>37679</v>
      </c>
      <c r="C1160" s="349" t="s">
        <v>3066</v>
      </c>
      <c r="D1160" s="349" t="s">
        <v>3067</v>
      </c>
      <c r="E1160" s="363">
        <v>0</v>
      </c>
      <c r="F1160" s="360">
        <v>183784.28</v>
      </c>
      <c r="G1160" s="362">
        <v>187784.28</v>
      </c>
      <c r="H1160" s="362">
        <v>4000</v>
      </c>
      <c r="I1160" s="362">
        <v>4000</v>
      </c>
    </row>
    <row r="1161" spans="1:9" x14ac:dyDescent="0.2">
      <c r="A1161" s="349" t="s">
        <v>341</v>
      </c>
      <c r="B1161" s="359">
        <v>51154</v>
      </c>
      <c r="C1161" s="349" t="s">
        <v>3068</v>
      </c>
      <c r="D1161" s="349" t="s">
        <v>3069</v>
      </c>
      <c r="E1161" s="363">
        <v>0</v>
      </c>
      <c r="F1161" s="360">
        <v>16172</v>
      </c>
      <c r="G1161" s="362">
        <v>16172</v>
      </c>
      <c r="H1161" s="361">
        <v>0</v>
      </c>
      <c r="I1161" s="361">
        <v>0</v>
      </c>
    </row>
    <row r="1162" spans="1:9" x14ac:dyDescent="0.2">
      <c r="A1162" s="349" t="s">
        <v>341</v>
      </c>
      <c r="B1162" s="359">
        <v>38080</v>
      </c>
      <c r="C1162" s="349" t="s">
        <v>3070</v>
      </c>
      <c r="D1162" s="349" t="s">
        <v>3071</v>
      </c>
      <c r="E1162" s="363">
        <v>0</v>
      </c>
      <c r="F1162" s="363">
        <v>885</v>
      </c>
      <c r="G1162" s="361">
        <v>885</v>
      </c>
      <c r="H1162" s="361">
        <v>0</v>
      </c>
      <c r="I1162" s="361">
        <v>0</v>
      </c>
    </row>
    <row r="1163" spans="1:9" x14ac:dyDescent="0.2">
      <c r="A1163" s="349" t="s">
        <v>341</v>
      </c>
      <c r="B1163" s="359">
        <v>3756</v>
      </c>
      <c r="C1163" s="349" t="s">
        <v>3072</v>
      </c>
      <c r="D1163" s="349" t="s">
        <v>3073</v>
      </c>
      <c r="E1163" s="360">
        <v>3155.25</v>
      </c>
      <c r="F1163" s="360">
        <v>3155.25</v>
      </c>
      <c r="G1163" s="361">
        <v>553</v>
      </c>
      <c r="H1163" s="362">
        <v>-2602.25</v>
      </c>
      <c r="I1163" s="361">
        <v>553</v>
      </c>
    </row>
    <row r="1164" spans="1:9" x14ac:dyDescent="0.2">
      <c r="A1164" s="349" t="s">
        <v>341</v>
      </c>
      <c r="B1164" s="359">
        <v>2701</v>
      </c>
      <c r="C1164" s="349" t="s">
        <v>3074</v>
      </c>
      <c r="D1164" s="349" t="s">
        <v>3075</v>
      </c>
      <c r="E1164" s="360">
        <v>6538.19</v>
      </c>
      <c r="F1164" s="360">
        <v>6538.19</v>
      </c>
      <c r="G1164" s="362">
        <v>3989.99</v>
      </c>
      <c r="H1164" s="362">
        <v>-2548.1999999999998</v>
      </c>
      <c r="I1164" s="362">
        <v>3989.99</v>
      </c>
    </row>
    <row r="1165" spans="1:9" x14ac:dyDescent="0.2">
      <c r="A1165" s="349" t="s">
        <v>341</v>
      </c>
      <c r="B1165" s="359">
        <v>3777</v>
      </c>
      <c r="C1165" s="349" t="s">
        <v>3076</v>
      </c>
      <c r="D1165" s="349" t="s">
        <v>3077</v>
      </c>
      <c r="E1165" s="360">
        <v>116659.73</v>
      </c>
      <c r="F1165" s="360">
        <v>32175.66</v>
      </c>
      <c r="G1165" s="362">
        <v>18728.36</v>
      </c>
      <c r="H1165" s="362">
        <v>-13447.3</v>
      </c>
      <c r="I1165" s="362">
        <v>103212.43</v>
      </c>
    </row>
    <row r="1166" spans="1:9" x14ac:dyDescent="0.2">
      <c r="A1166" s="349" t="s">
        <v>341</v>
      </c>
      <c r="B1166" s="359">
        <v>2711</v>
      </c>
      <c r="C1166" s="349" t="s">
        <v>3078</v>
      </c>
      <c r="D1166" s="349" t="s">
        <v>3079</v>
      </c>
      <c r="E1166" s="360">
        <v>15138.6</v>
      </c>
      <c r="F1166" s="360">
        <v>15138.78</v>
      </c>
      <c r="G1166" s="362">
        <v>3256.44</v>
      </c>
      <c r="H1166" s="362">
        <v>-11882.34</v>
      </c>
      <c r="I1166" s="362">
        <v>3256.26</v>
      </c>
    </row>
    <row r="1167" spans="1:9" x14ac:dyDescent="0.2">
      <c r="A1167" s="349" t="s">
        <v>341</v>
      </c>
      <c r="B1167" s="359">
        <v>51330</v>
      </c>
      <c r="C1167" s="349" t="s">
        <v>3080</v>
      </c>
      <c r="D1167" s="349" t="s">
        <v>3081</v>
      </c>
      <c r="E1167" s="363">
        <v>0</v>
      </c>
      <c r="F1167" s="363">
        <v>450</v>
      </c>
      <c r="G1167" s="361">
        <v>450</v>
      </c>
      <c r="H1167" s="361">
        <v>0</v>
      </c>
      <c r="I1167" s="361">
        <v>0</v>
      </c>
    </row>
    <row r="1168" spans="1:9" x14ac:dyDescent="0.2">
      <c r="A1168" s="349" t="s">
        <v>341</v>
      </c>
      <c r="B1168" s="359">
        <v>3800</v>
      </c>
      <c r="C1168" s="349" t="s">
        <v>3082</v>
      </c>
      <c r="D1168" s="349" t="s">
        <v>3083</v>
      </c>
      <c r="E1168" s="363">
        <v>0</v>
      </c>
      <c r="F1168" s="360">
        <v>4293.42</v>
      </c>
      <c r="G1168" s="362">
        <v>4293.42</v>
      </c>
      <c r="H1168" s="361">
        <v>0</v>
      </c>
      <c r="I1168" s="361">
        <v>0</v>
      </c>
    </row>
    <row r="1169" spans="1:9" x14ac:dyDescent="0.2">
      <c r="A1169" s="349" t="s">
        <v>341</v>
      </c>
      <c r="B1169" s="359">
        <v>3801</v>
      </c>
      <c r="C1169" s="349" t="s">
        <v>3084</v>
      </c>
      <c r="D1169" s="349" t="s">
        <v>3085</v>
      </c>
      <c r="E1169" s="363">
        <v>0</v>
      </c>
      <c r="F1169" s="360">
        <v>27664.42</v>
      </c>
      <c r="G1169" s="362">
        <v>27664.42</v>
      </c>
      <c r="H1169" s="361">
        <v>0</v>
      </c>
      <c r="I1169" s="361">
        <v>0</v>
      </c>
    </row>
    <row r="1170" spans="1:9" x14ac:dyDescent="0.2">
      <c r="A1170" s="349" t="s">
        <v>341</v>
      </c>
      <c r="B1170" s="359">
        <v>38047</v>
      </c>
      <c r="C1170" s="349" t="s">
        <v>3086</v>
      </c>
      <c r="D1170" s="349" t="s">
        <v>3087</v>
      </c>
      <c r="E1170" s="363">
        <v>0</v>
      </c>
      <c r="F1170" s="360">
        <v>2069.71</v>
      </c>
      <c r="G1170" s="362">
        <v>4131.87</v>
      </c>
      <c r="H1170" s="362">
        <v>2062.16</v>
      </c>
      <c r="I1170" s="362">
        <v>2062.16</v>
      </c>
    </row>
    <row r="1171" spans="1:9" x14ac:dyDescent="0.2">
      <c r="A1171" s="349" t="s">
        <v>341</v>
      </c>
      <c r="B1171" s="359">
        <v>51719</v>
      </c>
      <c r="C1171" s="349" t="s">
        <v>3088</v>
      </c>
      <c r="D1171" s="349" t="s">
        <v>3089</v>
      </c>
      <c r="E1171" s="363">
        <v>0</v>
      </c>
      <c r="F1171" s="360">
        <v>4028.04</v>
      </c>
      <c r="G1171" s="362">
        <v>4028.04</v>
      </c>
      <c r="H1171" s="361">
        <v>0</v>
      </c>
      <c r="I1171" s="361">
        <v>0</v>
      </c>
    </row>
    <row r="1172" spans="1:9" x14ac:dyDescent="0.2">
      <c r="A1172" s="349" t="s">
        <v>341</v>
      </c>
      <c r="B1172" s="359">
        <v>51223</v>
      </c>
      <c r="C1172" s="349" t="s">
        <v>3090</v>
      </c>
      <c r="D1172" s="349" t="s">
        <v>3091</v>
      </c>
      <c r="E1172" s="363">
        <v>0</v>
      </c>
      <c r="F1172" s="360">
        <v>1400</v>
      </c>
      <c r="G1172" s="362">
        <v>1400</v>
      </c>
      <c r="H1172" s="361">
        <v>0</v>
      </c>
      <c r="I1172" s="361">
        <v>0</v>
      </c>
    </row>
    <row r="1173" spans="1:9" x14ac:dyDescent="0.2">
      <c r="A1173" s="349" t="s">
        <v>341</v>
      </c>
      <c r="B1173" s="359">
        <v>38079</v>
      </c>
      <c r="C1173" s="349" t="s">
        <v>3092</v>
      </c>
      <c r="D1173" s="349" t="s">
        <v>3093</v>
      </c>
      <c r="E1173" s="363">
        <v>0</v>
      </c>
      <c r="F1173" s="360">
        <v>21107.39</v>
      </c>
      <c r="G1173" s="362">
        <v>26107.39</v>
      </c>
      <c r="H1173" s="362">
        <v>5000</v>
      </c>
      <c r="I1173" s="362">
        <v>5000</v>
      </c>
    </row>
    <row r="1174" spans="1:9" x14ac:dyDescent="0.2">
      <c r="A1174" s="349" t="s">
        <v>341</v>
      </c>
      <c r="B1174" s="359">
        <v>52226</v>
      </c>
      <c r="C1174" s="349" t="s">
        <v>3094</v>
      </c>
      <c r="D1174" s="349" t="s">
        <v>3095</v>
      </c>
      <c r="E1174" s="363">
        <v>0</v>
      </c>
      <c r="F1174" s="363">
        <v>300</v>
      </c>
      <c r="G1174" s="361">
        <v>300</v>
      </c>
      <c r="H1174" s="361">
        <v>0</v>
      </c>
      <c r="I1174" s="361">
        <v>0</v>
      </c>
    </row>
    <row r="1175" spans="1:9" x14ac:dyDescent="0.2">
      <c r="A1175" s="349" t="s">
        <v>341</v>
      </c>
      <c r="B1175" s="359">
        <v>38751</v>
      </c>
      <c r="C1175" s="349" t="s">
        <v>3096</v>
      </c>
      <c r="D1175" s="349" t="s">
        <v>3097</v>
      </c>
      <c r="E1175" s="360">
        <v>1540</v>
      </c>
      <c r="F1175" s="360">
        <v>8187.71</v>
      </c>
      <c r="G1175" s="362">
        <v>6647.71</v>
      </c>
      <c r="H1175" s="362">
        <v>-1540</v>
      </c>
      <c r="I1175" s="361">
        <v>0</v>
      </c>
    </row>
    <row r="1176" spans="1:9" x14ac:dyDescent="0.2">
      <c r="A1176" s="349" t="s">
        <v>341</v>
      </c>
      <c r="B1176" s="359">
        <v>12458</v>
      </c>
      <c r="C1176" s="349" t="s">
        <v>3098</v>
      </c>
      <c r="D1176" s="349" t="s">
        <v>3099</v>
      </c>
      <c r="E1176" s="360">
        <v>3423.84</v>
      </c>
      <c r="F1176" s="360">
        <v>22055.52</v>
      </c>
      <c r="G1176" s="362">
        <v>20421.689999999999</v>
      </c>
      <c r="H1176" s="362">
        <v>-1633.83</v>
      </c>
      <c r="I1176" s="362">
        <v>1790.01</v>
      </c>
    </row>
    <row r="1177" spans="1:9" x14ac:dyDescent="0.2">
      <c r="A1177" s="349" t="s">
        <v>341</v>
      </c>
      <c r="B1177" s="359">
        <v>52636</v>
      </c>
      <c r="C1177" s="349" t="s">
        <v>3100</v>
      </c>
      <c r="D1177" s="349" t="s">
        <v>3101</v>
      </c>
      <c r="E1177" s="363">
        <v>0</v>
      </c>
      <c r="F1177" s="363">
        <v>525</v>
      </c>
      <c r="G1177" s="361">
        <v>525</v>
      </c>
      <c r="H1177" s="361">
        <v>0</v>
      </c>
      <c r="I1177" s="361">
        <v>0</v>
      </c>
    </row>
    <row r="1178" spans="1:9" x14ac:dyDescent="0.2">
      <c r="A1178" s="349" t="s">
        <v>341</v>
      </c>
      <c r="B1178" s="359">
        <v>36709</v>
      </c>
      <c r="C1178" s="349" t="s">
        <v>3102</v>
      </c>
      <c r="D1178" s="349" t="s">
        <v>3103</v>
      </c>
      <c r="E1178" s="360">
        <v>8346.86</v>
      </c>
      <c r="F1178" s="360">
        <v>6346.86</v>
      </c>
      <c r="G1178" s="362">
        <v>6857</v>
      </c>
      <c r="H1178" s="361">
        <v>510.14</v>
      </c>
      <c r="I1178" s="362">
        <v>8857</v>
      </c>
    </row>
    <row r="1179" spans="1:9" x14ac:dyDescent="0.2">
      <c r="A1179" s="349" t="s">
        <v>341</v>
      </c>
      <c r="B1179" s="359">
        <v>52618</v>
      </c>
      <c r="C1179" s="349" t="s">
        <v>3104</v>
      </c>
      <c r="D1179" s="349" t="s">
        <v>3105</v>
      </c>
      <c r="E1179" s="360">
        <v>1539.96</v>
      </c>
      <c r="F1179" s="360">
        <v>1539.96</v>
      </c>
      <c r="G1179" s="362">
        <v>2748.56</v>
      </c>
      <c r="H1179" s="362">
        <v>1208.5999999999999</v>
      </c>
      <c r="I1179" s="362">
        <v>2748.56</v>
      </c>
    </row>
    <row r="1180" spans="1:9" x14ac:dyDescent="0.2">
      <c r="A1180" s="349" t="s">
        <v>341</v>
      </c>
      <c r="B1180" s="359">
        <v>52794</v>
      </c>
      <c r="C1180" s="349" t="s">
        <v>3106</v>
      </c>
      <c r="D1180" s="349" t="s">
        <v>3107</v>
      </c>
      <c r="E1180" s="360">
        <v>116195.68</v>
      </c>
      <c r="F1180" s="360">
        <v>86178.48</v>
      </c>
      <c r="G1180" s="362">
        <v>189968.82</v>
      </c>
      <c r="H1180" s="362">
        <v>103790.34</v>
      </c>
      <c r="I1180" s="362">
        <v>219986.02</v>
      </c>
    </row>
    <row r="1181" spans="1:9" x14ac:dyDescent="0.2">
      <c r="A1181" s="349" t="s">
        <v>341</v>
      </c>
      <c r="B1181" s="359">
        <v>4124</v>
      </c>
      <c r="C1181" s="349" t="s">
        <v>3108</v>
      </c>
      <c r="D1181" s="349" t="s">
        <v>3109</v>
      </c>
      <c r="E1181" s="360">
        <v>5054</v>
      </c>
      <c r="F1181" s="360">
        <v>5782</v>
      </c>
      <c r="G1181" s="362">
        <v>8127.8</v>
      </c>
      <c r="H1181" s="362">
        <v>2345.8000000000002</v>
      </c>
      <c r="I1181" s="362">
        <v>7399.8</v>
      </c>
    </row>
    <row r="1182" spans="1:9" x14ac:dyDescent="0.2">
      <c r="A1182" s="349" t="s">
        <v>341</v>
      </c>
      <c r="B1182" s="359">
        <v>37681</v>
      </c>
      <c r="C1182" s="349" t="s">
        <v>3110</v>
      </c>
      <c r="D1182" s="349" t="s">
        <v>3111</v>
      </c>
      <c r="E1182" s="360">
        <v>4661.6899999999996</v>
      </c>
      <c r="F1182" s="360">
        <v>4661.6899999999996</v>
      </c>
      <c r="G1182" s="362">
        <v>4661.6899999999996</v>
      </c>
      <c r="H1182" s="361">
        <v>0</v>
      </c>
      <c r="I1182" s="362">
        <v>4661.6899999999996</v>
      </c>
    </row>
    <row r="1183" spans="1:9" x14ac:dyDescent="0.2">
      <c r="A1183" s="349" t="s">
        <v>341</v>
      </c>
      <c r="B1183" s="359">
        <v>3875</v>
      </c>
      <c r="C1183" s="349" t="s">
        <v>3112</v>
      </c>
      <c r="D1183" s="349" t="s">
        <v>3113</v>
      </c>
      <c r="E1183" s="360">
        <v>6545.61</v>
      </c>
      <c r="F1183" s="360">
        <v>9101.8799999999992</v>
      </c>
      <c r="G1183" s="362">
        <v>7056.27</v>
      </c>
      <c r="H1183" s="362">
        <v>-2045.61</v>
      </c>
      <c r="I1183" s="362">
        <v>4500</v>
      </c>
    </row>
    <row r="1184" spans="1:9" x14ac:dyDescent="0.2">
      <c r="A1184" s="349" t="s">
        <v>341</v>
      </c>
      <c r="B1184" s="359">
        <v>2959</v>
      </c>
      <c r="C1184" s="349" t="s">
        <v>3114</v>
      </c>
      <c r="D1184" s="349" t="s">
        <v>3115</v>
      </c>
      <c r="E1184" s="363">
        <v>0</v>
      </c>
      <c r="F1184" s="360">
        <v>11696.61</v>
      </c>
      <c r="G1184" s="362">
        <v>11696.61</v>
      </c>
      <c r="H1184" s="361">
        <v>0</v>
      </c>
      <c r="I1184" s="361">
        <v>0</v>
      </c>
    </row>
    <row r="1185" spans="1:9" x14ac:dyDescent="0.2">
      <c r="A1185" s="349" t="s">
        <v>341</v>
      </c>
      <c r="B1185" s="359">
        <v>52955</v>
      </c>
      <c r="C1185" s="349" t="s">
        <v>3116</v>
      </c>
      <c r="D1185" s="349" t="s">
        <v>3117</v>
      </c>
      <c r="E1185" s="360">
        <v>20499.650000000001</v>
      </c>
      <c r="F1185" s="360">
        <v>7999.67</v>
      </c>
      <c r="G1185" s="362">
        <v>32089.16</v>
      </c>
      <c r="H1185" s="362">
        <v>24089.49</v>
      </c>
      <c r="I1185" s="362">
        <v>44589.14</v>
      </c>
    </row>
    <row r="1186" spans="1:9" x14ac:dyDescent="0.2">
      <c r="A1186" s="349" t="s">
        <v>341</v>
      </c>
      <c r="B1186" s="359">
        <v>3017</v>
      </c>
      <c r="C1186" s="349" t="s">
        <v>3118</v>
      </c>
      <c r="D1186" s="349" t="s">
        <v>3119</v>
      </c>
      <c r="E1186" s="360">
        <v>1640.4</v>
      </c>
      <c r="F1186" s="360">
        <v>1640.4</v>
      </c>
      <c r="G1186" s="361">
        <v>0</v>
      </c>
      <c r="H1186" s="362">
        <v>-1640.4</v>
      </c>
      <c r="I1186" s="361">
        <v>0</v>
      </c>
    </row>
    <row r="1187" spans="1:9" x14ac:dyDescent="0.2">
      <c r="A1187" s="349" t="s">
        <v>341</v>
      </c>
      <c r="B1187" s="359">
        <v>37697</v>
      </c>
      <c r="C1187" s="349" t="s">
        <v>3120</v>
      </c>
      <c r="D1187" s="349" t="s">
        <v>3121</v>
      </c>
      <c r="E1187" s="363">
        <v>0</v>
      </c>
      <c r="F1187" s="360">
        <v>3376.59</v>
      </c>
      <c r="G1187" s="362">
        <v>3376.59</v>
      </c>
      <c r="H1187" s="361">
        <v>0</v>
      </c>
      <c r="I1187" s="361">
        <v>0</v>
      </c>
    </row>
    <row r="1188" spans="1:9" x14ac:dyDescent="0.2">
      <c r="A1188" s="349" t="s">
        <v>341</v>
      </c>
      <c r="B1188" s="359">
        <v>34177</v>
      </c>
      <c r="C1188" s="349" t="s">
        <v>3122</v>
      </c>
      <c r="D1188" s="349" t="s">
        <v>3123</v>
      </c>
      <c r="E1188" s="363">
        <v>841.52</v>
      </c>
      <c r="F1188" s="363">
        <v>841.52</v>
      </c>
      <c r="G1188" s="361">
        <v>841.52</v>
      </c>
      <c r="H1188" s="361">
        <v>0</v>
      </c>
      <c r="I1188" s="361">
        <v>841.52</v>
      </c>
    </row>
    <row r="1189" spans="1:9" x14ac:dyDescent="0.2">
      <c r="A1189" s="349" t="s">
        <v>341</v>
      </c>
      <c r="B1189" s="359">
        <v>51756</v>
      </c>
      <c r="C1189" s="349" t="s">
        <v>3124</v>
      </c>
      <c r="D1189" s="349" t="s">
        <v>3125</v>
      </c>
      <c r="E1189" s="360">
        <v>7038.75</v>
      </c>
      <c r="F1189" s="360">
        <v>7038.75</v>
      </c>
      <c r="G1189" s="361">
        <v>0</v>
      </c>
      <c r="H1189" s="362">
        <v>-7038.75</v>
      </c>
      <c r="I1189" s="361">
        <v>0</v>
      </c>
    </row>
    <row r="1190" spans="1:9" x14ac:dyDescent="0.2">
      <c r="A1190" s="349" t="s">
        <v>341</v>
      </c>
      <c r="B1190" s="359">
        <v>51122</v>
      </c>
      <c r="C1190" s="349" t="s">
        <v>3126</v>
      </c>
      <c r="D1190" s="349" t="s">
        <v>3127</v>
      </c>
      <c r="E1190" s="363">
        <v>0</v>
      </c>
      <c r="F1190" s="360">
        <v>23959.23</v>
      </c>
      <c r="G1190" s="362">
        <v>23959.23</v>
      </c>
      <c r="H1190" s="361">
        <v>0</v>
      </c>
      <c r="I1190" s="361">
        <v>0</v>
      </c>
    </row>
    <row r="1191" spans="1:9" x14ac:dyDescent="0.2">
      <c r="A1191" s="349" t="s">
        <v>341</v>
      </c>
      <c r="B1191" s="359">
        <v>4048</v>
      </c>
      <c r="C1191" s="349" t="s">
        <v>3128</v>
      </c>
      <c r="D1191" s="349" t="s">
        <v>3129</v>
      </c>
      <c r="E1191" s="363">
        <v>0</v>
      </c>
      <c r="F1191" s="360">
        <v>4012.51</v>
      </c>
      <c r="G1191" s="362">
        <v>4012.51</v>
      </c>
      <c r="H1191" s="361">
        <v>0</v>
      </c>
      <c r="I1191" s="361">
        <v>0</v>
      </c>
    </row>
    <row r="1192" spans="1:9" x14ac:dyDescent="0.2">
      <c r="A1192" s="349" t="s">
        <v>341</v>
      </c>
      <c r="B1192" s="359">
        <v>52110</v>
      </c>
      <c r="C1192" s="349" t="s">
        <v>3130</v>
      </c>
      <c r="D1192" s="349" t="s">
        <v>3131</v>
      </c>
      <c r="E1192" s="360">
        <v>3850.18</v>
      </c>
      <c r="F1192" s="360">
        <v>3500.18</v>
      </c>
      <c r="G1192" s="362">
        <v>5200</v>
      </c>
      <c r="H1192" s="362">
        <v>1699.82</v>
      </c>
      <c r="I1192" s="362">
        <v>5550</v>
      </c>
    </row>
    <row r="1193" spans="1:9" x14ac:dyDescent="0.2">
      <c r="A1193" s="349" t="s">
        <v>341</v>
      </c>
      <c r="B1193" s="359">
        <v>53021</v>
      </c>
      <c r="C1193" s="349" t="s">
        <v>3132</v>
      </c>
      <c r="D1193" s="349" t="s">
        <v>3133</v>
      </c>
      <c r="E1193" s="363">
        <v>887.9</v>
      </c>
      <c r="F1193" s="363">
        <v>887.9</v>
      </c>
      <c r="G1193" s="361">
        <v>977.08</v>
      </c>
      <c r="H1193" s="361">
        <v>89.18</v>
      </c>
      <c r="I1193" s="361">
        <v>977.08</v>
      </c>
    </row>
    <row r="1194" spans="1:9" x14ac:dyDescent="0.2">
      <c r="A1194" s="349" t="s">
        <v>341</v>
      </c>
      <c r="B1194" s="359">
        <v>52932</v>
      </c>
      <c r="C1194" s="349" t="s">
        <v>3134</v>
      </c>
      <c r="D1194" s="349" t="s">
        <v>3135</v>
      </c>
      <c r="E1194" s="360">
        <v>1350</v>
      </c>
      <c r="F1194" s="363">
        <v>675</v>
      </c>
      <c r="G1194" s="361">
        <v>0</v>
      </c>
      <c r="H1194" s="361">
        <v>-675</v>
      </c>
      <c r="I1194" s="361">
        <v>675</v>
      </c>
    </row>
    <row r="1195" spans="1:9" x14ac:dyDescent="0.2">
      <c r="A1195" s="349" t="s">
        <v>341</v>
      </c>
      <c r="B1195" s="359">
        <v>4075</v>
      </c>
      <c r="C1195" s="349" t="s">
        <v>3136</v>
      </c>
      <c r="D1195" s="349" t="s">
        <v>3137</v>
      </c>
      <c r="E1195" s="363">
        <v>0</v>
      </c>
      <c r="F1195" s="360">
        <v>1200.55</v>
      </c>
      <c r="G1195" s="362">
        <v>1200.55</v>
      </c>
      <c r="H1195" s="361">
        <v>0</v>
      </c>
      <c r="I1195" s="361">
        <v>0</v>
      </c>
    </row>
    <row r="1196" spans="1:9" x14ac:dyDescent="0.2">
      <c r="A1196" s="349" t="s">
        <v>341</v>
      </c>
      <c r="B1196" s="359">
        <v>4118</v>
      </c>
      <c r="C1196" s="349" t="s">
        <v>3138</v>
      </c>
      <c r="D1196" s="349" t="s">
        <v>3139</v>
      </c>
      <c r="E1196" s="363">
        <v>0</v>
      </c>
      <c r="F1196" s="363">
        <v>346.96</v>
      </c>
      <c r="G1196" s="361">
        <v>638.73</v>
      </c>
      <c r="H1196" s="361">
        <v>291.77</v>
      </c>
      <c r="I1196" s="361">
        <v>291.77</v>
      </c>
    </row>
    <row r="1197" spans="1:9" x14ac:dyDescent="0.2">
      <c r="A1197" s="349" t="s">
        <v>341</v>
      </c>
      <c r="B1197" s="359">
        <v>52818</v>
      </c>
      <c r="C1197" s="349" t="s">
        <v>3140</v>
      </c>
      <c r="D1197" s="349" t="s">
        <v>3141</v>
      </c>
      <c r="E1197" s="360">
        <v>2450</v>
      </c>
      <c r="F1197" s="360">
        <v>2450</v>
      </c>
      <c r="G1197" s="361">
        <v>0</v>
      </c>
      <c r="H1197" s="362">
        <v>-2450</v>
      </c>
      <c r="I1197" s="361">
        <v>0</v>
      </c>
    </row>
    <row r="1198" spans="1:9" x14ac:dyDescent="0.2">
      <c r="A1198" s="349" t="s">
        <v>341</v>
      </c>
      <c r="B1198" s="359">
        <v>51385</v>
      </c>
      <c r="C1198" s="349" t="s">
        <v>3142</v>
      </c>
      <c r="D1198" s="349" t="s">
        <v>3143</v>
      </c>
      <c r="E1198" s="363">
        <v>0</v>
      </c>
      <c r="F1198" s="360">
        <v>2353.2199999999998</v>
      </c>
      <c r="G1198" s="362">
        <v>2353.2199999999998</v>
      </c>
      <c r="H1198" s="361">
        <v>0</v>
      </c>
      <c r="I1198" s="361">
        <v>0</v>
      </c>
    </row>
    <row r="1199" spans="1:9" x14ac:dyDescent="0.2">
      <c r="A1199" s="349" t="s">
        <v>341</v>
      </c>
      <c r="B1199" s="359">
        <v>3425</v>
      </c>
      <c r="C1199" s="349" t="s">
        <v>3144</v>
      </c>
      <c r="D1199" s="349" t="s">
        <v>3145</v>
      </c>
      <c r="E1199" s="363">
        <v>0</v>
      </c>
      <c r="F1199" s="360">
        <v>1132.4000000000001</v>
      </c>
      <c r="G1199" s="362">
        <v>2264.8000000000002</v>
      </c>
      <c r="H1199" s="362">
        <v>1132.4000000000001</v>
      </c>
      <c r="I1199" s="362">
        <v>1132.4000000000001</v>
      </c>
    </row>
    <row r="1200" spans="1:9" x14ac:dyDescent="0.2">
      <c r="A1200" s="349" t="s">
        <v>341</v>
      </c>
      <c r="B1200" s="359">
        <v>4140</v>
      </c>
      <c r="C1200" s="349" t="s">
        <v>3146</v>
      </c>
      <c r="D1200" s="349" t="s">
        <v>3147</v>
      </c>
      <c r="E1200" s="363">
        <v>0</v>
      </c>
      <c r="F1200" s="360">
        <v>5364.77</v>
      </c>
      <c r="G1200" s="362">
        <v>5364.77</v>
      </c>
      <c r="H1200" s="361">
        <v>0</v>
      </c>
      <c r="I1200" s="361">
        <v>0</v>
      </c>
    </row>
    <row r="1201" spans="1:9" x14ac:dyDescent="0.2">
      <c r="A1201" s="349" t="s">
        <v>341</v>
      </c>
      <c r="B1201" s="359">
        <v>52198</v>
      </c>
      <c r="C1201" s="349" t="s">
        <v>3148</v>
      </c>
      <c r="D1201" s="349" t="s">
        <v>3149</v>
      </c>
      <c r="E1201" s="360">
        <v>16000</v>
      </c>
      <c r="F1201" s="360">
        <v>4000</v>
      </c>
      <c r="G1201" s="361">
        <v>0</v>
      </c>
      <c r="H1201" s="362">
        <v>-4000</v>
      </c>
      <c r="I1201" s="362">
        <v>12000</v>
      </c>
    </row>
    <row r="1202" spans="1:9" x14ac:dyDescent="0.2">
      <c r="A1202" s="349" t="s">
        <v>341</v>
      </c>
      <c r="B1202" s="359">
        <v>33279</v>
      </c>
      <c r="C1202" s="349" t="s">
        <v>3150</v>
      </c>
      <c r="D1202" s="349" t="s">
        <v>3151</v>
      </c>
      <c r="E1202" s="360">
        <v>2916.52</v>
      </c>
      <c r="F1202" s="360">
        <v>1458.26</v>
      </c>
      <c r="G1202" s="361">
        <v>0</v>
      </c>
      <c r="H1202" s="362">
        <v>-1458.26</v>
      </c>
      <c r="I1202" s="362">
        <v>1458.26</v>
      </c>
    </row>
    <row r="1203" spans="1:9" x14ac:dyDescent="0.2">
      <c r="A1203" s="349" t="s">
        <v>341</v>
      </c>
      <c r="B1203" s="359">
        <v>50848</v>
      </c>
      <c r="C1203" s="349" t="s">
        <v>3152</v>
      </c>
      <c r="D1203" s="349" t="s">
        <v>3153</v>
      </c>
      <c r="E1203" s="363">
        <v>0</v>
      </c>
      <c r="F1203" s="360">
        <v>2252.4</v>
      </c>
      <c r="G1203" s="362">
        <v>2252.4</v>
      </c>
      <c r="H1203" s="361">
        <v>0</v>
      </c>
      <c r="I1203" s="361">
        <v>0</v>
      </c>
    </row>
    <row r="1204" spans="1:9" x14ac:dyDescent="0.2">
      <c r="A1204" s="349" t="s">
        <v>341</v>
      </c>
      <c r="B1204" s="359">
        <v>52758</v>
      </c>
      <c r="C1204" s="349" t="s">
        <v>3154</v>
      </c>
      <c r="D1204" s="349" t="s">
        <v>3155</v>
      </c>
      <c r="E1204" s="360">
        <v>24000</v>
      </c>
      <c r="F1204" s="360">
        <v>24000</v>
      </c>
      <c r="G1204" s="362">
        <v>48000</v>
      </c>
      <c r="H1204" s="362">
        <v>24000</v>
      </c>
      <c r="I1204" s="362">
        <v>48000</v>
      </c>
    </row>
    <row r="1205" spans="1:9" x14ac:dyDescent="0.2">
      <c r="A1205" s="349" t="s">
        <v>341</v>
      </c>
      <c r="B1205" s="359">
        <v>38715</v>
      </c>
      <c r="C1205" s="349" t="s">
        <v>3156</v>
      </c>
      <c r="D1205" s="349" t="s">
        <v>3157</v>
      </c>
      <c r="E1205" s="363">
        <v>0</v>
      </c>
      <c r="F1205" s="363">
        <v>93.02</v>
      </c>
      <c r="G1205" s="361">
        <v>93.02</v>
      </c>
      <c r="H1205" s="361">
        <v>0</v>
      </c>
      <c r="I1205" s="361">
        <v>0</v>
      </c>
    </row>
    <row r="1206" spans="1:9" x14ac:dyDescent="0.2">
      <c r="A1206" s="349" t="s">
        <v>341</v>
      </c>
      <c r="B1206" s="359">
        <v>38024</v>
      </c>
      <c r="C1206" s="349" t="s">
        <v>3158</v>
      </c>
      <c r="D1206" s="349" t="s">
        <v>3159</v>
      </c>
      <c r="E1206" s="363">
        <v>0</v>
      </c>
      <c r="F1206" s="363">
        <v>0</v>
      </c>
      <c r="G1206" s="361">
        <v>306</v>
      </c>
      <c r="H1206" s="361">
        <v>306</v>
      </c>
      <c r="I1206" s="361">
        <v>306</v>
      </c>
    </row>
    <row r="1207" spans="1:9" x14ac:dyDescent="0.2">
      <c r="A1207" s="349" t="s">
        <v>341</v>
      </c>
      <c r="B1207" s="359">
        <v>32601</v>
      </c>
      <c r="C1207" s="349" t="s">
        <v>3160</v>
      </c>
      <c r="D1207" s="349" t="s">
        <v>3161</v>
      </c>
      <c r="E1207" s="360">
        <v>3566.22</v>
      </c>
      <c r="F1207" s="360">
        <v>3906.22</v>
      </c>
      <c r="G1207" s="362">
        <v>6127.15</v>
      </c>
      <c r="H1207" s="362">
        <v>2220.9299999999998</v>
      </c>
      <c r="I1207" s="362">
        <v>5787.15</v>
      </c>
    </row>
    <row r="1208" spans="1:9" x14ac:dyDescent="0.2">
      <c r="A1208" s="349" t="s">
        <v>341</v>
      </c>
      <c r="B1208" s="359">
        <v>33107</v>
      </c>
      <c r="C1208" s="349" t="s">
        <v>3162</v>
      </c>
      <c r="D1208" s="349" t="s">
        <v>3163</v>
      </c>
      <c r="E1208" s="360">
        <v>1714.78</v>
      </c>
      <c r="F1208" s="363">
        <v>428.71</v>
      </c>
      <c r="G1208" s="361">
        <v>0</v>
      </c>
      <c r="H1208" s="361">
        <v>-428.71</v>
      </c>
      <c r="I1208" s="362">
        <v>1286.07</v>
      </c>
    </row>
    <row r="1209" spans="1:9" x14ac:dyDescent="0.2">
      <c r="A1209" s="349" t="s">
        <v>341</v>
      </c>
      <c r="B1209" s="359">
        <v>36832</v>
      </c>
      <c r="C1209" s="349" t="s">
        <v>3164</v>
      </c>
      <c r="D1209" s="349" t="s">
        <v>3165</v>
      </c>
      <c r="E1209" s="360">
        <v>1853.34</v>
      </c>
      <c r="F1209" s="360">
        <v>1853.34</v>
      </c>
      <c r="G1209" s="361">
        <v>0</v>
      </c>
      <c r="H1209" s="362">
        <v>-1853.34</v>
      </c>
      <c r="I1209" s="361">
        <v>0</v>
      </c>
    </row>
    <row r="1210" spans="1:9" x14ac:dyDescent="0.2">
      <c r="A1210" s="349" t="s">
        <v>341</v>
      </c>
      <c r="B1210" s="359">
        <v>52436</v>
      </c>
      <c r="C1210" s="349" t="s">
        <v>3166</v>
      </c>
      <c r="D1210" s="349" t="s">
        <v>3167</v>
      </c>
      <c r="E1210" s="363">
        <v>0</v>
      </c>
      <c r="F1210" s="360">
        <v>6794.52</v>
      </c>
      <c r="G1210" s="362">
        <v>6794.52</v>
      </c>
      <c r="H1210" s="361">
        <v>0</v>
      </c>
      <c r="I1210" s="361">
        <v>0</v>
      </c>
    </row>
    <row r="1211" spans="1:9" x14ac:dyDescent="0.2">
      <c r="A1211" s="349" t="s">
        <v>341</v>
      </c>
      <c r="B1211" s="359">
        <v>4187</v>
      </c>
      <c r="C1211" s="349" t="s">
        <v>3168</v>
      </c>
      <c r="D1211" s="349" t="s">
        <v>3169</v>
      </c>
      <c r="E1211" s="360">
        <v>1200</v>
      </c>
      <c r="F1211" s="363">
        <v>0</v>
      </c>
      <c r="G1211" s="361">
        <v>0</v>
      </c>
      <c r="H1211" s="361">
        <v>0</v>
      </c>
      <c r="I1211" s="362">
        <v>1200</v>
      </c>
    </row>
    <row r="1212" spans="1:9" x14ac:dyDescent="0.2">
      <c r="A1212" s="349" t="s">
        <v>341</v>
      </c>
      <c r="B1212" s="359">
        <v>36730</v>
      </c>
      <c r="C1212" s="349" t="s">
        <v>3170</v>
      </c>
      <c r="D1212" s="349" t="s">
        <v>3171</v>
      </c>
      <c r="E1212" s="363">
        <v>0</v>
      </c>
      <c r="F1212" s="360">
        <v>28104</v>
      </c>
      <c r="G1212" s="362">
        <v>56118</v>
      </c>
      <c r="H1212" s="362">
        <v>28014</v>
      </c>
      <c r="I1212" s="362">
        <v>28014</v>
      </c>
    </row>
    <row r="1213" spans="1:9" x14ac:dyDescent="0.2">
      <c r="A1213" s="349" t="s">
        <v>341</v>
      </c>
      <c r="B1213" s="359">
        <v>4192</v>
      </c>
      <c r="C1213" s="349" t="s">
        <v>3172</v>
      </c>
      <c r="D1213" s="349" t="s">
        <v>3173</v>
      </c>
      <c r="E1213" s="360">
        <v>1095</v>
      </c>
      <c r="F1213" s="360">
        <v>6281.67</v>
      </c>
      <c r="G1213" s="362">
        <v>13641.67</v>
      </c>
      <c r="H1213" s="362">
        <v>7360</v>
      </c>
      <c r="I1213" s="362">
        <v>8455</v>
      </c>
    </row>
    <row r="1214" spans="1:9" x14ac:dyDescent="0.2">
      <c r="A1214" s="349" t="s">
        <v>341</v>
      </c>
      <c r="B1214" s="359">
        <v>3559</v>
      </c>
      <c r="C1214" s="349" t="s">
        <v>3174</v>
      </c>
      <c r="D1214" s="349" t="s">
        <v>3175</v>
      </c>
      <c r="E1214" s="363">
        <v>0</v>
      </c>
      <c r="F1214" s="360">
        <v>18969.759999999998</v>
      </c>
      <c r="G1214" s="362">
        <v>18969.759999999998</v>
      </c>
      <c r="H1214" s="361">
        <v>0</v>
      </c>
      <c r="I1214" s="361">
        <v>0</v>
      </c>
    </row>
    <row r="1215" spans="1:9" x14ac:dyDescent="0.2">
      <c r="A1215" s="349" t="s">
        <v>341</v>
      </c>
      <c r="B1215" s="359">
        <v>3577</v>
      </c>
      <c r="C1215" s="349" t="s">
        <v>3176</v>
      </c>
      <c r="D1215" s="349" t="s">
        <v>3177</v>
      </c>
      <c r="E1215" s="363">
        <v>0</v>
      </c>
      <c r="F1215" s="360">
        <v>27720.29</v>
      </c>
      <c r="G1215" s="362">
        <v>27720.29</v>
      </c>
      <c r="H1215" s="361">
        <v>0</v>
      </c>
      <c r="I1215" s="361">
        <v>0</v>
      </c>
    </row>
    <row r="1216" spans="1:9" x14ac:dyDescent="0.2">
      <c r="A1216" s="349" t="s">
        <v>341</v>
      </c>
      <c r="B1216" s="359">
        <v>53136</v>
      </c>
      <c r="C1216" s="349" t="s">
        <v>3178</v>
      </c>
      <c r="D1216" s="349" t="s">
        <v>3179</v>
      </c>
      <c r="E1216" s="360">
        <v>8500</v>
      </c>
      <c r="F1216" s="360">
        <v>13500</v>
      </c>
      <c r="G1216" s="362">
        <v>13500</v>
      </c>
      <c r="H1216" s="361">
        <v>0</v>
      </c>
      <c r="I1216" s="362">
        <v>8500</v>
      </c>
    </row>
    <row r="1217" spans="1:9" x14ac:dyDescent="0.2">
      <c r="A1217" s="349" t="s">
        <v>341</v>
      </c>
      <c r="B1217" s="359">
        <v>53028</v>
      </c>
      <c r="C1217" s="349" t="s">
        <v>3180</v>
      </c>
      <c r="D1217" s="349" t="s">
        <v>3181</v>
      </c>
      <c r="E1217" s="363">
        <v>0</v>
      </c>
      <c r="F1217" s="360">
        <v>1260</v>
      </c>
      <c r="G1217" s="362">
        <v>1260</v>
      </c>
      <c r="H1217" s="361">
        <v>0</v>
      </c>
      <c r="I1217" s="361">
        <v>0</v>
      </c>
    </row>
    <row r="1218" spans="1:9" x14ac:dyDescent="0.2">
      <c r="A1218" s="349" t="s">
        <v>341</v>
      </c>
      <c r="B1218" s="359">
        <v>53058</v>
      </c>
      <c r="C1218" s="349" t="s">
        <v>3182</v>
      </c>
      <c r="D1218" s="349" t="s">
        <v>3183</v>
      </c>
      <c r="E1218" s="363">
        <v>0</v>
      </c>
      <c r="F1218" s="360">
        <v>2639.06</v>
      </c>
      <c r="G1218" s="362">
        <v>2639.06</v>
      </c>
      <c r="H1218" s="361">
        <v>0</v>
      </c>
      <c r="I1218" s="361">
        <v>0</v>
      </c>
    </row>
    <row r="1219" spans="1:9" x14ac:dyDescent="0.2">
      <c r="A1219" s="349" t="s">
        <v>341</v>
      </c>
      <c r="B1219" s="359">
        <v>53017</v>
      </c>
      <c r="C1219" s="349" t="s">
        <v>3184</v>
      </c>
      <c r="D1219" s="349" t="s">
        <v>3185</v>
      </c>
      <c r="E1219" s="363">
        <v>0</v>
      </c>
      <c r="F1219" s="363">
        <v>0</v>
      </c>
      <c r="G1219" s="362">
        <v>13190</v>
      </c>
      <c r="H1219" s="362">
        <v>13190</v>
      </c>
      <c r="I1219" s="362">
        <v>13190</v>
      </c>
    </row>
    <row r="1220" spans="1:9" x14ac:dyDescent="0.2">
      <c r="A1220" s="349" t="s">
        <v>341</v>
      </c>
      <c r="B1220" s="359">
        <v>53192</v>
      </c>
      <c r="C1220" s="349" t="s">
        <v>3186</v>
      </c>
      <c r="D1220" s="349" t="s">
        <v>3187</v>
      </c>
      <c r="E1220" s="363">
        <v>0</v>
      </c>
      <c r="F1220" s="360">
        <v>3515.29</v>
      </c>
      <c r="G1220" s="362">
        <v>3515.29</v>
      </c>
      <c r="H1220" s="361">
        <v>0</v>
      </c>
      <c r="I1220" s="361">
        <v>0</v>
      </c>
    </row>
    <row r="1221" spans="1:9" x14ac:dyDescent="0.2">
      <c r="A1221" s="349" t="s">
        <v>341</v>
      </c>
      <c r="B1221" s="359">
        <v>53194</v>
      </c>
      <c r="C1221" s="349" t="s">
        <v>3188</v>
      </c>
      <c r="D1221" s="349" t="s">
        <v>3189</v>
      </c>
      <c r="E1221" s="363">
        <v>339.19</v>
      </c>
      <c r="F1221" s="363">
        <v>339.19</v>
      </c>
      <c r="G1221" s="361">
        <v>0</v>
      </c>
      <c r="H1221" s="361">
        <v>-339.19</v>
      </c>
      <c r="I1221" s="361">
        <v>0</v>
      </c>
    </row>
    <row r="1222" spans="1:9" x14ac:dyDescent="0.2">
      <c r="A1222" s="349" t="s">
        <v>341</v>
      </c>
      <c r="B1222" s="359">
        <v>52321</v>
      </c>
      <c r="C1222" s="349" t="s">
        <v>3190</v>
      </c>
      <c r="D1222" s="349" t="s">
        <v>3191</v>
      </c>
      <c r="E1222" s="363">
        <v>0</v>
      </c>
      <c r="F1222" s="363">
        <v>128.66999999999999</v>
      </c>
      <c r="G1222" s="361">
        <v>128.66999999999999</v>
      </c>
      <c r="H1222" s="361">
        <v>0</v>
      </c>
      <c r="I1222" s="361">
        <v>0</v>
      </c>
    </row>
    <row r="1223" spans="1:9" x14ac:dyDescent="0.2">
      <c r="A1223" s="349" t="s">
        <v>341</v>
      </c>
      <c r="B1223" s="359">
        <v>51082</v>
      </c>
      <c r="C1223" s="349" t="s">
        <v>3192</v>
      </c>
      <c r="D1223" s="349" t="s">
        <v>3193</v>
      </c>
      <c r="E1223" s="363">
        <v>63.9</v>
      </c>
      <c r="F1223" s="363">
        <v>0</v>
      </c>
      <c r="G1223" s="361">
        <v>0</v>
      </c>
      <c r="H1223" s="361">
        <v>0</v>
      </c>
      <c r="I1223" s="361">
        <v>63.9</v>
      </c>
    </row>
    <row r="1224" spans="1:9" x14ac:dyDescent="0.2">
      <c r="A1224" s="349" t="s">
        <v>341</v>
      </c>
      <c r="B1224" s="359">
        <v>3950</v>
      </c>
      <c r="C1224" s="349" t="s">
        <v>3194</v>
      </c>
      <c r="D1224" s="349" t="s">
        <v>3195</v>
      </c>
      <c r="E1224" s="363">
        <v>0</v>
      </c>
      <c r="F1224" s="363">
        <v>800</v>
      </c>
      <c r="G1224" s="361">
        <v>800</v>
      </c>
      <c r="H1224" s="361">
        <v>0</v>
      </c>
      <c r="I1224" s="361">
        <v>0</v>
      </c>
    </row>
    <row r="1225" spans="1:9" x14ac:dyDescent="0.2">
      <c r="A1225" s="349" t="s">
        <v>341</v>
      </c>
      <c r="B1225" s="359">
        <v>53298</v>
      </c>
      <c r="C1225" s="349" t="s">
        <v>3196</v>
      </c>
      <c r="D1225" s="349" t="s">
        <v>3197</v>
      </c>
      <c r="E1225" s="363">
        <v>0</v>
      </c>
      <c r="F1225" s="363">
        <v>0</v>
      </c>
      <c r="G1225" s="362">
        <v>40234.71</v>
      </c>
      <c r="H1225" s="362">
        <v>40234.71</v>
      </c>
      <c r="I1225" s="362">
        <v>40234.71</v>
      </c>
    </row>
    <row r="1226" spans="1:9" x14ac:dyDescent="0.2">
      <c r="A1226" s="349" t="s">
        <v>341</v>
      </c>
      <c r="B1226" s="359">
        <v>53299</v>
      </c>
      <c r="C1226" s="349" t="s">
        <v>3198</v>
      </c>
      <c r="D1226" s="349" t="s">
        <v>3199</v>
      </c>
      <c r="E1226" s="363">
        <v>0</v>
      </c>
      <c r="F1226" s="363">
        <v>760.18</v>
      </c>
      <c r="G1226" s="361">
        <v>760.18</v>
      </c>
      <c r="H1226" s="361">
        <v>0</v>
      </c>
      <c r="I1226" s="361">
        <v>0</v>
      </c>
    </row>
    <row r="1227" spans="1:9" x14ac:dyDescent="0.2">
      <c r="A1227" s="349" t="s">
        <v>341</v>
      </c>
      <c r="B1227" s="359">
        <v>53331</v>
      </c>
      <c r="C1227" s="349" t="s">
        <v>3200</v>
      </c>
      <c r="D1227" s="349" t="s">
        <v>3201</v>
      </c>
      <c r="E1227" s="363">
        <v>0</v>
      </c>
      <c r="F1227" s="360">
        <v>8960</v>
      </c>
      <c r="G1227" s="362">
        <v>8960</v>
      </c>
      <c r="H1227" s="361">
        <v>0</v>
      </c>
      <c r="I1227" s="361">
        <v>0</v>
      </c>
    </row>
    <row r="1228" spans="1:9" x14ac:dyDescent="0.2">
      <c r="A1228" s="349" t="s">
        <v>341</v>
      </c>
      <c r="B1228" s="359">
        <v>53339</v>
      </c>
      <c r="C1228" s="349" t="s">
        <v>3202</v>
      </c>
      <c r="D1228" s="349" t="s">
        <v>3203</v>
      </c>
      <c r="E1228" s="360">
        <v>1209</v>
      </c>
      <c r="F1228" s="360">
        <v>1209</v>
      </c>
      <c r="G1228" s="361">
        <v>0</v>
      </c>
      <c r="H1228" s="362">
        <v>-1209</v>
      </c>
      <c r="I1228" s="361">
        <v>0</v>
      </c>
    </row>
    <row r="1229" spans="1:9" x14ac:dyDescent="0.2">
      <c r="A1229" s="349" t="s">
        <v>341</v>
      </c>
      <c r="B1229" s="359">
        <v>53353</v>
      </c>
      <c r="C1229" s="349" t="s">
        <v>3204</v>
      </c>
      <c r="D1229" s="349" t="s">
        <v>3205</v>
      </c>
      <c r="E1229" s="363">
        <v>0</v>
      </c>
      <c r="F1229" s="360">
        <v>3000</v>
      </c>
      <c r="G1229" s="362">
        <v>11000</v>
      </c>
      <c r="H1229" s="362">
        <v>8000</v>
      </c>
      <c r="I1229" s="362">
        <v>8000</v>
      </c>
    </row>
    <row r="1230" spans="1:9" x14ac:dyDescent="0.2">
      <c r="A1230" s="349" t="s">
        <v>341</v>
      </c>
      <c r="B1230" s="359">
        <v>53355</v>
      </c>
      <c r="C1230" s="349" t="s">
        <v>3206</v>
      </c>
      <c r="D1230" s="349" t="s">
        <v>3207</v>
      </c>
      <c r="E1230" s="363">
        <v>0</v>
      </c>
      <c r="F1230" s="360">
        <v>2305.5</v>
      </c>
      <c r="G1230" s="362">
        <v>2305.5</v>
      </c>
      <c r="H1230" s="361">
        <v>0</v>
      </c>
      <c r="I1230" s="361">
        <v>0</v>
      </c>
    </row>
    <row r="1231" spans="1:9" x14ac:dyDescent="0.2">
      <c r="A1231" s="349" t="s">
        <v>341</v>
      </c>
      <c r="B1231" s="359">
        <v>53359</v>
      </c>
      <c r="C1231" s="349" t="s">
        <v>3208</v>
      </c>
      <c r="D1231" s="349" t="s">
        <v>3209</v>
      </c>
      <c r="E1231" s="360">
        <v>5057.8500000000004</v>
      </c>
      <c r="F1231" s="360">
        <v>5057.8500000000004</v>
      </c>
      <c r="G1231" s="361">
        <v>0</v>
      </c>
      <c r="H1231" s="362">
        <v>-5057.8500000000004</v>
      </c>
      <c r="I1231" s="361">
        <v>0</v>
      </c>
    </row>
    <row r="1232" spans="1:9" x14ac:dyDescent="0.2">
      <c r="A1232" s="349" t="s">
        <v>341</v>
      </c>
      <c r="B1232" s="359">
        <v>53364</v>
      </c>
      <c r="C1232" s="349" t="s">
        <v>3210</v>
      </c>
      <c r="D1232" s="349" t="s">
        <v>3211</v>
      </c>
      <c r="E1232" s="360">
        <v>386103.78</v>
      </c>
      <c r="F1232" s="360">
        <v>29508.69</v>
      </c>
      <c r="G1232" s="361">
        <v>0</v>
      </c>
      <c r="H1232" s="362">
        <v>-29508.69</v>
      </c>
      <c r="I1232" s="362">
        <v>356595.09</v>
      </c>
    </row>
    <row r="1233" spans="1:9" x14ac:dyDescent="0.2">
      <c r="A1233" s="349" t="s">
        <v>341</v>
      </c>
      <c r="B1233" s="359">
        <v>53369</v>
      </c>
      <c r="C1233" s="349" t="s">
        <v>3212</v>
      </c>
      <c r="D1233" s="349" t="s">
        <v>3213</v>
      </c>
      <c r="E1233" s="360">
        <v>1862.4</v>
      </c>
      <c r="F1233" s="360">
        <v>1862.4</v>
      </c>
      <c r="G1233" s="361">
        <v>0</v>
      </c>
      <c r="H1233" s="362">
        <v>-1862.4</v>
      </c>
      <c r="I1233" s="361">
        <v>0</v>
      </c>
    </row>
    <row r="1234" spans="1:9" x14ac:dyDescent="0.2">
      <c r="A1234" s="349" t="s">
        <v>341</v>
      </c>
      <c r="B1234" s="359">
        <v>53373</v>
      </c>
      <c r="C1234" s="349" t="s">
        <v>3214</v>
      </c>
      <c r="D1234" s="349" t="s">
        <v>3215</v>
      </c>
      <c r="E1234" s="360">
        <v>2003.1</v>
      </c>
      <c r="F1234" s="360">
        <v>2003.1</v>
      </c>
      <c r="G1234" s="361">
        <v>0</v>
      </c>
      <c r="H1234" s="362">
        <v>-2003.1</v>
      </c>
      <c r="I1234" s="361">
        <v>0</v>
      </c>
    </row>
    <row r="1235" spans="1:9" x14ac:dyDescent="0.2">
      <c r="A1235" s="349" t="s">
        <v>341</v>
      </c>
      <c r="B1235" s="359">
        <v>53383</v>
      </c>
      <c r="C1235" s="349" t="s">
        <v>3216</v>
      </c>
      <c r="D1235" s="349" t="s">
        <v>3217</v>
      </c>
      <c r="E1235" s="360">
        <v>5972.25</v>
      </c>
      <c r="F1235" s="360">
        <v>6021.25</v>
      </c>
      <c r="G1235" s="362">
        <v>4851.8599999999997</v>
      </c>
      <c r="H1235" s="362">
        <v>-1169.3900000000001</v>
      </c>
      <c r="I1235" s="362">
        <v>4802.8599999999997</v>
      </c>
    </row>
    <row r="1236" spans="1:9" x14ac:dyDescent="0.2">
      <c r="A1236" s="349" t="s">
        <v>341</v>
      </c>
      <c r="B1236" s="359">
        <v>53388</v>
      </c>
      <c r="C1236" s="349" t="s">
        <v>3218</v>
      </c>
      <c r="D1236" s="349" t="s">
        <v>3219</v>
      </c>
      <c r="E1236" s="360">
        <v>4000</v>
      </c>
      <c r="F1236" s="360">
        <v>4000</v>
      </c>
      <c r="G1236" s="361">
        <v>0</v>
      </c>
      <c r="H1236" s="362">
        <v>-4000</v>
      </c>
      <c r="I1236" s="361">
        <v>0</v>
      </c>
    </row>
    <row r="1237" spans="1:9" x14ac:dyDescent="0.2">
      <c r="A1237" s="349" t="s">
        <v>341</v>
      </c>
      <c r="B1237" s="359">
        <v>53421</v>
      </c>
      <c r="C1237" s="349" t="s">
        <v>3220</v>
      </c>
      <c r="D1237" s="349" t="s">
        <v>3221</v>
      </c>
      <c r="E1237" s="363">
        <v>486</v>
      </c>
      <c r="F1237" s="360">
        <v>2316</v>
      </c>
      <c r="G1237" s="362">
        <v>4505.5</v>
      </c>
      <c r="H1237" s="362">
        <v>2189.5</v>
      </c>
      <c r="I1237" s="362">
        <v>2675.5</v>
      </c>
    </row>
    <row r="1238" spans="1:9" x14ac:dyDescent="0.2">
      <c r="A1238" s="349" t="s">
        <v>341</v>
      </c>
      <c r="B1238" s="359">
        <v>53478</v>
      </c>
      <c r="C1238" s="349" t="s">
        <v>3222</v>
      </c>
      <c r="D1238" s="349" t="s">
        <v>667</v>
      </c>
      <c r="E1238" s="360">
        <v>1923.53</v>
      </c>
      <c r="F1238" s="360">
        <v>8977.1299999999992</v>
      </c>
      <c r="G1238" s="362">
        <v>7710.06</v>
      </c>
      <c r="H1238" s="362">
        <v>-1267.07</v>
      </c>
      <c r="I1238" s="361">
        <v>656.46</v>
      </c>
    </row>
    <row r="1239" spans="1:9" x14ac:dyDescent="0.2">
      <c r="A1239" s="349" t="s">
        <v>341</v>
      </c>
      <c r="B1239" s="359">
        <v>53479</v>
      </c>
      <c r="C1239" s="349" t="s">
        <v>3223</v>
      </c>
      <c r="D1239" s="349" t="s">
        <v>3224</v>
      </c>
      <c r="E1239" s="363">
        <v>0</v>
      </c>
      <c r="F1239" s="360">
        <v>1407.75</v>
      </c>
      <c r="G1239" s="362">
        <v>1407.75</v>
      </c>
      <c r="H1239" s="361">
        <v>0</v>
      </c>
      <c r="I1239" s="361">
        <v>0</v>
      </c>
    </row>
    <row r="1240" spans="1:9" x14ac:dyDescent="0.2">
      <c r="A1240" s="349" t="s">
        <v>341</v>
      </c>
      <c r="B1240" s="359">
        <v>53490</v>
      </c>
      <c r="C1240" s="349" t="s">
        <v>3225</v>
      </c>
      <c r="D1240" s="349" t="s">
        <v>3226</v>
      </c>
      <c r="E1240" s="363">
        <v>0</v>
      </c>
      <c r="F1240" s="360">
        <v>1124.8</v>
      </c>
      <c r="G1240" s="362">
        <v>1124.8</v>
      </c>
      <c r="H1240" s="361">
        <v>0</v>
      </c>
      <c r="I1240" s="361">
        <v>0</v>
      </c>
    </row>
    <row r="1241" spans="1:9" x14ac:dyDescent="0.2">
      <c r="A1241" s="349" t="s">
        <v>341</v>
      </c>
      <c r="B1241" s="359">
        <v>53494</v>
      </c>
      <c r="C1241" s="349" t="s">
        <v>3227</v>
      </c>
      <c r="D1241" s="349" t="s">
        <v>3228</v>
      </c>
      <c r="E1241" s="363">
        <v>778.57</v>
      </c>
      <c r="F1241" s="360">
        <v>1139.72</v>
      </c>
      <c r="G1241" s="361">
        <v>769.5</v>
      </c>
      <c r="H1241" s="361">
        <v>-370.22</v>
      </c>
      <c r="I1241" s="361">
        <v>408.35</v>
      </c>
    </row>
    <row r="1242" spans="1:9" x14ac:dyDescent="0.2">
      <c r="A1242" s="349" t="s">
        <v>341</v>
      </c>
      <c r="B1242" s="359">
        <v>53497</v>
      </c>
      <c r="C1242" s="349" t="s">
        <v>3229</v>
      </c>
      <c r="D1242" s="349" t="s">
        <v>3230</v>
      </c>
      <c r="E1242" s="360">
        <v>1000</v>
      </c>
      <c r="F1242" s="360">
        <v>1000</v>
      </c>
      <c r="G1242" s="362">
        <v>1230</v>
      </c>
      <c r="H1242" s="361">
        <v>230</v>
      </c>
      <c r="I1242" s="362">
        <v>1230</v>
      </c>
    </row>
    <row r="1243" spans="1:9" x14ac:dyDescent="0.2">
      <c r="A1243" s="349" t="s">
        <v>341</v>
      </c>
      <c r="B1243" s="359">
        <v>53505</v>
      </c>
      <c r="C1243" s="349" t="s">
        <v>3231</v>
      </c>
      <c r="D1243" s="349" t="s">
        <v>3232</v>
      </c>
      <c r="E1243" s="363">
        <v>0</v>
      </c>
      <c r="F1243" s="360">
        <v>22433.9</v>
      </c>
      <c r="G1243" s="362">
        <v>22433.9</v>
      </c>
      <c r="H1243" s="361">
        <v>0</v>
      </c>
      <c r="I1243" s="361">
        <v>0</v>
      </c>
    </row>
    <row r="1244" spans="1:9" x14ac:dyDescent="0.2">
      <c r="A1244" s="349" t="s">
        <v>341</v>
      </c>
      <c r="B1244" s="359">
        <v>53535</v>
      </c>
      <c r="C1244" s="349" t="s">
        <v>3233</v>
      </c>
      <c r="D1244" s="349" t="s">
        <v>3234</v>
      </c>
      <c r="E1244" s="360">
        <v>180000</v>
      </c>
      <c r="F1244" s="360">
        <v>15000</v>
      </c>
      <c r="G1244" s="361">
        <v>0</v>
      </c>
      <c r="H1244" s="362">
        <v>-15000</v>
      </c>
      <c r="I1244" s="362">
        <v>165000</v>
      </c>
    </row>
    <row r="1245" spans="1:9" x14ac:dyDescent="0.2">
      <c r="A1245" s="349" t="s">
        <v>341</v>
      </c>
      <c r="B1245" s="359">
        <v>53536</v>
      </c>
      <c r="C1245" s="349" t="s">
        <v>3235</v>
      </c>
      <c r="D1245" s="349" t="s">
        <v>3236</v>
      </c>
      <c r="E1245" s="360">
        <v>180000</v>
      </c>
      <c r="F1245" s="360">
        <v>15000</v>
      </c>
      <c r="G1245" s="361">
        <v>0</v>
      </c>
      <c r="H1245" s="362">
        <v>-15000</v>
      </c>
      <c r="I1245" s="362">
        <v>165000</v>
      </c>
    </row>
    <row r="1246" spans="1:9" x14ac:dyDescent="0.2">
      <c r="A1246" s="349" t="s">
        <v>341</v>
      </c>
      <c r="B1246" s="359">
        <v>53537</v>
      </c>
      <c r="C1246" s="349" t="s">
        <v>3237</v>
      </c>
      <c r="D1246" s="349" t="s">
        <v>3238</v>
      </c>
      <c r="E1246" s="360">
        <v>180000</v>
      </c>
      <c r="F1246" s="360">
        <v>15000</v>
      </c>
      <c r="G1246" s="361">
        <v>0</v>
      </c>
      <c r="H1246" s="362">
        <v>-15000</v>
      </c>
      <c r="I1246" s="362">
        <v>165000</v>
      </c>
    </row>
    <row r="1247" spans="1:9" x14ac:dyDescent="0.2">
      <c r="A1247" s="349" t="s">
        <v>341</v>
      </c>
      <c r="B1247" s="359">
        <v>53538</v>
      </c>
      <c r="C1247" s="349" t="s">
        <v>3239</v>
      </c>
      <c r="D1247" s="349" t="s">
        <v>3240</v>
      </c>
      <c r="E1247" s="360">
        <v>60000</v>
      </c>
      <c r="F1247" s="360">
        <v>5000</v>
      </c>
      <c r="G1247" s="361">
        <v>0</v>
      </c>
      <c r="H1247" s="362">
        <v>-5000</v>
      </c>
      <c r="I1247" s="362">
        <v>55000</v>
      </c>
    </row>
    <row r="1248" spans="1:9" x14ac:dyDescent="0.2">
      <c r="A1248" s="349" t="s">
        <v>341</v>
      </c>
      <c r="B1248" s="359">
        <v>53561</v>
      </c>
      <c r="C1248" s="349" t="s">
        <v>3241</v>
      </c>
      <c r="D1248" s="349" t="s">
        <v>3242</v>
      </c>
      <c r="E1248" s="360">
        <v>1440.65</v>
      </c>
      <c r="F1248" s="363">
        <v>480.21</v>
      </c>
      <c r="G1248" s="361">
        <v>0</v>
      </c>
      <c r="H1248" s="361">
        <v>-480.21</v>
      </c>
      <c r="I1248" s="361">
        <v>960.44</v>
      </c>
    </row>
    <row r="1249" spans="1:9" x14ac:dyDescent="0.2">
      <c r="A1249" s="349" t="s">
        <v>341</v>
      </c>
      <c r="B1249" s="359">
        <v>53563</v>
      </c>
      <c r="C1249" s="349" t="s">
        <v>3243</v>
      </c>
      <c r="D1249" s="349" t="s">
        <v>3244</v>
      </c>
      <c r="E1249" s="360">
        <v>7600.44</v>
      </c>
      <c r="F1249" s="360">
        <v>5733.48</v>
      </c>
      <c r="G1249" s="362">
        <v>4800</v>
      </c>
      <c r="H1249" s="361">
        <v>-933.48</v>
      </c>
      <c r="I1249" s="362">
        <v>6666.96</v>
      </c>
    </row>
    <row r="1250" spans="1:9" x14ac:dyDescent="0.2">
      <c r="A1250" s="349" t="s">
        <v>341</v>
      </c>
      <c r="B1250" s="359">
        <v>53576</v>
      </c>
      <c r="C1250" s="349" t="s">
        <v>3245</v>
      </c>
      <c r="D1250" s="349" t="s">
        <v>3246</v>
      </c>
      <c r="E1250" s="360">
        <v>1638.91</v>
      </c>
      <c r="F1250" s="360">
        <v>2081.59</v>
      </c>
      <c r="G1250" s="361">
        <v>442.68</v>
      </c>
      <c r="H1250" s="362">
        <v>-1638.91</v>
      </c>
      <c r="I1250" s="361">
        <v>0</v>
      </c>
    </row>
    <row r="1251" spans="1:9" x14ac:dyDescent="0.2">
      <c r="A1251" s="349" t="s">
        <v>341</v>
      </c>
      <c r="B1251" s="359">
        <v>53581</v>
      </c>
      <c r="C1251" s="349" t="s">
        <v>3247</v>
      </c>
      <c r="D1251" s="349" t="s">
        <v>3248</v>
      </c>
      <c r="E1251" s="363">
        <v>700</v>
      </c>
      <c r="F1251" s="360">
        <v>2100</v>
      </c>
      <c r="G1251" s="362">
        <v>2800</v>
      </c>
      <c r="H1251" s="361">
        <v>700</v>
      </c>
      <c r="I1251" s="362">
        <v>1400</v>
      </c>
    </row>
    <row r="1252" spans="1:9" x14ac:dyDescent="0.2">
      <c r="A1252" s="349" t="s">
        <v>341</v>
      </c>
      <c r="B1252" s="359">
        <v>53584</v>
      </c>
      <c r="C1252" s="349" t="s">
        <v>3249</v>
      </c>
      <c r="D1252" s="349" t="s">
        <v>3250</v>
      </c>
      <c r="E1252" s="360">
        <v>3064.16</v>
      </c>
      <c r="F1252" s="360">
        <v>3064.16</v>
      </c>
      <c r="G1252" s="362">
        <v>2500</v>
      </c>
      <c r="H1252" s="361">
        <v>-564.16</v>
      </c>
      <c r="I1252" s="362">
        <v>2500</v>
      </c>
    </row>
    <row r="1253" spans="1:9" x14ac:dyDescent="0.2">
      <c r="A1253" s="349" t="s">
        <v>341</v>
      </c>
      <c r="B1253" s="359">
        <v>53587</v>
      </c>
      <c r="C1253" s="349" t="s">
        <v>3251</v>
      </c>
      <c r="D1253" s="349" t="s">
        <v>3252</v>
      </c>
      <c r="E1253" s="360">
        <v>2265</v>
      </c>
      <c r="F1253" s="360">
        <v>2265</v>
      </c>
      <c r="G1253" s="361">
        <v>0</v>
      </c>
      <c r="H1253" s="362">
        <v>-2265</v>
      </c>
      <c r="I1253" s="361">
        <v>0</v>
      </c>
    </row>
    <row r="1254" spans="1:9" x14ac:dyDescent="0.2">
      <c r="A1254" s="349" t="s">
        <v>341</v>
      </c>
      <c r="B1254" s="359">
        <v>53590</v>
      </c>
      <c r="C1254" s="349" t="s">
        <v>3253</v>
      </c>
      <c r="D1254" s="349" t="s">
        <v>3254</v>
      </c>
      <c r="E1254" s="363">
        <v>0</v>
      </c>
      <c r="F1254" s="360">
        <v>22144.97</v>
      </c>
      <c r="G1254" s="362">
        <v>22144.97</v>
      </c>
      <c r="H1254" s="361">
        <v>0</v>
      </c>
      <c r="I1254" s="361">
        <v>0</v>
      </c>
    </row>
    <row r="1255" spans="1:9" x14ac:dyDescent="0.2">
      <c r="A1255" s="349" t="s">
        <v>341</v>
      </c>
      <c r="B1255" s="359">
        <v>4038</v>
      </c>
      <c r="C1255" s="349" t="s">
        <v>3255</v>
      </c>
      <c r="D1255" s="349" t="s">
        <v>3256</v>
      </c>
      <c r="E1255" s="360">
        <v>1500</v>
      </c>
      <c r="F1255" s="360">
        <v>3000</v>
      </c>
      <c r="G1255" s="362">
        <v>1500</v>
      </c>
      <c r="H1255" s="362">
        <v>-1500</v>
      </c>
      <c r="I1255" s="361">
        <v>0</v>
      </c>
    </row>
    <row r="1256" spans="1:9" x14ac:dyDescent="0.2">
      <c r="A1256" s="349" t="s">
        <v>341</v>
      </c>
      <c r="B1256" s="359">
        <v>53599</v>
      </c>
      <c r="C1256" s="349" t="s">
        <v>3257</v>
      </c>
      <c r="D1256" s="349" t="s">
        <v>3258</v>
      </c>
      <c r="E1256" s="360">
        <v>255000</v>
      </c>
      <c r="F1256" s="360">
        <v>15000</v>
      </c>
      <c r="G1256" s="361">
        <v>0</v>
      </c>
      <c r="H1256" s="362">
        <v>-15000</v>
      </c>
      <c r="I1256" s="362">
        <v>240000</v>
      </c>
    </row>
    <row r="1257" spans="1:9" x14ac:dyDescent="0.2">
      <c r="A1257" s="349" t="s">
        <v>341</v>
      </c>
      <c r="B1257" s="359">
        <v>53601</v>
      </c>
      <c r="C1257" s="349" t="s">
        <v>3259</v>
      </c>
      <c r="D1257" s="349" t="s">
        <v>3260</v>
      </c>
      <c r="E1257" s="363">
        <v>0</v>
      </c>
      <c r="F1257" s="363">
        <v>0</v>
      </c>
      <c r="G1257" s="361">
        <v>123.8</v>
      </c>
      <c r="H1257" s="361">
        <v>123.8</v>
      </c>
      <c r="I1257" s="361">
        <v>123.8</v>
      </c>
    </row>
    <row r="1258" spans="1:9" x14ac:dyDescent="0.2">
      <c r="A1258" s="349" t="s">
        <v>341</v>
      </c>
      <c r="B1258" s="359">
        <v>53699</v>
      </c>
      <c r="C1258" s="349" t="s">
        <v>3261</v>
      </c>
      <c r="D1258" s="349" t="s">
        <v>3262</v>
      </c>
      <c r="E1258" s="360">
        <v>1425</v>
      </c>
      <c r="F1258" s="360">
        <v>1425</v>
      </c>
      <c r="G1258" s="361">
        <v>0</v>
      </c>
      <c r="H1258" s="362">
        <v>-1425</v>
      </c>
      <c r="I1258" s="361">
        <v>0</v>
      </c>
    </row>
    <row r="1259" spans="1:9" x14ac:dyDescent="0.2">
      <c r="A1259" s="349" t="s">
        <v>341</v>
      </c>
      <c r="B1259" s="359">
        <v>53708</v>
      </c>
      <c r="C1259" s="349" t="s">
        <v>3263</v>
      </c>
      <c r="D1259" s="349" t="s">
        <v>3264</v>
      </c>
      <c r="E1259" s="363">
        <v>0</v>
      </c>
      <c r="F1259" s="360">
        <v>39000</v>
      </c>
      <c r="G1259" s="362">
        <v>51469.2</v>
      </c>
      <c r="H1259" s="362">
        <v>12469.2</v>
      </c>
      <c r="I1259" s="362">
        <v>12469.2</v>
      </c>
    </row>
    <row r="1260" spans="1:9" x14ac:dyDescent="0.2">
      <c r="A1260" s="349" t="s">
        <v>341</v>
      </c>
      <c r="B1260" s="359">
        <v>53709</v>
      </c>
      <c r="C1260" s="349" t="s">
        <v>3265</v>
      </c>
      <c r="D1260" s="349" t="s">
        <v>3266</v>
      </c>
      <c r="E1260" s="363">
        <v>0</v>
      </c>
      <c r="F1260" s="360">
        <v>16931.099999999999</v>
      </c>
      <c r="G1260" s="362">
        <v>16931.099999999999</v>
      </c>
      <c r="H1260" s="361">
        <v>0</v>
      </c>
      <c r="I1260" s="361">
        <v>0</v>
      </c>
    </row>
    <row r="1261" spans="1:9" x14ac:dyDescent="0.2">
      <c r="A1261" s="349" t="s">
        <v>341</v>
      </c>
      <c r="B1261" s="359">
        <v>53714</v>
      </c>
      <c r="C1261" s="349" t="s">
        <v>3267</v>
      </c>
      <c r="D1261" s="349" t="s">
        <v>3268</v>
      </c>
      <c r="E1261" s="363">
        <v>0</v>
      </c>
      <c r="F1261" s="360">
        <v>96341.27</v>
      </c>
      <c r="G1261" s="362">
        <v>481706.35</v>
      </c>
      <c r="H1261" s="362">
        <v>385365.08</v>
      </c>
      <c r="I1261" s="362">
        <v>385365.08</v>
      </c>
    </row>
    <row r="1262" spans="1:9" x14ac:dyDescent="0.2">
      <c r="A1262" s="349" t="s">
        <v>341</v>
      </c>
      <c r="B1262" s="359">
        <v>52705</v>
      </c>
      <c r="C1262" s="349" t="s">
        <v>3269</v>
      </c>
      <c r="D1262" s="349" t="s">
        <v>3270</v>
      </c>
      <c r="E1262" s="363">
        <v>0</v>
      </c>
      <c r="F1262" s="363">
        <v>0</v>
      </c>
      <c r="G1262" s="362">
        <v>1405</v>
      </c>
      <c r="H1262" s="362">
        <v>1405</v>
      </c>
      <c r="I1262" s="362">
        <v>1405</v>
      </c>
    </row>
    <row r="1263" spans="1:9" x14ac:dyDescent="0.2">
      <c r="A1263" s="349" t="s">
        <v>341</v>
      </c>
      <c r="B1263" s="359">
        <v>53726</v>
      </c>
      <c r="C1263" s="349" t="s">
        <v>3271</v>
      </c>
      <c r="D1263" s="349" t="s">
        <v>3272</v>
      </c>
      <c r="E1263" s="363">
        <v>0</v>
      </c>
      <c r="F1263" s="363">
        <v>0</v>
      </c>
      <c r="G1263" s="362">
        <v>3400</v>
      </c>
      <c r="H1263" s="362">
        <v>3400</v>
      </c>
      <c r="I1263" s="362">
        <v>3400</v>
      </c>
    </row>
    <row r="1264" spans="1:9" x14ac:dyDescent="0.2">
      <c r="A1264" s="349" t="s">
        <v>341</v>
      </c>
      <c r="B1264" s="359">
        <v>53729</v>
      </c>
      <c r="C1264" s="349" t="s">
        <v>3273</v>
      </c>
      <c r="D1264" s="349" t="s">
        <v>3274</v>
      </c>
      <c r="E1264" s="363">
        <v>0</v>
      </c>
      <c r="F1264" s="360">
        <v>18000</v>
      </c>
      <c r="G1264" s="362">
        <v>18000</v>
      </c>
      <c r="H1264" s="361">
        <v>0</v>
      </c>
      <c r="I1264" s="361">
        <v>0</v>
      </c>
    </row>
    <row r="1265" spans="1:9" x14ac:dyDescent="0.2">
      <c r="A1265" s="349" t="s">
        <v>341</v>
      </c>
      <c r="B1265" s="359">
        <v>53733</v>
      </c>
      <c r="C1265" s="349" t="s">
        <v>3275</v>
      </c>
      <c r="D1265" s="349" t="s">
        <v>3276</v>
      </c>
      <c r="E1265" s="363">
        <v>0</v>
      </c>
      <c r="F1265" s="363">
        <v>0</v>
      </c>
      <c r="G1265" s="362">
        <v>6454.9</v>
      </c>
      <c r="H1265" s="362">
        <v>6454.9</v>
      </c>
      <c r="I1265" s="362">
        <v>6454.9</v>
      </c>
    </row>
    <row r="1266" spans="1:9" x14ac:dyDescent="0.2">
      <c r="A1266" s="349" t="s">
        <v>341</v>
      </c>
      <c r="B1266" s="359">
        <v>53734</v>
      </c>
      <c r="C1266" s="349" t="s">
        <v>3277</v>
      </c>
      <c r="D1266" s="349" t="s">
        <v>3278</v>
      </c>
      <c r="E1266" s="363">
        <v>0</v>
      </c>
      <c r="F1266" s="363">
        <v>0</v>
      </c>
      <c r="G1266" s="361">
        <v>910</v>
      </c>
      <c r="H1266" s="361">
        <v>910</v>
      </c>
      <c r="I1266" s="361">
        <v>910</v>
      </c>
    </row>
    <row r="1267" spans="1:9" x14ac:dyDescent="0.2">
      <c r="A1267" s="349" t="s">
        <v>341</v>
      </c>
      <c r="B1267" s="359">
        <v>53790</v>
      </c>
      <c r="C1267" s="349" t="s">
        <v>3279</v>
      </c>
      <c r="D1267" s="349" t="s">
        <v>3280</v>
      </c>
      <c r="E1267" s="363">
        <v>0</v>
      </c>
      <c r="F1267" s="363">
        <v>0</v>
      </c>
      <c r="G1267" s="362">
        <v>6813.75</v>
      </c>
      <c r="H1267" s="362">
        <v>6813.75</v>
      </c>
      <c r="I1267" s="362">
        <v>6813.75</v>
      </c>
    </row>
    <row r="1268" spans="1:9" x14ac:dyDescent="0.2">
      <c r="A1268" s="349" t="s">
        <v>341</v>
      </c>
      <c r="B1268" s="359">
        <v>53799</v>
      </c>
      <c r="C1268" s="349" t="s">
        <v>3281</v>
      </c>
      <c r="D1268" s="349" t="s">
        <v>3282</v>
      </c>
      <c r="E1268" s="363">
        <v>0</v>
      </c>
      <c r="F1268" s="363">
        <v>0</v>
      </c>
      <c r="G1268" s="362">
        <v>2318.88</v>
      </c>
      <c r="H1268" s="362">
        <v>2318.88</v>
      </c>
      <c r="I1268" s="362">
        <v>2318.88</v>
      </c>
    </row>
    <row r="1269" spans="1:9" x14ac:dyDescent="0.2">
      <c r="A1269" s="349" t="s">
        <v>341</v>
      </c>
      <c r="B1269" s="354">
        <v>51410</v>
      </c>
      <c r="C1269" s="355" t="s">
        <v>3283</v>
      </c>
      <c r="D1269" s="355" t="s">
        <v>3284</v>
      </c>
      <c r="E1269" s="356">
        <v>1700135.3</v>
      </c>
      <c r="F1269" s="356">
        <v>369556.44</v>
      </c>
      <c r="G1269" s="357">
        <v>5137.09</v>
      </c>
      <c r="H1269" s="357">
        <v>-364419.35</v>
      </c>
      <c r="I1269" s="357">
        <v>1335715.95</v>
      </c>
    </row>
    <row r="1270" spans="1:9" x14ac:dyDescent="0.2">
      <c r="A1270" s="349" t="s">
        <v>341</v>
      </c>
      <c r="B1270" s="359">
        <v>51411</v>
      </c>
      <c r="C1270" s="349" t="s">
        <v>3285</v>
      </c>
      <c r="D1270" s="349" t="s">
        <v>3284</v>
      </c>
      <c r="E1270" s="360">
        <v>1726830.49</v>
      </c>
      <c r="F1270" s="360">
        <v>369556.44</v>
      </c>
      <c r="G1270" s="361">
        <v>0</v>
      </c>
      <c r="H1270" s="362">
        <v>-369556.44</v>
      </c>
      <c r="I1270" s="362">
        <v>1357274.05</v>
      </c>
    </row>
    <row r="1271" spans="1:9" x14ac:dyDescent="0.2">
      <c r="A1271" s="349" t="s">
        <v>341</v>
      </c>
      <c r="B1271" s="359">
        <v>51543</v>
      </c>
      <c r="C1271" s="349" t="s">
        <v>3286</v>
      </c>
      <c r="D1271" s="349" t="s">
        <v>3287</v>
      </c>
      <c r="E1271" s="360">
        <v>-26695.19</v>
      </c>
      <c r="F1271" s="363">
        <v>0</v>
      </c>
      <c r="G1271" s="362">
        <v>5137.09</v>
      </c>
      <c r="H1271" s="362">
        <v>5137.09</v>
      </c>
      <c r="I1271" s="362">
        <v>-21558.1</v>
      </c>
    </row>
    <row r="1272" spans="1:9" x14ac:dyDescent="0.2">
      <c r="A1272" s="349" t="s">
        <v>341</v>
      </c>
      <c r="B1272" s="354">
        <v>40592</v>
      </c>
      <c r="C1272" s="355" t="s">
        <v>3288</v>
      </c>
      <c r="D1272" s="355" t="s">
        <v>3289</v>
      </c>
      <c r="E1272" s="356">
        <v>4470862.47</v>
      </c>
      <c r="F1272" s="356">
        <v>14746550.560000001</v>
      </c>
      <c r="G1272" s="357">
        <v>14679793.529999999</v>
      </c>
      <c r="H1272" s="357">
        <v>-66757.03</v>
      </c>
      <c r="I1272" s="357">
        <v>4404105.4400000004</v>
      </c>
    </row>
    <row r="1273" spans="1:9" x14ac:dyDescent="0.2">
      <c r="A1273" s="349" t="s">
        <v>341</v>
      </c>
      <c r="B1273" s="354">
        <v>4270</v>
      </c>
      <c r="C1273" s="355" t="s">
        <v>3290</v>
      </c>
      <c r="D1273" s="355" t="s">
        <v>3291</v>
      </c>
      <c r="E1273" s="356">
        <v>1299190.3700000001</v>
      </c>
      <c r="F1273" s="356">
        <v>14685599.08</v>
      </c>
      <c r="G1273" s="357">
        <v>14679793.529999999</v>
      </c>
      <c r="H1273" s="357">
        <v>-5805.55</v>
      </c>
      <c r="I1273" s="357">
        <v>1293384.82</v>
      </c>
    </row>
    <row r="1274" spans="1:9" x14ac:dyDescent="0.2">
      <c r="A1274" s="349" t="s">
        <v>341</v>
      </c>
      <c r="B1274" s="359">
        <v>4273</v>
      </c>
      <c r="C1274" s="349" t="s">
        <v>3292</v>
      </c>
      <c r="D1274" s="349" t="s">
        <v>3293</v>
      </c>
      <c r="E1274" s="360">
        <v>76111.42</v>
      </c>
      <c r="F1274" s="360">
        <v>76111.42</v>
      </c>
      <c r="G1274" s="362">
        <v>3232.14</v>
      </c>
      <c r="H1274" s="362">
        <v>-72879.28</v>
      </c>
      <c r="I1274" s="362">
        <v>3232.14</v>
      </c>
    </row>
    <row r="1275" spans="1:9" x14ac:dyDescent="0.2">
      <c r="A1275" s="349" t="s">
        <v>341</v>
      </c>
      <c r="B1275" s="359">
        <v>4281</v>
      </c>
      <c r="C1275" s="349" t="s">
        <v>3294</v>
      </c>
      <c r="D1275" s="349" t="s">
        <v>3295</v>
      </c>
      <c r="E1275" s="360">
        <v>55274.98</v>
      </c>
      <c r="F1275" s="360">
        <v>47750.06</v>
      </c>
      <c r="G1275" s="362">
        <v>41055</v>
      </c>
      <c r="H1275" s="362">
        <v>-6695.06</v>
      </c>
      <c r="I1275" s="362">
        <v>48579.92</v>
      </c>
    </row>
    <row r="1276" spans="1:9" x14ac:dyDescent="0.2">
      <c r="A1276" s="349" t="s">
        <v>341</v>
      </c>
      <c r="B1276" s="359">
        <v>4277</v>
      </c>
      <c r="C1276" s="349" t="s">
        <v>3296</v>
      </c>
      <c r="D1276" s="349" t="s">
        <v>3297</v>
      </c>
      <c r="E1276" s="360">
        <v>19654.189999999999</v>
      </c>
      <c r="F1276" s="360">
        <v>66749.039999999994</v>
      </c>
      <c r="G1276" s="362">
        <v>49847.37</v>
      </c>
      <c r="H1276" s="362">
        <v>-16901.669999999998</v>
      </c>
      <c r="I1276" s="362">
        <v>2752.52</v>
      </c>
    </row>
    <row r="1277" spans="1:9" x14ac:dyDescent="0.2">
      <c r="A1277" s="349" t="s">
        <v>341</v>
      </c>
      <c r="B1277" s="359">
        <v>4276</v>
      </c>
      <c r="C1277" s="349" t="s">
        <v>3298</v>
      </c>
      <c r="D1277" s="349" t="s">
        <v>3299</v>
      </c>
      <c r="E1277" s="360">
        <v>723044.76</v>
      </c>
      <c r="F1277" s="360">
        <v>227221.38</v>
      </c>
      <c r="G1277" s="362">
        <v>245903.34</v>
      </c>
      <c r="H1277" s="362">
        <v>18681.96</v>
      </c>
      <c r="I1277" s="362">
        <v>741726.71999999997</v>
      </c>
    </row>
    <row r="1278" spans="1:9" x14ac:dyDescent="0.2">
      <c r="A1278" s="349" t="s">
        <v>341</v>
      </c>
      <c r="B1278" s="359">
        <v>4275</v>
      </c>
      <c r="C1278" s="349" t="s">
        <v>3300</v>
      </c>
      <c r="D1278" s="349" t="s">
        <v>3301</v>
      </c>
      <c r="E1278" s="360">
        <v>21169.919999999998</v>
      </c>
      <c r="F1278" s="360">
        <v>27434.82</v>
      </c>
      <c r="G1278" s="362">
        <v>26155.24</v>
      </c>
      <c r="H1278" s="362">
        <v>-1279.58</v>
      </c>
      <c r="I1278" s="362">
        <v>19890.34</v>
      </c>
    </row>
    <row r="1279" spans="1:9" x14ac:dyDescent="0.2">
      <c r="A1279" s="349" t="s">
        <v>341</v>
      </c>
      <c r="B1279" s="359">
        <v>4235</v>
      </c>
      <c r="C1279" s="349" t="s">
        <v>3302</v>
      </c>
      <c r="D1279" s="349" t="s">
        <v>3303</v>
      </c>
      <c r="E1279" s="360">
        <v>386513.38</v>
      </c>
      <c r="F1279" s="360">
        <v>6000</v>
      </c>
      <c r="G1279" s="362">
        <v>23784.44</v>
      </c>
      <c r="H1279" s="362">
        <v>17784.439999999999</v>
      </c>
      <c r="I1279" s="362">
        <v>404297.82</v>
      </c>
    </row>
    <row r="1280" spans="1:9" x14ac:dyDescent="0.2">
      <c r="A1280" s="349" t="s">
        <v>341</v>
      </c>
      <c r="B1280" s="359">
        <v>32728</v>
      </c>
      <c r="C1280" s="349" t="s">
        <v>3304</v>
      </c>
      <c r="D1280" s="349" t="s">
        <v>3305</v>
      </c>
      <c r="E1280" s="360">
        <v>17421.72</v>
      </c>
      <c r="F1280" s="360">
        <v>14231470.359999999</v>
      </c>
      <c r="G1280" s="362">
        <v>14255454</v>
      </c>
      <c r="H1280" s="362">
        <v>23983.64</v>
      </c>
      <c r="I1280" s="362">
        <v>41405.360000000001</v>
      </c>
    </row>
    <row r="1281" spans="1:9" x14ac:dyDescent="0.2">
      <c r="A1281" s="349" t="s">
        <v>341</v>
      </c>
      <c r="B1281" s="359">
        <v>4258</v>
      </c>
      <c r="C1281" s="349" t="s">
        <v>3306</v>
      </c>
      <c r="D1281" s="349" t="s">
        <v>3307</v>
      </c>
      <c r="E1281" s="363">
        <v>0</v>
      </c>
      <c r="F1281" s="363">
        <v>0</v>
      </c>
      <c r="G1281" s="362">
        <v>31500</v>
      </c>
      <c r="H1281" s="362">
        <v>31500</v>
      </c>
      <c r="I1281" s="362">
        <v>31500</v>
      </c>
    </row>
    <row r="1282" spans="1:9" x14ac:dyDescent="0.2">
      <c r="A1282" s="349" t="s">
        <v>341</v>
      </c>
      <c r="B1282" s="359">
        <v>53413</v>
      </c>
      <c r="C1282" s="349" t="s">
        <v>3308</v>
      </c>
      <c r="D1282" s="349" t="s">
        <v>3309</v>
      </c>
      <c r="E1282" s="363">
        <v>0</v>
      </c>
      <c r="F1282" s="360">
        <v>2862</v>
      </c>
      <c r="G1282" s="362">
        <v>2862</v>
      </c>
      <c r="H1282" s="361">
        <v>0</v>
      </c>
      <c r="I1282" s="361">
        <v>0</v>
      </c>
    </row>
    <row r="1283" spans="1:9" x14ac:dyDescent="0.2">
      <c r="A1283" s="349" t="s">
        <v>341</v>
      </c>
      <c r="B1283" s="354">
        <v>53595</v>
      </c>
      <c r="C1283" s="355" t="s">
        <v>3310</v>
      </c>
      <c r="D1283" s="355" t="s">
        <v>3311</v>
      </c>
      <c r="E1283" s="356">
        <v>3171672.1</v>
      </c>
      <c r="F1283" s="356">
        <v>60951.48</v>
      </c>
      <c r="G1283" s="358">
        <v>0</v>
      </c>
      <c r="H1283" s="357">
        <v>-60951.48</v>
      </c>
      <c r="I1283" s="357">
        <v>3110720.62</v>
      </c>
    </row>
    <row r="1284" spans="1:9" x14ac:dyDescent="0.2">
      <c r="A1284" s="349" t="s">
        <v>341</v>
      </c>
      <c r="B1284" s="359">
        <v>53596</v>
      </c>
      <c r="C1284" s="349" t="s">
        <v>3312</v>
      </c>
      <c r="D1284" s="349" t="s">
        <v>3313</v>
      </c>
      <c r="E1284" s="360">
        <v>3171672.1</v>
      </c>
      <c r="F1284" s="360">
        <v>60951.48</v>
      </c>
      <c r="G1284" s="361">
        <v>0</v>
      </c>
      <c r="H1284" s="362">
        <v>-60951.48</v>
      </c>
      <c r="I1284" s="362">
        <v>3110720.62</v>
      </c>
    </row>
    <row r="1285" spans="1:9" x14ac:dyDescent="0.2">
      <c r="A1285" s="349" t="s">
        <v>341</v>
      </c>
      <c r="B1285" s="354">
        <v>4283</v>
      </c>
      <c r="C1285" s="355" t="s">
        <v>3314</v>
      </c>
      <c r="D1285" s="355" t="s">
        <v>3315</v>
      </c>
      <c r="E1285" s="356">
        <v>53318327.560000002</v>
      </c>
      <c r="F1285" s="356">
        <v>2553375.4900000002</v>
      </c>
      <c r="G1285" s="357">
        <v>11251622.01</v>
      </c>
      <c r="H1285" s="357">
        <v>8698246.5199999996</v>
      </c>
      <c r="I1285" s="357">
        <v>62016574.079999998</v>
      </c>
    </row>
    <row r="1286" spans="1:9" x14ac:dyDescent="0.2">
      <c r="A1286" s="349" t="s">
        <v>341</v>
      </c>
      <c r="B1286" s="354">
        <v>38373</v>
      </c>
      <c r="C1286" s="355" t="s">
        <v>3316</v>
      </c>
      <c r="D1286" s="355" t="s">
        <v>3317</v>
      </c>
      <c r="E1286" s="356">
        <v>669461.36</v>
      </c>
      <c r="F1286" s="364">
        <v>0</v>
      </c>
      <c r="G1286" s="358">
        <v>0</v>
      </c>
      <c r="H1286" s="358">
        <v>0</v>
      </c>
      <c r="I1286" s="357">
        <v>669461.36</v>
      </c>
    </row>
    <row r="1287" spans="1:9" x14ac:dyDescent="0.2">
      <c r="A1287" s="349" t="s">
        <v>341</v>
      </c>
      <c r="B1287" s="354">
        <v>38875</v>
      </c>
      <c r="C1287" s="355" t="s">
        <v>3318</v>
      </c>
      <c r="D1287" s="355" t="s">
        <v>3319</v>
      </c>
      <c r="E1287" s="356">
        <v>669461.36</v>
      </c>
      <c r="F1287" s="364">
        <v>0</v>
      </c>
      <c r="G1287" s="358">
        <v>0</v>
      </c>
      <c r="H1287" s="358">
        <v>0</v>
      </c>
      <c r="I1287" s="357">
        <v>669461.36</v>
      </c>
    </row>
    <row r="1288" spans="1:9" x14ac:dyDescent="0.2">
      <c r="A1288" s="349" t="s">
        <v>341</v>
      </c>
      <c r="B1288" s="359">
        <v>33455</v>
      </c>
      <c r="C1288" s="349" t="s">
        <v>3320</v>
      </c>
      <c r="D1288" s="349" t="s">
        <v>3321</v>
      </c>
      <c r="E1288" s="360">
        <v>134535.49</v>
      </c>
      <c r="F1288" s="363">
        <v>0</v>
      </c>
      <c r="G1288" s="361">
        <v>0</v>
      </c>
      <c r="H1288" s="361">
        <v>0</v>
      </c>
      <c r="I1288" s="362">
        <v>134535.49</v>
      </c>
    </row>
    <row r="1289" spans="1:9" x14ac:dyDescent="0.2">
      <c r="A1289" s="349" t="s">
        <v>341</v>
      </c>
      <c r="B1289" s="359">
        <v>32908</v>
      </c>
      <c r="C1289" s="349" t="s">
        <v>3322</v>
      </c>
      <c r="D1289" s="349" t="s">
        <v>3323</v>
      </c>
      <c r="E1289" s="360">
        <v>534925.87</v>
      </c>
      <c r="F1289" s="363">
        <v>0</v>
      </c>
      <c r="G1289" s="361">
        <v>0</v>
      </c>
      <c r="H1289" s="361">
        <v>0</v>
      </c>
      <c r="I1289" s="362">
        <v>534925.87</v>
      </c>
    </row>
    <row r="1290" spans="1:9" x14ac:dyDescent="0.2">
      <c r="A1290" s="349" t="s">
        <v>341</v>
      </c>
      <c r="B1290" s="354">
        <v>38372</v>
      </c>
      <c r="C1290" s="355" t="s">
        <v>3324</v>
      </c>
      <c r="D1290" s="355" t="s">
        <v>2423</v>
      </c>
      <c r="E1290" s="356">
        <v>36152650.649999999</v>
      </c>
      <c r="F1290" s="356">
        <v>2430932.33</v>
      </c>
      <c r="G1290" s="357">
        <v>11051622.01</v>
      </c>
      <c r="H1290" s="357">
        <v>8620689.6799999997</v>
      </c>
      <c r="I1290" s="357">
        <v>44773340.329999998</v>
      </c>
    </row>
    <row r="1291" spans="1:9" x14ac:dyDescent="0.2">
      <c r="A1291" s="349" t="s">
        <v>341</v>
      </c>
      <c r="B1291" s="354">
        <v>40742</v>
      </c>
      <c r="C1291" s="355" t="s">
        <v>3325</v>
      </c>
      <c r="D1291" s="355" t="s">
        <v>2423</v>
      </c>
      <c r="E1291" s="356">
        <v>50117668.579999998</v>
      </c>
      <c r="F1291" s="364">
        <v>0</v>
      </c>
      <c r="G1291" s="357">
        <v>11051622.01</v>
      </c>
      <c r="H1291" s="357">
        <v>11051622.01</v>
      </c>
      <c r="I1291" s="357">
        <v>61169290.590000004</v>
      </c>
    </row>
    <row r="1292" spans="1:9" x14ac:dyDescent="0.2">
      <c r="A1292" s="349" t="s">
        <v>341</v>
      </c>
      <c r="B1292" s="359">
        <v>38069</v>
      </c>
      <c r="C1292" s="349" t="s">
        <v>3326</v>
      </c>
      <c r="D1292" s="349" t="s">
        <v>3327</v>
      </c>
      <c r="E1292" s="360">
        <v>32152477.57</v>
      </c>
      <c r="F1292" s="363">
        <v>0</v>
      </c>
      <c r="G1292" s="361">
        <v>0</v>
      </c>
      <c r="H1292" s="361">
        <v>0</v>
      </c>
      <c r="I1292" s="362">
        <v>32152477.57</v>
      </c>
    </row>
    <row r="1293" spans="1:9" x14ac:dyDescent="0.2">
      <c r="A1293" s="349" t="s">
        <v>341</v>
      </c>
      <c r="B1293" s="359">
        <v>37695</v>
      </c>
      <c r="C1293" s="349" t="s">
        <v>3328</v>
      </c>
      <c r="D1293" s="349" t="s">
        <v>3329</v>
      </c>
      <c r="E1293" s="360">
        <v>9161794.25</v>
      </c>
      <c r="F1293" s="363">
        <v>0</v>
      </c>
      <c r="G1293" s="361">
        <v>0</v>
      </c>
      <c r="H1293" s="361">
        <v>0</v>
      </c>
      <c r="I1293" s="362">
        <v>9161794.25</v>
      </c>
    </row>
    <row r="1294" spans="1:9" x14ac:dyDescent="0.2">
      <c r="A1294" s="349" t="s">
        <v>341</v>
      </c>
      <c r="B1294" s="359">
        <v>37452</v>
      </c>
      <c r="C1294" s="349" t="s">
        <v>3330</v>
      </c>
      <c r="D1294" s="349" t="s">
        <v>3331</v>
      </c>
      <c r="E1294" s="363">
        <v>0</v>
      </c>
      <c r="F1294" s="363">
        <v>0</v>
      </c>
      <c r="G1294" s="362">
        <v>11051622.01</v>
      </c>
      <c r="H1294" s="362">
        <v>11051622.01</v>
      </c>
      <c r="I1294" s="362">
        <v>11051622.01</v>
      </c>
    </row>
    <row r="1295" spans="1:9" x14ac:dyDescent="0.2">
      <c r="A1295" s="349" t="s">
        <v>341</v>
      </c>
      <c r="B1295" s="359">
        <v>51497</v>
      </c>
      <c r="C1295" s="349" t="s">
        <v>3332</v>
      </c>
      <c r="D1295" s="349" t="s">
        <v>3333</v>
      </c>
      <c r="E1295" s="360">
        <v>8803396.7599999998</v>
      </c>
      <c r="F1295" s="363">
        <v>0</v>
      </c>
      <c r="G1295" s="361">
        <v>0</v>
      </c>
      <c r="H1295" s="361">
        <v>0</v>
      </c>
      <c r="I1295" s="362">
        <v>8803396.7599999998</v>
      </c>
    </row>
    <row r="1296" spans="1:9" x14ac:dyDescent="0.2">
      <c r="A1296" s="349" t="s">
        <v>341</v>
      </c>
      <c r="B1296" s="354">
        <v>38935</v>
      </c>
      <c r="C1296" s="355" t="s">
        <v>3334</v>
      </c>
      <c r="D1296" s="355" t="s">
        <v>3335</v>
      </c>
      <c r="E1296" s="356">
        <v>-14316387.810000001</v>
      </c>
      <c r="F1296" s="356">
        <v>2430932.33</v>
      </c>
      <c r="G1296" s="358">
        <v>0</v>
      </c>
      <c r="H1296" s="357">
        <v>-2430932.33</v>
      </c>
      <c r="I1296" s="357">
        <v>-16747320.140000001</v>
      </c>
    </row>
    <row r="1297" spans="1:9" x14ac:dyDescent="0.2">
      <c r="A1297" s="349" t="s">
        <v>341</v>
      </c>
      <c r="B1297" s="359">
        <v>38071</v>
      </c>
      <c r="C1297" s="349" t="s">
        <v>3336</v>
      </c>
      <c r="D1297" s="349" t="s">
        <v>3337</v>
      </c>
      <c r="E1297" s="360">
        <v>-10894604.039999999</v>
      </c>
      <c r="F1297" s="363">
        <v>0</v>
      </c>
      <c r="G1297" s="361">
        <v>0</v>
      </c>
      <c r="H1297" s="361">
        <v>0</v>
      </c>
      <c r="I1297" s="362">
        <v>-10894604.039999999</v>
      </c>
    </row>
    <row r="1298" spans="1:9" x14ac:dyDescent="0.2">
      <c r="A1298" s="349" t="s">
        <v>341</v>
      </c>
      <c r="B1298" s="359">
        <v>37454</v>
      </c>
      <c r="C1298" s="349" t="s">
        <v>3338</v>
      </c>
      <c r="D1298" s="349" t="s">
        <v>3339</v>
      </c>
      <c r="E1298" s="363">
        <v>0</v>
      </c>
      <c r="F1298" s="360">
        <v>2430932.33</v>
      </c>
      <c r="G1298" s="361">
        <v>0</v>
      </c>
      <c r="H1298" s="362">
        <v>-2430932.33</v>
      </c>
      <c r="I1298" s="362">
        <v>-2430932.33</v>
      </c>
    </row>
    <row r="1299" spans="1:9" x14ac:dyDescent="0.2">
      <c r="A1299" s="349" t="s">
        <v>341</v>
      </c>
      <c r="B1299" s="359">
        <v>51499</v>
      </c>
      <c r="C1299" s="349" t="s">
        <v>3340</v>
      </c>
      <c r="D1299" s="349" t="s">
        <v>3341</v>
      </c>
      <c r="E1299" s="360">
        <v>-1626656.1</v>
      </c>
      <c r="F1299" s="363">
        <v>0</v>
      </c>
      <c r="G1299" s="361">
        <v>0</v>
      </c>
      <c r="H1299" s="361">
        <v>0</v>
      </c>
      <c r="I1299" s="362">
        <v>-1626656.1</v>
      </c>
    </row>
    <row r="1300" spans="1:9" x14ac:dyDescent="0.2">
      <c r="A1300" s="349" t="s">
        <v>341</v>
      </c>
      <c r="B1300" s="359">
        <v>37859</v>
      </c>
      <c r="C1300" s="349" t="s">
        <v>3342</v>
      </c>
      <c r="D1300" s="349" t="s">
        <v>2447</v>
      </c>
      <c r="E1300" s="360">
        <v>-1795127.67</v>
      </c>
      <c r="F1300" s="363">
        <v>0</v>
      </c>
      <c r="G1300" s="361">
        <v>0</v>
      </c>
      <c r="H1300" s="361">
        <v>0</v>
      </c>
      <c r="I1300" s="362">
        <v>-1795127.67</v>
      </c>
    </row>
    <row r="1301" spans="1:9" x14ac:dyDescent="0.2">
      <c r="A1301" s="349" t="s">
        <v>341</v>
      </c>
      <c r="B1301" s="354">
        <v>25584</v>
      </c>
      <c r="C1301" s="355" t="s">
        <v>3343</v>
      </c>
      <c r="D1301" s="355" t="s">
        <v>3344</v>
      </c>
      <c r="E1301" s="356">
        <v>490824.32</v>
      </c>
      <c r="F1301" s="364">
        <v>0</v>
      </c>
      <c r="G1301" s="358">
        <v>0</v>
      </c>
      <c r="H1301" s="358">
        <v>0</v>
      </c>
      <c r="I1301" s="357">
        <v>490824.32</v>
      </c>
    </row>
    <row r="1302" spans="1:9" x14ac:dyDescent="0.2">
      <c r="A1302" s="349" t="s">
        <v>341</v>
      </c>
      <c r="B1302" s="359">
        <v>52604</v>
      </c>
      <c r="C1302" s="349" t="s">
        <v>3345</v>
      </c>
      <c r="D1302" s="349" t="s">
        <v>3346</v>
      </c>
      <c r="E1302" s="360">
        <v>308635.48</v>
      </c>
      <c r="F1302" s="363">
        <v>0</v>
      </c>
      <c r="G1302" s="361">
        <v>0</v>
      </c>
      <c r="H1302" s="361">
        <v>0</v>
      </c>
      <c r="I1302" s="362">
        <v>308635.48</v>
      </c>
    </row>
    <row r="1303" spans="1:9" x14ac:dyDescent="0.2">
      <c r="A1303" s="349" t="s">
        <v>341</v>
      </c>
      <c r="B1303" s="359">
        <v>51722</v>
      </c>
      <c r="C1303" s="349" t="s">
        <v>3347</v>
      </c>
      <c r="D1303" s="349" t="s">
        <v>3348</v>
      </c>
      <c r="E1303" s="360">
        <v>182188.84</v>
      </c>
      <c r="F1303" s="363">
        <v>0</v>
      </c>
      <c r="G1303" s="361">
        <v>0</v>
      </c>
      <c r="H1303" s="361">
        <v>0</v>
      </c>
      <c r="I1303" s="362">
        <v>182188.84</v>
      </c>
    </row>
    <row r="1304" spans="1:9" x14ac:dyDescent="0.2">
      <c r="A1304" s="349" t="s">
        <v>341</v>
      </c>
      <c r="B1304" s="354">
        <v>34765</v>
      </c>
      <c r="C1304" s="355" t="s">
        <v>3349</v>
      </c>
      <c r="D1304" s="355" t="s">
        <v>3350</v>
      </c>
      <c r="E1304" s="356">
        <v>-139454.44</v>
      </c>
      <c r="F1304" s="364">
        <v>0</v>
      </c>
      <c r="G1304" s="358">
        <v>0</v>
      </c>
      <c r="H1304" s="358">
        <v>0</v>
      </c>
      <c r="I1304" s="357">
        <v>-139454.44</v>
      </c>
    </row>
    <row r="1305" spans="1:9" x14ac:dyDescent="0.2">
      <c r="A1305" s="349" t="s">
        <v>341</v>
      </c>
      <c r="B1305" s="359">
        <v>51724</v>
      </c>
      <c r="C1305" s="349" t="s">
        <v>3351</v>
      </c>
      <c r="D1305" s="349" t="s">
        <v>3352</v>
      </c>
      <c r="E1305" s="360">
        <v>-44152.74</v>
      </c>
      <c r="F1305" s="363">
        <v>0</v>
      </c>
      <c r="G1305" s="361">
        <v>0</v>
      </c>
      <c r="H1305" s="361">
        <v>0</v>
      </c>
      <c r="I1305" s="362">
        <v>-44152.74</v>
      </c>
    </row>
    <row r="1306" spans="1:9" x14ac:dyDescent="0.2">
      <c r="A1306" s="349" t="s">
        <v>341</v>
      </c>
      <c r="B1306" s="359">
        <v>52606</v>
      </c>
      <c r="C1306" s="349" t="s">
        <v>3353</v>
      </c>
      <c r="D1306" s="349" t="s">
        <v>3354</v>
      </c>
      <c r="E1306" s="360">
        <v>-95301.7</v>
      </c>
      <c r="F1306" s="363">
        <v>0</v>
      </c>
      <c r="G1306" s="361">
        <v>0</v>
      </c>
      <c r="H1306" s="361">
        <v>0</v>
      </c>
      <c r="I1306" s="362">
        <v>-95301.7</v>
      </c>
    </row>
    <row r="1307" spans="1:9" x14ac:dyDescent="0.2">
      <c r="A1307" s="349" t="s">
        <v>341</v>
      </c>
      <c r="B1307" s="354">
        <v>40746</v>
      </c>
      <c r="C1307" s="355" t="s">
        <v>3355</v>
      </c>
      <c r="D1307" s="355" t="s">
        <v>3356</v>
      </c>
      <c r="E1307" s="356">
        <v>8406432.0099999998</v>
      </c>
      <c r="F1307" s="356">
        <v>122443.16</v>
      </c>
      <c r="G1307" s="357">
        <v>200000</v>
      </c>
      <c r="H1307" s="357">
        <v>77556.84</v>
      </c>
      <c r="I1307" s="357">
        <v>8483988.8499999996</v>
      </c>
    </row>
    <row r="1308" spans="1:9" x14ac:dyDescent="0.2">
      <c r="A1308" s="349" t="s">
        <v>341</v>
      </c>
      <c r="B1308" s="354">
        <v>40747</v>
      </c>
      <c r="C1308" s="355" t="s">
        <v>3357</v>
      </c>
      <c r="D1308" s="355" t="s">
        <v>3356</v>
      </c>
      <c r="E1308" s="356">
        <v>5449350.0599999996</v>
      </c>
      <c r="F1308" s="356">
        <v>38805.39</v>
      </c>
      <c r="G1308" s="357">
        <v>200000</v>
      </c>
      <c r="H1308" s="357">
        <v>161194.60999999999</v>
      </c>
      <c r="I1308" s="357">
        <v>5610544.6699999999</v>
      </c>
    </row>
    <row r="1309" spans="1:9" x14ac:dyDescent="0.2">
      <c r="A1309" s="349" t="s">
        <v>341</v>
      </c>
      <c r="B1309" s="359">
        <v>38129</v>
      </c>
      <c r="C1309" s="349" t="s">
        <v>3358</v>
      </c>
      <c r="D1309" s="349" t="s">
        <v>3359</v>
      </c>
      <c r="E1309" s="360">
        <v>159171.81</v>
      </c>
      <c r="F1309" s="360">
        <v>1498.75</v>
      </c>
      <c r="G1309" s="361">
        <v>0</v>
      </c>
      <c r="H1309" s="362">
        <v>-1498.75</v>
      </c>
      <c r="I1309" s="362">
        <v>157673.06</v>
      </c>
    </row>
    <row r="1310" spans="1:9" x14ac:dyDescent="0.2">
      <c r="A1310" s="349" t="s">
        <v>341</v>
      </c>
      <c r="B1310" s="359">
        <v>51503</v>
      </c>
      <c r="C1310" s="349" t="s">
        <v>3360</v>
      </c>
      <c r="D1310" s="349" t="s">
        <v>3361</v>
      </c>
      <c r="E1310" s="360">
        <v>3492584.59</v>
      </c>
      <c r="F1310" s="360">
        <v>34215.07</v>
      </c>
      <c r="G1310" s="362">
        <v>200000</v>
      </c>
      <c r="H1310" s="362">
        <v>165784.93</v>
      </c>
      <c r="I1310" s="362">
        <v>3658369.52</v>
      </c>
    </row>
    <row r="1311" spans="1:9" x14ac:dyDescent="0.2">
      <c r="A1311" s="349" t="s">
        <v>341</v>
      </c>
      <c r="B1311" s="359">
        <v>51745</v>
      </c>
      <c r="C1311" s="349" t="s">
        <v>3362</v>
      </c>
      <c r="D1311" s="349" t="s">
        <v>3363</v>
      </c>
      <c r="E1311" s="360">
        <v>1797593.66</v>
      </c>
      <c r="F1311" s="360">
        <v>3091.57</v>
      </c>
      <c r="G1311" s="361">
        <v>0</v>
      </c>
      <c r="H1311" s="362">
        <v>-3091.57</v>
      </c>
      <c r="I1311" s="362">
        <v>1794502.09</v>
      </c>
    </row>
    <row r="1312" spans="1:9" x14ac:dyDescent="0.2">
      <c r="A1312" s="349" t="s">
        <v>341</v>
      </c>
      <c r="B1312" s="354">
        <v>38567</v>
      </c>
      <c r="C1312" s="355" t="s">
        <v>3364</v>
      </c>
      <c r="D1312" s="355" t="s">
        <v>3365</v>
      </c>
      <c r="E1312" s="356">
        <v>3296198.19</v>
      </c>
      <c r="F1312" s="356">
        <v>83637.77</v>
      </c>
      <c r="G1312" s="358">
        <v>0</v>
      </c>
      <c r="H1312" s="357">
        <v>-83637.77</v>
      </c>
      <c r="I1312" s="357">
        <v>3212560.42</v>
      </c>
    </row>
    <row r="1313" spans="1:9" x14ac:dyDescent="0.2">
      <c r="A1313" s="349" t="s">
        <v>341</v>
      </c>
      <c r="B1313" s="359">
        <v>32484</v>
      </c>
      <c r="C1313" s="349" t="s">
        <v>3366</v>
      </c>
      <c r="D1313" s="349" t="s">
        <v>3367</v>
      </c>
      <c r="E1313" s="360">
        <v>2607514.11</v>
      </c>
      <c r="F1313" s="360">
        <v>83637.77</v>
      </c>
      <c r="G1313" s="361">
        <v>0</v>
      </c>
      <c r="H1313" s="362">
        <v>-83637.77</v>
      </c>
      <c r="I1313" s="362">
        <v>2523876.34</v>
      </c>
    </row>
    <row r="1314" spans="1:9" x14ac:dyDescent="0.2">
      <c r="A1314" s="349" t="s">
        <v>341</v>
      </c>
      <c r="B1314" s="359">
        <v>51407</v>
      </c>
      <c r="C1314" s="349" t="s">
        <v>3368</v>
      </c>
      <c r="D1314" s="349" t="s">
        <v>3284</v>
      </c>
      <c r="E1314" s="360">
        <v>688684.08</v>
      </c>
      <c r="F1314" s="363">
        <v>0</v>
      </c>
      <c r="G1314" s="361">
        <v>0</v>
      </c>
      <c r="H1314" s="361">
        <v>0</v>
      </c>
      <c r="I1314" s="362">
        <v>688684.08</v>
      </c>
    </row>
    <row r="1315" spans="1:9" x14ac:dyDescent="0.2">
      <c r="A1315" s="349" t="s">
        <v>341</v>
      </c>
      <c r="B1315" s="354">
        <v>38569</v>
      </c>
      <c r="C1315" s="355" t="s">
        <v>3369</v>
      </c>
      <c r="D1315" s="355" t="s">
        <v>3370</v>
      </c>
      <c r="E1315" s="356">
        <v>-339116.24</v>
      </c>
      <c r="F1315" s="364">
        <v>0</v>
      </c>
      <c r="G1315" s="358">
        <v>0</v>
      </c>
      <c r="H1315" s="358">
        <v>0</v>
      </c>
      <c r="I1315" s="357">
        <v>-339116.24</v>
      </c>
    </row>
    <row r="1316" spans="1:9" x14ac:dyDescent="0.2">
      <c r="A1316" s="349" t="s">
        <v>341</v>
      </c>
      <c r="B1316" s="359">
        <v>52453</v>
      </c>
      <c r="C1316" s="349" t="s">
        <v>3371</v>
      </c>
      <c r="D1316" s="349" t="s">
        <v>3372</v>
      </c>
      <c r="E1316" s="360">
        <v>-337608.3</v>
      </c>
      <c r="F1316" s="363">
        <v>0</v>
      </c>
      <c r="G1316" s="361">
        <v>0</v>
      </c>
      <c r="H1316" s="361">
        <v>0</v>
      </c>
      <c r="I1316" s="362">
        <v>-337608.3</v>
      </c>
    </row>
    <row r="1317" spans="1:9" x14ac:dyDescent="0.2">
      <c r="A1317" s="349" t="s">
        <v>341</v>
      </c>
      <c r="B1317" s="359">
        <v>51544</v>
      </c>
      <c r="C1317" s="349" t="s">
        <v>3373</v>
      </c>
      <c r="D1317" s="349" t="s">
        <v>3374</v>
      </c>
      <c r="E1317" s="360">
        <v>-1507.94</v>
      </c>
      <c r="F1317" s="363">
        <v>0</v>
      </c>
      <c r="G1317" s="361">
        <v>0</v>
      </c>
      <c r="H1317" s="361">
        <v>0</v>
      </c>
      <c r="I1317" s="362">
        <v>-1507.94</v>
      </c>
    </row>
    <row r="1318" spans="1:9" x14ac:dyDescent="0.2">
      <c r="A1318" s="349" t="s">
        <v>341</v>
      </c>
      <c r="B1318" s="354">
        <v>38371</v>
      </c>
      <c r="C1318" s="355" t="s">
        <v>3375</v>
      </c>
      <c r="D1318" s="355" t="s">
        <v>3376</v>
      </c>
      <c r="E1318" s="356">
        <v>8089783.54</v>
      </c>
      <c r="F1318" s="364">
        <v>0</v>
      </c>
      <c r="G1318" s="358">
        <v>0</v>
      </c>
      <c r="H1318" s="358">
        <v>0</v>
      </c>
      <c r="I1318" s="357">
        <v>8089783.54</v>
      </c>
    </row>
    <row r="1319" spans="1:9" x14ac:dyDescent="0.2">
      <c r="A1319" s="349" t="s">
        <v>341</v>
      </c>
      <c r="B1319" s="354">
        <v>40611</v>
      </c>
      <c r="C1319" s="355" t="s">
        <v>3377</v>
      </c>
      <c r="D1319" s="355" t="s">
        <v>3376</v>
      </c>
      <c r="E1319" s="356">
        <v>8814561.25</v>
      </c>
      <c r="F1319" s="364">
        <v>0</v>
      </c>
      <c r="G1319" s="358">
        <v>0</v>
      </c>
      <c r="H1319" s="358">
        <v>0</v>
      </c>
      <c r="I1319" s="357">
        <v>8814561.25</v>
      </c>
    </row>
    <row r="1320" spans="1:9" x14ac:dyDescent="0.2">
      <c r="A1320" s="349" t="s">
        <v>341</v>
      </c>
      <c r="B1320" s="359">
        <v>33959</v>
      </c>
      <c r="C1320" s="349" t="s">
        <v>3378</v>
      </c>
      <c r="D1320" s="349" t="s">
        <v>3379</v>
      </c>
      <c r="E1320" s="360">
        <v>988768.91</v>
      </c>
      <c r="F1320" s="363">
        <v>0</v>
      </c>
      <c r="G1320" s="361">
        <v>0</v>
      </c>
      <c r="H1320" s="361">
        <v>0</v>
      </c>
      <c r="I1320" s="362">
        <v>988768.91</v>
      </c>
    </row>
    <row r="1321" spans="1:9" x14ac:dyDescent="0.2">
      <c r="A1321" s="349" t="s">
        <v>341</v>
      </c>
      <c r="B1321" s="359">
        <v>4335</v>
      </c>
      <c r="C1321" s="349" t="s">
        <v>3380</v>
      </c>
      <c r="D1321" s="349" t="s">
        <v>3381</v>
      </c>
      <c r="E1321" s="360">
        <v>4501216.8</v>
      </c>
      <c r="F1321" s="363">
        <v>0</v>
      </c>
      <c r="G1321" s="361">
        <v>0</v>
      </c>
      <c r="H1321" s="361">
        <v>0</v>
      </c>
      <c r="I1321" s="362">
        <v>4501216.8</v>
      </c>
    </row>
    <row r="1322" spans="1:9" x14ac:dyDescent="0.2">
      <c r="A1322" s="349" t="s">
        <v>341</v>
      </c>
      <c r="B1322" s="359">
        <v>4376</v>
      </c>
      <c r="C1322" s="349" t="s">
        <v>3382</v>
      </c>
      <c r="D1322" s="349" t="s">
        <v>3383</v>
      </c>
      <c r="E1322" s="360">
        <v>2249395.35</v>
      </c>
      <c r="F1322" s="363">
        <v>0</v>
      </c>
      <c r="G1322" s="361">
        <v>0</v>
      </c>
      <c r="H1322" s="361">
        <v>0</v>
      </c>
      <c r="I1322" s="362">
        <v>2249395.35</v>
      </c>
    </row>
    <row r="1323" spans="1:9" x14ac:dyDescent="0.2">
      <c r="A1323" s="349" t="s">
        <v>341</v>
      </c>
      <c r="B1323" s="359">
        <v>33117</v>
      </c>
      <c r="C1323" s="349" t="s">
        <v>3384</v>
      </c>
      <c r="D1323" s="349" t="s">
        <v>3385</v>
      </c>
      <c r="E1323" s="360">
        <v>507230.61</v>
      </c>
      <c r="F1323" s="363">
        <v>0</v>
      </c>
      <c r="G1323" s="361">
        <v>0</v>
      </c>
      <c r="H1323" s="361">
        <v>0</v>
      </c>
      <c r="I1323" s="362">
        <v>507230.61</v>
      </c>
    </row>
    <row r="1324" spans="1:9" x14ac:dyDescent="0.2">
      <c r="A1324" s="349" t="s">
        <v>341</v>
      </c>
      <c r="B1324" s="359">
        <v>34066</v>
      </c>
      <c r="C1324" s="349" t="s">
        <v>3386</v>
      </c>
      <c r="D1324" s="349" t="s">
        <v>3387</v>
      </c>
      <c r="E1324" s="360">
        <v>411834.75</v>
      </c>
      <c r="F1324" s="363">
        <v>0</v>
      </c>
      <c r="G1324" s="361">
        <v>0</v>
      </c>
      <c r="H1324" s="361">
        <v>0</v>
      </c>
      <c r="I1324" s="362">
        <v>411834.75</v>
      </c>
    </row>
    <row r="1325" spans="1:9" x14ac:dyDescent="0.2">
      <c r="A1325" s="349" t="s">
        <v>341</v>
      </c>
      <c r="B1325" s="359">
        <v>52146</v>
      </c>
      <c r="C1325" s="349" t="s">
        <v>3388</v>
      </c>
      <c r="D1325" s="349" t="s">
        <v>3389</v>
      </c>
      <c r="E1325" s="360">
        <v>122962.55</v>
      </c>
      <c r="F1325" s="363">
        <v>0</v>
      </c>
      <c r="G1325" s="361">
        <v>0</v>
      </c>
      <c r="H1325" s="361">
        <v>0</v>
      </c>
      <c r="I1325" s="362">
        <v>122962.55</v>
      </c>
    </row>
    <row r="1326" spans="1:9" x14ac:dyDescent="0.2">
      <c r="A1326" s="349" t="s">
        <v>341</v>
      </c>
      <c r="B1326" s="359">
        <v>53156</v>
      </c>
      <c r="C1326" s="349" t="s">
        <v>3390</v>
      </c>
      <c r="D1326" s="349" t="s">
        <v>3391</v>
      </c>
      <c r="E1326" s="360">
        <v>33152.28</v>
      </c>
      <c r="F1326" s="363">
        <v>0</v>
      </c>
      <c r="G1326" s="361">
        <v>0</v>
      </c>
      <c r="H1326" s="361">
        <v>0</v>
      </c>
      <c r="I1326" s="362">
        <v>33152.28</v>
      </c>
    </row>
    <row r="1327" spans="1:9" x14ac:dyDescent="0.2">
      <c r="A1327" s="349" t="s">
        <v>341</v>
      </c>
      <c r="B1327" s="354">
        <v>4334</v>
      </c>
      <c r="C1327" s="355" t="s">
        <v>3392</v>
      </c>
      <c r="D1327" s="355" t="s">
        <v>2402</v>
      </c>
      <c r="E1327" s="356">
        <v>-682745.19</v>
      </c>
      <c r="F1327" s="364">
        <v>0</v>
      </c>
      <c r="G1327" s="358">
        <v>0</v>
      </c>
      <c r="H1327" s="358">
        <v>0</v>
      </c>
      <c r="I1327" s="357">
        <v>-682745.19</v>
      </c>
    </row>
    <row r="1328" spans="1:9" x14ac:dyDescent="0.2">
      <c r="A1328" s="349" t="s">
        <v>341</v>
      </c>
      <c r="B1328" s="359">
        <v>33424</v>
      </c>
      <c r="C1328" s="349" t="s">
        <v>3393</v>
      </c>
      <c r="D1328" s="349" t="s">
        <v>3394</v>
      </c>
      <c r="E1328" s="360">
        <v>-17566.07</v>
      </c>
      <c r="F1328" s="363">
        <v>0</v>
      </c>
      <c r="G1328" s="361">
        <v>0</v>
      </c>
      <c r="H1328" s="361">
        <v>0</v>
      </c>
      <c r="I1328" s="362">
        <v>-17566.07</v>
      </c>
    </row>
    <row r="1329" spans="1:9" x14ac:dyDescent="0.2">
      <c r="A1329" s="349" t="s">
        <v>341</v>
      </c>
      <c r="B1329" s="359">
        <v>52778</v>
      </c>
      <c r="C1329" s="349" t="s">
        <v>3395</v>
      </c>
      <c r="D1329" s="349" t="s">
        <v>3396</v>
      </c>
      <c r="E1329" s="360">
        <v>-665179.12</v>
      </c>
      <c r="F1329" s="363">
        <v>0</v>
      </c>
      <c r="G1329" s="361">
        <v>0</v>
      </c>
      <c r="H1329" s="361">
        <v>0</v>
      </c>
      <c r="I1329" s="362">
        <v>-665179.12</v>
      </c>
    </row>
    <row r="1330" spans="1:9" x14ac:dyDescent="0.2">
      <c r="A1330" s="349" t="s">
        <v>341</v>
      </c>
      <c r="B1330" s="354">
        <v>40398</v>
      </c>
      <c r="C1330" s="355" t="s">
        <v>3397</v>
      </c>
      <c r="D1330" s="355" t="s">
        <v>3398</v>
      </c>
      <c r="E1330" s="356">
        <v>-42032.52</v>
      </c>
      <c r="F1330" s="364">
        <v>0</v>
      </c>
      <c r="G1330" s="358">
        <v>0</v>
      </c>
      <c r="H1330" s="358">
        <v>0</v>
      </c>
      <c r="I1330" s="357">
        <v>-42032.52</v>
      </c>
    </row>
    <row r="1331" spans="1:9" x14ac:dyDescent="0.2">
      <c r="A1331" s="349" t="s">
        <v>341</v>
      </c>
      <c r="B1331" s="359">
        <v>53162</v>
      </c>
      <c r="C1331" s="349" t="s">
        <v>3399</v>
      </c>
      <c r="D1331" s="349" t="s">
        <v>3400</v>
      </c>
      <c r="E1331" s="360">
        <v>-42032.52</v>
      </c>
      <c r="F1331" s="363">
        <v>0</v>
      </c>
      <c r="G1331" s="361">
        <v>0</v>
      </c>
      <c r="H1331" s="361">
        <v>0</v>
      </c>
      <c r="I1331" s="362">
        <v>-42032.52</v>
      </c>
    </row>
    <row r="1332" spans="1:9" x14ac:dyDescent="0.2">
      <c r="A1332" s="349" t="s">
        <v>341</v>
      </c>
      <c r="B1332" s="354">
        <v>4484</v>
      </c>
      <c r="C1332" s="355" t="s">
        <v>3401</v>
      </c>
      <c r="D1332" s="355" t="s">
        <v>3402</v>
      </c>
      <c r="E1332" s="356">
        <v>22175146.129999999</v>
      </c>
      <c r="F1332" s="364">
        <v>0</v>
      </c>
      <c r="G1332" s="357">
        <v>42377.11</v>
      </c>
      <c r="H1332" s="357">
        <v>42377.11</v>
      </c>
      <c r="I1332" s="357">
        <v>22217523.239999998</v>
      </c>
    </row>
    <row r="1333" spans="1:9" x14ac:dyDescent="0.2">
      <c r="A1333" s="349" t="s">
        <v>341</v>
      </c>
      <c r="B1333" s="354">
        <v>4485</v>
      </c>
      <c r="C1333" s="355" t="s">
        <v>3403</v>
      </c>
      <c r="D1333" s="355" t="s">
        <v>3404</v>
      </c>
      <c r="E1333" s="356">
        <v>22175146.129999999</v>
      </c>
      <c r="F1333" s="364">
        <v>0</v>
      </c>
      <c r="G1333" s="357">
        <v>42377.11</v>
      </c>
      <c r="H1333" s="357">
        <v>42377.11</v>
      </c>
      <c r="I1333" s="357">
        <v>22217523.239999998</v>
      </c>
    </row>
    <row r="1334" spans="1:9" x14ac:dyDescent="0.2">
      <c r="A1334" s="349" t="s">
        <v>341</v>
      </c>
      <c r="B1334" s="354">
        <v>4486</v>
      </c>
      <c r="C1334" s="355" t="s">
        <v>3405</v>
      </c>
      <c r="D1334" s="355" t="s">
        <v>3406</v>
      </c>
      <c r="E1334" s="356">
        <v>5245112.63</v>
      </c>
      <c r="F1334" s="364">
        <v>0</v>
      </c>
      <c r="G1334" s="358">
        <v>0</v>
      </c>
      <c r="H1334" s="358">
        <v>0</v>
      </c>
      <c r="I1334" s="357">
        <v>5245112.63</v>
      </c>
    </row>
    <row r="1335" spans="1:9" x14ac:dyDescent="0.2">
      <c r="A1335" s="349" t="s">
        <v>341</v>
      </c>
      <c r="B1335" s="359">
        <v>4495</v>
      </c>
      <c r="C1335" s="349" t="s">
        <v>3407</v>
      </c>
      <c r="D1335" s="349" t="s">
        <v>3406</v>
      </c>
      <c r="E1335" s="360">
        <v>5245112.63</v>
      </c>
      <c r="F1335" s="363">
        <v>0</v>
      </c>
      <c r="G1335" s="361">
        <v>0</v>
      </c>
      <c r="H1335" s="361">
        <v>0</v>
      </c>
      <c r="I1335" s="362">
        <v>5245112.63</v>
      </c>
    </row>
    <row r="1336" spans="1:9" x14ac:dyDescent="0.2">
      <c r="A1336" s="349" t="s">
        <v>341</v>
      </c>
      <c r="B1336" s="354">
        <v>4496</v>
      </c>
      <c r="C1336" s="355" t="s">
        <v>3408</v>
      </c>
      <c r="D1336" s="355" t="s">
        <v>3409</v>
      </c>
      <c r="E1336" s="356">
        <v>19136389.870000001</v>
      </c>
      <c r="F1336" s="364">
        <v>0</v>
      </c>
      <c r="G1336" s="358">
        <v>0</v>
      </c>
      <c r="H1336" s="358">
        <v>0</v>
      </c>
      <c r="I1336" s="357">
        <v>19136389.870000001</v>
      </c>
    </row>
    <row r="1337" spans="1:9" x14ac:dyDescent="0.2">
      <c r="A1337" s="349" t="s">
        <v>341</v>
      </c>
      <c r="B1337" s="359">
        <v>4515</v>
      </c>
      <c r="C1337" s="349" t="s">
        <v>3410</v>
      </c>
      <c r="D1337" s="349" t="s">
        <v>3411</v>
      </c>
      <c r="E1337" s="360">
        <v>360000</v>
      </c>
      <c r="F1337" s="363">
        <v>0</v>
      </c>
      <c r="G1337" s="361">
        <v>0</v>
      </c>
      <c r="H1337" s="361">
        <v>0</v>
      </c>
      <c r="I1337" s="362">
        <v>360000</v>
      </c>
    </row>
    <row r="1338" spans="1:9" x14ac:dyDescent="0.2">
      <c r="A1338" s="349" t="s">
        <v>341</v>
      </c>
      <c r="B1338" s="359">
        <v>4506</v>
      </c>
      <c r="C1338" s="349" t="s">
        <v>3412</v>
      </c>
      <c r="D1338" s="349" t="s">
        <v>3413</v>
      </c>
      <c r="E1338" s="360">
        <v>18776389.870000001</v>
      </c>
      <c r="F1338" s="363">
        <v>0</v>
      </c>
      <c r="G1338" s="361">
        <v>0</v>
      </c>
      <c r="H1338" s="361">
        <v>0</v>
      </c>
      <c r="I1338" s="362">
        <v>18776389.870000001</v>
      </c>
    </row>
    <row r="1339" spans="1:9" x14ac:dyDescent="0.2">
      <c r="A1339" s="349" t="s">
        <v>341</v>
      </c>
      <c r="B1339" s="354">
        <v>4516</v>
      </c>
      <c r="C1339" s="355" t="s">
        <v>3414</v>
      </c>
      <c r="D1339" s="355" t="s">
        <v>3415</v>
      </c>
      <c r="E1339" s="356">
        <v>31475476.48</v>
      </c>
      <c r="F1339" s="364">
        <v>0</v>
      </c>
      <c r="G1339" s="358">
        <v>0</v>
      </c>
      <c r="H1339" s="358">
        <v>0</v>
      </c>
      <c r="I1339" s="357">
        <v>31475476.48</v>
      </c>
    </row>
    <row r="1340" spans="1:9" x14ac:dyDescent="0.2">
      <c r="A1340" s="349" t="s">
        <v>341</v>
      </c>
      <c r="B1340" s="359">
        <v>32839</v>
      </c>
      <c r="C1340" s="349" t="s">
        <v>3416</v>
      </c>
      <c r="D1340" s="349" t="s">
        <v>3417</v>
      </c>
      <c r="E1340" s="360">
        <v>-239196.48</v>
      </c>
      <c r="F1340" s="363">
        <v>0</v>
      </c>
      <c r="G1340" s="361">
        <v>0</v>
      </c>
      <c r="H1340" s="361">
        <v>0</v>
      </c>
      <c r="I1340" s="362">
        <v>-239196.48</v>
      </c>
    </row>
    <row r="1341" spans="1:9" x14ac:dyDescent="0.2">
      <c r="A1341" s="349" t="s">
        <v>341</v>
      </c>
      <c r="B1341" s="359">
        <v>4525</v>
      </c>
      <c r="C1341" s="349" t="s">
        <v>3418</v>
      </c>
      <c r="D1341" s="349" t="s">
        <v>3419</v>
      </c>
      <c r="E1341" s="360">
        <v>31714672.960000001</v>
      </c>
      <c r="F1341" s="363">
        <v>0</v>
      </c>
      <c r="G1341" s="361">
        <v>0</v>
      </c>
      <c r="H1341" s="361">
        <v>0</v>
      </c>
      <c r="I1341" s="362">
        <v>31714672.960000001</v>
      </c>
    </row>
    <row r="1342" spans="1:9" x14ac:dyDescent="0.2">
      <c r="A1342" s="349" t="s">
        <v>341</v>
      </c>
      <c r="B1342" s="354">
        <v>4582</v>
      </c>
      <c r="C1342" s="355" t="s">
        <v>3420</v>
      </c>
      <c r="D1342" s="355" t="s">
        <v>3421</v>
      </c>
      <c r="E1342" s="356">
        <v>-33681832.850000001</v>
      </c>
      <c r="F1342" s="364">
        <v>0</v>
      </c>
      <c r="G1342" s="357">
        <v>42377.11</v>
      </c>
      <c r="H1342" s="357">
        <v>42377.11</v>
      </c>
      <c r="I1342" s="357">
        <v>-33639455.740000002</v>
      </c>
    </row>
    <row r="1343" spans="1:9" x14ac:dyDescent="0.2">
      <c r="A1343" s="349" t="s">
        <v>341</v>
      </c>
      <c r="B1343" s="359">
        <v>4592</v>
      </c>
      <c r="C1343" s="349" t="s">
        <v>3422</v>
      </c>
      <c r="D1343" s="349" t="s">
        <v>3423</v>
      </c>
      <c r="E1343" s="360">
        <v>27191767.559999999</v>
      </c>
      <c r="F1343" s="363">
        <v>0</v>
      </c>
      <c r="G1343" s="361">
        <v>0</v>
      </c>
      <c r="H1343" s="361">
        <v>0</v>
      </c>
      <c r="I1343" s="362">
        <v>27191767.559999999</v>
      </c>
    </row>
    <row r="1344" spans="1:9" x14ac:dyDescent="0.2">
      <c r="A1344" s="349" t="s">
        <v>341</v>
      </c>
      <c r="B1344" s="359">
        <v>4597</v>
      </c>
      <c r="C1344" s="349" t="s">
        <v>3424</v>
      </c>
      <c r="D1344" s="349" t="s">
        <v>3425</v>
      </c>
      <c r="E1344" s="360">
        <v>-55966053.770000003</v>
      </c>
      <c r="F1344" s="363">
        <v>0</v>
      </c>
      <c r="G1344" s="361">
        <v>0</v>
      </c>
      <c r="H1344" s="361">
        <v>0</v>
      </c>
      <c r="I1344" s="362">
        <v>-55966053.770000003</v>
      </c>
    </row>
    <row r="1345" spans="1:9" x14ac:dyDescent="0.2">
      <c r="A1345" s="349" t="s">
        <v>341</v>
      </c>
      <c r="B1345" s="359">
        <v>32465</v>
      </c>
      <c r="C1345" s="349" t="s">
        <v>3426</v>
      </c>
      <c r="D1345" s="349" t="s">
        <v>3427</v>
      </c>
      <c r="E1345" s="360">
        <v>7615</v>
      </c>
      <c r="F1345" s="363">
        <v>0</v>
      </c>
      <c r="G1345" s="361">
        <v>0</v>
      </c>
      <c r="H1345" s="361">
        <v>0</v>
      </c>
      <c r="I1345" s="362">
        <v>7615</v>
      </c>
    </row>
    <row r="1346" spans="1:9" x14ac:dyDescent="0.2">
      <c r="A1346" s="349" t="s">
        <v>341</v>
      </c>
      <c r="B1346" s="359">
        <v>4612</v>
      </c>
      <c r="C1346" s="349" t="s">
        <v>3428</v>
      </c>
      <c r="D1346" s="349" t="s">
        <v>3429</v>
      </c>
      <c r="E1346" s="360">
        <v>-4915161.6399999997</v>
      </c>
      <c r="F1346" s="363">
        <v>0</v>
      </c>
      <c r="G1346" s="362">
        <v>42377.11</v>
      </c>
      <c r="H1346" s="362">
        <v>42377.11</v>
      </c>
      <c r="I1346" s="362">
        <v>-4872784.53</v>
      </c>
    </row>
    <row r="1347" spans="1:9" x14ac:dyDescent="0.2">
      <c r="A1347" s="349" t="s">
        <v>341</v>
      </c>
      <c r="B1347" s="354">
        <v>4625</v>
      </c>
      <c r="C1347" s="355" t="s">
        <v>3430</v>
      </c>
      <c r="D1347" s="355" t="s">
        <v>3431</v>
      </c>
      <c r="E1347" s="356">
        <v>151997335.56</v>
      </c>
      <c r="F1347" s="356">
        <v>61278.62</v>
      </c>
      <c r="G1347" s="357">
        <v>13094717.439999999</v>
      </c>
      <c r="H1347" s="357">
        <v>13033438.82</v>
      </c>
      <c r="I1347" s="357">
        <v>165030774.38</v>
      </c>
    </row>
    <row r="1348" spans="1:9" x14ac:dyDescent="0.2">
      <c r="A1348" s="349" t="s">
        <v>341</v>
      </c>
      <c r="B1348" s="354">
        <v>4860</v>
      </c>
      <c r="C1348" s="355" t="s">
        <v>3432</v>
      </c>
      <c r="D1348" s="355" t="s">
        <v>3433</v>
      </c>
      <c r="E1348" s="356">
        <v>137177542.19</v>
      </c>
      <c r="F1348" s="356">
        <v>60231.48</v>
      </c>
      <c r="G1348" s="357">
        <v>12004474.35</v>
      </c>
      <c r="H1348" s="357">
        <v>11944242.869999999</v>
      </c>
      <c r="I1348" s="357">
        <v>149121785.06</v>
      </c>
    </row>
    <row r="1349" spans="1:9" x14ac:dyDescent="0.2">
      <c r="A1349" s="349" t="s">
        <v>341</v>
      </c>
      <c r="B1349" s="354">
        <v>4861</v>
      </c>
      <c r="C1349" s="355" t="s">
        <v>3434</v>
      </c>
      <c r="D1349" s="355" t="s">
        <v>3433</v>
      </c>
      <c r="E1349" s="356">
        <v>137177542.19</v>
      </c>
      <c r="F1349" s="356">
        <v>60231.48</v>
      </c>
      <c r="G1349" s="357">
        <v>12004474.35</v>
      </c>
      <c r="H1349" s="357">
        <v>11944242.869999999</v>
      </c>
      <c r="I1349" s="357">
        <v>149121785.06</v>
      </c>
    </row>
    <row r="1350" spans="1:9" x14ac:dyDescent="0.2">
      <c r="A1350" s="349" t="s">
        <v>341</v>
      </c>
      <c r="B1350" s="354">
        <v>4862</v>
      </c>
      <c r="C1350" s="355" t="s">
        <v>3435</v>
      </c>
      <c r="D1350" s="355" t="s">
        <v>3436</v>
      </c>
      <c r="E1350" s="356">
        <v>101024283.90000001</v>
      </c>
      <c r="F1350" s="364">
        <v>0</v>
      </c>
      <c r="G1350" s="357">
        <v>7835355.6900000004</v>
      </c>
      <c r="H1350" s="357">
        <v>7835355.6900000004</v>
      </c>
      <c r="I1350" s="357">
        <v>108859639.59</v>
      </c>
    </row>
    <row r="1351" spans="1:9" x14ac:dyDescent="0.2">
      <c r="A1351" s="349" t="s">
        <v>341</v>
      </c>
      <c r="B1351" s="359">
        <v>4908</v>
      </c>
      <c r="C1351" s="349" t="s">
        <v>3437</v>
      </c>
      <c r="D1351" s="349" t="s">
        <v>911</v>
      </c>
      <c r="E1351" s="360">
        <v>11871.71</v>
      </c>
      <c r="F1351" s="363">
        <v>0</v>
      </c>
      <c r="G1351" s="361">
        <v>371.33</v>
      </c>
      <c r="H1351" s="361">
        <v>371.33</v>
      </c>
      <c r="I1351" s="362">
        <v>12243.04</v>
      </c>
    </row>
    <row r="1352" spans="1:9" x14ac:dyDescent="0.2">
      <c r="A1352" s="349" t="s">
        <v>341</v>
      </c>
      <c r="B1352" s="359">
        <v>33137</v>
      </c>
      <c r="C1352" s="349" t="s">
        <v>3438</v>
      </c>
      <c r="D1352" s="349" t="s">
        <v>913</v>
      </c>
      <c r="E1352" s="360">
        <v>52958.93</v>
      </c>
      <c r="F1352" s="363">
        <v>0</v>
      </c>
      <c r="G1352" s="361">
        <v>0</v>
      </c>
      <c r="H1352" s="361">
        <v>0</v>
      </c>
      <c r="I1352" s="362">
        <v>52958.93</v>
      </c>
    </row>
    <row r="1353" spans="1:9" x14ac:dyDescent="0.2">
      <c r="A1353" s="349" t="s">
        <v>341</v>
      </c>
      <c r="B1353" s="359">
        <v>4910</v>
      </c>
      <c r="C1353" s="349" t="s">
        <v>3439</v>
      </c>
      <c r="D1353" s="349" t="s">
        <v>915</v>
      </c>
      <c r="E1353" s="360">
        <v>12852.15</v>
      </c>
      <c r="F1353" s="363">
        <v>0</v>
      </c>
      <c r="G1353" s="361">
        <v>928.95</v>
      </c>
      <c r="H1353" s="361">
        <v>928.95</v>
      </c>
      <c r="I1353" s="362">
        <v>13781.1</v>
      </c>
    </row>
    <row r="1354" spans="1:9" x14ac:dyDescent="0.2">
      <c r="A1354" s="349" t="s">
        <v>341</v>
      </c>
      <c r="B1354" s="359">
        <v>12239</v>
      </c>
      <c r="C1354" s="349" t="s">
        <v>3440</v>
      </c>
      <c r="D1354" s="349" t="s">
        <v>917</v>
      </c>
      <c r="E1354" s="360">
        <v>2032.81</v>
      </c>
      <c r="F1354" s="363">
        <v>0</v>
      </c>
      <c r="G1354" s="361">
        <v>0</v>
      </c>
      <c r="H1354" s="361">
        <v>0</v>
      </c>
      <c r="I1354" s="362">
        <v>2032.81</v>
      </c>
    </row>
    <row r="1355" spans="1:9" x14ac:dyDescent="0.2">
      <c r="A1355" s="349" t="s">
        <v>341</v>
      </c>
      <c r="B1355" s="359">
        <v>4911</v>
      </c>
      <c r="C1355" s="349" t="s">
        <v>3441</v>
      </c>
      <c r="D1355" s="349" t="s">
        <v>3442</v>
      </c>
      <c r="E1355" s="360">
        <v>1709445.84</v>
      </c>
      <c r="F1355" s="363">
        <v>0</v>
      </c>
      <c r="G1355" s="362">
        <v>135867.54999999999</v>
      </c>
      <c r="H1355" s="362">
        <v>135867.54999999999</v>
      </c>
      <c r="I1355" s="362">
        <v>1845313.39</v>
      </c>
    </row>
    <row r="1356" spans="1:9" x14ac:dyDescent="0.2">
      <c r="A1356" s="349" t="s">
        <v>341</v>
      </c>
      <c r="B1356" s="359">
        <v>4912</v>
      </c>
      <c r="C1356" s="349" t="s">
        <v>3443</v>
      </c>
      <c r="D1356" s="349" t="s">
        <v>921</v>
      </c>
      <c r="E1356" s="360">
        <v>2520.86</v>
      </c>
      <c r="F1356" s="363">
        <v>0</v>
      </c>
      <c r="G1356" s="361">
        <v>0</v>
      </c>
      <c r="H1356" s="361">
        <v>0</v>
      </c>
      <c r="I1356" s="362">
        <v>2520.86</v>
      </c>
    </row>
    <row r="1357" spans="1:9" x14ac:dyDescent="0.2">
      <c r="A1357" s="349" t="s">
        <v>341</v>
      </c>
      <c r="B1357" s="359">
        <v>32999</v>
      </c>
      <c r="C1357" s="349" t="s">
        <v>3444</v>
      </c>
      <c r="D1357" s="349" t="s">
        <v>3445</v>
      </c>
      <c r="E1357" s="360">
        <v>2066802.59</v>
      </c>
      <c r="F1357" s="363">
        <v>0</v>
      </c>
      <c r="G1357" s="362">
        <v>110847.82</v>
      </c>
      <c r="H1357" s="362">
        <v>110847.82</v>
      </c>
      <c r="I1357" s="362">
        <v>2177650.41</v>
      </c>
    </row>
    <row r="1358" spans="1:9" x14ac:dyDescent="0.2">
      <c r="A1358" s="349" t="s">
        <v>341</v>
      </c>
      <c r="B1358" s="359">
        <v>32898</v>
      </c>
      <c r="C1358" s="349" t="s">
        <v>3446</v>
      </c>
      <c r="D1358" s="349" t="s">
        <v>3447</v>
      </c>
      <c r="E1358" s="360">
        <v>178634.41</v>
      </c>
      <c r="F1358" s="363">
        <v>0</v>
      </c>
      <c r="G1358" s="362">
        <v>2306.69</v>
      </c>
      <c r="H1358" s="362">
        <v>2306.69</v>
      </c>
      <c r="I1358" s="362">
        <v>180941.1</v>
      </c>
    </row>
    <row r="1359" spans="1:9" x14ac:dyDescent="0.2">
      <c r="A1359" s="349" t="s">
        <v>341</v>
      </c>
      <c r="B1359" s="359">
        <v>4914</v>
      </c>
      <c r="C1359" s="349" t="s">
        <v>3448</v>
      </c>
      <c r="D1359" s="349" t="s">
        <v>3449</v>
      </c>
      <c r="E1359" s="360">
        <v>3523973.18</v>
      </c>
      <c r="F1359" s="363">
        <v>0</v>
      </c>
      <c r="G1359" s="362">
        <v>217436.38</v>
      </c>
      <c r="H1359" s="362">
        <v>217436.38</v>
      </c>
      <c r="I1359" s="362">
        <v>3741409.56</v>
      </c>
    </row>
    <row r="1360" spans="1:9" x14ac:dyDescent="0.2">
      <c r="A1360" s="349" t="s">
        <v>341</v>
      </c>
      <c r="B1360" s="359">
        <v>4915</v>
      </c>
      <c r="C1360" s="349" t="s">
        <v>3450</v>
      </c>
      <c r="D1360" s="349" t="s">
        <v>3451</v>
      </c>
      <c r="E1360" s="360">
        <v>157990.23000000001</v>
      </c>
      <c r="F1360" s="363">
        <v>0</v>
      </c>
      <c r="G1360" s="361">
        <v>248.88</v>
      </c>
      <c r="H1360" s="361">
        <v>248.88</v>
      </c>
      <c r="I1360" s="362">
        <v>158239.10999999999</v>
      </c>
    </row>
    <row r="1361" spans="1:9" x14ac:dyDescent="0.2">
      <c r="A1361" s="349" t="s">
        <v>341</v>
      </c>
      <c r="B1361" s="359">
        <v>37841</v>
      </c>
      <c r="C1361" s="349" t="s">
        <v>3452</v>
      </c>
      <c r="D1361" s="349" t="s">
        <v>939</v>
      </c>
      <c r="E1361" s="360">
        <v>124296.37</v>
      </c>
      <c r="F1361" s="363">
        <v>0</v>
      </c>
      <c r="G1361" s="362">
        <v>1694.69</v>
      </c>
      <c r="H1361" s="362">
        <v>1694.69</v>
      </c>
      <c r="I1361" s="362">
        <v>125991.06</v>
      </c>
    </row>
    <row r="1362" spans="1:9" x14ac:dyDescent="0.2">
      <c r="A1362" s="349" t="s">
        <v>341</v>
      </c>
      <c r="B1362" s="359">
        <v>4916</v>
      </c>
      <c r="C1362" s="349" t="s">
        <v>3453</v>
      </c>
      <c r="D1362" s="349" t="s">
        <v>941</v>
      </c>
      <c r="E1362" s="360">
        <v>19231.77</v>
      </c>
      <c r="F1362" s="363">
        <v>0</v>
      </c>
      <c r="G1362" s="361">
        <v>235.03</v>
      </c>
      <c r="H1362" s="361">
        <v>235.03</v>
      </c>
      <c r="I1362" s="362">
        <v>19466.8</v>
      </c>
    </row>
    <row r="1363" spans="1:9" x14ac:dyDescent="0.2">
      <c r="A1363" s="349" t="s">
        <v>341</v>
      </c>
      <c r="B1363" s="359">
        <v>4917</v>
      </c>
      <c r="C1363" s="349" t="s">
        <v>3454</v>
      </c>
      <c r="D1363" s="349" t="s">
        <v>3455</v>
      </c>
      <c r="E1363" s="360">
        <v>290304.82</v>
      </c>
      <c r="F1363" s="363">
        <v>0</v>
      </c>
      <c r="G1363" s="362">
        <v>33324.85</v>
      </c>
      <c r="H1363" s="362">
        <v>33324.85</v>
      </c>
      <c r="I1363" s="362">
        <v>323629.67</v>
      </c>
    </row>
    <row r="1364" spans="1:9" x14ac:dyDescent="0.2">
      <c r="A1364" s="349" t="s">
        <v>341</v>
      </c>
      <c r="B1364" s="359">
        <v>4919</v>
      </c>
      <c r="C1364" s="349" t="s">
        <v>3456</v>
      </c>
      <c r="D1364" s="349" t="s">
        <v>3457</v>
      </c>
      <c r="E1364" s="360">
        <v>1806880.09</v>
      </c>
      <c r="F1364" s="363">
        <v>0</v>
      </c>
      <c r="G1364" s="362">
        <v>83608.899999999994</v>
      </c>
      <c r="H1364" s="362">
        <v>83608.899999999994</v>
      </c>
      <c r="I1364" s="362">
        <v>1890488.99</v>
      </c>
    </row>
    <row r="1365" spans="1:9" x14ac:dyDescent="0.2">
      <c r="A1365" s="349" t="s">
        <v>341</v>
      </c>
      <c r="B1365" s="359">
        <v>4920</v>
      </c>
      <c r="C1365" s="349" t="s">
        <v>3458</v>
      </c>
      <c r="D1365" s="349" t="s">
        <v>953</v>
      </c>
      <c r="E1365" s="360">
        <v>333026.59000000003</v>
      </c>
      <c r="F1365" s="363">
        <v>0</v>
      </c>
      <c r="G1365" s="362">
        <v>15770.98</v>
      </c>
      <c r="H1365" s="362">
        <v>15770.98</v>
      </c>
      <c r="I1365" s="362">
        <v>348797.57</v>
      </c>
    </row>
    <row r="1366" spans="1:9" x14ac:dyDescent="0.2">
      <c r="A1366" s="349" t="s">
        <v>341</v>
      </c>
      <c r="B1366" s="359">
        <v>4922</v>
      </c>
      <c r="C1366" s="349" t="s">
        <v>3459</v>
      </c>
      <c r="D1366" s="349" t="s">
        <v>959</v>
      </c>
      <c r="E1366" s="360">
        <v>32734.38</v>
      </c>
      <c r="F1366" s="363">
        <v>0</v>
      </c>
      <c r="G1366" s="362">
        <v>1384.19</v>
      </c>
      <c r="H1366" s="362">
        <v>1384.19</v>
      </c>
      <c r="I1366" s="362">
        <v>34118.57</v>
      </c>
    </row>
    <row r="1367" spans="1:9" x14ac:dyDescent="0.2">
      <c r="A1367" s="349" t="s">
        <v>341</v>
      </c>
      <c r="B1367" s="359">
        <v>37222</v>
      </c>
      <c r="C1367" s="349" t="s">
        <v>3460</v>
      </c>
      <c r="D1367" s="349" t="s">
        <v>3461</v>
      </c>
      <c r="E1367" s="360">
        <v>1328.28</v>
      </c>
      <c r="F1367" s="363">
        <v>0</v>
      </c>
      <c r="G1367" s="361">
        <v>0</v>
      </c>
      <c r="H1367" s="361">
        <v>0</v>
      </c>
      <c r="I1367" s="362">
        <v>1328.28</v>
      </c>
    </row>
    <row r="1368" spans="1:9" x14ac:dyDescent="0.2">
      <c r="A1368" s="349" t="s">
        <v>341</v>
      </c>
      <c r="B1368" s="359">
        <v>32970</v>
      </c>
      <c r="C1368" s="349" t="s">
        <v>3462</v>
      </c>
      <c r="D1368" s="349" t="s">
        <v>961</v>
      </c>
      <c r="E1368" s="360">
        <v>312452.15999999997</v>
      </c>
      <c r="F1368" s="363">
        <v>0</v>
      </c>
      <c r="G1368" s="362">
        <v>9546.58</v>
      </c>
      <c r="H1368" s="362">
        <v>9546.58</v>
      </c>
      <c r="I1368" s="362">
        <v>321998.74</v>
      </c>
    </row>
    <row r="1369" spans="1:9" x14ac:dyDescent="0.2">
      <c r="A1369" s="349" t="s">
        <v>341</v>
      </c>
      <c r="B1369" s="359">
        <v>33032</v>
      </c>
      <c r="C1369" s="349" t="s">
        <v>3463</v>
      </c>
      <c r="D1369" s="349" t="s">
        <v>965</v>
      </c>
      <c r="E1369" s="360">
        <v>1043104.78</v>
      </c>
      <c r="F1369" s="363">
        <v>0</v>
      </c>
      <c r="G1369" s="362">
        <v>34725.51</v>
      </c>
      <c r="H1369" s="362">
        <v>34725.51</v>
      </c>
      <c r="I1369" s="362">
        <v>1077830.29</v>
      </c>
    </row>
    <row r="1370" spans="1:9" x14ac:dyDescent="0.2">
      <c r="A1370" s="349" t="s">
        <v>341</v>
      </c>
      <c r="B1370" s="359">
        <v>4923</v>
      </c>
      <c r="C1370" s="349" t="s">
        <v>3464</v>
      </c>
      <c r="D1370" s="349" t="s">
        <v>967</v>
      </c>
      <c r="E1370" s="360">
        <v>38957.11</v>
      </c>
      <c r="F1370" s="363">
        <v>0</v>
      </c>
      <c r="G1370" s="362">
        <v>5696.34</v>
      </c>
      <c r="H1370" s="362">
        <v>5696.34</v>
      </c>
      <c r="I1370" s="362">
        <v>44653.45</v>
      </c>
    </row>
    <row r="1371" spans="1:9" x14ac:dyDescent="0.2">
      <c r="A1371" s="349" t="s">
        <v>341</v>
      </c>
      <c r="B1371" s="359">
        <v>4925</v>
      </c>
      <c r="C1371" s="349" t="s">
        <v>3465</v>
      </c>
      <c r="D1371" s="349" t="s">
        <v>971</v>
      </c>
      <c r="E1371" s="363">
        <v>341.98</v>
      </c>
      <c r="F1371" s="363">
        <v>0</v>
      </c>
      <c r="G1371" s="361">
        <v>0</v>
      </c>
      <c r="H1371" s="361">
        <v>0</v>
      </c>
      <c r="I1371" s="361">
        <v>341.98</v>
      </c>
    </row>
    <row r="1372" spans="1:9" x14ac:dyDescent="0.2">
      <c r="A1372" s="349" t="s">
        <v>341</v>
      </c>
      <c r="B1372" s="359">
        <v>38174</v>
      </c>
      <c r="C1372" s="349" t="s">
        <v>3466</v>
      </c>
      <c r="D1372" s="349" t="s">
        <v>3467</v>
      </c>
      <c r="E1372" s="360">
        <v>11713544.48</v>
      </c>
      <c r="F1372" s="363">
        <v>0</v>
      </c>
      <c r="G1372" s="362">
        <v>861323.66</v>
      </c>
      <c r="H1372" s="362">
        <v>861323.66</v>
      </c>
      <c r="I1372" s="362">
        <v>12574868.140000001</v>
      </c>
    </row>
    <row r="1373" spans="1:9" x14ac:dyDescent="0.2">
      <c r="A1373" s="349" t="s">
        <v>341</v>
      </c>
      <c r="B1373" s="359">
        <v>37686</v>
      </c>
      <c r="C1373" s="349" t="s">
        <v>3468</v>
      </c>
      <c r="D1373" s="349" t="s">
        <v>3469</v>
      </c>
      <c r="E1373" s="360">
        <v>513510.88</v>
      </c>
      <c r="F1373" s="363">
        <v>0</v>
      </c>
      <c r="G1373" s="362">
        <v>22070.05</v>
      </c>
      <c r="H1373" s="362">
        <v>22070.05</v>
      </c>
      <c r="I1373" s="362">
        <v>535580.93000000005</v>
      </c>
    </row>
    <row r="1374" spans="1:9" x14ac:dyDescent="0.2">
      <c r="A1374" s="349" t="s">
        <v>341</v>
      </c>
      <c r="B1374" s="359">
        <v>33914</v>
      </c>
      <c r="C1374" s="349" t="s">
        <v>3470</v>
      </c>
      <c r="D1374" s="349" t="s">
        <v>981</v>
      </c>
      <c r="E1374" s="360">
        <v>9804.66</v>
      </c>
      <c r="F1374" s="363">
        <v>0</v>
      </c>
      <c r="G1374" s="361">
        <v>268.11</v>
      </c>
      <c r="H1374" s="361">
        <v>268.11</v>
      </c>
      <c r="I1374" s="362">
        <v>10072.77</v>
      </c>
    </row>
    <row r="1375" spans="1:9" x14ac:dyDescent="0.2">
      <c r="A1375" s="349" t="s">
        <v>341</v>
      </c>
      <c r="B1375" s="359">
        <v>4928</v>
      </c>
      <c r="C1375" s="349" t="s">
        <v>3471</v>
      </c>
      <c r="D1375" s="349" t="s">
        <v>3472</v>
      </c>
      <c r="E1375" s="360">
        <v>57630.42</v>
      </c>
      <c r="F1375" s="363">
        <v>0</v>
      </c>
      <c r="G1375" s="361">
        <v>55</v>
      </c>
      <c r="H1375" s="361">
        <v>55</v>
      </c>
      <c r="I1375" s="362">
        <v>57685.42</v>
      </c>
    </row>
    <row r="1376" spans="1:9" x14ac:dyDescent="0.2">
      <c r="A1376" s="349" t="s">
        <v>341</v>
      </c>
      <c r="B1376" s="359">
        <v>4930</v>
      </c>
      <c r="C1376" s="349" t="s">
        <v>3473</v>
      </c>
      <c r="D1376" s="349" t="s">
        <v>985</v>
      </c>
      <c r="E1376" s="360">
        <v>262223.82</v>
      </c>
      <c r="F1376" s="363">
        <v>0</v>
      </c>
      <c r="G1376" s="362">
        <v>11555.49</v>
      </c>
      <c r="H1376" s="362">
        <v>11555.49</v>
      </c>
      <c r="I1376" s="362">
        <v>273779.31</v>
      </c>
    </row>
    <row r="1377" spans="1:9" x14ac:dyDescent="0.2">
      <c r="A1377" s="349" t="s">
        <v>341</v>
      </c>
      <c r="B1377" s="359">
        <v>4931</v>
      </c>
      <c r="C1377" s="349" t="s">
        <v>3474</v>
      </c>
      <c r="D1377" s="349" t="s">
        <v>987</v>
      </c>
      <c r="E1377" s="360">
        <v>805898.22</v>
      </c>
      <c r="F1377" s="363">
        <v>0</v>
      </c>
      <c r="G1377" s="362">
        <v>74498.61</v>
      </c>
      <c r="H1377" s="362">
        <v>74498.61</v>
      </c>
      <c r="I1377" s="362">
        <v>880396.83</v>
      </c>
    </row>
    <row r="1378" spans="1:9" x14ac:dyDescent="0.2">
      <c r="A1378" s="349" t="s">
        <v>341</v>
      </c>
      <c r="B1378" s="359">
        <v>32801</v>
      </c>
      <c r="C1378" s="349" t="s">
        <v>3475</v>
      </c>
      <c r="D1378" s="349" t="s">
        <v>3476</v>
      </c>
      <c r="E1378" s="360">
        <v>1521.1</v>
      </c>
      <c r="F1378" s="363">
        <v>0</v>
      </c>
      <c r="G1378" s="361">
        <v>0</v>
      </c>
      <c r="H1378" s="361">
        <v>0</v>
      </c>
      <c r="I1378" s="362">
        <v>1521.1</v>
      </c>
    </row>
    <row r="1379" spans="1:9" x14ac:dyDescent="0.2">
      <c r="A1379" s="349" t="s">
        <v>341</v>
      </c>
      <c r="B1379" s="359">
        <v>4933</v>
      </c>
      <c r="C1379" s="349" t="s">
        <v>3477</v>
      </c>
      <c r="D1379" s="349" t="s">
        <v>3478</v>
      </c>
      <c r="E1379" s="360">
        <v>550688.03</v>
      </c>
      <c r="F1379" s="363">
        <v>0</v>
      </c>
      <c r="G1379" s="362">
        <v>4423.84</v>
      </c>
      <c r="H1379" s="362">
        <v>4423.84</v>
      </c>
      <c r="I1379" s="362">
        <v>555111.87</v>
      </c>
    </row>
    <row r="1380" spans="1:9" x14ac:dyDescent="0.2">
      <c r="A1380" s="349" t="s">
        <v>341</v>
      </c>
      <c r="B1380" s="359">
        <v>4935</v>
      </c>
      <c r="C1380" s="349" t="s">
        <v>3479</v>
      </c>
      <c r="D1380" s="349" t="s">
        <v>3480</v>
      </c>
      <c r="E1380" s="363">
        <v>985.56</v>
      </c>
      <c r="F1380" s="363">
        <v>0</v>
      </c>
      <c r="G1380" s="361">
        <v>0</v>
      </c>
      <c r="H1380" s="361">
        <v>0</v>
      </c>
      <c r="I1380" s="361">
        <v>985.56</v>
      </c>
    </row>
    <row r="1381" spans="1:9" x14ac:dyDescent="0.2">
      <c r="A1381" s="349" t="s">
        <v>341</v>
      </c>
      <c r="B1381" s="359">
        <v>4936</v>
      </c>
      <c r="C1381" s="349" t="s">
        <v>3481</v>
      </c>
      <c r="D1381" s="349" t="s">
        <v>3482</v>
      </c>
      <c r="E1381" s="360">
        <v>425692.12</v>
      </c>
      <c r="F1381" s="363">
        <v>0</v>
      </c>
      <c r="G1381" s="362">
        <v>26547.040000000001</v>
      </c>
      <c r="H1381" s="362">
        <v>26547.040000000001</v>
      </c>
      <c r="I1381" s="362">
        <v>452239.16</v>
      </c>
    </row>
    <row r="1382" spans="1:9" x14ac:dyDescent="0.2">
      <c r="A1382" s="349" t="s">
        <v>341</v>
      </c>
      <c r="B1382" s="359">
        <v>37049</v>
      </c>
      <c r="C1382" s="349" t="s">
        <v>3483</v>
      </c>
      <c r="D1382" s="349" t="s">
        <v>999</v>
      </c>
      <c r="E1382" s="360">
        <v>4550.24</v>
      </c>
      <c r="F1382" s="363">
        <v>0</v>
      </c>
      <c r="G1382" s="362">
        <v>12845.19</v>
      </c>
      <c r="H1382" s="362">
        <v>12845.19</v>
      </c>
      <c r="I1382" s="362">
        <v>17395.43</v>
      </c>
    </row>
    <row r="1383" spans="1:9" x14ac:dyDescent="0.2">
      <c r="A1383" s="349" t="s">
        <v>341</v>
      </c>
      <c r="B1383" s="359">
        <v>37850</v>
      </c>
      <c r="C1383" s="349" t="s">
        <v>3484</v>
      </c>
      <c r="D1383" s="349" t="s">
        <v>3485</v>
      </c>
      <c r="E1383" s="360">
        <v>466523</v>
      </c>
      <c r="F1383" s="363">
        <v>0</v>
      </c>
      <c r="G1383" s="362">
        <v>9694</v>
      </c>
      <c r="H1383" s="362">
        <v>9694</v>
      </c>
      <c r="I1383" s="362">
        <v>476217</v>
      </c>
    </row>
    <row r="1384" spans="1:9" x14ac:dyDescent="0.2">
      <c r="A1384" s="349" t="s">
        <v>341</v>
      </c>
      <c r="B1384" s="359">
        <v>32503</v>
      </c>
      <c r="C1384" s="349" t="s">
        <v>3486</v>
      </c>
      <c r="D1384" s="349" t="s">
        <v>3487</v>
      </c>
      <c r="E1384" s="360">
        <v>4366779.54</v>
      </c>
      <c r="F1384" s="363">
        <v>0</v>
      </c>
      <c r="G1384" s="362">
        <v>335680.26</v>
      </c>
      <c r="H1384" s="362">
        <v>335680.26</v>
      </c>
      <c r="I1384" s="362">
        <v>4702459.8</v>
      </c>
    </row>
    <row r="1385" spans="1:9" x14ac:dyDescent="0.2">
      <c r="A1385" s="349" t="s">
        <v>341</v>
      </c>
      <c r="B1385" s="359">
        <v>4945</v>
      </c>
      <c r="C1385" s="349" t="s">
        <v>3488</v>
      </c>
      <c r="D1385" s="349" t="s">
        <v>1007</v>
      </c>
      <c r="E1385" s="360">
        <v>12249071.41</v>
      </c>
      <c r="F1385" s="363">
        <v>0</v>
      </c>
      <c r="G1385" s="362">
        <v>1055600.01</v>
      </c>
      <c r="H1385" s="362">
        <v>1055600.01</v>
      </c>
      <c r="I1385" s="362">
        <v>13304671.42</v>
      </c>
    </row>
    <row r="1386" spans="1:9" x14ac:dyDescent="0.2">
      <c r="A1386" s="349" t="s">
        <v>341</v>
      </c>
      <c r="B1386" s="359">
        <v>33512</v>
      </c>
      <c r="C1386" s="349" t="s">
        <v>3489</v>
      </c>
      <c r="D1386" s="349" t="s">
        <v>1015</v>
      </c>
      <c r="E1386" s="360">
        <v>14840.94</v>
      </c>
      <c r="F1386" s="363">
        <v>0</v>
      </c>
      <c r="G1386" s="361">
        <v>0</v>
      </c>
      <c r="H1386" s="361">
        <v>0</v>
      </c>
      <c r="I1386" s="362">
        <v>14840.94</v>
      </c>
    </row>
    <row r="1387" spans="1:9" x14ac:dyDescent="0.2">
      <c r="A1387" s="349" t="s">
        <v>341</v>
      </c>
      <c r="B1387" s="359">
        <v>38253</v>
      </c>
      <c r="C1387" s="349" t="s">
        <v>3490</v>
      </c>
      <c r="D1387" s="349" t="s">
        <v>3491</v>
      </c>
      <c r="E1387" s="360">
        <v>223616.37</v>
      </c>
      <c r="F1387" s="363">
        <v>0</v>
      </c>
      <c r="G1387" s="361">
        <v>0</v>
      </c>
      <c r="H1387" s="361">
        <v>0</v>
      </c>
      <c r="I1387" s="362">
        <v>223616.37</v>
      </c>
    </row>
    <row r="1388" spans="1:9" x14ac:dyDescent="0.2">
      <c r="A1388" s="349" t="s">
        <v>341</v>
      </c>
      <c r="B1388" s="359">
        <v>38595</v>
      </c>
      <c r="C1388" s="349" t="s">
        <v>3492</v>
      </c>
      <c r="D1388" s="349" t="s">
        <v>3493</v>
      </c>
      <c r="E1388" s="360">
        <v>502512.01</v>
      </c>
      <c r="F1388" s="363">
        <v>0</v>
      </c>
      <c r="G1388" s="362">
        <v>38414.199999999997</v>
      </c>
      <c r="H1388" s="362">
        <v>38414.199999999997</v>
      </c>
      <c r="I1388" s="362">
        <v>540926.21</v>
      </c>
    </row>
    <row r="1389" spans="1:9" x14ac:dyDescent="0.2">
      <c r="A1389" s="349" t="s">
        <v>341</v>
      </c>
      <c r="B1389" s="359">
        <v>38683</v>
      </c>
      <c r="C1389" s="349" t="s">
        <v>3494</v>
      </c>
      <c r="D1389" s="349" t="s">
        <v>949</v>
      </c>
      <c r="E1389" s="360">
        <v>218691.82</v>
      </c>
      <c r="F1389" s="363">
        <v>0</v>
      </c>
      <c r="G1389" s="362">
        <v>14039.54</v>
      </c>
      <c r="H1389" s="362">
        <v>14039.54</v>
      </c>
      <c r="I1389" s="362">
        <v>232731.36</v>
      </c>
    </row>
    <row r="1390" spans="1:9" x14ac:dyDescent="0.2">
      <c r="A1390" s="349" t="s">
        <v>341</v>
      </c>
      <c r="B1390" s="359">
        <v>50871</v>
      </c>
      <c r="C1390" s="349" t="s">
        <v>3495</v>
      </c>
      <c r="D1390" s="349" t="s">
        <v>955</v>
      </c>
      <c r="E1390" s="360">
        <v>57154.68</v>
      </c>
      <c r="F1390" s="363">
        <v>0</v>
      </c>
      <c r="G1390" s="361">
        <v>82</v>
      </c>
      <c r="H1390" s="361">
        <v>82</v>
      </c>
      <c r="I1390" s="362">
        <v>57236.68</v>
      </c>
    </row>
    <row r="1391" spans="1:9" x14ac:dyDescent="0.2">
      <c r="A1391" s="349" t="s">
        <v>341</v>
      </c>
      <c r="B1391" s="359">
        <v>51150</v>
      </c>
      <c r="C1391" s="349" t="s">
        <v>3496</v>
      </c>
      <c r="D1391" s="349" t="s">
        <v>3049</v>
      </c>
      <c r="E1391" s="360">
        <v>55830173.640000001</v>
      </c>
      <c r="F1391" s="363">
        <v>0</v>
      </c>
      <c r="G1391" s="362">
        <v>4620695.13</v>
      </c>
      <c r="H1391" s="362">
        <v>4620695.13</v>
      </c>
      <c r="I1391" s="362">
        <v>60450868.770000003</v>
      </c>
    </row>
    <row r="1392" spans="1:9" x14ac:dyDescent="0.2">
      <c r="A1392" s="349" t="s">
        <v>341</v>
      </c>
      <c r="B1392" s="359">
        <v>51182</v>
      </c>
      <c r="C1392" s="349" t="s">
        <v>3497</v>
      </c>
      <c r="D1392" s="349" t="s">
        <v>3498</v>
      </c>
      <c r="E1392" s="360">
        <v>23420</v>
      </c>
      <c r="F1392" s="363">
        <v>0</v>
      </c>
      <c r="G1392" s="362">
        <v>1202</v>
      </c>
      <c r="H1392" s="362">
        <v>1202</v>
      </c>
      <c r="I1392" s="362">
        <v>24622</v>
      </c>
    </row>
    <row r="1393" spans="1:9" x14ac:dyDescent="0.2">
      <c r="A1393" s="349" t="s">
        <v>341</v>
      </c>
      <c r="B1393" s="359">
        <v>51197</v>
      </c>
      <c r="C1393" s="349" t="s">
        <v>3499</v>
      </c>
      <c r="D1393" s="349" t="s">
        <v>3500</v>
      </c>
      <c r="E1393" s="360">
        <v>15898.79</v>
      </c>
      <c r="F1393" s="363">
        <v>0</v>
      </c>
      <c r="G1393" s="361">
        <v>0</v>
      </c>
      <c r="H1393" s="361">
        <v>0</v>
      </c>
      <c r="I1393" s="362">
        <v>15898.79</v>
      </c>
    </row>
    <row r="1394" spans="1:9" x14ac:dyDescent="0.2">
      <c r="A1394" s="349" t="s">
        <v>341</v>
      </c>
      <c r="B1394" s="359">
        <v>51225</v>
      </c>
      <c r="C1394" s="349" t="s">
        <v>3501</v>
      </c>
      <c r="D1394" s="349" t="s">
        <v>3502</v>
      </c>
      <c r="E1394" s="360">
        <v>111758.12</v>
      </c>
      <c r="F1394" s="363">
        <v>0</v>
      </c>
      <c r="G1394" s="361">
        <v>0</v>
      </c>
      <c r="H1394" s="361">
        <v>0</v>
      </c>
      <c r="I1394" s="362">
        <v>111758.12</v>
      </c>
    </row>
    <row r="1395" spans="1:9" x14ac:dyDescent="0.2">
      <c r="A1395" s="349" t="s">
        <v>341</v>
      </c>
      <c r="B1395" s="359">
        <v>51322</v>
      </c>
      <c r="C1395" s="349" t="s">
        <v>3503</v>
      </c>
      <c r="D1395" s="349" t="s">
        <v>3504</v>
      </c>
      <c r="E1395" s="360">
        <v>9090.58</v>
      </c>
      <c r="F1395" s="363">
        <v>0</v>
      </c>
      <c r="G1395" s="361">
        <v>567.32000000000005</v>
      </c>
      <c r="H1395" s="361">
        <v>567.32000000000005</v>
      </c>
      <c r="I1395" s="362">
        <v>9657.9</v>
      </c>
    </row>
    <row r="1396" spans="1:9" x14ac:dyDescent="0.2">
      <c r="A1396" s="349" t="s">
        <v>341</v>
      </c>
      <c r="B1396" s="359">
        <v>51526</v>
      </c>
      <c r="C1396" s="349" t="s">
        <v>3505</v>
      </c>
      <c r="D1396" s="349" t="s">
        <v>3506</v>
      </c>
      <c r="E1396" s="360">
        <v>12726</v>
      </c>
      <c r="F1396" s="363">
        <v>0</v>
      </c>
      <c r="G1396" s="362">
        <v>1080</v>
      </c>
      <c r="H1396" s="362">
        <v>1080</v>
      </c>
      <c r="I1396" s="362">
        <v>13806</v>
      </c>
    </row>
    <row r="1397" spans="1:9" x14ac:dyDescent="0.2">
      <c r="A1397" s="349" t="s">
        <v>341</v>
      </c>
      <c r="B1397" s="359">
        <v>51841</v>
      </c>
      <c r="C1397" s="349" t="s">
        <v>3507</v>
      </c>
      <c r="D1397" s="349" t="s">
        <v>3508</v>
      </c>
      <c r="E1397" s="360">
        <v>167544.25</v>
      </c>
      <c r="F1397" s="363">
        <v>0</v>
      </c>
      <c r="G1397" s="362">
        <v>18618.47</v>
      </c>
      <c r="H1397" s="362">
        <v>18618.47</v>
      </c>
      <c r="I1397" s="362">
        <v>186162.72</v>
      </c>
    </row>
    <row r="1398" spans="1:9" x14ac:dyDescent="0.2">
      <c r="A1398" s="349" t="s">
        <v>341</v>
      </c>
      <c r="B1398" s="359">
        <v>52069</v>
      </c>
      <c r="C1398" s="349" t="s">
        <v>3509</v>
      </c>
      <c r="D1398" s="349" t="s">
        <v>3510</v>
      </c>
      <c r="E1398" s="360">
        <v>2357.4299999999998</v>
      </c>
      <c r="F1398" s="363">
        <v>0</v>
      </c>
      <c r="G1398" s="361">
        <v>0</v>
      </c>
      <c r="H1398" s="361">
        <v>0</v>
      </c>
      <c r="I1398" s="362">
        <v>2357.4299999999998</v>
      </c>
    </row>
    <row r="1399" spans="1:9" x14ac:dyDescent="0.2">
      <c r="A1399" s="349" t="s">
        <v>341</v>
      </c>
      <c r="B1399" s="359">
        <v>52106</v>
      </c>
      <c r="C1399" s="349" t="s">
        <v>3511</v>
      </c>
      <c r="D1399" s="349" t="s">
        <v>3512</v>
      </c>
      <c r="E1399" s="360">
        <v>34053.58</v>
      </c>
      <c r="F1399" s="363">
        <v>0</v>
      </c>
      <c r="G1399" s="361">
        <v>0</v>
      </c>
      <c r="H1399" s="361">
        <v>0</v>
      </c>
      <c r="I1399" s="362">
        <v>34053.58</v>
      </c>
    </row>
    <row r="1400" spans="1:9" x14ac:dyDescent="0.2">
      <c r="A1400" s="349" t="s">
        <v>341</v>
      </c>
      <c r="B1400" s="359">
        <v>52520</v>
      </c>
      <c r="C1400" s="349" t="s">
        <v>3513</v>
      </c>
      <c r="D1400" s="349" t="s">
        <v>3514</v>
      </c>
      <c r="E1400" s="360">
        <v>143080.29999999999</v>
      </c>
      <c r="F1400" s="363">
        <v>0</v>
      </c>
      <c r="G1400" s="362">
        <v>10418.950000000001</v>
      </c>
      <c r="H1400" s="362">
        <v>10418.950000000001</v>
      </c>
      <c r="I1400" s="362">
        <v>153499.25</v>
      </c>
    </row>
    <row r="1401" spans="1:9" x14ac:dyDescent="0.2">
      <c r="A1401" s="349" t="s">
        <v>341</v>
      </c>
      <c r="B1401" s="359">
        <v>52836</v>
      </c>
      <c r="C1401" s="349" t="s">
        <v>3515</v>
      </c>
      <c r="D1401" s="349" t="s">
        <v>3516</v>
      </c>
      <c r="E1401" s="360">
        <v>11202.14</v>
      </c>
      <c r="F1401" s="363">
        <v>0</v>
      </c>
      <c r="G1401" s="361">
        <v>0</v>
      </c>
      <c r="H1401" s="361">
        <v>0</v>
      </c>
      <c r="I1401" s="362">
        <v>11202.14</v>
      </c>
    </row>
    <row r="1402" spans="1:9" x14ac:dyDescent="0.2">
      <c r="A1402" s="349" t="s">
        <v>341</v>
      </c>
      <c r="B1402" s="359">
        <v>52885</v>
      </c>
      <c r="C1402" s="349" t="s">
        <v>3517</v>
      </c>
      <c r="D1402" s="349" t="s">
        <v>3518</v>
      </c>
      <c r="E1402" s="360">
        <v>460975.75</v>
      </c>
      <c r="F1402" s="363">
        <v>0</v>
      </c>
      <c r="G1402" s="362">
        <v>61682.15</v>
      </c>
      <c r="H1402" s="362">
        <v>61682.15</v>
      </c>
      <c r="I1402" s="362">
        <v>522657.9</v>
      </c>
    </row>
    <row r="1403" spans="1:9" x14ac:dyDescent="0.2">
      <c r="A1403" s="349" t="s">
        <v>341</v>
      </c>
      <c r="B1403" s="359">
        <v>52888</v>
      </c>
      <c r="C1403" s="349" t="s">
        <v>3519</v>
      </c>
      <c r="D1403" s="349" t="s">
        <v>3520</v>
      </c>
      <c r="E1403" s="360">
        <v>15303.3</v>
      </c>
      <c r="F1403" s="363">
        <v>0</v>
      </c>
      <c r="G1403" s="361">
        <v>0</v>
      </c>
      <c r="H1403" s="361">
        <v>0</v>
      </c>
      <c r="I1403" s="362">
        <v>15303.3</v>
      </c>
    </row>
    <row r="1404" spans="1:9" x14ac:dyDescent="0.2">
      <c r="A1404" s="349" t="s">
        <v>341</v>
      </c>
      <c r="B1404" s="359">
        <v>53084</v>
      </c>
      <c r="C1404" s="349" t="s">
        <v>3521</v>
      </c>
      <c r="D1404" s="349" t="s">
        <v>3522</v>
      </c>
      <c r="E1404" s="360">
        <v>19719.68</v>
      </c>
      <c r="F1404" s="363">
        <v>0</v>
      </c>
      <c r="G1404" s="361">
        <v>0</v>
      </c>
      <c r="H1404" s="361">
        <v>0</v>
      </c>
      <c r="I1404" s="362">
        <v>19719.68</v>
      </c>
    </row>
    <row r="1405" spans="1:9" x14ac:dyDescent="0.2">
      <c r="A1405" s="349" t="s">
        <v>341</v>
      </c>
      <c r="B1405" s="354">
        <v>53065</v>
      </c>
      <c r="C1405" s="355" t="s">
        <v>3523</v>
      </c>
      <c r="D1405" s="355" t="s">
        <v>3524</v>
      </c>
      <c r="E1405" s="356">
        <v>843702.16</v>
      </c>
      <c r="F1405" s="364">
        <v>200</v>
      </c>
      <c r="G1405" s="357">
        <v>99629.25</v>
      </c>
      <c r="H1405" s="357">
        <v>99429.25</v>
      </c>
      <c r="I1405" s="357">
        <v>943131.41</v>
      </c>
    </row>
    <row r="1406" spans="1:9" x14ac:dyDescent="0.2">
      <c r="A1406" s="349" t="s">
        <v>341</v>
      </c>
      <c r="B1406" s="359">
        <v>4904</v>
      </c>
      <c r="C1406" s="349" t="s">
        <v>3525</v>
      </c>
      <c r="D1406" s="349" t="s">
        <v>3524</v>
      </c>
      <c r="E1406" s="360">
        <v>843702.16</v>
      </c>
      <c r="F1406" s="363">
        <v>200</v>
      </c>
      <c r="G1406" s="362">
        <v>99629.25</v>
      </c>
      <c r="H1406" s="362">
        <v>99429.25</v>
      </c>
      <c r="I1406" s="362">
        <v>943131.41</v>
      </c>
    </row>
    <row r="1407" spans="1:9" x14ac:dyDescent="0.2">
      <c r="A1407" s="349" t="s">
        <v>341</v>
      </c>
      <c r="B1407" s="354">
        <v>4962</v>
      </c>
      <c r="C1407" s="355" t="s">
        <v>3526</v>
      </c>
      <c r="D1407" s="355" t="s">
        <v>3527</v>
      </c>
      <c r="E1407" s="356">
        <v>-354419.97</v>
      </c>
      <c r="F1407" s="356">
        <v>33109.33</v>
      </c>
      <c r="G1407" s="358">
        <v>0</v>
      </c>
      <c r="H1407" s="357">
        <v>-33109.33</v>
      </c>
      <c r="I1407" s="357">
        <v>-387529.3</v>
      </c>
    </row>
    <row r="1408" spans="1:9" x14ac:dyDescent="0.2">
      <c r="A1408" s="349" t="s">
        <v>341</v>
      </c>
      <c r="B1408" s="359">
        <v>36537</v>
      </c>
      <c r="C1408" s="349" t="s">
        <v>3528</v>
      </c>
      <c r="D1408" s="349" t="s">
        <v>3529</v>
      </c>
      <c r="E1408" s="360">
        <v>-9030.9</v>
      </c>
      <c r="F1408" s="363">
        <v>775.92</v>
      </c>
      <c r="G1408" s="361">
        <v>0</v>
      </c>
      <c r="H1408" s="361">
        <v>-775.92</v>
      </c>
      <c r="I1408" s="362">
        <v>-9806.82</v>
      </c>
    </row>
    <row r="1409" spans="1:9" x14ac:dyDescent="0.2">
      <c r="A1409" s="349" t="s">
        <v>341</v>
      </c>
      <c r="B1409" s="359">
        <v>36540</v>
      </c>
      <c r="C1409" s="349" t="s">
        <v>3530</v>
      </c>
      <c r="D1409" s="349" t="s">
        <v>3531</v>
      </c>
      <c r="E1409" s="360">
        <v>-34284.67</v>
      </c>
      <c r="F1409" s="363">
        <v>415.38</v>
      </c>
      <c r="G1409" s="361">
        <v>0</v>
      </c>
      <c r="H1409" s="361">
        <v>-415.38</v>
      </c>
      <c r="I1409" s="362">
        <v>-34700.050000000003</v>
      </c>
    </row>
    <row r="1410" spans="1:9" x14ac:dyDescent="0.2">
      <c r="A1410" s="349" t="s">
        <v>341</v>
      </c>
      <c r="B1410" s="359">
        <v>36539</v>
      </c>
      <c r="C1410" s="349" t="s">
        <v>3532</v>
      </c>
      <c r="D1410" s="349" t="s">
        <v>3531</v>
      </c>
      <c r="E1410" s="360">
        <v>-3577.05</v>
      </c>
      <c r="F1410" s="363">
        <v>0</v>
      </c>
      <c r="G1410" s="361">
        <v>0</v>
      </c>
      <c r="H1410" s="361">
        <v>0</v>
      </c>
      <c r="I1410" s="362">
        <v>-3577.05</v>
      </c>
    </row>
    <row r="1411" spans="1:9" x14ac:dyDescent="0.2">
      <c r="A1411" s="349" t="s">
        <v>341</v>
      </c>
      <c r="B1411" s="359">
        <v>36545</v>
      </c>
      <c r="C1411" s="349" t="s">
        <v>3533</v>
      </c>
      <c r="D1411" s="349" t="s">
        <v>3531</v>
      </c>
      <c r="E1411" s="360">
        <v>-1885.61</v>
      </c>
      <c r="F1411" s="363">
        <v>577.01</v>
      </c>
      <c r="G1411" s="361">
        <v>0</v>
      </c>
      <c r="H1411" s="361">
        <v>-577.01</v>
      </c>
      <c r="I1411" s="362">
        <v>-2462.62</v>
      </c>
    </row>
    <row r="1412" spans="1:9" x14ac:dyDescent="0.2">
      <c r="A1412" s="349" t="s">
        <v>341</v>
      </c>
      <c r="B1412" s="359">
        <v>36542</v>
      </c>
      <c r="C1412" s="349" t="s">
        <v>3534</v>
      </c>
      <c r="D1412" s="349" t="s">
        <v>3535</v>
      </c>
      <c r="E1412" s="360">
        <v>-3996.13</v>
      </c>
      <c r="F1412" s="363">
        <v>52</v>
      </c>
      <c r="G1412" s="361">
        <v>0</v>
      </c>
      <c r="H1412" s="361">
        <v>-52</v>
      </c>
      <c r="I1412" s="362">
        <v>-4048.13</v>
      </c>
    </row>
    <row r="1413" spans="1:9" x14ac:dyDescent="0.2">
      <c r="A1413" s="349" t="s">
        <v>341</v>
      </c>
      <c r="B1413" s="359">
        <v>36544</v>
      </c>
      <c r="C1413" s="349" t="s">
        <v>3536</v>
      </c>
      <c r="D1413" s="349" t="s">
        <v>3531</v>
      </c>
      <c r="E1413" s="363">
        <v>-4.7</v>
      </c>
      <c r="F1413" s="363">
        <v>0</v>
      </c>
      <c r="G1413" s="361">
        <v>0</v>
      </c>
      <c r="H1413" s="361">
        <v>0</v>
      </c>
      <c r="I1413" s="361">
        <v>-4.7</v>
      </c>
    </row>
    <row r="1414" spans="1:9" x14ac:dyDescent="0.2">
      <c r="A1414" s="349" t="s">
        <v>341</v>
      </c>
      <c r="B1414" s="359">
        <v>36546</v>
      </c>
      <c r="C1414" s="349" t="s">
        <v>3537</v>
      </c>
      <c r="D1414" s="349" t="s">
        <v>3531</v>
      </c>
      <c r="E1414" s="360">
        <v>-3368.17</v>
      </c>
      <c r="F1414" s="363">
        <v>39.42</v>
      </c>
      <c r="G1414" s="361">
        <v>0</v>
      </c>
      <c r="H1414" s="361">
        <v>-39.42</v>
      </c>
      <c r="I1414" s="362">
        <v>-3407.59</v>
      </c>
    </row>
    <row r="1415" spans="1:9" x14ac:dyDescent="0.2">
      <c r="A1415" s="349" t="s">
        <v>341</v>
      </c>
      <c r="B1415" s="359">
        <v>36541</v>
      </c>
      <c r="C1415" s="349" t="s">
        <v>3538</v>
      </c>
      <c r="D1415" s="349" t="s">
        <v>3539</v>
      </c>
      <c r="E1415" s="360">
        <v>-18821.509999999998</v>
      </c>
      <c r="F1415" s="363">
        <v>437.07</v>
      </c>
      <c r="G1415" s="361">
        <v>0</v>
      </c>
      <c r="H1415" s="361">
        <v>-437.07</v>
      </c>
      <c r="I1415" s="362">
        <v>-19258.580000000002</v>
      </c>
    </row>
    <row r="1416" spans="1:9" x14ac:dyDescent="0.2">
      <c r="A1416" s="349" t="s">
        <v>341</v>
      </c>
      <c r="B1416" s="359">
        <v>36538</v>
      </c>
      <c r="C1416" s="349" t="s">
        <v>3540</v>
      </c>
      <c r="D1416" s="349" t="s">
        <v>3531</v>
      </c>
      <c r="E1416" s="360">
        <v>-76443.58</v>
      </c>
      <c r="F1416" s="360">
        <v>1067.2</v>
      </c>
      <c r="G1416" s="361">
        <v>0</v>
      </c>
      <c r="H1416" s="362">
        <v>-1067.2</v>
      </c>
      <c r="I1416" s="362">
        <v>-77510.78</v>
      </c>
    </row>
    <row r="1417" spans="1:9" x14ac:dyDescent="0.2">
      <c r="A1417" s="349" t="s">
        <v>341</v>
      </c>
      <c r="B1417" s="359">
        <v>4966</v>
      </c>
      <c r="C1417" s="349" t="s">
        <v>3541</v>
      </c>
      <c r="D1417" s="349" t="s">
        <v>3531</v>
      </c>
      <c r="E1417" s="360">
        <v>-202076.53</v>
      </c>
      <c r="F1417" s="360">
        <v>29745.33</v>
      </c>
      <c r="G1417" s="361">
        <v>0</v>
      </c>
      <c r="H1417" s="362">
        <v>-29745.33</v>
      </c>
      <c r="I1417" s="362">
        <v>-231821.86</v>
      </c>
    </row>
    <row r="1418" spans="1:9" x14ac:dyDescent="0.2">
      <c r="A1418" s="349" t="s">
        <v>341</v>
      </c>
      <c r="B1418" s="359">
        <v>36535</v>
      </c>
      <c r="C1418" s="349" t="s">
        <v>3542</v>
      </c>
      <c r="D1418" s="349" t="s">
        <v>3531</v>
      </c>
      <c r="E1418" s="363">
        <v>-931.12</v>
      </c>
      <c r="F1418" s="363">
        <v>0</v>
      </c>
      <c r="G1418" s="361">
        <v>0</v>
      </c>
      <c r="H1418" s="361">
        <v>0</v>
      </c>
      <c r="I1418" s="361">
        <v>-931.12</v>
      </c>
    </row>
    <row r="1419" spans="1:9" x14ac:dyDescent="0.2">
      <c r="A1419" s="349" t="s">
        <v>341</v>
      </c>
      <c r="B1419" s="354">
        <v>40769</v>
      </c>
      <c r="C1419" s="355" t="s">
        <v>3543</v>
      </c>
      <c r="D1419" s="355" t="s">
        <v>3544</v>
      </c>
      <c r="E1419" s="356">
        <v>33434022.719999999</v>
      </c>
      <c r="F1419" s="356">
        <v>26922.15</v>
      </c>
      <c r="G1419" s="357">
        <v>3853859.87</v>
      </c>
      <c r="H1419" s="357">
        <v>3826937.72</v>
      </c>
      <c r="I1419" s="357">
        <v>37260960.439999998</v>
      </c>
    </row>
    <row r="1420" spans="1:9" x14ac:dyDescent="0.2">
      <c r="A1420" s="349" t="s">
        <v>341</v>
      </c>
      <c r="B1420" s="359">
        <v>4882</v>
      </c>
      <c r="C1420" s="349" t="s">
        <v>3545</v>
      </c>
      <c r="D1420" s="349" t="s">
        <v>1196</v>
      </c>
      <c r="E1420" s="360">
        <v>10556581.560000001</v>
      </c>
      <c r="F1420" s="363">
        <v>388.4</v>
      </c>
      <c r="G1420" s="362">
        <v>917407.23</v>
      </c>
      <c r="H1420" s="362">
        <v>917018.83</v>
      </c>
      <c r="I1420" s="362">
        <v>11473600.390000001</v>
      </c>
    </row>
    <row r="1421" spans="1:9" x14ac:dyDescent="0.2">
      <c r="A1421" s="349" t="s">
        <v>341</v>
      </c>
      <c r="B1421" s="359">
        <v>4887</v>
      </c>
      <c r="C1421" s="349" t="s">
        <v>3546</v>
      </c>
      <c r="D1421" s="349" t="s">
        <v>1198</v>
      </c>
      <c r="E1421" s="360">
        <v>19055193.68</v>
      </c>
      <c r="F1421" s="363">
        <v>0</v>
      </c>
      <c r="G1421" s="362">
        <v>1014033.53</v>
      </c>
      <c r="H1421" s="362">
        <v>1014033.53</v>
      </c>
      <c r="I1421" s="362">
        <v>20069227.210000001</v>
      </c>
    </row>
    <row r="1422" spans="1:9" x14ac:dyDescent="0.2">
      <c r="A1422" s="349" t="s">
        <v>341</v>
      </c>
      <c r="B1422" s="359">
        <v>4888</v>
      </c>
      <c r="C1422" s="349" t="s">
        <v>3547</v>
      </c>
      <c r="D1422" s="349" t="s">
        <v>1200</v>
      </c>
      <c r="E1422" s="360">
        <v>760271.65</v>
      </c>
      <c r="F1422" s="360">
        <v>23941.54</v>
      </c>
      <c r="G1422" s="362">
        <v>285659.84999999998</v>
      </c>
      <c r="H1422" s="362">
        <v>261718.31</v>
      </c>
      <c r="I1422" s="362">
        <v>1021989.96</v>
      </c>
    </row>
    <row r="1423" spans="1:9" x14ac:dyDescent="0.2">
      <c r="A1423" s="349" t="s">
        <v>341</v>
      </c>
      <c r="B1423" s="359">
        <v>53295</v>
      </c>
      <c r="C1423" s="349" t="s">
        <v>3548</v>
      </c>
      <c r="D1423" s="349" t="s">
        <v>1202</v>
      </c>
      <c r="E1423" s="360">
        <v>472345.95</v>
      </c>
      <c r="F1423" s="363">
        <v>0.05</v>
      </c>
      <c r="G1423" s="362">
        <v>170952.29</v>
      </c>
      <c r="H1423" s="362">
        <v>170952.24</v>
      </c>
      <c r="I1423" s="362">
        <v>643298.18999999994</v>
      </c>
    </row>
    <row r="1424" spans="1:9" x14ac:dyDescent="0.2">
      <c r="A1424" s="349" t="s">
        <v>341</v>
      </c>
      <c r="B1424" s="359">
        <v>53296</v>
      </c>
      <c r="C1424" s="349" t="s">
        <v>3549</v>
      </c>
      <c r="D1424" s="349" t="s">
        <v>1204</v>
      </c>
      <c r="E1424" s="360">
        <v>820414.26</v>
      </c>
      <c r="F1424" s="360">
        <v>2592.16</v>
      </c>
      <c r="G1424" s="362">
        <v>561096.89</v>
      </c>
      <c r="H1424" s="362">
        <v>558504.73</v>
      </c>
      <c r="I1424" s="362">
        <v>1378918.99</v>
      </c>
    </row>
    <row r="1425" spans="1:9" x14ac:dyDescent="0.2">
      <c r="A1425" s="349" t="s">
        <v>341</v>
      </c>
      <c r="B1425" s="359">
        <v>53330</v>
      </c>
      <c r="C1425" s="349" t="s">
        <v>3550</v>
      </c>
      <c r="D1425" s="349" t="s">
        <v>3551</v>
      </c>
      <c r="E1425" s="360">
        <v>1769215.62</v>
      </c>
      <c r="F1425" s="363">
        <v>0</v>
      </c>
      <c r="G1425" s="362">
        <v>904710.08</v>
      </c>
      <c r="H1425" s="362">
        <v>904710.08</v>
      </c>
      <c r="I1425" s="362">
        <v>2673925.7000000002</v>
      </c>
    </row>
    <row r="1426" spans="1:9" x14ac:dyDescent="0.2">
      <c r="A1426" s="349" t="s">
        <v>341</v>
      </c>
      <c r="B1426" s="354">
        <v>40774</v>
      </c>
      <c r="C1426" s="355" t="s">
        <v>3552</v>
      </c>
      <c r="D1426" s="355" t="s">
        <v>3553</v>
      </c>
      <c r="E1426" s="356">
        <v>2229953.38</v>
      </c>
      <c r="F1426" s="364">
        <v>0</v>
      </c>
      <c r="G1426" s="357">
        <v>215629.54</v>
      </c>
      <c r="H1426" s="357">
        <v>215629.54</v>
      </c>
      <c r="I1426" s="357">
        <v>2445582.92</v>
      </c>
    </row>
    <row r="1427" spans="1:9" x14ac:dyDescent="0.2">
      <c r="A1427" s="349" t="s">
        <v>341</v>
      </c>
      <c r="B1427" s="359">
        <v>5001</v>
      </c>
      <c r="C1427" s="349" t="s">
        <v>3554</v>
      </c>
      <c r="D1427" s="349" t="s">
        <v>3555</v>
      </c>
      <c r="E1427" s="360">
        <v>2014212.27</v>
      </c>
      <c r="F1427" s="363">
        <v>0</v>
      </c>
      <c r="G1427" s="362">
        <v>199784.83</v>
      </c>
      <c r="H1427" s="362">
        <v>199784.83</v>
      </c>
      <c r="I1427" s="362">
        <v>2213997.1</v>
      </c>
    </row>
    <row r="1428" spans="1:9" x14ac:dyDescent="0.2">
      <c r="A1428" s="349" t="s">
        <v>341</v>
      </c>
      <c r="B1428" s="359">
        <v>4993</v>
      </c>
      <c r="C1428" s="349" t="s">
        <v>3556</v>
      </c>
      <c r="D1428" s="349" t="s">
        <v>3557</v>
      </c>
      <c r="E1428" s="360">
        <v>215697.21</v>
      </c>
      <c r="F1428" s="363">
        <v>0</v>
      </c>
      <c r="G1428" s="362">
        <v>15844.71</v>
      </c>
      <c r="H1428" s="362">
        <v>15844.71</v>
      </c>
      <c r="I1428" s="362">
        <v>231541.92</v>
      </c>
    </row>
    <row r="1429" spans="1:9" x14ac:dyDescent="0.2">
      <c r="A1429" s="349" t="s">
        <v>341</v>
      </c>
      <c r="B1429" s="359">
        <v>4985</v>
      </c>
      <c r="C1429" s="349" t="s">
        <v>3558</v>
      </c>
      <c r="D1429" s="349" t="s">
        <v>3559</v>
      </c>
      <c r="E1429" s="363">
        <v>43.9</v>
      </c>
      <c r="F1429" s="363">
        <v>0</v>
      </c>
      <c r="G1429" s="361">
        <v>0</v>
      </c>
      <c r="H1429" s="361">
        <v>0</v>
      </c>
      <c r="I1429" s="361">
        <v>43.9</v>
      </c>
    </row>
    <row r="1430" spans="1:9" x14ac:dyDescent="0.2">
      <c r="A1430" s="349" t="s">
        <v>341</v>
      </c>
      <c r="B1430" s="354">
        <v>5137</v>
      </c>
      <c r="C1430" s="355" t="s">
        <v>3560</v>
      </c>
      <c r="D1430" s="355" t="s">
        <v>3561</v>
      </c>
      <c r="E1430" s="356">
        <v>858819.42</v>
      </c>
      <c r="F1430" s="364">
        <v>887.14</v>
      </c>
      <c r="G1430" s="357">
        <v>87487.73</v>
      </c>
      <c r="H1430" s="357">
        <v>86600.59</v>
      </c>
      <c r="I1430" s="357">
        <v>945420.01</v>
      </c>
    </row>
    <row r="1431" spans="1:9" x14ac:dyDescent="0.2">
      <c r="A1431" s="349" t="s">
        <v>341</v>
      </c>
      <c r="B1431" s="354">
        <v>5028</v>
      </c>
      <c r="C1431" s="355" t="s">
        <v>3562</v>
      </c>
      <c r="D1431" s="355" t="s">
        <v>3561</v>
      </c>
      <c r="E1431" s="356">
        <v>858819.42</v>
      </c>
      <c r="F1431" s="364">
        <v>887.14</v>
      </c>
      <c r="G1431" s="357">
        <v>87487.73</v>
      </c>
      <c r="H1431" s="357">
        <v>86600.59</v>
      </c>
      <c r="I1431" s="357">
        <v>945420.01</v>
      </c>
    </row>
    <row r="1432" spans="1:9" x14ac:dyDescent="0.2">
      <c r="A1432" s="349" t="s">
        <v>341</v>
      </c>
      <c r="B1432" s="354">
        <v>5130</v>
      </c>
      <c r="C1432" s="355" t="s">
        <v>3563</v>
      </c>
      <c r="D1432" s="355" t="s">
        <v>3564</v>
      </c>
      <c r="E1432" s="356">
        <v>858819.42</v>
      </c>
      <c r="F1432" s="364">
        <v>887.14</v>
      </c>
      <c r="G1432" s="357">
        <v>87487.73</v>
      </c>
      <c r="H1432" s="357">
        <v>86600.59</v>
      </c>
      <c r="I1432" s="357">
        <v>945420.01</v>
      </c>
    </row>
    <row r="1433" spans="1:9" x14ac:dyDescent="0.2">
      <c r="A1433" s="349" t="s">
        <v>341</v>
      </c>
      <c r="B1433" s="359">
        <v>12258</v>
      </c>
      <c r="C1433" s="349" t="s">
        <v>3565</v>
      </c>
      <c r="D1433" s="349" t="s">
        <v>3566</v>
      </c>
      <c r="E1433" s="360">
        <v>310885.34999999998</v>
      </c>
      <c r="F1433" s="363">
        <v>0</v>
      </c>
      <c r="G1433" s="362">
        <v>30174.06</v>
      </c>
      <c r="H1433" s="362">
        <v>30174.06</v>
      </c>
      <c r="I1433" s="362">
        <v>341059.41</v>
      </c>
    </row>
    <row r="1434" spans="1:9" x14ac:dyDescent="0.2">
      <c r="A1434" s="349" t="s">
        <v>341</v>
      </c>
      <c r="B1434" s="359">
        <v>12474</v>
      </c>
      <c r="C1434" s="349" t="s">
        <v>3567</v>
      </c>
      <c r="D1434" s="349" t="s">
        <v>3568</v>
      </c>
      <c r="E1434" s="360">
        <v>532118.28</v>
      </c>
      <c r="F1434" s="363">
        <v>887.14</v>
      </c>
      <c r="G1434" s="362">
        <v>55426.9</v>
      </c>
      <c r="H1434" s="362">
        <v>54539.76</v>
      </c>
      <c r="I1434" s="362">
        <v>586658.04</v>
      </c>
    </row>
    <row r="1435" spans="1:9" x14ac:dyDescent="0.2">
      <c r="A1435" s="349" t="s">
        <v>341</v>
      </c>
      <c r="B1435" s="359">
        <v>32733</v>
      </c>
      <c r="C1435" s="349" t="s">
        <v>3569</v>
      </c>
      <c r="D1435" s="349" t="s">
        <v>3570</v>
      </c>
      <c r="E1435" s="360">
        <v>15815.79</v>
      </c>
      <c r="F1435" s="363">
        <v>0</v>
      </c>
      <c r="G1435" s="362">
        <v>1886.77</v>
      </c>
      <c r="H1435" s="362">
        <v>1886.77</v>
      </c>
      <c r="I1435" s="362">
        <v>17702.560000000001</v>
      </c>
    </row>
    <row r="1436" spans="1:9" x14ac:dyDescent="0.2">
      <c r="A1436" s="349" t="s">
        <v>341</v>
      </c>
      <c r="B1436" s="354">
        <v>40784</v>
      </c>
      <c r="C1436" s="355" t="s">
        <v>3571</v>
      </c>
      <c r="D1436" s="355" t="s">
        <v>3572</v>
      </c>
      <c r="E1436" s="356">
        <v>259800</v>
      </c>
      <c r="F1436" s="364">
        <v>0</v>
      </c>
      <c r="G1436" s="357">
        <v>10300</v>
      </c>
      <c r="H1436" s="357">
        <v>10300</v>
      </c>
      <c r="I1436" s="357">
        <v>270100</v>
      </c>
    </row>
    <row r="1437" spans="1:9" x14ac:dyDescent="0.2">
      <c r="A1437" s="349" t="s">
        <v>341</v>
      </c>
      <c r="B1437" s="354">
        <v>40785</v>
      </c>
      <c r="C1437" s="355" t="s">
        <v>3573</v>
      </c>
      <c r="D1437" s="355" t="s">
        <v>3572</v>
      </c>
      <c r="E1437" s="356">
        <v>259800</v>
      </c>
      <c r="F1437" s="364">
        <v>0</v>
      </c>
      <c r="G1437" s="357">
        <v>10300</v>
      </c>
      <c r="H1437" s="357">
        <v>10300</v>
      </c>
      <c r="I1437" s="357">
        <v>270100</v>
      </c>
    </row>
    <row r="1438" spans="1:9" x14ac:dyDescent="0.2">
      <c r="A1438" s="349" t="s">
        <v>341</v>
      </c>
      <c r="B1438" s="354">
        <v>40786</v>
      </c>
      <c r="C1438" s="355" t="s">
        <v>3574</v>
      </c>
      <c r="D1438" s="355" t="s">
        <v>3575</v>
      </c>
      <c r="E1438" s="356">
        <v>121800</v>
      </c>
      <c r="F1438" s="364">
        <v>0</v>
      </c>
      <c r="G1438" s="357">
        <v>10300</v>
      </c>
      <c r="H1438" s="357">
        <v>10300</v>
      </c>
      <c r="I1438" s="357">
        <v>132100</v>
      </c>
    </row>
    <row r="1439" spans="1:9" x14ac:dyDescent="0.2">
      <c r="A1439" s="349" t="s">
        <v>341</v>
      </c>
      <c r="B1439" s="359">
        <v>27432</v>
      </c>
      <c r="C1439" s="349" t="s">
        <v>3576</v>
      </c>
      <c r="D1439" s="349" t="s">
        <v>3577</v>
      </c>
      <c r="E1439" s="360">
        <v>121800</v>
      </c>
      <c r="F1439" s="363">
        <v>0</v>
      </c>
      <c r="G1439" s="362">
        <v>10300</v>
      </c>
      <c r="H1439" s="362">
        <v>10300</v>
      </c>
      <c r="I1439" s="362">
        <v>132100</v>
      </c>
    </row>
    <row r="1440" spans="1:9" x14ac:dyDescent="0.2">
      <c r="A1440" s="349" t="s">
        <v>341</v>
      </c>
      <c r="B1440" s="354">
        <v>40703</v>
      </c>
      <c r="C1440" s="355" t="s">
        <v>3578</v>
      </c>
      <c r="D1440" s="355" t="s">
        <v>3579</v>
      </c>
      <c r="E1440" s="356">
        <v>138000</v>
      </c>
      <c r="F1440" s="364">
        <v>0</v>
      </c>
      <c r="G1440" s="358">
        <v>0</v>
      </c>
      <c r="H1440" s="358">
        <v>0</v>
      </c>
      <c r="I1440" s="357">
        <v>138000</v>
      </c>
    </row>
    <row r="1441" spans="1:9" x14ac:dyDescent="0.2">
      <c r="A1441" s="349" t="s">
        <v>341</v>
      </c>
      <c r="B1441" s="359">
        <v>27455</v>
      </c>
      <c r="C1441" s="349" t="s">
        <v>3580</v>
      </c>
      <c r="D1441" s="349" t="s">
        <v>3581</v>
      </c>
      <c r="E1441" s="360">
        <v>128000</v>
      </c>
      <c r="F1441" s="363">
        <v>0</v>
      </c>
      <c r="G1441" s="361">
        <v>0</v>
      </c>
      <c r="H1441" s="361">
        <v>0</v>
      </c>
      <c r="I1441" s="362">
        <v>128000</v>
      </c>
    </row>
    <row r="1442" spans="1:9" x14ac:dyDescent="0.2">
      <c r="A1442" s="349" t="s">
        <v>341</v>
      </c>
      <c r="B1442" s="359">
        <v>27449</v>
      </c>
      <c r="C1442" s="349" t="s">
        <v>3582</v>
      </c>
      <c r="D1442" s="349" t="s">
        <v>3583</v>
      </c>
      <c r="E1442" s="360">
        <v>10000</v>
      </c>
      <c r="F1442" s="363">
        <v>0</v>
      </c>
      <c r="G1442" s="361">
        <v>0</v>
      </c>
      <c r="H1442" s="361">
        <v>0</v>
      </c>
      <c r="I1442" s="362">
        <v>10000</v>
      </c>
    </row>
    <row r="1443" spans="1:9" x14ac:dyDescent="0.2">
      <c r="A1443" s="349" t="s">
        <v>341</v>
      </c>
      <c r="B1443" s="354">
        <v>53066</v>
      </c>
      <c r="C1443" s="355" t="s">
        <v>3584</v>
      </c>
      <c r="D1443" s="355" t="s">
        <v>3585</v>
      </c>
      <c r="E1443" s="356">
        <v>12774908.4</v>
      </c>
      <c r="F1443" s="364">
        <v>160</v>
      </c>
      <c r="G1443" s="357">
        <v>980122.7</v>
      </c>
      <c r="H1443" s="357">
        <v>979962.7</v>
      </c>
      <c r="I1443" s="357">
        <v>13754871.1</v>
      </c>
    </row>
    <row r="1444" spans="1:9" x14ac:dyDescent="0.2">
      <c r="A1444" s="349" t="s">
        <v>341</v>
      </c>
      <c r="B1444" s="354">
        <v>53067</v>
      </c>
      <c r="C1444" s="355" t="s">
        <v>3586</v>
      </c>
      <c r="D1444" s="355" t="s">
        <v>3587</v>
      </c>
      <c r="E1444" s="356">
        <v>12774908.4</v>
      </c>
      <c r="F1444" s="364">
        <v>160</v>
      </c>
      <c r="G1444" s="357">
        <v>980122.7</v>
      </c>
      <c r="H1444" s="357">
        <v>979962.7</v>
      </c>
      <c r="I1444" s="357">
        <v>13754871.1</v>
      </c>
    </row>
    <row r="1445" spans="1:9" x14ac:dyDescent="0.2">
      <c r="A1445" s="349" t="s">
        <v>341</v>
      </c>
      <c r="B1445" s="354">
        <v>53068</v>
      </c>
      <c r="C1445" s="355" t="s">
        <v>3588</v>
      </c>
      <c r="D1445" s="355" t="s">
        <v>3587</v>
      </c>
      <c r="E1445" s="356">
        <v>12774908.4</v>
      </c>
      <c r="F1445" s="364">
        <v>160</v>
      </c>
      <c r="G1445" s="357">
        <v>980122.7</v>
      </c>
      <c r="H1445" s="357">
        <v>979962.7</v>
      </c>
      <c r="I1445" s="357">
        <v>13754871.1</v>
      </c>
    </row>
    <row r="1446" spans="1:9" x14ac:dyDescent="0.2">
      <c r="A1446" s="349" t="s">
        <v>341</v>
      </c>
      <c r="B1446" s="359">
        <v>5186</v>
      </c>
      <c r="C1446" s="349" t="s">
        <v>3589</v>
      </c>
      <c r="D1446" s="349" t="s">
        <v>1245</v>
      </c>
      <c r="E1446" s="360">
        <v>6399105</v>
      </c>
      <c r="F1446" s="363">
        <v>0</v>
      </c>
      <c r="G1446" s="362">
        <v>533258.75</v>
      </c>
      <c r="H1446" s="362">
        <v>533258.75</v>
      </c>
      <c r="I1446" s="362">
        <v>6932363.75</v>
      </c>
    </row>
    <row r="1447" spans="1:9" x14ac:dyDescent="0.2">
      <c r="A1447" s="349" t="s">
        <v>341</v>
      </c>
      <c r="B1447" s="359">
        <v>5193</v>
      </c>
      <c r="C1447" s="349" t="s">
        <v>3590</v>
      </c>
      <c r="D1447" s="349" t="s">
        <v>3591</v>
      </c>
      <c r="E1447" s="360">
        <v>184894.87</v>
      </c>
      <c r="F1447" s="363">
        <v>0</v>
      </c>
      <c r="G1447" s="362">
        <v>10000</v>
      </c>
      <c r="H1447" s="362">
        <v>10000</v>
      </c>
      <c r="I1447" s="362">
        <v>194894.87</v>
      </c>
    </row>
    <row r="1448" spans="1:9" x14ac:dyDescent="0.2">
      <c r="A1448" s="349" t="s">
        <v>341</v>
      </c>
      <c r="B1448" s="359">
        <v>5194</v>
      </c>
      <c r="C1448" s="349" t="s">
        <v>3592</v>
      </c>
      <c r="D1448" s="349" t="s">
        <v>3593</v>
      </c>
      <c r="E1448" s="360">
        <v>24542.19</v>
      </c>
      <c r="F1448" s="363">
        <v>0</v>
      </c>
      <c r="G1448" s="361">
        <v>6.2</v>
      </c>
      <c r="H1448" s="361">
        <v>6.2</v>
      </c>
      <c r="I1448" s="362">
        <v>24548.39</v>
      </c>
    </row>
    <row r="1449" spans="1:9" x14ac:dyDescent="0.2">
      <c r="A1449" s="349" t="s">
        <v>341</v>
      </c>
      <c r="B1449" s="359">
        <v>5195</v>
      </c>
      <c r="C1449" s="349" t="s">
        <v>3594</v>
      </c>
      <c r="D1449" s="349" t="s">
        <v>3595</v>
      </c>
      <c r="E1449" s="360">
        <v>8656.19</v>
      </c>
      <c r="F1449" s="363">
        <v>0</v>
      </c>
      <c r="G1449" s="361">
        <v>0</v>
      </c>
      <c r="H1449" s="361">
        <v>0</v>
      </c>
      <c r="I1449" s="362">
        <v>8656.19</v>
      </c>
    </row>
    <row r="1450" spans="1:9" x14ac:dyDescent="0.2">
      <c r="A1450" s="349" t="s">
        <v>341</v>
      </c>
      <c r="B1450" s="359">
        <v>51260</v>
      </c>
      <c r="C1450" s="349" t="s">
        <v>3596</v>
      </c>
      <c r="D1450" s="349" t="s">
        <v>3597</v>
      </c>
      <c r="E1450" s="360">
        <v>364705.86</v>
      </c>
      <c r="F1450" s="363">
        <v>0</v>
      </c>
      <c r="G1450" s="362">
        <v>38805.39</v>
      </c>
      <c r="H1450" s="362">
        <v>38805.39</v>
      </c>
      <c r="I1450" s="362">
        <v>403511.25</v>
      </c>
    </row>
    <row r="1451" spans="1:9" x14ac:dyDescent="0.2">
      <c r="A1451" s="349" t="s">
        <v>341</v>
      </c>
      <c r="B1451" s="359">
        <v>51680</v>
      </c>
      <c r="C1451" s="349" t="s">
        <v>3598</v>
      </c>
      <c r="D1451" s="349" t="s">
        <v>9</v>
      </c>
      <c r="E1451" s="360">
        <v>2388542.52</v>
      </c>
      <c r="F1451" s="363">
        <v>0</v>
      </c>
      <c r="G1451" s="362">
        <v>199045.21</v>
      </c>
      <c r="H1451" s="362">
        <v>199045.21</v>
      </c>
      <c r="I1451" s="362">
        <v>2587587.73</v>
      </c>
    </row>
    <row r="1452" spans="1:9" x14ac:dyDescent="0.2">
      <c r="A1452" s="349" t="s">
        <v>341</v>
      </c>
      <c r="B1452" s="359">
        <v>51681</v>
      </c>
      <c r="C1452" s="349" t="s">
        <v>3599</v>
      </c>
      <c r="D1452" s="349" t="s">
        <v>1243</v>
      </c>
      <c r="E1452" s="360">
        <v>844323.83999999997</v>
      </c>
      <c r="F1452" s="363">
        <v>0</v>
      </c>
      <c r="G1452" s="362">
        <v>70360.320000000007</v>
      </c>
      <c r="H1452" s="362">
        <v>70360.320000000007</v>
      </c>
      <c r="I1452" s="362">
        <v>914684.16</v>
      </c>
    </row>
    <row r="1453" spans="1:9" x14ac:dyDescent="0.2">
      <c r="A1453" s="349" t="s">
        <v>341</v>
      </c>
      <c r="B1453" s="359">
        <v>5180</v>
      </c>
      <c r="C1453" s="349" t="s">
        <v>3600</v>
      </c>
      <c r="D1453" s="349" t="s">
        <v>3601</v>
      </c>
      <c r="E1453" s="360">
        <v>236000</v>
      </c>
      <c r="F1453" s="363">
        <v>0</v>
      </c>
      <c r="G1453" s="362">
        <v>15000</v>
      </c>
      <c r="H1453" s="362">
        <v>15000</v>
      </c>
      <c r="I1453" s="362">
        <v>251000</v>
      </c>
    </row>
    <row r="1454" spans="1:9" x14ac:dyDescent="0.2">
      <c r="A1454" s="349" t="s">
        <v>341</v>
      </c>
      <c r="B1454" s="359">
        <v>5181</v>
      </c>
      <c r="C1454" s="349" t="s">
        <v>3602</v>
      </c>
      <c r="D1454" s="349" t="s">
        <v>3603</v>
      </c>
      <c r="E1454" s="360">
        <v>1007.95</v>
      </c>
      <c r="F1454" s="363">
        <v>0</v>
      </c>
      <c r="G1454" s="361">
        <v>585.04</v>
      </c>
      <c r="H1454" s="361">
        <v>585.04</v>
      </c>
      <c r="I1454" s="362">
        <v>1592.99</v>
      </c>
    </row>
    <row r="1455" spans="1:9" x14ac:dyDescent="0.2">
      <c r="A1455" s="349" t="s">
        <v>341</v>
      </c>
      <c r="B1455" s="359">
        <v>52302</v>
      </c>
      <c r="C1455" s="349" t="s">
        <v>3604</v>
      </c>
      <c r="D1455" s="349" t="s">
        <v>3605</v>
      </c>
      <c r="E1455" s="360">
        <v>295890</v>
      </c>
      <c r="F1455" s="363">
        <v>160</v>
      </c>
      <c r="G1455" s="362">
        <v>22110.31</v>
      </c>
      <c r="H1455" s="362">
        <v>21950.31</v>
      </c>
      <c r="I1455" s="362">
        <v>317840.31</v>
      </c>
    </row>
    <row r="1456" spans="1:9" x14ac:dyDescent="0.2">
      <c r="A1456" s="349" t="s">
        <v>341</v>
      </c>
      <c r="B1456" s="359">
        <v>5199</v>
      </c>
      <c r="C1456" s="349" t="s">
        <v>3606</v>
      </c>
      <c r="D1456" s="349" t="s">
        <v>3607</v>
      </c>
      <c r="E1456" s="360">
        <v>2737</v>
      </c>
      <c r="F1456" s="363">
        <v>0</v>
      </c>
      <c r="G1456" s="361">
        <v>0</v>
      </c>
      <c r="H1456" s="361">
        <v>0</v>
      </c>
      <c r="I1456" s="362">
        <v>2737</v>
      </c>
    </row>
    <row r="1457" spans="1:9" x14ac:dyDescent="0.2">
      <c r="A1457" s="349" t="s">
        <v>341</v>
      </c>
      <c r="B1457" s="359">
        <v>53260</v>
      </c>
      <c r="C1457" s="349" t="s">
        <v>3608</v>
      </c>
      <c r="D1457" s="349" t="s">
        <v>3609</v>
      </c>
      <c r="E1457" s="360">
        <v>1476500</v>
      </c>
      <c r="F1457" s="363">
        <v>0</v>
      </c>
      <c r="G1457" s="361">
        <v>0</v>
      </c>
      <c r="H1457" s="361">
        <v>0</v>
      </c>
      <c r="I1457" s="362">
        <v>1476500</v>
      </c>
    </row>
    <row r="1458" spans="1:9" x14ac:dyDescent="0.2">
      <c r="A1458" s="349" t="s">
        <v>341</v>
      </c>
      <c r="B1458" s="359">
        <v>53327</v>
      </c>
      <c r="C1458" s="349" t="s">
        <v>3610</v>
      </c>
      <c r="D1458" s="349" t="s">
        <v>3611</v>
      </c>
      <c r="E1458" s="360">
        <v>398002.98</v>
      </c>
      <c r="F1458" s="363">
        <v>0</v>
      </c>
      <c r="G1458" s="361">
        <v>0</v>
      </c>
      <c r="H1458" s="361">
        <v>0</v>
      </c>
      <c r="I1458" s="362">
        <v>398002.98</v>
      </c>
    </row>
    <row r="1459" spans="1:9" x14ac:dyDescent="0.2">
      <c r="A1459" s="349" t="s">
        <v>341</v>
      </c>
      <c r="B1459" s="359">
        <v>53475</v>
      </c>
      <c r="C1459" s="349" t="s">
        <v>3612</v>
      </c>
      <c r="D1459" s="349" t="s">
        <v>1221</v>
      </c>
      <c r="E1459" s="360">
        <v>150000</v>
      </c>
      <c r="F1459" s="363">
        <v>0</v>
      </c>
      <c r="G1459" s="362">
        <v>30000</v>
      </c>
      <c r="H1459" s="362">
        <v>30000</v>
      </c>
      <c r="I1459" s="362">
        <v>180000</v>
      </c>
    </row>
    <row r="1460" spans="1:9" x14ac:dyDescent="0.2">
      <c r="A1460" s="349" t="s">
        <v>341</v>
      </c>
      <c r="B1460" s="359">
        <v>53722</v>
      </c>
      <c r="C1460" s="349" t="s">
        <v>3613</v>
      </c>
      <c r="D1460" s="349" t="s">
        <v>3614</v>
      </c>
      <c r="E1460" s="363">
        <v>0</v>
      </c>
      <c r="F1460" s="363">
        <v>0</v>
      </c>
      <c r="G1460" s="362">
        <v>60951.48</v>
      </c>
      <c r="H1460" s="362">
        <v>60951.48</v>
      </c>
      <c r="I1460" s="362">
        <v>60951.48</v>
      </c>
    </row>
    <row r="1461" spans="1:9" x14ac:dyDescent="0.2">
      <c r="A1461" s="349" t="s">
        <v>341</v>
      </c>
      <c r="B1461" s="354">
        <v>5128</v>
      </c>
      <c r="C1461" s="355" t="s">
        <v>3615</v>
      </c>
      <c r="D1461" s="355" t="s">
        <v>3616</v>
      </c>
      <c r="E1461" s="356">
        <v>926265.55</v>
      </c>
      <c r="F1461" s="364">
        <v>0</v>
      </c>
      <c r="G1461" s="357">
        <v>12332.66</v>
      </c>
      <c r="H1461" s="357">
        <v>12332.66</v>
      </c>
      <c r="I1461" s="357">
        <v>938598.21</v>
      </c>
    </row>
    <row r="1462" spans="1:9" x14ac:dyDescent="0.2">
      <c r="A1462" s="349" t="s">
        <v>341</v>
      </c>
      <c r="B1462" s="354">
        <v>38580</v>
      </c>
      <c r="C1462" s="355" t="s">
        <v>3617</v>
      </c>
      <c r="D1462" s="355" t="s">
        <v>3616</v>
      </c>
      <c r="E1462" s="356">
        <v>926265.55</v>
      </c>
      <c r="F1462" s="364">
        <v>0</v>
      </c>
      <c r="G1462" s="357">
        <v>12332.66</v>
      </c>
      <c r="H1462" s="357">
        <v>12332.66</v>
      </c>
      <c r="I1462" s="357">
        <v>938598.21</v>
      </c>
    </row>
    <row r="1463" spans="1:9" x14ac:dyDescent="0.2">
      <c r="A1463" s="349" t="s">
        <v>341</v>
      </c>
      <c r="B1463" s="354">
        <v>38581</v>
      </c>
      <c r="C1463" s="355" t="s">
        <v>3618</v>
      </c>
      <c r="D1463" s="355" t="s">
        <v>3616</v>
      </c>
      <c r="E1463" s="356">
        <v>926265.55</v>
      </c>
      <c r="F1463" s="364">
        <v>0</v>
      </c>
      <c r="G1463" s="357">
        <v>12332.66</v>
      </c>
      <c r="H1463" s="357">
        <v>12332.66</v>
      </c>
      <c r="I1463" s="357">
        <v>938598.21</v>
      </c>
    </row>
    <row r="1464" spans="1:9" x14ac:dyDescent="0.2">
      <c r="A1464" s="349" t="s">
        <v>341</v>
      </c>
      <c r="B1464" s="359">
        <v>38583</v>
      </c>
      <c r="C1464" s="349" t="s">
        <v>3619</v>
      </c>
      <c r="D1464" s="349" t="s">
        <v>3616</v>
      </c>
      <c r="E1464" s="360">
        <v>165434.53</v>
      </c>
      <c r="F1464" s="363">
        <v>0</v>
      </c>
      <c r="G1464" s="361">
        <v>0</v>
      </c>
      <c r="H1464" s="361">
        <v>0</v>
      </c>
      <c r="I1464" s="362">
        <v>165434.53</v>
      </c>
    </row>
    <row r="1465" spans="1:9" x14ac:dyDescent="0.2">
      <c r="A1465" s="349" t="s">
        <v>341</v>
      </c>
      <c r="B1465" s="359">
        <v>27379</v>
      </c>
      <c r="C1465" s="349" t="s">
        <v>3620</v>
      </c>
      <c r="D1465" s="349" t="s">
        <v>3621</v>
      </c>
      <c r="E1465" s="360">
        <v>709329.12</v>
      </c>
      <c r="F1465" s="363">
        <v>0</v>
      </c>
      <c r="G1465" s="362">
        <v>11549.99</v>
      </c>
      <c r="H1465" s="362">
        <v>11549.99</v>
      </c>
      <c r="I1465" s="362">
        <v>720879.11</v>
      </c>
    </row>
    <row r="1466" spans="1:9" x14ac:dyDescent="0.2">
      <c r="A1466" s="349" t="s">
        <v>341</v>
      </c>
      <c r="B1466" s="359">
        <v>38009</v>
      </c>
      <c r="C1466" s="349" t="s">
        <v>3622</v>
      </c>
      <c r="D1466" s="349" t="s">
        <v>3623</v>
      </c>
      <c r="E1466" s="360">
        <v>51501.9</v>
      </c>
      <c r="F1466" s="363">
        <v>0</v>
      </c>
      <c r="G1466" s="361">
        <v>782.67</v>
      </c>
      <c r="H1466" s="361">
        <v>782.67</v>
      </c>
      <c r="I1466" s="362">
        <v>52284.57</v>
      </c>
    </row>
    <row r="1467" spans="1:9" x14ac:dyDescent="0.2">
      <c r="A1467" s="349" t="s">
        <v>341</v>
      </c>
      <c r="B1467" s="354">
        <v>5200</v>
      </c>
      <c r="C1467" s="355" t="s">
        <v>349</v>
      </c>
      <c r="D1467" s="355" t="s">
        <v>340</v>
      </c>
      <c r="E1467" s="356">
        <v>135714640.25</v>
      </c>
      <c r="F1467" s="356">
        <v>15019621.41</v>
      </c>
      <c r="G1467" s="357">
        <v>2712921.06</v>
      </c>
      <c r="H1467" s="357">
        <v>12306700.35</v>
      </c>
      <c r="I1467" s="357">
        <v>148021340.59999999</v>
      </c>
    </row>
    <row r="1468" spans="1:9" x14ac:dyDescent="0.2">
      <c r="A1468" s="349" t="s">
        <v>341</v>
      </c>
      <c r="B1468" s="354">
        <v>40535</v>
      </c>
      <c r="C1468" s="355" t="s">
        <v>350</v>
      </c>
      <c r="D1468" s="355" t="s">
        <v>351</v>
      </c>
      <c r="E1468" s="356">
        <v>112889459.34999999</v>
      </c>
      <c r="F1468" s="356">
        <v>11663388.75</v>
      </c>
      <c r="G1468" s="357">
        <v>1825463.53</v>
      </c>
      <c r="H1468" s="357">
        <v>9837925.2200000007</v>
      </c>
      <c r="I1468" s="357">
        <v>122727384.56999999</v>
      </c>
    </row>
    <row r="1469" spans="1:9" x14ac:dyDescent="0.2">
      <c r="A1469" s="349" t="s">
        <v>341</v>
      </c>
      <c r="B1469" s="354">
        <v>10788</v>
      </c>
      <c r="C1469" s="355" t="s">
        <v>352</v>
      </c>
      <c r="D1469" s="355" t="s">
        <v>353</v>
      </c>
      <c r="E1469" s="356">
        <v>87855940.900000006</v>
      </c>
      <c r="F1469" s="356">
        <v>8191982.9199999999</v>
      </c>
      <c r="G1469" s="357">
        <v>698227.63</v>
      </c>
      <c r="H1469" s="357">
        <v>7493755.29</v>
      </c>
      <c r="I1469" s="357">
        <v>95349696.189999998</v>
      </c>
    </row>
    <row r="1470" spans="1:9" x14ac:dyDescent="0.2">
      <c r="A1470" s="349" t="s">
        <v>341</v>
      </c>
      <c r="B1470" s="354">
        <v>53520</v>
      </c>
      <c r="C1470" s="355" t="s">
        <v>354</v>
      </c>
      <c r="D1470" s="355" t="s">
        <v>355</v>
      </c>
      <c r="E1470" s="356">
        <v>1357920.46</v>
      </c>
      <c r="F1470" s="356">
        <v>139208.25</v>
      </c>
      <c r="G1470" s="358">
        <v>0</v>
      </c>
      <c r="H1470" s="357">
        <v>139208.25</v>
      </c>
      <c r="I1470" s="357">
        <v>1497128.71</v>
      </c>
    </row>
    <row r="1471" spans="1:9" x14ac:dyDescent="0.2">
      <c r="A1471" s="349" t="s">
        <v>341</v>
      </c>
      <c r="B1471" s="359">
        <v>53495</v>
      </c>
      <c r="C1471" s="349" t="s">
        <v>356</v>
      </c>
      <c r="D1471" s="349" t="s">
        <v>357</v>
      </c>
      <c r="E1471" s="360">
        <v>1357920.46</v>
      </c>
      <c r="F1471" s="360">
        <v>139208.25</v>
      </c>
      <c r="G1471" s="361">
        <v>0</v>
      </c>
      <c r="H1471" s="362">
        <v>139208.25</v>
      </c>
      <c r="I1471" s="362">
        <v>1497128.71</v>
      </c>
    </row>
    <row r="1472" spans="1:9" x14ac:dyDescent="0.2">
      <c r="A1472" s="349" t="s">
        <v>341</v>
      </c>
      <c r="B1472" s="354">
        <v>10789</v>
      </c>
      <c r="C1472" s="355" t="s">
        <v>358</v>
      </c>
      <c r="D1472" s="355" t="s">
        <v>359</v>
      </c>
      <c r="E1472" s="356">
        <v>25085496.210000001</v>
      </c>
      <c r="F1472" s="356">
        <v>2221351.62</v>
      </c>
      <c r="G1472" s="357">
        <v>20611.95</v>
      </c>
      <c r="H1472" s="357">
        <v>2200739.67</v>
      </c>
      <c r="I1472" s="357">
        <v>27286235.879999999</v>
      </c>
    </row>
    <row r="1473" spans="1:9" x14ac:dyDescent="0.2">
      <c r="A1473" s="349" t="s">
        <v>341</v>
      </c>
      <c r="B1473" s="359">
        <v>51288</v>
      </c>
      <c r="C1473" s="349" t="s">
        <v>360</v>
      </c>
      <c r="D1473" s="349" t="s">
        <v>361</v>
      </c>
      <c r="E1473" s="360">
        <v>4317805.4000000004</v>
      </c>
      <c r="F1473" s="360">
        <v>361490.33</v>
      </c>
      <c r="G1473" s="361">
        <v>316</v>
      </c>
      <c r="H1473" s="362">
        <v>361174.33</v>
      </c>
      <c r="I1473" s="362">
        <v>4678979.7300000004</v>
      </c>
    </row>
    <row r="1474" spans="1:9" x14ac:dyDescent="0.2">
      <c r="A1474" s="349" t="s">
        <v>341</v>
      </c>
      <c r="B1474" s="359">
        <v>51761</v>
      </c>
      <c r="C1474" s="349" t="s">
        <v>362</v>
      </c>
      <c r="D1474" s="349" t="s">
        <v>363</v>
      </c>
      <c r="E1474" s="360">
        <v>26638</v>
      </c>
      <c r="F1474" s="360">
        <v>2812</v>
      </c>
      <c r="G1474" s="361">
        <v>0</v>
      </c>
      <c r="H1474" s="362">
        <v>2812</v>
      </c>
      <c r="I1474" s="362">
        <v>29450</v>
      </c>
    </row>
    <row r="1475" spans="1:9" x14ac:dyDescent="0.2">
      <c r="A1475" s="349" t="s">
        <v>341</v>
      </c>
      <c r="B1475" s="359">
        <v>51014</v>
      </c>
      <c r="C1475" s="349" t="s">
        <v>364</v>
      </c>
      <c r="D1475" s="349" t="s">
        <v>365</v>
      </c>
      <c r="E1475" s="360">
        <v>1594642.87</v>
      </c>
      <c r="F1475" s="360">
        <v>150825.82</v>
      </c>
      <c r="G1475" s="361">
        <v>0</v>
      </c>
      <c r="H1475" s="362">
        <v>150825.82</v>
      </c>
      <c r="I1475" s="362">
        <v>1745468.69</v>
      </c>
    </row>
    <row r="1476" spans="1:9" x14ac:dyDescent="0.2">
      <c r="A1476" s="349" t="s">
        <v>341</v>
      </c>
      <c r="B1476" s="359">
        <v>51019</v>
      </c>
      <c r="C1476" s="349" t="s">
        <v>366</v>
      </c>
      <c r="D1476" s="349" t="s">
        <v>367</v>
      </c>
      <c r="E1476" s="360">
        <v>1512122.24</v>
      </c>
      <c r="F1476" s="360">
        <v>134095.5</v>
      </c>
      <c r="G1476" s="361">
        <v>0</v>
      </c>
      <c r="H1476" s="362">
        <v>134095.5</v>
      </c>
      <c r="I1476" s="362">
        <v>1646217.74</v>
      </c>
    </row>
    <row r="1477" spans="1:9" x14ac:dyDescent="0.2">
      <c r="A1477" s="349" t="s">
        <v>341</v>
      </c>
      <c r="B1477" s="359">
        <v>51020</v>
      </c>
      <c r="C1477" s="349" t="s">
        <v>368</v>
      </c>
      <c r="D1477" s="349" t="s">
        <v>369</v>
      </c>
      <c r="E1477" s="360">
        <v>1482888.6</v>
      </c>
      <c r="F1477" s="360">
        <v>128799.2</v>
      </c>
      <c r="G1477" s="361">
        <v>839.2</v>
      </c>
      <c r="H1477" s="362">
        <v>127960</v>
      </c>
      <c r="I1477" s="362">
        <v>1610848.6</v>
      </c>
    </row>
    <row r="1478" spans="1:9" x14ac:dyDescent="0.2">
      <c r="A1478" s="349" t="s">
        <v>341</v>
      </c>
      <c r="B1478" s="359">
        <v>25044</v>
      </c>
      <c r="C1478" s="349" t="s">
        <v>370</v>
      </c>
      <c r="D1478" s="349" t="s">
        <v>371</v>
      </c>
      <c r="E1478" s="360">
        <v>997430.64</v>
      </c>
      <c r="F1478" s="360">
        <v>92931.43</v>
      </c>
      <c r="G1478" s="361">
        <v>0</v>
      </c>
      <c r="H1478" s="362">
        <v>92931.43</v>
      </c>
      <c r="I1478" s="362">
        <v>1090362.07</v>
      </c>
    </row>
    <row r="1479" spans="1:9" x14ac:dyDescent="0.2">
      <c r="A1479" s="349" t="s">
        <v>341</v>
      </c>
      <c r="B1479" s="359">
        <v>51012</v>
      </c>
      <c r="C1479" s="349" t="s">
        <v>372</v>
      </c>
      <c r="D1479" s="349" t="s">
        <v>373</v>
      </c>
      <c r="E1479" s="360">
        <v>3303005.27</v>
      </c>
      <c r="F1479" s="360">
        <v>270348</v>
      </c>
      <c r="G1479" s="361">
        <v>0</v>
      </c>
      <c r="H1479" s="362">
        <v>270348</v>
      </c>
      <c r="I1479" s="362">
        <v>3573353.27</v>
      </c>
    </row>
    <row r="1480" spans="1:9" x14ac:dyDescent="0.2">
      <c r="A1480" s="349" t="s">
        <v>341</v>
      </c>
      <c r="B1480" s="359">
        <v>51010</v>
      </c>
      <c r="C1480" s="349" t="s">
        <v>374</v>
      </c>
      <c r="D1480" s="349" t="s">
        <v>375</v>
      </c>
      <c r="E1480" s="360">
        <v>1796397.16</v>
      </c>
      <c r="F1480" s="360">
        <v>172481</v>
      </c>
      <c r="G1480" s="361">
        <v>0</v>
      </c>
      <c r="H1480" s="362">
        <v>172481</v>
      </c>
      <c r="I1480" s="362">
        <v>1968878.16</v>
      </c>
    </row>
    <row r="1481" spans="1:9" x14ac:dyDescent="0.2">
      <c r="A1481" s="349" t="s">
        <v>341</v>
      </c>
      <c r="B1481" s="359">
        <v>51011</v>
      </c>
      <c r="C1481" s="349" t="s">
        <v>376</v>
      </c>
      <c r="D1481" s="349" t="s">
        <v>377</v>
      </c>
      <c r="E1481" s="360">
        <v>2529567.81</v>
      </c>
      <c r="F1481" s="360">
        <v>197314</v>
      </c>
      <c r="G1481" s="361">
        <v>0</v>
      </c>
      <c r="H1481" s="362">
        <v>197314</v>
      </c>
      <c r="I1481" s="362">
        <v>2726881.81</v>
      </c>
    </row>
    <row r="1482" spans="1:9" x14ac:dyDescent="0.2">
      <c r="A1482" s="349" t="s">
        <v>341</v>
      </c>
      <c r="B1482" s="359">
        <v>12202</v>
      </c>
      <c r="C1482" s="349" t="s">
        <v>378</v>
      </c>
      <c r="D1482" s="349" t="s">
        <v>379</v>
      </c>
      <c r="E1482" s="360">
        <v>1050669.33</v>
      </c>
      <c r="F1482" s="360">
        <v>90400</v>
      </c>
      <c r="G1482" s="361">
        <v>0</v>
      </c>
      <c r="H1482" s="362">
        <v>90400</v>
      </c>
      <c r="I1482" s="362">
        <v>1141069.33</v>
      </c>
    </row>
    <row r="1483" spans="1:9" x14ac:dyDescent="0.2">
      <c r="A1483" s="349" t="s">
        <v>341</v>
      </c>
      <c r="B1483" s="359">
        <v>51819</v>
      </c>
      <c r="C1483" s="349" t="s">
        <v>380</v>
      </c>
      <c r="D1483" s="349" t="s">
        <v>381</v>
      </c>
      <c r="E1483" s="360">
        <v>5663.17</v>
      </c>
      <c r="F1483" s="363">
        <v>491.69</v>
      </c>
      <c r="G1483" s="361">
        <v>0</v>
      </c>
      <c r="H1483" s="361">
        <v>491.69</v>
      </c>
      <c r="I1483" s="362">
        <v>6154.86</v>
      </c>
    </row>
    <row r="1484" spans="1:9" x14ac:dyDescent="0.2">
      <c r="A1484" s="349" t="s">
        <v>341</v>
      </c>
      <c r="B1484" s="359">
        <v>51820</v>
      </c>
      <c r="C1484" s="349" t="s">
        <v>382</v>
      </c>
      <c r="D1484" s="349" t="s">
        <v>383</v>
      </c>
      <c r="E1484" s="360">
        <v>54162.58</v>
      </c>
      <c r="F1484" s="360">
        <v>2107.46</v>
      </c>
      <c r="G1484" s="361">
        <v>0</v>
      </c>
      <c r="H1484" s="362">
        <v>2107.46</v>
      </c>
      <c r="I1484" s="362">
        <v>56270.04</v>
      </c>
    </row>
    <row r="1485" spans="1:9" x14ac:dyDescent="0.2">
      <c r="A1485" s="349" t="s">
        <v>341</v>
      </c>
      <c r="B1485" s="359">
        <v>51822</v>
      </c>
      <c r="C1485" s="349" t="s">
        <v>384</v>
      </c>
      <c r="D1485" s="349" t="s">
        <v>385</v>
      </c>
      <c r="E1485" s="360">
        <v>939203.48</v>
      </c>
      <c r="F1485" s="360">
        <v>80223.31</v>
      </c>
      <c r="G1485" s="361">
        <v>0</v>
      </c>
      <c r="H1485" s="362">
        <v>80223.31</v>
      </c>
      <c r="I1485" s="362">
        <v>1019426.79</v>
      </c>
    </row>
    <row r="1486" spans="1:9" x14ac:dyDescent="0.2">
      <c r="A1486" s="349" t="s">
        <v>341</v>
      </c>
      <c r="B1486" s="359">
        <v>51821</v>
      </c>
      <c r="C1486" s="349" t="s">
        <v>386</v>
      </c>
      <c r="D1486" s="349" t="s">
        <v>387</v>
      </c>
      <c r="E1486" s="360">
        <v>41800.620000000003</v>
      </c>
      <c r="F1486" s="360">
        <v>3498.27</v>
      </c>
      <c r="G1486" s="361">
        <v>0</v>
      </c>
      <c r="H1486" s="362">
        <v>3498.27</v>
      </c>
      <c r="I1486" s="362">
        <v>45298.89</v>
      </c>
    </row>
    <row r="1487" spans="1:9" x14ac:dyDescent="0.2">
      <c r="A1487" s="349" t="s">
        <v>341</v>
      </c>
      <c r="B1487" s="359">
        <v>12229</v>
      </c>
      <c r="C1487" s="349" t="s">
        <v>388</v>
      </c>
      <c r="D1487" s="349" t="s">
        <v>389</v>
      </c>
      <c r="E1487" s="360">
        <v>3295153.02</v>
      </c>
      <c r="F1487" s="360">
        <v>291113.15999999997</v>
      </c>
      <c r="G1487" s="361">
        <v>0</v>
      </c>
      <c r="H1487" s="362">
        <v>291113.15999999997</v>
      </c>
      <c r="I1487" s="362">
        <v>3586266.18</v>
      </c>
    </row>
    <row r="1488" spans="1:9" x14ac:dyDescent="0.2">
      <c r="A1488" s="349" t="s">
        <v>341</v>
      </c>
      <c r="B1488" s="359">
        <v>12230</v>
      </c>
      <c r="C1488" s="349" t="s">
        <v>390</v>
      </c>
      <c r="D1488" s="349" t="s">
        <v>391</v>
      </c>
      <c r="E1488" s="360">
        <v>207923.20000000001</v>
      </c>
      <c r="F1488" s="360">
        <v>29414.89</v>
      </c>
      <c r="G1488" s="362">
        <v>11440</v>
      </c>
      <c r="H1488" s="362">
        <v>17974.89</v>
      </c>
      <c r="I1488" s="362">
        <v>225898.09</v>
      </c>
    </row>
    <row r="1489" spans="1:9" x14ac:dyDescent="0.2">
      <c r="A1489" s="349" t="s">
        <v>341</v>
      </c>
      <c r="B1489" s="359">
        <v>33765</v>
      </c>
      <c r="C1489" s="349" t="s">
        <v>392</v>
      </c>
      <c r="D1489" s="349" t="s">
        <v>393</v>
      </c>
      <c r="E1489" s="360">
        <v>24000</v>
      </c>
      <c r="F1489" s="360">
        <v>48000</v>
      </c>
      <c r="G1489" s="361">
        <v>0</v>
      </c>
      <c r="H1489" s="362">
        <v>48000</v>
      </c>
      <c r="I1489" s="362">
        <v>72000</v>
      </c>
    </row>
    <row r="1490" spans="1:9" x14ac:dyDescent="0.2">
      <c r="A1490" s="349" t="s">
        <v>341</v>
      </c>
      <c r="B1490" s="359">
        <v>51013</v>
      </c>
      <c r="C1490" s="349" t="s">
        <v>394</v>
      </c>
      <c r="D1490" s="349" t="s">
        <v>395</v>
      </c>
      <c r="E1490" s="360">
        <v>75752</v>
      </c>
      <c r="F1490" s="360">
        <v>7600</v>
      </c>
      <c r="G1490" s="361">
        <v>0</v>
      </c>
      <c r="H1490" s="362">
        <v>7600</v>
      </c>
      <c r="I1490" s="362">
        <v>83352</v>
      </c>
    </row>
    <row r="1491" spans="1:9" x14ac:dyDescent="0.2">
      <c r="A1491" s="349" t="s">
        <v>341</v>
      </c>
      <c r="B1491" s="359">
        <v>12204</v>
      </c>
      <c r="C1491" s="349" t="s">
        <v>396</v>
      </c>
      <c r="D1491" s="349" t="s">
        <v>397</v>
      </c>
      <c r="E1491" s="360">
        <v>13930.83</v>
      </c>
      <c r="F1491" s="363">
        <v>590.69000000000005</v>
      </c>
      <c r="G1491" s="361">
        <v>0</v>
      </c>
      <c r="H1491" s="361">
        <v>590.69000000000005</v>
      </c>
      <c r="I1491" s="362">
        <v>14521.52</v>
      </c>
    </row>
    <row r="1492" spans="1:9" x14ac:dyDescent="0.2">
      <c r="A1492" s="349" t="s">
        <v>341</v>
      </c>
      <c r="B1492" s="359">
        <v>12207</v>
      </c>
      <c r="C1492" s="349" t="s">
        <v>398</v>
      </c>
      <c r="D1492" s="349" t="s">
        <v>399</v>
      </c>
      <c r="E1492" s="360">
        <v>322260.24</v>
      </c>
      <c r="F1492" s="360">
        <v>29751.14</v>
      </c>
      <c r="G1492" s="361">
        <v>0</v>
      </c>
      <c r="H1492" s="362">
        <v>29751.14</v>
      </c>
      <c r="I1492" s="362">
        <v>352011.38</v>
      </c>
    </row>
    <row r="1493" spans="1:9" x14ac:dyDescent="0.2">
      <c r="A1493" s="349" t="s">
        <v>341</v>
      </c>
      <c r="B1493" s="359">
        <v>12222</v>
      </c>
      <c r="C1493" s="349" t="s">
        <v>400</v>
      </c>
      <c r="D1493" s="349" t="s">
        <v>401</v>
      </c>
      <c r="E1493" s="360">
        <v>40838.31</v>
      </c>
      <c r="F1493" s="360">
        <v>3437.3</v>
      </c>
      <c r="G1493" s="361">
        <v>0</v>
      </c>
      <c r="H1493" s="362">
        <v>3437.3</v>
      </c>
      <c r="I1493" s="362">
        <v>44275.61</v>
      </c>
    </row>
    <row r="1494" spans="1:9" x14ac:dyDescent="0.2">
      <c r="A1494" s="349" t="s">
        <v>341</v>
      </c>
      <c r="B1494" s="359">
        <v>12870</v>
      </c>
      <c r="C1494" s="349" t="s">
        <v>402</v>
      </c>
      <c r="D1494" s="349" t="s">
        <v>403</v>
      </c>
      <c r="E1494" s="360">
        <v>1378.84</v>
      </c>
      <c r="F1494" s="363">
        <v>0</v>
      </c>
      <c r="G1494" s="361">
        <v>0</v>
      </c>
      <c r="H1494" s="361">
        <v>0</v>
      </c>
      <c r="I1494" s="362">
        <v>1378.84</v>
      </c>
    </row>
    <row r="1495" spans="1:9" x14ac:dyDescent="0.2">
      <c r="A1495" s="349" t="s">
        <v>341</v>
      </c>
      <c r="B1495" s="359">
        <v>12228</v>
      </c>
      <c r="C1495" s="349" t="s">
        <v>404</v>
      </c>
      <c r="D1495" s="349" t="s">
        <v>405</v>
      </c>
      <c r="E1495" s="360">
        <v>5768.87</v>
      </c>
      <c r="F1495" s="363">
        <v>0</v>
      </c>
      <c r="G1495" s="361">
        <v>0</v>
      </c>
      <c r="H1495" s="361">
        <v>0</v>
      </c>
      <c r="I1495" s="362">
        <v>5768.87</v>
      </c>
    </row>
    <row r="1496" spans="1:9" x14ac:dyDescent="0.2">
      <c r="A1496" s="349" t="s">
        <v>341</v>
      </c>
      <c r="B1496" s="359">
        <v>12231</v>
      </c>
      <c r="C1496" s="349" t="s">
        <v>406</v>
      </c>
      <c r="D1496" s="349" t="s">
        <v>407</v>
      </c>
      <c r="E1496" s="360">
        <v>386309.49</v>
      </c>
      <c r="F1496" s="360">
        <v>35224.58</v>
      </c>
      <c r="G1496" s="361">
        <v>0</v>
      </c>
      <c r="H1496" s="362">
        <v>35224.58</v>
      </c>
      <c r="I1496" s="362">
        <v>421534.07</v>
      </c>
    </row>
    <row r="1497" spans="1:9" x14ac:dyDescent="0.2">
      <c r="A1497" s="349" t="s">
        <v>341</v>
      </c>
      <c r="B1497" s="359">
        <v>52230</v>
      </c>
      <c r="C1497" s="349" t="s">
        <v>408</v>
      </c>
      <c r="D1497" s="349" t="s">
        <v>409</v>
      </c>
      <c r="E1497" s="360">
        <v>218172</v>
      </c>
      <c r="F1497" s="360">
        <v>10050.66</v>
      </c>
      <c r="G1497" s="361">
        <v>50.66</v>
      </c>
      <c r="H1497" s="362">
        <v>10000</v>
      </c>
      <c r="I1497" s="362">
        <v>228172</v>
      </c>
    </row>
    <row r="1498" spans="1:9" x14ac:dyDescent="0.2">
      <c r="A1498" s="349" t="s">
        <v>341</v>
      </c>
      <c r="B1498" s="359">
        <v>52563</v>
      </c>
      <c r="C1498" s="349" t="s">
        <v>410</v>
      </c>
      <c r="D1498" s="349" t="s">
        <v>411</v>
      </c>
      <c r="E1498" s="360">
        <v>238812.24</v>
      </c>
      <c r="F1498" s="360">
        <v>27324.79</v>
      </c>
      <c r="G1498" s="362">
        <v>7939.69</v>
      </c>
      <c r="H1498" s="362">
        <v>19385.099999999999</v>
      </c>
      <c r="I1498" s="362">
        <v>258197.34</v>
      </c>
    </row>
    <row r="1499" spans="1:9" x14ac:dyDescent="0.2">
      <c r="A1499" s="349" t="s">
        <v>341</v>
      </c>
      <c r="B1499" s="359">
        <v>51641</v>
      </c>
      <c r="C1499" s="349" t="s">
        <v>412</v>
      </c>
      <c r="D1499" s="349" t="s">
        <v>413</v>
      </c>
      <c r="E1499" s="360">
        <v>603000</v>
      </c>
      <c r="F1499" s="360">
        <v>51000</v>
      </c>
      <c r="G1499" s="361">
        <v>0</v>
      </c>
      <c r="H1499" s="362">
        <v>51000</v>
      </c>
      <c r="I1499" s="362">
        <v>654000</v>
      </c>
    </row>
    <row r="1500" spans="1:9" x14ac:dyDescent="0.2">
      <c r="A1500" s="349" t="s">
        <v>341</v>
      </c>
      <c r="B1500" s="359">
        <v>12889</v>
      </c>
      <c r="C1500" s="349" t="s">
        <v>414</v>
      </c>
      <c r="D1500" s="349" t="s">
        <v>415</v>
      </c>
      <c r="E1500" s="363">
        <v>200</v>
      </c>
      <c r="F1500" s="363">
        <v>26.4</v>
      </c>
      <c r="G1500" s="361">
        <v>26.4</v>
      </c>
      <c r="H1500" s="361">
        <v>0</v>
      </c>
      <c r="I1500" s="361">
        <v>200</v>
      </c>
    </row>
    <row r="1501" spans="1:9" x14ac:dyDescent="0.2">
      <c r="A1501" s="349" t="s">
        <v>341</v>
      </c>
      <c r="B1501" s="354">
        <v>53069</v>
      </c>
      <c r="C1501" s="355" t="s">
        <v>416</v>
      </c>
      <c r="D1501" s="355" t="s">
        <v>417</v>
      </c>
      <c r="E1501" s="356">
        <v>10698969.73</v>
      </c>
      <c r="F1501" s="356">
        <v>1126564.3999999999</v>
      </c>
      <c r="G1501" s="357">
        <v>171212.59</v>
      </c>
      <c r="H1501" s="357">
        <v>955351.81</v>
      </c>
      <c r="I1501" s="357">
        <v>11654321.539999999</v>
      </c>
    </row>
    <row r="1502" spans="1:9" x14ac:dyDescent="0.2">
      <c r="A1502" s="349" t="s">
        <v>341</v>
      </c>
      <c r="B1502" s="359">
        <v>12899</v>
      </c>
      <c r="C1502" s="349" t="s">
        <v>418</v>
      </c>
      <c r="D1502" s="349" t="s">
        <v>419</v>
      </c>
      <c r="E1502" s="360">
        <v>10571687.960000001</v>
      </c>
      <c r="F1502" s="360">
        <v>1034252.02</v>
      </c>
      <c r="G1502" s="362">
        <v>87116.59</v>
      </c>
      <c r="H1502" s="362">
        <v>947135.43</v>
      </c>
      <c r="I1502" s="362">
        <v>11518823.390000001</v>
      </c>
    </row>
    <row r="1503" spans="1:9" x14ac:dyDescent="0.2">
      <c r="A1503" s="349" t="s">
        <v>341</v>
      </c>
      <c r="B1503" s="359">
        <v>12226</v>
      </c>
      <c r="C1503" s="349" t="s">
        <v>420</v>
      </c>
      <c r="D1503" s="349" t="s">
        <v>421</v>
      </c>
      <c r="E1503" s="360">
        <v>127281.77</v>
      </c>
      <c r="F1503" s="360">
        <v>92312.38</v>
      </c>
      <c r="G1503" s="362">
        <v>84096</v>
      </c>
      <c r="H1503" s="362">
        <v>8216.3799999999992</v>
      </c>
      <c r="I1503" s="362">
        <v>135498.15</v>
      </c>
    </row>
    <row r="1504" spans="1:9" x14ac:dyDescent="0.2">
      <c r="A1504" s="349" t="s">
        <v>341</v>
      </c>
      <c r="B1504" s="354">
        <v>38908</v>
      </c>
      <c r="C1504" s="355" t="s">
        <v>422</v>
      </c>
      <c r="D1504" s="355" t="s">
        <v>423</v>
      </c>
      <c r="E1504" s="356">
        <v>-1738307.02</v>
      </c>
      <c r="F1504" s="356">
        <v>6005.22</v>
      </c>
      <c r="G1504" s="357">
        <v>157491.62</v>
      </c>
      <c r="H1504" s="357">
        <v>-151486.39999999999</v>
      </c>
      <c r="I1504" s="357">
        <v>-1889793.42</v>
      </c>
    </row>
    <row r="1505" spans="1:9" x14ac:dyDescent="0.2">
      <c r="A1505" s="349" t="s">
        <v>341</v>
      </c>
      <c r="B1505" s="359">
        <v>38029</v>
      </c>
      <c r="C1505" s="349" t="s">
        <v>424</v>
      </c>
      <c r="D1505" s="349" t="s">
        <v>425</v>
      </c>
      <c r="E1505" s="360">
        <v>-4860.25</v>
      </c>
      <c r="F1505" s="363">
        <v>0</v>
      </c>
      <c r="G1505" s="361">
        <v>287</v>
      </c>
      <c r="H1505" s="361">
        <v>-287</v>
      </c>
      <c r="I1505" s="362">
        <v>-5147.25</v>
      </c>
    </row>
    <row r="1506" spans="1:9" x14ac:dyDescent="0.2">
      <c r="A1506" s="349" t="s">
        <v>341</v>
      </c>
      <c r="B1506" s="359">
        <v>33248</v>
      </c>
      <c r="C1506" s="349" t="s">
        <v>426</v>
      </c>
      <c r="D1506" s="349" t="s">
        <v>425</v>
      </c>
      <c r="E1506" s="360">
        <v>-1733446.77</v>
      </c>
      <c r="F1506" s="360">
        <v>6005.22</v>
      </c>
      <c r="G1506" s="362">
        <v>157204.62</v>
      </c>
      <c r="H1506" s="362">
        <v>-151199.4</v>
      </c>
      <c r="I1506" s="362">
        <v>-1884646.17</v>
      </c>
    </row>
    <row r="1507" spans="1:9" x14ac:dyDescent="0.2">
      <c r="A1507" s="349" t="s">
        <v>341</v>
      </c>
      <c r="B1507" s="354">
        <v>33261</v>
      </c>
      <c r="C1507" s="355" t="s">
        <v>427</v>
      </c>
      <c r="D1507" s="355" t="s">
        <v>428</v>
      </c>
      <c r="E1507" s="356">
        <v>568136.32999999996</v>
      </c>
      <c r="F1507" s="364">
        <v>0</v>
      </c>
      <c r="G1507" s="358">
        <v>0</v>
      </c>
      <c r="H1507" s="358">
        <v>0</v>
      </c>
      <c r="I1507" s="357">
        <v>568136.32999999996</v>
      </c>
    </row>
    <row r="1508" spans="1:9" x14ac:dyDescent="0.2">
      <c r="A1508" s="349" t="s">
        <v>341</v>
      </c>
      <c r="B1508" s="359">
        <v>33263</v>
      </c>
      <c r="C1508" s="349" t="s">
        <v>429</v>
      </c>
      <c r="D1508" s="349" t="s">
        <v>428</v>
      </c>
      <c r="E1508" s="360">
        <v>568136.32999999996</v>
      </c>
      <c r="F1508" s="363">
        <v>0</v>
      </c>
      <c r="G1508" s="361">
        <v>0</v>
      </c>
      <c r="H1508" s="361">
        <v>0</v>
      </c>
      <c r="I1508" s="362">
        <v>568136.32999999996</v>
      </c>
    </row>
    <row r="1509" spans="1:9" x14ac:dyDescent="0.2">
      <c r="A1509" s="349" t="s">
        <v>341</v>
      </c>
      <c r="B1509" s="354">
        <v>11281</v>
      </c>
      <c r="C1509" s="355" t="s">
        <v>430</v>
      </c>
      <c r="D1509" s="355" t="s">
        <v>431</v>
      </c>
      <c r="E1509" s="356">
        <v>32794399.199999999</v>
      </c>
      <c r="F1509" s="356">
        <v>2893274.44</v>
      </c>
      <c r="G1509" s="357">
        <v>113040.02</v>
      </c>
      <c r="H1509" s="357">
        <v>2780234.42</v>
      </c>
      <c r="I1509" s="357">
        <v>35574633.619999997</v>
      </c>
    </row>
    <row r="1510" spans="1:9" x14ac:dyDescent="0.2">
      <c r="A1510" s="349" t="s">
        <v>341</v>
      </c>
      <c r="B1510" s="359">
        <v>11298</v>
      </c>
      <c r="C1510" s="349" t="s">
        <v>432</v>
      </c>
      <c r="D1510" s="349" t="s">
        <v>433</v>
      </c>
      <c r="E1510" s="360">
        <v>29663347.579999998</v>
      </c>
      <c r="F1510" s="360">
        <v>2592082.29</v>
      </c>
      <c r="G1510" s="362">
        <v>113040.02</v>
      </c>
      <c r="H1510" s="362">
        <v>2479042.27</v>
      </c>
      <c r="I1510" s="362">
        <v>32142389.850000001</v>
      </c>
    </row>
    <row r="1511" spans="1:9" x14ac:dyDescent="0.2">
      <c r="A1511" s="349" t="s">
        <v>341</v>
      </c>
      <c r="B1511" s="359">
        <v>11304</v>
      </c>
      <c r="C1511" s="349" t="s">
        <v>434</v>
      </c>
      <c r="D1511" s="349" t="s">
        <v>435</v>
      </c>
      <c r="E1511" s="360">
        <v>435188.89</v>
      </c>
      <c r="F1511" s="360">
        <v>18406.13</v>
      </c>
      <c r="G1511" s="361">
        <v>0</v>
      </c>
      <c r="H1511" s="362">
        <v>18406.13</v>
      </c>
      <c r="I1511" s="362">
        <v>453595.02</v>
      </c>
    </row>
    <row r="1512" spans="1:9" x14ac:dyDescent="0.2">
      <c r="A1512" s="349" t="s">
        <v>341</v>
      </c>
      <c r="B1512" s="359">
        <v>11346</v>
      </c>
      <c r="C1512" s="349" t="s">
        <v>436</v>
      </c>
      <c r="D1512" s="349" t="s">
        <v>437</v>
      </c>
      <c r="E1512" s="360">
        <v>2572020.9300000002</v>
      </c>
      <c r="F1512" s="360">
        <v>223227.56</v>
      </c>
      <c r="G1512" s="361">
        <v>0</v>
      </c>
      <c r="H1512" s="362">
        <v>223227.56</v>
      </c>
      <c r="I1512" s="362">
        <v>2795248.49</v>
      </c>
    </row>
    <row r="1513" spans="1:9" x14ac:dyDescent="0.2">
      <c r="A1513" s="349" t="s">
        <v>341</v>
      </c>
      <c r="B1513" s="359">
        <v>12276</v>
      </c>
      <c r="C1513" s="349" t="s">
        <v>438</v>
      </c>
      <c r="D1513" s="349" t="s">
        <v>439</v>
      </c>
      <c r="E1513" s="360">
        <v>31912.3</v>
      </c>
      <c r="F1513" s="360">
        <v>8333.16</v>
      </c>
      <c r="G1513" s="361">
        <v>0</v>
      </c>
      <c r="H1513" s="362">
        <v>8333.16</v>
      </c>
      <c r="I1513" s="362">
        <v>40245.46</v>
      </c>
    </row>
    <row r="1514" spans="1:9" x14ac:dyDescent="0.2">
      <c r="A1514" s="349" t="s">
        <v>341</v>
      </c>
      <c r="B1514" s="359">
        <v>53468</v>
      </c>
      <c r="C1514" s="349" t="s">
        <v>440</v>
      </c>
      <c r="D1514" s="349" t="s">
        <v>441</v>
      </c>
      <c r="E1514" s="360">
        <v>39583.33</v>
      </c>
      <c r="F1514" s="360">
        <v>22666.67</v>
      </c>
      <c r="G1514" s="361">
        <v>0</v>
      </c>
      <c r="H1514" s="362">
        <v>22666.67</v>
      </c>
      <c r="I1514" s="362">
        <v>62250</v>
      </c>
    </row>
    <row r="1515" spans="1:9" x14ac:dyDescent="0.2">
      <c r="A1515" s="349" t="s">
        <v>341</v>
      </c>
      <c r="B1515" s="359">
        <v>53469</v>
      </c>
      <c r="C1515" s="349" t="s">
        <v>442</v>
      </c>
      <c r="D1515" s="349" t="s">
        <v>443</v>
      </c>
      <c r="E1515" s="360">
        <v>52346.17</v>
      </c>
      <c r="F1515" s="360">
        <v>28558.63</v>
      </c>
      <c r="G1515" s="361">
        <v>0</v>
      </c>
      <c r="H1515" s="362">
        <v>28558.63</v>
      </c>
      <c r="I1515" s="362">
        <v>80904.800000000003</v>
      </c>
    </row>
    <row r="1516" spans="1:9" x14ac:dyDescent="0.2">
      <c r="A1516" s="349" t="s">
        <v>341</v>
      </c>
      <c r="B1516" s="354">
        <v>11348</v>
      </c>
      <c r="C1516" s="355" t="s">
        <v>444</v>
      </c>
      <c r="D1516" s="355" t="s">
        <v>445</v>
      </c>
      <c r="E1516" s="356">
        <v>464015.38</v>
      </c>
      <c r="F1516" s="356">
        <v>29751.51</v>
      </c>
      <c r="G1516" s="358">
        <v>0</v>
      </c>
      <c r="H1516" s="357">
        <v>29751.51</v>
      </c>
      <c r="I1516" s="357">
        <v>493766.89</v>
      </c>
    </row>
    <row r="1517" spans="1:9" x14ac:dyDescent="0.2">
      <c r="A1517" s="349" t="s">
        <v>341</v>
      </c>
      <c r="B1517" s="359">
        <v>11369</v>
      </c>
      <c r="C1517" s="349" t="s">
        <v>446</v>
      </c>
      <c r="D1517" s="349" t="s">
        <v>447</v>
      </c>
      <c r="E1517" s="360">
        <v>464015.38</v>
      </c>
      <c r="F1517" s="360">
        <v>29751.51</v>
      </c>
      <c r="G1517" s="361">
        <v>0</v>
      </c>
      <c r="H1517" s="362">
        <v>29751.51</v>
      </c>
      <c r="I1517" s="362">
        <v>493766.89</v>
      </c>
    </row>
    <row r="1518" spans="1:9" x14ac:dyDescent="0.2">
      <c r="A1518" s="349" t="s">
        <v>341</v>
      </c>
      <c r="B1518" s="354">
        <v>38487</v>
      </c>
      <c r="C1518" s="355" t="s">
        <v>448</v>
      </c>
      <c r="D1518" s="355" t="s">
        <v>449</v>
      </c>
      <c r="E1518" s="356">
        <v>7686931.4000000004</v>
      </c>
      <c r="F1518" s="356">
        <v>616504.12</v>
      </c>
      <c r="G1518" s="358">
        <v>0</v>
      </c>
      <c r="H1518" s="357">
        <v>616504.12</v>
      </c>
      <c r="I1518" s="357">
        <v>8303435.5199999996</v>
      </c>
    </row>
    <row r="1519" spans="1:9" x14ac:dyDescent="0.2">
      <c r="A1519" s="349" t="s">
        <v>341</v>
      </c>
      <c r="B1519" s="359">
        <v>11316</v>
      </c>
      <c r="C1519" s="349" t="s">
        <v>450</v>
      </c>
      <c r="D1519" s="349" t="s">
        <v>451</v>
      </c>
      <c r="E1519" s="360">
        <v>3357499.45</v>
      </c>
      <c r="F1519" s="360">
        <v>268069.28000000003</v>
      </c>
      <c r="G1519" s="361">
        <v>0</v>
      </c>
      <c r="H1519" s="362">
        <v>268069.28000000003</v>
      </c>
      <c r="I1519" s="362">
        <v>3625568.73</v>
      </c>
    </row>
    <row r="1520" spans="1:9" x14ac:dyDescent="0.2">
      <c r="A1520" s="349" t="s">
        <v>341</v>
      </c>
      <c r="B1520" s="359">
        <v>11322</v>
      </c>
      <c r="C1520" s="349" t="s">
        <v>452</v>
      </c>
      <c r="D1520" s="349" t="s">
        <v>453</v>
      </c>
      <c r="E1520" s="360">
        <v>4329431.95</v>
      </c>
      <c r="F1520" s="360">
        <v>348434.84</v>
      </c>
      <c r="G1520" s="361">
        <v>0</v>
      </c>
      <c r="H1520" s="362">
        <v>348434.84</v>
      </c>
      <c r="I1520" s="362">
        <v>4677866.79</v>
      </c>
    </row>
    <row r="1521" spans="1:9" x14ac:dyDescent="0.2">
      <c r="A1521" s="349" t="s">
        <v>341</v>
      </c>
      <c r="B1521" s="354">
        <v>11377</v>
      </c>
      <c r="C1521" s="355" t="s">
        <v>454</v>
      </c>
      <c r="D1521" s="355" t="s">
        <v>455</v>
      </c>
      <c r="E1521" s="356">
        <v>3537705.93</v>
      </c>
      <c r="F1521" s="356">
        <v>307995.59000000003</v>
      </c>
      <c r="G1521" s="358">
        <v>133.74</v>
      </c>
      <c r="H1521" s="357">
        <v>307861.84999999998</v>
      </c>
      <c r="I1521" s="357">
        <v>3845567.78</v>
      </c>
    </row>
    <row r="1522" spans="1:9" x14ac:dyDescent="0.2">
      <c r="A1522" s="349" t="s">
        <v>341</v>
      </c>
      <c r="B1522" s="359">
        <v>11392</v>
      </c>
      <c r="C1522" s="349" t="s">
        <v>456</v>
      </c>
      <c r="D1522" s="349" t="s">
        <v>457</v>
      </c>
      <c r="E1522" s="360">
        <v>2887704.55</v>
      </c>
      <c r="F1522" s="360">
        <v>270641.90000000002</v>
      </c>
      <c r="G1522" s="361">
        <v>133.52000000000001</v>
      </c>
      <c r="H1522" s="362">
        <v>270508.38</v>
      </c>
      <c r="I1522" s="362">
        <v>3158212.93</v>
      </c>
    </row>
    <row r="1523" spans="1:9" x14ac:dyDescent="0.2">
      <c r="A1523" s="349" t="s">
        <v>341</v>
      </c>
      <c r="B1523" s="359">
        <v>36873</v>
      </c>
      <c r="C1523" s="349" t="s">
        <v>458</v>
      </c>
      <c r="D1523" s="349" t="s">
        <v>459</v>
      </c>
      <c r="E1523" s="360">
        <v>650001.38</v>
      </c>
      <c r="F1523" s="360">
        <v>37353.69</v>
      </c>
      <c r="G1523" s="361">
        <v>0.22</v>
      </c>
      <c r="H1523" s="362">
        <v>37353.47</v>
      </c>
      <c r="I1523" s="362">
        <v>687354.85</v>
      </c>
    </row>
    <row r="1524" spans="1:9" x14ac:dyDescent="0.2">
      <c r="A1524" s="349" t="s">
        <v>341</v>
      </c>
      <c r="B1524" s="354">
        <v>11449</v>
      </c>
      <c r="C1524" s="355" t="s">
        <v>460</v>
      </c>
      <c r="D1524" s="355" t="s">
        <v>461</v>
      </c>
      <c r="E1524" s="356">
        <v>7400673.2800000003</v>
      </c>
      <c r="F1524" s="356">
        <v>851327.77</v>
      </c>
      <c r="G1524" s="357">
        <v>235737.71</v>
      </c>
      <c r="H1524" s="357">
        <v>615590.06000000006</v>
      </c>
      <c r="I1524" s="357">
        <v>8016263.3399999999</v>
      </c>
    </row>
    <row r="1525" spans="1:9" x14ac:dyDescent="0.2">
      <c r="A1525" s="349" t="s">
        <v>341</v>
      </c>
      <c r="B1525" s="359">
        <v>11470</v>
      </c>
      <c r="C1525" s="349" t="s">
        <v>462</v>
      </c>
      <c r="D1525" s="349" t="s">
        <v>463</v>
      </c>
      <c r="E1525" s="360">
        <v>2152009.7999999998</v>
      </c>
      <c r="F1525" s="360">
        <v>183784.28</v>
      </c>
      <c r="G1525" s="361">
        <v>0</v>
      </c>
      <c r="H1525" s="362">
        <v>183784.28</v>
      </c>
      <c r="I1525" s="362">
        <v>2335794.08</v>
      </c>
    </row>
    <row r="1526" spans="1:9" x14ac:dyDescent="0.2">
      <c r="A1526" s="349" t="s">
        <v>341</v>
      </c>
      <c r="B1526" s="359">
        <v>11498</v>
      </c>
      <c r="C1526" s="349" t="s">
        <v>464</v>
      </c>
      <c r="D1526" s="349" t="s">
        <v>465</v>
      </c>
      <c r="E1526" s="360">
        <v>104055.19</v>
      </c>
      <c r="F1526" s="360">
        <v>7268.6</v>
      </c>
      <c r="G1526" s="361">
        <v>0</v>
      </c>
      <c r="H1526" s="362">
        <v>7268.6</v>
      </c>
      <c r="I1526" s="362">
        <v>111323.79</v>
      </c>
    </row>
    <row r="1527" spans="1:9" x14ac:dyDescent="0.2">
      <c r="A1527" s="349" t="s">
        <v>341</v>
      </c>
      <c r="B1527" s="359">
        <v>11446</v>
      </c>
      <c r="C1527" s="349" t="s">
        <v>466</v>
      </c>
      <c r="D1527" s="349" t="s">
        <v>467</v>
      </c>
      <c r="E1527" s="360">
        <v>10800</v>
      </c>
      <c r="F1527" s="363">
        <v>0</v>
      </c>
      <c r="G1527" s="361">
        <v>0</v>
      </c>
      <c r="H1527" s="361">
        <v>0</v>
      </c>
      <c r="I1527" s="362">
        <v>10800</v>
      </c>
    </row>
    <row r="1528" spans="1:9" x14ac:dyDescent="0.2">
      <c r="A1528" s="349" t="s">
        <v>341</v>
      </c>
      <c r="B1528" s="359">
        <v>11428</v>
      </c>
      <c r="C1528" s="349" t="s">
        <v>468</v>
      </c>
      <c r="D1528" s="349" t="s">
        <v>469</v>
      </c>
      <c r="E1528" s="360">
        <v>2594136.14</v>
      </c>
      <c r="F1528" s="360">
        <v>440770.49</v>
      </c>
      <c r="G1528" s="362">
        <v>230273.88</v>
      </c>
      <c r="H1528" s="362">
        <v>210496.61</v>
      </c>
      <c r="I1528" s="362">
        <v>2804632.75</v>
      </c>
    </row>
    <row r="1529" spans="1:9" x14ac:dyDescent="0.2">
      <c r="A1529" s="349" t="s">
        <v>341</v>
      </c>
      <c r="B1529" s="359">
        <v>12320</v>
      </c>
      <c r="C1529" s="349" t="s">
        <v>470</v>
      </c>
      <c r="D1529" s="349" t="s">
        <v>471</v>
      </c>
      <c r="E1529" s="360">
        <v>257929.55</v>
      </c>
      <c r="F1529" s="360">
        <v>11762.75</v>
      </c>
      <c r="G1529" s="361">
        <v>0</v>
      </c>
      <c r="H1529" s="362">
        <v>11762.75</v>
      </c>
      <c r="I1529" s="362">
        <v>269692.3</v>
      </c>
    </row>
    <row r="1530" spans="1:9" x14ac:dyDescent="0.2">
      <c r="A1530" s="349" t="s">
        <v>341</v>
      </c>
      <c r="B1530" s="359">
        <v>11422</v>
      </c>
      <c r="C1530" s="349" t="s">
        <v>472</v>
      </c>
      <c r="D1530" s="349" t="s">
        <v>473</v>
      </c>
      <c r="E1530" s="360">
        <v>12060.26</v>
      </c>
      <c r="F1530" s="363">
        <v>362.68</v>
      </c>
      <c r="G1530" s="361">
        <v>21.3</v>
      </c>
      <c r="H1530" s="361">
        <v>341.38</v>
      </c>
      <c r="I1530" s="362">
        <v>12401.64</v>
      </c>
    </row>
    <row r="1531" spans="1:9" x14ac:dyDescent="0.2">
      <c r="A1531" s="349" t="s">
        <v>341</v>
      </c>
      <c r="B1531" s="359">
        <v>11434</v>
      </c>
      <c r="C1531" s="349" t="s">
        <v>474</v>
      </c>
      <c r="D1531" s="349" t="s">
        <v>475</v>
      </c>
      <c r="E1531" s="360">
        <v>294597.40999999997</v>
      </c>
      <c r="F1531" s="360">
        <v>26251.06</v>
      </c>
      <c r="G1531" s="361">
        <v>366.13</v>
      </c>
      <c r="H1531" s="362">
        <v>25884.93</v>
      </c>
      <c r="I1531" s="362">
        <v>320482.34000000003</v>
      </c>
    </row>
    <row r="1532" spans="1:9" x14ac:dyDescent="0.2">
      <c r="A1532" s="349" t="s">
        <v>341</v>
      </c>
      <c r="B1532" s="359">
        <v>11481</v>
      </c>
      <c r="C1532" s="349" t="s">
        <v>476</v>
      </c>
      <c r="D1532" s="349" t="s">
        <v>477</v>
      </c>
      <c r="E1532" s="360">
        <v>1903197.03</v>
      </c>
      <c r="F1532" s="360">
        <v>175870.05</v>
      </c>
      <c r="G1532" s="362">
        <v>5076.3999999999996</v>
      </c>
      <c r="H1532" s="362">
        <v>170793.65</v>
      </c>
      <c r="I1532" s="362">
        <v>2073990.68</v>
      </c>
    </row>
    <row r="1533" spans="1:9" x14ac:dyDescent="0.2">
      <c r="A1533" s="349" t="s">
        <v>341</v>
      </c>
      <c r="B1533" s="359">
        <v>11416</v>
      </c>
      <c r="C1533" s="349" t="s">
        <v>478</v>
      </c>
      <c r="D1533" s="349" t="s">
        <v>479</v>
      </c>
      <c r="E1533" s="360">
        <v>71887.899999999994</v>
      </c>
      <c r="F1533" s="360">
        <v>5257.86</v>
      </c>
      <c r="G1533" s="361">
        <v>0</v>
      </c>
      <c r="H1533" s="362">
        <v>5257.86</v>
      </c>
      <c r="I1533" s="362">
        <v>77145.759999999995</v>
      </c>
    </row>
    <row r="1534" spans="1:9" x14ac:dyDescent="0.2">
      <c r="A1534" s="349" t="s">
        <v>341</v>
      </c>
      <c r="B1534" s="354">
        <v>38465</v>
      </c>
      <c r="C1534" s="355" t="s">
        <v>480</v>
      </c>
      <c r="D1534" s="355" t="s">
        <v>481</v>
      </c>
      <c r="E1534" s="356">
        <v>25033518.449999999</v>
      </c>
      <c r="F1534" s="356">
        <v>3471405.83</v>
      </c>
      <c r="G1534" s="357">
        <v>1127235.8999999999</v>
      </c>
      <c r="H1534" s="357">
        <v>2344169.9300000002</v>
      </c>
      <c r="I1534" s="357">
        <v>27377688.379999999</v>
      </c>
    </row>
    <row r="1535" spans="1:9" x14ac:dyDescent="0.2">
      <c r="A1535" s="349" t="s">
        <v>341</v>
      </c>
      <c r="B1535" s="354">
        <v>38466</v>
      </c>
      <c r="C1535" s="355" t="s">
        <v>482</v>
      </c>
      <c r="D1535" s="355" t="s">
        <v>481</v>
      </c>
      <c r="E1535" s="356">
        <v>25033518.449999999</v>
      </c>
      <c r="F1535" s="356">
        <v>3471405.83</v>
      </c>
      <c r="G1535" s="357">
        <v>1127235.8999999999</v>
      </c>
      <c r="H1535" s="357">
        <v>2344169.9300000002</v>
      </c>
      <c r="I1535" s="357">
        <v>27377688.379999999</v>
      </c>
    </row>
    <row r="1536" spans="1:9" x14ac:dyDescent="0.2">
      <c r="A1536" s="349" t="s">
        <v>341</v>
      </c>
      <c r="B1536" s="359">
        <v>12328</v>
      </c>
      <c r="C1536" s="349" t="s">
        <v>483</v>
      </c>
      <c r="D1536" s="349" t="s">
        <v>484</v>
      </c>
      <c r="E1536" s="360">
        <v>424765.49</v>
      </c>
      <c r="F1536" s="360">
        <v>17214.28</v>
      </c>
      <c r="G1536" s="361">
        <v>0</v>
      </c>
      <c r="H1536" s="362">
        <v>17214.28</v>
      </c>
      <c r="I1536" s="362">
        <v>441979.77</v>
      </c>
    </row>
    <row r="1537" spans="1:9" x14ac:dyDescent="0.2">
      <c r="A1537" s="349" t="s">
        <v>341</v>
      </c>
      <c r="B1537" s="359">
        <v>32497</v>
      </c>
      <c r="C1537" s="349" t="s">
        <v>485</v>
      </c>
      <c r="D1537" s="349" t="s">
        <v>486</v>
      </c>
      <c r="E1537" s="360">
        <v>672993.79</v>
      </c>
      <c r="F1537" s="360">
        <v>63044.52</v>
      </c>
      <c r="G1537" s="362">
        <v>8871.7000000000007</v>
      </c>
      <c r="H1537" s="362">
        <v>54172.82</v>
      </c>
      <c r="I1537" s="362">
        <v>727166.61</v>
      </c>
    </row>
    <row r="1538" spans="1:9" x14ac:dyDescent="0.2">
      <c r="A1538" s="349" t="s">
        <v>341</v>
      </c>
      <c r="B1538" s="359">
        <v>12869</v>
      </c>
      <c r="C1538" s="349" t="s">
        <v>487</v>
      </c>
      <c r="D1538" s="349" t="s">
        <v>488</v>
      </c>
      <c r="E1538" s="360">
        <v>481043.11</v>
      </c>
      <c r="F1538" s="360">
        <v>47009.05</v>
      </c>
      <c r="G1538" s="361">
        <v>0</v>
      </c>
      <c r="H1538" s="362">
        <v>47009.05</v>
      </c>
      <c r="I1538" s="362">
        <v>528052.16</v>
      </c>
    </row>
    <row r="1539" spans="1:9" x14ac:dyDescent="0.2">
      <c r="A1539" s="349" t="s">
        <v>341</v>
      </c>
      <c r="B1539" s="359">
        <v>12338</v>
      </c>
      <c r="C1539" s="349" t="s">
        <v>489</v>
      </c>
      <c r="D1539" s="349" t="s">
        <v>490</v>
      </c>
      <c r="E1539" s="360">
        <v>2851073.8</v>
      </c>
      <c r="F1539" s="360">
        <v>274061.43</v>
      </c>
      <c r="G1539" s="362">
        <v>2275.42</v>
      </c>
      <c r="H1539" s="362">
        <v>271786.01</v>
      </c>
      <c r="I1539" s="362">
        <v>3122859.81</v>
      </c>
    </row>
    <row r="1540" spans="1:9" x14ac:dyDescent="0.2">
      <c r="A1540" s="349" t="s">
        <v>341</v>
      </c>
      <c r="B1540" s="359">
        <v>12324</v>
      </c>
      <c r="C1540" s="349" t="s">
        <v>491</v>
      </c>
      <c r="D1540" s="349" t="s">
        <v>492</v>
      </c>
      <c r="E1540" s="360">
        <v>45133.81</v>
      </c>
      <c r="F1540" s="360">
        <v>16945.169999999998</v>
      </c>
      <c r="G1540" s="361">
        <v>456.64</v>
      </c>
      <c r="H1540" s="362">
        <v>16488.53</v>
      </c>
      <c r="I1540" s="362">
        <v>61622.34</v>
      </c>
    </row>
    <row r="1541" spans="1:9" x14ac:dyDescent="0.2">
      <c r="A1541" s="349" t="s">
        <v>341</v>
      </c>
      <c r="B1541" s="359">
        <v>11605</v>
      </c>
      <c r="C1541" s="349" t="s">
        <v>493</v>
      </c>
      <c r="D1541" s="349" t="s">
        <v>494</v>
      </c>
      <c r="E1541" s="360">
        <v>753408.86</v>
      </c>
      <c r="F1541" s="360">
        <v>56119.3</v>
      </c>
      <c r="G1541" s="361">
        <v>678.59</v>
      </c>
      <c r="H1541" s="362">
        <v>55440.71</v>
      </c>
      <c r="I1541" s="362">
        <v>808849.57</v>
      </c>
    </row>
    <row r="1542" spans="1:9" x14ac:dyDescent="0.2">
      <c r="A1542" s="349" t="s">
        <v>341</v>
      </c>
      <c r="B1542" s="359">
        <v>12299</v>
      </c>
      <c r="C1542" s="349" t="s">
        <v>495</v>
      </c>
      <c r="D1542" s="349" t="s">
        <v>496</v>
      </c>
      <c r="E1542" s="360">
        <v>7315284.3700000001</v>
      </c>
      <c r="F1542" s="360">
        <v>794843.74</v>
      </c>
      <c r="G1542" s="362">
        <v>225593.2</v>
      </c>
      <c r="H1542" s="362">
        <v>569250.54</v>
      </c>
      <c r="I1542" s="362">
        <v>7884534.9100000001</v>
      </c>
    </row>
    <row r="1543" spans="1:9" x14ac:dyDescent="0.2">
      <c r="A1543" s="349" t="s">
        <v>341</v>
      </c>
      <c r="B1543" s="359">
        <v>12297</v>
      </c>
      <c r="C1543" s="349" t="s">
        <v>497</v>
      </c>
      <c r="D1543" s="349" t="s">
        <v>498</v>
      </c>
      <c r="E1543" s="360">
        <v>503959.37</v>
      </c>
      <c r="F1543" s="360">
        <v>47260.480000000003</v>
      </c>
      <c r="G1543" s="361">
        <v>0</v>
      </c>
      <c r="H1543" s="362">
        <v>47260.480000000003</v>
      </c>
      <c r="I1543" s="362">
        <v>551219.85</v>
      </c>
    </row>
    <row r="1544" spans="1:9" x14ac:dyDescent="0.2">
      <c r="A1544" s="349" t="s">
        <v>341</v>
      </c>
      <c r="B1544" s="359">
        <v>12303</v>
      </c>
      <c r="C1544" s="349" t="s">
        <v>499</v>
      </c>
      <c r="D1544" s="349" t="s">
        <v>500</v>
      </c>
      <c r="E1544" s="360">
        <v>123025.08</v>
      </c>
      <c r="F1544" s="360">
        <v>4006.88</v>
      </c>
      <c r="G1544" s="361">
        <v>73.55</v>
      </c>
      <c r="H1544" s="362">
        <v>3933.33</v>
      </c>
      <c r="I1544" s="362">
        <v>126958.41</v>
      </c>
    </row>
    <row r="1545" spans="1:9" x14ac:dyDescent="0.2">
      <c r="A1545" s="349" t="s">
        <v>341</v>
      </c>
      <c r="B1545" s="359">
        <v>12333</v>
      </c>
      <c r="C1545" s="349" t="s">
        <v>501</v>
      </c>
      <c r="D1545" s="349" t="s">
        <v>502</v>
      </c>
      <c r="E1545" s="360">
        <v>343995.5</v>
      </c>
      <c r="F1545" s="360">
        <v>33154.22</v>
      </c>
      <c r="G1545" s="361">
        <v>0</v>
      </c>
      <c r="H1545" s="362">
        <v>33154.22</v>
      </c>
      <c r="I1545" s="362">
        <v>377149.72</v>
      </c>
    </row>
    <row r="1546" spans="1:9" x14ac:dyDescent="0.2">
      <c r="A1546" s="349" t="s">
        <v>341</v>
      </c>
      <c r="B1546" s="359">
        <v>12331</v>
      </c>
      <c r="C1546" s="349" t="s">
        <v>503</v>
      </c>
      <c r="D1546" s="349" t="s">
        <v>504</v>
      </c>
      <c r="E1546" s="360">
        <v>1425458.86</v>
      </c>
      <c r="F1546" s="360">
        <v>157952.87</v>
      </c>
      <c r="G1546" s="362">
        <v>1602.36</v>
      </c>
      <c r="H1546" s="362">
        <v>156350.51</v>
      </c>
      <c r="I1546" s="362">
        <v>1581809.37</v>
      </c>
    </row>
    <row r="1547" spans="1:9" x14ac:dyDescent="0.2">
      <c r="A1547" s="349" t="s">
        <v>341</v>
      </c>
      <c r="B1547" s="359">
        <v>12301</v>
      </c>
      <c r="C1547" s="349" t="s">
        <v>505</v>
      </c>
      <c r="D1547" s="349" t="s">
        <v>506</v>
      </c>
      <c r="E1547" s="360">
        <v>5739863.7199999997</v>
      </c>
      <c r="F1547" s="360">
        <v>1363310.69</v>
      </c>
      <c r="G1547" s="362">
        <v>803039.34</v>
      </c>
      <c r="H1547" s="362">
        <v>560271.35</v>
      </c>
      <c r="I1547" s="362">
        <v>6300135.0700000003</v>
      </c>
    </row>
    <row r="1548" spans="1:9" x14ac:dyDescent="0.2">
      <c r="A1548" s="349" t="s">
        <v>341</v>
      </c>
      <c r="B1548" s="359">
        <v>12329</v>
      </c>
      <c r="C1548" s="349" t="s">
        <v>507</v>
      </c>
      <c r="D1548" s="349" t="s">
        <v>508</v>
      </c>
      <c r="E1548" s="360">
        <v>3824457.25</v>
      </c>
      <c r="F1548" s="360">
        <v>513418.69</v>
      </c>
      <c r="G1548" s="362">
        <v>56186.43</v>
      </c>
      <c r="H1548" s="362">
        <v>457232.26</v>
      </c>
      <c r="I1548" s="362">
        <v>4281689.51</v>
      </c>
    </row>
    <row r="1549" spans="1:9" x14ac:dyDescent="0.2">
      <c r="A1549" s="349" t="s">
        <v>341</v>
      </c>
      <c r="B1549" s="359">
        <v>51649</v>
      </c>
      <c r="C1549" s="349" t="s">
        <v>509</v>
      </c>
      <c r="D1549" s="349" t="s">
        <v>510</v>
      </c>
      <c r="E1549" s="360">
        <v>257647.16</v>
      </c>
      <c r="F1549" s="360">
        <v>22267</v>
      </c>
      <c r="G1549" s="361">
        <v>0</v>
      </c>
      <c r="H1549" s="362">
        <v>22267</v>
      </c>
      <c r="I1549" s="362">
        <v>279914.15999999997</v>
      </c>
    </row>
    <row r="1550" spans="1:9" x14ac:dyDescent="0.2">
      <c r="A1550" s="349" t="s">
        <v>341</v>
      </c>
      <c r="B1550" s="359">
        <v>12332</v>
      </c>
      <c r="C1550" s="349" t="s">
        <v>511</v>
      </c>
      <c r="D1550" s="349" t="s">
        <v>512</v>
      </c>
      <c r="E1550" s="360">
        <v>208801.13</v>
      </c>
      <c r="F1550" s="360">
        <v>10942.47</v>
      </c>
      <c r="G1550" s="361">
        <v>108</v>
      </c>
      <c r="H1550" s="362">
        <v>10834.47</v>
      </c>
      <c r="I1550" s="362">
        <v>219635.6</v>
      </c>
    </row>
    <row r="1551" spans="1:9" x14ac:dyDescent="0.2">
      <c r="A1551" s="349" t="s">
        <v>341</v>
      </c>
      <c r="B1551" s="359">
        <v>12295</v>
      </c>
      <c r="C1551" s="349" t="s">
        <v>513</v>
      </c>
      <c r="D1551" s="349" t="s">
        <v>514</v>
      </c>
      <c r="E1551" s="363">
        <v>20</v>
      </c>
      <c r="F1551" s="363">
        <v>0</v>
      </c>
      <c r="G1551" s="361">
        <v>0</v>
      </c>
      <c r="H1551" s="361">
        <v>0</v>
      </c>
      <c r="I1551" s="361">
        <v>20</v>
      </c>
    </row>
    <row r="1552" spans="1:9" x14ac:dyDescent="0.2">
      <c r="A1552" s="349" t="s">
        <v>341</v>
      </c>
      <c r="B1552" s="359">
        <v>12325</v>
      </c>
      <c r="C1552" s="349" t="s">
        <v>515</v>
      </c>
      <c r="D1552" s="349" t="s">
        <v>516</v>
      </c>
      <c r="E1552" s="360">
        <v>62503.95</v>
      </c>
      <c r="F1552" s="360">
        <v>49855.040000000001</v>
      </c>
      <c r="G1552" s="362">
        <v>28350.67</v>
      </c>
      <c r="H1552" s="362">
        <v>21504.37</v>
      </c>
      <c r="I1552" s="362">
        <v>84008.320000000007</v>
      </c>
    </row>
    <row r="1553" spans="1:9" x14ac:dyDescent="0.2">
      <c r="A1553" s="349" t="s">
        <v>341</v>
      </c>
      <c r="B1553" s="359">
        <v>12326</v>
      </c>
      <c r="C1553" s="349" t="s">
        <v>517</v>
      </c>
      <c r="D1553" s="349" t="s">
        <v>518</v>
      </c>
      <c r="E1553" s="363">
        <v>83.2</v>
      </c>
      <c r="F1553" s="363">
        <v>0</v>
      </c>
      <c r="G1553" s="361">
        <v>0</v>
      </c>
      <c r="H1553" s="361">
        <v>0</v>
      </c>
      <c r="I1553" s="361">
        <v>83.2</v>
      </c>
    </row>
    <row r="1554" spans="1:9" x14ac:dyDescent="0.2">
      <c r="A1554" s="349" t="s">
        <v>341</v>
      </c>
      <c r="B1554" s="354">
        <v>11279</v>
      </c>
      <c r="C1554" s="355" t="s">
        <v>519</v>
      </c>
      <c r="D1554" s="355" t="s">
        <v>520</v>
      </c>
      <c r="E1554" s="356">
        <v>14041054.210000001</v>
      </c>
      <c r="F1554" s="356">
        <v>2746510.13</v>
      </c>
      <c r="G1554" s="357">
        <v>885926.35</v>
      </c>
      <c r="H1554" s="357">
        <v>1860583.78</v>
      </c>
      <c r="I1554" s="357">
        <v>15901637.99</v>
      </c>
    </row>
    <row r="1555" spans="1:9" x14ac:dyDescent="0.2">
      <c r="A1555" s="349" t="s">
        <v>341</v>
      </c>
      <c r="B1555" s="354">
        <v>11499</v>
      </c>
      <c r="C1555" s="355" t="s">
        <v>521</v>
      </c>
      <c r="D1555" s="355" t="s">
        <v>522</v>
      </c>
      <c r="E1555" s="356">
        <v>10034065.01</v>
      </c>
      <c r="F1555" s="356">
        <v>1259526.55</v>
      </c>
      <c r="G1555" s="357">
        <v>131140</v>
      </c>
      <c r="H1555" s="357">
        <v>1128386.55</v>
      </c>
      <c r="I1555" s="357">
        <v>11162451.560000001</v>
      </c>
    </row>
    <row r="1556" spans="1:9" x14ac:dyDescent="0.2">
      <c r="A1556" s="349" t="s">
        <v>341</v>
      </c>
      <c r="B1556" s="354">
        <v>11500</v>
      </c>
      <c r="C1556" s="355" t="s">
        <v>523</v>
      </c>
      <c r="D1556" s="355" t="s">
        <v>524</v>
      </c>
      <c r="E1556" s="356">
        <v>4122488.06</v>
      </c>
      <c r="F1556" s="356">
        <v>514222.03</v>
      </c>
      <c r="G1556" s="357">
        <v>84770.8</v>
      </c>
      <c r="H1556" s="357">
        <v>429451.23</v>
      </c>
      <c r="I1556" s="357">
        <v>4551939.29</v>
      </c>
    </row>
    <row r="1557" spans="1:9" x14ac:dyDescent="0.2">
      <c r="A1557" s="349" t="s">
        <v>341</v>
      </c>
      <c r="B1557" s="359">
        <v>12900</v>
      </c>
      <c r="C1557" s="349" t="s">
        <v>525</v>
      </c>
      <c r="D1557" s="349" t="s">
        <v>526</v>
      </c>
      <c r="E1557" s="360">
        <v>119016.06</v>
      </c>
      <c r="F1557" s="360">
        <v>9430.25</v>
      </c>
      <c r="G1557" s="361">
        <v>0</v>
      </c>
      <c r="H1557" s="362">
        <v>9430.25</v>
      </c>
      <c r="I1557" s="362">
        <v>128446.31</v>
      </c>
    </row>
    <row r="1558" spans="1:9" x14ac:dyDescent="0.2">
      <c r="A1558" s="349" t="s">
        <v>341</v>
      </c>
      <c r="B1558" s="359">
        <v>12293</v>
      </c>
      <c r="C1558" s="349" t="s">
        <v>527</v>
      </c>
      <c r="D1558" s="349" t="s">
        <v>528</v>
      </c>
      <c r="E1558" s="360">
        <v>386627.51</v>
      </c>
      <c r="F1558" s="360">
        <v>31818.18</v>
      </c>
      <c r="G1558" s="361">
        <v>66</v>
      </c>
      <c r="H1558" s="362">
        <v>31752.18</v>
      </c>
      <c r="I1558" s="362">
        <v>418379.69</v>
      </c>
    </row>
    <row r="1559" spans="1:9" x14ac:dyDescent="0.2">
      <c r="A1559" s="349" t="s">
        <v>341</v>
      </c>
      <c r="B1559" s="359">
        <v>12461</v>
      </c>
      <c r="C1559" s="349" t="s">
        <v>529</v>
      </c>
      <c r="D1559" s="349" t="s">
        <v>530</v>
      </c>
      <c r="E1559" s="360">
        <v>73103.5</v>
      </c>
      <c r="F1559" s="360">
        <v>7766.95</v>
      </c>
      <c r="G1559" s="361">
        <v>0</v>
      </c>
      <c r="H1559" s="362">
        <v>7766.95</v>
      </c>
      <c r="I1559" s="362">
        <v>80870.45</v>
      </c>
    </row>
    <row r="1560" spans="1:9" x14ac:dyDescent="0.2">
      <c r="A1560" s="349" t="s">
        <v>341</v>
      </c>
      <c r="B1560" s="359">
        <v>51665</v>
      </c>
      <c r="C1560" s="349" t="s">
        <v>531</v>
      </c>
      <c r="D1560" s="349" t="s">
        <v>532</v>
      </c>
      <c r="E1560" s="360">
        <v>588297.17000000004</v>
      </c>
      <c r="F1560" s="360">
        <v>58254.64</v>
      </c>
      <c r="G1560" s="361">
        <v>0</v>
      </c>
      <c r="H1560" s="362">
        <v>58254.64</v>
      </c>
      <c r="I1560" s="362">
        <v>646551.81000000006</v>
      </c>
    </row>
    <row r="1561" spans="1:9" x14ac:dyDescent="0.2">
      <c r="A1561" s="349" t="s">
        <v>341</v>
      </c>
      <c r="B1561" s="359">
        <v>51127</v>
      </c>
      <c r="C1561" s="349" t="s">
        <v>533</v>
      </c>
      <c r="D1561" s="349" t="s">
        <v>534</v>
      </c>
      <c r="E1561" s="360">
        <v>382741.66</v>
      </c>
      <c r="F1561" s="360">
        <v>62123.35</v>
      </c>
      <c r="G1561" s="361">
        <v>0</v>
      </c>
      <c r="H1561" s="362">
        <v>62123.35</v>
      </c>
      <c r="I1561" s="362">
        <v>444865.01</v>
      </c>
    </row>
    <row r="1562" spans="1:9" x14ac:dyDescent="0.2">
      <c r="A1562" s="349" t="s">
        <v>341</v>
      </c>
      <c r="B1562" s="359">
        <v>51666</v>
      </c>
      <c r="C1562" s="349" t="s">
        <v>535</v>
      </c>
      <c r="D1562" s="349" t="s">
        <v>536</v>
      </c>
      <c r="E1562" s="360">
        <v>433028.61</v>
      </c>
      <c r="F1562" s="360">
        <v>25243.53</v>
      </c>
      <c r="G1562" s="361">
        <v>0</v>
      </c>
      <c r="H1562" s="362">
        <v>25243.53</v>
      </c>
      <c r="I1562" s="362">
        <v>458272.14</v>
      </c>
    </row>
    <row r="1563" spans="1:9" x14ac:dyDescent="0.2">
      <c r="A1563" s="349" t="s">
        <v>341</v>
      </c>
      <c r="B1563" s="359">
        <v>51667</v>
      </c>
      <c r="C1563" s="349" t="s">
        <v>537</v>
      </c>
      <c r="D1563" s="349" t="s">
        <v>538</v>
      </c>
      <c r="E1563" s="360">
        <v>63892.6</v>
      </c>
      <c r="F1563" s="363">
        <v>0</v>
      </c>
      <c r="G1563" s="361">
        <v>0</v>
      </c>
      <c r="H1563" s="361">
        <v>0</v>
      </c>
      <c r="I1563" s="362">
        <v>63892.6</v>
      </c>
    </row>
    <row r="1564" spans="1:9" x14ac:dyDescent="0.2">
      <c r="A1564" s="349" t="s">
        <v>341</v>
      </c>
      <c r="B1564" s="359">
        <v>51673</v>
      </c>
      <c r="C1564" s="349" t="s">
        <v>539</v>
      </c>
      <c r="D1564" s="349" t="s">
        <v>540</v>
      </c>
      <c r="E1564" s="360">
        <v>25899.54</v>
      </c>
      <c r="F1564" s="360">
        <v>1532</v>
      </c>
      <c r="G1564" s="361">
        <v>0</v>
      </c>
      <c r="H1564" s="362">
        <v>1532</v>
      </c>
      <c r="I1564" s="362">
        <v>27431.54</v>
      </c>
    </row>
    <row r="1565" spans="1:9" x14ac:dyDescent="0.2">
      <c r="A1565" s="349" t="s">
        <v>341</v>
      </c>
      <c r="B1565" s="359">
        <v>12267</v>
      </c>
      <c r="C1565" s="349" t="s">
        <v>541</v>
      </c>
      <c r="D1565" s="349" t="s">
        <v>542</v>
      </c>
      <c r="E1565" s="360">
        <v>65756.92</v>
      </c>
      <c r="F1565" s="360">
        <v>17563.689999999999</v>
      </c>
      <c r="G1565" s="362">
        <v>1600</v>
      </c>
      <c r="H1565" s="362">
        <v>15963.69</v>
      </c>
      <c r="I1565" s="362">
        <v>81720.61</v>
      </c>
    </row>
    <row r="1566" spans="1:9" x14ac:dyDescent="0.2">
      <c r="A1566" s="349" t="s">
        <v>341</v>
      </c>
      <c r="B1566" s="359">
        <v>11510</v>
      </c>
      <c r="C1566" s="349" t="s">
        <v>543</v>
      </c>
      <c r="D1566" s="349" t="s">
        <v>544</v>
      </c>
      <c r="E1566" s="360">
        <v>64630.38</v>
      </c>
      <c r="F1566" s="360">
        <v>7565.89</v>
      </c>
      <c r="G1566" s="361">
        <v>0</v>
      </c>
      <c r="H1566" s="362">
        <v>7565.89</v>
      </c>
      <c r="I1566" s="362">
        <v>72196.27</v>
      </c>
    </row>
    <row r="1567" spans="1:9" x14ac:dyDescent="0.2">
      <c r="A1567" s="349" t="s">
        <v>341</v>
      </c>
      <c r="B1567" s="359">
        <v>11516</v>
      </c>
      <c r="C1567" s="349" t="s">
        <v>545</v>
      </c>
      <c r="D1567" s="349" t="s">
        <v>546</v>
      </c>
      <c r="E1567" s="360">
        <v>18782.490000000002</v>
      </c>
      <c r="F1567" s="360">
        <v>2413.2199999999998</v>
      </c>
      <c r="G1567" s="361">
        <v>0</v>
      </c>
      <c r="H1567" s="362">
        <v>2413.2199999999998</v>
      </c>
      <c r="I1567" s="362">
        <v>21195.71</v>
      </c>
    </row>
    <row r="1568" spans="1:9" x14ac:dyDescent="0.2">
      <c r="A1568" s="349" t="s">
        <v>341</v>
      </c>
      <c r="B1568" s="359">
        <v>37992</v>
      </c>
      <c r="C1568" s="349" t="s">
        <v>547</v>
      </c>
      <c r="D1568" s="349" t="s">
        <v>548</v>
      </c>
      <c r="E1568" s="363">
        <v>450</v>
      </c>
      <c r="F1568" s="363">
        <v>0</v>
      </c>
      <c r="G1568" s="361">
        <v>0</v>
      </c>
      <c r="H1568" s="361">
        <v>0</v>
      </c>
      <c r="I1568" s="361">
        <v>450</v>
      </c>
    </row>
    <row r="1569" spans="1:9" x14ac:dyDescent="0.2">
      <c r="A1569" s="349" t="s">
        <v>341</v>
      </c>
      <c r="B1569" s="359">
        <v>37259</v>
      </c>
      <c r="C1569" s="349" t="s">
        <v>549</v>
      </c>
      <c r="D1569" s="349" t="s">
        <v>550</v>
      </c>
      <c r="E1569" s="360">
        <v>42014.95</v>
      </c>
      <c r="F1569" s="360">
        <v>2780</v>
      </c>
      <c r="G1569" s="361">
        <v>0</v>
      </c>
      <c r="H1569" s="362">
        <v>2780</v>
      </c>
      <c r="I1569" s="362">
        <v>44794.95</v>
      </c>
    </row>
    <row r="1570" spans="1:9" x14ac:dyDescent="0.2">
      <c r="A1570" s="349" t="s">
        <v>341</v>
      </c>
      <c r="B1570" s="359">
        <v>12865</v>
      </c>
      <c r="C1570" s="349" t="s">
        <v>551</v>
      </c>
      <c r="D1570" s="349" t="s">
        <v>552</v>
      </c>
      <c r="E1570" s="360">
        <v>42344.11</v>
      </c>
      <c r="F1570" s="360">
        <v>3769.79</v>
      </c>
      <c r="G1570" s="361">
        <v>0</v>
      </c>
      <c r="H1570" s="362">
        <v>3769.79</v>
      </c>
      <c r="I1570" s="362">
        <v>46113.9</v>
      </c>
    </row>
    <row r="1571" spans="1:9" x14ac:dyDescent="0.2">
      <c r="A1571" s="349" t="s">
        <v>341</v>
      </c>
      <c r="B1571" s="359">
        <v>12878</v>
      </c>
      <c r="C1571" s="349" t="s">
        <v>553</v>
      </c>
      <c r="D1571" s="349" t="s">
        <v>554</v>
      </c>
      <c r="E1571" s="360">
        <v>25064.68</v>
      </c>
      <c r="F1571" s="363">
        <v>769.5</v>
      </c>
      <c r="G1571" s="361">
        <v>0</v>
      </c>
      <c r="H1571" s="361">
        <v>769.5</v>
      </c>
      <c r="I1571" s="362">
        <v>25834.18</v>
      </c>
    </row>
    <row r="1572" spans="1:9" x14ac:dyDescent="0.2">
      <c r="A1572" s="349" t="s">
        <v>341</v>
      </c>
      <c r="B1572" s="359">
        <v>12274</v>
      </c>
      <c r="C1572" s="349" t="s">
        <v>555</v>
      </c>
      <c r="D1572" s="349" t="s">
        <v>556</v>
      </c>
      <c r="E1572" s="360">
        <v>19361.54</v>
      </c>
      <c r="F1572" s="360">
        <v>44104.800000000003</v>
      </c>
      <c r="G1572" s="362">
        <v>44104.800000000003</v>
      </c>
      <c r="H1572" s="361">
        <v>0</v>
      </c>
      <c r="I1572" s="362">
        <v>19361.54</v>
      </c>
    </row>
    <row r="1573" spans="1:9" x14ac:dyDescent="0.2">
      <c r="A1573" s="349" t="s">
        <v>341</v>
      </c>
      <c r="B1573" s="359">
        <v>12272</v>
      </c>
      <c r="C1573" s="349" t="s">
        <v>557</v>
      </c>
      <c r="D1573" s="349" t="s">
        <v>558</v>
      </c>
      <c r="E1573" s="360">
        <v>109517.83</v>
      </c>
      <c r="F1573" s="360">
        <v>15395.11</v>
      </c>
      <c r="G1573" s="361">
        <v>0</v>
      </c>
      <c r="H1573" s="362">
        <v>15395.11</v>
      </c>
      <c r="I1573" s="362">
        <v>124912.94</v>
      </c>
    </row>
    <row r="1574" spans="1:9" x14ac:dyDescent="0.2">
      <c r="A1574" s="349" t="s">
        <v>341</v>
      </c>
      <c r="B1574" s="359">
        <v>12888</v>
      </c>
      <c r="C1574" s="349" t="s">
        <v>559</v>
      </c>
      <c r="D1574" s="349" t="s">
        <v>560</v>
      </c>
      <c r="E1574" s="360">
        <v>4625</v>
      </c>
      <c r="F1574" s="363">
        <v>0</v>
      </c>
      <c r="G1574" s="361">
        <v>0</v>
      </c>
      <c r="H1574" s="361">
        <v>0</v>
      </c>
      <c r="I1574" s="362">
        <v>4625</v>
      </c>
    </row>
    <row r="1575" spans="1:9" x14ac:dyDescent="0.2">
      <c r="A1575" s="349" t="s">
        <v>341</v>
      </c>
      <c r="B1575" s="359">
        <v>12282</v>
      </c>
      <c r="C1575" s="349" t="s">
        <v>561</v>
      </c>
      <c r="D1575" s="349" t="s">
        <v>562</v>
      </c>
      <c r="E1575" s="360">
        <v>164241.32</v>
      </c>
      <c r="F1575" s="360">
        <v>21586.06</v>
      </c>
      <c r="G1575" s="361">
        <v>0</v>
      </c>
      <c r="H1575" s="362">
        <v>21586.06</v>
      </c>
      <c r="I1575" s="362">
        <v>185827.38</v>
      </c>
    </row>
    <row r="1576" spans="1:9" x14ac:dyDescent="0.2">
      <c r="A1576" s="349" t="s">
        <v>341</v>
      </c>
      <c r="B1576" s="359">
        <v>12284</v>
      </c>
      <c r="C1576" s="349" t="s">
        <v>563</v>
      </c>
      <c r="D1576" s="349" t="s">
        <v>564</v>
      </c>
      <c r="E1576" s="360">
        <v>89147.49</v>
      </c>
      <c r="F1576" s="360">
        <v>10586</v>
      </c>
      <c r="G1576" s="361">
        <v>0</v>
      </c>
      <c r="H1576" s="362">
        <v>10586</v>
      </c>
      <c r="I1576" s="362">
        <v>99733.49</v>
      </c>
    </row>
    <row r="1577" spans="1:9" x14ac:dyDescent="0.2">
      <c r="A1577" s="349" t="s">
        <v>341</v>
      </c>
      <c r="B1577" s="359">
        <v>12280</v>
      </c>
      <c r="C1577" s="349" t="s">
        <v>565</v>
      </c>
      <c r="D1577" s="349" t="s">
        <v>566</v>
      </c>
      <c r="E1577" s="360">
        <v>179799.67</v>
      </c>
      <c r="F1577" s="360">
        <v>9384.14</v>
      </c>
      <c r="G1577" s="361">
        <v>0</v>
      </c>
      <c r="H1577" s="362">
        <v>9384.14</v>
      </c>
      <c r="I1577" s="362">
        <v>189183.81</v>
      </c>
    </row>
    <row r="1578" spans="1:9" x14ac:dyDescent="0.2">
      <c r="A1578" s="349" t="s">
        <v>341</v>
      </c>
      <c r="B1578" s="359">
        <v>33097</v>
      </c>
      <c r="C1578" s="349" t="s">
        <v>567</v>
      </c>
      <c r="D1578" s="349" t="s">
        <v>568</v>
      </c>
      <c r="E1578" s="360">
        <v>7576.07</v>
      </c>
      <c r="F1578" s="360">
        <v>1508.4</v>
      </c>
      <c r="G1578" s="361">
        <v>0</v>
      </c>
      <c r="H1578" s="362">
        <v>1508.4</v>
      </c>
      <c r="I1578" s="362">
        <v>9084.4699999999993</v>
      </c>
    </row>
    <row r="1579" spans="1:9" x14ac:dyDescent="0.2">
      <c r="A1579" s="349" t="s">
        <v>341</v>
      </c>
      <c r="B1579" s="359">
        <v>12443</v>
      </c>
      <c r="C1579" s="349" t="s">
        <v>569</v>
      </c>
      <c r="D1579" s="349" t="s">
        <v>570</v>
      </c>
      <c r="E1579" s="363">
        <v>276.33999999999997</v>
      </c>
      <c r="F1579" s="363">
        <v>0</v>
      </c>
      <c r="G1579" s="361">
        <v>0</v>
      </c>
      <c r="H1579" s="361">
        <v>0</v>
      </c>
      <c r="I1579" s="361">
        <v>276.33999999999997</v>
      </c>
    </row>
    <row r="1580" spans="1:9" x14ac:dyDescent="0.2">
      <c r="A1580" s="349" t="s">
        <v>341</v>
      </c>
      <c r="B1580" s="359">
        <v>37763</v>
      </c>
      <c r="C1580" s="349" t="s">
        <v>571</v>
      </c>
      <c r="D1580" s="349" t="s">
        <v>572</v>
      </c>
      <c r="E1580" s="360">
        <v>14655.64</v>
      </c>
      <c r="F1580" s="360">
        <v>2791.37</v>
      </c>
      <c r="G1580" s="361">
        <v>0</v>
      </c>
      <c r="H1580" s="362">
        <v>2791.37</v>
      </c>
      <c r="I1580" s="362">
        <v>17447.009999999998</v>
      </c>
    </row>
    <row r="1581" spans="1:9" x14ac:dyDescent="0.2">
      <c r="A1581" s="349" t="s">
        <v>341</v>
      </c>
      <c r="B1581" s="359">
        <v>11534</v>
      </c>
      <c r="C1581" s="349" t="s">
        <v>573</v>
      </c>
      <c r="D1581" s="349" t="s">
        <v>574</v>
      </c>
      <c r="E1581" s="360">
        <v>16772.41</v>
      </c>
      <c r="F1581" s="363">
        <v>350</v>
      </c>
      <c r="G1581" s="361">
        <v>0</v>
      </c>
      <c r="H1581" s="361">
        <v>350</v>
      </c>
      <c r="I1581" s="362">
        <v>17122.41</v>
      </c>
    </row>
    <row r="1582" spans="1:9" x14ac:dyDescent="0.2">
      <c r="A1582" s="349" t="s">
        <v>341</v>
      </c>
      <c r="B1582" s="359">
        <v>11669</v>
      </c>
      <c r="C1582" s="349" t="s">
        <v>575</v>
      </c>
      <c r="D1582" s="349" t="s">
        <v>576</v>
      </c>
      <c r="E1582" s="360">
        <v>22571.27</v>
      </c>
      <c r="F1582" s="360">
        <v>4131.87</v>
      </c>
      <c r="G1582" s="361">
        <v>0</v>
      </c>
      <c r="H1582" s="362">
        <v>4131.87</v>
      </c>
      <c r="I1582" s="362">
        <v>26703.14</v>
      </c>
    </row>
    <row r="1583" spans="1:9" x14ac:dyDescent="0.2">
      <c r="A1583" s="349" t="s">
        <v>341</v>
      </c>
      <c r="B1583" s="359">
        <v>11528</v>
      </c>
      <c r="C1583" s="349" t="s">
        <v>577</v>
      </c>
      <c r="D1583" s="349" t="s">
        <v>578</v>
      </c>
      <c r="E1583" s="360">
        <v>76713</v>
      </c>
      <c r="F1583" s="360">
        <v>9690</v>
      </c>
      <c r="G1583" s="361">
        <v>0</v>
      </c>
      <c r="H1583" s="362">
        <v>9690</v>
      </c>
      <c r="I1583" s="362">
        <v>86403</v>
      </c>
    </row>
    <row r="1584" spans="1:9" x14ac:dyDescent="0.2">
      <c r="A1584" s="349" t="s">
        <v>341</v>
      </c>
      <c r="B1584" s="359">
        <v>11522</v>
      </c>
      <c r="C1584" s="349" t="s">
        <v>579</v>
      </c>
      <c r="D1584" s="349" t="s">
        <v>580</v>
      </c>
      <c r="E1584" s="360">
        <v>935608.24</v>
      </c>
      <c r="F1584" s="360">
        <v>88758.85</v>
      </c>
      <c r="G1584" s="361">
        <v>0</v>
      </c>
      <c r="H1584" s="362">
        <v>88758.85</v>
      </c>
      <c r="I1584" s="362">
        <v>1024367.09</v>
      </c>
    </row>
    <row r="1585" spans="1:9" x14ac:dyDescent="0.2">
      <c r="A1585" s="349" t="s">
        <v>341</v>
      </c>
      <c r="B1585" s="359">
        <v>11527</v>
      </c>
      <c r="C1585" s="349" t="s">
        <v>581</v>
      </c>
      <c r="D1585" s="349" t="s">
        <v>582</v>
      </c>
      <c r="E1585" s="360">
        <v>13825.62</v>
      </c>
      <c r="F1585" s="360">
        <v>1741.4</v>
      </c>
      <c r="G1585" s="361">
        <v>0</v>
      </c>
      <c r="H1585" s="362">
        <v>1741.4</v>
      </c>
      <c r="I1585" s="362">
        <v>15567.02</v>
      </c>
    </row>
    <row r="1586" spans="1:9" x14ac:dyDescent="0.2">
      <c r="A1586" s="349" t="s">
        <v>341</v>
      </c>
      <c r="B1586" s="359">
        <v>11540</v>
      </c>
      <c r="C1586" s="349" t="s">
        <v>583</v>
      </c>
      <c r="D1586" s="349" t="s">
        <v>584</v>
      </c>
      <c r="E1586" s="360">
        <v>71784.460000000006</v>
      </c>
      <c r="F1586" s="360">
        <v>39787.78</v>
      </c>
      <c r="G1586" s="362">
        <v>39000</v>
      </c>
      <c r="H1586" s="361">
        <v>787.78</v>
      </c>
      <c r="I1586" s="362">
        <v>72572.240000000005</v>
      </c>
    </row>
    <row r="1587" spans="1:9" x14ac:dyDescent="0.2">
      <c r="A1587" s="349" t="s">
        <v>341</v>
      </c>
      <c r="B1587" s="359">
        <v>51090</v>
      </c>
      <c r="C1587" s="349" t="s">
        <v>585</v>
      </c>
      <c r="D1587" s="349" t="s">
        <v>586</v>
      </c>
      <c r="E1587" s="360">
        <v>49133.68</v>
      </c>
      <c r="F1587" s="360">
        <v>9026.66</v>
      </c>
      <c r="G1587" s="361">
        <v>0</v>
      </c>
      <c r="H1587" s="362">
        <v>9026.66</v>
      </c>
      <c r="I1587" s="362">
        <v>58160.34</v>
      </c>
    </row>
    <row r="1588" spans="1:9" x14ac:dyDescent="0.2">
      <c r="A1588" s="349" t="s">
        <v>341</v>
      </c>
      <c r="B1588" s="359">
        <v>52206</v>
      </c>
      <c r="C1588" s="349" t="s">
        <v>587</v>
      </c>
      <c r="D1588" s="349" t="s">
        <v>588</v>
      </c>
      <c r="E1588" s="360">
        <v>10895.87</v>
      </c>
      <c r="F1588" s="360">
        <v>5711.08</v>
      </c>
      <c r="G1588" s="361">
        <v>0</v>
      </c>
      <c r="H1588" s="362">
        <v>5711.08</v>
      </c>
      <c r="I1588" s="362">
        <v>16606.95</v>
      </c>
    </row>
    <row r="1589" spans="1:9" x14ac:dyDescent="0.2">
      <c r="A1589" s="349" t="s">
        <v>341</v>
      </c>
      <c r="B1589" s="359">
        <v>11594</v>
      </c>
      <c r="C1589" s="349" t="s">
        <v>589</v>
      </c>
      <c r="D1589" s="349" t="s">
        <v>590</v>
      </c>
      <c r="E1589" s="363">
        <v>300</v>
      </c>
      <c r="F1589" s="363">
        <v>0</v>
      </c>
      <c r="G1589" s="361">
        <v>0</v>
      </c>
      <c r="H1589" s="361">
        <v>0</v>
      </c>
      <c r="I1589" s="361">
        <v>300</v>
      </c>
    </row>
    <row r="1590" spans="1:9" x14ac:dyDescent="0.2">
      <c r="A1590" s="349" t="s">
        <v>341</v>
      </c>
      <c r="B1590" s="359">
        <v>27585</v>
      </c>
      <c r="C1590" s="349" t="s">
        <v>591</v>
      </c>
      <c r="D1590" s="349" t="s">
        <v>592</v>
      </c>
      <c r="E1590" s="360">
        <v>1732.43</v>
      </c>
      <c r="F1590" s="363">
        <v>0</v>
      </c>
      <c r="G1590" s="361">
        <v>0</v>
      </c>
      <c r="H1590" s="361">
        <v>0</v>
      </c>
      <c r="I1590" s="362">
        <v>1732.43</v>
      </c>
    </row>
    <row r="1591" spans="1:9" x14ac:dyDescent="0.2">
      <c r="A1591" s="349" t="s">
        <v>341</v>
      </c>
      <c r="B1591" s="359">
        <v>52238</v>
      </c>
      <c r="C1591" s="349" t="s">
        <v>593</v>
      </c>
      <c r="D1591" s="349" t="s">
        <v>594</v>
      </c>
      <c r="E1591" s="360">
        <v>2300</v>
      </c>
      <c r="F1591" s="363">
        <v>0</v>
      </c>
      <c r="G1591" s="361">
        <v>0</v>
      </c>
      <c r="H1591" s="361">
        <v>0</v>
      </c>
      <c r="I1591" s="362">
        <v>2300</v>
      </c>
    </row>
    <row r="1592" spans="1:9" x14ac:dyDescent="0.2">
      <c r="A1592" s="349" t="s">
        <v>341</v>
      </c>
      <c r="B1592" s="359">
        <v>53792</v>
      </c>
      <c r="C1592" s="349" t="s">
        <v>595</v>
      </c>
      <c r="D1592" s="349" t="s">
        <v>596</v>
      </c>
      <c r="E1592" s="363">
        <v>0</v>
      </c>
      <c r="F1592" s="360">
        <v>18637.52</v>
      </c>
      <c r="G1592" s="361">
        <v>0</v>
      </c>
      <c r="H1592" s="362">
        <v>18637.52</v>
      </c>
      <c r="I1592" s="362">
        <v>18637.52</v>
      </c>
    </row>
    <row r="1593" spans="1:9" x14ac:dyDescent="0.2">
      <c r="A1593" s="349" t="s">
        <v>341</v>
      </c>
      <c r="B1593" s="354">
        <v>53716</v>
      </c>
      <c r="C1593" s="355" t="s">
        <v>597</v>
      </c>
      <c r="D1593" s="355" t="s">
        <v>598</v>
      </c>
      <c r="E1593" s="364">
        <v>0</v>
      </c>
      <c r="F1593" s="356">
        <v>60951.48</v>
      </c>
      <c r="G1593" s="358">
        <v>0</v>
      </c>
      <c r="H1593" s="357">
        <v>60951.48</v>
      </c>
      <c r="I1593" s="357">
        <v>60951.48</v>
      </c>
    </row>
    <row r="1594" spans="1:9" x14ac:dyDescent="0.2">
      <c r="A1594" s="349" t="s">
        <v>341</v>
      </c>
      <c r="B1594" s="359">
        <v>53717</v>
      </c>
      <c r="C1594" s="349" t="s">
        <v>599</v>
      </c>
      <c r="D1594" s="349" t="s">
        <v>600</v>
      </c>
      <c r="E1594" s="363">
        <v>0</v>
      </c>
      <c r="F1594" s="360">
        <v>7951.48</v>
      </c>
      <c r="G1594" s="361">
        <v>0</v>
      </c>
      <c r="H1594" s="362">
        <v>7951.48</v>
      </c>
      <c r="I1594" s="362">
        <v>7951.48</v>
      </c>
    </row>
    <row r="1595" spans="1:9" x14ac:dyDescent="0.2">
      <c r="A1595" s="349" t="s">
        <v>341</v>
      </c>
      <c r="B1595" s="359">
        <v>53718</v>
      </c>
      <c r="C1595" s="349" t="s">
        <v>601</v>
      </c>
      <c r="D1595" s="349" t="s">
        <v>602</v>
      </c>
      <c r="E1595" s="363">
        <v>0</v>
      </c>
      <c r="F1595" s="360">
        <v>53000</v>
      </c>
      <c r="G1595" s="361">
        <v>0</v>
      </c>
      <c r="H1595" s="362">
        <v>53000</v>
      </c>
      <c r="I1595" s="362">
        <v>53000</v>
      </c>
    </row>
    <row r="1596" spans="1:9" x14ac:dyDescent="0.2">
      <c r="A1596" s="349" t="s">
        <v>341</v>
      </c>
      <c r="B1596" s="354">
        <v>11554</v>
      </c>
      <c r="C1596" s="355" t="s">
        <v>603</v>
      </c>
      <c r="D1596" s="355" t="s">
        <v>604</v>
      </c>
      <c r="E1596" s="356">
        <v>1042428.1</v>
      </c>
      <c r="F1596" s="356">
        <v>154524.32999999999</v>
      </c>
      <c r="G1596" s="357">
        <v>43969.2</v>
      </c>
      <c r="H1596" s="357">
        <v>110555.13</v>
      </c>
      <c r="I1596" s="357">
        <v>1152983.23</v>
      </c>
    </row>
    <row r="1597" spans="1:9" x14ac:dyDescent="0.2">
      <c r="A1597" s="349" t="s">
        <v>341</v>
      </c>
      <c r="B1597" s="359">
        <v>11563</v>
      </c>
      <c r="C1597" s="349" t="s">
        <v>605</v>
      </c>
      <c r="D1597" s="349" t="s">
        <v>606</v>
      </c>
      <c r="E1597" s="363">
        <v>0</v>
      </c>
      <c r="F1597" s="360">
        <v>43969.2</v>
      </c>
      <c r="G1597" s="362">
        <v>43969.2</v>
      </c>
      <c r="H1597" s="361">
        <v>0</v>
      </c>
      <c r="I1597" s="361">
        <v>0</v>
      </c>
    </row>
    <row r="1598" spans="1:9" x14ac:dyDescent="0.2">
      <c r="A1598" s="349" t="s">
        <v>341</v>
      </c>
      <c r="B1598" s="359">
        <v>11634</v>
      </c>
      <c r="C1598" s="349" t="s">
        <v>607</v>
      </c>
      <c r="D1598" s="349" t="s">
        <v>608</v>
      </c>
      <c r="E1598" s="360">
        <v>324570.09999999998</v>
      </c>
      <c r="F1598" s="360">
        <v>30795.13</v>
      </c>
      <c r="G1598" s="361">
        <v>0</v>
      </c>
      <c r="H1598" s="362">
        <v>30795.13</v>
      </c>
      <c r="I1598" s="362">
        <v>355365.23</v>
      </c>
    </row>
    <row r="1599" spans="1:9" x14ac:dyDescent="0.2">
      <c r="A1599" s="349" t="s">
        <v>341</v>
      </c>
      <c r="B1599" s="359">
        <v>11704</v>
      </c>
      <c r="C1599" s="349" t="s">
        <v>609</v>
      </c>
      <c r="D1599" s="349" t="s">
        <v>610</v>
      </c>
      <c r="E1599" s="360">
        <v>57858</v>
      </c>
      <c r="F1599" s="360">
        <v>6760</v>
      </c>
      <c r="G1599" s="361">
        <v>0</v>
      </c>
      <c r="H1599" s="362">
        <v>6760</v>
      </c>
      <c r="I1599" s="362">
        <v>64618</v>
      </c>
    </row>
    <row r="1600" spans="1:9" x14ac:dyDescent="0.2">
      <c r="A1600" s="349" t="s">
        <v>341</v>
      </c>
      <c r="B1600" s="359">
        <v>51872</v>
      </c>
      <c r="C1600" s="349" t="s">
        <v>611</v>
      </c>
      <c r="D1600" s="349" t="s">
        <v>612</v>
      </c>
      <c r="E1600" s="360">
        <v>660000</v>
      </c>
      <c r="F1600" s="360">
        <v>60000</v>
      </c>
      <c r="G1600" s="361">
        <v>0</v>
      </c>
      <c r="H1600" s="362">
        <v>60000</v>
      </c>
      <c r="I1600" s="362">
        <v>720000</v>
      </c>
    </row>
    <row r="1601" spans="1:9" x14ac:dyDescent="0.2">
      <c r="A1601" s="349" t="s">
        <v>341</v>
      </c>
      <c r="B1601" s="359">
        <v>53791</v>
      </c>
      <c r="C1601" s="349" t="s">
        <v>613</v>
      </c>
      <c r="D1601" s="349" t="s">
        <v>614</v>
      </c>
      <c r="E1601" s="363">
        <v>0</v>
      </c>
      <c r="F1601" s="360">
        <v>13000</v>
      </c>
      <c r="G1601" s="361">
        <v>0</v>
      </c>
      <c r="H1601" s="362">
        <v>13000</v>
      </c>
      <c r="I1601" s="362">
        <v>13000</v>
      </c>
    </row>
    <row r="1602" spans="1:9" x14ac:dyDescent="0.2">
      <c r="A1602" s="349" t="s">
        <v>341</v>
      </c>
      <c r="B1602" s="354">
        <v>11571</v>
      </c>
      <c r="C1602" s="355" t="s">
        <v>615</v>
      </c>
      <c r="D1602" s="355" t="s">
        <v>616</v>
      </c>
      <c r="E1602" s="356">
        <v>2986385.55</v>
      </c>
      <c r="F1602" s="356">
        <v>332981.12</v>
      </c>
      <c r="G1602" s="358">
        <v>0</v>
      </c>
      <c r="H1602" s="357">
        <v>332981.12</v>
      </c>
      <c r="I1602" s="357">
        <v>3319366.67</v>
      </c>
    </row>
    <row r="1603" spans="1:9" x14ac:dyDescent="0.2">
      <c r="A1603" s="349" t="s">
        <v>341</v>
      </c>
      <c r="B1603" s="359">
        <v>11576</v>
      </c>
      <c r="C1603" s="349" t="s">
        <v>617</v>
      </c>
      <c r="D1603" s="349" t="s">
        <v>618</v>
      </c>
      <c r="E1603" s="360">
        <v>279377.39</v>
      </c>
      <c r="F1603" s="360">
        <v>28324.84</v>
      </c>
      <c r="G1603" s="361">
        <v>0</v>
      </c>
      <c r="H1603" s="362">
        <v>28324.84</v>
      </c>
      <c r="I1603" s="362">
        <v>307702.23</v>
      </c>
    </row>
    <row r="1604" spans="1:9" x14ac:dyDescent="0.2">
      <c r="A1604" s="349" t="s">
        <v>341</v>
      </c>
      <c r="B1604" s="359">
        <v>32935</v>
      </c>
      <c r="C1604" s="349" t="s">
        <v>619</v>
      </c>
      <c r="D1604" s="349" t="s">
        <v>620</v>
      </c>
      <c r="E1604" s="360">
        <v>1833969.78</v>
      </c>
      <c r="F1604" s="360">
        <v>211756.93</v>
      </c>
      <c r="G1604" s="361">
        <v>0</v>
      </c>
      <c r="H1604" s="362">
        <v>211756.93</v>
      </c>
      <c r="I1604" s="362">
        <v>2045726.71</v>
      </c>
    </row>
    <row r="1605" spans="1:9" x14ac:dyDescent="0.2">
      <c r="A1605" s="349" t="s">
        <v>341</v>
      </c>
      <c r="B1605" s="359">
        <v>32937</v>
      </c>
      <c r="C1605" s="349" t="s">
        <v>621</v>
      </c>
      <c r="D1605" s="349" t="s">
        <v>622</v>
      </c>
      <c r="E1605" s="360">
        <v>235411.33</v>
      </c>
      <c r="F1605" s="360">
        <v>41055</v>
      </c>
      <c r="G1605" s="361">
        <v>0</v>
      </c>
      <c r="H1605" s="362">
        <v>41055</v>
      </c>
      <c r="I1605" s="362">
        <v>276466.33</v>
      </c>
    </row>
    <row r="1606" spans="1:9" x14ac:dyDescent="0.2">
      <c r="A1606" s="349" t="s">
        <v>341</v>
      </c>
      <c r="B1606" s="359">
        <v>12305</v>
      </c>
      <c r="C1606" s="349" t="s">
        <v>623</v>
      </c>
      <c r="D1606" s="349" t="s">
        <v>624</v>
      </c>
      <c r="E1606" s="360">
        <v>96902.94</v>
      </c>
      <c r="F1606" s="360">
        <v>6754.17</v>
      </c>
      <c r="G1606" s="361">
        <v>0</v>
      </c>
      <c r="H1606" s="362">
        <v>6754.17</v>
      </c>
      <c r="I1606" s="362">
        <v>103657.11</v>
      </c>
    </row>
    <row r="1607" spans="1:9" x14ac:dyDescent="0.2">
      <c r="A1607" s="349" t="s">
        <v>341</v>
      </c>
      <c r="B1607" s="359">
        <v>11675</v>
      </c>
      <c r="C1607" s="349" t="s">
        <v>625</v>
      </c>
      <c r="D1607" s="349" t="s">
        <v>626</v>
      </c>
      <c r="E1607" s="360">
        <v>93230.13</v>
      </c>
      <c r="F1607" s="360">
        <v>6918.69</v>
      </c>
      <c r="G1607" s="361">
        <v>0</v>
      </c>
      <c r="H1607" s="362">
        <v>6918.69</v>
      </c>
      <c r="I1607" s="362">
        <v>100148.82</v>
      </c>
    </row>
    <row r="1608" spans="1:9" x14ac:dyDescent="0.2">
      <c r="A1608" s="349" t="s">
        <v>341</v>
      </c>
      <c r="B1608" s="359">
        <v>33003</v>
      </c>
      <c r="C1608" s="349" t="s">
        <v>627</v>
      </c>
      <c r="D1608" s="349" t="s">
        <v>628</v>
      </c>
      <c r="E1608" s="360">
        <v>278095</v>
      </c>
      <c r="F1608" s="360">
        <v>21522.53</v>
      </c>
      <c r="G1608" s="361">
        <v>0</v>
      </c>
      <c r="H1608" s="362">
        <v>21522.53</v>
      </c>
      <c r="I1608" s="362">
        <v>299617.53000000003</v>
      </c>
    </row>
    <row r="1609" spans="1:9" x14ac:dyDescent="0.2">
      <c r="A1609" s="349" t="s">
        <v>341</v>
      </c>
      <c r="B1609" s="359">
        <v>33005</v>
      </c>
      <c r="C1609" s="349" t="s">
        <v>629</v>
      </c>
      <c r="D1609" s="349" t="s">
        <v>630</v>
      </c>
      <c r="E1609" s="360">
        <v>115789.69</v>
      </c>
      <c r="F1609" s="360">
        <v>11552.17</v>
      </c>
      <c r="G1609" s="361">
        <v>0</v>
      </c>
      <c r="H1609" s="362">
        <v>11552.17</v>
      </c>
      <c r="I1609" s="362">
        <v>127341.86</v>
      </c>
    </row>
    <row r="1610" spans="1:9" x14ac:dyDescent="0.2">
      <c r="A1610" s="349" t="s">
        <v>341</v>
      </c>
      <c r="B1610" s="359">
        <v>33004</v>
      </c>
      <c r="C1610" s="349" t="s">
        <v>631</v>
      </c>
      <c r="D1610" s="349" t="s">
        <v>632</v>
      </c>
      <c r="E1610" s="360">
        <v>53609.29</v>
      </c>
      <c r="F1610" s="360">
        <v>5096.79</v>
      </c>
      <c r="G1610" s="361">
        <v>0</v>
      </c>
      <c r="H1610" s="362">
        <v>5096.79</v>
      </c>
      <c r="I1610" s="362">
        <v>58706.080000000002</v>
      </c>
    </row>
    <row r="1611" spans="1:9" x14ac:dyDescent="0.2">
      <c r="A1611" s="349" t="s">
        <v>341</v>
      </c>
      <c r="B1611" s="354">
        <v>11585</v>
      </c>
      <c r="C1611" s="355" t="s">
        <v>633</v>
      </c>
      <c r="D1611" s="355" t="s">
        <v>634</v>
      </c>
      <c r="E1611" s="356">
        <v>991379.05</v>
      </c>
      <c r="F1611" s="356">
        <v>120524.89</v>
      </c>
      <c r="G1611" s="358">
        <v>0</v>
      </c>
      <c r="H1611" s="357">
        <v>120524.89</v>
      </c>
      <c r="I1611" s="357">
        <v>1111903.94</v>
      </c>
    </row>
    <row r="1612" spans="1:9" x14ac:dyDescent="0.2">
      <c r="A1612" s="349" t="s">
        <v>341</v>
      </c>
      <c r="B1612" s="359">
        <v>12330</v>
      </c>
      <c r="C1612" s="349" t="s">
        <v>635</v>
      </c>
      <c r="D1612" s="349" t="s">
        <v>636</v>
      </c>
      <c r="E1612" s="360">
        <v>671858.08</v>
      </c>
      <c r="F1612" s="360">
        <v>62067.42</v>
      </c>
      <c r="G1612" s="361">
        <v>0</v>
      </c>
      <c r="H1612" s="362">
        <v>62067.42</v>
      </c>
      <c r="I1612" s="362">
        <v>733925.5</v>
      </c>
    </row>
    <row r="1613" spans="1:9" x14ac:dyDescent="0.2">
      <c r="A1613" s="349" t="s">
        <v>341</v>
      </c>
      <c r="B1613" s="359">
        <v>12893</v>
      </c>
      <c r="C1613" s="349" t="s">
        <v>637</v>
      </c>
      <c r="D1613" s="349" t="s">
        <v>638</v>
      </c>
      <c r="E1613" s="360">
        <v>46502.29</v>
      </c>
      <c r="F1613" s="360">
        <v>1195.07</v>
      </c>
      <c r="G1613" s="361">
        <v>0</v>
      </c>
      <c r="H1613" s="362">
        <v>1195.07</v>
      </c>
      <c r="I1613" s="362">
        <v>47697.36</v>
      </c>
    </row>
    <row r="1614" spans="1:9" x14ac:dyDescent="0.2">
      <c r="A1614" s="349" t="s">
        <v>341</v>
      </c>
      <c r="B1614" s="359">
        <v>12334</v>
      </c>
      <c r="C1614" s="349" t="s">
        <v>639</v>
      </c>
      <c r="D1614" s="349" t="s">
        <v>640</v>
      </c>
      <c r="E1614" s="360">
        <v>273018.68</v>
      </c>
      <c r="F1614" s="360">
        <v>57262.400000000001</v>
      </c>
      <c r="G1614" s="361">
        <v>0</v>
      </c>
      <c r="H1614" s="362">
        <v>57262.400000000001</v>
      </c>
      <c r="I1614" s="362">
        <v>330281.08</v>
      </c>
    </row>
    <row r="1615" spans="1:9" x14ac:dyDescent="0.2">
      <c r="A1615" s="349" t="s">
        <v>341</v>
      </c>
      <c r="B1615" s="354">
        <v>40541</v>
      </c>
      <c r="C1615" s="355" t="s">
        <v>641</v>
      </c>
      <c r="D1615" s="355" t="s">
        <v>642</v>
      </c>
      <c r="E1615" s="356">
        <v>690202.1</v>
      </c>
      <c r="F1615" s="356">
        <v>47186.29</v>
      </c>
      <c r="G1615" s="357">
        <v>2400</v>
      </c>
      <c r="H1615" s="357">
        <v>44786.29</v>
      </c>
      <c r="I1615" s="357">
        <v>734988.39</v>
      </c>
    </row>
    <row r="1616" spans="1:9" x14ac:dyDescent="0.2">
      <c r="A1616" s="349" t="s">
        <v>341</v>
      </c>
      <c r="B1616" s="359">
        <v>12881</v>
      </c>
      <c r="C1616" s="349" t="s">
        <v>643</v>
      </c>
      <c r="D1616" s="349" t="s">
        <v>644</v>
      </c>
      <c r="E1616" s="360">
        <v>13414.4</v>
      </c>
      <c r="F1616" s="363">
        <v>955.39</v>
      </c>
      <c r="G1616" s="361">
        <v>0</v>
      </c>
      <c r="H1616" s="361">
        <v>955.39</v>
      </c>
      <c r="I1616" s="362">
        <v>14369.79</v>
      </c>
    </row>
    <row r="1617" spans="1:9" x14ac:dyDescent="0.2">
      <c r="A1617" s="349" t="s">
        <v>341</v>
      </c>
      <c r="B1617" s="359">
        <v>12864</v>
      </c>
      <c r="C1617" s="349" t="s">
        <v>645</v>
      </c>
      <c r="D1617" s="349" t="s">
        <v>646</v>
      </c>
      <c r="E1617" s="360">
        <v>69729.72</v>
      </c>
      <c r="F1617" s="363">
        <v>300</v>
      </c>
      <c r="G1617" s="361">
        <v>0</v>
      </c>
      <c r="H1617" s="361">
        <v>300</v>
      </c>
      <c r="I1617" s="362">
        <v>70029.72</v>
      </c>
    </row>
    <row r="1618" spans="1:9" x14ac:dyDescent="0.2">
      <c r="A1618" s="349" t="s">
        <v>341</v>
      </c>
      <c r="B1618" s="359">
        <v>11692</v>
      </c>
      <c r="C1618" s="349" t="s">
        <v>647</v>
      </c>
      <c r="D1618" s="349" t="s">
        <v>648</v>
      </c>
      <c r="E1618" s="360">
        <v>188172.21</v>
      </c>
      <c r="F1618" s="360">
        <v>24213.63</v>
      </c>
      <c r="G1618" s="361">
        <v>0</v>
      </c>
      <c r="H1618" s="362">
        <v>24213.63</v>
      </c>
      <c r="I1618" s="362">
        <v>212385.84</v>
      </c>
    </row>
    <row r="1619" spans="1:9" x14ac:dyDescent="0.2">
      <c r="A1619" s="349" t="s">
        <v>341</v>
      </c>
      <c r="B1619" s="359">
        <v>11784</v>
      </c>
      <c r="C1619" s="349" t="s">
        <v>649</v>
      </c>
      <c r="D1619" s="349" t="s">
        <v>650</v>
      </c>
      <c r="E1619" s="360">
        <v>91158.06</v>
      </c>
      <c r="F1619" s="360">
        <v>2283.33</v>
      </c>
      <c r="G1619" s="361">
        <v>0</v>
      </c>
      <c r="H1619" s="362">
        <v>2283.33</v>
      </c>
      <c r="I1619" s="362">
        <v>93441.39</v>
      </c>
    </row>
    <row r="1620" spans="1:9" x14ac:dyDescent="0.2">
      <c r="A1620" s="349" t="s">
        <v>341</v>
      </c>
      <c r="B1620" s="359">
        <v>11983</v>
      </c>
      <c r="C1620" s="349" t="s">
        <v>651</v>
      </c>
      <c r="D1620" s="349" t="s">
        <v>652</v>
      </c>
      <c r="E1620" s="360">
        <v>18604.810000000001</v>
      </c>
      <c r="F1620" s="363">
        <v>101.33</v>
      </c>
      <c r="G1620" s="361">
        <v>0</v>
      </c>
      <c r="H1620" s="361">
        <v>101.33</v>
      </c>
      <c r="I1620" s="362">
        <v>18706.14</v>
      </c>
    </row>
    <row r="1621" spans="1:9" x14ac:dyDescent="0.2">
      <c r="A1621" s="349" t="s">
        <v>341</v>
      </c>
      <c r="B1621" s="359">
        <v>12316</v>
      </c>
      <c r="C1621" s="349" t="s">
        <v>653</v>
      </c>
      <c r="D1621" s="349" t="s">
        <v>654</v>
      </c>
      <c r="E1621" s="360">
        <v>201814.14</v>
      </c>
      <c r="F1621" s="360">
        <v>9496.16</v>
      </c>
      <c r="G1621" s="362">
        <v>2400</v>
      </c>
      <c r="H1621" s="362">
        <v>7096.16</v>
      </c>
      <c r="I1621" s="362">
        <v>208910.3</v>
      </c>
    </row>
    <row r="1622" spans="1:9" x14ac:dyDescent="0.2">
      <c r="A1622" s="349" t="s">
        <v>341</v>
      </c>
      <c r="B1622" s="359">
        <v>11611</v>
      </c>
      <c r="C1622" s="349" t="s">
        <v>655</v>
      </c>
      <c r="D1622" s="349" t="s">
        <v>656</v>
      </c>
      <c r="E1622" s="360">
        <v>15952.29</v>
      </c>
      <c r="F1622" s="363">
        <v>0</v>
      </c>
      <c r="G1622" s="361">
        <v>0</v>
      </c>
      <c r="H1622" s="361">
        <v>0</v>
      </c>
      <c r="I1622" s="362">
        <v>15952.29</v>
      </c>
    </row>
    <row r="1623" spans="1:9" x14ac:dyDescent="0.2">
      <c r="A1623" s="349" t="s">
        <v>341</v>
      </c>
      <c r="B1623" s="359">
        <v>11698</v>
      </c>
      <c r="C1623" s="349" t="s">
        <v>657</v>
      </c>
      <c r="D1623" s="349" t="s">
        <v>658</v>
      </c>
      <c r="E1623" s="360">
        <v>19907.16</v>
      </c>
      <c r="F1623" s="360">
        <v>1931.89</v>
      </c>
      <c r="G1623" s="361">
        <v>0</v>
      </c>
      <c r="H1623" s="362">
        <v>1931.89</v>
      </c>
      <c r="I1623" s="362">
        <v>21839.05</v>
      </c>
    </row>
    <row r="1624" spans="1:9" x14ac:dyDescent="0.2">
      <c r="A1624" s="349" t="s">
        <v>341</v>
      </c>
      <c r="B1624" s="359">
        <v>11926</v>
      </c>
      <c r="C1624" s="349" t="s">
        <v>659</v>
      </c>
      <c r="D1624" s="349" t="s">
        <v>660</v>
      </c>
      <c r="E1624" s="360">
        <v>12000</v>
      </c>
      <c r="F1624" s="363">
        <v>0</v>
      </c>
      <c r="G1624" s="361">
        <v>0</v>
      </c>
      <c r="H1624" s="361">
        <v>0</v>
      </c>
      <c r="I1624" s="362">
        <v>12000</v>
      </c>
    </row>
    <row r="1625" spans="1:9" x14ac:dyDescent="0.2">
      <c r="A1625" s="349" t="s">
        <v>341</v>
      </c>
      <c r="B1625" s="359">
        <v>11790</v>
      </c>
      <c r="C1625" s="349" t="s">
        <v>661</v>
      </c>
      <c r="D1625" s="349" t="s">
        <v>662</v>
      </c>
      <c r="E1625" s="363">
        <v>628.66</v>
      </c>
      <c r="F1625" s="363">
        <v>0</v>
      </c>
      <c r="G1625" s="361">
        <v>0</v>
      </c>
      <c r="H1625" s="361">
        <v>0</v>
      </c>
      <c r="I1625" s="361">
        <v>628.66</v>
      </c>
    </row>
    <row r="1626" spans="1:9" x14ac:dyDescent="0.2">
      <c r="A1626" s="349" t="s">
        <v>341</v>
      </c>
      <c r="B1626" s="359">
        <v>11623</v>
      </c>
      <c r="C1626" s="349" t="s">
        <v>663</v>
      </c>
      <c r="D1626" s="349" t="s">
        <v>590</v>
      </c>
      <c r="E1626" s="360">
        <v>1103.8800000000001</v>
      </c>
      <c r="F1626" s="363">
        <v>210</v>
      </c>
      <c r="G1626" s="361">
        <v>0</v>
      </c>
      <c r="H1626" s="361">
        <v>210</v>
      </c>
      <c r="I1626" s="362">
        <v>1313.88</v>
      </c>
    </row>
    <row r="1627" spans="1:9" x14ac:dyDescent="0.2">
      <c r="A1627" s="349" t="s">
        <v>341</v>
      </c>
      <c r="B1627" s="359">
        <v>12323</v>
      </c>
      <c r="C1627" s="349" t="s">
        <v>664</v>
      </c>
      <c r="D1627" s="349" t="s">
        <v>665</v>
      </c>
      <c r="E1627" s="363">
        <v>55</v>
      </c>
      <c r="F1627" s="363">
        <v>0</v>
      </c>
      <c r="G1627" s="361">
        <v>0</v>
      </c>
      <c r="H1627" s="361">
        <v>0</v>
      </c>
      <c r="I1627" s="361">
        <v>55</v>
      </c>
    </row>
    <row r="1628" spans="1:9" x14ac:dyDescent="0.2">
      <c r="A1628" s="349" t="s">
        <v>341</v>
      </c>
      <c r="B1628" s="359">
        <v>53474</v>
      </c>
      <c r="C1628" s="349" t="s">
        <v>666</v>
      </c>
      <c r="D1628" s="349" t="s">
        <v>667</v>
      </c>
      <c r="E1628" s="360">
        <v>56861.77</v>
      </c>
      <c r="F1628" s="360">
        <v>7286.56</v>
      </c>
      <c r="G1628" s="361">
        <v>0</v>
      </c>
      <c r="H1628" s="362">
        <v>7286.56</v>
      </c>
      <c r="I1628" s="362">
        <v>64148.33</v>
      </c>
    </row>
    <row r="1629" spans="1:9" x14ac:dyDescent="0.2">
      <c r="A1629" s="349" t="s">
        <v>341</v>
      </c>
      <c r="B1629" s="359">
        <v>11932</v>
      </c>
      <c r="C1629" s="349" t="s">
        <v>668</v>
      </c>
      <c r="D1629" s="349" t="s">
        <v>669</v>
      </c>
      <c r="E1629" s="363">
        <v>800</v>
      </c>
      <c r="F1629" s="363">
        <v>0</v>
      </c>
      <c r="G1629" s="361">
        <v>0</v>
      </c>
      <c r="H1629" s="361">
        <v>0</v>
      </c>
      <c r="I1629" s="361">
        <v>800</v>
      </c>
    </row>
    <row r="1630" spans="1:9" x14ac:dyDescent="0.2">
      <c r="A1630" s="349" t="s">
        <v>341</v>
      </c>
      <c r="B1630" s="359">
        <v>53803</v>
      </c>
      <c r="C1630" s="349" t="s">
        <v>670</v>
      </c>
      <c r="D1630" s="349" t="s">
        <v>671</v>
      </c>
      <c r="E1630" s="363">
        <v>0</v>
      </c>
      <c r="F1630" s="363">
        <v>408</v>
      </c>
      <c r="G1630" s="361">
        <v>0</v>
      </c>
      <c r="H1630" s="361">
        <v>408</v>
      </c>
      <c r="I1630" s="361">
        <v>408</v>
      </c>
    </row>
    <row r="1631" spans="1:9" x14ac:dyDescent="0.2">
      <c r="A1631" s="349" t="s">
        <v>341</v>
      </c>
      <c r="B1631" s="354">
        <v>53070</v>
      </c>
      <c r="C1631" s="355" t="s">
        <v>672</v>
      </c>
      <c r="D1631" s="355" t="s">
        <v>673</v>
      </c>
      <c r="E1631" s="356">
        <v>103087.15</v>
      </c>
      <c r="F1631" s="356">
        <v>19098.580000000002</v>
      </c>
      <c r="G1631" s="358">
        <v>0</v>
      </c>
      <c r="H1631" s="357">
        <v>19098.580000000002</v>
      </c>
      <c r="I1631" s="357">
        <v>122185.73</v>
      </c>
    </row>
    <row r="1632" spans="1:9" x14ac:dyDescent="0.2">
      <c r="A1632" s="349" t="s">
        <v>341</v>
      </c>
      <c r="B1632" s="359">
        <v>51091</v>
      </c>
      <c r="C1632" s="349" t="s">
        <v>674</v>
      </c>
      <c r="D1632" s="349" t="s">
        <v>675</v>
      </c>
      <c r="E1632" s="360">
        <v>3242.03</v>
      </c>
      <c r="F1632" s="363">
        <v>93.02</v>
      </c>
      <c r="G1632" s="361">
        <v>0</v>
      </c>
      <c r="H1632" s="361">
        <v>93.02</v>
      </c>
      <c r="I1632" s="362">
        <v>3335.05</v>
      </c>
    </row>
    <row r="1633" spans="1:9" x14ac:dyDescent="0.2">
      <c r="A1633" s="349" t="s">
        <v>341</v>
      </c>
      <c r="B1633" s="359">
        <v>12291</v>
      </c>
      <c r="C1633" s="349" t="s">
        <v>676</v>
      </c>
      <c r="D1633" s="349" t="s">
        <v>677</v>
      </c>
      <c r="E1633" s="360">
        <v>99845.119999999995</v>
      </c>
      <c r="F1633" s="360">
        <v>19005.560000000001</v>
      </c>
      <c r="G1633" s="361">
        <v>0</v>
      </c>
      <c r="H1633" s="362">
        <v>19005.560000000001</v>
      </c>
      <c r="I1633" s="362">
        <v>118850.68</v>
      </c>
    </row>
    <row r="1634" spans="1:9" x14ac:dyDescent="0.2">
      <c r="A1634" s="349" t="s">
        <v>341</v>
      </c>
      <c r="B1634" s="354">
        <v>11641</v>
      </c>
      <c r="C1634" s="355" t="s">
        <v>678</v>
      </c>
      <c r="D1634" s="355" t="s">
        <v>679</v>
      </c>
      <c r="E1634" s="356">
        <v>68692.69</v>
      </c>
      <c r="F1634" s="356">
        <v>6734.36</v>
      </c>
      <c r="G1634" s="358">
        <v>0</v>
      </c>
      <c r="H1634" s="357">
        <v>6734.36</v>
      </c>
      <c r="I1634" s="357">
        <v>75427.05</v>
      </c>
    </row>
    <row r="1635" spans="1:9" x14ac:dyDescent="0.2">
      <c r="A1635" s="349" t="s">
        <v>341</v>
      </c>
      <c r="B1635" s="359">
        <v>38302</v>
      </c>
      <c r="C1635" s="349" t="s">
        <v>680</v>
      </c>
      <c r="D1635" s="349" t="s">
        <v>681</v>
      </c>
      <c r="E1635" s="360">
        <v>1952.38</v>
      </c>
      <c r="F1635" s="363">
        <v>280.36</v>
      </c>
      <c r="G1635" s="361">
        <v>0</v>
      </c>
      <c r="H1635" s="361">
        <v>280.36</v>
      </c>
      <c r="I1635" s="362">
        <v>2232.7399999999998</v>
      </c>
    </row>
    <row r="1636" spans="1:9" x14ac:dyDescent="0.2">
      <c r="A1636" s="349" t="s">
        <v>341</v>
      </c>
      <c r="B1636" s="359">
        <v>12312</v>
      </c>
      <c r="C1636" s="349" t="s">
        <v>682</v>
      </c>
      <c r="D1636" s="349" t="s">
        <v>683</v>
      </c>
      <c r="E1636" s="360">
        <v>6228.06</v>
      </c>
      <c r="F1636" s="363">
        <v>0</v>
      </c>
      <c r="G1636" s="361">
        <v>0</v>
      </c>
      <c r="H1636" s="361">
        <v>0</v>
      </c>
      <c r="I1636" s="362">
        <v>6228.06</v>
      </c>
    </row>
    <row r="1637" spans="1:9" x14ac:dyDescent="0.2">
      <c r="A1637" s="349" t="s">
        <v>341</v>
      </c>
      <c r="B1637" s="359">
        <v>11652</v>
      </c>
      <c r="C1637" s="349" t="s">
        <v>684</v>
      </c>
      <c r="D1637" s="349" t="s">
        <v>685</v>
      </c>
      <c r="E1637" s="360">
        <v>52769.25</v>
      </c>
      <c r="F1637" s="360">
        <v>4000</v>
      </c>
      <c r="G1637" s="361">
        <v>0</v>
      </c>
      <c r="H1637" s="362">
        <v>4000</v>
      </c>
      <c r="I1637" s="362">
        <v>56769.25</v>
      </c>
    </row>
    <row r="1638" spans="1:9" x14ac:dyDescent="0.2">
      <c r="A1638" s="349" t="s">
        <v>341</v>
      </c>
      <c r="B1638" s="359">
        <v>11646</v>
      </c>
      <c r="C1638" s="349" t="s">
        <v>686</v>
      </c>
      <c r="D1638" s="349" t="s">
        <v>687</v>
      </c>
      <c r="E1638" s="360">
        <v>7743</v>
      </c>
      <c r="F1638" s="360">
        <v>2454</v>
      </c>
      <c r="G1638" s="361">
        <v>0</v>
      </c>
      <c r="H1638" s="362">
        <v>2454</v>
      </c>
      <c r="I1638" s="362">
        <v>10197</v>
      </c>
    </row>
    <row r="1639" spans="1:9" x14ac:dyDescent="0.2">
      <c r="A1639" s="349" t="s">
        <v>341</v>
      </c>
      <c r="B1639" s="354">
        <v>11653</v>
      </c>
      <c r="C1639" s="355" t="s">
        <v>688</v>
      </c>
      <c r="D1639" s="355" t="s">
        <v>689</v>
      </c>
      <c r="E1639" s="356">
        <v>29402.31</v>
      </c>
      <c r="F1639" s="356">
        <v>3303.47</v>
      </c>
      <c r="G1639" s="358">
        <v>0</v>
      </c>
      <c r="H1639" s="357">
        <v>3303.47</v>
      </c>
      <c r="I1639" s="357">
        <v>32705.78</v>
      </c>
    </row>
    <row r="1640" spans="1:9" x14ac:dyDescent="0.2">
      <c r="A1640" s="349" t="s">
        <v>341</v>
      </c>
      <c r="B1640" s="359">
        <v>11715</v>
      </c>
      <c r="C1640" s="349" t="s">
        <v>690</v>
      </c>
      <c r="D1640" s="349" t="s">
        <v>691</v>
      </c>
      <c r="E1640" s="360">
        <v>25107.09</v>
      </c>
      <c r="F1640" s="360">
        <v>2691.96</v>
      </c>
      <c r="G1640" s="361">
        <v>0</v>
      </c>
      <c r="H1640" s="362">
        <v>2691.96</v>
      </c>
      <c r="I1640" s="362">
        <v>27799.05</v>
      </c>
    </row>
    <row r="1641" spans="1:9" x14ac:dyDescent="0.2">
      <c r="A1641" s="349" t="s">
        <v>341</v>
      </c>
      <c r="B1641" s="359">
        <v>11721</v>
      </c>
      <c r="C1641" s="349" t="s">
        <v>692</v>
      </c>
      <c r="D1641" s="349" t="s">
        <v>693</v>
      </c>
      <c r="E1641" s="360">
        <v>4295.22</v>
      </c>
      <c r="F1641" s="363">
        <v>611.51</v>
      </c>
      <c r="G1641" s="361">
        <v>0</v>
      </c>
      <c r="H1641" s="361">
        <v>611.51</v>
      </c>
      <c r="I1641" s="362">
        <v>4906.7299999999996</v>
      </c>
    </row>
    <row r="1642" spans="1:9" x14ac:dyDescent="0.2">
      <c r="A1642" s="349" t="s">
        <v>341</v>
      </c>
      <c r="B1642" s="354">
        <v>11740</v>
      </c>
      <c r="C1642" s="355" t="s">
        <v>694</v>
      </c>
      <c r="D1642" s="355" t="s">
        <v>695</v>
      </c>
      <c r="E1642" s="356">
        <v>2473072.1</v>
      </c>
      <c r="F1642" s="356">
        <v>216756.94</v>
      </c>
      <c r="G1642" s="358">
        <v>0</v>
      </c>
      <c r="H1642" s="357">
        <v>216756.94</v>
      </c>
      <c r="I1642" s="357">
        <v>2689829.04</v>
      </c>
    </row>
    <row r="1643" spans="1:9" x14ac:dyDescent="0.2">
      <c r="A1643" s="349" t="s">
        <v>341</v>
      </c>
      <c r="B1643" s="354">
        <v>11741</v>
      </c>
      <c r="C1643" s="355" t="s">
        <v>696</v>
      </c>
      <c r="D1643" s="355" t="s">
        <v>695</v>
      </c>
      <c r="E1643" s="356">
        <v>2100004.0699999998</v>
      </c>
      <c r="F1643" s="356">
        <v>177951.55</v>
      </c>
      <c r="G1643" s="358">
        <v>0</v>
      </c>
      <c r="H1643" s="357">
        <v>177951.55</v>
      </c>
      <c r="I1643" s="357">
        <v>2277955.62</v>
      </c>
    </row>
    <row r="1644" spans="1:9" x14ac:dyDescent="0.2">
      <c r="A1644" s="349" t="s">
        <v>341</v>
      </c>
      <c r="B1644" s="359">
        <v>33736</v>
      </c>
      <c r="C1644" s="349" t="s">
        <v>697</v>
      </c>
      <c r="D1644" s="349" t="s">
        <v>698</v>
      </c>
      <c r="E1644" s="360">
        <v>379923.36</v>
      </c>
      <c r="F1644" s="360">
        <v>31660.28</v>
      </c>
      <c r="G1644" s="361">
        <v>0</v>
      </c>
      <c r="H1644" s="362">
        <v>31660.28</v>
      </c>
      <c r="I1644" s="362">
        <v>411583.64</v>
      </c>
    </row>
    <row r="1645" spans="1:9" x14ac:dyDescent="0.2">
      <c r="A1645" s="349" t="s">
        <v>341</v>
      </c>
      <c r="B1645" s="359">
        <v>11750</v>
      </c>
      <c r="C1645" s="349" t="s">
        <v>699</v>
      </c>
      <c r="D1645" s="349" t="s">
        <v>700</v>
      </c>
      <c r="E1645" s="360">
        <v>1521439.89</v>
      </c>
      <c r="F1645" s="360">
        <v>129867.09</v>
      </c>
      <c r="G1645" s="361">
        <v>0</v>
      </c>
      <c r="H1645" s="362">
        <v>129867.09</v>
      </c>
      <c r="I1645" s="362">
        <v>1651306.98</v>
      </c>
    </row>
    <row r="1646" spans="1:9" x14ac:dyDescent="0.2">
      <c r="A1646" s="349" t="s">
        <v>341</v>
      </c>
      <c r="B1646" s="359">
        <v>11761</v>
      </c>
      <c r="C1646" s="349" t="s">
        <v>701</v>
      </c>
      <c r="D1646" s="349" t="s">
        <v>702</v>
      </c>
      <c r="E1646" s="360">
        <v>198640.82</v>
      </c>
      <c r="F1646" s="360">
        <v>16424.18</v>
      </c>
      <c r="G1646" s="361">
        <v>0</v>
      </c>
      <c r="H1646" s="362">
        <v>16424.18</v>
      </c>
      <c r="I1646" s="362">
        <v>215065</v>
      </c>
    </row>
    <row r="1647" spans="1:9" x14ac:dyDescent="0.2">
      <c r="A1647" s="349" t="s">
        <v>341</v>
      </c>
      <c r="B1647" s="354">
        <v>53696</v>
      </c>
      <c r="C1647" s="355" t="s">
        <v>703</v>
      </c>
      <c r="D1647" s="355" t="s">
        <v>704</v>
      </c>
      <c r="E1647" s="356">
        <v>373068.03</v>
      </c>
      <c r="F1647" s="356">
        <v>38805.39</v>
      </c>
      <c r="G1647" s="358">
        <v>0</v>
      </c>
      <c r="H1647" s="357">
        <v>38805.39</v>
      </c>
      <c r="I1647" s="357">
        <v>411873.42</v>
      </c>
    </row>
    <row r="1648" spans="1:9" x14ac:dyDescent="0.2">
      <c r="A1648" s="349" t="s">
        <v>341</v>
      </c>
      <c r="B1648" s="359">
        <v>51430</v>
      </c>
      <c r="C1648" s="349" t="s">
        <v>705</v>
      </c>
      <c r="D1648" s="349" t="s">
        <v>706</v>
      </c>
      <c r="E1648" s="360">
        <v>373068.03</v>
      </c>
      <c r="F1648" s="360">
        <v>38805.39</v>
      </c>
      <c r="G1648" s="361">
        <v>0</v>
      </c>
      <c r="H1648" s="362">
        <v>38805.39</v>
      </c>
      <c r="I1648" s="362">
        <v>411873.42</v>
      </c>
    </row>
    <row r="1649" spans="1:9" x14ac:dyDescent="0.2">
      <c r="A1649" s="349" t="s">
        <v>341</v>
      </c>
      <c r="B1649" s="354">
        <v>11803</v>
      </c>
      <c r="C1649" s="355" t="s">
        <v>707</v>
      </c>
      <c r="D1649" s="355" t="s">
        <v>708</v>
      </c>
      <c r="E1649" s="356">
        <v>1533917.1</v>
      </c>
      <c r="F1649" s="356">
        <v>1270226.6399999999</v>
      </c>
      <c r="G1649" s="357">
        <v>754786.35</v>
      </c>
      <c r="H1649" s="357">
        <v>515440.29</v>
      </c>
      <c r="I1649" s="357">
        <v>2049357.39</v>
      </c>
    </row>
    <row r="1650" spans="1:9" x14ac:dyDescent="0.2">
      <c r="A1650" s="349" t="s">
        <v>341</v>
      </c>
      <c r="B1650" s="354">
        <v>11804</v>
      </c>
      <c r="C1650" s="355" t="s">
        <v>709</v>
      </c>
      <c r="D1650" s="355" t="s">
        <v>710</v>
      </c>
      <c r="E1650" s="356">
        <v>141082.1</v>
      </c>
      <c r="F1650" s="356">
        <v>4141.3900000000003</v>
      </c>
      <c r="G1650" s="358">
        <v>0</v>
      </c>
      <c r="H1650" s="357">
        <v>4141.3900000000003</v>
      </c>
      <c r="I1650" s="357">
        <v>145223.49</v>
      </c>
    </row>
    <row r="1651" spans="1:9" x14ac:dyDescent="0.2">
      <c r="A1651" s="349" t="s">
        <v>341</v>
      </c>
      <c r="B1651" s="359">
        <v>11814</v>
      </c>
      <c r="C1651" s="349" t="s">
        <v>711</v>
      </c>
      <c r="D1651" s="349" t="s">
        <v>712</v>
      </c>
      <c r="E1651" s="360">
        <v>5987.02</v>
      </c>
      <c r="F1651" s="363">
        <v>0</v>
      </c>
      <c r="G1651" s="361">
        <v>0</v>
      </c>
      <c r="H1651" s="361">
        <v>0</v>
      </c>
      <c r="I1651" s="362">
        <v>5987.02</v>
      </c>
    </row>
    <row r="1652" spans="1:9" x14ac:dyDescent="0.2">
      <c r="A1652" s="349" t="s">
        <v>341</v>
      </c>
      <c r="B1652" s="359">
        <v>11820</v>
      </c>
      <c r="C1652" s="349" t="s">
        <v>713</v>
      </c>
      <c r="D1652" s="349" t="s">
        <v>714</v>
      </c>
      <c r="E1652" s="360">
        <v>8105.58</v>
      </c>
      <c r="F1652" s="363">
        <v>125</v>
      </c>
      <c r="G1652" s="361">
        <v>0</v>
      </c>
      <c r="H1652" s="361">
        <v>125</v>
      </c>
      <c r="I1652" s="362">
        <v>8230.58</v>
      </c>
    </row>
    <row r="1653" spans="1:9" x14ac:dyDescent="0.2">
      <c r="A1653" s="349" t="s">
        <v>341</v>
      </c>
      <c r="B1653" s="359">
        <v>12314</v>
      </c>
      <c r="C1653" s="349" t="s">
        <v>715</v>
      </c>
      <c r="D1653" s="349" t="s">
        <v>716</v>
      </c>
      <c r="E1653" s="360">
        <v>79506.759999999995</v>
      </c>
      <c r="F1653" s="360">
        <v>1460</v>
      </c>
      <c r="G1653" s="361">
        <v>0</v>
      </c>
      <c r="H1653" s="362">
        <v>1460</v>
      </c>
      <c r="I1653" s="362">
        <v>80966.759999999995</v>
      </c>
    </row>
    <row r="1654" spans="1:9" x14ac:dyDescent="0.2">
      <c r="A1654" s="349" t="s">
        <v>341</v>
      </c>
      <c r="B1654" s="359">
        <v>12336</v>
      </c>
      <c r="C1654" s="349" t="s">
        <v>717</v>
      </c>
      <c r="D1654" s="349" t="s">
        <v>718</v>
      </c>
      <c r="E1654" s="360">
        <v>25907.33</v>
      </c>
      <c r="F1654" s="360">
        <v>2279.39</v>
      </c>
      <c r="G1654" s="361">
        <v>0</v>
      </c>
      <c r="H1654" s="362">
        <v>2279.39</v>
      </c>
      <c r="I1654" s="362">
        <v>28186.720000000001</v>
      </c>
    </row>
    <row r="1655" spans="1:9" x14ac:dyDescent="0.2">
      <c r="A1655" s="349" t="s">
        <v>341</v>
      </c>
      <c r="B1655" s="359">
        <v>11862</v>
      </c>
      <c r="C1655" s="349" t="s">
        <v>719</v>
      </c>
      <c r="D1655" s="349" t="s">
        <v>720</v>
      </c>
      <c r="E1655" s="360">
        <v>21575.41</v>
      </c>
      <c r="F1655" s="363">
        <v>277</v>
      </c>
      <c r="G1655" s="361">
        <v>0</v>
      </c>
      <c r="H1655" s="361">
        <v>277</v>
      </c>
      <c r="I1655" s="362">
        <v>21852.41</v>
      </c>
    </row>
    <row r="1656" spans="1:9" x14ac:dyDescent="0.2">
      <c r="A1656" s="349" t="s">
        <v>341</v>
      </c>
      <c r="B1656" s="354">
        <v>11869</v>
      </c>
      <c r="C1656" s="355" t="s">
        <v>721</v>
      </c>
      <c r="D1656" s="355" t="s">
        <v>722</v>
      </c>
      <c r="E1656" s="356">
        <v>1392835</v>
      </c>
      <c r="F1656" s="356">
        <v>1266085.25</v>
      </c>
      <c r="G1656" s="357">
        <v>754786.35</v>
      </c>
      <c r="H1656" s="357">
        <v>511298.9</v>
      </c>
      <c r="I1656" s="357">
        <v>1904133.9</v>
      </c>
    </row>
    <row r="1657" spans="1:9" x14ac:dyDescent="0.2">
      <c r="A1657" s="349" t="s">
        <v>341</v>
      </c>
      <c r="B1657" s="359">
        <v>11908</v>
      </c>
      <c r="C1657" s="349" t="s">
        <v>723</v>
      </c>
      <c r="D1657" s="349" t="s">
        <v>724</v>
      </c>
      <c r="E1657" s="360">
        <v>527823.28</v>
      </c>
      <c r="F1657" s="360">
        <v>271540</v>
      </c>
      <c r="G1657" s="362">
        <v>271540</v>
      </c>
      <c r="H1657" s="361">
        <v>0</v>
      </c>
      <c r="I1657" s="362">
        <v>527823.28</v>
      </c>
    </row>
    <row r="1658" spans="1:9" x14ac:dyDescent="0.2">
      <c r="A1658" s="349" t="s">
        <v>341</v>
      </c>
      <c r="B1658" s="359">
        <v>11891</v>
      </c>
      <c r="C1658" s="349" t="s">
        <v>725</v>
      </c>
      <c r="D1658" s="349" t="s">
        <v>726</v>
      </c>
      <c r="E1658" s="360">
        <v>652238</v>
      </c>
      <c r="F1658" s="360">
        <v>481706.35</v>
      </c>
      <c r="G1658" s="362">
        <v>481706.35</v>
      </c>
      <c r="H1658" s="361">
        <v>0</v>
      </c>
      <c r="I1658" s="362">
        <v>652238</v>
      </c>
    </row>
    <row r="1659" spans="1:9" x14ac:dyDescent="0.2">
      <c r="A1659" s="349" t="s">
        <v>341</v>
      </c>
      <c r="B1659" s="359">
        <v>11972</v>
      </c>
      <c r="C1659" s="349" t="s">
        <v>727</v>
      </c>
      <c r="D1659" s="349" t="s">
        <v>728</v>
      </c>
      <c r="E1659" s="360">
        <v>65440.800000000003</v>
      </c>
      <c r="F1659" s="360">
        <v>498416.06</v>
      </c>
      <c r="G1659" s="362">
        <v>1540</v>
      </c>
      <c r="H1659" s="362">
        <v>496876.06</v>
      </c>
      <c r="I1659" s="362">
        <v>562316.86</v>
      </c>
    </row>
    <row r="1660" spans="1:9" x14ac:dyDescent="0.2">
      <c r="A1660" s="349" t="s">
        <v>341</v>
      </c>
      <c r="B1660" s="359">
        <v>51514</v>
      </c>
      <c r="C1660" s="349" t="s">
        <v>729</v>
      </c>
      <c r="D1660" s="349" t="s">
        <v>730</v>
      </c>
      <c r="E1660" s="360">
        <v>141899.85999999999</v>
      </c>
      <c r="F1660" s="360">
        <v>14422.84</v>
      </c>
      <c r="G1660" s="361">
        <v>0</v>
      </c>
      <c r="H1660" s="362">
        <v>14422.84</v>
      </c>
      <c r="I1660" s="362">
        <v>156322.70000000001</v>
      </c>
    </row>
    <row r="1661" spans="1:9" x14ac:dyDescent="0.2">
      <c r="A1661" s="349" t="s">
        <v>341</v>
      </c>
      <c r="B1661" s="359">
        <v>52148</v>
      </c>
      <c r="C1661" s="349" t="s">
        <v>731</v>
      </c>
      <c r="D1661" s="349" t="s">
        <v>732</v>
      </c>
      <c r="E1661" s="360">
        <v>5433.06</v>
      </c>
      <c r="F1661" s="363">
        <v>0</v>
      </c>
      <c r="G1661" s="361">
        <v>0</v>
      </c>
      <c r="H1661" s="361">
        <v>0</v>
      </c>
      <c r="I1661" s="362">
        <v>5433.06</v>
      </c>
    </row>
    <row r="1662" spans="1:9" x14ac:dyDescent="0.2">
      <c r="A1662" s="349" t="s">
        <v>341</v>
      </c>
      <c r="B1662" s="354">
        <v>11064</v>
      </c>
      <c r="C1662" s="355" t="s">
        <v>733</v>
      </c>
      <c r="D1662" s="355" t="s">
        <v>734</v>
      </c>
      <c r="E1662" s="356">
        <v>8784126.6899999995</v>
      </c>
      <c r="F1662" s="356">
        <v>609722.53</v>
      </c>
      <c r="G1662" s="357">
        <v>1531.18</v>
      </c>
      <c r="H1662" s="357">
        <v>608191.35</v>
      </c>
      <c r="I1662" s="357">
        <v>9392318.0399999991</v>
      </c>
    </row>
    <row r="1663" spans="1:9" x14ac:dyDescent="0.2">
      <c r="A1663" s="349" t="s">
        <v>341</v>
      </c>
      <c r="B1663" s="354">
        <v>11065</v>
      </c>
      <c r="C1663" s="355" t="s">
        <v>735</v>
      </c>
      <c r="D1663" s="355" t="s">
        <v>734</v>
      </c>
      <c r="E1663" s="356">
        <v>8784126.6899999995</v>
      </c>
      <c r="F1663" s="356">
        <v>609722.53</v>
      </c>
      <c r="G1663" s="357">
        <v>1531.18</v>
      </c>
      <c r="H1663" s="357">
        <v>608191.35</v>
      </c>
      <c r="I1663" s="357">
        <v>9392318.0399999991</v>
      </c>
    </row>
    <row r="1664" spans="1:9" x14ac:dyDescent="0.2">
      <c r="A1664" s="349" t="s">
        <v>341</v>
      </c>
      <c r="B1664" s="354">
        <v>11140</v>
      </c>
      <c r="C1664" s="355" t="s">
        <v>736</v>
      </c>
      <c r="D1664" s="355" t="s">
        <v>737</v>
      </c>
      <c r="E1664" s="356">
        <v>7886686.79</v>
      </c>
      <c r="F1664" s="356">
        <v>546032.87</v>
      </c>
      <c r="G1664" s="358">
        <v>0</v>
      </c>
      <c r="H1664" s="357">
        <v>546032.87</v>
      </c>
      <c r="I1664" s="357">
        <v>8432719.6600000001</v>
      </c>
    </row>
    <row r="1665" spans="1:9" x14ac:dyDescent="0.2">
      <c r="A1665" s="349" t="s">
        <v>341</v>
      </c>
      <c r="B1665" s="359">
        <v>11159</v>
      </c>
      <c r="C1665" s="349" t="s">
        <v>738</v>
      </c>
      <c r="D1665" s="349" t="s">
        <v>739</v>
      </c>
      <c r="E1665" s="360">
        <v>7546738.0300000003</v>
      </c>
      <c r="F1665" s="360">
        <v>543523.68999999994</v>
      </c>
      <c r="G1665" s="361">
        <v>0</v>
      </c>
      <c r="H1665" s="362">
        <v>543523.68999999994</v>
      </c>
      <c r="I1665" s="362">
        <v>8090261.7199999997</v>
      </c>
    </row>
    <row r="1666" spans="1:9" x14ac:dyDescent="0.2">
      <c r="A1666" s="349" t="s">
        <v>341</v>
      </c>
      <c r="B1666" s="359">
        <v>11160</v>
      </c>
      <c r="C1666" s="349" t="s">
        <v>740</v>
      </c>
      <c r="D1666" s="349" t="s">
        <v>741</v>
      </c>
      <c r="E1666" s="363">
        <v>13.77</v>
      </c>
      <c r="F1666" s="363">
        <v>0</v>
      </c>
      <c r="G1666" s="361">
        <v>0</v>
      </c>
      <c r="H1666" s="361">
        <v>0</v>
      </c>
      <c r="I1666" s="361">
        <v>13.77</v>
      </c>
    </row>
    <row r="1667" spans="1:9" x14ac:dyDescent="0.2">
      <c r="A1667" s="349" t="s">
        <v>341</v>
      </c>
      <c r="B1667" s="359">
        <v>11122</v>
      </c>
      <c r="C1667" s="349" t="s">
        <v>742</v>
      </c>
      <c r="D1667" s="349" t="s">
        <v>743</v>
      </c>
      <c r="E1667" s="360">
        <v>339934.99</v>
      </c>
      <c r="F1667" s="360">
        <v>2509.1799999999998</v>
      </c>
      <c r="G1667" s="361">
        <v>0</v>
      </c>
      <c r="H1667" s="362">
        <v>2509.1799999999998</v>
      </c>
      <c r="I1667" s="362">
        <v>342444.17</v>
      </c>
    </row>
    <row r="1668" spans="1:9" x14ac:dyDescent="0.2">
      <c r="A1668" s="349" t="s">
        <v>341</v>
      </c>
      <c r="B1668" s="354">
        <v>11164</v>
      </c>
      <c r="C1668" s="355" t="s">
        <v>744</v>
      </c>
      <c r="D1668" s="355" t="s">
        <v>745</v>
      </c>
      <c r="E1668" s="356">
        <v>101140.52</v>
      </c>
      <c r="F1668" s="356">
        <v>3441.08</v>
      </c>
      <c r="G1668" s="358">
        <v>0</v>
      </c>
      <c r="H1668" s="357">
        <v>3441.08</v>
      </c>
      <c r="I1668" s="357">
        <v>104581.6</v>
      </c>
    </row>
    <row r="1669" spans="1:9" x14ac:dyDescent="0.2">
      <c r="A1669" s="349" t="s">
        <v>341</v>
      </c>
      <c r="B1669" s="359">
        <v>11177</v>
      </c>
      <c r="C1669" s="349" t="s">
        <v>746</v>
      </c>
      <c r="D1669" s="349" t="s">
        <v>747</v>
      </c>
      <c r="E1669" s="360">
        <v>101140.52</v>
      </c>
      <c r="F1669" s="360">
        <v>3441.08</v>
      </c>
      <c r="G1669" s="361">
        <v>0</v>
      </c>
      <c r="H1669" s="362">
        <v>3441.08</v>
      </c>
      <c r="I1669" s="362">
        <v>104581.6</v>
      </c>
    </row>
    <row r="1670" spans="1:9" x14ac:dyDescent="0.2">
      <c r="A1670" s="349" t="s">
        <v>341</v>
      </c>
      <c r="B1670" s="354">
        <v>11183</v>
      </c>
      <c r="C1670" s="355" t="s">
        <v>748</v>
      </c>
      <c r="D1670" s="355" t="s">
        <v>749</v>
      </c>
      <c r="E1670" s="356">
        <v>6952.98</v>
      </c>
      <c r="F1670" s="356">
        <v>1850.34</v>
      </c>
      <c r="G1670" s="358">
        <v>777.21</v>
      </c>
      <c r="H1670" s="357">
        <v>1073.1300000000001</v>
      </c>
      <c r="I1670" s="357">
        <v>8026.11</v>
      </c>
    </row>
    <row r="1671" spans="1:9" x14ac:dyDescent="0.2">
      <c r="A1671" s="349" t="s">
        <v>341</v>
      </c>
      <c r="B1671" s="359">
        <v>11195</v>
      </c>
      <c r="C1671" s="349" t="s">
        <v>750</v>
      </c>
      <c r="D1671" s="349" t="s">
        <v>751</v>
      </c>
      <c r="E1671" s="363">
        <v>242.89</v>
      </c>
      <c r="F1671" s="363">
        <v>404.96</v>
      </c>
      <c r="G1671" s="361">
        <v>175.44</v>
      </c>
      <c r="H1671" s="361">
        <v>229.52</v>
      </c>
      <c r="I1671" s="361">
        <v>472.41</v>
      </c>
    </row>
    <row r="1672" spans="1:9" x14ac:dyDescent="0.2">
      <c r="A1672" s="349" t="s">
        <v>341</v>
      </c>
      <c r="B1672" s="359">
        <v>32896</v>
      </c>
      <c r="C1672" s="349" t="s">
        <v>752</v>
      </c>
      <c r="D1672" s="349" t="s">
        <v>753</v>
      </c>
      <c r="E1672" s="360">
        <v>3704.34</v>
      </c>
      <c r="F1672" s="363">
        <v>65.95</v>
      </c>
      <c r="G1672" s="361">
        <v>0.36</v>
      </c>
      <c r="H1672" s="361">
        <v>65.59</v>
      </c>
      <c r="I1672" s="362">
        <v>3769.93</v>
      </c>
    </row>
    <row r="1673" spans="1:9" x14ac:dyDescent="0.2">
      <c r="A1673" s="349" t="s">
        <v>341</v>
      </c>
      <c r="B1673" s="359">
        <v>11196</v>
      </c>
      <c r="C1673" s="349" t="s">
        <v>754</v>
      </c>
      <c r="D1673" s="349" t="s">
        <v>755</v>
      </c>
      <c r="E1673" s="363">
        <v>804.44</v>
      </c>
      <c r="F1673" s="360">
        <v>1092.6600000000001</v>
      </c>
      <c r="G1673" s="361">
        <v>600.1</v>
      </c>
      <c r="H1673" s="361">
        <v>492.56</v>
      </c>
      <c r="I1673" s="362">
        <v>1297</v>
      </c>
    </row>
    <row r="1674" spans="1:9" x14ac:dyDescent="0.2">
      <c r="A1674" s="349" t="s">
        <v>341</v>
      </c>
      <c r="B1674" s="359">
        <v>32897</v>
      </c>
      <c r="C1674" s="349" t="s">
        <v>756</v>
      </c>
      <c r="D1674" s="349" t="s">
        <v>757</v>
      </c>
      <c r="E1674" s="363">
        <v>528.24</v>
      </c>
      <c r="F1674" s="363">
        <v>286.77</v>
      </c>
      <c r="G1674" s="361">
        <v>1.31</v>
      </c>
      <c r="H1674" s="361">
        <v>285.45999999999998</v>
      </c>
      <c r="I1674" s="361">
        <v>813.7</v>
      </c>
    </row>
    <row r="1675" spans="1:9" x14ac:dyDescent="0.2">
      <c r="A1675" s="349" t="s">
        <v>341</v>
      </c>
      <c r="B1675" s="359">
        <v>11246</v>
      </c>
      <c r="C1675" s="349" t="s">
        <v>758</v>
      </c>
      <c r="D1675" s="349" t="s">
        <v>759</v>
      </c>
      <c r="E1675" s="360">
        <v>1673.07</v>
      </c>
      <c r="F1675" s="363">
        <v>0</v>
      </c>
      <c r="G1675" s="361">
        <v>0</v>
      </c>
      <c r="H1675" s="361">
        <v>0</v>
      </c>
      <c r="I1675" s="362">
        <v>1673.07</v>
      </c>
    </row>
    <row r="1676" spans="1:9" x14ac:dyDescent="0.2">
      <c r="A1676" s="349" t="s">
        <v>341</v>
      </c>
      <c r="B1676" s="354">
        <v>11218</v>
      </c>
      <c r="C1676" s="355" t="s">
        <v>760</v>
      </c>
      <c r="D1676" s="355" t="s">
        <v>761</v>
      </c>
      <c r="E1676" s="356">
        <v>646492.12</v>
      </c>
      <c r="F1676" s="356">
        <v>47236.89</v>
      </c>
      <c r="G1676" s="358">
        <v>753.97</v>
      </c>
      <c r="H1676" s="357">
        <v>46482.92</v>
      </c>
      <c r="I1676" s="357">
        <v>692975.04</v>
      </c>
    </row>
    <row r="1677" spans="1:9" x14ac:dyDescent="0.2">
      <c r="A1677" s="349" t="s">
        <v>341</v>
      </c>
      <c r="B1677" s="359">
        <v>11231</v>
      </c>
      <c r="C1677" s="349" t="s">
        <v>762</v>
      </c>
      <c r="D1677" s="349" t="s">
        <v>763</v>
      </c>
      <c r="E1677" s="360">
        <v>637701.92000000004</v>
      </c>
      <c r="F1677" s="360">
        <v>47236.89</v>
      </c>
      <c r="G1677" s="361">
        <v>753.97</v>
      </c>
      <c r="H1677" s="362">
        <v>46482.92</v>
      </c>
      <c r="I1677" s="362">
        <v>684184.84</v>
      </c>
    </row>
    <row r="1678" spans="1:9" x14ac:dyDescent="0.2">
      <c r="A1678" s="349" t="s">
        <v>341</v>
      </c>
      <c r="B1678" s="359">
        <v>11232</v>
      </c>
      <c r="C1678" s="349" t="s">
        <v>764</v>
      </c>
      <c r="D1678" s="349" t="s">
        <v>765</v>
      </c>
      <c r="E1678" s="360">
        <v>8442.7000000000007</v>
      </c>
      <c r="F1678" s="363">
        <v>0</v>
      </c>
      <c r="G1678" s="361">
        <v>0</v>
      </c>
      <c r="H1678" s="361">
        <v>0</v>
      </c>
      <c r="I1678" s="362">
        <v>8442.7000000000007</v>
      </c>
    </row>
    <row r="1679" spans="1:9" x14ac:dyDescent="0.2">
      <c r="A1679" s="349" t="s">
        <v>341</v>
      </c>
      <c r="B1679" s="359">
        <v>11375</v>
      </c>
      <c r="C1679" s="349" t="s">
        <v>766</v>
      </c>
      <c r="D1679" s="349" t="s">
        <v>590</v>
      </c>
      <c r="E1679" s="363">
        <v>347.5</v>
      </c>
      <c r="F1679" s="363">
        <v>0</v>
      </c>
      <c r="G1679" s="361">
        <v>0</v>
      </c>
      <c r="H1679" s="361">
        <v>0</v>
      </c>
      <c r="I1679" s="361">
        <v>347.5</v>
      </c>
    </row>
    <row r="1680" spans="1:9" x14ac:dyDescent="0.2">
      <c r="A1680" s="349" t="s">
        <v>341</v>
      </c>
      <c r="B1680" s="354">
        <v>11274</v>
      </c>
      <c r="C1680" s="355" t="s">
        <v>767</v>
      </c>
      <c r="D1680" s="355" t="s">
        <v>768</v>
      </c>
      <c r="E1680" s="356">
        <v>142854.28</v>
      </c>
      <c r="F1680" s="356">
        <v>11161.35</v>
      </c>
      <c r="G1680" s="358">
        <v>0</v>
      </c>
      <c r="H1680" s="357">
        <v>11161.35</v>
      </c>
      <c r="I1680" s="357">
        <v>154015.63</v>
      </c>
    </row>
    <row r="1681" spans="1:9" x14ac:dyDescent="0.2">
      <c r="A1681" s="349" t="s">
        <v>341</v>
      </c>
      <c r="B1681" s="359">
        <v>11259</v>
      </c>
      <c r="C1681" s="349" t="s">
        <v>769</v>
      </c>
      <c r="D1681" s="349" t="s">
        <v>770</v>
      </c>
      <c r="E1681" s="360">
        <v>11720.96</v>
      </c>
      <c r="F1681" s="363">
        <v>0.01</v>
      </c>
      <c r="G1681" s="361">
        <v>0</v>
      </c>
      <c r="H1681" s="361">
        <v>0.01</v>
      </c>
      <c r="I1681" s="362">
        <v>11720.97</v>
      </c>
    </row>
    <row r="1682" spans="1:9" x14ac:dyDescent="0.2">
      <c r="A1682" s="349" t="s">
        <v>341</v>
      </c>
      <c r="B1682" s="359">
        <v>12867</v>
      </c>
      <c r="C1682" s="349" t="s">
        <v>771</v>
      </c>
      <c r="D1682" s="349" t="s">
        <v>772</v>
      </c>
      <c r="E1682" s="360">
        <v>131133.32</v>
      </c>
      <c r="F1682" s="360">
        <v>11161.34</v>
      </c>
      <c r="G1682" s="361">
        <v>0</v>
      </c>
      <c r="H1682" s="362">
        <v>11161.34</v>
      </c>
      <c r="I1682" s="362">
        <v>142294.66</v>
      </c>
    </row>
  </sheetData>
  <autoFilter ref="A1:I1682"/>
  <pageMargins left="0.78740157499999996" right="0.78740157499999996" top="0.984251969" bottom="0.984251969" header="0.5" footer="0.5"/>
  <pageSetup paperSize="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2:CQ224"/>
  <sheetViews>
    <sheetView showGridLines="0" topLeftCell="A119" zoomScale="90" zoomScaleNormal="90" workbookViewId="0">
      <pane xSplit="1" topLeftCell="B1" activePane="topRight" state="frozen"/>
      <selection pane="topRight" activeCell="A126" sqref="A126"/>
    </sheetView>
  </sheetViews>
  <sheetFormatPr defaultColWidth="20.140625" defaultRowHeight="18" customHeight="1" x14ac:dyDescent="0.25"/>
  <cols>
    <col min="1" max="1" width="20.140625" style="38"/>
    <col min="2" max="2" width="47.42578125" style="13" bestFit="1" customWidth="1"/>
    <col min="3" max="6" width="20.140625" style="40"/>
    <col min="7" max="7" width="20.140625" style="13"/>
    <col min="8" max="10" width="20.140625" style="40"/>
    <col min="11" max="11" width="20.140625" style="13"/>
    <col min="12" max="14" width="20.140625" style="40"/>
    <col min="15" max="15" width="20.140625" style="13"/>
    <col min="16" max="18" width="20.140625" style="40"/>
    <col min="19" max="19" width="20.140625" style="13"/>
    <col min="20" max="22" width="20.140625" style="40"/>
    <col min="23" max="23" width="20.140625" style="13"/>
    <col min="24" max="26" width="20.140625" style="40"/>
    <col min="27" max="27" width="20.140625" style="13"/>
    <col min="28" max="30" width="20.140625" style="40"/>
    <col min="31" max="31" width="20.140625" style="13"/>
    <col min="32" max="34" width="20.140625" style="40"/>
    <col min="35" max="35" width="20.140625" style="13"/>
    <col min="36" max="38" width="20.140625" style="40"/>
    <col min="39" max="39" width="20.140625" style="13"/>
    <col min="40" max="42" width="20.140625" style="40"/>
    <col min="43" max="43" width="20.140625" style="13"/>
    <col min="44" max="46" width="20.140625" style="40"/>
    <col min="47" max="47" width="20.140625" style="13"/>
    <col min="48" max="50" width="20.140625" style="40"/>
    <col min="51" max="53" width="20.140625" style="13"/>
    <col min="54" max="54" width="20.140625" style="71"/>
    <col min="55" max="16384" width="20.140625" style="13"/>
  </cols>
  <sheetData>
    <row r="2" spans="1:56" ht="18" customHeight="1" x14ac:dyDescent="0.25">
      <c r="C2" s="109"/>
      <c r="D2" s="109"/>
      <c r="E2" s="109"/>
      <c r="F2" s="109"/>
      <c r="H2" s="109"/>
      <c r="I2" s="109"/>
      <c r="J2" s="109"/>
      <c r="L2" s="109"/>
      <c r="M2" s="109"/>
      <c r="N2" s="109"/>
      <c r="P2" s="109"/>
      <c r="Q2" s="109"/>
      <c r="R2" s="109"/>
      <c r="T2" s="109"/>
      <c r="U2" s="109"/>
      <c r="V2" s="109"/>
      <c r="X2" s="109"/>
      <c r="Y2" s="109"/>
      <c r="Z2" s="109"/>
      <c r="AA2" s="109"/>
      <c r="AB2" s="109"/>
      <c r="AC2" s="109"/>
      <c r="AD2" s="109"/>
      <c r="AF2" s="109"/>
      <c r="AG2" s="109"/>
      <c r="AH2" s="109"/>
      <c r="AJ2" s="109"/>
      <c r="AK2" s="109"/>
      <c r="AL2" s="109"/>
      <c r="AN2" s="109"/>
      <c r="AO2" s="109"/>
      <c r="AP2" s="109"/>
      <c r="AR2" s="109"/>
      <c r="AS2" s="109"/>
      <c r="AT2" s="109"/>
      <c r="AV2" s="109"/>
      <c r="AW2" s="109"/>
      <c r="AX2" s="109"/>
      <c r="AY2" s="109"/>
      <c r="AZ2" s="109"/>
      <c r="BA2" s="109"/>
    </row>
    <row r="3" spans="1:56" ht="18" customHeight="1" x14ac:dyDescent="0.25">
      <c r="C3" s="109"/>
      <c r="D3" s="109"/>
      <c r="E3" s="109"/>
      <c r="F3" s="109"/>
      <c r="G3" s="110"/>
      <c r="H3" s="109"/>
      <c r="I3" s="109"/>
      <c r="J3" s="109"/>
      <c r="L3" s="109"/>
      <c r="M3" s="109"/>
      <c r="N3" s="109"/>
      <c r="P3" s="109"/>
      <c r="Q3" s="109"/>
      <c r="R3" s="109"/>
      <c r="T3" s="109"/>
      <c r="U3" s="109"/>
      <c r="V3" s="109"/>
      <c r="X3" s="109"/>
      <c r="Y3" s="109"/>
      <c r="Z3" s="109"/>
      <c r="AB3" s="109"/>
      <c r="AC3" s="109"/>
      <c r="AD3" s="109"/>
      <c r="AE3" s="43"/>
      <c r="AF3" s="109"/>
      <c r="AG3" s="109"/>
      <c r="AH3" s="109"/>
      <c r="AJ3" s="109"/>
      <c r="AK3" s="109"/>
      <c r="AL3" s="109"/>
      <c r="AN3" s="109"/>
      <c r="AO3" s="109"/>
      <c r="AP3" s="109"/>
      <c r="AR3" s="109"/>
      <c r="AS3" s="109"/>
      <c r="AT3" s="109"/>
      <c r="AV3" s="109"/>
      <c r="AW3" s="109"/>
      <c r="AX3" s="109"/>
      <c r="AY3" s="109"/>
      <c r="AZ3" s="109"/>
    </row>
    <row r="4" spans="1:56" ht="18" customHeight="1" thickBot="1" x14ac:dyDescent="0.3">
      <c r="C4" s="109"/>
      <c r="D4" s="109"/>
      <c r="E4" s="109"/>
      <c r="F4" s="109"/>
      <c r="H4" s="109"/>
      <c r="I4" s="109"/>
      <c r="J4" s="109"/>
      <c r="L4" s="109"/>
      <c r="M4" s="109"/>
      <c r="N4" s="109"/>
      <c r="P4" s="109"/>
      <c r="Q4" s="109"/>
      <c r="R4" s="109"/>
      <c r="T4" s="109"/>
      <c r="U4" s="109"/>
      <c r="V4" s="109"/>
      <c r="X4" s="109"/>
      <c r="Y4" s="109"/>
      <c r="Z4" s="109"/>
      <c r="AA4" s="43"/>
      <c r="AB4" s="109"/>
      <c r="AC4" s="109"/>
      <c r="AD4" s="109"/>
      <c r="AF4" s="109"/>
      <c r="AG4" s="109"/>
      <c r="AH4" s="109"/>
      <c r="AJ4" s="109"/>
      <c r="AK4" s="109"/>
      <c r="AL4" s="109"/>
      <c r="AN4" s="109"/>
      <c r="AO4" s="109"/>
      <c r="AP4" s="109"/>
      <c r="AR4" s="109"/>
      <c r="AS4" s="109"/>
      <c r="AT4" s="109"/>
      <c r="AV4" s="109"/>
      <c r="AW4" s="109"/>
      <c r="AX4" s="109"/>
      <c r="AY4" s="1182"/>
      <c r="AZ4" s="1182"/>
    </row>
    <row r="5" spans="1:56" s="11" customFormat="1" ht="18" customHeight="1" thickBot="1" x14ac:dyDescent="0.3">
      <c r="A5" s="2697" t="s">
        <v>0</v>
      </c>
      <c r="B5" s="2699" t="s">
        <v>145</v>
      </c>
      <c r="C5" s="2660" t="s">
        <v>3716</v>
      </c>
      <c r="D5" s="2661"/>
      <c r="E5" s="2661"/>
      <c r="F5" s="2662"/>
      <c r="G5" s="2660" t="s">
        <v>3717</v>
      </c>
      <c r="H5" s="2661"/>
      <c r="I5" s="2661"/>
      <c r="J5" s="2662"/>
      <c r="K5" s="2660" t="s">
        <v>3718</v>
      </c>
      <c r="L5" s="2661"/>
      <c r="M5" s="2661"/>
      <c r="N5" s="2662"/>
      <c r="O5" s="2660" t="s">
        <v>3719</v>
      </c>
      <c r="P5" s="2661"/>
      <c r="Q5" s="2661"/>
      <c r="R5" s="2662"/>
      <c r="S5" s="2660" t="s">
        <v>3720</v>
      </c>
      <c r="T5" s="2661"/>
      <c r="U5" s="2661"/>
      <c r="V5" s="2662"/>
      <c r="W5" s="2660" t="s">
        <v>3721</v>
      </c>
      <c r="X5" s="2661"/>
      <c r="Y5" s="2661"/>
      <c r="Z5" s="2662"/>
      <c r="AA5" s="2660" t="s">
        <v>3722</v>
      </c>
      <c r="AB5" s="2661"/>
      <c r="AC5" s="2661"/>
      <c r="AD5" s="2662"/>
      <c r="AE5" s="2660" t="s">
        <v>3723</v>
      </c>
      <c r="AF5" s="2661"/>
      <c r="AG5" s="2661"/>
      <c r="AH5" s="2662"/>
      <c r="AI5" s="2660" t="s">
        <v>3724</v>
      </c>
      <c r="AJ5" s="2661"/>
      <c r="AK5" s="2661"/>
      <c r="AL5" s="2662"/>
      <c r="AM5" s="2660" t="s">
        <v>3725</v>
      </c>
      <c r="AN5" s="2661"/>
      <c r="AO5" s="2661"/>
      <c r="AP5" s="2662"/>
      <c r="AQ5" s="2660" t="s">
        <v>3726</v>
      </c>
      <c r="AR5" s="2661"/>
      <c r="AS5" s="2661"/>
      <c r="AT5" s="2662"/>
      <c r="AU5" s="2660" t="s">
        <v>3727</v>
      </c>
      <c r="AV5" s="2661"/>
      <c r="AW5" s="2661"/>
      <c r="AX5" s="2662"/>
      <c r="AY5" s="2683" t="s">
        <v>162</v>
      </c>
      <c r="AZ5" s="2683" t="s">
        <v>163</v>
      </c>
      <c r="BA5" s="1172"/>
      <c r="BB5" s="1172"/>
    </row>
    <row r="6" spans="1:56" s="11" customFormat="1" ht="18" customHeight="1" thickBot="1" x14ac:dyDescent="0.3">
      <c r="A6" s="2698"/>
      <c r="B6" s="2700"/>
      <c r="C6" s="1259" t="s">
        <v>3728</v>
      </c>
      <c r="D6" s="199" t="s">
        <v>3796</v>
      </c>
      <c r="E6" s="199" t="s">
        <v>3797</v>
      </c>
      <c r="F6" s="1050" t="s">
        <v>158</v>
      </c>
      <c r="G6" s="228" t="s">
        <v>3728</v>
      </c>
      <c r="H6" s="1260" t="s">
        <v>3796</v>
      </c>
      <c r="I6" s="1260" t="s">
        <v>3797</v>
      </c>
      <c r="J6" s="1050" t="s">
        <v>158</v>
      </c>
      <c r="K6" s="228" t="s">
        <v>3728</v>
      </c>
      <c r="L6" s="1260" t="s">
        <v>3796</v>
      </c>
      <c r="M6" s="1260" t="s">
        <v>3797</v>
      </c>
      <c r="N6" s="1050" t="s">
        <v>158</v>
      </c>
      <c r="O6" s="228" t="s">
        <v>3728</v>
      </c>
      <c r="P6" s="1260" t="s">
        <v>3796</v>
      </c>
      <c r="Q6" s="1260" t="s">
        <v>3797</v>
      </c>
      <c r="R6" s="1050" t="s">
        <v>158</v>
      </c>
      <c r="S6" s="228" t="s">
        <v>3728</v>
      </c>
      <c r="T6" s="1260" t="s">
        <v>3796</v>
      </c>
      <c r="U6" s="1260" t="s">
        <v>3797</v>
      </c>
      <c r="V6" s="1050" t="s">
        <v>158</v>
      </c>
      <c r="W6" s="228" t="s">
        <v>3728</v>
      </c>
      <c r="X6" s="1260" t="s">
        <v>3796</v>
      </c>
      <c r="Y6" s="1260" t="s">
        <v>3797</v>
      </c>
      <c r="Z6" s="1050" t="s">
        <v>158</v>
      </c>
      <c r="AA6" s="228" t="s">
        <v>3728</v>
      </c>
      <c r="AB6" s="1260" t="s">
        <v>3796</v>
      </c>
      <c r="AC6" s="1260" t="s">
        <v>3797</v>
      </c>
      <c r="AD6" s="1050" t="s">
        <v>158</v>
      </c>
      <c r="AE6" s="228" t="s">
        <v>3728</v>
      </c>
      <c r="AF6" s="1260" t="s">
        <v>3796</v>
      </c>
      <c r="AG6" s="1260" t="s">
        <v>3797</v>
      </c>
      <c r="AH6" s="1050" t="s">
        <v>158</v>
      </c>
      <c r="AI6" s="228" t="s">
        <v>3728</v>
      </c>
      <c r="AJ6" s="1260" t="s">
        <v>3796</v>
      </c>
      <c r="AK6" s="1260" t="s">
        <v>3797</v>
      </c>
      <c r="AL6" s="1050" t="s">
        <v>158</v>
      </c>
      <c r="AM6" s="228" t="s">
        <v>3728</v>
      </c>
      <c r="AN6" s="1260" t="s">
        <v>3796</v>
      </c>
      <c r="AO6" s="1260" t="s">
        <v>3797</v>
      </c>
      <c r="AP6" s="1050" t="s">
        <v>158</v>
      </c>
      <c r="AQ6" s="228" t="s">
        <v>3728</v>
      </c>
      <c r="AR6" s="1260" t="s">
        <v>3796</v>
      </c>
      <c r="AS6" s="1260" t="s">
        <v>3797</v>
      </c>
      <c r="AT6" s="1050" t="s">
        <v>158</v>
      </c>
      <c r="AU6" s="228" t="s">
        <v>3728</v>
      </c>
      <c r="AV6" s="1260" t="s">
        <v>3796</v>
      </c>
      <c r="AW6" s="1260" t="s">
        <v>3797</v>
      </c>
      <c r="AX6" s="1050" t="s">
        <v>158</v>
      </c>
      <c r="AY6" s="2684"/>
      <c r="AZ6" s="2684"/>
      <c r="BA6" s="1183"/>
      <c r="BB6" s="1172"/>
    </row>
    <row r="7" spans="1:56" s="1" customFormat="1" ht="18" customHeight="1" thickBot="1" x14ac:dyDescent="0.3">
      <c r="A7" s="58"/>
      <c r="B7" s="1247" t="s">
        <v>3715</v>
      </c>
      <c r="C7" s="1272">
        <f>SUM(C8+C14+C18+C36)</f>
        <v>20957848.276193332</v>
      </c>
      <c r="D7" s="1291">
        <f>SUM(D8+D14+D18+D36)</f>
        <v>0</v>
      </c>
      <c r="E7" s="1292">
        <f>D7-C7</f>
        <v>-20957848.276193332</v>
      </c>
      <c r="F7" s="1249">
        <f t="shared" ref="F7:F14" si="0">((D7/C7)-1)*100</f>
        <v>-100</v>
      </c>
      <c r="G7" s="1248">
        <f>SUM(G8+G14+G18+G36)</f>
        <v>20957848.276193332</v>
      </c>
      <c r="H7" s="1271">
        <f>SUM(H8+H14+H18+H36)</f>
        <v>0</v>
      </c>
      <c r="I7" s="1248">
        <f t="shared" ref="I7:I18" si="1">H7-G7</f>
        <v>-20957848.276193332</v>
      </c>
      <c r="J7" s="1254">
        <f t="shared" ref="J7:J14" si="2">((H7/G7)-1)*100</f>
        <v>-100</v>
      </c>
      <c r="K7" s="1249">
        <f>SUM(K8+K14+K18+K36)</f>
        <v>20957848.276193332</v>
      </c>
      <c r="L7" s="1271">
        <f>SUM(L8+L14+L18+L36)</f>
        <v>0</v>
      </c>
      <c r="M7" s="1248">
        <f t="shared" ref="M7:M18" si="3">L7-K7</f>
        <v>-20957848.276193332</v>
      </c>
      <c r="N7" s="1254">
        <f t="shared" ref="N7:N14" si="4">((L7/K7)-1)*100</f>
        <v>-100</v>
      </c>
      <c r="O7" s="1249">
        <f>SUM(O8+O14+O18+O36)</f>
        <v>20961435.879143331</v>
      </c>
      <c r="P7" s="1271">
        <f>SUM(P8+P14+P18+P36)</f>
        <v>0</v>
      </c>
      <c r="Q7" s="1248">
        <f t="shared" ref="Q7:Q18" si="5">P7-O7</f>
        <v>-20961435.879143331</v>
      </c>
      <c r="R7" s="1248">
        <f t="shared" ref="R7:R14" si="6">((P7/O7)-1)*100</f>
        <v>-100</v>
      </c>
      <c r="S7" s="1248">
        <f>SUM(S8+S14+S18+S36)</f>
        <v>21698657.746683333</v>
      </c>
      <c r="T7" s="1271">
        <f>SUM(T8+T14+T18+T36)</f>
        <v>0</v>
      </c>
      <c r="U7" s="1248">
        <f t="shared" ref="U7:U18" si="7">T7-S7</f>
        <v>-21698657.746683333</v>
      </c>
      <c r="V7" s="1248">
        <f t="shared" ref="V7:V14" si="8">((T7/S7)-1)*100</f>
        <v>-100</v>
      </c>
      <c r="W7" s="1248">
        <f>SUM(W8+W14+W18+W36)</f>
        <v>22003879.087863334</v>
      </c>
      <c r="X7" s="1271">
        <f>SUM(X8+X14+X18+X36)</f>
        <v>0</v>
      </c>
      <c r="Y7" s="1248">
        <f t="shared" ref="Y7:Y18" si="9">X7-W7</f>
        <v>-22003879.087863334</v>
      </c>
      <c r="Z7" s="1248">
        <f t="shared" ref="Z7:Z14" si="10">((X7/W7)-1)*100</f>
        <v>-100</v>
      </c>
      <c r="AA7" s="1249">
        <f>SUM(AA8+AA14+AA18+AA36)</f>
        <v>22038954.845723331</v>
      </c>
      <c r="AB7" s="1271">
        <f>SUM(AB8+AB14+AB18+AB36)</f>
        <v>0</v>
      </c>
      <c r="AC7" s="1248">
        <f t="shared" ref="AC7:AC18" si="11">AB7-AA7</f>
        <v>-22038954.845723331</v>
      </c>
      <c r="AD7" s="1248">
        <f t="shared" ref="AD7:AD14" si="12">((AB7/AA7)-1)*100</f>
        <v>-100</v>
      </c>
      <c r="AE7" s="1248">
        <f>SUM(AE8+AE14+AE18+AE36)</f>
        <v>22133965.53754333</v>
      </c>
      <c r="AF7" s="1271">
        <f>SUM(AF8+AF14+AF18+AF36)</f>
        <v>0</v>
      </c>
      <c r="AG7" s="1248">
        <f t="shared" ref="AG7:AG18" si="13">AF7-AE7</f>
        <v>-22133965.53754333</v>
      </c>
      <c r="AH7" s="1248">
        <f t="shared" ref="AH7:AH14" si="14">((AF7/AE7)-1)*100</f>
        <v>-100</v>
      </c>
      <c r="AI7" s="1250">
        <f>SUM(AI8+AI14+AI18+AI36)</f>
        <v>22194970.131253332</v>
      </c>
      <c r="AJ7" s="1271">
        <f>SUM(AJ8+AJ14+AJ18+AJ36)</f>
        <v>0</v>
      </c>
      <c r="AK7" s="1248">
        <f t="shared" ref="AK7:AK18" si="15">AJ7-AI7</f>
        <v>-22194970.131253332</v>
      </c>
      <c r="AL7" s="1248">
        <f t="shared" ref="AL7:AL14" si="16">((AJ7/AI7)-1)*100</f>
        <v>-100</v>
      </c>
      <c r="AM7" s="1250">
        <f>SUM(AM8+AM14+AM18+AM36)</f>
        <v>21696416.377253331</v>
      </c>
      <c r="AN7" s="1271">
        <f>SUM(AN8+AN14+AN18+AN36)</f>
        <v>0</v>
      </c>
      <c r="AO7" s="1248">
        <f t="shared" ref="AO7:AO18" si="17">AN7-AM7</f>
        <v>-21696416.377253331</v>
      </c>
      <c r="AP7" s="1248">
        <f t="shared" ref="AP7:AP14" si="18">((AN7/AM7)-1)*100</f>
        <v>-100</v>
      </c>
      <c r="AQ7" s="1251">
        <f>SUM(AQ8+AQ14+AQ18+AQ36)</f>
        <v>21929386.14511333</v>
      </c>
      <c r="AR7" s="1271">
        <f>SUM(AR8+AR14+AR18+AR36)</f>
        <v>0</v>
      </c>
      <c r="AS7" s="1248">
        <f t="shared" ref="AS7:AS18" si="19">AR7-AQ7</f>
        <v>-21929386.14511333</v>
      </c>
      <c r="AT7" s="1248">
        <f t="shared" ref="AT7:AT14" si="20">((AR7/AQ7)-1)*100</f>
        <v>-100</v>
      </c>
      <c r="AU7" s="1250">
        <f>SUM(AU8+AU14+AU18+AU36)</f>
        <v>21758426.14514333</v>
      </c>
      <c r="AV7" s="1271">
        <f>SUM(AV8+AV14+AV18+AV36)</f>
        <v>0</v>
      </c>
      <c r="AW7" s="1248">
        <f t="shared" ref="AW7:AW18" si="21">AV7-AU7</f>
        <v>-21758426.14514333</v>
      </c>
      <c r="AX7" s="1248">
        <f t="shared" ref="AX7:AX14" si="22">((AV7/AU7)-1)*100</f>
        <v>-100</v>
      </c>
      <c r="AY7" s="1252">
        <f t="shared" ref="AY7:AZ9" si="23">C7+G7+K7+O7+S7+W7+AA7+AE7+AI7+AM7+AQ7+AU7</f>
        <v>259289636.72429994</v>
      </c>
      <c r="AZ7" s="1271">
        <f t="shared" si="23"/>
        <v>0</v>
      </c>
      <c r="BA7" s="195"/>
      <c r="BB7" s="1176"/>
      <c r="BC7" s="2"/>
      <c r="BD7" s="2"/>
    </row>
    <row r="8" spans="1:56" s="119" customFormat="1" ht="18" customHeight="1" thickBot="1" x14ac:dyDescent="0.3">
      <c r="A8" s="376"/>
      <c r="B8" s="378" t="s">
        <v>161</v>
      </c>
      <c r="C8" s="1273">
        <f>SUM(C9:C13)</f>
        <v>19823201.632860001</v>
      </c>
      <c r="D8" s="1293">
        <f>SUM(D9:D13)</f>
        <v>0</v>
      </c>
      <c r="E8" s="719">
        <f>D8-C8</f>
        <v>-19823201.632860001</v>
      </c>
      <c r="F8" s="1282">
        <f t="shared" si="0"/>
        <v>-100</v>
      </c>
      <c r="G8" s="4">
        <f>SUM(G9:G13)</f>
        <v>19823201.632860001</v>
      </c>
      <c r="H8" s="1262">
        <f>SUM(H9:H13)</f>
        <v>0</v>
      </c>
      <c r="I8" s="115">
        <f t="shared" si="1"/>
        <v>-19823201.632860001</v>
      </c>
      <c r="J8" s="1243">
        <f t="shared" si="2"/>
        <v>-100</v>
      </c>
      <c r="K8" s="115">
        <f>SUM(K9:K13)</f>
        <v>19823201.632860001</v>
      </c>
      <c r="L8" s="1262">
        <f>SUM(L9:L13)</f>
        <v>0</v>
      </c>
      <c r="M8" s="115">
        <f t="shared" si="3"/>
        <v>-19823201.632860001</v>
      </c>
      <c r="N8" s="1243">
        <f t="shared" si="4"/>
        <v>-100</v>
      </c>
      <c r="O8" s="115">
        <f>SUM(O9:O13)</f>
        <v>19826789.23581</v>
      </c>
      <c r="P8" s="1262">
        <f>SUM(P9:P13)</f>
        <v>0</v>
      </c>
      <c r="Q8" s="115">
        <f t="shared" si="5"/>
        <v>-19826789.23581</v>
      </c>
      <c r="R8" s="1243">
        <f t="shared" si="6"/>
        <v>-100</v>
      </c>
      <c r="S8" s="115">
        <f>SUM(S9:S13)</f>
        <v>20364011.103350002</v>
      </c>
      <c r="T8" s="1262">
        <f>SUM(T9:T13)</f>
        <v>0</v>
      </c>
      <c r="U8" s="115">
        <f t="shared" si="7"/>
        <v>-20364011.103350002</v>
      </c>
      <c r="V8" s="1231">
        <f t="shared" si="8"/>
        <v>-100</v>
      </c>
      <c r="W8" s="4">
        <f>SUM(W9:W13)</f>
        <v>20869232.444530003</v>
      </c>
      <c r="X8" s="1262">
        <f>SUM(X9:X13)</f>
        <v>0</v>
      </c>
      <c r="Y8" s="115">
        <f t="shared" si="9"/>
        <v>-20869232.444530003</v>
      </c>
      <c r="Z8" s="1243">
        <f t="shared" si="10"/>
        <v>-100</v>
      </c>
      <c r="AA8" s="115">
        <f>SUM(AA9:AA13)</f>
        <v>20896308.20239</v>
      </c>
      <c r="AB8" s="1262">
        <f>SUM(AB9:AB13)</f>
        <v>0</v>
      </c>
      <c r="AC8" s="115">
        <f t="shared" si="11"/>
        <v>-20896308.20239</v>
      </c>
      <c r="AD8" s="1231">
        <f t="shared" si="12"/>
        <v>-100</v>
      </c>
      <c r="AE8" s="4">
        <f>SUM(AE9:AE13)</f>
        <v>20991318.89421</v>
      </c>
      <c r="AF8" s="1262">
        <f>SUM(AF9:AF13)</f>
        <v>0</v>
      </c>
      <c r="AG8" s="115">
        <f t="shared" si="13"/>
        <v>-20991318.89421</v>
      </c>
      <c r="AH8" s="1231">
        <f t="shared" si="14"/>
        <v>-100</v>
      </c>
      <c r="AI8" s="4">
        <f>SUM(AI9:AI13)</f>
        <v>21052323.487920001</v>
      </c>
      <c r="AJ8" s="1262">
        <f>SUM(AJ9:AJ13)</f>
        <v>0</v>
      </c>
      <c r="AK8" s="115">
        <f t="shared" si="15"/>
        <v>-21052323.487920001</v>
      </c>
      <c r="AL8" s="1231">
        <f t="shared" si="16"/>
        <v>-100</v>
      </c>
      <c r="AM8" s="209">
        <f>SUM(AM9:AM13)</f>
        <v>20553769.73392</v>
      </c>
      <c r="AN8" s="1262">
        <f>SUM(AN9:AN13)</f>
        <v>0</v>
      </c>
      <c r="AO8" s="115">
        <f t="shared" si="17"/>
        <v>-20553769.73392</v>
      </c>
      <c r="AP8" s="1231">
        <f t="shared" si="18"/>
        <v>-100</v>
      </c>
      <c r="AQ8" s="209">
        <f>SUM(AQ9:AQ13)</f>
        <v>20586739.50178</v>
      </c>
      <c r="AR8" s="1262">
        <f>SUM(AR9:AR13)</f>
        <v>0</v>
      </c>
      <c r="AS8" s="115">
        <f t="shared" si="19"/>
        <v>-20586739.50178</v>
      </c>
      <c r="AT8" s="1231">
        <f t="shared" si="20"/>
        <v>-100</v>
      </c>
      <c r="AU8" s="209">
        <f>SUM(AU9:AU13)</f>
        <v>20615779.501809999</v>
      </c>
      <c r="AV8" s="1262">
        <f>SUM(AV9:AV13)</f>
        <v>0</v>
      </c>
      <c r="AW8" s="115">
        <f t="shared" si="21"/>
        <v>-20615779.501809999</v>
      </c>
      <c r="AX8" s="1231">
        <f t="shared" si="22"/>
        <v>-100</v>
      </c>
      <c r="AY8" s="4">
        <f t="shared" si="23"/>
        <v>245225877.00430006</v>
      </c>
      <c r="AZ8" s="1262">
        <f t="shared" si="23"/>
        <v>0</v>
      </c>
      <c r="BB8" s="550"/>
    </row>
    <row r="9" spans="1:56" s="119" customFormat="1" ht="18" customHeight="1" x14ac:dyDescent="0.25">
      <c r="A9" s="167">
        <v>51150</v>
      </c>
      <c r="B9" s="331" t="s">
        <v>3674</v>
      </c>
      <c r="C9" s="1274">
        <v>12000000</v>
      </c>
      <c r="D9" s="1429"/>
      <c r="E9" s="1294">
        <f>D9-C9</f>
        <v>-12000000</v>
      </c>
      <c r="F9" s="1283">
        <f t="shared" si="0"/>
        <v>-100</v>
      </c>
      <c r="G9" s="1274">
        <v>12000000</v>
      </c>
      <c r="H9" s="1429"/>
      <c r="I9" s="1294">
        <f t="shared" si="1"/>
        <v>-12000000</v>
      </c>
      <c r="J9" s="1359">
        <f t="shared" si="2"/>
        <v>-100</v>
      </c>
      <c r="K9" s="1274">
        <v>12000000</v>
      </c>
      <c r="L9" s="1294"/>
      <c r="M9" s="1294">
        <f t="shared" si="3"/>
        <v>-12000000</v>
      </c>
      <c r="N9" s="1359">
        <f t="shared" si="4"/>
        <v>-100</v>
      </c>
      <c r="O9" s="1274">
        <v>12000000</v>
      </c>
      <c r="P9" s="1294"/>
      <c r="Q9" s="1294">
        <f t="shared" si="5"/>
        <v>-12000000</v>
      </c>
      <c r="R9" s="1359">
        <f t="shared" si="6"/>
        <v>-100</v>
      </c>
      <c r="S9" s="1348">
        <v>12500000</v>
      </c>
      <c r="T9" s="1294"/>
      <c r="U9" s="1294">
        <f t="shared" si="7"/>
        <v>-12500000</v>
      </c>
      <c r="V9" s="1359">
        <f t="shared" si="8"/>
        <v>-100</v>
      </c>
      <c r="W9" s="1348">
        <v>13000000</v>
      </c>
      <c r="X9" s="1294"/>
      <c r="Y9" s="1294">
        <f t="shared" si="9"/>
        <v>-13000000</v>
      </c>
      <c r="Z9" s="1359">
        <f t="shared" si="10"/>
        <v>-100</v>
      </c>
      <c r="AA9" s="1348">
        <v>13000000</v>
      </c>
      <c r="AB9" s="1294"/>
      <c r="AC9" s="1294">
        <f t="shared" si="11"/>
        <v>-13000000</v>
      </c>
      <c r="AD9" s="1359">
        <f t="shared" si="12"/>
        <v>-100</v>
      </c>
      <c r="AE9" s="1348">
        <v>13000000</v>
      </c>
      <c r="AF9" s="1294"/>
      <c r="AG9" s="1294">
        <f t="shared" si="13"/>
        <v>-13000000</v>
      </c>
      <c r="AH9" s="1359">
        <f t="shared" si="14"/>
        <v>-100</v>
      </c>
      <c r="AI9" s="1348">
        <v>13000000</v>
      </c>
      <c r="AJ9" s="1294"/>
      <c r="AK9" s="1294">
        <f t="shared" si="15"/>
        <v>-13000000</v>
      </c>
      <c r="AL9" s="1359">
        <f t="shared" si="16"/>
        <v>-100</v>
      </c>
      <c r="AM9" s="1348">
        <v>12500000</v>
      </c>
      <c r="AN9" s="1294"/>
      <c r="AO9" s="1294">
        <f t="shared" si="17"/>
        <v>-12500000</v>
      </c>
      <c r="AP9" s="1359">
        <f t="shared" si="18"/>
        <v>-100</v>
      </c>
      <c r="AQ9" s="1348">
        <v>12500000</v>
      </c>
      <c r="AR9" s="1294"/>
      <c r="AS9" s="1294">
        <f t="shared" si="19"/>
        <v>-12500000</v>
      </c>
      <c r="AT9" s="1359">
        <f t="shared" si="20"/>
        <v>-100</v>
      </c>
      <c r="AU9" s="1348">
        <v>12500000</v>
      </c>
      <c r="AV9" s="1294"/>
      <c r="AW9" s="1294">
        <f t="shared" si="21"/>
        <v>-12500000</v>
      </c>
      <c r="AX9" s="1283">
        <f t="shared" si="22"/>
        <v>-100</v>
      </c>
      <c r="AY9" s="1190">
        <f t="shared" si="23"/>
        <v>150000000</v>
      </c>
      <c r="AZ9" s="1382">
        <f t="shared" si="23"/>
        <v>0</v>
      </c>
      <c r="BB9" s="12"/>
    </row>
    <row r="10" spans="1:56" s="119" customFormat="1" ht="18" customHeight="1" x14ac:dyDescent="0.25">
      <c r="A10" s="134" t="s">
        <v>135</v>
      </c>
      <c r="B10" s="382" t="s">
        <v>338</v>
      </c>
      <c r="C10" s="1275">
        <v>4281052.10286</v>
      </c>
      <c r="D10" s="1295"/>
      <c r="E10" s="1296">
        <f>D10-C10</f>
        <v>-4281052.10286</v>
      </c>
      <c r="F10" s="1284">
        <f t="shared" si="0"/>
        <v>-100</v>
      </c>
      <c r="G10" s="1275">
        <v>4281052.10286</v>
      </c>
      <c r="H10" s="1295"/>
      <c r="I10" s="1296">
        <f t="shared" si="1"/>
        <v>-4281052.10286</v>
      </c>
      <c r="J10" s="1360">
        <f t="shared" si="2"/>
        <v>-100</v>
      </c>
      <c r="K10" s="1349">
        <v>4281052.10286</v>
      </c>
      <c r="L10" s="1295"/>
      <c r="M10" s="1296">
        <f t="shared" si="3"/>
        <v>-4281052.10286</v>
      </c>
      <c r="N10" s="1360">
        <f t="shared" si="4"/>
        <v>-100</v>
      </c>
      <c r="O10" s="1349">
        <v>4284639.7058100002</v>
      </c>
      <c r="P10" s="1295"/>
      <c r="Q10" s="1296">
        <f t="shared" si="5"/>
        <v>-4284639.7058100002</v>
      </c>
      <c r="R10" s="1360">
        <f t="shared" si="6"/>
        <v>-100</v>
      </c>
      <c r="S10" s="1349">
        <v>4321861.5733500002</v>
      </c>
      <c r="T10" s="1295"/>
      <c r="U10" s="1296">
        <f t="shared" si="7"/>
        <v>-4321861.5733500002</v>
      </c>
      <c r="V10" s="1360">
        <f t="shared" si="8"/>
        <v>-100</v>
      </c>
      <c r="W10" s="1349">
        <v>4327082.9145299997</v>
      </c>
      <c r="X10" s="1295"/>
      <c r="Y10" s="1296">
        <f t="shared" si="9"/>
        <v>-4327082.9145299997</v>
      </c>
      <c r="Z10" s="1360">
        <f t="shared" si="10"/>
        <v>-100</v>
      </c>
      <c r="AA10" s="1349">
        <v>4354158.672389999</v>
      </c>
      <c r="AB10" s="1295"/>
      <c r="AC10" s="1296">
        <f t="shared" si="11"/>
        <v>-4354158.672389999</v>
      </c>
      <c r="AD10" s="1360">
        <f t="shared" si="12"/>
        <v>-100</v>
      </c>
      <c r="AE10" s="1349">
        <v>4449169.3642099993</v>
      </c>
      <c r="AF10" s="1295"/>
      <c r="AG10" s="1296">
        <f t="shared" si="13"/>
        <v>-4449169.3642099993</v>
      </c>
      <c r="AH10" s="1360">
        <f t="shared" si="14"/>
        <v>-100</v>
      </c>
      <c r="AI10" s="1349">
        <v>4510173.957919999</v>
      </c>
      <c r="AJ10" s="1295"/>
      <c r="AK10" s="1296">
        <f t="shared" si="15"/>
        <v>-4510173.957919999</v>
      </c>
      <c r="AL10" s="1360">
        <f t="shared" si="16"/>
        <v>-100</v>
      </c>
      <c r="AM10" s="1349">
        <v>4511620.2039199993</v>
      </c>
      <c r="AN10" s="1295"/>
      <c r="AO10" s="1296">
        <f t="shared" si="17"/>
        <v>-4511620.2039199993</v>
      </c>
      <c r="AP10" s="1360">
        <f t="shared" si="18"/>
        <v>-100</v>
      </c>
      <c r="AQ10" s="1349">
        <v>4544589.9717799993</v>
      </c>
      <c r="AR10" s="1295"/>
      <c r="AS10" s="1296">
        <f t="shared" si="19"/>
        <v>-4544589.9717799993</v>
      </c>
      <c r="AT10" s="1360">
        <f t="shared" si="20"/>
        <v>-100</v>
      </c>
      <c r="AU10" s="1349">
        <v>4573629.9718099991</v>
      </c>
      <c r="AV10" s="1295"/>
      <c r="AW10" s="1296">
        <f t="shared" si="21"/>
        <v>-4573629.9718099991</v>
      </c>
      <c r="AX10" s="1284">
        <f t="shared" si="22"/>
        <v>-100</v>
      </c>
      <c r="AY10" s="1191">
        <f t="shared" ref="AY10:AY37" si="24">C10+G10+K10+O10+S10+W10+AA10+AE10+AI10+AM10+AQ10+AU10</f>
        <v>52720082.644299999</v>
      </c>
      <c r="AZ10" s="1189">
        <f t="shared" ref="AZ10:AZ17" si="25">D10+H10+L10+P10+T10+X10+AB10+AF10+AJ10+AN10+AR10+AV10</f>
        <v>0</v>
      </c>
      <c r="BB10" s="1174"/>
      <c r="BC10" s="118"/>
    </row>
    <row r="11" spans="1:56" s="119" customFormat="1" ht="18" customHeight="1" x14ac:dyDescent="0.25">
      <c r="A11" s="122">
        <v>4882</v>
      </c>
      <c r="B11" s="382" t="s">
        <v>8</v>
      </c>
      <c r="C11" s="1276">
        <v>850000</v>
      </c>
      <c r="D11" s="1297"/>
      <c r="E11" s="1296">
        <f t="shared" ref="E11:E33" si="26">D11-C11</f>
        <v>-850000</v>
      </c>
      <c r="F11" s="1268">
        <f t="shared" si="0"/>
        <v>-100</v>
      </c>
      <c r="G11" s="1276">
        <f>C11</f>
        <v>850000</v>
      </c>
      <c r="H11" s="1297"/>
      <c r="I11" s="1296">
        <f t="shared" si="1"/>
        <v>-850000</v>
      </c>
      <c r="J11" s="1361">
        <f t="shared" si="2"/>
        <v>-100</v>
      </c>
      <c r="K11" s="1350">
        <f>G11</f>
        <v>850000</v>
      </c>
      <c r="L11" s="1297"/>
      <c r="M11" s="1296">
        <f t="shared" si="3"/>
        <v>-850000</v>
      </c>
      <c r="N11" s="1361">
        <f t="shared" si="4"/>
        <v>-100</v>
      </c>
      <c r="O11" s="1350">
        <f>K11</f>
        <v>850000</v>
      </c>
      <c r="P11" s="1297"/>
      <c r="Q11" s="1296">
        <f t="shared" si="5"/>
        <v>-850000</v>
      </c>
      <c r="R11" s="1361">
        <f t="shared" si="6"/>
        <v>-100</v>
      </c>
      <c r="S11" s="1350">
        <f>O11</f>
        <v>850000</v>
      </c>
      <c r="T11" s="1297"/>
      <c r="U11" s="1296">
        <f t="shared" si="7"/>
        <v>-850000</v>
      </c>
      <c r="V11" s="1361">
        <f t="shared" si="8"/>
        <v>-100</v>
      </c>
      <c r="W11" s="1350">
        <f>S11</f>
        <v>850000</v>
      </c>
      <c r="X11" s="1297"/>
      <c r="Y11" s="1296">
        <f t="shared" si="9"/>
        <v>-850000</v>
      </c>
      <c r="Z11" s="1361">
        <f t="shared" si="10"/>
        <v>-100</v>
      </c>
      <c r="AA11" s="1350">
        <f>W11</f>
        <v>850000</v>
      </c>
      <c r="AB11" s="1297"/>
      <c r="AC11" s="1296">
        <f t="shared" si="11"/>
        <v>-850000</v>
      </c>
      <c r="AD11" s="1361">
        <f t="shared" si="12"/>
        <v>-100</v>
      </c>
      <c r="AE11" s="1350">
        <f>AA11</f>
        <v>850000</v>
      </c>
      <c r="AF11" s="1297"/>
      <c r="AG11" s="1296">
        <f t="shared" si="13"/>
        <v>-850000</v>
      </c>
      <c r="AH11" s="1361">
        <f t="shared" si="14"/>
        <v>-100</v>
      </c>
      <c r="AI11" s="1350">
        <f>AE11</f>
        <v>850000</v>
      </c>
      <c r="AJ11" s="1297"/>
      <c r="AK11" s="1296">
        <f t="shared" si="15"/>
        <v>-850000</v>
      </c>
      <c r="AL11" s="1361">
        <f t="shared" si="16"/>
        <v>-100</v>
      </c>
      <c r="AM11" s="1350">
        <f>AI11</f>
        <v>850000</v>
      </c>
      <c r="AN11" s="1297"/>
      <c r="AO11" s="1296">
        <f t="shared" si="17"/>
        <v>-850000</v>
      </c>
      <c r="AP11" s="1361">
        <f t="shared" si="18"/>
        <v>-100</v>
      </c>
      <c r="AQ11" s="1350">
        <f>AM11</f>
        <v>850000</v>
      </c>
      <c r="AR11" s="1297"/>
      <c r="AS11" s="1296">
        <f t="shared" si="19"/>
        <v>-850000</v>
      </c>
      <c r="AT11" s="1361">
        <f t="shared" si="20"/>
        <v>-100</v>
      </c>
      <c r="AU11" s="1350">
        <f>AQ11</f>
        <v>850000</v>
      </c>
      <c r="AV11" s="1297"/>
      <c r="AW11" s="1296">
        <f t="shared" si="21"/>
        <v>-850000</v>
      </c>
      <c r="AX11" s="1268">
        <f t="shared" si="22"/>
        <v>-100</v>
      </c>
      <c r="AY11" s="1190">
        <f t="shared" si="24"/>
        <v>10200000</v>
      </c>
      <c r="AZ11" s="1189">
        <f t="shared" si="25"/>
        <v>0</v>
      </c>
      <c r="BB11" s="12"/>
    </row>
    <row r="12" spans="1:56" s="119" customFormat="1" ht="31.5" x14ac:dyDescent="0.25">
      <c r="A12" s="150" t="s">
        <v>3830</v>
      </c>
      <c r="B12" s="382" t="s">
        <v>337</v>
      </c>
      <c r="C12" s="1276">
        <v>2292149.5299999998</v>
      </c>
      <c r="D12" s="1297"/>
      <c r="E12" s="1296">
        <f t="shared" si="26"/>
        <v>-2292149.5299999998</v>
      </c>
      <c r="F12" s="1268">
        <f t="shared" si="0"/>
        <v>-100</v>
      </c>
      <c r="G12" s="1276">
        <f>C12</f>
        <v>2292149.5299999998</v>
      </c>
      <c r="H12" s="1297"/>
      <c r="I12" s="1296">
        <f t="shared" si="1"/>
        <v>-2292149.5299999998</v>
      </c>
      <c r="J12" s="1361">
        <f t="shared" si="2"/>
        <v>-100</v>
      </c>
      <c r="K12" s="1350">
        <f>G12</f>
        <v>2292149.5299999998</v>
      </c>
      <c r="L12" s="1297"/>
      <c r="M12" s="1296">
        <f t="shared" si="3"/>
        <v>-2292149.5299999998</v>
      </c>
      <c r="N12" s="1361">
        <f t="shared" si="4"/>
        <v>-100</v>
      </c>
      <c r="O12" s="1350">
        <f>K12</f>
        <v>2292149.5299999998</v>
      </c>
      <c r="P12" s="1297"/>
      <c r="Q12" s="1296">
        <f t="shared" si="5"/>
        <v>-2292149.5299999998</v>
      </c>
      <c r="R12" s="1361">
        <f t="shared" si="6"/>
        <v>-100</v>
      </c>
      <c r="S12" s="1350">
        <f>O12</f>
        <v>2292149.5299999998</v>
      </c>
      <c r="T12" s="1297"/>
      <c r="U12" s="1296">
        <f t="shared" si="7"/>
        <v>-2292149.5299999998</v>
      </c>
      <c r="V12" s="1361">
        <f t="shared" si="8"/>
        <v>-100</v>
      </c>
      <c r="W12" s="1350">
        <f>S12</f>
        <v>2292149.5299999998</v>
      </c>
      <c r="X12" s="1297"/>
      <c r="Y12" s="1296">
        <f t="shared" si="9"/>
        <v>-2292149.5299999998</v>
      </c>
      <c r="Z12" s="1361">
        <f t="shared" si="10"/>
        <v>-100</v>
      </c>
      <c r="AA12" s="1350">
        <f>W12</f>
        <v>2292149.5299999998</v>
      </c>
      <c r="AB12" s="1297"/>
      <c r="AC12" s="1296">
        <f t="shared" si="11"/>
        <v>-2292149.5299999998</v>
      </c>
      <c r="AD12" s="1361">
        <f t="shared" si="12"/>
        <v>-100</v>
      </c>
      <c r="AE12" s="1350">
        <f>AA12</f>
        <v>2292149.5299999998</v>
      </c>
      <c r="AF12" s="1297"/>
      <c r="AG12" s="1296">
        <f t="shared" si="13"/>
        <v>-2292149.5299999998</v>
      </c>
      <c r="AH12" s="1361">
        <f t="shared" si="14"/>
        <v>-100</v>
      </c>
      <c r="AI12" s="1350">
        <f>AE12</f>
        <v>2292149.5299999998</v>
      </c>
      <c r="AJ12" s="1297"/>
      <c r="AK12" s="1296">
        <f t="shared" si="15"/>
        <v>-2292149.5299999998</v>
      </c>
      <c r="AL12" s="1361">
        <f t="shared" si="16"/>
        <v>-100</v>
      </c>
      <c r="AM12" s="1350">
        <f>AI12</f>
        <v>2292149.5299999998</v>
      </c>
      <c r="AN12" s="1297"/>
      <c r="AO12" s="1296">
        <f t="shared" si="17"/>
        <v>-2292149.5299999998</v>
      </c>
      <c r="AP12" s="1361">
        <f t="shared" si="18"/>
        <v>-100</v>
      </c>
      <c r="AQ12" s="1350">
        <f>AM12</f>
        <v>2292149.5299999998</v>
      </c>
      <c r="AR12" s="1297"/>
      <c r="AS12" s="1296">
        <f t="shared" si="19"/>
        <v>-2292149.5299999998</v>
      </c>
      <c r="AT12" s="1361">
        <f t="shared" si="20"/>
        <v>-100</v>
      </c>
      <c r="AU12" s="1350">
        <f>AQ12</f>
        <v>2292149.5299999998</v>
      </c>
      <c r="AV12" s="1297"/>
      <c r="AW12" s="1296">
        <f t="shared" si="21"/>
        <v>-2292149.5299999998</v>
      </c>
      <c r="AX12" s="1268">
        <f t="shared" si="22"/>
        <v>-100</v>
      </c>
      <c r="AY12" s="1190">
        <f t="shared" si="24"/>
        <v>27505794.360000003</v>
      </c>
      <c r="AZ12" s="1189">
        <f t="shared" si="25"/>
        <v>0</v>
      </c>
      <c r="BB12" s="550"/>
    </row>
    <row r="13" spans="1:56" s="119" customFormat="1" ht="32.25" thickBot="1" x14ac:dyDescent="0.3">
      <c r="A13" s="150" t="s">
        <v>3799</v>
      </c>
      <c r="B13" s="382" t="s">
        <v>7</v>
      </c>
      <c r="C13" s="1277">
        <v>400000</v>
      </c>
      <c r="D13" s="1298"/>
      <c r="E13" s="1296">
        <f t="shared" si="26"/>
        <v>-400000</v>
      </c>
      <c r="F13" s="1285">
        <f t="shared" si="0"/>
        <v>-100</v>
      </c>
      <c r="G13" s="1277">
        <f>C13</f>
        <v>400000</v>
      </c>
      <c r="H13" s="1298"/>
      <c r="I13" s="1296">
        <f t="shared" si="1"/>
        <v>-400000</v>
      </c>
      <c r="J13" s="1362">
        <f t="shared" si="2"/>
        <v>-100</v>
      </c>
      <c r="K13" s="1351">
        <f>G13</f>
        <v>400000</v>
      </c>
      <c r="L13" s="1298"/>
      <c r="M13" s="1296">
        <f t="shared" si="3"/>
        <v>-400000</v>
      </c>
      <c r="N13" s="1362">
        <f t="shared" si="4"/>
        <v>-100</v>
      </c>
      <c r="O13" s="1351">
        <f>K13</f>
        <v>400000</v>
      </c>
      <c r="P13" s="1298"/>
      <c r="Q13" s="1296">
        <f t="shared" si="5"/>
        <v>-400000</v>
      </c>
      <c r="R13" s="1362">
        <f t="shared" si="6"/>
        <v>-100</v>
      </c>
      <c r="S13" s="1351">
        <f>O13</f>
        <v>400000</v>
      </c>
      <c r="T13" s="1298"/>
      <c r="U13" s="1296">
        <f t="shared" si="7"/>
        <v>-400000</v>
      </c>
      <c r="V13" s="1362">
        <f t="shared" si="8"/>
        <v>-100</v>
      </c>
      <c r="W13" s="1351">
        <f>S13</f>
        <v>400000</v>
      </c>
      <c r="X13" s="1298"/>
      <c r="Y13" s="1296">
        <f t="shared" si="9"/>
        <v>-400000</v>
      </c>
      <c r="Z13" s="1362">
        <f t="shared" si="10"/>
        <v>-100</v>
      </c>
      <c r="AA13" s="1351">
        <f>W13</f>
        <v>400000</v>
      </c>
      <c r="AB13" s="1298"/>
      <c r="AC13" s="1296">
        <f t="shared" si="11"/>
        <v>-400000</v>
      </c>
      <c r="AD13" s="1362">
        <f t="shared" si="12"/>
        <v>-100</v>
      </c>
      <c r="AE13" s="1351">
        <f>AA13</f>
        <v>400000</v>
      </c>
      <c r="AF13" s="1298"/>
      <c r="AG13" s="1296">
        <f t="shared" si="13"/>
        <v>-400000</v>
      </c>
      <c r="AH13" s="1362">
        <f t="shared" si="14"/>
        <v>-100</v>
      </c>
      <c r="AI13" s="1351">
        <f>AE13</f>
        <v>400000</v>
      </c>
      <c r="AJ13" s="1298"/>
      <c r="AK13" s="1296">
        <f t="shared" si="15"/>
        <v>-400000</v>
      </c>
      <c r="AL13" s="1362">
        <f t="shared" si="16"/>
        <v>-100</v>
      </c>
      <c r="AM13" s="1351">
        <f>AI13</f>
        <v>400000</v>
      </c>
      <c r="AN13" s="1298"/>
      <c r="AO13" s="1296">
        <f t="shared" si="17"/>
        <v>-400000</v>
      </c>
      <c r="AP13" s="1362">
        <f t="shared" si="18"/>
        <v>-100</v>
      </c>
      <c r="AQ13" s="1351">
        <f>AM13</f>
        <v>400000</v>
      </c>
      <c r="AR13" s="1298"/>
      <c r="AS13" s="1296">
        <f t="shared" si="19"/>
        <v>-400000</v>
      </c>
      <c r="AT13" s="1362">
        <f t="shared" si="20"/>
        <v>-100</v>
      </c>
      <c r="AU13" s="1351">
        <f>AQ13</f>
        <v>400000</v>
      </c>
      <c r="AV13" s="1298"/>
      <c r="AW13" s="1296">
        <f t="shared" si="21"/>
        <v>-400000</v>
      </c>
      <c r="AX13" s="1285">
        <f t="shared" si="22"/>
        <v>-100</v>
      </c>
      <c r="AY13" s="1190">
        <f t="shared" si="24"/>
        <v>4800000</v>
      </c>
      <c r="AZ13" s="1383">
        <f t="shared" si="25"/>
        <v>0</v>
      </c>
      <c r="BB13" s="12"/>
    </row>
    <row r="14" spans="1:56" s="119" customFormat="1" ht="18" customHeight="1" thickBot="1" x14ac:dyDescent="0.3">
      <c r="A14" s="429"/>
      <c r="B14" s="113" t="s">
        <v>159</v>
      </c>
      <c r="C14" s="203">
        <f>SUM(C15:C17)</f>
        <v>830730.42333333334</v>
      </c>
      <c r="D14" s="1293">
        <f>SUM(D15:D17)</f>
        <v>0</v>
      </c>
      <c r="E14" s="719">
        <f>D14-C14</f>
        <v>-830730.42333333334</v>
      </c>
      <c r="F14" s="115">
        <f t="shared" si="0"/>
        <v>-100</v>
      </c>
      <c r="G14" s="203">
        <f>SUM(G15:G17)</f>
        <v>830730.42333333334</v>
      </c>
      <c r="H14" s="1293">
        <f>SUM(H15:H17)</f>
        <v>0</v>
      </c>
      <c r="I14" s="719">
        <f t="shared" si="1"/>
        <v>-830730.42333333334</v>
      </c>
      <c r="J14" s="720">
        <f t="shared" si="2"/>
        <v>-100</v>
      </c>
      <c r="K14" s="721">
        <f>SUM(K15:K17)</f>
        <v>830730.42333333334</v>
      </c>
      <c r="L14" s="1293">
        <f>SUM(L15:L17)</f>
        <v>0</v>
      </c>
      <c r="M14" s="719">
        <f t="shared" si="3"/>
        <v>-830730.42333333334</v>
      </c>
      <c r="N14" s="720">
        <f t="shared" si="4"/>
        <v>-100</v>
      </c>
      <c r="O14" s="721">
        <f>SUM(O15:O17)</f>
        <v>830730.42333333334</v>
      </c>
      <c r="P14" s="1293">
        <f>SUM(P15:P17)</f>
        <v>0</v>
      </c>
      <c r="Q14" s="719">
        <f t="shared" si="5"/>
        <v>-830730.42333333334</v>
      </c>
      <c r="R14" s="720">
        <f t="shared" si="6"/>
        <v>-100</v>
      </c>
      <c r="S14" s="721">
        <f>SUM(S15:S17)</f>
        <v>830730.42333333334</v>
      </c>
      <c r="T14" s="1293">
        <f>SUM(T15:T17)</f>
        <v>0</v>
      </c>
      <c r="U14" s="719">
        <f t="shared" si="7"/>
        <v>-830730.42333333334</v>
      </c>
      <c r="V14" s="720">
        <f t="shared" si="8"/>
        <v>-100</v>
      </c>
      <c r="W14" s="721">
        <f>SUM(W15:W17)</f>
        <v>830730.42333333334</v>
      </c>
      <c r="X14" s="1293">
        <f>SUM(X15:X17)</f>
        <v>0</v>
      </c>
      <c r="Y14" s="719">
        <f t="shared" si="9"/>
        <v>-830730.42333333334</v>
      </c>
      <c r="Z14" s="720">
        <f t="shared" si="10"/>
        <v>-100</v>
      </c>
      <c r="AA14" s="721">
        <f>SUM(AA15:AA17)</f>
        <v>830730.42333333334</v>
      </c>
      <c r="AB14" s="1293">
        <f>SUM(AB15:AB17)</f>
        <v>0</v>
      </c>
      <c r="AC14" s="719">
        <f t="shared" si="11"/>
        <v>-830730.42333333334</v>
      </c>
      <c r="AD14" s="720">
        <f t="shared" si="12"/>
        <v>-100</v>
      </c>
      <c r="AE14" s="721">
        <f>SUM(AE15:AE17)</f>
        <v>830730.42333333334</v>
      </c>
      <c r="AF14" s="1293">
        <f>SUM(AF15:AF17)</f>
        <v>0</v>
      </c>
      <c r="AG14" s="719">
        <f t="shared" si="13"/>
        <v>-830730.42333333334</v>
      </c>
      <c r="AH14" s="720">
        <f t="shared" si="14"/>
        <v>-100</v>
      </c>
      <c r="AI14" s="721">
        <f>SUM(AI15:AI17)</f>
        <v>830730.42333333334</v>
      </c>
      <c r="AJ14" s="1293">
        <f>SUM(AJ15:AJ17)</f>
        <v>0</v>
      </c>
      <c r="AK14" s="719">
        <f t="shared" si="15"/>
        <v>-830730.42333333334</v>
      </c>
      <c r="AL14" s="720">
        <f t="shared" si="16"/>
        <v>-100</v>
      </c>
      <c r="AM14" s="721">
        <f>SUM(AM15:AM17)</f>
        <v>830730.42333333334</v>
      </c>
      <c r="AN14" s="1293">
        <f>SUM(AN15:AN17)</f>
        <v>0</v>
      </c>
      <c r="AO14" s="719">
        <f t="shared" si="17"/>
        <v>-830730.42333333334</v>
      </c>
      <c r="AP14" s="720">
        <f t="shared" si="18"/>
        <v>-100</v>
      </c>
      <c r="AQ14" s="721">
        <f>SUM(AQ15:AQ17)</f>
        <v>830730.42333333334</v>
      </c>
      <c r="AR14" s="1293">
        <f>SUM(AR15:AR17)</f>
        <v>0</v>
      </c>
      <c r="AS14" s="719">
        <f t="shared" si="19"/>
        <v>-830730.42333333334</v>
      </c>
      <c r="AT14" s="720">
        <f t="shared" si="20"/>
        <v>-100</v>
      </c>
      <c r="AU14" s="721">
        <f>SUM(AU15:AU17)</f>
        <v>830730.42333333334</v>
      </c>
      <c r="AV14" s="1293">
        <f>SUM(AV15:AV17)</f>
        <v>0</v>
      </c>
      <c r="AW14" s="719">
        <f t="shared" si="21"/>
        <v>-830730.42333333334</v>
      </c>
      <c r="AX14" s="115">
        <f t="shared" si="22"/>
        <v>-100</v>
      </c>
      <c r="AY14" s="4">
        <f t="shared" si="24"/>
        <v>9968765.0800000019</v>
      </c>
      <c r="AZ14" s="1262">
        <f>D14+H14+L14+P14+T14+X14+AB14+AF14+AJ14+AN14+AR14+AV14</f>
        <v>0</v>
      </c>
      <c r="BB14" s="550"/>
    </row>
    <row r="15" spans="1:56" s="119" customFormat="1" ht="18" customHeight="1" x14ac:dyDescent="0.25">
      <c r="A15" s="134">
        <v>55248</v>
      </c>
      <c r="B15" s="332" t="s">
        <v>9</v>
      </c>
      <c r="C15" s="1222">
        <v>199045.21</v>
      </c>
      <c r="D15" s="1299"/>
      <c r="E15" s="1299">
        <f t="shared" si="26"/>
        <v>-199045.21</v>
      </c>
      <c r="F15" s="1286">
        <f>((D15/C15)-1)*100</f>
        <v>-100</v>
      </c>
      <c r="G15" s="1222">
        <f>C15</f>
        <v>199045.21</v>
      </c>
      <c r="H15" s="1299"/>
      <c r="I15" s="1299">
        <f t="shared" si="1"/>
        <v>-199045.21</v>
      </c>
      <c r="J15" s="1363">
        <f t="shared" ref="J15:J20" si="27">((H15/G15)-1)*100</f>
        <v>-100</v>
      </c>
      <c r="K15" s="1352">
        <f>G15</f>
        <v>199045.21</v>
      </c>
      <c r="L15" s="1299"/>
      <c r="M15" s="1299">
        <f t="shared" si="3"/>
        <v>-199045.21</v>
      </c>
      <c r="N15" s="1363">
        <f t="shared" ref="N15:N20" si="28">((L15/K15)-1)*100</f>
        <v>-100</v>
      </c>
      <c r="O15" s="1352">
        <f>K15</f>
        <v>199045.21</v>
      </c>
      <c r="P15" s="1299"/>
      <c r="Q15" s="1299">
        <f t="shared" si="5"/>
        <v>-199045.21</v>
      </c>
      <c r="R15" s="1363">
        <f t="shared" ref="R15:R20" si="29">((P15/O15)-1)*100</f>
        <v>-100</v>
      </c>
      <c r="S15" s="1352">
        <f>O15</f>
        <v>199045.21</v>
      </c>
      <c r="T15" s="1299"/>
      <c r="U15" s="1299">
        <f t="shared" si="7"/>
        <v>-199045.21</v>
      </c>
      <c r="V15" s="1363">
        <f t="shared" ref="V15:V20" si="30">((T15/S15)-1)*100</f>
        <v>-100</v>
      </c>
      <c r="W15" s="1352">
        <f>S15</f>
        <v>199045.21</v>
      </c>
      <c r="X15" s="1299"/>
      <c r="Y15" s="1299">
        <f t="shared" si="9"/>
        <v>-199045.21</v>
      </c>
      <c r="Z15" s="1363">
        <f t="shared" ref="Z15:Z20" si="31">((X15/W15)-1)*100</f>
        <v>-100</v>
      </c>
      <c r="AA15" s="1352">
        <f>W15</f>
        <v>199045.21</v>
      </c>
      <c r="AB15" s="1299"/>
      <c r="AC15" s="1299">
        <f t="shared" si="11"/>
        <v>-199045.21</v>
      </c>
      <c r="AD15" s="1363">
        <f t="shared" ref="AD15:AD20" si="32">((AB15/AA15)-1)*100</f>
        <v>-100</v>
      </c>
      <c r="AE15" s="1352">
        <f>AA15</f>
        <v>199045.21</v>
      </c>
      <c r="AF15" s="1299"/>
      <c r="AG15" s="1299">
        <f t="shared" si="13"/>
        <v>-199045.21</v>
      </c>
      <c r="AH15" s="1363">
        <f t="shared" ref="AH15:AH20" si="33">((AF15/AE15)-1)*100</f>
        <v>-100</v>
      </c>
      <c r="AI15" s="1352">
        <f>AE15</f>
        <v>199045.21</v>
      </c>
      <c r="AJ15" s="1299"/>
      <c r="AK15" s="1299">
        <f t="shared" si="15"/>
        <v>-199045.21</v>
      </c>
      <c r="AL15" s="1363">
        <f t="shared" ref="AL15:AL20" si="34">((AJ15/AI15)-1)*100</f>
        <v>-100</v>
      </c>
      <c r="AM15" s="1352">
        <f>AI15</f>
        <v>199045.21</v>
      </c>
      <c r="AN15" s="1299"/>
      <c r="AO15" s="1299">
        <f t="shared" si="17"/>
        <v>-199045.21</v>
      </c>
      <c r="AP15" s="1363">
        <f t="shared" ref="AP15:AP20" si="35">((AN15/AM15)-1)*100</f>
        <v>-100</v>
      </c>
      <c r="AQ15" s="1352">
        <f>AM15</f>
        <v>199045.21</v>
      </c>
      <c r="AR15" s="1299"/>
      <c r="AS15" s="1299">
        <f t="shared" si="19"/>
        <v>-199045.21</v>
      </c>
      <c r="AT15" s="1363">
        <f t="shared" ref="AT15:AT20" si="36">((AR15/AQ15)-1)*100</f>
        <v>-100</v>
      </c>
      <c r="AU15" s="1352">
        <f>AQ15</f>
        <v>199045.21</v>
      </c>
      <c r="AV15" s="1299"/>
      <c r="AW15" s="1299">
        <f t="shared" si="21"/>
        <v>-199045.21</v>
      </c>
      <c r="AX15" s="1286">
        <f t="shared" ref="AX15:AX20" si="37">((AV15/AU15)-1)*100</f>
        <v>-100</v>
      </c>
      <c r="AY15" s="1241">
        <f t="shared" si="24"/>
        <v>2388542.52</v>
      </c>
      <c r="AZ15" s="1189">
        <f t="shared" si="25"/>
        <v>0</v>
      </c>
      <c r="BB15" s="1175"/>
    </row>
    <row r="16" spans="1:56" s="119" customFormat="1" ht="18" customHeight="1" x14ac:dyDescent="0.25">
      <c r="A16" s="139">
        <v>55249</v>
      </c>
      <c r="B16" s="382" t="s">
        <v>10</v>
      </c>
      <c r="C16" s="1207">
        <v>70360.213333333362</v>
      </c>
      <c r="D16" s="1300"/>
      <c r="E16" s="1300">
        <f t="shared" si="26"/>
        <v>-70360.213333333362</v>
      </c>
      <c r="F16" s="1237">
        <f>((D16/C16)-1)*100</f>
        <v>-100</v>
      </c>
      <c r="G16" s="1207">
        <f>C16</f>
        <v>70360.213333333362</v>
      </c>
      <c r="H16" s="1300"/>
      <c r="I16" s="1300">
        <f t="shared" si="1"/>
        <v>-70360.213333333362</v>
      </c>
      <c r="J16" s="1364">
        <f t="shared" si="27"/>
        <v>-100</v>
      </c>
      <c r="K16" s="1353">
        <f>G16</f>
        <v>70360.213333333362</v>
      </c>
      <c r="L16" s="1300"/>
      <c r="M16" s="1300">
        <f t="shared" si="3"/>
        <v>-70360.213333333362</v>
      </c>
      <c r="N16" s="1364">
        <f t="shared" si="28"/>
        <v>-100</v>
      </c>
      <c r="O16" s="1353">
        <f>K16</f>
        <v>70360.213333333362</v>
      </c>
      <c r="P16" s="1300"/>
      <c r="Q16" s="1300">
        <f t="shared" si="5"/>
        <v>-70360.213333333362</v>
      </c>
      <c r="R16" s="1364">
        <f t="shared" si="29"/>
        <v>-100</v>
      </c>
      <c r="S16" s="1353">
        <f>O16</f>
        <v>70360.213333333362</v>
      </c>
      <c r="T16" s="1300"/>
      <c r="U16" s="1300">
        <f t="shared" si="7"/>
        <v>-70360.213333333362</v>
      </c>
      <c r="V16" s="1364">
        <f t="shared" si="30"/>
        <v>-100</v>
      </c>
      <c r="W16" s="1353">
        <f>S16</f>
        <v>70360.213333333362</v>
      </c>
      <c r="X16" s="1300"/>
      <c r="Y16" s="1300">
        <f t="shared" si="9"/>
        <v>-70360.213333333362</v>
      </c>
      <c r="Z16" s="1364">
        <f t="shared" si="31"/>
        <v>-100</v>
      </c>
      <c r="AA16" s="1353">
        <f>W16</f>
        <v>70360.213333333362</v>
      </c>
      <c r="AB16" s="1300"/>
      <c r="AC16" s="1300">
        <f t="shared" si="11"/>
        <v>-70360.213333333362</v>
      </c>
      <c r="AD16" s="1364">
        <f t="shared" si="32"/>
        <v>-100</v>
      </c>
      <c r="AE16" s="1353">
        <f>AA16</f>
        <v>70360.213333333362</v>
      </c>
      <c r="AF16" s="1300"/>
      <c r="AG16" s="1300">
        <f t="shared" si="13"/>
        <v>-70360.213333333362</v>
      </c>
      <c r="AH16" s="1364">
        <f t="shared" si="33"/>
        <v>-100</v>
      </c>
      <c r="AI16" s="1353">
        <f>AE16</f>
        <v>70360.213333333362</v>
      </c>
      <c r="AJ16" s="1300"/>
      <c r="AK16" s="1300">
        <f t="shared" si="15"/>
        <v>-70360.213333333362</v>
      </c>
      <c r="AL16" s="1364">
        <f t="shared" si="34"/>
        <v>-100</v>
      </c>
      <c r="AM16" s="1353">
        <f>AI16</f>
        <v>70360.213333333362</v>
      </c>
      <c r="AN16" s="1300"/>
      <c r="AO16" s="1300">
        <f t="shared" si="17"/>
        <v>-70360.213333333362</v>
      </c>
      <c r="AP16" s="1364">
        <f t="shared" si="35"/>
        <v>-100</v>
      </c>
      <c r="AQ16" s="1353">
        <f>AM16</f>
        <v>70360.213333333362</v>
      </c>
      <c r="AR16" s="1300"/>
      <c r="AS16" s="1300">
        <f t="shared" si="19"/>
        <v>-70360.213333333362</v>
      </c>
      <c r="AT16" s="1364">
        <f t="shared" si="36"/>
        <v>-100</v>
      </c>
      <c r="AU16" s="1353">
        <f>AQ16</f>
        <v>70360.213333333362</v>
      </c>
      <c r="AV16" s="1300"/>
      <c r="AW16" s="1300">
        <f t="shared" si="21"/>
        <v>-70360.213333333362</v>
      </c>
      <c r="AX16" s="1237">
        <f t="shared" si="37"/>
        <v>-100</v>
      </c>
      <c r="AY16" s="1241">
        <f t="shared" si="24"/>
        <v>844322.56000000041</v>
      </c>
      <c r="AZ16" s="1189">
        <f>D16+H16+L16+P16+T16+X16+AB16+AF16+AJ16+AN16+AR16+AV16</f>
        <v>0</v>
      </c>
      <c r="BB16" s="1175"/>
    </row>
    <row r="17" spans="1:55" s="119" customFormat="1" ht="18" customHeight="1" thickBot="1" x14ac:dyDescent="0.3">
      <c r="A17" s="127">
        <v>55247</v>
      </c>
      <c r="B17" s="384" t="s">
        <v>11</v>
      </c>
      <c r="C17" s="1225">
        <v>561325</v>
      </c>
      <c r="D17" s="1301"/>
      <c r="E17" s="1301">
        <f t="shared" si="26"/>
        <v>-561325</v>
      </c>
      <c r="F17" s="1242">
        <f>((D17/C17)-1)*100</f>
        <v>-100</v>
      </c>
      <c r="G17" s="1225">
        <f>C17</f>
        <v>561325</v>
      </c>
      <c r="H17" s="1301"/>
      <c r="I17" s="1301">
        <f t="shared" si="1"/>
        <v>-561325</v>
      </c>
      <c r="J17" s="1365">
        <f t="shared" si="27"/>
        <v>-100</v>
      </c>
      <c r="K17" s="1354">
        <f>G17</f>
        <v>561325</v>
      </c>
      <c r="L17" s="1301"/>
      <c r="M17" s="1301">
        <f t="shared" si="3"/>
        <v>-561325</v>
      </c>
      <c r="N17" s="1365">
        <f t="shared" si="28"/>
        <v>-100</v>
      </c>
      <c r="O17" s="1354">
        <f>K17</f>
        <v>561325</v>
      </c>
      <c r="P17" s="1301"/>
      <c r="Q17" s="1301">
        <f t="shared" si="5"/>
        <v>-561325</v>
      </c>
      <c r="R17" s="1365">
        <f t="shared" si="29"/>
        <v>-100</v>
      </c>
      <c r="S17" s="1354">
        <f>O17</f>
        <v>561325</v>
      </c>
      <c r="T17" s="1301"/>
      <c r="U17" s="1301">
        <f t="shared" si="7"/>
        <v>-561325</v>
      </c>
      <c r="V17" s="1365">
        <f t="shared" si="30"/>
        <v>-100</v>
      </c>
      <c r="W17" s="1354">
        <f>S17</f>
        <v>561325</v>
      </c>
      <c r="X17" s="1301"/>
      <c r="Y17" s="1301">
        <f t="shared" si="9"/>
        <v>-561325</v>
      </c>
      <c r="Z17" s="1365">
        <f t="shared" si="31"/>
        <v>-100</v>
      </c>
      <c r="AA17" s="1354">
        <f>W17</f>
        <v>561325</v>
      </c>
      <c r="AB17" s="1301"/>
      <c r="AC17" s="1301">
        <f t="shared" si="11"/>
        <v>-561325</v>
      </c>
      <c r="AD17" s="1365">
        <f t="shared" si="32"/>
        <v>-100</v>
      </c>
      <c r="AE17" s="1354">
        <f>AA17</f>
        <v>561325</v>
      </c>
      <c r="AF17" s="1301"/>
      <c r="AG17" s="1301">
        <f t="shared" si="13"/>
        <v>-561325</v>
      </c>
      <c r="AH17" s="1365">
        <f t="shared" si="33"/>
        <v>-100</v>
      </c>
      <c r="AI17" s="1354">
        <f>AE17</f>
        <v>561325</v>
      </c>
      <c r="AJ17" s="1301"/>
      <c r="AK17" s="1301">
        <f t="shared" si="15"/>
        <v>-561325</v>
      </c>
      <c r="AL17" s="1365">
        <f t="shared" si="34"/>
        <v>-100</v>
      </c>
      <c r="AM17" s="1354">
        <f>AI17</f>
        <v>561325</v>
      </c>
      <c r="AN17" s="1301"/>
      <c r="AO17" s="1301">
        <f t="shared" si="17"/>
        <v>-561325</v>
      </c>
      <c r="AP17" s="1365">
        <f t="shared" si="35"/>
        <v>-100</v>
      </c>
      <c r="AQ17" s="1354">
        <f>AM17</f>
        <v>561325</v>
      </c>
      <c r="AR17" s="1301"/>
      <c r="AS17" s="1301">
        <f t="shared" si="19"/>
        <v>-561325</v>
      </c>
      <c r="AT17" s="1365">
        <f t="shared" si="36"/>
        <v>-100</v>
      </c>
      <c r="AU17" s="1354">
        <f>AQ17</f>
        <v>561325</v>
      </c>
      <c r="AV17" s="1301"/>
      <c r="AW17" s="1301">
        <f t="shared" si="21"/>
        <v>-561325</v>
      </c>
      <c r="AX17" s="1242">
        <f t="shared" si="37"/>
        <v>-100</v>
      </c>
      <c r="AY17" s="1241">
        <f t="shared" si="24"/>
        <v>6735900</v>
      </c>
      <c r="AZ17" s="1189">
        <f t="shared" si="25"/>
        <v>0</v>
      </c>
      <c r="BB17" s="1175"/>
    </row>
    <row r="18" spans="1:55" s="119" customFormat="1" ht="18" customHeight="1" thickBot="1" x14ac:dyDescent="0.3">
      <c r="A18" s="140"/>
      <c r="B18" s="381" t="s">
        <v>160</v>
      </c>
      <c r="C18" s="221">
        <f>SUM(C19:C29)</f>
        <v>248916.22</v>
      </c>
      <c r="D18" s="1293">
        <f>SUM(D19:D33)</f>
        <v>0</v>
      </c>
      <c r="E18" s="145">
        <f>D18-C18</f>
        <v>-248916.22</v>
      </c>
      <c r="F18" s="191">
        <f>((D18/C18)-1)*100</f>
        <v>-100</v>
      </c>
      <c r="G18" s="221">
        <f>SUM(G19:G29)</f>
        <v>248916.22</v>
      </c>
      <c r="H18" s="1293">
        <f>SUM(H19:H35)</f>
        <v>0</v>
      </c>
      <c r="I18" s="145">
        <f t="shared" si="1"/>
        <v>-248916.22</v>
      </c>
      <c r="J18" s="640">
        <f t="shared" si="27"/>
        <v>-100</v>
      </c>
      <c r="K18" s="120">
        <f>SUM(K19:K29)</f>
        <v>248916.22</v>
      </c>
      <c r="L18" s="1293">
        <f>SUM(L19:L29)</f>
        <v>0</v>
      </c>
      <c r="M18" s="145">
        <f t="shared" si="3"/>
        <v>-248916.22</v>
      </c>
      <c r="N18" s="640">
        <f t="shared" si="28"/>
        <v>-100</v>
      </c>
      <c r="O18" s="120">
        <f>SUM(O19:O29)</f>
        <v>248916.22</v>
      </c>
      <c r="P18" s="1293">
        <f>SUM(P19:P29)</f>
        <v>0</v>
      </c>
      <c r="Q18" s="145">
        <f t="shared" si="5"/>
        <v>-248916.22</v>
      </c>
      <c r="R18" s="640">
        <f t="shared" si="29"/>
        <v>-100</v>
      </c>
      <c r="S18" s="120">
        <f>SUM(S19:S29)</f>
        <v>448916.22</v>
      </c>
      <c r="T18" s="1293">
        <f>SUM(T19:T29)</f>
        <v>0</v>
      </c>
      <c r="U18" s="145">
        <f t="shared" si="7"/>
        <v>-448916.22</v>
      </c>
      <c r="V18" s="640">
        <f t="shared" si="30"/>
        <v>-100</v>
      </c>
      <c r="W18" s="120">
        <f>SUM(W19:W29)</f>
        <v>248916.22</v>
      </c>
      <c r="X18" s="1293">
        <f>SUM(X19:X29)</f>
        <v>0</v>
      </c>
      <c r="Y18" s="145">
        <f t="shared" si="9"/>
        <v>-248916.22</v>
      </c>
      <c r="Z18" s="640">
        <f t="shared" si="31"/>
        <v>-100</v>
      </c>
      <c r="AA18" s="120">
        <f>SUM(AA19:AA29)</f>
        <v>256916.22</v>
      </c>
      <c r="AB18" s="1293">
        <f>SUM(AB19:AB29)</f>
        <v>0</v>
      </c>
      <c r="AC18" s="145">
        <f t="shared" si="11"/>
        <v>-256916.22</v>
      </c>
      <c r="AD18" s="640">
        <f t="shared" si="32"/>
        <v>-100</v>
      </c>
      <c r="AE18" s="120">
        <f>SUM(AE19:AE29)</f>
        <v>256916.22</v>
      </c>
      <c r="AF18" s="1293">
        <f>SUM(AF19:AF29)</f>
        <v>0</v>
      </c>
      <c r="AG18" s="145">
        <f t="shared" si="13"/>
        <v>-256916.22</v>
      </c>
      <c r="AH18" s="640">
        <f t="shared" si="33"/>
        <v>-100</v>
      </c>
      <c r="AI18" s="120">
        <f>SUM(AI19:AI29)</f>
        <v>256916.22</v>
      </c>
      <c r="AJ18" s="1293">
        <f>SUM(AJ19:AJ29)</f>
        <v>0</v>
      </c>
      <c r="AK18" s="145">
        <f t="shared" si="15"/>
        <v>-256916.22</v>
      </c>
      <c r="AL18" s="640">
        <f t="shared" si="34"/>
        <v>-100</v>
      </c>
      <c r="AM18" s="120">
        <f>SUM(AM19:AM29)</f>
        <v>256916.22</v>
      </c>
      <c r="AN18" s="1293">
        <f>SUM(AN19:AN29)</f>
        <v>0</v>
      </c>
      <c r="AO18" s="145">
        <f t="shared" si="17"/>
        <v>-256916.22</v>
      </c>
      <c r="AP18" s="640">
        <f t="shared" si="35"/>
        <v>-100</v>
      </c>
      <c r="AQ18" s="120">
        <f>SUM(AQ19:AQ29)</f>
        <v>456916.22</v>
      </c>
      <c r="AR18" s="1293">
        <f>SUM(AR19:AR29)</f>
        <v>0</v>
      </c>
      <c r="AS18" s="145">
        <f t="shared" si="19"/>
        <v>-456916.22</v>
      </c>
      <c r="AT18" s="640">
        <f t="shared" si="36"/>
        <v>-100</v>
      </c>
      <c r="AU18" s="120">
        <f>SUM(AU19:AU29)</f>
        <v>256916.22</v>
      </c>
      <c r="AV18" s="1293">
        <f>SUM(AV19:AV29)</f>
        <v>0</v>
      </c>
      <c r="AW18" s="145">
        <f t="shared" si="21"/>
        <v>-256916.22</v>
      </c>
      <c r="AX18" s="191">
        <f t="shared" si="37"/>
        <v>-100</v>
      </c>
      <c r="AY18" s="209">
        <f t="shared" si="24"/>
        <v>3434994.6400000011</v>
      </c>
      <c r="AZ18" s="1262">
        <f>D18+H18+L18+P18+T18+X18+AB18+AF18+AJ18+AN18+AR18+AV18</f>
        <v>0</v>
      </c>
      <c r="BB18" s="550"/>
      <c r="BC18" s="334"/>
    </row>
    <row r="19" spans="1:55" s="119" customFormat="1" ht="18" customHeight="1" x14ac:dyDescent="0.25">
      <c r="A19" s="141">
        <v>4962</v>
      </c>
      <c r="B19" s="381" t="s">
        <v>164</v>
      </c>
      <c r="C19" s="1278">
        <v>-50000</v>
      </c>
      <c r="D19" s="1302"/>
      <c r="E19" s="1302">
        <f t="shared" si="26"/>
        <v>50000</v>
      </c>
      <c r="F19" s="1287">
        <f t="shared" ref="F19:F28" si="38">((D19/C19)-1)*100</f>
        <v>-100</v>
      </c>
      <c r="G19" s="1278">
        <f>C19</f>
        <v>-50000</v>
      </c>
      <c r="H19" s="1302"/>
      <c r="I19" s="1302">
        <f t="shared" ref="I19:I29" si="39">H19-G19</f>
        <v>50000</v>
      </c>
      <c r="J19" s="1366">
        <f t="shared" si="27"/>
        <v>-100</v>
      </c>
      <c r="K19" s="1355">
        <f t="shared" ref="K19:K32" si="40">C19</f>
        <v>-50000</v>
      </c>
      <c r="L19" s="1302"/>
      <c r="M19" s="1302">
        <f t="shared" ref="M19:M32" si="41">L19-K19</f>
        <v>50000</v>
      </c>
      <c r="N19" s="1366">
        <f t="shared" si="28"/>
        <v>-100</v>
      </c>
      <c r="O19" s="1355">
        <f t="shared" ref="O19:O29" si="42">G19</f>
        <v>-50000</v>
      </c>
      <c r="P19" s="1302"/>
      <c r="Q19" s="1302">
        <f t="shared" ref="Q19:Q29" si="43">P19-O19</f>
        <v>50000</v>
      </c>
      <c r="R19" s="1366">
        <f t="shared" si="29"/>
        <v>-100</v>
      </c>
      <c r="S19" s="1355">
        <f>K19</f>
        <v>-50000</v>
      </c>
      <c r="T19" s="1302"/>
      <c r="U19" s="1302">
        <f t="shared" ref="U19:U32" si="44">T19-S19</f>
        <v>50000</v>
      </c>
      <c r="V19" s="1366">
        <f t="shared" si="30"/>
        <v>-100</v>
      </c>
      <c r="W19" s="1355">
        <f>O19</f>
        <v>-50000</v>
      </c>
      <c r="X19" s="1302"/>
      <c r="Y19" s="1302">
        <f t="shared" ref="Y19:Y29" si="45">X19-W19</f>
        <v>50000</v>
      </c>
      <c r="Z19" s="1366">
        <f t="shared" si="31"/>
        <v>-100</v>
      </c>
      <c r="AA19" s="1355">
        <f>S19</f>
        <v>-50000</v>
      </c>
      <c r="AB19" s="1302"/>
      <c r="AC19" s="1302">
        <f t="shared" ref="AC19:AC32" si="46">AB19-AA19</f>
        <v>50000</v>
      </c>
      <c r="AD19" s="1366">
        <f t="shared" si="32"/>
        <v>-100</v>
      </c>
      <c r="AE19" s="1355">
        <f>W19</f>
        <v>-50000</v>
      </c>
      <c r="AF19" s="1302"/>
      <c r="AG19" s="1302">
        <f t="shared" ref="AG19:AG29" si="47">AF19-AE19</f>
        <v>50000</v>
      </c>
      <c r="AH19" s="1366">
        <f t="shared" si="33"/>
        <v>-100</v>
      </c>
      <c r="AI19" s="1355">
        <f>AA19</f>
        <v>-50000</v>
      </c>
      <c r="AJ19" s="1302"/>
      <c r="AK19" s="1302">
        <f t="shared" ref="AK19:AK32" si="48">AJ19-AI19</f>
        <v>50000</v>
      </c>
      <c r="AL19" s="1366">
        <f t="shared" si="34"/>
        <v>-100</v>
      </c>
      <c r="AM19" s="1355">
        <f>AE19</f>
        <v>-50000</v>
      </c>
      <c r="AN19" s="1302"/>
      <c r="AO19" s="1302">
        <f t="shared" ref="AO19:AO29" si="49">AN19-AM19</f>
        <v>50000</v>
      </c>
      <c r="AP19" s="1366">
        <f t="shared" si="35"/>
        <v>-100</v>
      </c>
      <c r="AQ19" s="1355">
        <f>AI19</f>
        <v>-50000</v>
      </c>
      <c r="AR19" s="1302"/>
      <c r="AS19" s="1302">
        <f t="shared" ref="AS19:AS32" si="50">AR19-AQ19</f>
        <v>50000</v>
      </c>
      <c r="AT19" s="1366">
        <f t="shared" si="36"/>
        <v>-100</v>
      </c>
      <c r="AU19" s="1355">
        <f t="shared" ref="AU19:AU29" si="51">AM19</f>
        <v>-50000</v>
      </c>
      <c r="AV19" s="1302"/>
      <c r="AW19" s="1302">
        <f t="shared" ref="AW19:AW29" si="52">AV19-AU19</f>
        <v>50000</v>
      </c>
      <c r="AX19" s="1287">
        <f t="shared" si="37"/>
        <v>-100</v>
      </c>
      <c r="AY19" s="1193">
        <f t="shared" si="24"/>
        <v>-600000</v>
      </c>
      <c r="AZ19" s="1189">
        <f t="shared" ref="AZ19:AZ39" si="53">D19+H19+L19+P19+T19+X19+AB19+AF19+AJ19+AN19+AR19+AV19</f>
        <v>0</v>
      </c>
      <c r="BB19" s="550"/>
      <c r="BC19" s="334"/>
    </row>
    <row r="20" spans="1:55" s="119" customFormat="1" ht="18" customHeight="1" x14ac:dyDescent="0.25">
      <c r="A20" s="127">
        <v>27432</v>
      </c>
      <c r="B20" s="382" t="s">
        <v>16</v>
      </c>
      <c r="C20" s="1279">
        <f>3202.97+5713.25</f>
        <v>8916.2199999999993</v>
      </c>
      <c r="D20" s="1303"/>
      <c r="E20" s="1303">
        <f t="shared" si="26"/>
        <v>-8916.2199999999993</v>
      </c>
      <c r="F20" s="1288">
        <f t="shared" si="38"/>
        <v>-100</v>
      </c>
      <c r="G20" s="1279">
        <f>$C$20</f>
        <v>8916.2199999999993</v>
      </c>
      <c r="H20" s="1303"/>
      <c r="I20" s="1303">
        <f t="shared" si="39"/>
        <v>-8916.2199999999993</v>
      </c>
      <c r="J20" s="1367">
        <f t="shared" si="27"/>
        <v>-100</v>
      </c>
      <c r="K20" s="1356">
        <f t="shared" si="40"/>
        <v>8916.2199999999993</v>
      </c>
      <c r="L20" s="1303"/>
      <c r="M20" s="1303">
        <f t="shared" si="41"/>
        <v>-8916.2199999999993</v>
      </c>
      <c r="N20" s="1367">
        <f t="shared" si="28"/>
        <v>-100</v>
      </c>
      <c r="O20" s="1356">
        <f t="shared" si="42"/>
        <v>8916.2199999999993</v>
      </c>
      <c r="P20" s="1303"/>
      <c r="Q20" s="1303">
        <f t="shared" si="43"/>
        <v>-8916.2199999999993</v>
      </c>
      <c r="R20" s="1367">
        <f t="shared" si="29"/>
        <v>-100</v>
      </c>
      <c r="S20" s="1356">
        <f>K20</f>
        <v>8916.2199999999993</v>
      </c>
      <c r="T20" s="1303"/>
      <c r="U20" s="1303">
        <f t="shared" si="44"/>
        <v>-8916.2199999999993</v>
      </c>
      <c r="V20" s="1367">
        <f t="shared" si="30"/>
        <v>-100</v>
      </c>
      <c r="W20" s="1356">
        <f>S20</f>
        <v>8916.2199999999993</v>
      </c>
      <c r="X20" s="1303"/>
      <c r="Y20" s="1303">
        <f t="shared" si="45"/>
        <v>-8916.2199999999993</v>
      </c>
      <c r="Z20" s="1367">
        <f t="shared" si="31"/>
        <v>-100</v>
      </c>
      <c r="AA20" s="1356">
        <f>W20+8000</f>
        <v>16916.22</v>
      </c>
      <c r="AB20" s="1303"/>
      <c r="AC20" s="1303">
        <f t="shared" si="46"/>
        <v>-16916.22</v>
      </c>
      <c r="AD20" s="1367">
        <f t="shared" si="32"/>
        <v>-100</v>
      </c>
      <c r="AE20" s="1356">
        <f>AA20</f>
        <v>16916.22</v>
      </c>
      <c r="AF20" s="1303"/>
      <c r="AG20" s="1303">
        <f t="shared" si="47"/>
        <v>-16916.22</v>
      </c>
      <c r="AH20" s="1367">
        <f t="shared" si="33"/>
        <v>-100</v>
      </c>
      <c r="AI20" s="1356">
        <f>AE20</f>
        <v>16916.22</v>
      </c>
      <c r="AJ20" s="1303"/>
      <c r="AK20" s="1303">
        <f t="shared" si="48"/>
        <v>-16916.22</v>
      </c>
      <c r="AL20" s="1367">
        <f t="shared" si="34"/>
        <v>-100</v>
      </c>
      <c r="AM20" s="1356">
        <f>AI20</f>
        <v>16916.22</v>
      </c>
      <c r="AN20" s="1303"/>
      <c r="AO20" s="1303">
        <f t="shared" si="49"/>
        <v>-16916.22</v>
      </c>
      <c r="AP20" s="1367">
        <f t="shared" si="35"/>
        <v>-100</v>
      </c>
      <c r="AQ20" s="1356">
        <f>AM20</f>
        <v>16916.22</v>
      </c>
      <c r="AR20" s="1303"/>
      <c r="AS20" s="1303">
        <f t="shared" si="50"/>
        <v>-16916.22</v>
      </c>
      <c r="AT20" s="1367">
        <f t="shared" si="36"/>
        <v>-100</v>
      </c>
      <c r="AU20" s="1356">
        <f>AQ20</f>
        <v>16916.22</v>
      </c>
      <c r="AV20" s="1303"/>
      <c r="AW20" s="1303">
        <f t="shared" si="52"/>
        <v>-16916.22</v>
      </c>
      <c r="AX20" s="1288">
        <f t="shared" si="37"/>
        <v>-100</v>
      </c>
      <c r="AY20" s="1193">
        <f t="shared" si="24"/>
        <v>154994.64000000001</v>
      </c>
      <c r="AZ20" s="1189">
        <f t="shared" si="53"/>
        <v>0</v>
      </c>
      <c r="BB20" s="550"/>
    </row>
    <row r="21" spans="1:55" s="119" customFormat="1" ht="18" customHeight="1" x14ac:dyDescent="0.25">
      <c r="A21" s="127">
        <v>53327</v>
      </c>
      <c r="B21" s="332" t="s">
        <v>131</v>
      </c>
      <c r="C21" s="1280">
        <v>0</v>
      </c>
      <c r="D21" s="1304"/>
      <c r="E21" s="1305">
        <f t="shared" si="26"/>
        <v>0</v>
      </c>
      <c r="F21" s="1289">
        <v>0</v>
      </c>
      <c r="G21" s="1346">
        <v>0</v>
      </c>
      <c r="H21" s="1304"/>
      <c r="I21" s="1305">
        <f t="shared" si="39"/>
        <v>0</v>
      </c>
      <c r="J21" s="1368">
        <v>0</v>
      </c>
      <c r="K21" s="1357">
        <f t="shared" si="40"/>
        <v>0</v>
      </c>
      <c r="L21" s="1304"/>
      <c r="M21" s="1305">
        <f t="shared" si="41"/>
        <v>0</v>
      </c>
      <c r="N21" s="1368">
        <v>0</v>
      </c>
      <c r="O21" s="1357">
        <f t="shared" si="42"/>
        <v>0</v>
      </c>
      <c r="P21" s="1304"/>
      <c r="Q21" s="1305">
        <f t="shared" si="43"/>
        <v>0</v>
      </c>
      <c r="R21" s="1368">
        <v>0</v>
      </c>
      <c r="S21" s="1357">
        <v>200000</v>
      </c>
      <c r="T21" s="1304"/>
      <c r="U21" s="1305">
        <f t="shared" si="44"/>
        <v>-200000</v>
      </c>
      <c r="V21" s="1368">
        <v>0</v>
      </c>
      <c r="W21" s="1357">
        <f t="shared" ref="W21:W29" si="54">O21</f>
        <v>0</v>
      </c>
      <c r="X21" s="1304"/>
      <c r="Y21" s="1305">
        <f t="shared" si="45"/>
        <v>0</v>
      </c>
      <c r="Z21" s="1368">
        <v>0</v>
      </c>
      <c r="AA21" s="1357">
        <v>0</v>
      </c>
      <c r="AB21" s="1304"/>
      <c r="AC21" s="1305">
        <f t="shared" si="46"/>
        <v>0</v>
      </c>
      <c r="AD21" s="1368">
        <v>0</v>
      </c>
      <c r="AE21" s="1357">
        <f t="shared" ref="AE21:AE29" si="55">W21</f>
        <v>0</v>
      </c>
      <c r="AF21" s="1304"/>
      <c r="AG21" s="1305">
        <f t="shared" si="47"/>
        <v>0</v>
      </c>
      <c r="AH21" s="1368">
        <v>0</v>
      </c>
      <c r="AI21" s="1370">
        <f t="shared" ref="AI21:AI32" si="56">AA21</f>
        <v>0</v>
      </c>
      <c r="AJ21" s="1304"/>
      <c r="AK21" s="1305">
        <f t="shared" si="48"/>
        <v>0</v>
      </c>
      <c r="AL21" s="1368">
        <v>0</v>
      </c>
      <c r="AM21" s="1370">
        <f t="shared" ref="AM21:AM29" si="57">AE21</f>
        <v>0</v>
      </c>
      <c r="AN21" s="1304"/>
      <c r="AO21" s="1305">
        <f t="shared" si="49"/>
        <v>0</v>
      </c>
      <c r="AP21" s="1368">
        <v>0</v>
      </c>
      <c r="AQ21" s="1357">
        <v>200000</v>
      </c>
      <c r="AR21" s="1304"/>
      <c r="AS21" s="1305">
        <f t="shared" si="50"/>
        <v>-200000</v>
      </c>
      <c r="AT21" s="1368">
        <v>0</v>
      </c>
      <c r="AU21" s="1357">
        <f t="shared" si="51"/>
        <v>0</v>
      </c>
      <c r="AV21" s="1304"/>
      <c r="AW21" s="1305">
        <f t="shared" si="52"/>
        <v>0</v>
      </c>
      <c r="AX21" s="1289">
        <v>0</v>
      </c>
      <c r="AY21" s="1198">
        <f t="shared" si="24"/>
        <v>400000</v>
      </c>
      <c r="AZ21" s="1189">
        <f t="shared" si="53"/>
        <v>0</v>
      </c>
      <c r="BB21" s="12"/>
    </row>
    <row r="22" spans="1:55" s="119" customFormat="1" ht="18" customHeight="1" x14ac:dyDescent="0.25">
      <c r="A22" s="127">
        <v>5180</v>
      </c>
      <c r="B22" s="989" t="s">
        <v>18</v>
      </c>
      <c r="C22" s="1279">
        <v>20000</v>
      </c>
      <c r="D22" s="1303"/>
      <c r="E22" s="1303">
        <f t="shared" si="26"/>
        <v>-20000</v>
      </c>
      <c r="F22" s="1288">
        <f t="shared" si="38"/>
        <v>-100</v>
      </c>
      <c r="G22" s="1279">
        <f>$C$22</f>
        <v>20000</v>
      </c>
      <c r="H22" s="1303"/>
      <c r="I22" s="1303">
        <f t="shared" si="39"/>
        <v>-20000</v>
      </c>
      <c r="J22" s="1367">
        <f t="shared" ref="J22:J29" si="58">((H22/G22)-1)*100</f>
        <v>-100</v>
      </c>
      <c r="K22" s="1356">
        <f t="shared" si="40"/>
        <v>20000</v>
      </c>
      <c r="L22" s="1303"/>
      <c r="M22" s="1303">
        <f t="shared" si="41"/>
        <v>-20000</v>
      </c>
      <c r="N22" s="1367">
        <f t="shared" ref="N22:N32" si="59">((L22/K22)-1)*100</f>
        <v>-100</v>
      </c>
      <c r="O22" s="1356">
        <f t="shared" si="42"/>
        <v>20000</v>
      </c>
      <c r="P22" s="1303"/>
      <c r="Q22" s="1303">
        <f t="shared" si="43"/>
        <v>-20000</v>
      </c>
      <c r="R22" s="1367">
        <f t="shared" ref="R22:R29" si="60">((P22/O22)-1)*100</f>
        <v>-100</v>
      </c>
      <c r="S22" s="1356">
        <f t="shared" ref="S22:S32" si="61">K22</f>
        <v>20000</v>
      </c>
      <c r="T22" s="1303"/>
      <c r="U22" s="1303">
        <f t="shared" si="44"/>
        <v>-20000</v>
      </c>
      <c r="V22" s="1367">
        <f t="shared" ref="V22:V29" si="62">((T22/S22)-1)*100</f>
        <v>-100</v>
      </c>
      <c r="W22" s="1356">
        <f t="shared" si="54"/>
        <v>20000</v>
      </c>
      <c r="X22" s="1303"/>
      <c r="Y22" s="1303">
        <f t="shared" si="45"/>
        <v>-20000</v>
      </c>
      <c r="Z22" s="1367">
        <f t="shared" ref="Z22:Z29" si="63">((X22/W22)-1)*100</f>
        <v>-100</v>
      </c>
      <c r="AA22" s="1356">
        <f t="shared" ref="AA22:AA32" si="64">S22</f>
        <v>20000</v>
      </c>
      <c r="AB22" s="1303"/>
      <c r="AC22" s="1303">
        <f t="shared" si="46"/>
        <v>-20000</v>
      </c>
      <c r="AD22" s="1367">
        <f t="shared" ref="AD22:AD29" si="65">((AB22/AA22)-1)*100</f>
        <v>-100</v>
      </c>
      <c r="AE22" s="1356">
        <f t="shared" si="55"/>
        <v>20000</v>
      </c>
      <c r="AF22" s="1303"/>
      <c r="AG22" s="1303">
        <f t="shared" si="47"/>
        <v>-20000</v>
      </c>
      <c r="AH22" s="1367">
        <f t="shared" ref="AH22:AH29" si="66">((AF22/AE22)-1)*100</f>
        <v>-100</v>
      </c>
      <c r="AI22" s="1356">
        <f t="shared" si="56"/>
        <v>20000</v>
      </c>
      <c r="AJ22" s="1303"/>
      <c r="AK22" s="1303">
        <f t="shared" si="48"/>
        <v>-20000</v>
      </c>
      <c r="AL22" s="1367">
        <f t="shared" ref="AL22:AL29" si="67">((AJ22/AI22)-1)*100</f>
        <v>-100</v>
      </c>
      <c r="AM22" s="1356">
        <f t="shared" si="57"/>
        <v>20000</v>
      </c>
      <c r="AN22" s="1303"/>
      <c r="AO22" s="1303">
        <f t="shared" si="49"/>
        <v>-20000</v>
      </c>
      <c r="AP22" s="1367">
        <f t="shared" ref="AP22:AP29" si="68">((AN22/AM22)-1)*100</f>
        <v>-100</v>
      </c>
      <c r="AQ22" s="1356">
        <f t="shared" ref="AQ22:AQ32" si="69">AI22</f>
        <v>20000</v>
      </c>
      <c r="AR22" s="1303"/>
      <c r="AS22" s="1303">
        <f t="shared" si="50"/>
        <v>-20000</v>
      </c>
      <c r="AT22" s="1367">
        <f t="shared" ref="AT22:AT29" si="70">((AR22/AQ22)-1)*100</f>
        <v>-100</v>
      </c>
      <c r="AU22" s="1356">
        <f t="shared" si="51"/>
        <v>20000</v>
      </c>
      <c r="AV22" s="1303"/>
      <c r="AW22" s="1303">
        <f t="shared" si="52"/>
        <v>-20000</v>
      </c>
      <c r="AX22" s="1288">
        <f t="shared" ref="AX22:AX29" si="71">((AV22/AU22)-1)*100</f>
        <v>-100</v>
      </c>
      <c r="AY22" s="1193">
        <f t="shared" si="24"/>
        <v>240000</v>
      </c>
      <c r="AZ22" s="1189">
        <f t="shared" si="53"/>
        <v>0</v>
      </c>
      <c r="BB22" s="550"/>
    </row>
    <row r="23" spans="1:55" s="119" customFormat="1" ht="18" customHeight="1" x14ac:dyDescent="0.25">
      <c r="A23" s="127">
        <v>5193</v>
      </c>
      <c r="B23" s="989" t="s">
        <v>128</v>
      </c>
      <c r="C23" s="1279">
        <v>10000</v>
      </c>
      <c r="D23" s="1303"/>
      <c r="E23" s="1303">
        <f t="shared" si="26"/>
        <v>-10000</v>
      </c>
      <c r="F23" s="1288">
        <f t="shared" si="38"/>
        <v>-100</v>
      </c>
      <c r="G23" s="1279">
        <f>$C$23</f>
        <v>10000</v>
      </c>
      <c r="H23" s="1303"/>
      <c r="I23" s="1303">
        <f t="shared" si="39"/>
        <v>-10000</v>
      </c>
      <c r="J23" s="1367">
        <f t="shared" si="58"/>
        <v>-100</v>
      </c>
      <c r="K23" s="1356">
        <f t="shared" si="40"/>
        <v>10000</v>
      </c>
      <c r="L23" s="1303"/>
      <c r="M23" s="1303">
        <f t="shared" si="41"/>
        <v>-10000</v>
      </c>
      <c r="N23" s="1367">
        <f t="shared" si="59"/>
        <v>-100</v>
      </c>
      <c r="O23" s="1356">
        <f t="shared" si="42"/>
        <v>10000</v>
      </c>
      <c r="P23" s="1303"/>
      <c r="Q23" s="1303">
        <f t="shared" si="43"/>
        <v>-10000</v>
      </c>
      <c r="R23" s="1367">
        <f t="shared" si="60"/>
        <v>-100</v>
      </c>
      <c r="S23" s="1356">
        <f t="shared" si="61"/>
        <v>10000</v>
      </c>
      <c r="T23" s="1303"/>
      <c r="U23" s="1303">
        <f t="shared" si="44"/>
        <v>-10000</v>
      </c>
      <c r="V23" s="1367">
        <f t="shared" si="62"/>
        <v>-100</v>
      </c>
      <c r="W23" s="1356">
        <f t="shared" si="54"/>
        <v>10000</v>
      </c>
      <c r="X23" s="1303"/>
      <c r="Y23" s="1303">
        <f t="shared" si="45"/>
        <v>-10000</v>
      </c>
      <c r="Z23" s="1367">
        <f t="shared" si="63"/>
        <v>-100</v>
      </c>
      <c r="AA23" s="1356">
        <f t="shared" si="64"/>
        <v>10000</v>
      </c>
      <c r="AB23" s="1303"/>
      <c r="AC23" s="1303">
        <f t="shared" si="46"/>
        <v>-10000</v>
      </c>
      <c r="AD23" s="1367">
        <f t="shared" si="65"/>
        <v>-100</v>
      </c>
      <c r="AE23" s="1356">
        <f t="shared" si="55"/>
        <v>10000</v>
      </c>
      <c r="AF23" s="1303"/>
      <c r="AG23" s="1303">
        <f t="shared" si="47"/>
        <v>-10000</v>
      </c>
      <c r="AH23" s="1367">
        <f t="shared" si="66"/>
        <v>-100</v>
      </c>
      <c r="AI23" s="1356">
        <f t="shared" si="56"/>
        <v>10000</v>
      </c>
      <c r="AJ23" s="1303"/>
      <c r="AK23" s="1303">
        <f t="shared" si="48"/>
        <v>-10000</v>
      </c>
      <c r="AL23" s="1367">
        <f t="shared" si="67"/>
        <v>-100</v>
      </c>
      <c r="AM23" s="1356">
        <f t="shared" si="57"/>
        <v>10000</v>
      </c>
      <c r="AN23" s="1303"/>
      <c r="AO23" s="1303">
        <f t="shared" si="49"/>
        <v>-10000</v>
      </c>
      <c r="AP23" s="1367">
        <f t="shared" si="68"/>
        <v>-100</v>
      </c>
      <c r="AQ23" s="1356">
        <f t="shared" si="69"/>
        <v>10000</v>
      </c>
      <c r="AR23" s="1303"/>
      <c r="AS23" s="1303">
        <f t="shared" si="50"/>
        <v>-10000</v>
      </c>
      <c r="AT23" s="1367">
        <f t="shared" si="70"/>
        <v>-100</v>
      </c>
      <c r="AU23" s="1356">
        <f t="shared" si="51"/>
        <v>10000</v>
      </c>
      <c r="AV23" s="1303"/>
      <c r="AW23" s="1303">
        <f t="shared" si="52"/>
        <v>-10000</v>
      </c>
      <c r="AX23" s="1288">
        <f t="shared" si="71"/>
        <v>-100</v>
      </c>
      <c r="AY23" s="1193">
        <f t="shared" si="24"/>
        <v>120000</v>
      </c>
      <c r="AZ23" s="1189">
        <f t="shared" si="53"/>
        <v>0</v>
      </c>
      <c r="BB23" s="550"/>
    </row>
    <row r="24" spans="1:55" s="119" customFormat="1" ht="18" customHeight="1" x14ac:dyDescent="0.25">
      <c r="A24" s="127">
        <v>5194</v>
      </c>
      <c r="B24" s="382" t="s">
        <v>20</v>
      </c>
      <c r="C24" s="1279">
        <v>1000</v>
      </c>
      <c r="D24" s="1303"/>
      <c r="E24" s="1303">
        <f t="shared" si="26"/>
        <v>-1000</v>
      </c>
      <c r="F24" s="1288">
        <f t="shared" si="38"/>
        <v>-100</v>
      </c>
      <c r="G24" s="1279">
        <f>$C$24</f>
        <v>1000</v>
      </c>
      <c r="H24" s="1303"/>
      <c r="I24" s="1303">
        <f t="shared" si="39"/>
        <v>-1000</v>
      </c>
      <c r="J24" s="1367">
        <f t="shared" si="58"/>
        <v>-100</v>
      </c>
      <c r="K24" s="1356">
        <f t="shared" si="40"/>
        <v>1000</v>
      </c>
      <c r="L24" s="1303"/>
      <c r="M24" s="1303">
        <f t="shared" si="41"/>
        <v>-1000</v>
      </c>
      <c r="N24" s="1367">
        <f t="shared" si="59"/>
        <v>-100</v>
      </c>
      <c r="O24" s="1356">
        <f t="shared" si="42"/>
        <v>1000</v>
      </c>
      <c r="P24" s="1303"/>
      <c r="Q24" s="1303">
        <f t="shared" si="43"/>
        <v>-1000</v>
      </c>
      <c r="R24" s="1367">
        <f t="shared" si="60"/>
        <v>-100</v>
      </c>
      <c r="S24" s="1356">
        <f t="shared" si="61"/>
        <v>1000</v>
      </c>
      <c r="T24" s="1303"/>
      <c r="U24" s="1303">
        <f t="shared" si="44"/>
        <v>-1000</v>
      </c>
      <c r="V24" s="1367">
        <f t="shared" si="62"/>
        <v>-100</v>
      </c>
      <c r="W24" s="1356">
        <f t="shared" si="54"/>
        <v>1000</v>
      </c>
      <c r="X24" s="1303"/>
      <c r="Y24" s="1303">
        <f t="shared" si="45"/>
        <v>-1000</v>
      </c>
      <c r="Z24" s="1367">
        <f t="shared" si="63"/>
        <v>-100</v>
      </c>
      <c r="AA24" s="1356">
        <f t="shared" si="64"/>
        <v>1000</v>
      </c>
      <c r="AB24" s="1303"/>
      <c r="AC24" s="1303">
        <f t="shared" si="46"/>
        <v>-1000</v>
      </c>
      <c r="AD24" s="1367">
        <f t="shared" si="65"/>
        <v>-100</v>
      </c>
      <c r="AE24" s="1356">
        <f t="shared" si="55"/>
        <v>1000</v>
      </c>
      <c r="AF24" s="1303"/>
      <c r="AG24" s="1303">
        <f t="shared" si="47"/>
        <v>-1000</v>
      </c>
      <c r="AH24" s="1367">
        <f t="shared" si="66"/>
        <v>-100</v>
      </c>
      <c r="AI24" s="1356">
        <f t="shared" si="56"/>
        <v>1000</v>
      </c>
      <c r="AJ24" s="1303"/>
      <c r="AK24" s="1303">
        <f t="shared" si="48"/>
        <v>-1000</v>
      </c>
      <c r="AL24" s="1367">
        <f t="shared" si="67"/>
        <v>-100</v>
      </c>
      <c r="AM24" s="1356">
        <f t="shared" si="57"/>
        <v>1000</v>
      </c>
      <c r="AN24" s="1303"/>
      <c r="AO24" s="1303">
        <f t="shared" si="49"/>
        <v>-1000</v>
      </c>
      <c r="AP24" s="1367">
        <f t="shared" si="68"/>
        <v>-100</v>
      </c>
      <c r="AQ24" s="1356">
        <f t="shared" si="69"/>
        <v>1000</v>
      </c>
      <c r="AR24" s="1303"/>
      <c r="AS24" s="1303">
        <f t="shared" si="50"/>
        <v>-1000</v>
      </c>
      <c r="AT24" s="1367">
        <f t="shared" si="70"/>
        <v>-100</v>
      </c>
      <c r="AU24" s="1356">
        <f t="shared" si="51"/>
        <v>1000</v>
      </c>
      <c r="AV24" s="1303"/>
      <c r="AW24" s="1303">
        <f t="shared" si="52"/>
        <v>-1000</v>
      </c>
      <c r="AX24" s="1288">
        <f t="shared" si="71"/>
        <v>-100</v>
      </c>
      <c r="AY24" s="1193">
        <f t="shared" si="24"/>
        <v>12000</v>
      </c>
      <c r="AZ24" s="1189">
        <f t="shared" si="53"/>
        <v>0</v>
      </c>
      <c r="BB24" s="550"/>
    </row>
    <row r="25" spans="1:55" s="119" customFormat="1" ht="18" customHeight="1" x14ac:dyDescent="0.25">
      <c r="A25" s="127">
        <v>27379</v>
      </c>
      <c r="B25" s="332" t="s">
        <v>3776</v>
      </c>
      <c r="C25" s="1275">
        <v>8500</v>
      </c>
      <c r="D25" s="1295"/>
      <c r="E25" s="1296">
        <f t="shared" si="26"/>
        <v>-8500</v>
      </c>
      <c r="F25" s="1284">
        <f t="shared" si="38"/>
        <v>-100</v>
      </c>
      <c r="G25" s="1275">
        <f>$C$25</f>
        <v>8500</v>
      </c>
      <c r="H25" s="1295"/>
      <c r="I25" s="1296">
        <f t="shared" si="39"/>
        <v>-8500</v>
      </c>
      <c r="J25" s="1360">
        <f t="shared" si="58"/>
        <v>-100</v>
      </c>
      <c r="K25" s="1349">
        <f t="shared" si="40"/>
        <v>8500</v>
      </c>
      <c r="L25" s="1295"/>
      <c r="M25" s="1296">
        <f t="shared" si="41"/>
        <v>-8500</v>
      </c>
      <c r="N25" s="1360">
        <f t="shared" si="59"/>
        <v>-100</v>
      </c>
      <c r="O25" s="1349">
        <f t="shared" si="42"/>
        <v>8500</v>
      </c>
      <c r="P25" s="1295"/>
      <c r="Q25" s="1296">
        <f t="shared" si="43"/>
        <v>-8500</v>
      </c>
      <c r="R25" s="1360">
        <f t="shared" si="60"/>
        <v>-100</v>
      </c>
      <c r="S25" s="1349">
        <f t="shared" si="61"/>
        <v>8500</v>
      </c>
      <c r="T25" s="1295"/>
      <c r="U25" s="1296">
        <f t="shared" si="44"/>
        <v>-8500</v>
      </c>
      <c r="V25" s="1360">
        <f t="shared" si="62"/>
        <v>-100</v>
      </c>
      <c r="W25" s="1349">
        <f t="shared" si="54"/>
        <v>8500</v>
      </c>
      <c r="X25" s="1295"/>
      <c r="Y25" s="1296">
        <f t="shared" si="45"/>
        <v>-8500</v>
      </c>
      <c r="Z25" s="1360">
        <f t="shared" si="63"/>
        <v>-100</v>
      </c>
      <c r="AA25" s="1349">
        <f t="shared" si="64"/>
        <v>8500</v>
      </c>
      <c r="AB25" s="1295"/>
      <c r="AC25" s="1296">
        <f t="shared" si="46"/>
        <v>-8500</v>
      </c>
      <c r="AD25" s="1360">
        <f t="shared" si="65"/>
        <v>-100</v>
      </c>
      <c r="AE25" s="1349">
        <f t="shared" si="55"/>
        <v>8500</v>
      </c>
      <c r="AF25" s="1295"/>
      <c r="AG25" s="1296">
        <f t="shared" si="47"/>
        <v>-8500</v>
      </c>
      <c r="AH25" s="1360">
        <f t="shared" si="66"/>
        <v>-100</v>
      </c>
      <c r="AI25" s="1349">
        <f t="shared" si="56"/>
        <v>8500</v>
      </c>
      <c r="AJ25" s="1295"/>
      <c r="AK25" s="1296">
        <f t="shared" si="48"/>
        <v>-8500</v>
      </c>
      <c r="AL25" s="1360">
        <f t="shared" si="67"/>
        <v>-100</v>
      </c>
      <c r="AM25" s="1349">
        <f t="shared" si="57"/>
        <v>8500</v>
      </c>
      <c r="AN25" s="1295"/>
      <c r="AO25" s="1296">
        <f t="shared" si="49"/>
        <v>-8500</v>
      </c>
      <c r="AP25" s="1360">
        <f t="shared" si="68"/>
        <v>-100</v>
      </c>
      <c r="AQ25" s="1349">
        <f t="shared" si="69"/>
        <v>8500</v>
      </c>
      <c r="AR25" s="1295"/>
      <c r="AS25" s="1296">
        <f t="shared" si="50"/>
        <v>-8500</v>
      </c>
      <c r="AT25" s="1360">
        <f t="shared" si="70"/>
        <v>-100</v>
      </c>
      <c r="AU25" s="1349">
        <f t="shared" si="51"/>
        <v>8500</v>
      </c>
      <c r="AV25" s="1295"/>
      <c r="AW25" s="1296">
        <f t="shared" si="52"/>
        <v>-8500</v>
      </c>
      <c r="AX25" s="1284">
        <f t="shared" si="71"/>
        <v>-100</v>
      </c>
      <c r="AY25" s="1198">
        <f t="shared" si="24"/>
        <v>102000</v>
      </c>
      <c r="AZ25" s="1189">
        <f t="shared" si="53"/>
        <v>0</v>
      </c>
      <c r="BB25" s="12"/>
    </row>
    <row r="26" spans="1:55" s="119" customFormat="1" ht="18" customHeight="1" x14ac:dyDescent="0.25">
      <c r="A26" s="150" t="s">
        <v>142</v>
      </c>
      <c r="B26" s="382" t="s">
        <v>15</v>
      </c>
      <c r="C26" s="1279">
        <v>75000</v>
      </c>
      <c r="D26" s="1303"/>
      <c r="E26" s="1303">
        <f t="shared" si="26"/>
        <v>-75000</v>
      </c>
      <c r="F26" s="1288">
        <f t="shared" si="38"/>
        <v>-100</v>
      </c>
      <c r="G26" s="1279">
        <f>$C$26</f>
        <v>75000</v>
      </c>
      <c r="H26" s="1303"/>
      <c r="I26" s="1303">
        <f t="shared" si="39"/>
        <v>-75000</v>
      </c>
      <c r="J26" s="1367">
        <f t="shared" si="58"/>
        <v>-100</v>
      </c>
      <c r="K26" s="1356">
        <f t="shared" si="40"/>
        <v>75000</v>
      </c>
      <c r="L26" s="1303"/>
      <c r="M26" s="1303">
        <f t="shared" si="41"/>
        <v>-75000</v>
      </c>
      <c r="N26" s="1367">
        <f t="shared" si="59"/>
        <v>-100</v>
      </c>
      <c r="O26" s="1356">
        <f t="shared" si="42"/>
        <v>75000</v>
      </c>
      <c r="P26" s="1303"/>
      <c r="Q26" s="1303">
        <f t="shared" si="43"/>
        <v>-75000</v>
      </c>
      <c r="R26" s="1367">
        <f t="shared" si="60"/>
        <v>-100</v>
      </c>
      <c r="S26" s="1356">
        <f t="shared" si="61"/>
        <v>75000</v>
      </c>
      <c r="T26" s="1303"/>
      <c r="U26" s="1303">
        <f t="shared" si="44"/>
        <v>-75000</v>
      </c>
      <c r="V26" s="1367">
        <f t="shared" si="62"/>
        <v>-100</v>
      </c>
      <c r="W26" s="1356">
        <f t="shared" si="54"/>
        <v>75000</v>
      </c>
      <c r="X26" s="1303"/>
      <c r="Y26" s="1303">
        <f t="shared" si="45"/>
        <v>-75000</v>
      </c>
      <c r="Z26" s="1367">
        <f t="shared" si="63"/>
        <v>-100</v>
      </c>
      <c r="AA26" s="1356">
        <f t="shared" si="64"/>
        <v>75000</v>
      </c>
      <c r="AB26" s="1303"/>
      <c r="AC26" s="1303">
        <f t="shared" si="46"/>
        <v>-75000</v>
      </c>
      <c r="AD26" s="1367">
        <f t="shared" si="65"/>
        <v>-100</v>
      </c>
      <c r="AE26" s="1356">
        <f t="shared" si="55"/>
        <v>75000</v>
      </c>
      <c r="AF26" s="1303"/>
      <c r="AG26" s="1303">
        <f t="shared" si="47"/>
        <v>-75000</v>
      </c>
      <c r="AH26" s="1367">
        <f t="shared" si="66"/>
        <v>-100</v>
      </c>
      <c r="AI26" s="1356">
        <f t="shared" si="56"/>
        <v>75000</v>
      </c>
      <c r="AJ26" s="1303"/>
      <c r="AK26" s="1303">
        <f t="shared" si="48"/>
        <v>-75000</v>
      </c>
      <c r="AL26" s="1367">
        <f t="shared" si="67"/>
        <v>-100</v>
      </c>
      <c r="AM26" s="1356">
        <f t="shared" si="57"/>
        <v>75000</v>
      </c>
      <c r="AN26" s="1303"/>
      <c r="AO26" s="1303">
        <f t="shared" si="49"/>
        <v>-75000</v>
      </c>
      <c r="AP26" s="1367">
        <f t="shared" si="68"/>
        <v>-100</v>
      </c>
      <c r="AQ26" s="1356">
        <f t="shared" si="69"/>
        <v>75000</v>
      </c>
      <c r="AR26" s="1303"/>
      <c r="AS26" s="1303">
        <f t="shared" si="50"/>
        <v>-75000</v>
      </c>
      <c r="AT26" s="1367">
        <f t="shared" si="70"/>
        <v>-100</v>
      </c>
      <c r="AU26" s="1356">
        <f t="shared" si="51"/>
        <v>75000</v>
      </c>
      <c r="AV26" s="1303"/>
      <c r="AW26" s="1303">
        <f t="shared" si="52"/>
        <v>-75000</v>
      </c>
      <c r="AX26" s="1288">
        <f t="shared" si="71"/>
        <v>-100</v>
      </c>
      <c r="AY26" s="1193">
        <f t="shared" si="24"/>
        <v>900000</v>
      </c>
      <c r="AZ26" s="1189">
        <f t="shared" si="53"/>
        <v>0</v>
      </c>
      <c r="BB26" s="550"/>
    </row>
    <row r="27" spans="1:55" s="119" customFormat="1" ht="18" customHeight="1" x14ac:dyDescent="0.25">
      <c r="A27" s="127">
        <v>5001</v>
      </c>
      <c r="B27" s="1424" t="s">
        <v>12</v>
      </c>
      <c r="C27" s="1279">
        <v>130000</v>
      </c>
      <c r="D27" s="1303"/>
      <c r="E27" s="1303">
        <f t="shared" si="26"/>
        <v>-130000</v>
      </c>
      <c r="F27" s="1288">
        <f t="shared" si="38"/>
        <v>-100</v>
      </c>
      <c r="G27" s="1279">
        <f>$C$27</f>
        <v>130000</v>
      </c>
      <c r="H27" s="1303"/>
      <c r="I27" s="1303">
        <f t="shared" si="39"/>
        <v>-130000</v>
      </c>
      <c r="J27" s="1367">
        <f t="shared" si="58"/>
        <v>-100</v>
      </c>
      <c r="K27" s="1356">
        <f t="shared" si="40"/>
        <v>130000</v>
      </c>
      <c r="L27" s="1303"/>
      <c r="M27" s="1303">
        <f t="shared" si="41"/>
        <v>-130000</v>
      </c>
      <c r="N27" s="1367">
        <f t="shared" si="59"/>
        <v>-100</v>
      </c>
      <c r="O27" s="1356">
        <f t="shared" si="42"/>
        <v>130000</v>
      </c>
      <c r="P27" s="1303"/>
      <c r="Q27" s="1303">
        <f t="shared" si="43"/>
        <v>-130000</v>
      </c>
      <c r="R27" s="1367">
        <f t="shared" si="60"/>
        <v>-100</v>
      </c>
      <c r="S27" s="1356">
        <f t="shared" si="61"/>
        <v>130000</v>
      </c>
      <c r="T27" s="1303"/>
      <c r="U27" s="1303">
        <f t="shared" si="44"/>
        <v>-130000</v>
      </c>
      <c r="V27" s="1367">
        <f t="shared" si="62"/>
        <v>-100</v>
      </c>
      <c r="W27" s="1356">
        <f t="shared" si="54"/>
        <v>130000</v>
      </c>
      <c r="X27" s="1303"/>
      <c r="Y27" s="1303">
        <f t="shared" si="45"/>
        <v>-130000</v>
      </c>
      <c r="Z27" s="1367">
        <f t="shared" si="63"/>
        <v>-100</v>
      </c>
      <c r="AA27" s="1356">
        <f t="shared" si="64"/>
        <v>130000</v>
      </c>
      <c r="AB27" s="1303"/>
      <c r="AC27" s="1303">
        <f t="shared" si="46"/>
        <v>-130000</v>
      </c>
      <c r="AD27" s="1367">
        <f t="shared" si="65"/>
        <v>-100</v>
      </c>
      <c r="AE27" s="1356">
        <f t="shared" si="55"/>
        <v>130000</v>
      </c>
      <c r="AF27" s="1303"/>
      <c r="AG27" s="1303">
        <f t="shared" si="47"/>
        <v>-130000</v>
      </c>
      <c r="AH27" s="1367">
        <f t="shared" si="66"/>
        <v>-100</v>
      </c>
      <c r="AI27" s="1356">
        <f t="shared" si="56"/>
        <v>130000</v>
      </c>
      <c r="AJ27" s="1303"/>
      <c r="AK27" s="1303">
        <f t="shared" si="48"/>
        <v>-130000</v>
      </c>
      <c r="AL27" s="1367">
        <f t="shared" si="67"/>
        <v>-100</v>
      </c>
      <c r="AM27" s="1356">
        <f t="shared" si="57"/>
        <v>130000</v>
      </c>
      <c r="AN27" s="1303"/>
      <c r="AO27" s="1303">
        <f t="shared" si="49"/>
        <v>-130000</v>
      </c>
      <c r="AP27" s="1367">
        <f t="shared" si="68"/>
        <v>-100</v>
      </c>
      <c r="AQ27" s="1356">
        <f t="shared" si="69"/>
        <v>130000</v>
      </c>
      <c r="AR27" s="1303"/>
      <c r="AS27" s="1303">
        <f t="shared" si="50"/>
        <v>-130000</v>
      </c>
      <c r="AT27" s="1367">
        <f t="shared" si="70"/>
        <v>-100</v>
      </c>
      <c r="AU27" s="1356">
        <f t="shared" si="51"/>
        <v>130000</v>
      </c>
      <c r="AV27" s="1303"/>
      <c r="AW27" s="1303">
        <f t="shared" si="52"/>
        <v>-130000</v>
      </c>
      <c r="AX27" s="1288">
        <f t="shared" si="71"/>
        <v>-100</v>
      </c>
      <c r="AY27" s="1193">
        <f t="shared" si="24"/>
        <v>1560000</v>
      </c>
      <c r="AZ27" s="1189">
        <f t="shared" si="53"/>
        <v>0</v>
      </c>
      <c r="BB27" s="550"/>
      <c r="BC27" s="334"/>
    </row>
    <row r="28" spans="1:55" s="119" customFormat="1" ht="18" customHeight="1" x14ac:dyDescent="0.25">
      <c r="A28" s="1422">
        <v>55244</v>
      </c>
      <c r="B28" s="1424" t="s">
        <v>22</v>
      </c>
      <c r="C28" s="1279">
        <v>42000</v>
      </c>
      <c r="D28" s="1303"/>
      <c r="E28" s="1303">
        <f t="shared" si="26"/>
        <v>-42000</v>
      </c>
      <c r="F28" s="1288">
        <f t="shared" si="38"/>
        <v>-100</v>
      </c>
      <c r="G28" s="1279">
        <f>$C$28</f>
        <v>42000</v>
      </c>
      <c r="H28" s="1303"/>
      <c r="I28" s="1303">
        <f t="shared" si="39"/>
        <v>-42000</v>
      </c>
      <c r="J28" s="1367">
        <f t="shared" si="58"/>
        <v>-100</v>
      </c>
      <c r="K28" s="1356">
        <f t="shared" si="40"/>
        <v>42000</v>
      </c>
      <c r="L28" s="1303"/>
      <c r="M28" s="1303">
        <f t="shared" si="41"/>
        <v>-42000</v>
      </c>
      <c r="N28" s="1367">
        <f t="shared" si="59"/>
        <v>-100</v>
      </c>
      <c r="O28" s="1356">
        <f t="shared" si="42"/>
        <v>42000</v>
      </c>
      <c r="P28" s="1303"/>
      <c r="Q28" s="1303">
        <f t="shared" si="43"/>
        <v>-42000</v>
      </c>
      <c r="R28" s="1367">
        <f t="shared" si="60"/>
        <v>-100</v>
      </c>
      <c r="S28" s="1356">
        <f t="shared" si="61"/>
        <v>42000</v>
      </c>
      <c r="T28" s="1303"/>
      <c r="U28" s="1303">
        <f t="shared" si="44"/>
        <v>-42000</v>
      </c>
      <c r="V28" s="1367">
        <f t="shared" si="62"/>
        <v>-100</v>
      </c>
      <c r="W28" s="1356">
        <f t="shared" si="54"/>
        <v>42000</v>
      </c>
      <c r="X28" s="1303"/>
      <c r="Y28" s="1303">
        <f t="shared" si="45"/>
        <v>-42000</v>
      </c>
      <c r="Z28" s="1367">
        <f t="shared" si="63"/>
        <v>-100</v>
      </c>
      <c r="AA28" s="1356">
        <f t="shared" si="64"/>
        <v>42000</v>
      </c>
      <c r="AB28" s="1303"/>
      <c r="AC28" s="1303">
        <f t="shared" si="46"/>
        <v>-42000</v>
      </c>
      <c r="AD28" s="1367">
        <f t="shared" si="65"/>
        <v>-100</v>
      </c>
      <c r="AE28" s="1356">
        <f t="shared" si="55"/>
        <v>42000</v>
      </c>
      <c r="AF28" s="1303"/>
      <c r="AG28" s="1303">
        <f t="shared" si="47"/>
        <v>-42000</v>
      </c>
      <c r="AH28" s="1367">
        <f t="shared" si="66"/>
        <v>-100</v>
      </c>
      <c r="AI28" s="1356">
        <f t="shared" si="56"/>
        <v>42000</v>
      </c>
      <c r="AJ28" s="1303"/>
      <c r="AK28" s="1303">
        <f t="shared" si="48"/>
        <v>-42000</v>
      </c>
      <c r="AL28" s="1367">
        <f t="shared" si="67"/>
        <v>-100</v>
      </c>
      <c r="AM28" s="1356">
        <f t="shared" si="57"/>
        <v>42000</v>
      </c>
      <c r="AN28" s="1303"/>
      <c r="AO28" s="1303">
        <f t="shared" si="49"/>
        <v>-42000</v>
      </c>
      <c r="AP28" s="1367">
        <f t="shared" si="68"/>
        <v>-100</v>
      </c>
      <c r="AQ28" s="1356">
        <f t="shared" si="69"/>
        <v>42000</v>
      </c>
      <c r="AR28" s="1303"/>
      <c r="AS28" s="1303">
        <f t="shared" si="50"/>
        <v>-42000</v>
      </c>
      <c r="AT28" s="1367">
        <f t="shared" si="70"/>
        <v>-100</v>
      </c>
      <c r="AU28" s="1356">
        <f t="shared" si="51"/>
        <v>42000</v>
      </c>
      <c r="AV28" s="1303"/>
      <c r="AW28" s="1303">
        <f t="shared" si="52"/>
        <v>-42000</v>
      </c>
      <c r="AX28" s="1288">
        <f t="shared" si="71"/>
        <v>-100</v>
      </c>
      <c r="AY28" s="1193">
        <f t="shared" si="24"/>
        <v>504000</v>
      </c>
      <c r="AZ28" s="1189">
        <f t="shared" si="53"/>
        <v>0</v>
      </c>
      <c r="BB28" s="12"/>
    </row>
    <row r="29" spans="1:55" s="119" customFormat="1" ht="18" customHeight="1" x14ac:dyDescent="0.25">
      <c r="A29" s="1423">
        <v>5181</v>
      </c>
      <c r="B29" s="1424" t="s">
        <v>19</v>
      </c>
      <c r="C29" s="1279">
        <v>3500</v>
      </c>
      <c r="D29" s="1303"/>
      <c r="E29" s="1303">
        <f t="shared" si="26"/>
        <v>-3500</v>
      </c>
      <c r="F29" s="1288">
        <f>((D29/C29)-1)*100</f>
        <v>-100</v>
      </c>
      <c r="G29" s="1279">
        <f>$C$29</f>
        <v>3500</v>
      </c>
      <c r="H29" s="1303"/>
      <c r="I29" s="1303">
        <f t="shared" si="39"/>
        <v>-3500</v>
      </c>
      <c r="J29" s="1367">
        <f t="shared" si="58"/>
        <v>-100</v>
      </c>
      <c r="K29" s="1356">
        <f t="shared" si="40"/>
        <v>3500</v>
      </c>
      <c r="L29" s="1303"/>
      <c r="M29" s="1303">
        <f t="shared" si="41"/>
        <v>-3500</v>
      </c>
      <c r="N29" s="1367">
        <f t="shared" si="59"/>
        <v>-100</v>
      </c>
      <c r="O29" s="1356">
        <f t="shared" si="42"/>
        <v>3500</v>
      </c>
      <c r="P29" s="1303"/>
      <c r="Q29" s="1303">
        <f t="shared" si="43"/>
        <v>-3500</v>
      </c>
      <c r="R29" s="1367">
        <f t="shared" si="60"/>
        <v>-100</v>
      </c>
      <c r="S29" s="1356">
        <f t="shared" si="61"/>
        <v>3500</v>
      </c>
      <c r="T29" s="1303"/>
      <c r="U29" s="1303">
        <f t="shared" si="44"/>
        <v>-3500</v>
      </c>
      <c r="V29" s="1367">
        <f t="shared" si="62"/>
        <v>-100</v>
      </c>
      <c r="W29" s="1356">
        <f t="shared" si="54"/>
        <v>3500</v>
      </c>
      <c r="X29" s="1303"/>
      <c r="Y29" s="1303">
        <f t="shared" si="45"/>
        <v>-3500</v>
      </c>
      <c r="Z29" s="1367">
        <f t="shared" si="63"/>
        <v>-100</v>
      </c>
      <c r="AA29" s="1356">
        <f t="shared" si="64"/>
        <v>3500</v>
      </c>
      <c r="AB29" s="1303"/>
      <c r="AC29" s="1303">
        <f t="shared" si="46"/>
        <v>-3500</v>
      </c>
      <c r="AD29" s="1367">
        <f t="shared" si="65"/>
        <v>-100</v>
      </c>
      <c r="AE29" s="1356">
        <f t="shared" si="55"/>
        <v>3500</v>
      </c>
      <c r="AF29" s="1303"/>
      <c r="AG29" s="1303">
        <f t="shared" si="47"/>
        <v>-3500</v>
      </c>
      <c r="AH29" s="1367">
        <f t="shared" si="66"/>
        <v>-100</v>
      </c>
      <c r="AI29" s="1356">
        <f t="shared" si="56"/>
        <v>3500</v>
      </c>
      <c r="AJ29" s="1303"/>
      <c r="AK29" s="1303">
        <f t="shared" si="48"/>
        <v>-3500</v>
      </c>
      <c r="AL29" s="1367">
        <f t="shared" si="67"/>
        <v>-100</v>
      </c>
      <c r="AM29" s="1356">
        <f t="shared" si="57"/>
        <v>3500</v>
      </c>
      <c r="AN29" s="1303"/>
      <c r="AO29" s="1303">
        <f t="shared" si="49"/>
        <v>-3500</v>
      </c>
      <c r="AP29" s="1367">
        <f t="shared" si="68"/>
        <v>-100</v>
      </c>
      <c r="AQ29" s="1356">
        <f t="shared" si="69"/>
        <v>3500</v>
      </c>
      <c r="AR29" s="1303"/>
      <c r="AS29" s="1303">
        <f t="shared" si="50"/>
        <v>-3500</v>
      </c>
      <c r="AT29" s="1367">
        <f t="shared" si="70"/>
        <v>-100</v>
      </c>
      <c r="AU29" s="1356">
        <f t="shared" si="51"/>
        <v>3500</v>
      </c>
      <c r="AV29" s="1303"/>
      <c r="AW29" s="1303">
        <f t="shared" si="52"/>
        <v>-3500</v>
      </c>
      <c r="AX29" s="1288">
        <f t="shared" si="71"/>
        <v>-100</v>
      </c>
      <c r="AY29" s="1193">
        <f t="shared" si="24"/>
        <v>42000</v>
      </c>
      <c r="AZ29" s="1189">
        <f t="shared" si="53"/>
        <v>0</v>
      </c>
      <c r="BB29" s="550"/>
    </row>
    <row r="30" spans="1:55" s="119" customFormat="1" ht="18" customHeight="1" x14ac:dyDescent="0.25">
      <c r="A30" s="1430">
        <v>55246</v>
      </c>
      <c r="B30" s="1424" t="s">
        <v>3798</v>
      </c>
      <c r="C30" s="1280"/>
      <c r="D30" s="1504"/>
      <c r="E30" s="1303">
        <f t="shared" si="26"/>
        <v>0</v>
      </c>
      <c r="F30" s="1426"/>
      <c r="G30" s="1279"/>
      <c r="H30" s="1303"/>
      <c r="I30" s="1303"/>
      <c r="J30" s="1367"/>
      <c r="K30" s="1428">
        <f t="shared" si="40"/>
        <v>0</v>
      </c>
      <c r="L30" s="1303"/>
      <c r="M30" s="1303">
        <f t="shared" si="41"/>
        <v>0</v>
      </c>
      <c r="N30" s="1367" t="e">
        <f t="shared" si="59"/>
        <v>#DIV/0!</v>
      </c>
      <c r="O30" s="1428"/>
      <c r="P30" s="1303"/>
      <c r="Q30" s="1303"/>
      <c r="R30" s="1367"/>
      <c r="S30" s="1428">
        <f t="shared" si="61"/>
        <v>0</v>
      </c>
      <c r="T30" s="1303"/>
      <c r="U30" s="1303">
        <f t="shared" si="44"/>
        <v>0</v>
      </c>
      <c r="V30" s="1367"/>
      <c r="W30" s="1428"/>
      <c r="X30" s="1303"/>
      <c r="Y30" s="1303"/>
      <c r="Z30" s="1367"/>
      <c r="AA30" s="1428">
        <f t="shared" si="64"/>
        <v>0</v>
      </c>
      <c r="AB30" s="1303"/>
      <c r="AC30" s="1303">
        <f t="shared" si="46"/>
        <v>0</v>
      </c>
      <c r="AD30" s="1367"/>
      <c r="AE30" s="1428"/>
      <c r="AF30" s="1303"/>
      <c r="AG30" s="1303"/>
      <c r="AH30" s="1367"/>
      <c r="AI30" s="1428">
        <f t="shared" si="56"/>
        <v>0</v>
      </c>
      <c r="AJ30" s="1303"/>
      <c r="AK30" s="1303">
        <f t="shared" si="48"/>
        <v>0</v>
      </c>
      <c r="AL30" s="1367"/>
      <c r="AM30" s="1428"/>
      <c r="AN30" s="1303"/>
      <c r="AO30" s="1303"/>
      <c r="AP30" s="1367"/>
      <c r="AQ30" s="1428">
        <f t="shared" si="69"/>
        <v>0</v>
      </c>
      <c r="AR30" s="1303"/>
      <c r="AS30" s="1303">
        <f t="shared" si="50"/>
        <v>0</v>
      </c>
      <c r="AT30" s="1367"/>
      <c r="AU30" s="1428"/>
      <c r="AV30" s="1303"/>
      <c r="AW30" s="1303"/>
      <c r="AX30" s="1427"/>
      <c r="AY30" s="1425"/>
      <c r="AZ30" s="1189">
        <f t="shared" si="53"/>
        <v>0</v>
      </c>
      <c r="BB30" s="550"/>
    </row>
    <row r="31" spans="1:55" s="119" customFormat="1" ht="18" customHeight="1" x14ac:dyDescent="0.25">
      <c r="A31" s="1422">
        <v>5195</v>
      </c>
      <c r="B31" s="1424" t="s">
        <v>21</v>
      </c>
      <c r="C31" s="1411"/>
      <c r="D31" s="1412"/>
      <c r="E31" s="1303">
        <f t="shared" si="26"/>
        <v>0</v>
      </c>
      <c r="F31" s="1427"/>
      <c r="G31" s="1279"/>
      <c r="H31" s="1303"/>
      <c r="I31" s="1303"/>
      <c r="J31" s="1367"/>
      <c r="K31" s="1428">
        <f t="shared" si="40"/>
        <v>0</v>
      </c>
      <c r="L31" s="1303"/>
      <c r="M31" s="1303">
        <f t="shared" si="41"/>
        <v>0</v>
      </c>
      <c r="N31" s="1367" t="e">
        <f t="shared" si="59"/>
        <v>#DIV/0!</v>
      </c>
      <c r="O31" s="1428"/>
      <c r="P31" s="1303"/>
      <c r="Q31" s="1303"/>
      <c r="R31" s="1367"/>
      <c r="S31" s="1428">
        <f t="shared" si="61"/>
        <v>0</v>
      </c>
      <c r="T31" s="1303"/>
      <c r="U31" s="1303">
        <f t="shared" si="44"/>
        <v>0</v>
      </c>
      <c r="V31" s="1367"/>
      <c r="W31" s="1428"/>
      <c r="X31" s="1303"/>
      <c r="Y31" s="1303"/>
      <c r="Z31" s="1367"/>
      <c r="AA31" s="1428">
        <f t="shared" si="64"/>
        <v>0</v>
      </c>
      <c r="AB31" s="1303"/>
      <c r="AC31" s="1303">
        <f t="shared" si="46"/>
        <v>0</v>
      </c>
      <c r="AD31" s="1367"/>
      <c r="AE31" s="1428"/>
      <c r="AF31" s="1303"/>
      <c r="AG31" s="1303"/>
      <c r="AH31" s="1367"/>
      <c r="AI31" s="1428">
        <f t="shared" si="56"/>
        <v>0</v>
      </c>
      <c r="AJ31" s="1303"/>
      <c r="AK31" s="1303">
        <f t="shared" si="48"/>
        <v>0</v>
      </c>
      <c r="AL31" s="1367"/>
      <c r="AM31" s="1428"/>
      <c r="AN31" s="1303"/>
      <c r="AO31" s="1303"/>
      <c r="AP31" s="1367"/>
      <c r="AQ31" s="1428">
        <f t="shared" si="69"/>
        <v>0</v>
      </c>
      <c r="AR31" s="1303"/>
      <c r="AS31" s="1303">
        <f t="shared" si="50"/>
        <v>0</v>
      </c>
      <c r="AT31" s="1367"/>
      <c r="AU31" s="1428"/>
      <c r="AV31" s="1303"/>
      <c r="AW31" s="1303"/>
      <c r="AX31" s="1427"/>
      <c r="AY31" s="1425"/>
      <c r="AZ31" s="1189">
        <f t="shared" si="53"/>
        <v>0</v>
      </c>
      <c r="BB31" s="550"/>
    </row>
    <row r="32" spans="1:55" s="1421" customFormat="1" ht="18" customHeight="1" x14ac:dyDescent="0.25">
      <c r="A32" s="1418">
        <v>32733</v>
      </c>
      <c r="B32" s="1419" t="s">
        <v>144</v>
      </c>
      <c r="C32" s="1505"/>
      <c r="D32" s="1500"/>
      <c r="E32" s="1303">
        <f t="shared" si="26"/>
        <v>0</v>
      </c>
      <c r="F32" s="1427"/>
      <c r="G32" s="1501"/>
      <c r="H32" s="1303"/>
      <c r="I32" s="1412"/>
      <c r="J32" s="1414"/>
      <c r="K32" s="1501">
        <f t="shared" si="40"/>
        <v>0</v>
      </c>
      <c r="L32" s="1303"/>
      <c r="M32" s="1303">
        <f t="shared" si="41"/>
        <v>0</v>
      </c>
      <c r="N32" s="1414" t="e">
        <f t="shared" si="59"/>
        <v>#DIV/0!</v>
      </c>
      <c r="O32" s="1501"/>
      <c r="P32" s="1412"/>
      <c r="Q32" s="1412"/>
      <c r="R32" s="1414"/>
      <c r="S32" s="1501">
        <f t="shared" si="61"/>
        <v>0</v>
      </c>
      <c r="T32" s="1412"/>
      <c r="U32" s="1412">
        <f t="shared" si="44"/>
        <v>0</v>
      </c>
      <c r="V32" s="1367"/>
      <c r="W32" s="1501"/>
      <c r="X32" s="1412"/>
      <c r="Y32" s="1504"/>
      <c r="Z32" s="1367"/>
      <c r="AA32" s="1415">
        <f t="shared" si="64"/>
        <v>0</v>
      </c>
      <c r="AB32" s="1303"/>
      <c r="AC32" s="1303">
        <f t="shared" si="46"/>
        <v>0</v>
      </c>
      <c r="AD32" s="1414"/>
      <c r="AE32" s="1501"/>
      <c r="AF32" s="1412"/>
      <c r="AG32" s="1412"/>
      <c r="AH32" s="1367"/>
      <c r="AI32" s="1415">
        <f t="shared" si="56"/>
        <v>0</v>
      </c>
      <c r="AJ32" s="1412"/>
      <c r="AK32" s="1303">
        <f t="shared" si="48"/>
        <v>0</v>
      </c>
      <c r="AL32" s="1367"/>
      <c r="AM32" s="1501"/>
      <c r="AN32" s="1503"/>
      <c r="AO32" s="1303"/>
      <c r="AP32" s="1414"/>
      <c r="AQ32" s="1501">
        <f t="shared" si="69"/>
        <v>0</v>
      </c>
      <c r="AR32" s="1303"/>
      <c r="AS32" s="1412">
        <f t="shared" si="50"/>
        <v>0</v>
      </c>
      <c r="AT32" s="1414"/>
      <c r="AU32" s="1501"/>
      <c r="AV32" s="1412"/>
      <c r="AW32" s="1303"/>
      <c r="AX32" s="1367"/>
      <c r="AY32" s="1416"/>
      <c r="AZ32" s="1417">
        <f t="shared" si="53"/>
        <v>0</v>
      </c>
      <c r="BB32" s="550"/>
    </row>
    <row r="33" spans="1:57" s="1421" customFormat="1" ht="18" customHeight="1" x14ac:dyDescent="0.25">
      <c r="A33" s="1506">
        <v>5177</v>
      </c>
      <c r="B33" s="1507" t="s">
        <v>3831</v>
      </c>
      <c r="C33" s="1505"/>
      <c r="D33" s="1303"/>
      <c r="E33" s="1303">
        <f t="shared" si="26"/>
        <v>0</v>
      </c>
      <c r="F33" s="1367"/>
      <c r="G33" s="1501"/>
      <c r="H33" s="1303"/>
      <c r="I33" s="1303"/>
      <c r="J33" s="1367"/>
      <c r="K33" s="1501"/>
      <c r="L33" s="1303"/>
      <c r="M33" s="1303"/>
      <c r="N33" s="1511"/>
      <c r="O33" s="1501"/>
      <c r="P33" s="1303"/>
      <c r="Q33" s="1500"/>
      <c r="R33" s="1511"/>
      <c r="S33" s="1501"/>
      <c r="T33" s="1303"/>
      <c r="U33" s="1500"/>
      <c r="V33" s="1367"/>
      <c r="W33" s="1501"/>
      <c r="X33" s="1303"/>
      <c r="Y33" s="1303"/>
      <c r="Z33" s="1367"/>
      <c r="AA33" s="1501"/>
      <c r="AB33" s="1412"/>
      <c r="AC33" s="1303"/>
      <c r="AD33" s="1367"/>
      <c r="AE33" s="1501"/>
      <c r="AF33" s="1303"/>
      <c r="AG33" s="1500"/>
      <c r="AH33" s="1367"/>
      <c r="AI33" s="1505"/>
      <c r="AJ33" s="1303"/>
      <c r="AK33" s="1412"/>
      <c r="AL33" s="1367"/>
      <c r="AM33" s="1415"/>
      <c r="AN33" s="1500"/>
      <c r="AO33" s="1303"/>
      <c r="AP33" s="1367"/>
      <c r="AQ33" s="1501"/>
      <c r="AR33" s="1303"/>
      <c r="AS33" s="1303"/>
      <c r="AT33" s="1367"/>
      <c r="AU33" s="1501"/>
      <c r="AV33" s="1500"/>
      <c r="AW33" s="1303"/>
      <c r="AX33" s="1367"/>
      <c r="AY33" s="1425"/>
      <c r="AZ33" s="1189">
        <f t="shared" si="53"/>
        <v>0</v>
      </c>
      <c r="BB33" s="550"/>
    </row>
    <row r="34" spans="1:57" s="1421" customFormat="1" ht="18" customHeight="1" x14ac:dyDescent="0.25">
      <c r="A34" s="1513">
        <v>55245</v>
      </c>
      <c r="B34" s="1515" t="s">
        <v>3833</v>
      </c>
      <c r="C34" s="1505"/>
      <c r="D34" s="1412"/>
      <c r="E34" s="1303"/>
      <c r="F34" s="1413"/>
      <c r="G34" s="1411"/>
      <c r="H34" s="1303"/>
      <c r="I34" s="1412"/>
      <c r="J34" s="1367"/>
      <c r="K34" s="1415"/>
      <c r="L34" s="1303"/>
      <c r="M34" s="1412"/>
      <c r="N34" s="1511"/>
      <c r="O34" s="1415"/>
      <c r="P34" s="1303"/>
      <c r="Q34" s="1500"/>
      <c r="R34" s="1511"/>
      <c r="S34" s="1415"/>
      <c r="T34" s="1412"/>
      <c r="U34" s="1500"/>
      <c r="V34" s="1511"/>
      <c r="W34" s="1501"/>
      <c r="X34" s="1303"/>
      <c r="Y34" s="1412"/>
      <c r="Z34" s="1367"/>
      <c r="AA34" s="1501"/>
      <c r="AB34" s="1303"/>
      <c r="AC34" s="1303"/>
      <c r="AD34" s="1414"/>
      <c r="AE34" s="1501"/>
      <c r="AF34" s="1303"/>
      <c r="AG34" s="1500"/>
      <c r="AH34" s="1414"/>
      <c r="AI34" s="1505"/>
      <c r="AJ34" s="1412"/>
      <c r="AK34" s="1303"/>
      <c r="AL34" s="1414"/>
      <c r="AM34" s="1501"/>
      <c r="AN34" s="1500"/>
      <c r="AO34" s="1412"/>
      <c r="AP34" s="1367"/>
      <c r="AQ34" s="1415"/>
      <c r="AR34" s="1412"/>
      <c r="AS34" s="1412"/>
      <c r="AT34" s="1414"/>
      <c r="AU34" s="1415"/>
      <c r="AV34" s="1500"/>
      <c r="AW34" s="1303"/>
      <c r="AX34" s="1413"/>
      <c r="AY34" s="1425"/>
      <c r="AZ34" s="1189">
        <f t="shared" si="53"/>
        <v>0</v>
      </c>
      <c r="BB34" s="550"/>
    </row>
    <row r="35" spans="1:57" s="1421" customFormat="1" ht="18" customHeight="1" thickBot="1" x14ac:dyDescent="0.3">
      <c r="A35" s="1513">
        <v>55291</v>
      </c>
      <c r="B35" s="1515" t="s">
        <v>3832</v>
      </c>
      <c r="C35" s="1420"/>
      <c r="D35" s="1431"/>
      <c r="E35" s="1412"/>
      <c r="F35" s="1502"/>
      <c r="G35" s="1420"/>
      <c r="H35" s="1412"/>
      <c r="I35" s="1431"/>
      <c r="J35" s="1508"/>
      <c r="K35" s="1420"/>
      <c r="L35" s="1412"/>
      <c r="M35" s="1431"/>
      <c r="N35" s="1502"/>
      <c r="O35" s="1420"/>
      <c r="P35" s="1499"/>
      <c r="Q35" s="1431"/>
      <c r="R35" s="1502"/>
      <c r="S35" s="1420"/>
      <c r="T35" s="1431"/>
      <c r="U35" s="1431"/>
      <c r="V35" s="1502"/>
      <c r="W35" s="1415"/>
      <c r="X35" s="1499"/>
      <c r="Y35" s="1431"/>
      <c r="Z35" s="1508"/>
      <c r="AA35" s="1509"/>
      <c r="AB35" s="1431"/>
      <c r="AC35" s="1412"/>
      <c r="AD35" s="1502"/>
      <c r="AE35" s="1415"/>
      <c r="AF35" s="1499"/>
      <c r="AG35" s="1431"/>
      <c r="AH35" s="1502"/>
      <c r="AI35" s="1420"/>
      <c r="AJ35" s="1431"/>
      <c r="AK35" s="1431"/>
      <c r="AL35" s="1502"/>
      <c r="AM35" s="1420"/>
      <c r="AN35" s="1431"/>
      <c r="AO35" s="1431"/>
      <c r="AP35" s="1508"/>
      <c r="AQ35" s="1420"/>
      <c r="AR35" s="1431"/>
      <c r="AS35" s="1431"/>
      <c r="AT35" s="1502"/>
      <c r="AU35" s="1420"/>
      <c r="AV35" s="1431"/>
      <c r="AW35" s="1412"/>
      <c r="AX35" s="1502"/>
      <c r="AY35" s="1221"/>
      <c r="AZ35" s="1510">
        <f t="shared" si="53"/>
        <v>0</v>
      </c>
      <c r="BB35" s="550"/>
    </row>
    <row r="36" spans="1:57" s="119" customFormat="1" ht="17.25" customHeight="1" thickBot="1" x14ac:dyDescent="0.3">
      <c r="A36" s="1514"/>
      <c r="B36" s="1516" t="s">
        <v>3760</v>
      </c>
      <c r="C36" s="203">
        <f>SUM(C37)</f>
        <v>55000</v>
      </c>
      <c r="D36" s="1293">
        <f>SUM(D37)</f>
        <v>0</v>
      </c>
      <c r="E36" s="719">
        <f>D36-C36</f>
        <v>-55000</v>
      </c>
      <c r="F36" s="115">
        <f>((D36/C36)-1)*100</f>
        <v>-100</v>
      </c>
      <c r="G36" s="203">
        <f>SUM(G37)</f>
        <v>55000</v>
      </c>
      <c r="H36" s="1293">
        <f>SUM(H37)</f>
        <v>0</v>
      </c>
      <c r="I36" s="719">
        <f>H36-G36</f>
        <v>-55000</v>
      </c>
      <c r="J36" s="720">
        <f>((H36/G36)-1)*100</f>
        <v>-100</v>
      </c>
      <c r="K36" s="721">
        <f>SUM(K37)</f>
        <v>55000</v>
      </c>
      <c r="L36" s="1293">
        <f>SUM(L37)</f>
        <v>0</v>
      </c>
      <c r="M36" s="719">
        <f>L36-K36</f>
        <v>-55000</v>
      </c>
      <c r="N36" s="720">
        <f>((L36/K36)-1)*100</f>
        <v>-100</v>
      </c>
      <c r="O36" s="721">
        <f>SUM(O37)</f>
        <v>55000</v>
      </c>
      <c r="P36" s="1293">
        <f>SUM(P37)</f>
        <v>0</v>
      </c>
      <c r="Q36" s="719">
        <f>P36-O36</f>
        <v>-55000</v>
      </c>
      <c r="R36" s="720">
        <f>((P36/O36)-1)*100</f>
        <v>-100</v>
      </c>
      <c r="S36" s="721">
        <f>SUM(S37)</f>
        <v>55000</v>
      </c>
      <c r="T36" s="1293">
        <f>SUM(T37)</f>
        <v>0</v>
      </c>
      <c r="U36" s="719">
        <f>T36-S36</f>
        <v>-55000</v>
      </c>
      <c r="V36" s="720">
        <f>((T36/S36)-1)*100</f>
        <v>-100</v>
      </c>
      <c r="W36" s="721">
        <f>SUM(W37)</f>
        <v>55000</v>
      </c>
      <c r="X36" s="1293">
        <f>SUM(X37)</f>
        <v>0</v>
      </c>
      <c r="Y36" s="719">
        <f>X36-W36</f>
        <v>-55000</v>
      </c>
      <c r="Z36" s="720">
        <f>((X36/W36)-1)*100</f>
        <v>-100</v>
      </c>
      <c r="AA36" s="721">
        <f>SUM(AA37)</f>
        <v>55000</v>
      </c>
      <c r="AB36" s="1293">
        <f>SUM(AB37)</f>
        <v>0</v>
      </c>
      <c r="AC36" s="719">
        <f>AB36-AA36</f>
        <v>-55000</v>
      </c>
      <c r="AD36" s="720">
        <f>((AB36/AA36)-1)*100</f>
        <v>-100</v>
      </c>
      <c r="AE36" s="721">
        <f>SUM(AE37)</f>
        <v>55000</v>
      </c>
      <c r="AF36" s="1293">
        <f>SUM(AF37)</f>
        <v>0</v>
      </c>
      <c r="AG36" s="719">
        <f>AF36-AE36</f>
        <v>-55000</v>
      </c>
      <c r="AH36" s="720">
        <f>((AF36/AE36)-1)*100</f>
        <v>-100</v>
      </c>
      <c r="AI36" s="721">
        <f>SUM(AI37)</f>
        <v>55000</v>
      </c>
      <c r="AJ36" s="1293">
        <f>SUM(AJ37)</f>
        <v>0</v>
      </c>
      <c r="AK36" s="719">
        <f>AJ36-AI36</f>
        <v>-55000</v>
      </c>
      <c r="AL36" s="720">
        <f>((AJ36/AI36)-1)*100</f>
        <v>-100</v>
      </c>
      <c r="AM36" s="721">
        <f>SUM(AM37)</f>
        <v>55000</v>
      </c>
      <c r="AN36" s="1293">
        <f>SUM(AN37)</f>
        <v>0</v>
      </c>
      <c r="AO36" s="719">
        <f>AN36-AM36</f>
        <v>-55000</v>
      </c>
      <c r="AP36" s="720">
        <f>((AN36/AM36)-1)*100</f>
        <v>-100</v>
      </c>
      <c r="AQ36" s="721">
        <f>SUM(AQ37)</f>
        <v>55000</v>
      </c>
      <c r="AR36" s="1293">
        <f>SUM(AR37)</f>
        <v>0</v>
      </c>
      <c r="AS36" s="719">
        <f>AR36-AQ36</f>
        <v>-55000</v>
      </c>
      <c r="AT36" s="720">
        <f>((AR36/AQ36)-1)*100</f>
        <v>-100</v>
      </c>
      <c r="AU36" s="721">
        <f>SUM(AU37)</f>
        <v>55000</v>
      </c>
      <c r="AV36" s="1293">
        <f>SUM(AV37)</f>
        <v>0</v>
      </c>
      <c r="AW36" s="719">
        <f>AV36-AU36</f>
        <v>-55000</v>
      </c>
      <c r="AX36" s="115">
        <f>((AV36/AU36)-1)*100</f>
        <v>-100</v>
      </c>
      <c r="AY36" s="4">
        <f t="shared" si="24"/>
        <v>660000</v>
      </c>
      <c r="AZ36" s="1262">
        <f>D36+H36+L36+P36+T36+X36+AB36+AF36+AJ36+AN36+AR36+AV36</f>
        <v>0</v>
      </c>
      <c r="BB36" s="550"/>
      <c r="BC36" s="334"/>
    </row>
    <row r="37" spans="1:57" s="11" customFormat="1" ht="18" customHeight="1" thickBot="1" x14ac:dyDescent="0.3">
      <c r="A37" s="1512" t="s">
        <v>3704</v>
      </c>
      <c r="B37" s="1119" t="s">
        <v>3678</v>
      </c>
      <c r="C37" s="1281">
        <v>55000</v>
      </c>
      <c r="D37" s="1306"/>
      <c r="E37" s="1307">
        <f>D37-C37</f>
        <v>-55000</v>
      </c>
      <c r="F37" s="1290">
        <f>((D37/C37)-1)*100</f>
        <v>-100</v>
      </c>
      <c r="G37" s="1347">
        <f>C37</f>
        <v>55000</v>
      </c>
      <c r="H37" s="1306"/>
      <c r="I37" s="1307">
        <f>H37-G37</f>
        <v>-55000</v>
      </c>
      <c r="J37" s="1369">
        <f>((H37/G37)-1)*100</f>
        <v>-100</v>
      </c>
      <c r="K37" s="1358">
        <f>C37</f>
        <v>55000</v>
      </c>
      <c r="L37" s="1306"/>
      <c r="M37" s="1307">
        <f>L37-K37</f>
        <v>-55000</v>
      </c>
      <c r="N37" s="1369">
        <f>((L37/K37)-1)*100</f>
        <v>-100</v>
      </c>
      <c r="O37" s="1358">
        <f>G37</f>
        <v>55000</v>
      </c>
      <c r="P37" s="1306"/>
      <c r="Q37" s="1307">
        <f>P37-O37</f>
        <v>-55000</v>
      </c>
      <c r="R37" s="1369">
        <f>((P37/O37)-1)*100</f>
        <v>-100</v>
      </c>
      <c r="S37" s="1358">
        <f>K37</f>
        <v>55000</v>
      </c>
      <c r="T37" s="1306"/>
      <c r="U37" s="1307">
        <f>T37-S37</f>
        <v>-55000</v>
      </c>
      <c r="V37" s="1369">
        <f>((T37/S37)-1)*100</f>
        <v>-100</v>
      </c>
      <c r="W37" s="1358">
        <f>O37</f>
        <v>55000</v>
      </c>
      <c r="X37" s="1306"/>
      <c r="Y37" s="1307">
        <f>X37-W37</f>
        <v>-55000</v>
      </c>
      <c r="Z37" s="1369">
        <f>((X37/W37)-1)*100</f>
        <v>-100</v>
      </c>
      <c r="AA37" s="1358">
        <f>S37</f>
        <v>55000</v>
      </c>
      <c r="AB37" s="1306"/>
      <c r="AC37" s="1307">
        <f>AB37-AA37</f>
        <v>-55000</v>
      </c>
      <c r="AD37" s="1369">
        <f>((AB37/AA37)-1)*100</f>
        <v>-100</v>
      </c>
      <c r="AE37" s="1358">
        <f>W37</f>
        <v>55000</v>
      </c>
      <c r="AF37" s="1306"/>
      <c r="AG37" s="1307">
        <f>AF37-AE37</f>
        <v>-55000</v>
      </c>
      <c r="AH37" s="1369">
        <f>((AF37/AE37)-1)*100</f>
        <v>-100</v>
      </c>
      <c r="AI37" s="1358">
        <f>AA37</f>
        <v>55000</v>
      </c>
      <c r="AJ37" s="1306"/>
      <c r="AK37" s="1307">
        <f>AJ37-AI37</f>
        <v>-55000</v>
      </c>
      <c r="AL37" s="1369">
        <f>((AJ37/AI37)-1)*100</f>
        <v>-100</v>
      </c>
      <c r="AM37" s="1358">
        <f>AE37</f>
        <v>55000</v>
      </c>
      <c r="AN37" s="1306"/>
      <c r="AO37" s="1307">
        <f>AN37-AM37</f>
        <v>-55000</v>
      </c>
      <c r="AP37" s="1369">
        <f>((AN37/AM37)-1)*100</f>
        <v>-100</v>
      </c>
      <c r="AQ37" s="1358">
        <f>AI37</f>
        <v>55000</v>
      </c>
      <c r="AR37" s="1306"/>
      <c r="AS37" s="1307">
        <f>AR37-AQ37</f>
        <v>-55000</v>
      </c>
      <c r="AT37" s="1369">
        <f>((AR37/AQ37)-1)*100</f>
        <v>-100</v>
      </c>
      <c r="AU37" s="1358">
        <f>AM37</f>
        <v>55000</v>
      </c>
      <c r="AV37" s="1306"/>
      <c r="AW37" s="1307">
        <f>AV37-AU37</f>
        <v>-55000</v>
      </c>
      <c r="AX37" s="1290">
        <f>((AV37/AU37)-1)*100</f>
        <v>-100</v>
      </c>
      <c r="AY37" s="1243">
        <f t="shared" si="24"/>
        <v>660000</v>
      </c>
      <c r="AZ37" s="1384">
        <f t="shared" si="53"/>
        <v>0</v>
      </c>
      <c r="BB37" s="1172"/>
    </row>
    <row r="38" spans="1:57" s="11" customFormat="1" ht="18" customHeight="1" thickBot="1" x14ac:dyDescent="0.3">
      <c r="A38" s="161"/>
      <c r="C38" s="163"/>
      <c r="D38" s="163"/>
      <c r="E38" s="163"/>
      <c r="F38" s="163"/>
      <c r="G38" s="163"/>
      <c r="H38" s="163"/>
      <c r="I38" s="163"/>
      <c r="J38" s="163"/>
      <c r="L38" s="163"/>
      <c r="M38" s="163"/>
      <c r="N38" s="163"/>
      <c r="P38" s="163"/>
      <c r="Q38" s="163"/>
      <c r="R38" s="163"/>
      <c r="T38" s="163"/>
      <c r="U38" s="163"/>
      <c r="V38" s="163"/>
      <c r="X38" s="163"/>
      <c r="Y38" s="163"/>
      <c r="Z38" s="163"/>
      <c r="AB38" s="163"/>
      <c r="AC38" s="163"/>
      <c r="AD38" s="163"/>
      <c r="AF38" s="163"/>
      <c r="AG38" s="163"/>
      <c r="AH38" s="163"/>
      <c r="AJ38" s="163"/>
      <c r="AK38" s="163"/>
      <c r="AL38" s="163"/>
      <c r="AN38" s="163"/>
      <c r="AO38" s="163"/>
      <c r="AP38" s="163"/>
      <c r="AR38" s="163"/>
      <c r="AS38" s="163"/>
      <c r="AT38" s="163"/>
      <c r="AV38" s="163"/>
      <c r="AW38" s="163"/>
      <c r="AX38" s="163"/>
      <c r="AY38" s="1182"/>
      <c r="AZ38" s="1182"/>
      <c r="BA38" s="132"/>
      <c r="BB38" s="1172"/>
    </row>
    <row r="39" spans="1:57" s="8" customFormat="1" ht="18" customHeight="1" thickBot="1" x14ac:dyDescent="0.3">
      <c r="A39" s="165"/>
      <c r="B39" s="1247" t="s">
        <v>24</v>
      </c>
      <c r="C39" s="1318">
        <f>C41+C64+C108+C120+C144+C162+C193</f>
        <v>20206923.562399998</v>
      </c>
      <c r="D39" s="1320">
        <f>D41+D64+D108+D120+D144+D162+D193</f>
        <v>0</v>
      </c>
      <c r="E39" s="1386">
        <f>D39-C39</f>
        <v>-20206923.562399998</v>
      </c>
      <c r="F39" s="1319">
        <f>((D39/C39)-1)*100</f>
        <v>-100</v>
      </c>
      <c r="G39" s="1272">
        <f>G41+G64+G108+G120+G144+G162+G193</f>
        <v>20207723.562399998</v>
      </c>
      <c r="H39" s="1320">
        <f>H41+H64+H108+H120+H144+H162+H193</f>
        <v>0</v>
      </c>
      <c r="I39" s="1319">
        <f>H39-G39</f>
        <v>-20207723.562399998</v>
      </c>
      <c r="J39" s="1261">
        <f>((H39/G39)-1)*100</f>
        <v>-100</v>
      </c>
      <c r="K39" s="1272">
        <f>K41+K64+K108+K120+K144+K162+K193</f>
        <v>20357923.562399998</v>
      </c>
      <c r="L39" s="1320">
        <f>L41+L64+L108+L120+L144+L162+L193</f>
        <v>0</v>
      </c>
      <c r="M39" s="1386">
        <f>L39-K39</f>
        <v>-20357923.562399998</v>
      </c>
      <c r="N39" s="1319">
        <f>((L39/K39)-1)*100</f>
        <v>-100</v>
      </c>
      <c r="O39" s="1272">
        <f>O41+O64+O108+O120+O144+O162+O193</f>
        <v>20357423.562399998</v>
      </c>
      <c r="P39" s="1320">
        <f>P41+P64+P108+P120+P144+P162+P193</f>
        <v>0</v>
      </c>
      <c r="Q39" s="1386">
        <f>P39-O39</f>
        <v>-20357423.562399998</v>
      </c>
      <c r="R39" s="1319">
        <f>((P39/O39)-1)*100</f>
        <v>-100</v>
      </c>
      <c r="S39" s="1254">
        <f>S41+S64+S108+S120+S144+S162+S193</f>
        <v>20663858.562399998</v>
      </c>
      <c r="T39" s="1253">
        <f>T41+T64+T108+T120+T144+T162+T193</f>
        <v>0</v>
      </c>
      <c r="U39" s="1261">
        <f>T39-S39</f>
        <v>-20663858.562399998</v>
      </c>
      <c r="V39" s="1261">
        <f>((T39/S39)-1)*100</f>
        <v>-100</v>
      </c>
      <c r="W39" s="1272">
        <f>W41+W64+W108+W120+W144+W162+W193</f>
        <v>21213982.623199999</v>
      </c>
      <c r="X39" s="1320">
        <f>X41+X64+X108+X120+X144+X162+X193</f>
        <v>0</v>
      </c>
      <c r="Y39" s="1386">
        <f>X39-W39</f>
        <v>-21213982.623199999</v>
      </c>
      <c r="Z39" s="1386">
        <f>((X39/W39)-1)*100</f>
        <v>-100</v>
      </c>
      <c r="AA39" s="1387">
        <f>AA41+AA64+AA108+AA120+AA144+AA162+AA193</f>
        <v>21213582.623199999</v>
      </c>
      <c r="AB39" s="1320">
        <f>AB41+AB64+AB108+AB120+AB144+AB162+AB193</f>
        <v>0</v>
      </c>
      <c r="AC39" s="1386">
        <f>AB39-AA39</f>
        <v>-21213582.623199999</v>
      </c>
      <c r="AD39" s="1319">
        <f>((AB39/AA39)-1)*100</f>
        <v>-100</v>
      </c>
      <c r="AE39" s="1272">
        <f>AE41+AE64+AE108+AE120+AE144+AE162+AE193</f>
        <v>21215082.623199999</v>
      </c>
      <c r="AF39" s="1320">
        <f>AF41+AF64+AF108+AF120+AF144+AF162+AF193</f>
        <v>0</v>
      </c>
      <c r="AG39" s="1386">
        <f>AF39-AE39</f>
        <v>-21215082.623199999</v>
      </c>
      <c r="AH39" s="1319">
        <f>((AF39/AE39)-1)*100</f>
        <v>-100</v>
      </c>
      <c r="AI39" s="1265">
        <f>AI41+AI64+AI108+AI120+AI144+AI162+AI193</f>
        <v>21245582.623199999</v>
      </c>
      <c r="AJ39" s="1320">
        <f>AJ41+AJ64+AJ108+AJ120+AJ144+AJ162+AJ193</f>
        <v>0</v>
      </c>
      <c r="AK39" s="1386">
        <f>AJ39-AI39</f>
        <v>-21245582.623199999</v>
      </c>
      <c r="AL39" s="1319">
        <f>((AJ39/AI39)-1)*100</f>
        <v>-100</v>
      </c>
      <c r="AM39" s="1265">
        <f>AM41+AM64+AM108+AM120+AM144+AM162+AM193</f>
        <v>21245082.623199999</v>
      </c>
      <c r="AN39" s="1320">
        <f>AN41+AN64+AN108+AN120+AN144+AN162+AN193</f>
        <v>0</v>
      </c>
      <c r="AO39" s="1386">
        <f>AN39-AM39</f>
        <v>-21245082.623199999</v>
      </c>
      <c r="AP39" s="1319">
        <f>((AN39/AM39)-1)*100</f>
        <v>-100</v>
      </c>
      <c r="AQ39" s="1265">
        <f>AQ41+AQ64+AQ108+AQ120+AQ144+AQ162+AQ193</f>
        <v>21365582.623199999</v>
      </c>
      <c r="AR39" s="1320">
        <f>AR41+AR64+AR108+AR120+AR144+AR162+AR193</f>
        <v>0</v>
      </c>
      <c r="AS39" s="1386">
        <f>AR39-AQ39</f>
        <v>-21365582.623199999</v>
      </c>
      <c r="AT39" s="1319">
        <f>((AR39/AQ39)-1)*100</f>
        <v>-100</v>
      </c>
      <c r="AU39" s="1265">
        <f>AU41+AU64+AU108+AU120+AU144+AU162+AU193</f>
        <v>21365082.623199999</v>
      </c>
      <c r="AV39" s="1320">
        <f>AV41+AV64+AV108+AV120+AV144+AV162+AV193</f>
        <v>0</v>
      </c>
      <c r="AW39" s="1386">
        <f>AV39-AU39</f>
        <v>-21365082.623199999</v>
      </c>
      <c r="AX39" s="1319">
        <f>((AV39/AU39)-1)*100</f>
        <v>-100</v>
      </c>
      <c r="AY39" s="1255">
        <f>C39+G39+K39+O39+S39+W39+AA39+AE39+AI39+AM39+AQ39+AU39</f>
        <v>250657831.17439997</v>
      </c>
      <c r="AZ39" s="1271">
        <f t="shared" si="53"/>
        <v>0</v>
      </c>
      <c r="BA39" s="64"/>
      <c r="BB39" s="1172"/>
      <c r="BC39" s="9"/>
      <c r="BD39" s="10"/>
    </row>
    <row r="40" spans="1:57" s="11" customFormat="1" ht="18" customHeight="1" thickBot="1" x14ac:dyDescent="0.3">
      <c r="A40" s="161"/>
      <c r="C40" s="333"/>
      <c r="D40" s="333"/>
      <c r="E40" s="333"/>
      <c r="F40" s="333"/>
      <c r="H40" s="333"/>
      <c r="I40" s="333"/>
      <c r="J40" s="333"/>
      <c r="K40" s="163"/>
      <c r="L40" s="333"/>
      <c r="M40" s="333"/>
      <c r="N40" s="333"/>
      <c r="P40" s="333"/>
      <c r="Q40" s="333"/>
      <c r="R40" s="333"/>
      <c r="T40" s="333"/>
      <c r="U40" s="333"/>
      <c r="V40" s="333"/>
      <c r="W40" s="163"/>
      <c r="X40" s="333"/>
      <c r="Y40" s="333"/>
      <c r="Z40" s="333"/>
      <c r="AA40" s="163"/>
      <c r="AB40" s="333"/>
      <c r="AC40" s="333"/>
      <c r="AD40" s="333"/>
      <c r="AE40" s="163"/>
      <c r="AF40" s="333"/>
      <c r="AG40" s="333"/>
      <c r="AH40" s="333"/>
      <c r="AI40" s="163"/>
      <c r="AJ40" s="333"/>
      <c r="AK40" s="333"/>
      <c r="AL40" s="333"/>
      <c r="AM40" s="163"/>
      <c r="AN40" s="333"/>
      <c r="AO40" s="333"/>
      <c r="AP40" s="333"/>
      <c r="AQ40" s="163"/>
      <c r="AR40" s="333"/>
      <c r="AS40" s="333"/>
      <c r="AT40" s="333"/>
      <c r="AU40" s="163"/>
      <c r="AV40" s="333"/>
      <c r="AW40" s="333"/>
      <c r="AX40" s="333"/>
      <c r="AY40" s="1187"/>
      <c r="AZ40" s="1187"/>
      <c r="BA40" s="1172"/>
      <c r="BB40" s="1172"/>
    </row>
    <row r="41" spans="1:57" s="11" customFormat="1" ht="18" customHeight="1" thickBot="1" x14ac:dyDescent="0.3">
      <c r="A41" s="166"/>
      <c r="B41" s="1257" t="s">
        <v>167</v>
      </c>
      <c r="C41" s="218">
        <f>SUM(C42:C62)</f>
        <v>5694100</v>
      </c>
      <c r="D41" s="1313">
        <f>SUM(D42:D62)</f>
        <v>0</v>
      </c>
      <c r="E41" s="80">
        <f>D41-C41</f>
        <v>-5694100</v>
      </c>
      <c r="F41" s="1329">
        <f>((D41/C41)-1)*100</f>
        <v>-100</v>
      </c>
      <c r="G41" s="1371">
        <f>SUM(G42:G62)</f>
        <v>5694100</v>
      </c>
      <c r="H41" s="1313">
        <f>SUM(H42:H62)</f>
        <v>0</v>
      </c>
      <c r="I41" s="80">
        <f>H41-G41</f>
        <v>-5694100</v>
      </c>
      <c r="J41" s="1310">
        <f>((H41/G41)-1)*100</f>
        <v>-100</v>
      </c>
      <c r="K41" s="1376">
        <f>SUM(K42:K62)</f>
        <v>5694100</v>
      </c>
      <c r="L41" s="1313">
        <f>SUM(L42:L62)</f>
        <v>0</v>
      </c>
      <c r="M41" s="80">
        <f>L41-K41</f>
        <v>-5694100</v>
      </c>
      <c r="N41" s="1310">
        <f>((L41/K41)-1)*100</f>
        <v>-100</v>
      </c>
      <c r="O41" s="1376">
        <f>SUM(O42:O62)</f>
        <v>5694100</v>
      </c>
      <c r="P41" s="1313">
        <f>SUM(P42:P62)</f>
        <v>0</v>
      </c>
      <c r="Q41" s="80">
        <f>P41-O41</f>
        <v>-5694100</v>
      </c>
      <c r="R41" s="1310">
        <f>((P41/O41)-1)*100</f>
        <v>-100</v>
      </c>
      <c r="S41" s="1376">
        <f>SUM(S42:S62)</f>
        <v>6026575</v>
      </c>
      <c r="T41" s="1313">
        <f>SUM(T42:T62)</f>
        <v>0</v>
      </c>
      <c r="U41" s="80">
        <f>T41-S41</f>
        <v>-6026575</v>
      </c>
      <c r="V41" s="1310">
        <f>((T41/S41)-1)*100</f>
        <v>-100</v>
      </c>
      <c r="W41" s="1376">
        <f>SUM(W42:W62)</f>
        <v>6026575</v>
      </c>
      <c r="X41" s="1313">
        <f>SUM(X42:X62)</f>
        <v>0</v>
      </c>
      <c r="Y41" s="80">
        <f>X41-W41</f>
        <v>-6026575</v>
      </c>
      <c r="Z41" s="1310">
        <f>((X41/W41)-1)*100</f>
        <v>-100</v>
      </c>
      <c r="AA41" s="1376">
        <f>SUM(AA42:AA62)</f>
        <v>6026575</v>
      </c>
      <c r="AB41" s="1313">
        <f>SUM(AB42:AB62)</f>
        <v>0</v>
      </c>
      <c r="AC41" s="80">
        <f>AB41-AA41</f>
        <v>-6026575</v>
      </c>
      <c r="AD41" s="1310">
        <f>((AB41/AA41)-1)*100</f>
        <v>-100</v>
      </c>
      <c r="AE41" s="1376">
        <f>SUM(AE42:AE62)</f>
        <v>6026575</v>
      </c>
      <c r="AF41" s="1313">
        <f>SUM(AF42:AF62)</f>
        <v>0</v>
      </c>
      <c r="AG41" s="80">
        <f>AF41-AE41</f>
        <v>-6026575</v>
      </c>
      <c r="AH41" s="1310">
        <f>((AF41/AE41)-1)*100</f>
        <v>-100</v>
      </c>
      <c r="AI41" s="1381">
        <f>SUM(AI42:AI62)</f>
        <v>6026575</v>
      </c>
      <c r="AJ41" s="1313">
        <f>SUM(AJ42:AJ62)</f>
        <v>0</v>
      </c>
      <c r="AK41" s="80">
        <f>AJ41-AI41</f>
        <v>-6026575</v>
      </c>
      <c r="AL41" s="1310">
        <f>((AJ41/AI41)-1)*100</f>
        <v>-100</v>
      </c>
      <c r="AM41" s="1381">
        <f>SUM(AM42:AM62)</f>
        <v>6026575</v>
      </c>
      <c r="AN41" s="1313">
        <f>SUM(AN42:AN62)</f>
        <v>0</v>
      </c>
      <c r="AO41" s="80">
        <f>AN41-AM41</f>
        <v>-6026575</v>
      </c>
      <c r="AP41" s="1310">
        <f>((AN41/AM41)-1)*100</f>
        <v>-100</v>
      </c>
      <c r="AQ41" s="1381">
        <f>SUM(AQ42:AQ62)</f>
        <v>6147575</v>
      </c>
      <c r="AR41" s="1313">
        <f>SUM(AR42:AR62)</f>
        <v>0</v>
      </c>
      <c r="AS41" s="80">
        <f>AR41-AQ41</f>
        <v>-6147575</v>
      </c>
      <c r="AT41" s="1310">
        <f>((AR41/AQ41)-1)*100</f>
        <v>-100</v>
      </c>
      <c r="AU41" s="1381">
        <f>SUM(AU42:AU62)</f>
        <v>6147575</v>
      </c>
      <c r="AV41" s="1313">
        <f>SUM(AV42:AV62)</f>
        <v>0</v>
      </c>
      <c r="AW41" s="80">
        <f>AV41-AU41</f>
        <v>-6147575</v>
      </c>
      <c r="AX41" s="1310">
        <f>((AV41/AU41)-1)*100</f>
        <v>-100</v>
      </c>
      <c r="AY41" s="59">
        <f t="shared" ref="AY41:AY62" si="72">C41+G41+K41+O41+S41+W41+AA41+AE41+AI41+AM41+AQ41+AU41</f>
        <v>71231000</v>
      </c>
      <c r="AZ41" s="1385">
        <f>D41+H41+L41+P41+T41+X41+AB41+AF41+AJ41+AN41+AR41+AV41</f>
        <v>0</v>
      </c>
      <c r="BA41" s="195"/>
      <c r="BB41" s="1176"/>
      <c r="BE41" s="400"/>
    </row>
    <row r="42" spans="1:57" s="119" customFormat="1" ht="18" customHeight="1" x14ac:dyDescent="0.25">
      <c r="A42" s="167">
        <v>11316</v>
      </c>
      <c r="B42" s="1308" t="s">
        <v>27</v>
      </c>
      <c r="C42" s="1326">
        <v>410000</v>
      </c>
      <c r="D42" s="1314"/>
      <c r="E42" s="1315">
        <f>D42-C42</f>
        <v>-410000</v>
      </c>
      <c r="F42" s="1330">
        <f t="shared" ref="F42:F62" si="73">((D42/C42)-1)*100</f>
        <v>-100</v>
      </c>
      <c r="G42" s="1372">
        <f t="shared" ref="G42:G62" si="74">C42</f>
        <v>410000</v>
      </c>
      <c r="H42" s="1535"/>
      <c r="I42" s="1315">
        <f>H42-G42</f>
        <v>-410000</v>
      </c>
      <c r="J42" s="1266">
        <f t="shared" ref="J42:J62" si="75">((H42/G42)-1)*100</f>
        <v>-100</v>
      </c>
      <c r="K42" s="1377">
        <f t="shared" ref="K42:K62" si="76">G42</f>
        <v>410000</v>
      </c>
      <c r="L42" s="1314"/>
      <c r="M42" s="1315">
        <f>L42-K42</f>
        <v>-410000</v>
      </c>
      <c r="N42" s="1266">
        <f t="shared" ref="N42:N62" si="77">((L42/K42)-1)*100</f>
        <v>-100</v>
      </c>
      <c r="O42" s="1377">
        <f t="shared" ref="O42:O57" si="78">K42</f>
        <v>410000</v>
      </c>
      <c r="P42" s="1314"/>
      <c r="Q42" s="1315">
        <f>P42-O42</f>
        <v>-410000</v>
      </c>
      <c r="R42" s="1266">
        <f t="shared" ref="R42:R62" si="79">((P42/O42)-1)*100</f>
        <v>-100</v>
      </c>
      <c r="S42" s="1378">
        <f>O42</f>
        <v>410000</v>
      </c>
      <c r="T42" s="1314"/>
      <c r="U42" s="1315">
        <f>T42-S42</f>
        <v>-410000</v>
      </c>
      <c r="V42" s="1266">
        <f t="shared" ref="V42:V62" si="80">((T42/S42)-1)*100</f>
        <v>-100</v>
      </c>
      <c r="W42" s="1378">
        <f t="shared" ref="W42:W62" si="81">S42</f>
        <v>410000</v>
      </c>
      <c r="X42" s="1314"/>
      <c r="Y42" s="1315">
        <f>X42-W42</f>
        <v>-410000</v>
      </c>
      <c r="Z42" s="1266">
        <f t="shared" ref="Z42:Z62" si="82">((X42/W42)-1)*100</f>
        <v>-100</v>
      </c>
      <c r="AA42" s="1378">
        <f t="shared" ref="AA42:AA62" si="83">W42</f>
        <v>410000</v>
      </c>
      <c r="AB42" s="1314"/>
      <c r="AC42" s="1315">
        <f>AB42-AA42</f>
        <v>-410000</v>
      </c>
      <c r="AD42" s="1266">
        <f t="shared" ref="AD42:AD62" si="84">((AB42/AA42)-1)*100</f>
        <v>-100</v>
      </c>
      <c r="AE42" s="1378">
        <f t="shared" ref="AE42:AE62" si="85">AA42</f>
        <v>410000</v>
      </c>
      <c r="AF42" s="1314"/>
      <c r="AG42" s="1315">
        <f>AF42-AE42</f>
        <v>-410000</v>
      </c>
      <c r="AH42" s="1266">
        <f t="shared" ref="AH42:AH62" si="86">((AF42/AE42)-1)*100</f>
        <v>-100</v>
      </c>
      <c r="AI42" s="1378">
        <f t="shared" ref="AI42:AI62" si="87">AE42</f>
        <v>410000</v>
      </c>
      <c r="AJ42" s="1314"/>
      <c r="AK42" s="1315">
        <f>AJ42-AI42</f>
        <v>-410000</v>
      </c>
      <c r="AL42" s="1266">
        <f t="shared" ref="AL42:AL62" si="88">((AJ42/AI42)-1)*100</f>
        <v>-100</v>
      </c>
      <c r="AM42" s="1378">
        <f t="shared" ref="AM42:AM57" si="89">AI42</f>
        <v>410000</v>
      </c>
      <c r="AN42" s="1314"/>
      <c r="AO42" s="1315">
        <f>AN42-AM42</f>
        <v>-410000</v>
      </c>
      <c r="AP42" s="1266">
        <f t="shared" ref="AP42:AP62" si="90">((AN42/AM42)-1)*100</f>
        <v>-100</v>
      </c>
      <c r="AQ42" s="1378">
        <f t="shared" ref="AQ42:AQ49" si="91">AM42</f>
        <v>410000</v>
      </c>
      <c r="AR42" s="1314"/>
      <c r="AS42" s="1315">
        <f>AR42-AQ42</f>
        <v>-410000</v>
      </c>
      <c r="AT42" s="1266">
        <f t="shared" ref="AT42:AT62" si="92">((AR42/AQ42)-1)*100</f>
        <v>-100</v>
      </c>
      <c r="AU42" s="1378">
        <f t="shared" ref="AU42:AU57" si="93">AQ42</f>
        <v>410000</v>
      </c>
      <c r="AV42" s="1314"/>
      <c r="AW42" s="1315">
        <f>AV42-AU42</f>
        <v>-410000</v>
      </c>
      <c r="AX42" s="1266">
        <f t="shared" ref="AX42:AX62" si="94">((AV42/AU42)-1)*100</f>
        <v>-100</v>
      </c>
      <c r="AY42" s="1237">
        <f t="shared" si="72"/>
        <v>4920000</v>
      </c>
      <c r="AZ42" s="1189">
        <f t="shared" ref="AZ42:AZ62" si="95">D42+H42+L42+P42+T42+X42+AB42+AF42+AJ42+AN42+AR42+AV42</f>
        <v>0</v>
      </c>
      <c r="BB42" s="12"/>
    </row>
    <row r="43" spans="1:57" s="119" customFormat="1" ht="18" customHeight="1" x14ac:dyDescent="0.25">
      <c r="A43" s="170">
        <v>11498</v>
      </c>
      <c r="B43" s="1309" t="s">
        <v>174</v>
      </c>
      <c r="C43" s="1327">
        <v>11000</v>
      </c>
      <c r="D43" s="1314"/>
      <c r="E43" s="1314">
        <f t="shared" ref="E43:E62" si="96">D43-C43</f>
        <v>-11000</v>
      </c>
      <c r="F43" s="1330">
        <f t="shared" si="73"/>
        <v>-100</v>
      </c>
      <c r="G43" s="1373">
        <f t="shared" si="74"/>
        <v>11000</v>
      </c>
      <c r="H43" s="1536"/>
      <c r="I43" s="1314">
        <f t="shared" ref="I43:I62" si="97">H43-G43</f>
        <v>-11000</v>
      </c>
      <c r="J43" s="1266">
        <f t="shared" si="75"/>
        <v>-100</v>
      </c>
      <c r="K43" s="1378">
        <f t="shared" si="76"/>
        <v>11000</v>
      </c>
      <c r="L43" s="1314"/>
      <c r="M43" s="1314">
        <f t="shared" ref="M43:M62" si="98">L43-K43</f>
        <v>-11000</v>
      </c>
      <c r="N43" s="1266">
        <f t="shared" si="77"/>
        <v>-100</v>
      </c>
      <c r="O43" s="1378">
        <f t="shared" si="78"/>
        <v>11000</v>
      </c>
      <c r="P43" s="1314"/>
      <c r="Q43" s="1314">
        <f t="shared" ref="Q43:Q62" si="99">P43-O43</f>
        <v>-11000</v>
      </c>
      <c r="R43" s="1266">
        <f t="shared" si="79"/>
        <v>-100</v>
      </c>
      <c r="S43" s="1378">
        <v>25000</v>
      </c>
      <c r="T43" s="1314"/>
      <c r="U43" s="1314">
        <f t="shared" ref="U43:U62" si="100">T43-S43</f>
        <v>-25000</v>
      </c>
      <c r="V43" s="1266">
        <f t="shared" si="80"/>
        <v>-100</v>
      </c>
      <c r="W43" s="1378">
        <f t="shared" si="81"/>
        <v>25000</v>
      </c>
      <c r="X43" s="1314"/>
      <c r="Y43" s="1314">
        <f t="shared" ref="Y43:Y62" si="101">X43-W43</f>
        <v>-25000</v>
      </c>
      <c r="Z43" s="1266">
        <f t="shared" si="82"/>
        <v>-100</v>
      </c>
      <c r="AA43" s="1378">
        <f t="shared" si="83"/>
        <v>25000</v>
      </c>
      <c r="AB43" s="1314"/>
      <c r="AC43" s="1314">
        <f t="shared" ref="AC43:AC62" si="102">AB43-AA43</f>
        <v>-25000</v>
      </c>
      <c r="AD43" s="1266">
        <f t="shared" si="84"/>
        <v>-100</v>
      </c>
      <c r="AE43" s="1378">
        <f t="shared" si="85"/>
        <v>25000</v>
      </c>
      <c r="AF43" s="1314"/>
      <c r="AG43" s="1314">
        <f t="shared" ref="AG43:AG62" si="103">AF43-AE43</f>
        <v>-25000</v>
      </c>
      <c r="AH43" s="1266">
        <f t="shared" si="86"/>
        <v>-100</v>
      </c>
      <c r="AI43" s="1378">
        <f t="shared" si="87"/>
        <v>25000</v>
      </c>
      <c r="AJ43" s="1314"/>
      <c r="AK43" s="1314">
        <f t="shared" ref="AK43:AK62" si="104">AJ43-AI43</f>
        <v>-25000</v>
      </c>
      <c r="AL43" s="1266">
        <f t="shared" si="88"/>
        <v>-100</v>
      </c>
      <c r="AM43" s="1378">
        <f t="shared" si="89"/>
        <v>25000</v>
      </c>
      <c r="AN43" s="1314"/>
      <c r="AO43" s="1314">
        <f t="shared" ref="AO43:AO62" si="105">AN43-AM43</f>
        <v>-25000</v>
      </c>
      <c r="AP43" s="1266">
        <f t="shared" si="90"/>
        <v>-100</v>
      </c>
      <c r="AQ43" s="1378">
        <f t="shared" si="91"/>
        <v>25000</v>
      </c>
      <c r="AR43" s="1314"/>
      <c r="AS43" s="1314">
        <f t="shared" ref="AS43:AS62" si="106">AR43-AQ43</f>
        <v>-25000</v>
      </c>
      <c r="AT43" s="1266">
        <f t="shared" si="92"/>
        <v>-100</v>
      </c>
      <c r="AU43" s="1378">
        <f t="shared" si="93"/>
        <v>25000</v>
      </c>
      <c r="AV43" s="1314"/>
      <c r="AW43" s="1314">
        <f t="shared" ref="AW43:AW62" si="107">AV43-AU43</f>
        <v>-25000</v>
      </c>
      <c r="AX43" s="1266">
        <f t="shared" si="94"/>
        <v>-100</v>
      </c>
      <c r="AY43" s="1237">
        <f t="shared" si="72"/>
        <v>244000</v>
      </c>
      <c r="AZ43" s="1189">
        <f t="shared" si="95"/>
        <v>0</v>
      </c>
      <c r="BB43" s="12"/>
    </row>
    <row r="44" spans="1:57" s="119" customFormat="1" ht="18" customHeight="1" x14ac:dyDescent="0.25">
      <c r="A44" s="122" t="s">
        <v>33</v>
      </c>
      <c r="B44" s="1309" t="s">
        <v>176</v>
      </c>
      <c r="C44" s="1327">
        <v>310000</v>
      </c>
      <c r="D44" s="1316"/>
      <c r="E44" s="1316">
        <f t="shared" si="96"/>
        <v>-310000</v>
      </c>
      <c r="F44" s="1331">
        <f t="shared" si="73"/>
        <v>-100</v>
      </c>
      <c r="G44" s="1374">
        <f t="shared" si="74"/>
        <v>310000</v>
      </c>
      <c r="H44" s="1536"/>
      <c r="I44" s="1316">
        <f t="shared" si="97"/>
        <v>-310000</v>
      </c>
      <c r="J44" s="1311">
        <f t="shared" si="75"/>
        <v>-100</v>
      </c>
      <c r="K44" s="1379">
        <f t="shared" si="76"/>
        <v>310000</v>
      </c>
      <c r="L44" s="1316"/>
      <c r="M44" s="1316">
        <f t="shared" si="98"/>
        <v>-310000</v>
      </c>
      <c r="N44" s="1311">
        <f t="shared" si="77"/>
        <v>-100</v>
      </c>
      <c r="O44" s="1379">
        <f t="shared" si="78"/>
        <v>310000</v>
      </c>
      <c r="P44" s="1316"/>
      <c r="Q44" s="1316">
        <f t="shared" si="99"/>
        <v>-310000</v>
      </c>
      <c r="R44" s="1311">
        <f t="shared" si="79"/>
        <v>-100</v>
      </c>
      <c r="S44" s="1379">
        <v>355000</v>
      </c>
      <c r="T44" s="1316"/>
      <c r="U44" s="1316">
        <f t="shared" si="100"/>
        <v>-355000</v>
      </c>
      <c r="V44" s="1311">
        <f t="shared" si="80"/>
        <v>-100</v>
      </c>
      <c r="W44" s="1379">
        <f t="shared" si="81"/>
        <v>355000</v>
      </c>
      <c r="X44" s="1316"/>
      <c r="Y44" s="1316">
        <f t="shared" si="101"/>
        <v>-355000</v>
      </c>
      <c r="Z44" s="1311">
        <f t="shared" si="82"/>
        <v>-100</v>
      </c>
      <c r="AA44" s="1379">
        <f t="shared" si="83"/>
        <v>355000</v>
      </c>
      <c r="AB44" s="1316"/>
      <c r="AC44" s="1316">
        <f t="shared" si="102"/>
        <v>-355000</v>
      </c>
      <c r="AD44" s="1311">
        <f t="shared" si="84"/>
        <v>-100</v>
      </c>
      <c r="AE44" s="1379">
        <f t="shared" si="85"/>
        <v>355000</v>
      </c>
      <c r="AF44" s="1316"/>
      <c r="AG44" s="1316">
        <f t="shared" si="103"/>
        <v>-355000</v>
      </c>
      <c r="AH44" s="1311">
        <f t="shared" si="86"/>
        <v>-100</v>
      </c>
      <c r="AI44" s="1379">
        <f t="shared" si="87"/>
        <v>355000</v>
      </c>
      <c r="AJ44" s="1316"/>
      <c r="AK44" s="1316">
        <f t="shared" si="104"/>
        <v>-355000</v>
      </c>
      <c r="AL44" s="1311">
        <f t="shared" si="88"/>
        <v>-100</v>
      </c>
      <c r="AM44" s="1379">
        <f t="shared" si="89"/>
        <v>355000</v>
      </c>
      <c r="AN44" s="1316"/>
      <c r="AO44" s="1316">
        <f t="shared" si="105"/>
        <v>-355000</v>
      </c>
      <c r="AP44" s="1311">
        <f t="shared" si="90"/>
        <v>-100</v>
      </c>
      <c r="AQ44" s="1378">
        <f t="shared" si="91"/>
        <v>355000</v>
      </c>
      <c r="AR44" s="1316"/>
      <c r="AS44" s="1316">
        <f t="shared" si="106"/>
        <v>-355000</v>
      </c>
      <c r="AT44" s="1311">
        <f t="shared" si="92"/>
        <v>-100</v>
      </c>
      <c r="AU44" s="1378">
        <f t="shared" si="93"/>
        <v>355000</v>
      </c>
      <c r="AV44" s="1316"/>
      <c r="AW44" s="1316">
        <f t="shared" si="107"/>
        <v>-355000</v>
      </c>
      <c r="AX44" s="1311">
        <f t="shared" si="94"/>
        <v>-100</v>
      </c>
      <c r="AY44" s="1237">
        <f t="shared" si="72"/>
        <v>4080000</v>
      </c>
      <c r="AZ44" s="1189">
        <f t="shared" si="95"/>
        <v>0</v>
      </c>
      <c r="BB44" s="12"/>
    </row>
    <row r="45" spans="1:57" s="119" customFormat="1" ht="18" customHeight="1" x14ac:dyDescent="0.25">
      <c r="A45" s="122">
        <v>11652</v>
      </c>
      <c r="B45" s="1309" t="s">
        <v>178</v>
      </c>
      <c r="C45" s="1327">
        <v>5000</v>
      </c>
      <c r="D45" s="1314"/>
      <c r="E45" s="1314">
        <f t="shared" si="96"/>
        <v>-5000</v>
      </c>
      <c r="F45" s="1330">
        <f t="shared" si="73"/>
        <v>-100</v>
      </c>
      <c r="G45" s="1373">
        <f t="shared" si="74"/>
        <v>5000</v>
      </c>
      <c r="H45" s="1316"/>
      <c r="I45" s="1314">
        <f t="shared" si="97"/>
        <v>-5000</v>
      </c>
      <c r="J45" s="1266">
        <f t="shared" si="75"/>
        <v>-100</v>
      </c>
      <c r="K45" s="1378">
        <f t="shared" si="76"/>
        <v>5000</v>
      </c>
      <c r="L45" s="1314"/>
      <c r="M45" s="1314">
        <f t="shared" si="98"/>
        <v>-5000</v>
      </c>
      <c r="N45" s="1266">
        <f t="shared" si="77"/>
        <v>-100</v>
      </c>
      <c r="O45" s="1378">
        <f t="shared" si="78"/>
        <v>5000</v>
      </c>
      <c r="P45" s="1314"/>
      <c r="Q45" s="1314">
        <f t="shared" si="99"/>
        <v>-5000</v>
      </c>
      <c r="R45" s="1266">
        <f t="shared" si="79"/>
        <v>-100</v>
      </c>
      <c r="S45" s="1223">
        <v>5500</v>
      </c>
      <c r="T45" s="1314"/>
      <c r="U45" s="1314">
        <f t="shared" si="100"/>
        <v>-5500</v>
      </c>
      <c r="V45" s="1266">
        <f t="shared" si="80"/>
        <v>-100</v>
      </c>
      <c r="W45" s="1223">
        <f t="shared" si="81"/>
        <v>5500</v>
      </c>
      <c r="X45" s="1314"/>
      <c r="Y45" s="1314">
        <f t="shared" si="101"/>
        <v>-5500</v>
      </c>
      <c r="Z45" s="1266">
        <f t="shared" si="82"/>
        <v>-100</v>
      </c>
      <c r="AA45" s="1223">
        <f t="shared" si="83"/>
        <v>5500</v>
      </c>
      <c r="AB45" s="1314"/>
      <c r="AC45" s="1314">
        <f t="shared" si="102"/>
        <v>-5500</v>
      </c>
      <c r="AD45" s="1266">
        <f t="shared" si="84"/>
        <v>-100</v>
      </c>
      <c r="AE45" s="1223">
        <f t="shared" si="85"/>
        <v>5500</v>
      </c>
      <c r="AF45" s="1314"/>
      <c r="AG45" s="1314">
        <f t="shared" si="103"/>
        <v>-5500</v>
      </c>
      <c r="AH45" s="1266">
        <f t="shared" si="86"/>
        <v>-100</v>
      </c>
      <c r="AI45" s="1223">
        <f t="shared" si="87"/>
        <v>5500</v>
      </c>
      <c r="AJ45" s="1314"/>
      <c r="AK45" s="1314">
        <f t="shared" si="104"/>
        <v>-5500</v>
      </c>
      <c r="AL45" s="1266">
        <f t="shared" si="88"/>
        <v>-100</v>
      </c>
      <c r="AM45" s="1223">
        <f t="shared" si="89"/>
        <v>5500</v>
      </c>
      <c r="AN45" s="1314"/>
      <c r="AO45" s="1314">
        <f t="shared" si="105"/>
        <v>-5500</v>
      </c>
      <c r="AP45" s="1266">
        <f t="shared" si="90"/>
        <v>-100</v>
      </c>
      <c r="AQ45" s="1223">
        <f t="shared" si="91"/>
        <v>5500</v>
      </c>
      <c r="AR45" s="1314"/>
      <c r="AS45" s="1314">
        <f t="shared" si="106"/>
        <v>-5500</v>
      </c>
      <c r="AT45" s="1266">
        <f t="shared" si="92"/>
        <v>-100</v>
      </c>
      <c r="AU45" s="1223">
        <f t="shared" si="93"/>
        <v>5500</v>
      </c>
      <c r="AV45" s="1314"/>
      <c r="AW45" s="1314">
        <f t="shared" si="107"/>
        <v>-5500</v>
      </c>
      <c r="AX45" s="1266">
        <f t="shared" si="94"/>
        <v>-100</v>
      </c>
      <c r="AY45" s="1237">
        <f t="shared" si="72"/>
        <v>64000</v>
      </c>
      <c r="AZ45" s="1189">
        <f t="shared" si="95"/>
        <v>0</v>
      </c>
      <c r="BB45" s="12"/>
    </row>
    <row r="46" spans="1:57" s="119" customFormat="1" ht="18" customHeight="1" x14ac:dyDescent="0.25">
      <c r="A46" s="122" t="s">
        <v>45</v>
      </c>
      <c r="B46" s="1309" t="s">
        <v>47</v>
      </c>
      <c r="C46" s="1327">
        <v>4000</v>
      </c>
      <c r="D46" s="1314"/>
      <c r="E46" s="1314">
        <f t="shared" si="96"/>
        <v>-4000</v>
      </c>
      <c r="F46" s="1330">
        <f t="shared" si="73"/>
        <v>-100</v>
      </c>
      <c r="G46" s="1373">
        <f t="shared" si="74"/>
        <v>4000</v>
      </c>
      <c r="H46" s="1314"/>
      <c r="I46" s="1314">
        <f t="shared" si="97"/>
        <v>-4000</v>
      </c>
      <c r="J46" s="1266">
        <f t="shared" si="75"/>
        <v>-100</v>
      </c>
      <c r="K46" s="1378">
        <f t="shared" si="76"/>
        <v>4000</v>
      </c>
      <c r="L46" s="1314"/>
      <c r="M46" s="1314">
        <f t="shared" si="98"/>
        <v>-4000</v>
      </c>
      <c r="N46" s="1266">
        <f t="shared" si="77"/>
        <v>-100</v>
      </c>
      <c r="O46" s="1378">
        <f t="shared" si="78"/>
        <v>4000</v>
      </c>
      <c r="P46" s="1314"/>
      <c r="Q46" s="1314">
        <f t="shared" si="99"/>
        <v>-4000</v>
      </c>
      <c r="R46" s="1266">
        <f t="shared" si="79"/>
        <v>-100</v>
      </c>
      <c r="S46" s="1378">
        <f>O46</f>
        <v>4000</v>
      </c>
      <c r="T46" s="1314"/>
      <c r="U46" s="1314">
        <f t="shared" si="100"/>
        <v>-4000</v>
      </c>
      <c r="V46" s="1266">
        <f t="shared" si="80"/>
        <v>-100</v>
      </c>
      <c r="W46" s="1378">
        <f t="shared" si="81"/>
        <v>4000</v>
      </c>
      <c r="X46" s="1314"/>
      <c r="Y46" s="1314">
        <f t="shared" si="101"/>
        <v>-4000</v>
      </c>
      <c r="Z46" s="1266">
        <f t="shared" si="82"/>
        <v>-100</v>
      </c>
      <c r="AA46" s="1378">
        <f t="shared" si="83"/>
        <v>4000</v>
      </c>
      <c r="AB46" s="1314"/>
      <c r="AC46" s="1314">
        <f t="shared" si="102"/>
        <v>-4000</v>
      </c>
      <c r="AD46" s="1266">
        <f t="shared" si="84"/>
        <v>-100</v>
      </c>
      <c r="AE46" s="1378">
        <f t="shared" si="85"/>
        <v>4000</v>
      </c>
      <c r="AF46" s="1314"/>
      <c r="AG46" s="1314">
        <f t="shared" si="103"/>
        <v>-4000</v>
      </c>
      <c r="AH46" s="1266">
        <f t="shared" si="86"/>
        <v>-100</v>
      </c>
      <c r="AI46" s="1378">
        <f t="shared" si="87"/>
        <v>4000</v>
      </c>
      <c r="AJ46" s="1314"/>
      <c r="AK46" s="1314">
        <f t="shared" si="104"/>
        <v>-4000</v>
      </c>
      <c r="AL46" s="1266">
        <f t="shared" si="88"/>
        <v>-100</v>
      </c>
      <c r="AM46" s="1378">
        <f t="shared" si="89"/>
        <v>4000</v>
      </c>
      <c r="AN46" s="1314"/>
      <c r="AO46" s="1314">
        <f t="shared" si="105"/>
        <v>-4000</v>
      </c>
      <c r="AP46" s="1266">
        <f t="shared" si="90"/>
        <v>-100</v>
      </c>
      <c r="AQ46" s="1223">
        <f t="shared" si="91"/>
        <v>4000</v>
      </c>
      <c r="AR46" s="1314"/>
      <c r="AS46" s="1314">
        <f t="shared" si="106"/>
        <v>-4000</v>
      </c>
      <c r="AT46" s="1266">
        <f t="shared" si="92"/>
        <v>-100</v>
      </c>
      <c r="AU46" s="1223">
        <f t="shared" si="93"/>
        <v>4000</v>
      </c>
      <c r="AV46" s="1314"/>
      <c r="AW46" s="1314">
        <f t="shared" si="107"/>
        <v>-4000</v>
      </c>
      <c r="AX46" s="1266">
        <f t="shared" si="94"/>
        <v>-100</v>
      </c>
      <c r="AY46" s="1237">
        <f t="shared" si="72"/>
        <v>48000</v>
      </c>
      <c r="AZ46" s="1189">
        <f t="shared" si="95"/>
        <v>0</v>
      </c>
      <c r="BB46" s="12"/>
    </row>
    <row r="47" spans="1:57" s="119" customFormat="1" ht="18" customHeight="1" x14ac:dyDescent="0.25">
      <c r="A47" s="122">
        <v>12320</v>
      </c>
      <c r="B47" s="1309" t="s">
        <v>175</v>
      </c>
      <c r="C47" s="1327">
        <v>11000</v>
      </c>
      <c r="D47" s="1314"/>
      <c r="E47" s="1314">
        <f t="shared" si="96"/>
        <v>-11000</v>
      </c>
      <c r="F47" s="1330">
        <f t="shared" si="73"/>
        <v>-100</v>
      </c>
      <c r="G47" s="1373">
        <f t="shared" si="74"/>
        <v>11000</v>
      </c>
      <c r="H47" s="1314"/>
      <c r="I47" s="1314">
        <f t="shared" si="97"/>
        <v>-11000</v>
      </c>
      <c r="J47" s="1266">
        <f t="shared" si="75"/>
        <v>-100</v>
      </c>
      <c r="K47" s="1378">
        <f t="shared" si="76"/>
        <v>11000</v>
      </c>
      <c r="L47" s="1314"/>
      <c r="M47" s="1314">
        <f t="shared" si="98"/>
        <v>-11000</v>
      </c>
      <c r="N47" s="1266">
        <f t="shared" si="77"/>
        <v>-100</v>
      </c>
      <c r="O47" s="1378">
        <f t="shared" si="78"/>
        <v>11000</v>
      </c>
      <c r="P47" s="1314"/>
      <c r="Q47" s="1314">
        <f t="shared" si="99"/>
        <v>-11000</v>
      </c>
      <c r="R47" s="1266">
        <f t="shared" si="79"/>
        <v>-100</v>
      </c>
      <c r="S47" s="1379">
        <v>13000</v>
      </c>
      <c r="T47" s="1314"/>
      <c r="U47" s="1314">
        <f t="shared" si="100"/>
        <v>-13000</v>
      </c>
      <c r="V47" s="1266">
        <f t="shared" si="80"/>
        <v>-100</v>
      </c>
      <c r="W47" s="1379">
        <f t="shared" si="81"/>
        <v>13000</v>
      </c>
      <c r="X47" s="1314"/>
      <c r="Y47" s="1314">
        <f t="shared" si="101"/>
        <v>-13000</v>
      </c>
      <c r="Z47" s="1266">
        <f t="shared" si="82"/>
        <v>-100</v>
      </c>
      <c r="AA47" s="1379">
        <f t="shared" si="83"/>
        <v>13000</v>
      </c>
      <c r="AB47" s="1314"/>
      <c r="AC47" s="1314">
        <f t="shared" si="102"/>
        <v>-13000</v>
      </c>
      <c r="AD47" s="1266">
        <f t="shared" si="84"/>
        <v>-100</v>
      </c>
      <c r="AE47" s="1379">
        <f t="shared" si="85"/>
        <v>13000</v>
      </c>
      <c r="AF47" s="1314"/>
      <c r="AG47" s="1314">
        <f t="shared" si="103"/>
        <v>-13000</v>
      </c>
      <c r="AH47" s="1266">
        <f t="shared" si="86"/>
        <v>-100</v>
      </c>
      <c r="AI47" s="1379">
        <f t="shared" si="87"/>
        <v>13000</v>
      </c>
      <c r="AJ47" s="1314"/>
      <c r="AK47" s="1314">
        <f t="shared" si="104"/>
        <v>-13000</v>
      </c>
      <c r="AL47" s="1266">
        <f t="shared" si="88"/>
        <v>-100</v>
      </c>
      <c r="AM47" s="1379">
        <f t="shared" si="89"/>
        <v>13000</v>
      </c>
      <c r="AN47" s="1314"/>
      <c r="AO47" s="1314">
        <f t="shared" si="105"/>
        <v>-13000</v>
      </c>
      <c r="AP47" s="1266">
        <f t="shared" si="90"/>
        <v>-100</v>
      </c>
      <c r="AQ47" s="1378">
        <f t="shared" si="91"/>
        <v>13000</v>
      </c>
      <c r="AR47" s="1314"/>
      <c r="AS47" s="1314">
        <f t="shared" si="106"/>
        <v>-13000</v>
      </c>
      <c r="AT47" s="1266">
        <f t="shared" si="92"/>
        <v>-100</v>
      </c>
      <c r="AU47" s="1378">
        <f t="shared" si="93"/>
        <v>13000</v>
      </c>
      <c r="AV47" s="1314"/>
      <c r="AW47" s="1314">
        <f t="shared" si="107"/>
        <v>-13000</v>
      </c>
      <c r="AX47" s="1266">
        <f t="shared" si="94"/>
        <v>-100</v>
      </c>
      <c r="AY47" s="1237">
        <f t="shared" si="72"/>
        <v>148000</v>
      </c>
      <c r="AZ47" s="1189">
        <f t="shared" si="95"/>
        <v>0</v>
      </c>
      <c r="BB47" s="12"/>
    </row>
    <row r="48" spans="1:57" s="119" customFormat="1" ht="31.5" x14ac:dyDescent="0.25">
      <c r="A48" s="122" t="s">
        <v>41</v>
      </c>
      <c r="B48" s="1309" t="s">
        <v>43</v>
      </c>
      <c r="C48" s="1327">
        <v>2500</v>
      </c>
      <c r="D48" s="1314"/>
      <c r="E48" s="1314">
        <f t="shared" si="96"/>
        <v>-2500</v>
      </c>
      <c r="F48" s="1330">
        <f t="shared" si="73"/>
        <v>-100</v>
      </c>
      <c r="G48" s="1373">
        <f t="shared" si="74"/>
        <v>2500</v>
      </c>
      <c r="H48" s="1314"/>
      <c r="I48" s="1314">
        <f t="shared" si="97"/>
        <v>-2500</v>
      </c>
      <c r="J48" s="1266">
        <f t="shared" si="75"/>
        <v>-100</v>
      </c>
      <c r="K48" s="1378">
        <f t="shared" si="76"/>
        <v>2500</v>
      </c>
      <c r="L48" s="1314"/>
      <c r="M48" s="1314">
        <f t="shared" si="98"/>
        <v>-2500</v>
      </c>
      <c r="N48" s="1266">
        <f t="shared" si="77"/>
        <v>-100</v>
      </c>
      <c r="O48" s="1378">
        <f t="shared" si="78"/>
        <v>2500</v>
      </c>
      <c r="P48" s="1314"/>
      <c r="Q48" s="1314">
        <f t="shared" si="99"/>
        <v>-2500</v>
      </c>
      <c r="R48" s="1266">
        <f t="shared" si="79"/>
        <v>-100</v>
      </c>
      <c r="S48" s="1207">
        <v>2700</v>
      </c>
      <c r="T48" s="1314"/>
      <c r="U48" s="1314">
        <f t="shared" si="100"/>
        <v>-2700</v>
      </c>
      <c r="V48" s="1266">
        <f t="shared" si="80"/>
        <v>-100</v>
      </c>
      <c r="W48" s="1207">
        <f t="shared" si="81"/>
        <v>2700</v>
      </c>
      <c r="X48" s="1314"/>
      <c r="Y48" s="1314">
        <f t="shared" si="101"/>
        <v>-2700</v>
      </c>
      <c r="Z48" s="1266">
        <f t="shared" si="82"/>
        <v>-100</v>
      </c>
      <c r="AA48" s="1207">
        <f t="shared" si="83"/>
        <v>2700</v>
      </c>
      <c r="AB48" s="1314"/>
      <c r="AC48" s="1314">
        <f t="shared" si="102"/>
        <v>-2700</v>
      </c>
      <c r="AD48" s="1266">
        <f t="shared" si="84"/>
        <v>-100</v>
      </c>
      <c r="AE48" s="1207">
        <f t="shared" si="85"/>
        <v>2700</v>
      </c>
      <c r="AF48" s="1314"/>
      <c r="AG48" s="1314">
        <f t="shared" si="103"/>
        <v>-2700</v>
      </c>
      <c r="AH48" s="1266">
        <f t="shared" si="86"/>
        <v>-100</v>
      </c>
      <c r="AI48" s="1207">
        <f t="shared" si="87"/>
        <v>2700</v>
      </c>
      <c r="AJ48" s="1314"/>
      <c r="AK48" s="1314">
        <f t="shared" si="104"/>
        <v>-2700</v>
      </c>
      <c r="AL48" s="1266">
        <f t="shared" si="88"/>
        <v>-100</v>
      </c>
      <c r="AM48" s="1207">
        <f t="shared" si="89"/>
        <v>2700</v>
      </c>
      <c r="AN48" s="1314"/>
      <c r="AO48" s="1314">
        <f t="shared" si="105"/>
        <v>-2700</v>
      </c>
      <c r="AP48" s="1266">
        <f t="shared" si="90"/>
        <v>-100</v>
      </c>
      <c r="AQ48" s="1223">
        <f t="shared" si="91"/>
        <v>2700</v>
      </c>
      <c r="AR48" s="1314"/>
      <c r="AS48" s="1314">
        <f t="shared" si="106"/>
        <v>-2700</v>
      </c>
      <c r="AT48" s="1266">
        <f t="shared" si="92"/>
        <v>-100</v>
      </c>
      <c r="AU48" s="1223">
        <f t="shared" si="93"/>
        <v>2700</v>
      </c>
      <c r="AV48" s="1314"/>
      <c r="AW48" s="1314">
        <f t="shared" si="107"/>
        <v>-2700</v>
      </c>
      <c r="AX48" s="1266">
        <f t="shared" si="94"/>
        <v>-100</v>
      </c>
      <c r="AY48" s="1237">
        <f t="shared" si="72"/>
        <v>31600</v>
      </c>
      <c r="AZ48" s="1189">
        <f t="shared" si="95"/>
        <v>0</v>
      </c>
      <c r="BB48" s="12"/>
    </row>
    <row r="49" spans="1:57" s="119" customFormat="1" ht="31.5" x14ac:dyDescent="0.25">
      <c r="A49" s="122" t="s">
        <v>136</v>
      </c>
      <c r="B49" s="1309" t="s">
        <v>36</v>
      </c>
      <c r="C49" s="1327">
        <v>4600</v>
      </c>
      <c r="D49" s="1314"/>
      <c r="E49" s="1314">
        <f t="shared" si="96"/>
        <v>-4600</v>
      </c>
      <c r="F49" s="1330">
        <f t="shared" si="73"/>
        <v>-100</v>
      </c>
      <c r="G49" s="1373">
        <f t="shared" si="74"/>
        <v>4600</v>
      </c>
      <c r="H49" s="1314"/>
      <c r="I49" s="1314">
        <f t="shared" si="97"/>
        <v>-4600</v>
      </c>
      <c r="J49" s="1266">
        <f t="shared" si="75"/>
        <v>-100</v>
      </c>
      <c r="K49" s="1378">
        <f t="shared" si="76"/>
        <v>4600</v>
      </c>
      <c r="L49" s="1314"/>
      <c r="M49" s="1314">
        <f t="shared" si="98"/>
        <v>-4600</v>
      </c>
      <c r="N49" s="1266">
        <f t="shared" si="77"/>
        <v>-100</v>
      </c>
      <c r="O49" s="1378">
        <f t="shared" si="78"/>
        <v>4600</v>
      </c>
      <c r="P49" s="1314"/>
      <c r="Q49" s="1314">
        <f t="shared" si="99"/>
        <v>-4600</v>
      </c>
      <c r="R49" s="1266">
        <f t="shared" si="79"/>
        <v>-100</v>
      </c>
      <c r="S49" s="1207">
        <v>4830</v>
      </c>
      <c r="T49" s="1314"/>
      <c r="U49" s="1314">
        <f t="shared" si="100"/>
        <v>-4830</v>
      </c>
      <c r="V49" s="1266">
        <f t="shared" si="80"/>
        <v>-100</v>
      </c>
      <c r="W49" s="1207">
        <f t="shared" si="81"/>
        <v>4830</v>
      </c>
      <c r="X49" s="1314"/>
      <c r="Y49" s="1314">
        <f t="shared" si="101"/>
        <v>-4830</v>
      </c>
      <c r="Z49" s="1266">
        <f t="shared" si="82"/>
        <v>-100</v>
      </c>
      <c r="AA49" s="1207">
        <f t="shared" si="83"/>
        <v>4830</v>
      </c>
      <c r="AB49" s="1314"/>
      <c r="AC49" s="1314">
        <f t="shared" si="102"/>
        <v>-4830</v>
      </c>
      <c r="AD49" s="1266">
        <f t="shared" si="84"/>
        <v>-100</v>
      </c>
      <c r="AE49" s="1207">
        <f t="shared" si="85"/>
        <v>4830</v>
      </c>
      <c r="AF49" s="1314"/>
      <c r="AG49" s="1314">
        <f t="shared" si="103"/>
        <v>-4830</v>
      </c>
      <c r="AH49" s="1266">
        <f t="shared" si="86"/>
        <v>-100</v>
      </c>
      <c r="AI49" s="1207">
        <f t="shared" si="87"/>
        <v>4830</v>
      </c>
      <c r="AJ49" s="1314"/>
      <c r="AK49" s="1314">
        <f t="shared" si="104"/>
        <v>-4830</v>
      </c>
      <c r="AL49" s="1266">
        <f t="shared" si="88"/>
        <v>-100</v>
      </c>
      <c r="AM49" s="1207">
        <f t="shared" si="89"/>
        <v>4830</v>
      </c>
      <c r="AN49" s="1314"/>
      <c r="AO49" s="1314">
        <f t="shared" si="105"/>
        <v>-4830</v>
      </c>
      <c r="AP49" s="1266">
        <f t="shared" si="90"/>
        <v>-100</v>
      </c>
      <c r="AQ49" s="1207">
        <f t="shared" si="91"/>
        <v>4830</v>
      </c>
      <c r="AR49" s="1314"/>
      <c r="AS49" s="1314">
        <f t="shared" si="106"/>
        <v>-4830</v>
      </c>
      <c r="AT49" s="1266">
        <f t="shared" si="92"/>
        <v>-100</v>
      </c>
      <c r="AU49" s="1207">
        <f t="shared" si="93"/>
        <v>4830</v>
      </c>
      <c r="AV49" s="1314"/>
      <c r="AW49" s="1314">
        <f t="shared" si="107"/>
        <v>-4830</v>
      </c>
      <c r="AX49" s="1266">
        <f t="shared" si="94"/>
        <v>-100</v>
      </c>
      <c r="AY49" s="1237">
        <f t="shared" si="72"/>
        <v>57040</v>
      </c>
      <c r="AZ49" s="1189">
        <f t="shared" si="95"/>
        <v>0</v>
      </c>
      <c r="BB49" s="12"/>
    </row>
    <row r="50" spans="1:57" s="119" customFormat="1" ht="18" customHeight="1" x14ac:dyDescent="0.25">
      <c r="A50" s="170" t="s">
        <v>3680</v>
      </c>
      <c r="B50" s="1309" t="s">
        <v>29</v>
      </c>
      <c r="C50" s="1327">
        <v>400000</v>
      </c>
      <c r="D50" s="1314"/>
      <c r="E50" s="1314">
        <f t="shared" si="96"/>
        <v>-400000</v>
      </c>
      <c r="F50" s="1330">
        <f t="shared" si="73"/>
        <v>-100</v>
      </c>
      <c r="G50" s="1373">
        <f t="shared" si="74"/>
        <v>400000</v>
      </c>
      <c r="H50" s="1314"/>
      <c r="I50" s="1314">
        <f t="shared" si="97"/>
        <v>-400000</v>
      </c>
      <c r="J50" s="1266">
        <f t="shared" si="75"/>
        <v>-100</v>
      </c>
      <c r="K50" s="1378">
        <f t="shared" si="76"/>
        <v>400000</v>
      </c>
      <c r="L50" s="1314"/>
      <c r="M50" s="1314">
        <f t="shared" si="98"/>
        <v>-400000</v>
      </c>
      <c r="N50" s="1266">
        <f t="shared" si="77"/>
        <v>-100</v>
      </c>
      <c r="O50" s="1378">
        <f t="shared" si="78"/>
        <v>400000</v>
      </c>
      <c r="P50" s="1314"/>
      <c r="Q50" s="1314">
        <f t="shared" si="99"/>
        <v>-400000</v>
      </c>
      <c r="R50" s="1266">
        <f t="shared" si="79"/>
        <v>-100</v>
      </c>
      <c r="S50" s="1378">
        <v>418000</v>
      </c>
      <c r="T50" s="1314"/>
      <c r="U50" s="1314">
        <f t="shared" si="100"/>
        <v>-418000</v>
      </c>
      <c r="V50" s="1266">
        <f t="shared" si="80"/>
        <v>-100</v>
      </c>
      <c r="W50" s="1378">
        <f t="shared" si="81"/>
        <v>418000</v>
      </c>
      <c r="X50" s="1314"/>
      <c r="Y50" s="1314">
        <f t="shared" si="101"/>
        <v>-418000</v>
      </c>
      <c r="Z50" s="1266">
        <f t="shared" si="82"/>
        <v>-100</v>
      </c>
      <c r="AA50" s="1378">
        <f t="shared" si="83"/>
        <v>418000</v>
      </c>
      <c r="AB50" s="1314"/>
      <c r="AC50" s="1314">
        <f t="shared" si="102"/>
        <v>-418000</v>
      </c>
      <c r="AD50" s="1266">
        <f t="shared" si="84"/>
        <v>-100</v>
      </c>
      <c r="AE50" s="1378">
        <f t="shared" si="85"/>
        <v>418000</v>
      </c>
      <c r="AF50" s="1314"/>
      <c r="AG50" s="1314">
        <f t="shared" si="103"/>
        <v>-418000</v>
      </c>
      <c r="AH50" s="1266">
        <f t="shared" si="86"/>
        <v>-100</v>
      </c>
      <c r="AI50" s="1378">
        <f t="shared" si="87"/>
        <v>418000</v>
      </c>
      <c r="AJ50" s="1314"/>
      <c r="AK50" s="1314">
        <f t="shared" si="104"/>
        <v>-418000</v>
      </c>
      <c r="AL50" s="1266">
        <f t="shared" si="88"/>
        <v>-100</v>
      </c>
      <c r="AM50" s="1378">
        <f t="shared" si="89"/>
        <v>418000</v>
      </c>
      <c r="AN50" s="1314"/>
      <c r="AO50" s="1314">
        <f t="shared" si="105"/>
        <v>-418000</v>
      </c>
      <c r="AP50" s="1266">
        <f t="shared" si="90"/>
        <v>-100</v>
      </c>
      <c r="AQ50" s="1378">
        <v>430000</v>
      </c>
      <c r="AR50" s="1314"/>
      <c r="AS50" s="1314">
        <f t="shared" si="106"/>
        <v>-430000</v>
      </c>
      <c r="AT50" s="1266">
        <f t="shared" si="92"/>
        <v>-100</v>
      </c>
      <c r="AU50" s="1378">
        <f t="shared" si="93"/>
        <v>430000</v>
      </c>
      <c r="AV50" s="1314"/>
      <c r="AW50" s="1314">
        <f t="shared" si="107"/>
        <v>-430000</v>
      </c>
      <c r="AX50" s="1266">
        <f t="shared" si="94"/>
        <v>-100</v>
      </c>
      <c r="AY50" s="1237">
        <f t="shared" si="72"/>
        <v>4968000</v>
      </c>
      <c r="AZ50" s="1189">
        <f t="shared" si="95"/>
        <v>0</v>
      </c>
      <c r="BB50" s="12"/>
    </row>
    <row r="51" spans="1:57" s="119" customFormat="1" ht="18" customHeight="1" x14ac:dyDescent="0.25">
      <c r="A51" s="170">
        <v>12276</v>
      </c>
      <c r="B51" s="1309" t="s">
        <v>34</v>
      </c>
      <c r="C51" s="1327">
        <v>12000</v>
      </c>
      <c r="D51" s="1314"/>
      <c r="E51" s="1314">
        <f t="shared" si="96"/>
        <v>-12000</v>
      </c>
      <c r="F51" s="1330">
        <f t="shared" si="73"/>
        <v>-100</v>
      </c>
      <c r="G51" s="1373">
        <f t="shared" si="74"/>
        <v>12000</v>
      </c>
      <c r="H51" s="1314"/>
      <c r="I51" s="1314">
        <f t="shared" si="97"/>
        <v>-12000</v>
      </c>
      <c r="J51" s="1266">
        <f t="shared" si="75"/>
        <v>-100</v>
      </c>
      <c r="K51" s="1378">
        <f t="shared" si="76"/>
        <v>12000</v>
      </c>
      <c r="L51" s="1314"/>
      <c r="M51" s="1314">
        <f t="shared" si="98"/>
        <v>-12000</v>
      </c>
      <c r="N51" s="1266">
        <f t="shared" si="77"/>
        <v>-100</v>
      </c>
      <c r="O51" s="1378">
        <f t="shared" si="78"/>
        <v>12000</v>
      </c>
      <c r="P51" s="1314"/>
      <c r="Q51" s="1314">
        <f t="shared" si="99"/>
        <v>-12000</v>
      </c>
      <c r="R51" s="1266">
        <f t="shared" si="79"/>
        <v>-100</v>
      </c>
      <c r="S51" s="1378">
        <f>O51</f>
        <v>12000</v>
      </c>
      <c r="T51" s="1314"/>
      <c r="U51" s="1314">
        <f t="shared" si="100"/>
        <v>-12000</v>
      </c>
      <c r="V51" s="1266">
        <f t="shared" si="80"/>
        <v>-100</v>
      </c>
      <c r="W51" s="1378">
        <f t="shared" si="81"/>
        <v>12000</v>
      </c>
      <c r="X51" s="1314"/>
      <c r="Y51" s="1314">
        <f t="shared" si="101"/>
        <v>-12000</v>
      </c>
      <c r="Z51" s="1266">
        <f t="shared" si="82"/>
        <v>-100</v>
      </c>
      <c r="AA51" s="1378">
        <f t="shared" si="83"/>
        <v>12000</v>
      </c>
      <c r="AB51" s="1314"/>
      <c r="AC51" s="1314">
        <f t="shared" si="102"/>
        <v>-12000</v>
      </c>
      <c r="AD51" s="1266">
        <f t="shared" si="84"/>
        <v>-100</v>
      </c>
      <c r="AE51" s="1378">
        <f t="shared" si="85"/>
        <v>12000</v>
      </c>
      <c r="AF51" s="1314"/>
      <c r="AG51" s="1314">
        <f t="shared" si="103"/>
        <v>-12000</v>
      </c>
      <c r="AH51" s="1266">
        <f t="shared" si="86"/>
        <v>-100</v>
      </c>
      <c r="AI51" s="1378">
        <f t="shared" si="87"/>
        <v>12000</v>
      </c>
      <c r="AJ51" s="1314"/>
      <c r="AK51" s="1314">
        <f t="shared" si="104"/>
        <v>-12000</v>
      </c>
      <c r="AL51" s="1266">
        <f t="shared" si="88"/>
        <v>-100</v>
      </c>
      <c r="AM51" s="1378">
        <f t="shared" si="89"/>
        <v>12000</v>
      </c>
      <c r="AN51" s="1314"/>
      <c r="AO51" s="1314">
        <f t="shared" si="105"/>
        <v>-12000</v>
      </c>
      <c r="AP51" s="1266">
        <f t="shared" si="90"/>
        <v>-100</v>
      </c>
      <c r="AQ51" s="1378">
        <f>AM51</f>
        <v>12000</v>
      </c>
      <c r="AR51" s="1314"/>
      <c r="AS51" s="1314">
        <f t="shared" si="106"/>
        <v>-12000</v>
      </c>
      <c r="AT51" s="1266">
        <f t="shared" si="92"/>
        <v>-100</v>
      </c>
      <c r="AU51" s="1378">
        <f t="shared" si="93"/>
        <v>12000</v>
      </c>
      <c r="AV51" s="1314"/>
      <c r="AW51" s="1314">
        <f t="shared" si="107"/>
        <v>-12000</v>
      </c>
      <c r="AX51" s="1266">
        <f t="shared" si="94"/>
        <v>-100</v>
      </c>
      <c r="AY51" s="1237">
        <f t="shared" si="72"/>
        <v>144000</v>
      </c>
      <c r="AZ51" s="1189">
        <f t="shared" si="95"/>
        <v>0</v>
      </c>
      <c r="BB51" s="12"/>
    </row>
    <row r="52" spans="1:57" s="119" customFormat="1" ht="18" customHeight="1" x14ac:dyDescent="0.25">
      <c r="A52" s="170">
        <v>11322</v>
      </c>
      <c r="B52" s="1309" t="s">
        <v>28</v>
      </c>
      <c r="C52" s="1327">
        <v>468000</v>
      </c>
      <c r="D52" s="1314"/>
      <c r="E52" s="1314">
        <f t="shared" si="96"/>
        <v>-468000</v>
      </c>
      <c r="F52" s="1330">
        <f t="shared" si="73"/>
        <v>-100</v>
      </c>
      <c r="G52" s="1373">
        <f t="shared" si="74"/>
        <v>468000</v>
      </c>
      <c r="H52" s="1314"/>
      <c r="I52" s="1314">
        <f t="shared" si="97"/>
        <v>-468000</v>
      </c>
      <c r="J52" s="1266">
        <f t="shared" si="75"/>
        <v>-100</v>
      </c>
      <c r="K52" s="1378">
        <f t="shared" si="76"/>
        <v>468000</v>
      </c>
      <c r="L52" s="1314"/>
      <c r="M52" s="1314">
        <f t="shared" si="98"/>
        <v>-468000</v>
      </c>
      <c r="N52" s="1266">
        <f t="shared" si="77"/>
        <v>-100</v>
      </c>
      <c r="O52" s="1378">
        <f t="shared" si="78"/>
        <v>468000</v>
      </c>
      <c r="P52" s="1314"/>
      <c r="Q52" s="1314">
        <f t="shared" si="99"/>
        <v>-468000</v>
      </c>
      <c r="R52" s="1266">
        <f t="shared" si="79"/>
        <v>-100</v>
      </c>
      <c r="S52" s="1378">
        <v>487000</v>
      </c>
      <c r="T52" s="1314"/>
      <c r="U52" s="1314">
        <f t="shared" si="100"/>
        <v>-487000</v>
      </c>
      <c r="V52" s="1266">
        <f t="shared" si="80"/>
        <v>-100</v>
      </c>
      <c r="W52" s="1378">
        <f t="shared" si="81"/>
        <v>487000</v>
      </c>
      <c r="X52" s="1314"/>
      <c r="Y52" s="1314">
        <f t="shared" si="101"/>
        <v>-487000</v>
      </c>
      <c r="Z52" s="1266">
        <f t="shared" si="82"/>
        <v>-100</v>
      </c>
      <c r="AA52" s="1378">
        <f t="shared" si="83"/>
        <v>487000</v>
      </c>
      <c r="AB52" s="1314"/>
      <c r="AC52" s="1314">
        <f t="shared" si="102"/>
        <v>-487000</v>
      </c>
      <c r="AD52" s="1266">
        <f t="shared" si="84"/>
        <v>-100</v>
      </c>
      <c r="AE52" s="1378">
        <f t="shared" si="85"/>
        <v>487000</v>
      </c>
      <c r="AF52" s="1314"/>
      <c r="AG52" s="1314">
        <f t="shared" si="103"/>
        <v>-487000</v>
      </c>
      <c r="AH52" s="1266">
        <f t="shared" si="86"/>
        <v>-100</v>
      </c>
      <c r="AI52" s="1378">
        <f t="shared" si="87"/>
        <v>487000</v>
      </c>
      <c r="AJ52" s="1314"/>
      <c r="AK52" s="1314">
        <f t="shared" si="104"/>
        <v>-487000</v>
      </c>
      <c r="AL52" s="1266">
        <f t="shared" si="88"/>
        <v>-100</v>
      </c>
      <c r="AM52" s="1378">
        <f t="shared" si="89"/>
        <v>487000</v>
      </c>
      <c r="AN52" s="1314"/>
      <c r="AO52" s="1314">
        <f t="shared" si="105"/>
        <v>-487000</v>
      </c>
      <c r="AP52" s="1266">
        <f t="shared" si="90"/>
        <v>-100</v>
      </c>
      <c r="AQ52" s="1378">
        <f>AM52</f>
        <v>487000</v>
      </c>
      <c r="AR52" s="1314"/>
      <c r="AS52" s="1314">
        <f t="shared" si="106"/>
        <v>-487000</v>
      </c>
      <c r="AT52" s="1266">
        <f t="shared" si="92"/>
        <v>-100</v>
      </c>
      <c r="AU52" s="1378">
        <f t="shared" si="93"/>
        <v>487000</v>
      </c>
      <c r="AV52" s="1314"/>
      <c r="AW52" s="1314">
        <f t="shared" si="107"/>
        <v>-487000</v>
      </c>
      <c r="AX52" s="1266">
        <f t="shared" si="94"/>
        <v>-100</v>
      </c>
      <c r="AY52" s="1237">
        <f t="shared" si="72"/>
        <v>5768000</v>
      </c>
      <c r="AZ52" s="1189">
        <f t="shared" si="95"/>
        <v>0</v>
      </c>
      <c r="BB52" s="12"/>
    </row>
    <row r="53" spans="1:57" s="119" customFormat="1" ht="18" customHeight="1" x14ac:dyDescent="0.25">
      <c r="A53" s="170">
        <v>53469</v>
      </c>
      <c r="B53" s="1309" t="s">
        <v>333</v>
      </c>
      <c r="C53" s="1327">
        <v>12000</v>
      </c>
      <c r="D53" s="1314"/>
      <c r="E53" s="1314">
        <f t="shared" si="96"/>
        <v>-12000</v>
      </c>
      <c r="F53" s="1330">
        <f t="shared" si="73"/>
        <v>-100</v>
      </c>
      <c r="G53" s="1373">
        <f t="shared" si="74"/>
        <v>12000</v>
      </c>
      <c r="H53" s="1314"/>
      <c r="I53" s="1314">
        <f t="shared" si="97"/>
        <v>-12000</v>
      </c>
      <c r="J53" s="1266">
        <f t="shared" si="75"/>
        <v>-100</v>
      </c>
      <c r="K53" s="1378">
        <f t="shared" si="76"/>
        <v>12000</v>
      </c>
      <c r="L53" s="1314"/>
      <c r="M53" s="1314">
        <f t="shared" si="98"/>
        <v>-12000</v>
      </c>
      <c r="N53" s="1266">
        <f t="shared" si="77"/>
        <v>-100</v>
      </c>
      <c r="O53" s="1378">
        <f t="shared" si="78"/>
        <v>12000</v>
      </c>
      <c r="P53" s="1314"/>
      <c r="Q53" s="1314">
        <f t="shared" si="99"/>
        <v>-12000</v>
      </c>
      <c r="R53" s="1266">
        <f t="shared" si="79"/>
        <v>-100</v>
      </c>
      <c r="S53" s="1378">
        <v>15000</v>
      </c>
      <c r="T53" s="1314"/>
      <c r="U53" s="1314">
        <f t="shared" si="100"/>
        <v>-15000</v>
      </c>
      <c r="V53" s="1266">
        <f t="shared" si="80"/>
        <v>-100</v>
      </c>
      <c r="W53" s="1378">
        <f t="shared" si="81"/>
        <v>15000</v>
      </c>
      <c r="X53" s="1314"/>
      <c r="Y53" s="1314">
        <f t="shared" si="101"/>
        <v>-15000</v>
      </c>
      <c r="Z53" s="1266">
        <f t="shared" si="82"/>
        <v>-100</v>
      </c>
      <c r="AA53" s="1378">
        <f t="shared" si="83"/>
        <v>15000</v>
      </c>
      <c r="AB53" s="1314"/>
      <c r="AC53" s="1314">
        <f t="shared" si="102"/>
        <v>-15000</v>
      </c>
      <c r="AD53" s="1266">
        <f t="shared" si="84"/>
        <v>-100</v>
      </c>
      <c r="AE53" s="1378">
        <f t="shared" si="85"/>
        <v>15000</v>
      </c>
      <c r="AF53" s="1314"/>
      <c r="AG53" s="1314">
        <f t="shared" si="103"/>
        <v>-15000</v>
      </c>
      <c r="AH53" s="1266">
        <f t="shared" si="86"/>
        <v>-100</v>
      </c>
      <c r="AI53" s="1378">
        <f t="shared" si="87"/>
        <v>15000</v>
      </c>
      <c r="AJ53" s="1314"/>
      <c r="AK53" s="1314">
        <f t="shared" si="104"/>
        <v>-15000</v>
      </c>
      <c r="AL53" s="1266">
        <f t="shared" si="88"/>
        <v>-100</v>
      </c>
      <c r="AM53" s="1378">
        <f t="shared" si="89"/>
        <v>15000</v>
      </c>
      <c r="AN53" s="1314"/>
      <c r="AO53" s="1314">
        <f t="shared" si="105"/>
        <v>-15000</v>
      </c>
      <c r="AP53" s="1266">
        <f t="shared" si="90"/>
        <v>-100</v>
      </c>
      <c r="AQ53" s="1378">
        <f>AM53</f>
        <v>15000</v>
      </c>
      <c r="AR53" s="1314"/>
      <c r="AS53" s="1314">
        <f t="shared" si="106"/>
        <v>-15000</v>
      </c>
      <c r="AT53" s="1266">
        <f t="shared" si="92"/>
        <v>-100</v>
      </c>
      <c r="AU53" s="1378">
        <f t="shared" si="93"/>
        <v>15000</v>
      </c>
      <c r="AV53" s="1314"/>
      <c r="AW53" s="1314">
        <f t="shared" si="107"/>
        <v>-15000</v>
      </c>
      <c r="AX53" s="1266">
        <f t="shared" si="94"/>
        <v>-100</v>
      </c>
      <c r="AY53" s="1237">
        <f t="shared" si="72"/>
        <v>168000</v>
      </c>
      <c r="AZ53" s="1189">
        <f t="shared" si="95"/>
        <v>0</v>
      </c>
      <c r="BB53" s="12"/>
    </row>
    <row r="54" spans="1:57" s="119" customFormat="1" ht="18" customHeight="1" x14ac:dyDescent="0.25">
      <c r="A54" s="170">
        <v>53468</v>
      </c>
      <c r="B54" s="1309" t="s">
        <v>125</v>
      </c>
      <c r="C54" s="1327">
        <v>38000</v>
      </c>
      <c r="D54" s="1314"/>
      <c r="E54" s="1314">
        <f t="shared" si="96"/>
        <v>-38000</v>
      </c>
      <c r="F54" s="1330">
        <f t="shared" si="73"/>
        <v>-100</v>
      </c>
      <c r="G54" s="1373">
        <f t="shared" si="74"/>
        <v>38000</v>
      </c>
      <c r="H54" s="1314"/>
      <c r="I54" s="1314">
        <f t="shared" si="97"/>
        <v>-38000</v>
      </c>
      <c r="J54" s="1266">
        <f t="shared" si="75"/>
        <v>-100</v>
      </c>
      <c r="K54" s="1378">
        <f t="shared" si="76"/>
        <v>38000</v>
      </c>
      <c r="L54" s="1314"/>
      <c r="M54" s="1314">
        <f t="shared" si="98"/>
        <v>-38000</v>
      </c>
      <c r="N54" s="1266">
        <f t="shared" si="77"/>
        <v>-100</v>
      </c>
      <c r="O54" s="1378">
        <f t="shared" si="78"/>
        <v>38000</v>
      </c>
      <c r="P54" s="1314"/>
      <c r="Q54" s="1314">
        <f t="shared" si="99"/>
        <v>-38000</v>
      </c>
      <c r="R54" s="1266">
        <f t="shared" si="79"/>
        <v>-100</v>
      </c>
      <c r="S54" s="1378">
        <v>80000</v>
      </c>
      <c r="T54" s="1314"/>
      <c r="U54" s="1314">
        <f t="shared" si="100"/>
        <v>-80000</v>
      </c>
      <c r="V54" s="1266">
        <f t="shared" si="80"/>
        <v>-100</v>
      </c>
      <c r="W54" s="1378">
        <f t="shared" si="81"/>
        <v>80000</v>
      </c>
      <c r="X54" s="1314"/>
      <c r="Y54" s="1314">
        <f t="shared" si="101"/>
        <v>-80000</v>
      </c>
      <c r="Z54" s="1266">
        <f t="shared" si="82"/>
        <v>-100</v>
      </c>
      <c r="AA54" s="1378">
        <f t="shared" si="83"/>
        <v>80000</v>
      </c>
      <c r="AB54" s="1314"/>
      <c r="AC54" s="1314">
        <f t="shared" si="102"/>
        <v>-80000</v>
      </c>
      <c r="AD54" s="1266">
        <f t="shared" si="84"/>
        <v>-100</v>
      </c>
      <c r="AE54" s="1378">
        <f t="shared" si="85"/>
        <v>80000</v>
      </c>
      <c r="AF54" s="1314"/>
      <c r="AG54" s="1314">
        <f t="shared" si="103"/>
        <v>-80000</v>
      </c>
      <c r="AH54" s="1266">
        <f t="shared" si="86"/>
        <v>-100</v>
      </c>
      <c r="AI54" s="1378">
        <f t="shared" si="87"/>
        <v>80000</v>
      </c>
      <c r="AJ54" s="1314"/>
      <c r="AK54" s="1314">
        <f t="shared" si="104"/>
        <v>-80000</v>
      </c>
      <c r="AL54" s="1266">
        <f t="shared" si="88"/>
        <v>-100</v>
      </c>
      <c r="AM54" s="1378">
        <f t="shared" si="89"/>
        <v>80000</v>
      </c>
      <c r="AN54" s="1314"/>
      <c r="AO54" s="1314">
        <f t="shared" si="105"/>
        <v>-80000</v>
      </c>
      <c r="AP54" s="1266">
        <f t="shared" si="90"/>
        <v>-100</v>
      </c>
      <c r="AQ54" s="1378">
        <f>AM54</f>
        <v>80000</v>
      </c>
      <c r="AR54" s="1314"/>
      <c r="AS54" s="1314">
        <f t="shared" si="106"/>
        <v>-80000</v>
      </c>
      <c r="AT54" s="1266">
        <f t="shared" si="92"/>
        <v>-100</v>
      </c>
      <c r="AU54" s="1378">
        <f t="shared" si="93"/>
        <v>80000</v>
      </c>
      <c r="AV54" s="1314"/>
      <c r="AW54" s="1314">
        <f t="shared" si="107"/>
        <v>-80000</v>
      </c>
      <c r="AX54" s="1266">
        <f t="shared" si="94"/>
        <v>-100</v>
      </c>
      <c r="AY54" s="1237">
        <f t="shared" si="72"/>
        <v>792000</v>
      </c>
      <c r="AZ54" s="1189">
        <f t="shared" si="95"/>
        <v>0</v>
      </c>
      <c r="BB54" s="12"/>
    </row>
    <row r="55" spans="1:57" s="119" customFormat="1" ht="18" customHeight="1" x14ac:dyDescent="0.25">
      <c r="A55" s="170">
        <v>11369</v>
      </c>
      <c r="B55" s="1309" t="s">
        <v>224</v>
      </c>
      <c r="C55" s="1327">
        <v>46500</v>
      </c>
      <c r="D55" s="1314"/>
      <c r="E55" s="1314">
        <f t="shared" si="96"/>
        <v>-46500</v>
      </c>
      <c r="F55" s="1330">
        <f t="shared" si="73"/>
        <v>-100</v>
      </c>
      <c r="G55" s="1373">
        <f t="shared" si="74"/>
        <v>46500</v>
      </c>
      <c r="H55" s="1314"/>
      <c r="I55" s="1314">
        <f t="shared" si="97"/>
        <v>-46500</v>
      </c>
      <c r="J55" s="1266">
        <f t="shared" si="75"/>
        <v>-100</v>
      </c>
      <c r="K55" s="1378">
        <f t="shared" si="76"/>
        <v>46500</v>
      </c>
      <c r="L55" s="1314"/>
      <c r="M55" s="1314">
        <f t="shared" si="98"/>
        <v>-46500</v>
      </c>
      <c r="N55" s="1266">
        <f t="shared" si="77"/>
        <v>-100</v>
      </c>
      <c r="O55" s="1378">
        <f t="shared" si="78"/>
        <v>46500</v>
      </c>
      <c r="P55" s="1314"/>
      <c r="Q55" s="1314">
        <f t="shared" si="99"/>
        <v>-46500</v>
      </c>
      <c r="R55" s="1266">
        <f t="shared" si="79"/>
        <v>-100</v>
      </c>
      <c r="S55" s="1378">
        <v>60000</v>
      </c>
      <c r="T55" s="1314"/>
      <c r="U55" s="1314">
        <f t="shared" si="100"/>
        <v>-60000</v>
      </c>
      <c r="V55" s="1266">
        <f t="shared" si="80"/>
        <v>-100</v>
      </c>
      <c r="W55" s="1378">
        <f t="shared" si="81"/>
        <v>60000</v>
      </c>
      <c r="X55" s="1314"/>
      <c r="Y55" s="1314">
        <f t="shared" si="101"/>
        <v>-60000</v>
      </c>
      <c r="Z55" s="1266">
        <f t="shared" si="82"/>
        <v>-100</v>
      </c>
      <c r="AA55" s="1378">
        <f t="shared" si="83"/>
        <v>60000</v>
      </c>
      <c r="AB55" s="1314"/>
      <c r="AC55" s="1314">
        <f t="shared" si="102"/>
        <v>-60000</v>
      </c>
      <c r="AD55" s="1266">
        <f t="shared" si="84"/>
        <v>-100</v>
      </c>
      <c r="AE55" s="1378">
        <f t="shared" si="85"/>
        <v>60000</v>
      </c>
      <c r="AF55" s="1314"/>
      <c r="AG55" s="1314">
        <f t="shared" si="103"/>
        <v>-60000</v>
      </c>
      <c r="AH55" s="1266">
        <f t="shared" si="86"/>
        <v>-100</v>
      </c>
      <c r="AI55" s="1378">
        <f t="shared" si="87"/>
        <v>60000</v>
      </c>
      <c r="AJ55" s="1314"/>
      <c r="AK55" s="1314">
        <f t="shared" si="104"/>
        <v>-60000</v>
      </c>
      <c r="AL55" s="1266">
        <f t="shared" si="88"/>
        <v>-100</v>
      </c>
      <c r="AM55" s="1378">
        <f t="shared" si="89"/>
        <v>60000</v>
      </c>
      <c r="AN55" s="1314"/>
      <c r="AO55" s="1314">
        <f t="shared" si="105"/>
        <v>-60000</v>
      </c>
      <c r="AP55" s="1266">
        <f t="shared" si="90"/>
        <v>-100</v>
      </c>
      <c r="AQ55" s="1378">
        <f>AM55</f>
        <v>60000</v>
      </c>
      <c r="AR55" s="1314"/>
      <c r="AS55" s="1314">
        <f t="shared" si="106"/>
        <v>-60000</v>
      </c>
      <c r="AT55" s="1266">
        <f t="shared" si="92"/>
        <v>-100</v>
      </c>
      <c r="AU55" s="1378">
        <f t="shared" si="93"/>
        <v>60000</v>
      </c>
      <c r="AV55" s="1314"/>
      <c r="AW55" s="1314">
        <f t="shared" si="107"/>
        <v>-60000</v>
      </c>
      <c r="AX55" s="1266">
        <f t="shared" si="94"/>
        <v>-100</v>
      </c>
      <c r="AY55" s="1237">
        <f t="shared" si="72"/>
        <v>666000</v>
      </c>
      <c r="AZ55" s="1189">
        <f t="shared" si="95"/>
        <v>0</v>
      </c>
      <c r="BB55" s="12"/>
    </row>
    <row r="56" spans="1:57" s="119" customFormat="1" ht="18" customHeight="1" x14ac:dyDescent="0.25">
      <c r="A56" s="170" t="s">
        <v>25</v>
      </c>
      <c r="B56" s="1309" t="s">
        <v>26</v>
      </c>
      <c r="C56" s="1327">
        <v>3650000</v>
      </c>
      <c r="D56" s="1314"/>
      <c r="E56" s="1314">
        <f t="shared" si="96"/>
        <v>-3650000</v>
      </c>
      <c r="F56" s="1330">
        <f t="shared" si="73"/>
        <v>-100</v>
      </c>
      <c r="G56" s="1373">
        <f t="shared" si="74"/>
        <v>3650000</v>
      </c>
      <c r="H56" s="1314"/>
      <c r="I56" s="1314">
        <f t="shared" si="97"/>
        <v>-3650000</v>
      </c>
      <c r="J56" s="1266">
        <f t="shared" si="75"/>
        <v>-100</v>
      </c>
      <c r="K56" s="1378">
        <f t="shared" si="76"/>
        <v>3650000</v>
      </c>
      <c r="L56" s="1314"/>
      <c r="M56" s="1314">
        <f t="shared" si="98"/>
        <v>-3650000</v>
      </c>
      <c r="N56" s="1266">
        <f t="shared" si="77"/>
        <v>-100</v>
      </c>
      <c r="O56" s="1378">
        <f t="shared" si="78"/>
        <v>3650000</v>
      </c>
      <c r="P56" s="1314"/>
      <c r="Q56" s="1314">
        <f t="shared" si="99"/>
        <v>-3650000</v>
      </c>
      <c r="R56" s="1266">
        <f t="shared" si="79"/>
        <v>-100</v>
      </c>
      <c r="S56" s="1378">
        <v>3796000</v>
      </c>
      <c r="T56" s="1314"/>
      <c r="U56" s="1314">
        <f t="shared" si="100"/>
        <v>-3796000</v>
      </c>
      <c r="V56" s="1266">
        <f t="shared" si="80"/>
        <v>-100</v>
      </c>
      <c r="W56" s="1378">
        <f t="shared" si="81"/>
        <v>3796000</v>
      </c>
      <c r="X56" s="1314"/>
      <c r="Y56" s="1314">
        <f t="shared" si="101"/>
        <v>-3796000</v>
      </c>
      <c r="Z56" s="1266">
        <f t="shared" si="82"/>
        <v>-100</v>
      </c>
      <c r="AA56" s="1378">
        <f t="shared" si="83"/>
        <v>3796000</v>
      </c>
      <c r="AB56" s="1314"/>
      <c r="AC56" s="1314">
        <f t="shared" si="102"/>
        <v>-3796000</v>
      </c>
      <c r="AD56" s="1266">
        <f t="shared" si="84"/>
        <v>-100</v>
      </c>
      <c r="AE56" s="1378">
        <f t="shared" si="85"/>
        <v>3796000</v>
      </c>
      <c r="AF56" s="1314"/>
      <c r="AG56" s="1314">
        <f t="shared" si="103"/>
        <v>-3796000</v>
      </c>
      <c r="AH56" s="1266">
        <f t="shared" si="86"/>
        <v>-100</v>
      </c>
      <c r="AI56" s="1378">
        <f t="shared" si="87"/>
        <v>3796000</v>
      </c>
      <c r="AJ56" s="1314"/>
      <c r="AK56" s="1314">
        <f t="shared" si="104"/>
        <v>-3796000</v>
      </c>
      <c r="AL56" s="1266">
        <f t="shared" si="88"/>
        <v>-100</v>
      </c>
      <c r="AM56" s="1378">
        <f t="shared" si="89"/>
        <v>3796000</v>
      </c>
      <c r="AN56" s="1314"/>
      <c r="AO56" s="1314">
        <f t="shared" si="105"/>
        <v>-3796000</v>
      </c>
      <c r="AP56" s="1266">
        <f t="shared" si="90"/>
        <v>-100</v>
      </c>
      <c r="AQ56" s="1378">
        <v>3905000</v>
      </c>
      <c r="AR56" s="1314"/>
      <c r="AS56" s="1314">
        <f t="shared" si="106"/>
        <v>-3905000</v>
      </c>
      <c r="AT56" s="1266">
        <f t="shared" si="92"/>
        <v>-100</v>
      </c>
      <c r="AU56" s="1378">
        <f t="shared" si="93"/>
        <v>3905000</v>
      </c>
      <c r="AV56" s="1314"/>
      <c r="AW56" s="1314">
        <f t="shared" si="107"/>
        <v>-3905000</v>
      </c>
      <c r="AX56" s="1266">
        <f t="shared" si="94"/>
        <v>-100</v>
      </c>
      <c r="AY56" s="1237">
        <f t="shared" si="72"/>
        <v>45186000</v>
      </c>
      <c r="AZ56" s="1189">
        <f t="shared" si="95"/>
        <v>0</v>
      </c>
      <c r="BB56" s="12"/>
      <c r="BE56" s="401"/>
    </row>
    <row r="57" spans="1:57" s="119" customFormat="1" ht="18" customHeight="1" x14ac:dyDescent="0.25">
      <c r="A57" s="170" t="s">
        <v>37</v>
      </c>
      <c r="B57" s="1309" t="s">
        <v>39</v>
      </c>
      <c r="C57" s="1327">
        <v>3000</v>
      </c>
      <c r="D57" s="1314"/>
      <c r="E57" s="1314">
        <f t="shared" si="96"/>
        <v>-3000</v>
      </c>
      <c r="F57" s="1330">
        <f t="shared" si="73"/>
        <v>-100</v>
      </c>
      <c r="G57" s="1373">
        <f t="shared" si="74"/>
        <v>3000</v>
      </c>
      <c r="H57" s="1314"/>
      <c r="I57" s="1314">
        <f t="shared" si="97"/>
        <v>-3000</v>
      </c>
      <c r="J57" s="1266">
        <f t="shared" si="75"/>
        <v>-100</v>
      </c>
      <c r="K57" s="1378">
        <f t="shared" si="76"/>
        <v>3000</v>
      </c>
      <c r="L57" s="1314"/>
      <c r="M57" s="1314">
        <f t="shared" si="98"/>
        <v>-3000</v>
      </c>
      <c r="N57" s="1266">
        <f t="shared" si="77"/>
        <v>-100</v>
      </c>
      <c r="O57" s="1378">
        <f t="shared" si="78"/>
        <v>3000</v>
      </c>
      <c r="P57" s="1314"/>
      <c r="Q57" s="1314">
        <f t="shared" si="99"/>
        <v>-3000</v>
      </c>
      <c r="R57" s="1266">
        <f t="shared" si="79"/>
        <v>-100</v>
      </c>
      <c r="S57" s="1223">
        <v>3045</v>
      </c>
      <c r="T57" s="1314"/>
      <c r="U57" s="1314">
        <f t="shared" si="100"/>
        <v>-3045</v>
      </c>
      <c r="V57" s="1266">
        <f t="shared" si="80"/>
        <v>-100</v>
      </c>
      <c r="W57" s="1223">
        <f t="shared" si="81"/>
        <v>3045</v>
      </c>
      <c r="X57" s="1314"/>
      <c r="Y57" s="1314">
        <f t="shared" si="101"/>
        <v>-3045</v>
      </c>
      <c r="Z57" s="1266">
        <f t="shared" si="82"/>
        <v>-100</v>
      </c>
      <c r="AA57" s="1223">
        <f t="shared" si="83"/>
        <v>3045</v>
      </c>
      <c r="AB57" s="1314"/>
      <c r="AC57" s="1314">
        <f t="shared" si="102"/>
        <v>-3045</v>
      </c>
      <c r="AD57" s="1266">
        <f t="shared" si="84"/>
        <v>-100</v>
      </c>
      <c r="AE57" s="1223">
        <f t="shared" si="85"/>
        <v>3045</v>
      </c>
      <c r="AF57" s="1314"/>
      <c r="AG57" s="1314">
        <f t="shared" si="103"/>
        <v>-3045</v>
      </c>
      <c r="AH57" s="1266">
        <f t="shared" si="86"/>
        <v>-100</v>
      </c>
      <c r="AI57" s="1223">
        <f t="shared" si="87"/>
        <v>3045</v>
      </c>
      <c r="AJ57" s="1314"/>
      <c r="AK57" s="1314">
        <f t="shared" si="104"/>
        <v>-3045</v>
      </c>
      <c r="AL57" s="1266">
        <f t="shared" si="88"/>
        <v>-100</v>
      </c>
      <c r="AM57" s="1223">
        <f t="shared" si="89"/>
        <v>3045</v>
      </c>
      <c r="AN57" s="1314"/>
      <c r="AO57" s="1314">
        <f t="shared" si="105"/>
        <v>-3045</v>
      </c>
      <c r="AP57" s="1266">
        <f t="shared" si="90"/>
        <v>-100</v>
      </c>
      <c r="AQ57" s="1223">
        <f>AM57</f>
        <v>3045</v>
      </c>
      <c r="AR57" s="1314"/>
      <c r="AS57" s="1314">
        <f t="shared" si="106"/>
        <v>-3045</v>
      </c>
      <c r="AT57" s="1266">
        <f t="shared" si="92"/>
        <v>-100</v>
      </c>
      <c r="AU57" s="1223">
        <f t="shared" si="93"/>
        <v>3045</v>
      </c>
      <c r="AV57" s="1314"/>
      <c r="AW57" s="1314">
        <f t="shared" si="107"/>
        <v>-3045</v>
      </c>
      <c r="AX57" s="1266">
        <f t="shared" si="94"/>
        <v>-100</v>
      </c>
      <c r="AY57" s="1237">
        <f t="shared" si="72"/>
        <v>36360</v>
      </c>
      <c r="AZ57" s="1189">
        <f t="shared" si="95"/>
        <v>0</v>
      </c>
      <c r="BB57" s="12"/>
    </row>
    <row r="58" spans="1:57" s="119" customFormat="1" ht="18" customHeight="1" x14ac:dyDescent="0.25">
      <c r="A58" s="170">
        <v>12267</v>
      </c>
      <c r="B58" s="1309" t="s">
        <v>44</v>
      </c>
      <c r="C58" s="1327">
        <v>32000</v>
      </c>
      <c r="D58" s="1314"/>
      <c r="E58" s="1314">
        <f t="shared" si="96"/>
        <v>-32000</v>
      </c>
      <c r="F58" s="1330">
        <f t="shared" si="73"/>
        <v>-100</v>
      </c>
      <c r="G58" s="1373">
        <f t="shared" si="74"/>
        <v>32000</v>
      </c>
      <c r="H58" s="1314"/>
      <c r="I58" s="1314">
        <f t="shared" si="97"/>
        <v>-32000</v>
      </c>
      <c r="J58" s="1266">
        <f t="shared" si="75"/>
        <v>-100</v>
      </c>
      <c r="K58" s="1378">
        <f t="shared" si="76"/>
        <v>32000</v>
      </c>
      <c r="L58" s="1314"/>
      <c r="M58" s="1314">
        <f t="shared" si="98"/>
        <v>-32000</v>
      </c>
      <c r="N58" s="1266">
        <f t="shared" si="77"/>
        <v>-100</v>
      </c>
      <c r="O58" s="1378">
        <f>K58</f>
        <v>32000</v>
      </c>
      <c r="P58" s="1314"/>
      <c r="Q58" s="1314">
        <f t="shared" si="99"/>
        <v>-32000</v>
      </c>
      <c r="R58" s="1266">
        <f t="shared" si="79"/>
        <v>-100</v>
      </c>
      <c r="S58" s="1223">
        <v>35500</v>
      </c>
      <c r="T58" s="1314"/>
      <c r="U58" s="1314">
        <f t="shared" si="100"/>
        <v>-35500</v>
      </c>
      <c r="V58" s="1266">
        <f t="shared" si="80"/>
        <v>-100</v>
      </c>
      <c r="W58" s="1223">
        <f t="shared" si="81"/>
        <v>35500</v>
      </c>
      <c r="X58" s="1314"/>
      <c r="Y58" s="1314">
        <f t="shared" si="101"/>
        <v>-35500</v>
      </c>
      <c r="Z58" s="1266">
        <f t="shared" si="82"/>
        <v>-100</v>
      </c>
      <c r="AA58" s="1223">
        <f t="shared" si="83"/>
        <v>35500</v>
      </c>
      <c r="AB58" s="1314"/>
      <c r="AC58" s="1314">
        <f t="shared" si="102"/>
        <v>-35500</v>
      </c>
      <c r="AD58" s="1266">
        <f t="shared" si="84"/>
        <v>-100</v>
      </c>
      <c r="AE58" s="1223">
        <f t="shared" si="85"/>
        <v>35500</v>
      </c>
      <c r="AF58" s="1314"/>
      <c r="AG58" s="1314">
        <f t="shared" si="103"/>
        <v>-35500</v>
      </c>
      <c r="AH58" s="1266">
        <f t="shared" si="86"/>
        <v>-100</v>
      </c>
      <c r="AI58" s="1223">
        <f t="shared" si="87"/>
        <v>35500</v>
      </c>
      <c r="AJ58" s="1314"/>
      <c r="AK58" s="1314">
        <f t="shared" si="104"/>
        <v>-35500</v>
      </c>
      <c r="AL58" s="1266">
        <f t="shared" si="88"/>
        <v>-100</v>
      </c>
      <c r="AM58" s="1223">
        <f>AI58</f>
        <v>35500</v>
      </c>
      <c r="AN58" s="1314"/>
      <c r="AO58" s="1314">
        <f t="shared" si="105"/>
        <v>-35500</v>
      </c>
      <c r="AP58" s="1266">
        <f t="shared" si="90"/>
        <v>-100</v>
      </c>
      <c r="AQ58" s="1223">
        <f>AM58</f>
        <v>35500</v>
      </c>
      <c r="AR58" s="1314"/>
      <c r="AS58" s="1314">
        <f t="shared" si="106"/>
        <v>-35500</v>
      </c>
      <c r="AT58" s="1266">
        <f t="shared" si="92"/>
        <v>-100</v>
      </c>
      <c r="AU58" s="1223">
        <f>AQ58</f>
        <v>35500</v>
      </c>
      <c r="AV58" s="1314"/>
      <c r="AW58" s="1314">
        <f t="shared" si="107"/>
        <v>-35500</v>
      </c>
      <c r="AX58" s="1266">
        <f t="shared" si="94"/>
        <v>-100</v>
      </c>
      <c r="AY58" s="1237">
        <f t="shared" si="72"/>
        <v>412000</v>
      </c>
      <c r="AZ58" s="1189">
        <f t="shared" si="95"/>
        <v>0</v>
      </c>
      <c r="BB58" s="12"/>
    </row>
    <row r="59" spans="1:57" s="119" customFormat="1" ht="18" customHeight="1" x14ac:dyDescent="0.25">
      <c r="A59" s="170">
        <v>11304</v>
      </c>
      <c r="B59" s="1309" t="s">
        <v>141</v>
      </c>
      <c r="C59" s="1327">
        <v>61000</v>
      </c>
      <c r="D59" s="1314"/>
      <c r="E59" s="1314">
        <f t="shared" si="96"/>
        <v>-61000</v>
      </c>
      <c r="F59" s="1330">
        <f t="shared" si="73"/>
        <v>-100</v>
      </c>
      <c r="G59" s="1373">
        <f t="shared" si="74"/>
        <v>61000</v>
      </c>
      <c r="H59" s="1314"/>
      <c r="I59" s="1314">
        <f t="shared" si="97"/>
        <v>-61000</v>
      </c>
      <c r="J59" s="1266">
        <f t="shared" si="75"/>
        <v>-100</v>
      </c>
      <c r="K59" s="1378">
        <f t="shared" si="76"/>
        <v>61000</v>
      </c>
      <c r="L59" s="1314"/>
      <c r="M59" s="1314">
        <f t="shared" si="98"/>
        <v>-61000</v>
      </c>
      <c r="N59" s="1266">
        <f t="shared" si="77"/>
        <v>-100</v>
      </c>
      <c r="O59" s="1378">
        <f>K59</f>
        <v>61000</v>
      </c>
      <c r="P59" s="1314"/>
      <c r="Q59" s="1314">
        <f t="shared" si="99"/>
        <v>-61000</v>
      </c>
      <c r="R59" s="1266">
        <f t="shared" si="79"/>
        <v>-100</v>
      </c>
      <c r="S59" s="1378">
        <f>O59</f>
        <v>61000</v>
      </c>
      <c r="T59" s="1314"/>
      <c r="U59" s="1314">
        <f t="shared" si="100"/>
        <v>-61000</v>
      </c>
      <c r="V59" s="1266">
        <f t="shared" si="80"/>
        <v>-100</v>
      </c>
      <c r="W59" s="1378">
        <f t="shared" si="81"/>
        <v>61000</v>
      </c>
      <c r="X59" s="1314"/>
      <c r="Y59" s="1314">
        <f t="shared" si="101"/>
        <v>-61000</v>
      </c>
      <c r="Z59" s="1266">
        <f t="shared" si="82"/>
        <v>-100</v>
      </c>
      <c r="AA59" s="1378">
        <f t="shared" si="83"/>
        <v>61000</v>
      </c>
      <c r="AB59" s="1314"/>
      <c r="AC59" s="1314">
        <f t="shared" si="102"/>
        <v>-61000</v>
      </c>
      <c r="AD59" s="1266">
        <f t="shared" si="84"/>
        <v>-100</v>
      </c>
      <c r="AE59" s="1378">
        <f t="shared" si="85"/>
        <v>61000</v>
      </c>
      <c r="AF59" s="1314"/>
      <c r="AG59" s="1314">
        <f t="shared" si="103"/>
        <v>-61000</v>
      </c>
      <c r="AH59" s="1266">
        <f t="shared" si="86"/>
        <v>-100</v>
      </c>
      <c r="AI59" s="1378">
        <f t="shared" si="87"/>
        <v>61000</v>
      </c>
      <c r="AJ59" s="1314"/>
      <c r="AK59" s="1314">
        <f t="shared" si="104"/>
        <v>-61000</v>
      </c>
      <c r="AL59" s="1266">
        <f t="shared" si="88"/>
        <v>-100</v>
      </c>
      <c r="AM59" s="1378">
        <f>AI59</f>
        <v>61000</v>
      </c>
      <c r="AN59" s="1314"/>
      <c r="AO59" s="1314">
        <f t="shared" si="105"/>
        <v>-61000</v>
      </c>
      <c r="AP59" s="1266">
        <f t="shared" si="90"/>
        <v>-100</v>
      </c>
      <c r="AQ59" s="1378">
        <f>AM59</f>
        <v>61000</v>
      </c>
      <c r="AR59" s="1314"/>
      <c r="AS59" s="1314">
        <f t="shared" si="106"/>
        <v>-61000</v>
      </c>
      <c r="AT59" s="1266">
        <f t="shared" si="92"/>
        <v>-100</v>
      </c>
      <c r="AU59" s="1378">
        <f>AQ59</f>
        <v>61000</v>
      </c>
      <c r="AV59" s="1314"/>
      <c r="AW59" s="1314">
        <f t="shared" si="107"/>
        <v>-61000</v>
      </c>
      <c r="AX59" s="1266">
        <f t="shared" si="94"/>
        <v>-100</v>
      </c>
      <c r="AY59" s="1237">
        <f t="shared" si="72"/>
        <v>732000</v>
      </c>
      <c r="AZ59" s="1189">
        <f t="shared" si="95"/>
        <v>0</v>
      </c>
      <c r="BB59" s="12"/>
    </row>
    <row r="60" spans="1:57" s="119" customFormat="1" ht="18" customHeight="1" x14ac:dyDescent="0.25">
      <c r="A60" s="170">
        <v>12204</v>
      </c>
      <c r="B60" s="1309" t="s">
        <v>177</v>
      </c>
      <c r="C60" s="1327">
        <v>3500</v>
      </c>
      <c r="D60" s="1314"/>
      <c r="E60" s="1314">
        <f t="shared" si="96"/>
        <v>-3500</v>
      </c>
      <c r="F60" s="1330">
        <f t="shared" si="73"/>
        <v>-100</v>
      </c>
      <c r="G60" s="1373">
        <f t="shared" si="74"/>
        <v>3500</v>
      </c>
      <c r="H60" s="1314"/>
      <c r="I60" s="1314">
        <f t="shared" si="97"/>
        <v>-3500</v>
      </c>
      <c r="J60" s="1266">
        <f t="shared" si="75"/>
        <v>-100</v>
      </c>
      <c r="K60" s="1378">
        <f t="shared" si="76"/>
        <v>3500</v>
      </c>
      <c r="L60" s="1314"/>
      <c r="M60" s="1314">
        <f t="shared" si="98"/>
        <v>-3500</v>
      </c>
      <c r="N60" s="1266">
        <f t="shared" si="77"/>
        <v>-100</v>
      </c>
      <c r="O60" s="1378">
        <f>K60</f>
        <v>3500</v>
      </c>
      <c r="P60" s="1314"/>
      <c r="Q60" s="1314">
        <f t="shared" si="99"/>
        <v>-3500</v>
      </c>
      <c r="R60" s="1266">
        <f t="shared" si="79"/>
        <v>-100</v>
      </c>
      <c r="S60" s="1223">
        <v>4000</v>
      </c>
      <c r="T60" s="1314"/>
      <c r="U60" s="1314">
        <f t="shared" si="100"/>
        <v>-4000</v>
      </c>
      <c r="V60" s="1266">
        <f t="shared" si="80"/>
        <v>-100</v>
      </c>
      <c r="W60" s="1223">
        <f t="shared" si="81"/>
        <v>4000</v>
      </c>
      <c r="X60" s="1314"/>
      <c r="Y60" s="1314">
        <f t="shared" si="101"/>
        <v>-4000</v>
      </c>
      <c r="Z60" s="1266">
        <f t="shared" si="82"/>
        <v>-100</v>
      </c>
      <c r="AA60" s="1223">
        <f t="shared" si="83"/>
        <v>4000</v>
      </c>
      <c r="AB60" s="1314"/>
      <c r="AC60" s="1314">
        <f t="shared" si="102"/>
        <v>-4000</v>
      </c>
      <c r="AD60" s="1266">
        <f t="shared" si="84"/>
        <v>-100</v>
      </c>
      <c r="AE60" s="1223">
        <f t="shared" si="85"/>
        <v>4000</v>
      </c>
      <c r="AF60" s="1314"/>
      <c r="AG60" s="1314">
        <f t="shared" si="103"/>
        <v>-4000</v>
      </c>
      <c r="AH60" s="1266">
        <f t="shared" si="86"/>
        <v>-100</v>
      </c>
      <c r="AI60" s="1223">
        <f t="shared" si="87"/>
        <v>4000</v>
      </c>
      <c r="AJ60" s="1314"/>
      <c r="AK60" s="1314">
        <f t="shared" si="104"/>
        <v>-4000</v>
      </c>
      <c r="AL60" s="1266">
        <f t="shared" si="88"/>
        <v>-100</v>
      </c>
      <c r="AM60" s="1223">
        <f>AI60</f>
        <v>4000</v>
      </c>
      <c r="AN60" s="1314"/>
      <c r="AO60" s="1314">
        <f t="shared" si="105"/>
        <v>-4000</v>
      </c>
      <c r="AP60" s="1266">
        <f t="shared" si="90"/>
        <v>-100</v>
      </c>
      <c r="AQ60" s="1223">
        <v>4000</v>
      </c>
      <c r="AR60" s="1314"/>
      <c r="AS60" s="1314">
        <f t="shared" si="106"/>
        <v>-4000</v>
      </c>
      <c r="AT60" s="1266">
        <f t="shared" si="92"/>
        <v>-100</v>
      </c>
      <c r="AU60" s="1223">
        <v>4000</v>
      </c>
      <c r="AV60" s="1314"/>
      <c r="AW60" s="1314">
        <f t="shared" si="107"/>
        <v>-4000</v>
      </c>
      <c r="AX60" s="1266">
        <f t="shared" si="94"/>
        <v>-100</v>
      </c>
      <c r="AY60" s="1237">
        <f t="shared" si="72"/>
        <v>46000</v>
      </c>
      <c r="AZ60" s="1189">
        <f t="shared" si="95"/>
        <v>0</v>
      </c>
      <c r="BB60" s="12"/>
    </row>
    <row r="61" spans="1:57" s="119" customFormat="1" ht="18" customHeight="1" x14ac:dyDescent="0.25">
      <c r="A61" s="170">
        <v>11434</v>
      </c>
      <c r="B61" s="1309" t="s">
        <v>173</v>
      </c>
      <c r="C61" s="1327">
        <v>50000</v>
      </c>
      <c r="D61" s="1314"/>
      <c r="E61" s="1314">
        <f t="shared" si="96"/>
        <v>-50000</v>
      </c>
      <c r="F61" s="1330">
        <f t="shared" si="73"/>
        <v>-100</v>
      </c>
      <c r="G61" s="1373">
        <f t="shared" si="74"/>
        <v>50000</v>
      </c>
      <c r="H61" s="1314"/>
      <c r="I61" s="1314">
        <f t="shared" si="97"/>
        <v>-50000</v>
      </c>
      <c r="J61" s="1266">
        <f t="shared" si="75"/>
        <v>-100</v>
      </c>
      <c r="K61" s="1378">
        <f t="shared" si="76"/>
        <v>50000</v>
      </c>
      <c r="L61" s="1314"/>
      <c r="M61" s="1314">
        <f t="shared" si="98"/>
        <v>-50000</v>
      </c>
      <c r="N61" s="1266">
        <f t="shared" si="77"/>
        <v>-100</v>
      </c>
      <c r="O61" s="1378">
        <f>K61</f>
        <v>50000</v>
      </c>
      <c r="P61" s="1314"/>
      <c r="Q61" s="1314">
        <f t="shared" si="99"/>
        <v>-50000</v>
      </c>
      <c r="R61" s="1266">
        <f t="shared" si="79"/>
        <v>-100</v>
      </c>
      <c r="S61" s="1378">
        <f>O61</f>
        <v>50000</v>
      </c>
      <c r="T61" s="1314"/>
      <c r="U61" s="1314">
        <f t="shared" si="100"/>
        <v>-50000</v>
      </c>
      <c r="V61" s="1266">
        <f t="shared" si="80"/>
        <v>-100</v>
      </c>
      <c r="W61" s="1378">
        <f t="shared" si="81"/>
        <v>50000</v>
      </c>
      <c r="X61" s="1314"/>
      <c r="Y61" s="1314">
        <f t="shared" si="101"/>
        <v>-50000</v>
      </c>
      <c r="Z61" s="1266">
        <f t="shared" si="82"/>
        <v>-100</v>
      </c>
      <c r="AA61" s="1378">
        <f t="shared" si="83"/>
        <v>50000</v>
      </c>
      <c r="AB61" s="1314"/>
      <c r="AC61" s="1314">
        <f t="shared" si="102"/>
        <v>-50000</v>
      </c>
      <c r="AD61" s="1266">
        <f t="shared" si="84"/>
        <v>-100</v>
      </c>
      <c r="AE61" s="1378">
        <f t="shared" si="85"/>
        <v>50000</v>
      </c>
      <c r="AF61" s="1314"/>
      <c r="AG61" s="1314">
        <f t="shared" si="103"/>
        <v>-50000</v>
      </c>
      <c r="AH61" s="1266">
        <f t="shared" si="86"/>
        <v>-100</v>
      </c>
      <c r="AI61" s="1378">
        <f t="shared" si="87"/>
        <v>50000</v>
      </c>
      <c r="AJ61" s="1314"/>
      <c r="AK61" s="1314">
        <f t="shared" si="104"/>
        <v>-50000</v>
      </c>
      <c r="AL61" s="1266">
        <f t="shared" si="88"/>
        <v>-100</v>
      </c>
      <c r="AM61" s="1378">
        <f>AI61</f>
        <v>50000</v>
      </c>
      <c r="AN61" s="1314"/>
      <c r="AO61" s="1314">
        <f t="shared" si="105"/>
        <v>-50000</v>
      </c>
      <c r="AP61" s="1266">
        <f t="shared" si="90"/>
        <v>-100</v>
      </c>
      <c r="AQ61" s="1378">
        <f>AM61</f>
        <v>50000</v>
      </c>
      <c r="AR61" s="1314"/>
      <c r="AS61" s="1314">
        <f t="shared" si="106"/>
        <v>-50000</v>
      </c>
      <c r="AT61" s="1266">
        <f t="shared" si="92"/>
        <v>-100</v>
      </c>
      <c r="AU61" s="1378">
        <f>AQ61</f>
        <v>50000</v>
      </c>
      <c r="AV61" s="1314"/>
      <c r="AW61" s="1314">
        <f t="shared" si="107"/>
        <v>-50000</v>
      </c>
      <c r="AX61" s="1266">
        <f t="shared" si="94"/>
        <v>-100</v>
      </c>
      <c r="AY61" s="1237">
        <f t="shared" si="72"/>
        <v>600000</v>
      </c>
      <c r="AZ61" s="1189">
        <f t="shared" si="95"/>
        <v>0</v>
      </c>
      <c r="BB61" s="12"/>
    </row>
    <row r="62" spans="1:57" s="119" customFormat="1" ht="18" customHeight="1" thickBot="1" x14ac:dyDescent="0.3">
      <c r="A62" s="122">
        <v>11481</v>
      </c>
      <c r="B62" s="509" t="s">
        <v>30</v>
      </c>
      <c r="C62" s="1328">
        <v>160000</v>
      </c>
      <c r="D62" s="1317"/>
      <c r="E62" s="1317">
        <f t="shared" si="96"/>
        <v>-160000</v>
      </c>
      <c r="F62" s="1332">
        <f t="shared" si="73"/>
        <v>-100</v>
      </c>
      <c r="G62" s="1375">
        <f t="shared" si="74"/>
        <v>160000</v>
      </c>
      <c r="H62" s="1317"/>
      <c r="I62" s="1317">
        <f t="shared" si="97"/>
        <v>-160000</v>
      </c>
      <c r="J62" s="1312">
        <f t="shared" si="75"/>
        <v>-100</v>
      </c>
      <c r="K62" s="1380">
        <f t="shared" si="76"/>
        <v>160000</v>
      </c>
      <c r="L62" s="1317"/>
      <c r="M62" s="1317">
        <f t="shared" si="98"/>
        <v>-160000</v>
      </c>
      <c r="N62" s="1312">
        <f t="shared" si="77"/>
        <v>-100</v>
      </c>
      <c r="O62" s="1380">
        <f>K62</f>
        <v>160000</v>
      </c>
      <c r="P62" s="1317"/>
      <c r="Q62" s="1317">
        <f t="shared" si="99"/>
        <v>-160000</v>
      </c>
      <c r="R62" s="1312">
        <f t="shared" si="79"/>
        <v>-100</v>
      </c>
      <c r="S62" s="1380">
        <v>185000</v>
      </c>
      <c r="T62" s="1317"/>
      <c r="U62" s="1317">
        <f t="shared" si="100"/>
        <v>-185000</v>
      </c>
      <c r="V62" s="1312">
        <f t="shared" si="80"/>
        <v>-100</v>
      </c>
      <c r="W62" s="1380">
        <f t="shared" si="81"/>
        <v>185000</v>
      </c>
      <c r="X62" s="1317"/>
      <c r="Y62" s="1317">
        <f t="shared" si="101"/>
        <v>-185000</v>
      </c>
      <c r="Z62" s="1312">
        <f t="shared" si="82"/>
        <v>-100</v>
      </c>
      <c r="AA62" s="1380">
        <f t="shared" si="83"/>
        <v>185000</v>
      </c>
      <c r="AB62" s="1317"/>
      <c r="AC62" s="1317">
        <f t="shared" si="102"/>
        <v>-185000</v>
      </c>
      <c r="AD62" s="1312">
        <f t="shared" si="84"/>
        <v>-100</v>
      </c>
      <c r="AE62" s="1380">
        <f t="shared" si="85"/>
        <v>185000</v>
      </c>
      <c r="AF62" s="1317"/>
      <c r="AG62" s="1317">
        <f t="shared" si="103"/>
        <v>-185000</v>
      </c>
      <c r="AH62" s="1312">
        <f t="shared" si="86"/>
        <v>-100</v>
      </c>
      <c r="AI62" s="1380">
        <f t="shared" si="87"/>
        <v>185000</v>
      </c>
      <c r="AJ62" s="1317"/>
      <c r="AK62" s="1317">
        <f t="shared" si="104"/>
        <v>-185000</v>
      </c>
      <c r="AL62" s="1312">
        <f t="shared" si="88"/>
        <v>-100</v>
      </c>
      <c r="AM62" s="1380">
        <f>AI62</f>
        <v>185000</v>
      </c>
      <c r="AN62" s="1317"/>
      <c r="AO62" s="1317">
        <f t="shared" si="105"/>
        <v>-185000</v>
      </c>
      <c r="AP62" s="1312">
        <f t="shared" si="90"/>
        <v>-100</v>
      </c>
      <c r="AQ62" s="898">
        <f>AM62</f>
        <v>185000</v>
      </c>
      <c r="AR62" s="1317"/>
      <c r="AS62" s="1317">
        <f t="shared" si="106"/>
        <v>-185000</v>
      </c>
      <c r="AT62" s="1312">
        <f t="shared" si="92"/>
        <v>-100</v>
      </c>
      <c r="AU62" s="898">
        <f>AQ62</f>
        <v>185000</v>
      </c>
      <c r="AV62" s="1317"/>
      <c r="AW62" s="1317">
        <f t="shared" si="107"/>
        <v>-185000</v>
      </c>
      <c r="AX62" s="1312">
        <f t="shared" si="94"/>
        <v>-100</v>
      </c>
      <c r="AY62" s="1242">
        <f t="shared" si="72"/>
        <v>2120000</v>
      </c>
      <c r="AZ62" s="1383">
        <f t="shared" si="95"/>
        <v>0</v>
      </c>
      <c r="BB62" s="12"/>
    </row>
    <row r="63" spans="1:57" s="11" customFormat="1" ht="18" customHeight="1" thickBot="1" x14ac:dyDescent="0.3">
      <c r="A63" s="161"/>
      <c r="B63" s="185"/>
      <c r="C63" s="333"/>
      <c r="D63" s="333"/>
      <c r="E63" s="333"/>
      <c r="F63" s="333"/>
      <c r="G63" s="146"/>
      <c r="H63" s="333"/>
      <c r="I63" s="333"/>
      <c r="J63" s="333"/>
      <c r="K63" s="146"/>
      <c r="L63" s="333"/>
      <c r="M63" s="333"/>
      <c r="N63" s="333"/>
      <c r="O63" s="146"/>
      <c r="P63" s="333"/>
      <c r="Q63" s="333"/>
      <c r="R63" s="333"/>
      <c r="S63" s="146"/>
      <c r="T63" s="333"/>
      <c r="U63" s="333"/>
      <c r="V63" s="333"/>
      <c r="W63" s="146"/>
      <c r="X63" s="333"/>
      <c r="Y63" s="333"/>
      <c r="Z63" s="333"/>
      <c r="AA63" s="146"/>
      <c r="AB63" s="333"/>
      <c r="AC63" s="333"/>
      <c r="AD63" s="333"/>
      <c r="AE63" s="146"/>
      <c r="AF63" s="333"/>
      <c r="AG63" s="333"/>
      <c r="AH63" s="333"/>
      <c r="AI63" s="146"/>
      <c r="AJ63" s="333"/>
      <c r="AK63" s="333"/>
      <c r="AL63" s="333"/>
      <c r="AM63" s="146"/>
      <c r="AN63" s="333"/>
      <c r="AO63" s="333"/>
      <c r="AP63" s="333"/>
      <c r="AQ63" s="146"/>
      <c r="AR63" s="333"/>
      <c r="AS63" s="333"/>
      <c r="AT63" s="333"/>
      <c r="AU63" s="146"/>
      <c r="AV63" s="333"/>
      <c r="AW63" s="333"/>
      <c r="AX63" s="333"/>
      <c r="AY63" s="1184"/>
      <c r="AZ63" s="1184"/>
      <c r="BA63" s="1172"/>
      <c r="BB63" s="1172"/>
    </row>
    <row r="64" spans="1:57" s="11" customFormat="1" ht="18" customHeight="1" thickBot="1" x14ac:dyDescent="0.3">
      <c r="A64" s="1070"/>
      <c r="B64" s="330" t="s">
        <v>168</v>
      </c>
      <c r="C64" s="1168">
        <f>SUM(C65:C103)</f>
        <v>6070500</v>
      </c>
      <c r="D64" s="1313">
        <f>SUM(D65:D106)</f>
        <v>0</v>
      </c>
      <c r="E64" s="392">
        <f>D64-C64</f>
        <v>-6070500</v>
      </c>
      <c r="F64" s="1321">
        <f>((D64/C64)-1)*100</f>
        <v>-100</v>
      </c>
      <c r="G64" s="1168">
        <f>SUM(G65:G103)</f>
        <v>6070500</v>
      </c>
      <c r="H64" s="1313">
        <f>SUM(H65:H106)</f>
        <v>0</v>
      </c>
      <c r="I64" s="392">
        <f>H64-G64</f>
        <v>-6070500</v>
      </c>
      <c r="J64" s="1321">
        <f>((H64/G64)-1)*100</f>
        <v>-100</v>
      </c>
      <c r="K64" s="1168">
        <f>SUM(K65:K103)</f>
        <v>6070500</v>
      </c>
      <c r="L64" s="1313">
        <f>SUM(L65:L103)</f>
        <v>0</v>
      </c>
      <c r="M64" s="392">
        <f>L64-K64</f>
        <v>-6070500</v>
      </c>
      <c r="N64" s="1321">
        <f>((L64/K64)-1)*100</f>
        <v>-100</v>
      </c>
      <c r="O64" s="1168">
        <f>SUM(O65:O103)</f>
        <v>6070500</v>
      </c>
      <c r="P64" s="1313">
        <f>SUM(P65:P103)</f>
        <v>0</v>
      </c>
      <c r="Q64" s="392">
        <f>P64-O64</f>
        <v>-6070500</v>
      </c>
      <c r="R64" s="1321">
        <f>((P64/O64)-1)*100</f>
        <v>-100</v>
      </c>
      <c r="S64" s="1168">
        <f>SUM(S65:S103)</f>
        <v>6070500</v>
      </c>
      <c r="T64" s="1313">
        <f>SUM(T65:T103)</f>
        <v>0</v>
      </c>
      <c r="U64" s="392">
        <f>T64-S64</f>
        <v>-6070500</v>
      </c>
      <c r="V64" s="1321">
        <f>((T64/S64)-1)*100</f>
        <v>-100</v>
      </c>
      <c r="W64" s="1168">
        <f>SUM(W65:W103)</f>
        <v>6070500</v>
      </c>
      <c r="X64" s="1313">
        <f>SUM(X65:X103)</f>
        <v>0</v>
      </c>
      <c r="Y64" s="392">
        <f>X64-W64</f>
        <v>-6070500</v>
      </c>
      <c r="Z64" s="1321">
        <f>((X64/W64)-1)*100</f>
        <v>-100</v>
      </c>
      <c r="AA64" s="1168">
        <f>SUM(AA65:AA103)</f>
        <v>6070500</v>
      </c>
      <c r="AB64" s="1313">
        <f>SUM(AB65:AB103)</f>
        <v>0</v>
      </c>
      <c r="AC64" s="392">
        <f>AB64-AA64</f>
        <v>-6070500</v>
      </c>
      <c r="AD64" s="1321">
        <f>((AB64/AA64)-1)*100</f>
        <v>-100</v>
      </c>
      <c r="AE64" s="1168">
        <f>SUM(AE65:AE103)</f>
        <v>6070500</v>
      </c>
      <c r="AF64" s="1313">
        <f>SUM(AF65:AF103)</f>
        <v>0</v>
      </c>
      <c r="AG64" s="392">
        <f>AF64-AE64</f>
        <v>-6070500</v>
      </c>
      <c r="AH64" s="1321">
        <f>((AF64/AE64)-1)*100</f>
        <v>-100</v>
      </c>
      <c r="AI64" s="1168">
        <f>SUM(AI65:AI103)</f>
        <v>6070500</v>
      </c>
      <c r="AJ64" s="1313">
        <f>SUM(AJ65:AJ103)</f>
        <v>0</v>
      </c>
      <c r="AK64" s="392">
        <f>AJ64-AI64</f>
        <v>-6070500</v>
      </c>
      <c r="AL64" s="1321">
        <f>((AJ64/AI64)-1)*100</f>
        <v>-100</v>
      </c>
      <c r="AM64" s="1168">
        <f>SUM(AM65:AM103)</f>
        <v>6070500</v>
      </c>
      <c r="AN64" s="1313">
        <f>SUM(AN65:AN103)</f>
        <v>0</v>
      </c>
      <c r="AO64" s="392">
        <f>AN64-AM64</f>
        <v>-6070500</v>
      </c>
      <c r="AP64" s="1321">
        <f>((AN64/AM64)-1)*100</f>
        <v>-100</v>
      </c>
      <c r="AQ64" s="1168">
        <f>SUM(AQ65:AQ103)</f>
        <v>6070500</v>
      </c>
      <c r="AR64" s="1313">
        <f>SUM(AR65:AR103)</f>
        <v>0</v>
      </c>
      <c r="AS64" s="392">
        <f>AR64-AQ64</f>
        <v>-6070500</v>
      </c>
      <c r="AT64" s="1321">
        <f>((AR64/AQ64)-1)*100</f>
        <v>-100</v>
      </c>
      <c r="AU64" s="1168">
        <f>SUM(AU65:AU103)</f>
        <v>6070500</v>
      </c>
      <c r="AV64" s="1313">
        <f>SUM(AV65:AV103)</f>
        <v>0</v>
      </c>
      <c r="AW64" s="392">
        <f>AV64-AU64</f>
        <v>-6070500</v>
      </c>
      <c r="AX64" s="530">
        <f>((AV64/AU64)-1)*100</f>
        <v>-100</v>
      </c>
      <c r="AY64" s="1334">
        <f>C64+G64+K64+O64+S64+W64+AA64+AE64+AI64+AM64+AQ64+AU64</f>
        <v>72846000</v>
      </c>
      <c r="AZ64" s="1385">
        <f>D64+H64+L64+P64+T64+X64+AB64+AF64+AJ64+AN64+AR64+AV64</f>
        <v>0</v>
      </c>
      <c r="BA64" s="195"/>
      <c r="BB64" s="1176"/>
    </row>
    <row r="65" spans="1:57" s="12" customFormat="1" ht="18" customHeight="1" x14ac:dyDescent="0.25">
      <c r="A65" s="1071">
        <v>12461</v>
      </c>
      <c r="B65" s="382" t="s">
        <v>165</v>
      </c>
      <c r="C65" s="1207">
        <v>3500</v>
      </c>
      <c r="D65" s="1300"/>
      <c r="E65" s="1300">
        <f t="shared" ref="E65:E106" si="108">D65-C65</f>
        <v>-3500</v>
      </c>
      <c r="F65" s="1216">
        <f t="shared" ref="F65:F103" si="109">((D65/C65)-1)*100</f>
        <v>-100</v>
      </c>
      <c r="G65" s="1264">
        <f t="shared" ref="G65:G74" si="110">C65</f>
        <v>3500</v>
      </c>
      <c r="H65" s="1299"/>
      <c r="I65" s="1299">
        <f t="shared" ref="I65:I106" si="111">H65-G65</f>
        <v>-3500</v>
      </c>
      <c r="J65" s="1216">
        <f t="shared" ref="J65:J74" si="112">((H65/G65)-1)*100</f>
        <v>-100</v>
      </c>
      <c r="K65" s="1264">
        <f t="shared" ref="K65:K74" si="113">G65</f>
        <v>3500</v>
      </c>
      <c r="L65" s="1300"/>
      <c r="M65" s="1300">
        <f t="shared" ref="M65:M106" si="114">L65-K65</f>
        <v>-3500</v>
      </c>
      <c r="N65" s="1216">
        <f t="shared" ref="N65:N74" si="115">((L65/K65)-1)*100</f>
        <v>-100</v>
      </c>
      <c r="O65" s="1264">
        <f t="shared" ref="O65:O74" si="116">K65</f>
        <v>3500</v>
      </c>
      <c r="P65" s="1300"/>
      <c r="Q65" s="1300">
        <f t="shared" ref="Q65:Q106" si="117">P65-O65</f>
        <v>-3500</v>
      </c>
      <c r="R65" s="1216">
        <f t="shared" ref="R65:R74" si="118">((P65/O65)-1)*100</f>
        <v>-100</v>
      </c>
      <c r="S65" s="1264">
        <f t="shared" ref="S65:S74" si="119">O65</f>
        <v>3500</v>
      </c>
      <c r="T65" s="1300"/>
      <c r="U65" s="1300">
        <f t="shared" ref="U65:U106" si="120">T65-S65</f>
        <v>-3500</v>
      </c>
      <c r="V65" s="1216">
        <f t="shared" ref="V65:V74" si="121">((T65/S65)-1)*100</f>
        <v>-100</v>
      </c>
      <c r="W65" s="1264">
        <f t="shared" ref="W65:W74" si="122">S65</f>
        <v>3500</v>
      </c>
      <c r="X65" s="1300"/>
      <c r="Y65" s="1300">
        <f t="shared" ref="Y65:Y106" si="123">X65-W65</f>
        <v>-3500</v>
      </c>
      <c r="Z65" s="1216">
        <f t="shared" ref="Z65:Z74" si="124">((X65/W65)-1)*100</f>
        <v>-100</v>
      </c>
      <c r="AA65" s="1264">
        <f t="shared" ref="AA65:AA74" si="125">W65</f>
        <v>3500</v>
      </c>
      <c r="AB65" s="1299"/>
      <c r="AC65" s="1299">
        <f t="shared" ref="AC65:AC106" si="126">AB65-AA65</f>
        <v>-3500</v>
      </c>
      <c r="AD65" s="1216">
        <f t="shared" ref="AD65:AD74" si="127">((AB65/AA65)-1)*100</f>
        <v>-100</v>
      </c>
      <c r="AE65" s="1264">
        <f t="shared" ref="AE65:AE74" si="128">AA65</f>
        <v>3500</v>
      </c>
      <c r="AF65" s="1300"/>
      <c r="AG65" s="1300">
        <f t="shared" ref="AG65:AG106" si="129">AF65-AE65</f>
        <v>-3500</v>
      </c>
      <c r="AH65" s="1216">
        <f t="shared" ref="AH65:AH74" si="130">((AF65/AE65)-1)*100</f>
        <v>-100</v>
      </c>
      <c r="AI65" s="1264">
        <f t="shared" ref="AI65:AI74" si="131">AE65</f>
        <v>3500</v>
      </c>
      <c r="AJ65" s="1300"/>
      <c r="AK65" s="1300">
        <f t="shared" ref="AK65:AK106" si="132">AJ65-AI65</f>
        <v>-3500</v>
      </c>
      <c r="AL65" s="1216">
        <f t="shared" ref="AL65:AL74" si="133">((AJ65/AI65)-1)*100</f>
        <v>-100</v>
      </c>
      <c r="AM65" s="1264">
        <f t="shared" ref="AM65:AM74" si="134">AI65</f>
        <v>3500</v>
      </c>
      <c r="AN65" s="1300"/>
      <c r="AO65" s="1300">
        <f t="shared" ref="AO65:AO106" si="135">AN65-AM65</f>
        <v>-3500</v>
      </c>
      <c r="AP65" s="1216">
        <f t="shared" ref="AP65:AP74" si="136">((AN65/AM65)-1)*100</f>
        <v>-100</v>
      </c>
      <c r="AQ65" s="1264">
        <f t="shared" ref="AQ65:AQ74" si="137">AM65</f>
        <v>3500</v>
      </c>
      <c r="AR65" s="1300"/>
      <c r="AS65" s="1300">
        <f t="shared" ref="AS65:AS106" si="138">AR65-AQ65</f>
        <v>-3500</v>
      </c>
      <c r="AT65" s="1216">
        <f t="shared" ref="AT65:AT74" si="139">((AR65/AQ65)-1)*100</f>
        <v>-100</v>
      </c>
      <c r="AU65" s="1388">
        <f t="shared" ref="AU65:AU74" si="140">AQ65</f>
        <v>3500</v>
      </c>
      <c r="AV65" s="1300"/>
      <c r="AW65" s="1300">
        <f t="shared" ref="AW65:AW106" si="141">AV65-AU65</f>
        <v>-3500</v>
      </c>
      <c r="AX65" s="1364">
        <f t="shared" ref="AX65:AX74" si="142">((AV65/AU65)-1)*100</f>
        <v>-100</v>
      </c>
      <c r="AY65" s="1237">
        <f>C65+G65+K65+O65+S65+W65+AA65+AE65+AI65+AM65+AQ65+AU65</f>
        <v>42000</v>
      </c>
      <c r="AZ65" s="1189">
        <f>D65+H65+L65+P65+T65+X65+AB65+AF65+AJ65+AN65+AR65+AV65</f>
        <v>0</v>
      </c>
      <c r="BA65" s="805"/>
      <c r="BB65" s="1178"/>
      <c r="BC65" s="119"/>
      <c r="BD65" s="119"/>
      <c r="BE65" s="119"/>
    </row>
    <row r="66" spans="1:57" s="12" customFormat="1" ht="18" customHeight="1" x14ac:dyDescent="0.25">
      <c r="A66" s="1071">
        <v>51288</v>
      </c>
      <c r="B66" s="382" t="s">
        <v>59</v>
      </c>
      <c r="C66" s="1207">
        <v>650000</v>
      </c>
      <c r="D66" s="1300"/>
      <c r="E66" s="1300">
        <f t="shared" si="108"/>
        <v>-650000</v>
      </c>
      <c r="F66" s="1216">
        <f t="shared" si="109"/>
        <v>-100</v>
      </c>
      <c r="G66" s="1264">
        <f t="shared" si="110"/>
        <v>650000</v>
      </c>
      <c r="H66" s="1300"/>
      <c r="I66" s="1300">
        <f t="shared" si="111"/>
        <v>-650000</v>
      </c>
      <c r="J66" s="1216">
        <f t="shared" si="112"/>
        <v>-100</v>
      </c>
      <c r="K66" s="1264">
        <f t="shared" si="113"/>
        <v>650000</v>
      </c>
      <c r="L66" s="1300"/>
      <c r="M66" s="1300">
        <f t="shared" si="114"/>
        <v>-650000</v>
      </c>
      <c r="N66" s="1216">
        <f t="shared" si="115"/>
        <v>-100</v>
      </c>
      <c r="O66" s="1264">
        <f t="shared" si="116"/>
        <v>650000</v>
      </c>
      <c r="P66" s="1300"/>
      <c r="Q66" s="1300">
        <f t="shared" si="117"/>
        <v>-650000</v>
      </c>
      <c r="R66" s="1216">
        <f t="shared" si="118"/>
        <v>-100</v>
      </c>
      <c r="S66" s="1264">
        <f t="shared" si="119"/>
        <v>650000</v>
      </c>
      <c r="T66" s="1300"/>
      <c r="U66" s="1300">
        <f t="shared" si="120"/>
        <v>-650000</v>
      </c>
      <c r="V66" s="1216">
        <f t="shared" si="121"/>
        <v>-100</v>
      </c>
      <c r="W66" s="1264">
        <f t="shared" si="122"/>
        <v>650000</v>
      </c>
      <c r="X66" s="1300"/>
      <c r="Y66" s="1300">
        <f t="shared" si="123"/>
        <v>-650000</v>
      </c>
      <c r="Z66" s="1216">
        <f t="shared" si="124"/>
        <v>-100</v>
      </c>
      <c r="AA66" s="1264">
        <f t="shared" si="125"/>
        <v>650000</v>
      </c>
      <c r="AB66" s="1300"/>
      <c r="AC66" s="1300">
        <f t="shared" si="126"/>
        <v>-650000</v>
      </c>
      <c r="AD66" s="1216">
        <f t="shared" si="127"/>
        <v>-100</v>
      </c>
      <c r="AE66" s="1264">
        <f t="shared" si="128"/>
        <v>650000</v>
      </c>
      <c r="AF66" s="1300"/>
      <c r="AG66" s="1300">
        <f t="shared" si="129"/>
        <v>-650000</v>
      </c>
      <c r="AH66" s="1216">
        <f t="shared" si="130"/>
        <v>-100</v>
      </c>
      <c r="AI66" s="1264">
        <f t="shared" si="131"/>
        <v>650000</v>
      </c>
      <c r="AJ66" s="1300"/>
      <c r="AK66" s="1300">
        <f t="shared" si="132"/>
        <v>-650000</v>
      </c>
      <c r="AL66" s="1216">
        <f t="shared" si="133"/>
        <v>-100</v>
      </c>
      <c r="AM66" s="1264">
        <f t="shared" si="134"/>
        <v>650000</v>
      </c>
      <c r="AN66" s="1300"/>
      <c r="AO66" s="1300">
        <f t="shared" si="135"/>
        <v>-650000</v>
      </c>
      <c r="AP66" s="1216">
        <f t="shared" si="136"/>
        <v>-100</v>
      </c>
      <c r="AQ66" s="1264">
        <f t="shared" si="137"/>
        <v>650000</v>
      </c>
      <c r="AR66" s="1300"/>
      <c r="AS66" s="1300">
        <f t="shared" si="138"/>
        <v>-650000</v>
      </c>
      <c r="AT66" s="1216">
        <f t="shared" si="139"/>
        <v>-100</v>
      </c>
      <c r="AU66" s="1264">
        <f t="shared" si="140"/>
        <v>650000</v>
      </c>
      <c r="AV66" s="1300"/>
      <c r="AW66" s="1300">
        <f t="shared" si="141"/>
        <v>-650000</v>
      </c>
      <c r="AX66" s="1364">
        <f t="shared" si="142"/>
        <v>-100</v>
      </c>
      <c r="AY66" s="1237">
        <f t="shared" ref="AY66:AY103" si="143">C66+G66+K66+O66+S66+W66+AA66+AE66+AI66+AM66+AQ66+AU66</f>
        <v>7800000</v>
      </c>
      <c r="AZ66" s="1189">
        <f t="shared" ref="AZ66:AZ103" si="144">D66+H66+L66+P66+T66+X66+AB66+AF66+AJ66+AN66+AR66+AV66</f>
        <v>0</v>
      </c>
      <c r="BA66" s="805"/>
      <c r="BB66" s="1178"/>
      <c r="BC66" s="119"/>
      <c r="BD66" s="119"/>
      <c r="BE66" s="119"/>
    </row>
    <row r="67" spans="1:57" s="119" customFormat="1" ht="18" customHeight="1" x14ac:dyDescent="0.25">
      <c r="A67" s="1071">
        <v>51014</v>
      </c>
      <c r="B67" s="382" t="s">
        <v>3786</v>
      </c>
      <c r="C67" s="1207">
        <v>250000</v>
      </c>
      <c r="D67" s="1300"/>
      <c r="E67" s="1300">
        <f t="shared" si="108"/>
        <v>-250000</v>
      </c>
      <c r="F67" s="1216">
        <f t="shared" si="109"/>
        <v>-100</v>
      </c>
      <c r="G67" s="1264">
        <f t="shared" si="110"/>
        <v>250000</v>
      </c>
      <c r="H67" s="1300"/>
      <c r="I67" s="1300">
        <f t="shared" si="111"/>
        <v>-250000</v>
      </c>
      <c r="J67" s="1216">
        <f t="shared" si="112"/>
        <v>-100</v>
      </c>
      <c r="K67" s="1264">
        <f t="shared" si="113"/>
        <v>250000</v>
      </c>
      <c r="L67" s="1300"/>
      <c r="M67" s="1300">
        <f t="shared" si="114"/>
        <v>-250000</v>
      </c>
      <c r="N67" s="1216">
        <f t="shared" si="115"/>
        <v>-100</v>
      </c>
      <c r="O67" s="1264">
        <f t="shared" si="116"/>
        <v>250000</v>
      </c>
      <c r="P67" s="1300"/>
      <c r="Q67" s="1300">
        <f t="shared" si="117"/>
        <v>-250000</v>
      </c>
      <c r="R67" s="1216">
        <f t="shared" si="118"/>
        <v>-100</v>
      </c>
      <c r="S67" s="1264">
        <f t="shared" si="119"/>
        <v>250000</v>
      </c>
      <c r="T67" s="1300"/>
      <c r="U67" s="1300">
        <f t="shared" si="120"/>
        <v>-250000</v>
      </c>
      <c r="V67" s="1216">
        <f t="shared" si="121"/>
        <v>-100</v>
      </c>
      <c r="W67" s="1264">
        <f t="shared" si="122"/>
        <v>250000</v>
      </c>
      <c r="X67" s="1300"/>
      <c r="Y67" s="1300">
        <f t="shared" si="123"/>
        <v>-250000</v>
      </c>
      <c r="Z67" s="1216">
        <f t="shared" si="124"/>
        <v>-100</v>
      </c>
      <c r="AA67" s="1264">
        <f t="shared" si="125"/>
        <v>250000</v>
      </c>
      <c r="AB67" s="1300"/>
      <c r="AC67" s="1300">
        <f t="shared" si="126"/>
        <v>-250000</v>
      </c>
      <c r="AD67" s="1216">
        <f t="shared" si="127"/>
        <v>-100</v>
      </c>
      <c r="AE67" s="1264">
        <f t="shared" si="128"/>
        <v>250000</v>
      </c>
      <c r="AF67" s="1300"/>
      <c r="AG67" s="1300">
        <f t="shared" si="129"/>
        <v>-250000</v>
      </c>
      <c r="AH67" s="1216">
        <f t="shared" si="130"/>
        <v>-100</v>
      </c>
      <c r="AI67" s="1264">
        <f t="shared" si="131"/>
        <v>250000</v>
      </c>
      <c r="AJ67" s="1300"/>
      <c r="AK67" s="1300">
        <f t="shared" si="132"/>
        <v>-250000</v>
      </c>
      <c r="AL67" s="1216">
        <f t="shared" si="133"/>
        <v>-100</v>
      </c>
      <c r="AM67" s="1264">
        <f t="shared" si="134"/>
        <v>250000</v>
      </c>
      <c r="AN67" s="1300"/>
      <c r="AO67" s="1300">
        <f t="shared" si="135"/>
        <v>-250000</v>
      </c>
      <c r="AP67" s="1216">
        <f t="shared" si="136"/>
        <v>-100</v>
      </c>
      <c r="AQ67" s="1264">
        <f t="shared" si="137"/>
        <v>250000</v>
      </c>
      <c r="AR67" s="1300"/>
      <c r="AS67" s="1300">
        <f t="shared" si="138"/>
        <v>-250000</v>
      </c>
      <c r="AT67" s="1216">
        <f t="shared" si="139"/>
        <v>-100</v>
      </c>
      <c r="AU67" s="1264">
        <f t="shared" si="140"/>
        <v>250000</v>
      </c>
      <c r="AV67" s="1300"/>
      <c r="AW67" s="1300">
        <f t="shared" si="141"/>
        <v>-250000</v>
      </c>
      <c r="AX67" s="1364">
        <f t="shared" si="142"/>
        <v>-100</v>
      </c>
      <c r="AY67" s="1237">
        <f t="shared" si="143"/>
        <v>3000000</v>
      </c>
      <c r="AZ67" s="1189">
        <f t="shared" si="144"/>
        <v>0</v>
      </c>
      <c r="BA67" s="805"/>
      <c r="BB67" s="1178"/>
    </row>
    <row r="68" spans="1:57" s="119" customFormat="1" ht="18" customHeight="1" x14ac:dyDescent="0.25">
      <c r="A68" s="170">
        <v>51019</v>
      </c>
      <c r="B68" s="382" t="s">
        <v>3782</v>
      </c>
      <c r="C68" s="1207">
        <v>175000</v>
      </c>
      <c r="D68" s="1300"/>
      <c r="E68" s="1300">
        <f t="shared" si="108"/>
        <v>-175000</v>
      </c>
      <c r="F68" s="1216">
        <f t="shared" si="109"/>
        <v>-100</v>
      </c>
      <c r="G68" s="1264">
        <f t="shared" si="110"/>
        <v>175000</v>
      </c>
      <c r="H68" s="1300"/>
      <c r="I68" s="1300">
        <f t="shared" si="111"/>
        <v>-175000</v>
      </c>
      <c r="J68" s="1216">
        <f t="shared" si="112"/>
        <v>-100</v>
      </c>
      <c r="K68" s="1264">
        <f t="shared" si="113"/>
        <v>175000</v>
      </c>
      <c r="L68" s="1300"/>
      <c r="M68" s="1300">
        <f t="shared" si="114"/>
        <v>-175000</v>
      </c>
      <c r="N68" s="1216">
        <f t="shared" si="115"/>
        <v>-100</v>
      </c>
      <c r="O68" s="1264">
        <f t="shared" si="116"/>
        <v>175000</v>
      </c>
      <c r="P68" s="1300"/>
      <c r="Q68" s="1300">
        <f t="shared" si="117"/>
        <v>-175000</v>
      </c>
      <c r="R68" s="1216">
        <f t="shared" si="118"/>
        <v>-100</v>
      </c>
      <c r="S68" s="1264">
        <f t="shared" si="119"/>
        <v>175000</v>
      </c>
      <c r="T68" s="1300"/>
      <c r="U68" s="1300">
        <f t="shared" si="120"/>
        <v>-175000</v>
      </c>
      <c r="V68" s="1216">
        <f t="shared" si="121"/>
        <v>-100</v>
      </c>
      <c r="W68" s="1264">
        <f t="shared" si="122"/>
        <v>175000</v>
      </c>
      <c r="X68" s="1300"/>
      <c r="Y68" s="1300">
        <f t="shared" si="123"/>
        <v>-175000</v>
      </c>
      <c r="Z68" s="1216">
        <f t="shared" si="124"/>
        <v>-100</v>
      </c>
      <c r="AA68" s="1264">
        <f t="shared" si="125"/>
        <v>175000</v>
      </c>
      <c r="AB68" s="1300"/>
      <c r="AC68" s="1300">
        <f t="shared" si="126"/>
        <v>-175000</v>
      </c>
      <c r="AD68" s="1216">
        <f t="shared" si="127"/>
        <v>-100</v>
      </c>
      <c r="AE68" s="1264">
        <f t="shared" si="128"/>
        <v>175000</v>
      </c>
      <c r="AF68" s="1300"/>
      <c r="AG68" s="1300">
        <f t="shared" si="129"/>
        <v>-175000</v>
      </c>
      <c r="AH68" s="1216">
        <f t="shared" si="130"/>
        <v>-100</v>
      </c>
      <c r="AI68" s="1264">
        <f t="shared" si="131"/>
        <v>175000</v>
      </c>
      <c r="AJ68" s="1300"/>
      <c r="AK68" s="1300">
        <f t="shared" si="132"/>
        <v>-175000</v>
      </c>
      <c r="AL68" s="1216">
        <f t="shared" si="133"/>
        <v>-100</v>
      </c>
      <c r="AM68" s="1264">
        <f t="shared" si="134"/>
        <v>175000</v>
      </c>
      <c r="AN68" s="1300"/>
      <c r="AO68" s="1300">
        <f t="shared" si="135"/>
        <v>-175000</v>
      </c>
      <c r="AP68" s="1216">
        <f t="shared" si="136"/>
        <v>-100</v>
      </c>
      <c r="AQ68" s="1264">
        <f t="shared" si="137"/>
        <v>175000</v>
      </c>
      <c r="AR68" s="1300"/>
      <c r="AS68" s="1300">
        <f t="shared" si="138"/>
        <v>-175000</v>
      </c>
      <c r="AT68" s="1216">
        <f t="shared" si="139"/>
        <v>-100</v>
      </c>
      <c r="AU68" s="1264">
        <f t="shared" si="140"/>
        <v>175000</v>
      </c>
      <c r="AV68" s="1300"/>
      <c r="AW68" s="1300">
        <f t="shared" si="141"/>
        <v>-175000</v>
      </c>
      <c r="AX68" s="1364">
        <f t="shared" si="142"/>
        <v>-100</v>
      </c>
      <c r="AY68" s="1237">
        <f t="shared" si="143"/>
        <v>2100000</v>
      </c>
      <c r="AZ68" s="1189">
        <f t="shared" si="144"/>
        <v>0</v>
      </c>
      <c r="BA68" s="805"/>
      <c r="BB68" s="1178"/>
    </row>
    <row r="69" spans="1:57" s="119" customFormat="1" ht="18" customHeight="1" x14ac:dyDescent="0.25">
      <c r="A69" s="170">
        <v>51020</v>
      </c>
      <c r="B69" s="382" t="s">
        <v>58</v>
      </c>
      <c r="C69" s="1207">
        <v>125000</v>
      </c>
      <c r="D69" s="1300"/>
      <c r="E69" s="1300">
        <f t="shared" si="108"/>
        <v>-125000</v>
      </c>
      <c r="F69" s="1216">
        <f t="shared" si="109"/>
        <v>-100</v>
      </c>
      <c r="G69" s="1264">
        <f t="shared" si="110"/>
        <v>125000</v>
      </c>
      <c r="H69" s="1300"/>
      <c r="I69" s="1300">
        <f t="shared" si="111"/>
        <v>-125000</v>
      </c>
      <c r="J69" s="1216">
        <f t="shared" si="112"/>
        <v>-100</v>
      </c>
      <c r="K69" s="1264">
        <f t="shared" si="113"/>
        <v>125000</v>
      </c>
      <c r="L69" s="1300"/>
      <c r="M69" s="1300">
        <f t="shared" si="114"/>
        <v>-125000</v>
      </c>
      <c r="N69" s="1216">
        <f t="shared" si="115"/>
        <v>-100</v>
      </c>
      <c r="O69" s="1264">
        <f t="shared" si="116"/>
        <v>125000</v>
      </c>
      <c r="P69" s="1300"/>
      <c r="Q69" s="1300">
        <f t="shared" si="117"/>
        <v>-125000</v>
      </c>
      <c r="R69" s="1216">
        <f t="shared" si="118"/>
        <v>-100</v>
      </c>
      <c r="S69" s="1264">
        <f t="shared" si="119"/>
        <v>125000</v>
      </c>
      <c r="T69" s="1300"/>
      <c r="U69" s="1300">
        <f t="shared" si="120"/>
        <v>-125000</v>
      </c>
      <c r="V69" s="1216">
        <f t="shared" si="121"/>
        <v>-100</v>
      </c>
      <c r="W69" s="1264">
        <f t="shared" si="122"/>
        <v>125000</v>
      </c>
      <c r="X69" s="1300"/>
      <c r="Y69" s="1300">
        <f t="shared" si="123"/>
        <v>-125000</v>
      </c>
      <c r="Z69" s="1216">
        <f t="shared" si="124"/>
        <v>-100</v>
      </c>
      <c r="AA69" s="1264">
        <f t="shared" si="125"/>
        <v>125000</v>
      </c>
      <c r="AB69" s="1300"/>
      <c r="AC69" s="1300">
        <f t="shared" si="126"/>
        <v>-125000</v>
      </c>
      <c r="AD69" s="1216">
        <f t="shared" si="127"/>
        <v>-100</v>
      </c>
      <c r="AE69" s="1264">
        <f t="shared" si="128"/>
        <v>125000</v>
      </c>
      <c r="AF69" s="1300"/>
      <c r="AG69" s="1300">
        <f t="shared" si="129"/>
        <v>-125000</v>
      </c>
      <c r="AH69" s="1216">
        <f t="shared" si="130"/>
        <v>-100</v>
      </c>
      <c r="AI69" s="1264">
        <f t="shared" si="131"/>
        <v>125000</v>
      </c>
      <c r="AJ69" s="1300"/>
      <c r="AK69" s="1300">
        <f t="shared" si="132"/>
        <v>-125000</v>
      </c>
      <c r="AL69" s="1216">
        <f t="shared" si="133"/>
        <v>-100</v>
      </c>
      <c r="AM69" s="1264">
        <f t="shared" si="134"/>
        <v>125000</v>
      </c>
      <c r="AN69" s="1300"/>
      <c r="AO69" s="1300">
        <f t="shared" si="135"/>
        <v>-125000</v>
      </c>
      <c r="AP69" s="1216">
        <f t="shared" si="136"/>
        <v>-100</v>
      </c>
      <c r="AQ69" s="1264">
        <f t="shared" si="137"/>
        <v>125000</v>
      </c>
      <c r="AR69" s="1300"/>
      <c r="AS69" s="1300">
        <f t="shared" si="138"/>
        <v>-125000</v>
      </c>
      <c r="AT69" s="1216">
        <f t="shared" si="139"/>
        <v>-100</v>
      </c>
      <c r="AU69" s="1264">
        <f t="shared" si="140"/>
        <v>125000</v>
      </c>
      <c r="AV69" s="1300"/>
      <c r="AW69" s="1300">
        <f t="shared" si="141"/>
        <v>-125000</v>
      </c>
      <c r="AX69" s="1364">
        <f t="shared" si="142"/>
        <v>-100</v>
      </c>
      <c r="AY69" s="1237">
        <f t="shared" si="143"/>
        <v>1500000</v>
      </c>
      <c r="AZ69" s="1189">
        <f t="shared" si="144"/>
        <v>0</v>
      </c>
      <c r="BA69" s="805"/>
      <c r="BB69" s="1178"/>
    </row>
    <row r="70" spans="1:57" s="119" customFormat="1" ht="18" customHeight="1" x14ac:dyDescent="0.25">
      <c r="A70" s="170">
        <v>54956</v>
      </c>
      <c r="B70" s="382" t="s">
        <v>3781</v>
      </c>
      <c r="C70" s="1207">
        <v>10300</v>
      </c>
      <c r="D70" s="1300"/>
      <c r="E70" s="1300">
        <f t="shared" si="108"/>
        <v>-10300</v>
      </c>
      <c r="F70" s="1216">
        <f t="shared" si="109"/>
        <v>-100</v>
      </c>
      <c r="G70" s="1264">
        <f t="shared" si="110"/>
        <v>10300</v>
      </c>
      <c r="H70" s="1300"/>
      <c r="I70" s="1300">
        <f t="shared" si="111"/>
        <v>-10300</v>
      </c>
      <c r="J70" s="1216">
        <f t="shared" si="112"/>
        <v>-100</v>
      </c>
      <c r="K70" s="1264">
        <f t="shared" si="113"/>
        <v>10300</v>
      </c>
      <c r="L70" s="1300"/>
      <c r="M70" s="1300">
        <f t="shared" si="114"/>
        <v>-10300</v>
      </c>
      <c r="N70" s="1216">
        <f t="shared" si="115"/>
        <v>-100</v>
      </c>
      <c r="O70" s="1264">
        <f t="shared" si="116"/>
        <v>10300</v>
      </c>
      <c r="P70" s="1300"/>
      <c r="Q70" s="1300">
        <f t="shared" si="117"/>
        <v>-10300</v>
      </c>
      <c r="R70" s="1216">
        <f t="shared" si="118"/>
        <v>-100</v>
      </c>
      <c r="S70" s="1264">
        <f t="shared" si="119"/>
        <v>10300</v>
      </c>
      <c r="T70" s="1300"/>
      <c r="U70" s="1300">
        <f t="shared" si="120"/>
        <v>-10300</v>
      </c>
      <c r="V70" s="1216">
        <f t="shared" si="121"/>
        <v>-100</v>
      </c>
      <c r="W70" s="1264">
        <f t="shared" si="122"/>
        <v>10300</v>
      </c>
      <c r="X70" s="1300"/>
      <c r="Y70" s="1300">
        <f t="shared" si="123"/>
        <v>-10300</v>
      </c>
      <c r="Z70" s="1216">
        <f t="shared" si="124"/>
        <v>-100</v>
      </c>
      <c r="AA70" s="1264">
        <f t="shared" si="125"/>
        <v>10300</v>
      </c>
      <c r="AB70" s="1300"/>
      <c r="AC70" s="1300">
        <f t="shared" si="126"/>
        <v>-10300</v>
      </c>
      <c r="AD70" s="1216">
        <f t="shared" si="127"/>
        <v>-100</v>
      </c>
      <c r="AE70" s="1264">
        <f t="shared" si="128"/>
        <v>10300</v>
      </c>
      <c r="AF70" s="1300"/>
      <c r="AG70" s="1300">
        <f t="shared" si="129"/>
        <v>-10300</v>
      </c>
      <c r="AH70" s="1216">
        <f t="shared" si="130"/>
        <v>-100</v>
      </c>
      <c r="AI70" s="1264">
        <f t="shared" si="131"/>
        <v>10300</v>
      </c>
      <c r="AJ70" s="1300"/>
      <c r="AK70" s="1300">
        <f t="shared" si="132"/>
        <v>-10300</v>
      </c>
      <c r="AL70" s="1216">
        <f t="shared" si="133"/>
        <v>-100</v>
      </c>
      <c r="AM70" s="1264">
        <f t="shared" si="134"/>
        <v>10300</v>
      </c>
      <c r="AN70" s="1300"/>
      <c r="AO70" s="1300">
        <f t="shared" si="135"/>
        <v>-10300</v>
      </c>
      <c r="AP70" s="1216">
        <f t="shared" si="136"/>
        <v>-100</v>
      </c>
      <c r="AQ70" s="1264">
        <f t="shared" si="137"/>
        <v>10300</v>
      </c>
      <c r="AR70" s="1300"/>
      <c r="AS70" s="1300">
        <f t="shared" si="138"/>
        <v>-10300</v>
      </c>
      <c r="AT70" s="1216">
        <f t="shared" si="139"/>
        <v>-100</v>
      </c>
      <c r="AU70" s="1264">
        <f t="shared" si="140"/>
        <v>10300</v>
      </c>
      <c r="AV70" s="1300"/>
      <c r="AW70" s="1300">
        <f t="shared" si="141"/>
        <v>-10300</v>
      </c>
      <c r="AX70" s="1364">
        <f t="shared" si="142"/>
        <v>-100</v>
      </c>
      <c r="AY70" s="1237">
        <f t="shared" si="143"/>
        <v>123600</v>
      </c>
      <c r="AZ70" s="1189">
        <f t="shared" si="144"/>
        <v>0</v>
      </c>
      <c r="BA70" s="805"/>
      <c r="BB70" s="1178"/>
    </row>
    <row r="71" spans="1:57" s="119" customFormat="1" ht="18" customHeight="1" x14ac:dyDescent="0.25">
      <c r="A71" s="170">
        <v>25044</v>
      </c>
      <c r="B71" s="382" t="s">
        <v>181</v>
      </c>
      <c r="C71" s="1207">
        <v>90000</v>
      </c>
      <c r="D71" s="1300"/>
      <c r="E71" s="1300">
        <f t="shared" si="108"/>
        <v>-90000</v>
      </c>
      <c r="F71" s="1216">
        <f t="shared" si="109"/>
        <v>-100</v>
      </c>
      <c r="G71" s="1264">
        <f t="shared" si="110"/>
        <v>90000</v>
      </c>
      <c r="H71" s="1300"/>
      <c r="I71" s="1300">
        <f>H71-G71</f>
        <v>-90000</v>
      </c>
      <c r="J71" s="1216">
        <f>((H71/G71)-1)*100</f>
        <v>-100</v>
      </c>
      <c r="K71" s="1264">
        <f t="shared" si="113"/>
        <v>90000</v>
      </c>
      <c r="L71" s="1300"/>
      <c r="M71" s="1300">
        <f t="shared" si="114"/>
        <v>-90000</v>
      </c>
      <c r="N71" s="1216">
        <f t="shared" si="115"/>
        <v>-100</v>
      </c>
      <c r="O71" s="1264">
        <f t="shared" si="116"/>
        <v>90000</v>
      </c>
      <c r="P71" s="1300"/>
      <c r="Q71" s="1300">
        <f t="shared" si="117"/>
        <v>-90000</v>
      </c>
      <c r="R71" s="1216">
        <f t="shared" si="118"/>
        <v>-100</v>
      </c>
      <c r="S71" s="1264">
        <f t="shared" si="119"/>
        <v>90000</v>
      </c>
      <c r="T71" s="1300"/>
      <c r="U71" s="1300">
        <f t="shared" si="120"/>
        <v>-90000</v>
      </c>
      <c r="V71" s="1216">
        <f t="shared" si="121"/>
        <v>-100</v>
      </c>
      <c r="W71" s="1264">
        <f t="shared" si="122"/>
        <v>90000</v>
      </c>
      <c r="X71" s="1300"/>
      <c r="Y71" s="1300">
        <f t="shared" si="123"/>
        <v>-90000</v>
      </c>
      <c r="Z71" s="1216">
        <f t="shared" si="124"/>
        <v>-100</v>
      </c>
      <c r="AA71" s="1264">
        <f t="shared" si="125"/>
        <v>90000</v>
      </c>
      <c r="AB71" s="1300"/>
      <c r="AC71" s="1300">
        <f t="shared" si="126"/>
        <v>-90000</v>
      </c>
      <c r="AD71" s="1216">
        <f t="shared" si="127"/>
        <v>-100</v>
      </c>
      <c r="AE71" s="1264">
        <f t="shared" si="128"/>
        <v>90000</v>
      </c>
      <c r="AF71" s="1300"/>
      <c r="AG71" s="1300">
        <f t="shared" si="129"/>
        <v>-90000</v>
      </c>
      <c r="AH71" s="1216">
        <f t="shared" si="130"/>
        <v>-100</v>
      </c>
      <c r="AI71" s="1264">
        <f t="shared" si="131"/>
        <v>90000</v>
      </c>
      <c r="AJ71" s="1300"/>
      <c r="AK71" s="1300">
        <f t="shared" si="132"/>
        <v>-90000</v>
      </c>
      <c r="AL71" s="1216">
        <f t="shared" si="133"/>
        <v>-100</v>
      </c>
      <c r="AM71" s="1264">
        <f t="shared" si="134"/>
        <v>90000</v>
      </c>
      <c r="AN71" s="1300"/>
      <c r="AO71" s="1300">
        <f t="shared" si="135"/>
        <v>-90000</v>
      </c>
      <c r="AP71" s="1216">
        <f t="shared" si="136"/>
        <v>-100</v>
      </c>
      <c r="AQ71" s="1264">
        <f t="shared" si="137"/>
        <v>90000</v>
      </c>
      <c r="AR71" s="1300"/>
      <c r="AS71" s="1300">
        <f t="shared" si="138"/>
        <v>-90000</v>
      </c>
      <c r="AT71" s="1216">
        <f t="shared" si="139"/>
        <v>-100</v>
      </c>
      <c r="AU71" s="1264">
        <f t="shared" si="140"/>
        <v>90000</v>
      </c>
      <c r="AV71" s="1300"/>
      <c r="AW71" s="1300">
        <f t="shared" si="141"/>
        <v>-90000</v>
      </c>
      <c r="AX71" s="1364">
        <f t="shared" si="142"/>
        <v>-100</v>
      </c>
      <c r="AY71" s="1237">
        <f t="shared" si="143"/>
        <v>1080000</v>
      </c>
      <c r="AZ71" s="1189">
        <f>D71+H71+L71+P71+T71+X71+AB71+AF71+AJ71+AN71+AR71+AV71</f>
        <v>0</v>
      </c>
      <c r="BA71" s="805"/>
      <c r="BB71" s="1178"/>
    </row>
    <row r="72" spans="1:57" s="119" customFormat="1" ht="18" customHeight="1" x14ac:dyDescent="0.25">
      <c r="A72" s="170">
        <v>51012</v>
      </c>
      <c r="B72" s="382" t="s">
        <v>55</v>
      </c>
      <c r="C72" s="1207">
        <v>375000</v>
      </c>
      <c r="D72" s="1300"/>
      <c r="E72" s="1300">
        <f t="shared" si="108"/>
        <v>-375000</v>
      </c>
      <c r="F72" s="1216">
        <f t="shared" si="109"/>
        <v>-100</v>
      </c>
      <c r="G72" s="1264">
        <f t="shared" si="110"/>
        <v>375000</v>
      </c>
      <c r="H72" s="1300"/>
      <c r="I72" s="1300">
        <f t="shared" si="111"/>
        <v>-375000</v>
      </c>
      <c r="J72" s="1216">
        <f t="shared" si="112"/>
        <v>-100</v>
      </c>
      <c r="K72" s="1264">
        <f t="shared" si="113"/>
        <v>375000</v>
      </c>
      <c r="L72" s="1300"/>
      <c r="M72" s="1300">
        <f t="shared" si="114"/>
        <v>-375000</v>
      </c>
      <c r="N72" s="1216">
        <f t="shared" si="115"/>
        <v>-100</v>
      </c>
      <c r="O72" s="1264">
        <f t="shared" si="116"/>
        <v>375000</v>
      </c>
      <c r="P72" s="1300"/>
      <c r="Q72" s="1300">
        <f t="shared" si="117"/>
        <v>-375000</v>
      </c>
      <c r="R72" s="1216">
        <f t="shared" si="118"/>
        <v>-100</v>
      </c>
      <c r="S72" s="1264">
        <f t="shared" si="119"/>
        <v>375000</v>
      </c>
      <c r="T72" s="1300"/>
      <c r="U72" s="1300">
        <f t="shared" si="120"/>
        <v>-375000</v>
      </c>
      <c r="V72" s="1216">
        <f t="shared" si="121"/>
        <v>-100</v>
      </c>
      <c r="W72" s="1264">
        <f t="shared" si="122"/>
        <v>375000</v>
      </c>
      <c r="X72" s="1300"/>
      <c r="Y72" s="1300">
        <f t="shared" si="123"/>
        <v>-375000</v>
      </c>
      <c r="Z72" s="1216">
        <f t="shared" si="124"/>
        <v>-100</v>
      </c>
      <c r="AA72" s="1264">
        <f t="shared" si="125"/>
        <v>375000</v>
      </c>
      <c r="AB72" s="1300"/>
      <c r="AC72" s="1300">
        <f t="shared" si="126"/>
        <v>-375000</v>
      </c>
      <c r="AD72" s="1216">
        <f t="shared" si="127"/>
        <v>-100</v>
      </c>
      <c r="AE72" s="1264">
        <f t="shared" si="128"/>
        <v>375000</v>
      </c>
      <c r="AF72" s="1300"/>
      <c r="AG72" s="1300">
        <f t="shared" si="129"/>
        <v>-375000</v>
      </c>
      <c r="AH72" s="1216">
        <f t="shared" si="130"/>
        <v>-100</v>
      </c>
      <c r="AI72" s="1264">
        <f t="shared" si="131"/>
        <v>375000</v>
      </c>
      <c r="AJ72" s="1300"/>
      <c r="AK72" s="1300">
        <f t="shared" si="132"/>
        <v>-375000</v>
      </c>
      <c r="AL72" s="1216">
        <f t="shared" si="133"/>
        <v>-100</v>
      </c>
      <c r="AM72" s="1264">
        <f t="shared" si="134"/>
        <v>375000</v>
      </c>
      <c r="AN72" s="1300"/>
      <c r="AO72" s="1300">
        <f t="shared" si="135"/>
        <v>-375000</v>
      </c>
      <c r="AP72" s="1216">
        <f t="shared" si="136"/>
        <v>-100</v>
      </c>
      <c r="AQ72" s="1264">
        <f t="shared" si="137"/>
        <v>375000</v>
      </c>
      <c r="AR72" s="1300"/>
      <c r="AS72" s="1300">
        <f t="shared" si="138"/>
        <v>-375000</v>
      </c>
      <c r="AT72" s="1216">
        <f t="shared" si="139"/>
        <v>-100</v>
      </c>
      <c r="AU72" s="1264">
        <f t="shared" si="140"/>
        <v>375000</v>
      </c>
      <c r="AV72" s="1300"/>
      <c r="AW72" s="1300">
        <f t="shared" si="141"/>
        <v>-375000</v>
      </c>
      <c r="AX72" s="1364">
        <f t="shared" si="142"/>
        <v>-100</v>
      </c>
      <c r="AY72" s="1237">
        <f t="shared" si="143"/>
        <v>4500000</v>
      </c>
      <c r="AZ72" s="1189">
        <f t="shared" si="144"/>
        <v>0</v>
      </c>
      <c r="BA72" s="805"/>
      <c r="BB72" s="1178"/>
    </row>
    <row r="73" spans="1:57" s="119" customFormat="1" ht="18" customHeight="1" x14ac:dyDescent="0.25">
      <c r="A73" s="170">
        <v>51010</v>
      </c>
      <c r="B73" s="382" t="s">
        <v>186</v>
      </c>
      <c r="C73" s="1207">
        <v>165000</v>
      </c>
      <c r="D73" s="1300"/>
      <c r="E73" s="1300">
        <f t="shared" si="108"/>
        <v>-165000</v>
      </c>
      <c r="F73" s="1216">
        <f t="shared" si="109"/>
        <v>-100</v>
      </c>
      <c r="G73" s="1264">
        <f t="shared" si="110"/>
        <v>165000</v>
      </c>
      <c r="H73" s="1300"/>
      <c r="I73" s="1300">
        <f t="shared" si="111"/>
        <v>-165000</v>
      </c>
      <c r="J73" s="1216">
        <f t="shared" si="112"/>
        <v>-100</v>
      </c>
      <c r="K73" s="1264">
        <f t="shared" si="113"/>
        <v>165000</v>
      </c>
      <c r="L73" s="1300"/>
      <c r="M73" s="1300">
        <f t="shared" si="114"/>
        <v>-165000</v>
      </c>
      <c r="N73" s="1216">
        <f t="shared" si="115"/>
        <v>-100</v>
      </c>
      <c r="O73" s="1264">
        <f t="shared" si="116"/>
        <v>165000</v>
      </c>
      <c r="P73" s="1300"/>
      <c r="Q73" s="1300">
        <f t="shared" si="117"/>
        <v>-165000</v>
      </c>
      <c r="R73" s="1216">
        <f t="shared" si="118"/>
        <v>-100</v>
      </c>
      <c r="S73" s="1264">
        <f t="shared" si="119"/>
        <v>165000</v>
      </c>
      <c r="T73" s="1300"/>
      <c r="U73" s="1300">
        <f t="shared" si="120"/>
        <v>-165000</v>
      </c>
      <c r="V73" s="1216">
        <f t="shared" si="121"/>
        <v>-100</v>
      </c>
      <c r="W73" s="1264">
        <f t="shared" si="122"/>
        <v>165000</v>
      </c>
      <c r="X73" s="1300"/>
      <c r="Y73" s="1300">
        <f t="shared" si="123"/>
        <v>-165000</v>
      </c>
      <c r="Z73" s="1216">
        <f t="shared" si="124"/>
        <v>-100</v>
      </c>
      <c r="AA73" s="1264">
        <f t="shared" si="125"/>
        <v>165000</v>
      </c>
      <c r="AB73" s="1300"/>
      <c r="AC73" s="1300">
        <f t="shared" si="126"/>
        <v>-165000</v>
      </c>
      <c r="AD73" s="1216">
        <f t="shared" si="127"/>
        <v>-100</v>
      </c>
      <c r="AE73" s="1264">
        <f t="shared" si="128"/>
        <v>165000</v>
      </c>
      <c r="AF73" s="1300"/>
      <c r="AG73" s="1300">
        <f t="shared" si="129"/>
        <v>-165000</v>
      </c>
      <c r="AH73" s="1216">
        <f t="shared" si="130"/>
        <v>-100</v>
      </c>
      <c r="AI73" s="1264">
        <f t="shared" si="131"/>
        <v>165000</v>
      </c>
      <c r="AJ73" s="1300"/>
      <c r="AK73" s="1300">
        <f t="shared" si="132"/>
        <v>-165000</v>
      </c>
      <c r="AL73" s="1216">
        <f t="shared" si="133"/>
        <v>-100</v>
      </c>
      <c r="AM73" s="1264">
        <f t="shared" si="134"/>
        <v>165000</v>
      </c>
      <c r="AN73" s="1300"/>
      <c r="AO73" s="1300">
        <f t="shared" si="135"/>
        <v>-165000</v>
      </c>
      <c r="AP73" s="1216">
        <f t="shared" si="136"/>
        <v>-100</v>
      </c>
      <c r="AQ73" s="1264">
        <f t="shared" si="137"/>
        <v>165000</v>
      </c>
      <c r="AR73" s="1300"/>
      <c r="AS73" s="1300">
        <f t="shared" si="138"/>
        <v>-165000</v>
      </c>
      <c r="AT73" s="1216">
        <f t="shared" si="139"/>
        <v>-100</v>
      </c>
      <c r="AU73" s="1264">
        <f t="shared" si="140"/>
        <v>165000</v>
      </c>
      <c r="AV73" s="1300"/>
      <c r="AW73" s="1300">
        <f t="shared" si="141"/>
        <v>-165000</v>
      </c>
      <c r="AX73" s="1364">
        <f t="shared" si="142"/>
        <v>-100</v>
      </c>
      <c r="AY73" s="1237">
        <f t="shared" si="143"/>
        <v>1980000</v>
      </c>
      <c r="AZ73" s="1189">
        <f t="shared" si="144"/>
        <v>0</v>
      </c>
      <c r="BA73" s="805"/>
      <c r="BB73" s="1178"/>
    </row>
    <row r="74" spans="1:57" s="119" customFormat="1" ht="18" customHeight="1" x14ac:dyDescent="0.25">
      <c r="A74" s="170">
        <v>54957</v>
      </c>
      <c r="B74" s="382" t="s">
        <v>3790</v>
      </c>
      <c r="C74" s="1207">
        <v>2500</v>
      </c>
      <c r="D74" s="1300"/>
      <c r="E74" s="1300">
        <f t="shared" si="108"/>
        <v>-2500</v>
      </c>
      <c r="F74" s="1216">
        <f t="shared" si="109"/>
        <v>-100</v>
      </c>
      <c r="G74" s="1264">
        <f t="shared" si="110"/>
        <v>2500</v>
      </c>
      <c r="H74" s="1300"/>
      <c r="I74" s="1300">
        <f t="shared" si="111"/>
        <v>-2500</v>
      </c>
      <c r="J74" s="1216">
        <f t="shared" si="112"/>
        <v>-100</v>
      </c>
      <c r="K74" s="1264">
        <f t="shared" si="113"/>
        <v>2500</v>
      </c>
      <c r="L74" s="1300"/>
      <c r="M74" s="1300">
        <f t="shared" si="114"/>
        <v>-2500</v>
      </c>
      <c r="N74" s="1216">
        <f t="shared" si="115"/>
        <v>-100</v>
      </c>
      <c r="O74" s="1264">
        <f t="shared" si="116"/>
        <v>2500</v>
      </c>
      <c r="P74" s="1300"/>
      <c r="Q74" s="1300">
        <f t="shared" si="117"/>
        <v>-2500</v>
      </c>
      <c r="R74" s="1216">
        <f t="shared" si="118"/>
        <v>-100</v>
      </c>
      <c r="S74" s="1264">
        <f t="shared" si="119"/>
        <v>2500</v>
      </c>
      <c r="T74" s="1300"/>
      <c r="U74" s="1300">
        <f t="shared" si="120"/>
        <v>-2500</v>
      </c>
      <c r="V74" s="1216">
        <f t="shared" si="121"/>
        <v>-100</v>
      </c>
      <c r="W74" s="1264">
        <f t="shared" si="122"/>
        <v>2500</v>
      </c>
      <c r="X74" s="1300"/>
      <c r="Y74" s="1300">
        <f t="shared" si="123"/>
        <v>-2500</v>
      </c>
      <c r="Z74" s="1216">
        <f t="shared" si="124"/>
        <v>-100</v>
      </c>
      <c r="AA74" s="1264">
        <f t="shared" si="125"/>
        <v>2500</v>
      </c>
      <c r="AB74" s="1300"/>
      <c r="AC74" s="1300">
        <f t="shared" si="126"/>
        <v>-2500</v>
      </c>
      <c r="AD74" s="1216">
        <f t="shared" si="127"/>
        <v>-100</v>
      </c>
      <c r="AE74" s="1264">
        <f t="shared" si="128"/>
        <v>2500</v>
      </c>
      <c r="AF74" s="1300"/>
      <c r="AG74" s="1300">
        <f t="shared" si="129"/>
        <v>-2500</v>
      </c>
      <c r="AH74" s="1216">
        <f t="shared" si="130"/>
        <v>-100</v>
      </c>
      <c r="AI74" s="1264">
        <f t="shared" si="131"/>
        <v>2500</v>
      </c>
      <c r="AJ74" s="1300"/>
      <c r="AK74" s="1300">
        <f t="shared" si="132"/>
        <v>-2500</v>
      </c>
      <c r="AL74" s="1216">
        <f t="shared" si="133"/>
        <v>-100</v>
      </c>
      <c r="AM74" s="1264">
        <f t="shared" si="134"/>
        <v>2500</v>
      </c>
      <c r="AN74" s="1300"/>
      <c r="AO74" s="1300">
        <f t="shared" si="135"/>
        <v>-2500</v>
      </c>
      <c r="AP74" s="1216">
        <f t="shared" si="136"/>
        <v>-100</v>
      </c>
      <c r="AQ74" s="1264">
        <f t="shared" si="137"/>
        <v>2500</v>
      </c>
      <c r="AR74" s="1300"/>
      <c r="AS74" s="1300">
        <f t="shared" si="138"/>
        <v>-2500</v>
      </c>
      <c r="AT74" s="1216">
        <f t="shared" si="139"/>
        <v>-100</v>
      </c>
      <c r="AU74" s="1264">
        <f t="shared" si="140"/>
        <v>2500</v>
      </c>
      <c r="AV74" s="1300"/>
      <c r="AW74" s="1300">
        <f t="shared" si="141"/>
        <v>-2500</v>
      </c>
      <c r="AX74" s="1364">
        <f t="shared" si="142"/>
        <v>-100</v>
      </c>
      <c r="AY74" s="1237">
        <f t="shared" si="143"/>
        <v>30000</v>
      </c>
      <c r="AZ74" s="1189">
        <f t="shared" si="144"/>
        <v>0</v>
      </c>
      <c r="BA74" s="805"/>
      <c r="BB74" s="1178"/>
    </row>
    <row r="75" spans="1:57" s="119" customFormat="1" ht="18" customHeight="1" x14ac:dyDescent="0.25">
      <c r="A75" s="170"/>
      <c r="B75" s="382" t="s">
        <v>3784</v>
      </c>
      <c r="C75" s="1264">
        <v>0</v>
      </c>
      <c r="D75" s="1323"/>
      <c r="E75" s="1323">
        <f t="shared" si="108"/>
        <v>0</v>
      </c>
      <c r="F75" s="1216"/>
      <c r="G75" s="1264">
        <v>0</v>
      </c>
      <c r="H75" s="1323"/>
      <c r="I75" s="1323">
        <f t="shared" si="111"/>
        <v>0</v>
      </c>
      <c r="J75" s="1216"/>
      <c r="K75" s="1264">
        <v>0</v>
      </c>
      <c r="L75" s="1323"/>
      <c r="M75" s="1323">
        <f t="shared" si="114"/>
        <v>0</v>
      </c>
      <c r="N75" s="1216"/>
      <c r="O75" s="1264">
        <v>0</v>
      </c>
      <c r="P75" s="1323"/>
      <c r="Q75" s="1323">
        <f t="shared" si="117"/>
        <v>0</v>
      </c>
      <c r="R75" s="1216"/>
      <c r="S75" s="1264">
        <v>0</v>
      </c>
      <c r="T75" s="1323"/>
      <c r="U75" s="1323">
        <f t="shared" si="120"/>
        <v>0</v>
      </c>
      <c r="V75" s="1216"/>
      <c r="W75" s="1264">
        <v>0</v>
      </c>
      <c r="X75" s="1323"/>
      <c r="Y75" s="1323">
        <f t="shared" si="123"/>
        <v>0</v>
      </c>
      <c r="Z75" s="1216"/>
      <c r="AA75" s="1264">
        <v>0</v>
      </c>
      <c r="AB75" s="1323"/>
      <c r="AC75" s="1323">
        <f t="shared" si="126"/>
        <v>0</v>
      </c>
      <c r="AD75" s="1216"/>
      <c r="AE75" s="1264">
        <v>0</v>
      </c>
      <c r="AF75" s="1323"/>
      <c r="AG75" s="1323">
        <f t="shared" si="129"/>
        <v>0</v>
      </c>
      <c r="AH75" s="1216"/>
      <c r="AI75" s="1264">
        <v>0</v>
      </c>
      <c r="AJ75" s="1323"/>
      <c r="AK75" s="1323">
        <f t="shared" si="132"/>
        <v>0</v>
      </c>
      <c r="AL75" s="1216"/>
      <c r="AM75" s="1264">
        <v>0</v>
      </c>
      <c r="AN75" s="1323"/>
      <c r="AO75" s="1323">
        <f t="shared" si="135"/>
        <v>0</v>
      </c>
      <c r="AP75" s="1216"/>
      <c r="AQ75" s="1264">
        <v>0</v>
      </c>
      <c r="AR75" s="1323"/>
      <c r="AS75" s="1323">
        <f t="shared" si="138"/>
        <v>0</v>
      </c>
      <c r="AT75" s="1216"/>
      <c r="AU75" s="1264">
        <v>0</v>
      </c>
      <c r="AV75" s="1323"/>
      <c r="AW75" s="1323">
        <f t="shared" si="141"/>
        <v>0</v>
      </c>
      <c r="AX75" s="1364"/>
      <c r="AY75" s="1217">
        <f t="shared" si="143"/>
        <v>0</v>
      </c>
      <c r="AZ75" s="1189">
        <f t="shared" si="144"/>
        <v>0</v>
      </c>
      <c r="BA75" s="805"/>
      <c r="BB75" s="1177"/>
    </row>
    <row r="76" spans="1:57" s="119" customFormat="1" ht="18" customHeight="1" x14ac:dyDescent="0.25">
      <c r="A76" s="170">
        <v>51011</v>
      </c>
      <c r="B76" s="382" t="s">
        <v>187</v>
      </c>
      <c r="C76" s="1207">
        <v>295000</v>
      </c>
      <c r="D76" s="1300"/>
      <c r="E76" s="1300">
        <f t="shared" si="108"/>
        <v>-295000</v>
      </c>
      <c r="F76" s="1216">
        <f t="shared" si="109"/>
        <v>-100</v>
      </c>
      <c r="G76" s="1264">
        <f t="shared" ref="G76:G106" si="145">C76</f>
        <v>295000</v>
      </c>
      <c r="H76" s="1300"/>
      <c r="I76" s="1300">
        <f t="shared" si="111"/>
        <v>-295000</v>
      </c>
      <c r="J76" s="1216">
        <f t="shared" ref="J76:J103" si="146">((H76/G76)-1)*100</f>
        <v>-100</v>
      </c>
      <c r="K76" s="1264">
        <f t="shared" ref="K76:K106" si="147">G76</f>
        <v>295000</v>
      </c>
      <c r="L76" s="1300"/>
      <c r="M76" s="1300">
        <f t="shared" si="114"/>
        <v>-295000</v>
      </c>
      <c r="N76" s="1216">
        <f t="shared" ref="N76:N103" si="148">((L76/K76)-1)*100</f>
        <v>-100</v>
      </c>
      <c r="O76" s="1264">
        <f t="shared" ref="O76:O106" si="149">K76</f>
        <v>295000</v>
      </c>
      <c r="P76" s="1300"/>
      <c r="Q76" s="1300">
        <f t="shared" si="117"/>
        <v>-295000</v>
      </c>
      <c r="R76" s="1216">
        <f t="shared" ref="R76:R103" si="150">((P76/O76)-1)*100</f>
        <v>-100</v>
      </c>
      <c r="S76" s="1264">
        <f t="shared" ref="S76:S106" si="151">O76</f>
        <v>295000</v>
      </c>
      <c r="T76" s="1300"/>
      <c r="U76" s="1300">
        <f t="shared" si="120"/>
        <v>-295000</v>
      </c>
      <c r="V76" s="1216">
        <f t="shared" ref="V76:V103" si="152">((T76/S76)-1)*100</f>
        <v>-100</v>
      </c>
      <c r="W76" s="1264">
        <f t="shared" ref="W76:W106" si="153">S76</f>
        <v>295000</v>
      </c>
      <c r="X76" s="1300"/>
      <c r="Y76" s="1300">
        <f t="shared" si="123"/>
        <v>-295000</v>
      </c>
      <c r="Z76" s="1216">
        <f t="shared" ref="Z76:Z103" si="154">((X76/W76)-1)*100</f>
        <v>-100</v>
      </c>
      <c r="AA76" s="1264">
        <f t="shared" ref="AA76:AA106" si="155">W76</f>
        <v>295000</v>
      </c>
      <c r="AB76" s="1300"/>
      <c r="AC76" s="1300">
        <f t="shared" si="126"/>
        <v>-295000</v>
      </c>
      <c r="AD76" s="1216">
        <f t="shared" ref="AD76:AD103" si="156">((AB76/AA76)-1)*100</f>
        <v>-100</v>
      </c>
      <c r="AE76" s="1264">
        <f t="shared" ref="AE76:AE106" si="157">AA76</f>
        <v>295000</v>
      </c>
      <c r="AF76" s="1300"/>
      <c r="AG76" s="1300">
        <f t="shared" si="129"/>
        <v>-295000</v>
      </c>
      <c r="AH76" s="1216">
        <f t="shared" ref="AH76:AH103" si="158">((AF76/AE76)-1)*100</f>
        <v>-100</v>
      </c>
      <c r="AI76" s="1264">
        <f t="shared" ref="AI76:AI106" si="159">AE76</f>
        <v>295000</v>
      </c>
      <c r="AJ76" s="1300"/>
      <c r="AK76" s="1300">
        <f t="shared" si="132"/>
        <v>-295000</v>
      </c>
      <c r="AL76" s="1216">
        <f t="shared" ref="AL76:AL103" si="160">((AJ76/AI76)-1)*100</f>
        <v>-100</v>
      </c>
      <c r="AM76" s="1264">
        <f t="shared" ref="AM76:AM106" si="161">AI76</f>
        <v>295000</v>
      </c>
      <c r="AN76" s="1300"/>
      <c r="AO76" s="1300">
        <f t="shared" si="135"/>
        <v>-295000</v>
      </c>
      <c r="AP76" s="1216">
        <f t="shared" ref="AP76:AP103" si="162">((AN76/AM76)-1)*100</f>
        <v>-100</v>
      </c>
      <c r="AQ76" s="1264">
        <f t="shared" ref="AQ76:AQ106" si="163">AM76</f>
        <v>295000</v>
      </c>
      <c r="AR76" s="1300"/>
      <c r="AS76" s="1300">
        <f t="shared" si="138"/>
        <v>-295000</v>
      </c>
      <c r="AT76" s="1216">
        <f t="shared" ref="AT76:AT103" si="164">((AR76/AQ76)-1)*100</f>
        <v>-100</v>
      </c>
      <c r="AU76" s="1264">
        <f t="shared" ref="AU76:AU91" si="165">AQ76</f>
        <v>295000</v>
      </c>
      <c r="AV76" s="1300"/>
      <c r="AW76" s="1300">
        <f t="shared" si="141"/>
        <v>-295000</v>
      </c>
      <c r="AX76" s="1364">
        <f t="shared" ref="AX76:AX103" si="166">((AV76/AU76)-1)*100</f>
        <v>-100</v>
      </c>
      <c r="AY76" s="1237">
        <f t="shared" si="143"/>
        <v>3540000</v>
      </c>
      <c r="AZ76" s="1189">
        <f t="shared" si="144"/>
        <v>0</v>
      </c>
      <c r="BA76" s="805"/>
      <c r="BB76" s="1178"/>
    </row>
    <row r="77" spans="1:57" s="119" customFormat="1" ht="18" customHeight="1" x14ac:dyDescent="0.25">
      <c r="A77" s="170">
        <v>12229</v>
      </c>
      <c r="B77" s="1424" t="s">
        <v>3783</v>
      </c>
      <c r="C77" s="1207">
        <v>310000</v>
      </c>
      <c r="D77" s="1300"/>
      <c r="E77" s="1300">
        <f t="shared" si="108"/>
        <v>-310000</v>
      </c>
      <c r="F77" s="1216">
        <f t="shared" si="109"/>
        <v>-100</v>
      </c>
      <c r="G77" s="1264">
        <f t="shared" si="145"/>
        <v>310000</v>
      </c>
      <c r="H77" s="1300"/>
      <c r="I77" s="1300">
        <f t="shared" si="111"/>
        <v>-310000</v>
      </c>
      <c r="J77" s="1216">
        <f t="shared" si="146"/>
        <v>-100</v>
      </c>
      <c r="K77" s="1264">
        <f t="shared" si="147"/>
        <v>310000</v>
      </c>
      <c r="L77" s="1300"/>
      <c r="M77" s="1300">
        <f t="shared" si="114"/>
        <v>-310000</v>
      </c>
      <c r="N77" s="1216">
        <f t="shared" si="148"/>
        <v>-100</v>
      </c>
      <c r="O77" s="1264">
        <f t="shared" si="149"/>
        <v>310000</v>
      </c>
      <c r="P77" s="1300"/>
      <c r="Q77" s="1300">
        <f t="shared" si="117"/>
        <v>-310000</v>
      </c>
      <c r="R77" s="1216">
        <f t="shared" si="150"/>
        <v>-100</v>
      </c>
      <c r="S77" s="1264">
        <f t="shared" si="151"/>
        <v>310000</v>
      </c>
      <c r="T77" s="1300"/>
      <c r="U77" s="1300">
        <f t="shared" si="120"/>
        <v>-310000</v>
      </c>
      <c r="V77" s="1216">
        <f t="shared" si="152"/>
        <v>-100</v>
      </c>
      <c r="W77" s="1264">
        <f t="shared" si="153"/>
        <v>310000</v>
      </c>
      <c r="X77" s="1300"/>
      <c r="Y77" s="1300">
        <f t="shared" si="123"/>
        <v>-310000</v>
      </c>
      <c r="Z77" s="1216">
        <f t="shared" si="154"/>
        <v>-100</v>
      </c>
      <c r="AA77" s="1264">
        <f t="shared" si="155"/>
        <v>310000</v>
      </c>
      <c r="AB77" s="1300"/>
      <c r="AC77" s="1300">
        <f t="shared" si="126"/>
        <v>-310000</v>
      </c>
      <c r="AD77" s="1216">
        <f t="shared" si="156"/>
        <v>-100</v>
      </c>
      <c r="AE77" s="1264">
        <f t="shared" si="157"/>
        <v>310000</v>
      </c>
      <c r="AF77" s="1300"/>
      <c r="AG77" s="1300">
        <f t="shared" si="129"/>
        <v>-310000</v>
      </c>
      <c r="AH77" s="1216">
        <f t="shared" si="158"/>
        <v>-100</v>
      </c>
      <c r="AI77" s="1264">
        <f t="shared" si="159"/>
        <v>310000</v>
      </c>
      <c r="AJ77" s="1300"/>
      <c r="AK77" s="1300">
        <f t="shared" si="132"/>
        <v>-310000</v>
      </c>
      <c r="AL77" s="1216">
        <f t="shared" si="160"/>
        <v>-100</v>
      </c>
      <c r="AM77" s="1264">
        <f t="shared" si="161"/>
        <v>310000</v>
      </c>
      <c r="AN77" s="1300"/>
      <c r="AO77" s="1300">
        <f t="shared" si="135"/>
        <v>-310000</v>
      </c>
      <c r="AP77" s="1216">
        <f t="shared" si="162"/>
        <v>-100</v>
      </c>
      <c r="AQ77" s="1264">
        <f t="shared" si="163"/>
        <v>310000</v>
      </c>
      <c r="AR77" s="1300"/>
      <c r="AS77" s="1300">
        <f t="shared" si="138"/>
        <v>-310000</v>
      </c>
      <c r="AT77" s="1216">
        <f t="shared" si="164"/>
        <v>-100</v>
      </c>
      <c r="AU77" s="1264">
        <f t="shared" si="165"/>
        <v>310000</v>
      </c>
      <c r="AV77" s="1300"/>
      <c r="AW77" s="1300">
        <f t="shared" si="141"/>
        <v>-310000</v>
      </c>
      <c r="AX77" s="1364">
        <f t="shared" si="166"/>
        <v>-100</v>
      </c>
      <c r="AY77" s="1237">
        <f t="shared" si="143"/>
        <v>3720000</v>
      </c>
      <c r="AZ77" s="1189">
        <f t="shared" si="144"/>
        <v>0</v>
      </c>
      <c r="BA77" s="805"/>
      <c r="BB77" s="1177"/>
    </row>
    <row r="78" spans="1:57" s="119" customFormat="1" ht="18" customHeight="1" x14ac:dyDescent="0.25">
      <c r="A78" s="170">
        <v>12202</v>
      </c>
      <c r="B78" s="382" t="s">
        <v>3785</v>
      </c>
      <c r="C78" s="1207">
        <v>110000</v>
      </c>
      <c r="D78" s="1300"/>
      <c r="E78" s="1300">
        <f t="shared" si="108"/>
        <v>-110000</v>
      </c>
      <c r="F78" s="1216">
        <f t="shared" si="109"/>
        <v>-100</v>
      </c>
      <c r="G78" s="1264">
        <f t="shared" si="145"/>
        <v>110000</v>
      </c>
      <c r="H78" s="1300"/>
      <c r="I78" s="1300">
        <f t="shared" si="111"/>
        <v>-110000</v>
      </c>
      <c r="J78" s="1216">
        <f t="shared" si="146"/>
        <v>-100</v>
      </c>
      <c r="K78" s="1264">
        <f t="shared" si="147"/>
        <v>110000</v>
      </c>
      <c r="L78" s="1300"/>
      <c r="M78" s="1300">
        <f t="shared" si="114"/>
        <v>-110000</v>
      </c>
      <c r="N78" s="1216">
        <f t="shared" si="148"/>
        <v>-100</v>
      </c>
      <c r="O78" s="1264">
        <f t="shared" si="149"/>
        <v>110000</v>
      </c>
      <c r="P78" s="1300"/>
      <c r="Q78" s="1300">
        <f t="shared" si="117"/>
        <v>-110000</v>
      </c>
      <c r="R78" s="1216">
        <f t="shared" si="150"/>
        <v>-100</v>
      </c>
      <c r="S78" s="1264">
        <f t="shared" si="151"/>
        <v>110000</v>
      </c>
      <c r="T78" s="1300"/>
      <c r="U78" s="1300">
        <f t="shared" si="120"/>
        <v>-110000</v>
      </c>
      <c r="V78" s="1216">
        <f t="shared" si="152"/>
        <v>-100</v>
      </c>
      <c r="W78" s="1264">
        <f t="shared" si="153"/>
        <v>110000</v>
      </c>
      <c r="X78" s="1300"/>
      <c r="Y78" s="1300">
        <f t="shared" si="123"/>
        <v>-110000</v>
      </c>
      <c r="Z78" s="1216">
        <f t="shared" si="154"/>
        <v>-100</v>
      </c>
      <c r="AA78" s="1264">
        <f t="shared" si="155"/>
        <v>110000</v>
      </c>
      <c r="AB78" s="1300"/>
      <c r="AC78" s="1300">
        <f t="shared" si="126"/>
        <v>-110000</v>
      </c>
      <c r="AD78" s="1216">
        <f t="shared" si="156"/>
        <v>-100</v>
      </c>
      <c r="AE78" s="1264">
        <f t="shared" si="157"/>
        <v>110000</v>
      </c>
      <c r="AF78" s="1300"/>
      <c r="AG78" s="1300">
        <f t="shared" si="129"/>
        <v>-110000</v>
      </c>
      <c r="AH78" s="1216">
        <f t="shared" si="158"/>
        <v>-100</v>
      </c>
      <c r="AI78" s="1264">
        <f t="shared" si="159"/>
        <v>110000</v>
      </c>
      <c r="AJ78" s="1300"/>
      <c r="AK78" s="1300">
        <f t="shared" si="132"/>
        <v>-110000</v>
      </c>
      <c r="AL78" s="1216">
        <f t="shared" si="160"/>
        <v>-100</v>
      </c>
      <c r="AM78" s="1264">
        <f t="shared" si="161"/>
        <v>110000</v>
      </c>
      <c r="AN78" s="1300"/>
      <c r="AO78" s="1300">
        <f t="shared" si="135"/>
        <v>-110000</v>
      </c>
      <c r="AP78" s="1216">
        <f t="shared" si="162"/>
        <v>-100</v>
      </c>
      <c r="AQ78" s="1264">
        <f t="shared" si="163"/>
        <v>110000</v>
      </c>
      <c r="AR78" s="1300"/>
      <c r="AS78" s="1300">
        <f t="shared" si="138"/>
        <v>-110000</v>
      </c>
      <c r="AT78" s="1216">
        <f t="shared" si="164"/>
        <v>-100</v>
      </c>
      <c r="AU78" s="1264">
        <f t="shared" si="165"/>
        <v>110000</v>
      </c>
      <c r="AV78" s="1300"/>
      <c r="AW78" s="1300">
        <f t="shared" si="141"/>
        <v>-110000</v>
      </c>
      <c r="AX78" s="1364">
        <f t="shared" si="166"/>
        <v>-100</v>
      </c>
      <c r="AY78" s="1237">
        <f t="shared" si="143"/>
        <v>1320000</v>
      </c>
      <c r="AZ78" s="1189">
        <f t="shared" si="144"/>
        <v>0</v>
      </c>
      <c r="BA78" s="805"/>
      <c r="BB78" s="1177"/>
    </row>
    <row r="79" spans="1:57" s="119" customFormat="1" ht="18" customHeight="1" x14ac:dyDescent="0.25">
      <c r="A79" s="170">
        <v>54128</v>
      </c>
      <c r="B79" s="382" t="s">
        <v>3778</v>
      </c>
      <c r="C79" s="1207">
        <v>1700000</v>
      </c>
      <c r="D79" s="1300"/>
      <c r="E79" s="1300">
        <f t="shared" si="108"/>
        <v>-1700000</v>
      </c>
      <c r="F79" s="1216">
        <f t="shared" si="109"/>
        <v>-100</v>
      </c>
      <c r="G79" s="1264">
        <f t="shared" si="145"/>
        <v>1700000</v>
      </c>
      <c r="H79" s="1300"/>
      <c r="I79" s="1300">
        <f t="shared" si="111"/>
        <v>-1700000</v>
      </c>
      <c r="J79" s="1216">
        <f t="shared" si="146"/>
        <v>-100</v>
      </c>
      <c r="K79" s="1264">
        <f t="shared" si="147"/>
        <v>1700000</v>
      </c>
      <c r="L79" s="1300"/>
      <c r="M79" s="1300">
        <f t="shared" si="114"/>
        <v>-1700000</v>
      </c>
      <c r="N79" s="1216">
        <f t="shared" si="148"/>
        <v>-100</v>
      </c>
      <c r="O79" s="1264">
        <f t="shared" si="149"/>
        <v>1700000</v>
      </c>
      <c r="P79" s="1300"/>
      <c r="Q79" s="1300">
        <f t="shared" si="117"/>
        <v>-1700000</v>
      </c>
      <c r="R79" s="1216">
        <f t="shared" si="150"/>
        <v>-100</v>
      </c>
      <c r="S79" s="1264">
        <f t="shared" si="151"/>
        <v>1700000</v>
      </c>
      <c r="T79" s="1300"/>
      <c r="U79" s="1300">
        <f t="shared" si="120"/>
        <v>-1700000</v>
      </c>
      <c r="V79" s="1216">
        <f t="shared" si="152"/>
        <v>-100</v>
      </c>
      <c r="W79" s="1264">
        <f t="shared" si="153"/>
        <v>1700000</v>
      </c>
      <c r="X79" s="1300"/>
      <c r="Y79" s="1300">
        <f t="shared" si="123"/>
        <v>-1700000</v>
      </c>
      <c r="Z79" s="1216">
        <f t="shared" si="154"/>
        <v>-100</v>
      </c>
      <c r="AA79" s="1264">
        <f t="shared" si="155"/>
        <v>1700000</v>
      </c>
      <c r="AB79" s="1300"/>
      <c r="AC79" s="1300">
        <f t="shared" si="126"/>
        <v>-1700000</v>
      </c>
      <c r="AD79" s="1216">
        <f t="shared" si="156"/>
        <v>-100</v>
      </c>
      <c r="AE79" s="1264">
        <f t="shared" si="157"/>
        <v>1700000</v>
      </c>
      <c r="AF79" s="1300"/>
      <c r="AG79" s="1300">
        <f t="shared" si="129"/>
        <v>-1700000</v>
      </c>
      <c r="AH79" s="1216">
        <f t="shared" si="158"/>
        <v>-100</v>
      </c>
      <c r="AI79" s="1264">
        <f t="shared" si="159"/>
        <v>1700000</v>
      </c>
      <c r="AJ79" s="1300"/>
      <c r="AK79" s="1300">
        <f t="shared" si="132"/>
        <v>-1700000</v>
      </c>
      <c r="AL79" s="1216">
        <f t="shared" si="160"/>
        <v>-100</v>
      </c>
      <c r="AM79" s="1264">
        <f t="shared" si="161"/>
        <v>1700000</v>
      </c>
      <c r="AN79" s="1300"/>
      <c r="AO79" s="1300">
        <f t="shared" si="135"/>
        <v>-1700000</v>
      </c>
      <c r="AP79" s="1216">
        <f t="shared" si="162"/>
        <v>-100</v>
      </c>
      <c r="AQ79" s="1264">
        <f t="shared" si="163"/>
        <v>1700000</v>
      </c>
      <c r="AR79" s="1300"/>
      <c r="AS79" s="1300">
        <f t="shared" si="138"/>
        <v>-1700000</v>
      </c>
      <c r="AT79" s="1216">
        <f t="shared" si="164"/>
        <v>-100</v>
      </c>
      <c r="AU79" s="1264">
        <f t="shared" si="165"/>
        <v>1700000</v>
      </c>
      <c r="AV79" s="1300"/>
      <c r="AW79" s="1300">
        <f t="shared" si="141"/>
        <v>-1700000</v>
      </c>
      <c r="AX79" s="1364">
        <f t="shared" si="166"/>
        <v>-100</v>
      </c>
      <c r="AY79" s="1237">
        <f t="shared" si="143"/>
        <v>20400000</v>
      </c>
      <c r="AZ79" s="1189">
        <f t="shared" si="144"/>
        <v>0</v>
      </c>
      <c r="BA79" s="12"/>
      <c r="BB79" s="12"/>
      <c r="BC79" s="12"/>
      <c r="BD79" s="12"/>
      <c r="BE79" s="12"/>
    </row>
    <row r="80" spans="1:57" s="1421" customFormat="1" ht="18" customHeight="1" x14ac:dyDescent="0.25">
      <c r="A80" s="170">
        <v>54169</v>
      </c>
      <c r="B80" s="1424" t="s">
        <v>3780</v>
      </c>
      <c r="C80" s="1207">
        <v>430000</v>
      </c>
      <c r="D80" s="1300"/>
      <c r="E80" s="1300">
        <f t="shared" si="108"/>
        <v>-430000</v>
      </c>
      <c r="F80" s="1216">
        <f t="shared" si="109"/>
        <v>-100</v>
      </c>
      <c r="G80" s="1264">
        <f t="shared" si="145"/>
        <v>430000</v>
      </c>
      <c r="H80" s="1300"/>
      <c r="I80" s="1300">
        <f t="shared" si="111"/>
        <v>-430000</v>
      </c>
      <c r="J80" s="1216">
        <f t="shared" si="146"/>
        <v>-100</v>
      </c>
      <c r="K80" s="1264">
        <f t="shared" si="147"/>
        <v>430000</v>
      </c>
      <c r="L80" s="1300"/>
      <c r="M80" s="1300">
        <f t="shared" si="114"/>
        <v>-430000</v>
      </c>
      <c r="N80" s="1216">
        <f t="shared" si="148"/>
        <v>-100</v>
      </c>
      <c r="O80" s="1264">
        <f t="shared" si="149"/>
        <v>430000</v>
      </c>
      <c r="P80" s="1300"/>
      <c r="Q80" s="1300">
        <f t="shared" si="117"/>
        <v>-430000</v>
      </c>
      <c r="R80" s="1216">
        <f t="shared" si="150"/>
        <v>-100</v>
      </c>
      <c r="S80" s="1264">
        <f t="shared" si="151"/>
        <v>430000</v>
      </c>
      <c r="T80" s="1300"/>
      <c r="U80" s="1300">
        <f t="shared" si="120"/>
        <v>-430000</v>
      </c>
      <c r="V80" s="1216">
        <f t="shared" si="152"/>
        <v>-100</v>
      </c>
      <c r="W80" s="1264">
        <f t="shared" si="153"/>
        <v>430000</v>
      </c>
      <c r="X80" s="1300"/>
      <c r="Y80" s="1300">
        <f t="shared" si="123"/>
        <v>-430000</v>
      </c>
      <c r="Z80" s="1216">
        <f t="shared" si="154"/>
        <v>-100</v>
      </c>
      <c r="AA80" s="1264">
        <f t="shared" si="155"/>
        <v>430000</v>
      </c>
      <c r="AB80" s="1300"/>
      <c r="AC80" s="1300">
        <f t="shared" si="126"/>
        <v>-430000</v>
      </c>
      <c r="AD80" s="1216">
        <f t="shared" si="156"/>
        <v>-100</v>
      </c>
      <c r="AE80" s="1264">
        <f t="shared" si="157"/>
        <v>430000</v>
      </c>
      <c r="AF80" s="1300"/>
      <c r="AG80" s="1300">
        <f t="shared" si="129"/>
        <v>-430000</v>
      </c>
      <c r="AH80" s="1216">
        <f t="shared" si="158"/>
        <v>-100</v>
      </c>
      <c r="AI80" s="1264">
        <f t="shared" si="159"/>
        <v>430000</v>
      </c>
      <c r="AJ80" s="1300"/>
      <c r="AK80" s="1300">
        <f t="shared" si="132"/>
        <v>-430000</v>
      </c>
      <c r="AL80" s="1216">
        <f t="shared" si="160"/>
        <v>-100</v>
      </c>
      <c r="AM80" s="1264">
        <f t="shared" si="161"/>
        <v>430000</v>
      </c>
      <c r="AN80" s="1300"/>
      <c r="AO80" s="1300">
        <f t="shared" si="135"/>
        <v>-430000</v>
      </c>
      <c r="AP80" s="1216">
        <f t="shared" si="162"/>
        <v>-100</v>
      </c>
      <c r="AQ80" s="1264">
        <f t="shared" si="163"/>
        <v>430000</v>
      </c>
      <c r="AR80" s="1300"/>
      <c r="AS80" s="1300">
        <f t="shared" si="138"/>
        <v>-430000</v>
      </c>
      <c r="AT80" s="1216">
        <f t="shared" si="164"/>
        <v>-100</v>
      </c>
      <c r="AU80" s="1264">
        <f t="shared" si="165"/>
        <v>430000</v>
      </c>
      <c r="AV80" s="1300"/>
      <c r="AW80" s="1300">
        <f t="shared" si="141"/>
        <v>-430000</v>
      </c>
      <c r="AX80" s="1364">
        <f t="shared" si="166"/>
        <v>-100</v>
      </c>
      <c r="AY80" s="1426">
        <f t="shared" si="143"/>
        <v>5160000</v>
      </c>
      <c r="AZ80" s="1189">
        <f t="shared" si="144"/>
        <v>0</v>
      </c>
      <c r="BA80" s="12"/>
      <c r="BB80" s="12"/>
      <c r="BC80" s="12"/>
      <c r="BD80" s="12"/>
      <c r="BE80" s="12"/>
    </row>
    <row r="81" spans="1:57" s="119" customFormat="1" ht="18" customHeight="1" x14ac:dyDescent="0.25">
      <c r="A81" s="170">
        <v>52563</v>
      </c>
      <c r="B81" s="382" t="s">
        <v>60</v>
      </c>
      <c r="C81" s="1207">
        <v>20000</v>
      </c>
      <c r="D81" s="1300"/>
      <c r="E81" s="1300">
        <f t="shared" si="108"/>
        <v>-20000</v>
      </c>
      <c r="F81" s="1216">
        <f t="shared" si="109"/>
        <v>-100</v>
      </c>
      <c r="G81" s="1264">
        <f t="shared" si="145"/>
        <v>20000</v>
      </c>
      <c r="H81" s="1300"/>
      <c r="I81" s="1300">
        <f t="shared" si="111"/>
        <v>-20000</v>
      </c>
      <c r="J81" s="1216">
        <f t="shared" si="146"/>
        <v>-100</v>
      </c>
      <c r="K81" s="1264">
        <f t="shared" si="147"/>
        <v>20000</v>
      </c>
      <c r="L81" s="1300"/>
      <c r="M81" s="1300">
        <f t="shared" si="114"/>
        <v>-20000</v>
      </c>
      <c r="N81" s="1216">
        <f t="shared" si="148"/>
        <v>-100</v>
      </c>
      <c r="O81" s="1264">
        <f t="shared" si="149"/>
        <v>20000</v>
      </c>
      <c r="P81" s="1300"/>
      <c r="Q81" s="1300">
        <f t="shared" si="117"/>
        <v>-20000</v>
      </c>
      <c r="R81" s="1216">
        <f t="shared" si="150"/>
        <v>-100</v>
      </c>
      <c r="S81" s="1264">
        <f t="shared" si="151"/>
        <v>20000</v>
      </c>
      <c r="T81" s="1300"/>
      <c r="U81" s="1300">
        <f t="shared" si="120"/>
        <v>-20000</v>
      </c>
      <c r="V81" s="1216">
        <f t="shared" si="152"/>
        <v>-100</v>
      </c>
      <c r="W81" s="1264">
        <f t="shared" si="153"/>
        <v>20000</v>
      </c>
      <c r="X81" s="1300"/>
      <c r="Y81" s="1300">
        <f t="shared" si="123"/>
        <v>-20000</v>
      </c>
      <c r="Z81" s="1216">
        <f t="shared" si="154"/>
        <v>-100</v>
      </c>
      <c r="AA81" s="1264">
        <f t="shared" si="155"/>
        <v>20000</v>
      </c>
      <c r="AB81" s="1300"/>
      <c r="AC81" s="1300">
        <f t="shared" si="126"/>
        <v>-20000</v>
      </c>
      <c r="AD81" s="1216">
        <f t="shared" si="156"/>
        <v>-100</v>
      </c>
      <c r="AE81" s="1264">
        <f t="shared" si="157"/>
        <v>20000</v>
      </c>
      <c r="AF81" s="1300"/>
      <c r="AG81" s="1300">
        <f t="shared" si="129"/>
        <v>-20000</v>
      </c>
      <c r="AH81" s="1216">
        <f t="shared" si="158"/>
        <v>-100</v>
      </c>
      <c r="AI81" s="1264">
        <f t="shared" si="159"/>
        <v>20000</v>
      </c>
      <c r="AJ81" s="1300"/>
      <c r="AK81" s="1300">
        <f t="shared" si="132"/>
        <v>-20000</v>
      </c>
      <c r="AL81" s="1216">
        <f t="shared" si="160"/>
        <v>-100</v>
      </c>
      <c r="AM81" s="1264">
        <f t="shared" si="161"/>
        <v>20000</v>
      </c>
      <c r="AN81" s="1300"/>
      <c r="AO81" s="1300">
        <f t="shared" si="135"/>
        <v>-20000</v>
      </c>
      <c r="AP81" s="1216">
        <f t="shared" si="162"/>
        <v>-100</v>
      </c>
      <c r="AQ81" s="1264">
        <f t="shared" si="163"/>
        <v>20000</v>
      </c>
      <c r="AR81" s="1300"/>
      <c r="AS81" s="1300">
        <f t="shared" si="138"/>
        <v>-20000</v>
      </c>
      <c r="AT81" s="1216">
        <f t="shared" si="164"/>
        <v>-100</v>
      </c>
      <c r="AU81" s="1264">
        <f t="shared" si="165"/>
        <v>20000</v>
      </c>
      <c r="AV81" s="1300"/>
      <c r="AW81" s="1300">
        <f t="shared" si="141"/>
        <v>-20000</v>
      </c>
      <c r="AX81" s="1364">
        <f t="shared" si="166"/>
        <v>-100</v>
      </c>
      <c r="AY81" s="1237">
        <f t="shared" si="143"/>
        <v>240000</v>
      </c>
      <c r="AZ81" s="1189">
        <f t="shared" si="144"/>
        <v>0</v>
      </c>
      <c r="BA81" s="805"/>
      <c r="BB81" s="1178"/>
    </row>
    <row r="82" spans="1:57" s="119" customFormat="1" ht="18" customHeight="1" x14ac:dyDescent="0.25">
      <c r="A82" s="170">
        <v>51819</v>
      </c>
      <c r="B82" s="382" t="s">
        <v>189</v>
      </c>
      <c r="C82" s="1207">
        <v>700</v>
      </c>
      <c r="D82" s="1300"/>
      <c r="E82" s="1300">
        <f t="shared" si="108"/>
        <v>-700</v>
      </c>
      <c r="F82" s="1216">
        <f t="shared" si="109"/>
        <v>-100</v>
      </c>
      <c r="G82" s="1264">
        <f t="shared" si="145"/>
        <v>700</v>
      </c>
      <c r="H82" s="1300"/>
      <c r="I82" s="1300">
        <f t="shared" si="111"/>
        <v>-700</v>
      </c>
      <c r="J82" s="1216">
        <f t="shared" si="146"/>
        <v>-100</v>
      </c>
      <c r="K82" s="1264">
        <f t="shared" si="147"/>
        <v>700</v>
      </c>
      <c r="L82" s="1300"/>
      <c r="M82" s="1300">
        <f t="shared" si="114"/>
        <v>-700</v>
      </c>
      <c r="N82" s="1216">
        <f t="shared" si="148"/>
        <v>-100</v>
      </c>
      <c r="O82" s="1264">
        <f t="shared" si="149"/>
        <v>700</v>
      </c>
      <c r="P82" s="1300"/>
      <c r="Q82" s="1300">
        <f t="shared" si="117"/>
        <v>-700</v>
      </c>
      <c r="R82" s="1216">
        <f t="shared" si="150"/>
        <v>-100</v>
      </c>
      <c r="S82" s="1264">
        <f t="shared" si="151"/>
        <v>700</v>
      </c>
      <c r="T82" s="1300"/>
      <c r="U82" s="1300">
        <f t="shared" si="120"/>
        <v>-700</v>
      </c>
      <c r="V82" s="1216">
        <f t="shared" si="152"/>
        <v>-100</v>
      </c>
      <c r="W82" s="1264">
        <f t="shared" si="153"/>
        <v>700</v>
      </c>
      <c r="X82" s="1300"/>
      <c r="Y82" s="1300">
        <f t="shared" si="123"/>
        <v>-700</v>
      </c>
      <c r="Z82" s="1216">
        <f t="shared" si="154"/>
        <v>-100</v>
      </c>
      <c r="AA82" s="1264">
        <f t="shared" si="155"/>
        <v>700</v>
      </c>
      <c r="AB82" s="1300"/>
      <c r="AC82" s="1300">
        <f t="shared" si="126"/>
        <v>-700</v>
      </c>
      <c r="AD82" s="1216">
        <f t="shared" si="156"/>
        <v>-100</v>
      </c>
      <c r="AE82" s="1264">
        <f t="shared" si="157"/>
        <v>700</v>
      </c>
      <c r="AF82" s="1300"/>
      <c r="AG82" s="1300">
        <f t="shared" si="129"/>
        <v>-700</v>
      </c>
      <c r="AH82" s="1216">
        <f t="shared" si="158"/>
        <v>-100</v>
      </c>
      <c r="AI82" s="1264">
        <f t="shared" si="159"/>
        <v>700</v>
      </c>
      <c r="AJ82" s="1300"/>
      <c r="AK82" s="1300">
        <f t="shared" si="132"/>
        <v>-700</v>
      </c>
      <c r="AL82" s="1216">
        <f t="shared" si="160"/>
        <v>-100</v>
      </c>
      <c r="AM82" s="1264">
        <f t="shared" si="161"/>
        <v>700</v>
      </c>
      <c r="AN82" s="1300"/>
      <c r="AO82" s="1300">
        <f t="shared" si="135"/>
        <v>-700</v>
      </c>
      <c r="AP82" s="1216">
        <f t="shared" si="162"/>
        <v>-100</v>
      </c>
      <c r="AQ82" s="1264">
        <f t="shared" si="163"/>
        <v>700</v>
      </c>
      <c r="AR82" s="1300"/>
      <c r="AS82" s="1300">
        <f t="shared" si="138"/>
        <v>-700</v>
      </c>
      <c r="AT82" s="1216">
        <f t="shared" si="164"/>
        <v>-100</v>
      </c>
      <c r="AU82" s="1264">
        <f t="shared" si="165"/>
        <v>700</v>
      </c>
      <c r="AV82" s="1300"/>
      <c r="AW82" s="1300">
        <f t="shared" si="141"/>
        <v>-700</v>
      </c>
      <c r="AX82" s="1364">
        <f t="shared" si="166"/>
        <v>-100</v>
      </c>
      <c r="AY82" s="1237">
        <f t="shared" si="143"/>
        <v>8400</v>
      </c>
      <c r="AZ82" s="1189">
        <f t="shared" si="144"/>
        <v>0</v>
      </c>
      <c r="BA82" s="805"/>
      <c r="BB82" s="1178"/>
    </row>
    <row r="83" spans="1:57" s="119" customFormat="1" ht="18" customHeight="1" x14ac:dyDescent="0.25">
      <c r="A83" s="170" t="s">
        <v>126</v>
      </c>
      <c r="B83" s="382" t="s">
        <v>50</v>
      </c>
      <c r="C83" s="1207">
        <v>3200</v>
      </c>
      <c r="D83" s="1300"/>
      <c r="E83" s="1300">
        <f t="shared" si="108"/>
        <v>-3200</v>
      </c>
      <c r="F83" s="1216">
        <f t="shared" si="109"/>
        <v>-100</v>
      </c>
      <c r="G83" s="1264">
        <f t="shared" si="145"/>
        <v>3200</v>
      </c>
      <c r="H83" s="1300"/>
      <c r="I83" s="1300">
        <f t="shared" si="111"/>
        <v>-3200</v>
      </c>
      <c r="J83" s="1216">
        <f t="shared" si="146"/>
        <v>-100</v>
      </c>
      <c r="K83" s="1264">
        <f t="shared" si="147"/>
        <v>3200</v>
      </c>
      <c r="L83" s="1300"/>
      <c r="M83" s="1300">
        <f t="shared" si="114"/>
        <v>-3200</v>
      </c>
      <c r="N83" s="1216">
        <f t="shared" si="148"/>
        <v>-100</v>
      </c>
      <c r="O83" s="1264">
        <f t="shared" si="149"/>
        <v>3200</v>
      </c>
      <c r="P83" s="1300"/>
      <c r="Q83" s="1300">
        <f t="shared" si="117"/>
        <v>-3200</v>
      </c>
      <c r="R83" s="1216">
        <f t="shared" si="150"/>
        <v>-100</v>
      </c>
      <c r="S83" s="1264">
        <f t="shared" si="151"/>
        <v>3200</v>
      </c>
      <c r="T83" s="1300"/>
      <c r="U83" s="1300">
        <f t="shared" si="120"/>
        <v>-3200</v>
      </c>
      <c r="V83" s="1216">
        <f t="shared" si="152"/>
        <v>-100</v>
      </c>
      <c r="W83" s="1264">
        <f t="shared" si="153"/>
        <v>3200</v>
      </c>
      <c r="X83" s="1300"/>
      <c r="Y83" s="1300">
        <f t="shared" si="123"/>
        <v>-3200</v>
      </c>
      <c r="Z83" s="1216">
        <f t="shared" si="154"/>
        <v>-100</v>
      </c>
      <c r="AA83" s="1264">
        <f t="shared" si="155"/>
        <v>3200</v>
      </c>
      <c r="AB83" s="1300"/>
      <c r="AC83" s="1300">
        <f t="shared" si="126"/>
        <v>-3200</v>
      </c>
      <c r="AD83" s="1216">
        <f t="shared" si="156"/>
        <v>-100</v>
      </c>
      <c r="AE83" s="1264">
        <f t="shared" si="157"/>
        <v>3200</v>
      </c>
      <c r="AF83" s="1300"/>
      <c r="AG83" s="1300">
        <f t="shared" si="129"/>
        <v>-3200</v>
      </c>
      <c r="AH83" s="1216">
        <f t="shared" si="158"/>
        <v>-100</v>
      </c>
      <c r="AI83" s="1264">
        <f t="shared" si="159"/>
        <v>3200</v>
      </c>
      <c r="AJ83" s="1300"/>
      <c r="AK83" s="1300">
        <f t="shared" si="132"/>
        <v>-3200</v>
      </c>
      <c r="AL83" s="1216">
        <f t="shared" si="160"/>
        <v>-100</v>
      </c>
      <c r="AM83" s="1264">
        <f t="shared" si="161"/>
        <v>3200</v>
      </c>
      <c r="AN83" s="1300"/>
      <c r="AO83" s="1300">
        <f t="shared" si="135"/>
        <v>-3200</v>
      </c>
      <c r="AP83" s="1216">
        <f t="shared" si="162"/>
        <v>-100</v>
      </c>
      <c r="AQ83" s="1264">
        <f t="shared" si="163"/>
        <v>3200</v>
      </c>
      <c r="AR83" s="1300"/>
      <c r="AS83" s="1300">
        <f t="shared" si="138"/>
        <v>-3200</v>
      </c>
      <c r="AT83" s="1216">
        <f t="shared" si="164"/>
        <v>-100</v>
      </c>
      <c r="AU83" s="1264">
        <f t="shared" si="165"/>
        <v>3200</v>
      </c>
      <c r="AV83" s="1300"/>
      <c r="AW83" s="1300">
        <f t="shared" si="141"/>
        <v>-3200</v>
      </c>
      <c r="AX83" s="1364">
        <f t="shared" si="166"/>
        <v>-100</v>
      </c>
      <c r="AY83" s="1237">
        <f t="shared" si="143"/>
        <v>38400</v>
      </c>
      <c r="AZ83" s="1189">
        <f t="shared" si="144"/>
        <v>0</v>
      </c>
      <c r="BA83" s="805"/>
      <c r="BB83" s="1177"/>
    </row>
    <row r="84" spans="1:57" s="119" customFormat="1" ht="18" customHeight="1" x14ac:dyDescent="0.25">
      <c r="A84" s="170">
        <v>12207</v>
      </c>
      <c r="B84" s="382" t="s">
        <v>179</v>
      </c>
      <c r="C84" s="1207">
        <v>20000</v>
      </c>
      <c r="D84" s="1300"/>
      <c r="E84" s="1300">
        <f t="shared" si="108"/>
        <v>-20000</v>
      </c>
      <c r="F84" s="1216">
        <f t="shared" si="109"/>
        <v>-100</v>
      </c>
      <c r="G84" s="1264">
        <f t="shared" si="145"/>
        <v>20000</v>
      </c>
      <c r="H84" s="1300"/>
      <c r="I84" s="1300">
        <f t="shared" si="111"/>
        <v>-20000</v>
      </c>
      <c r="J84" s="1216">
        <f t="shared" si="146"/>
        <v>-100</v>
      </c>
      <c r="K84" s="1264">
        <f t="shared" si="147"/>
        <v>20000</v>
      </c>
      <c r="L84" s="1300"/>
      <c r="M84" s="1300">
        <f t="shared" si="114"/>
        <v>-20000</v>
      </c>
      <c r="N84" s="1216">
        <f t="shared" si="148"/>
        <v>-100</v>
      </c>
      <c r="O84" s="1264">
        <f t="shared" si="149"/>
        <v>20000</v>
      </c>
      <c r="P84" s="1300"/>
      <c r="Q84" s="1300">
        <f t="shared" si="117"/>
        <v>-20000</v>
      </c>
      <c r="R84" s="1216">
        <f t="shared" si="150"/>
        <v>-100</v>
      </c>
      <c r="S84" s="1264">
        <f t="shared" si="151"/>
        <v>20000</v>
      </c>
      <c r="T84" s="1300"/>
      <c r="U84" s="1300">
        <f t="shared" si="120"/>
        <v>-20000</v>
      </c>
      <c r="V84" s="1216">
        <f t="shared" si="152"/>
        <v>-100</v>
      </c>
      <c r="W84" s="1264">
        <f t="shared" si="153"/>
        <v>20000</v>
      </c>
      <c r="X84" s="1300"/>
      <c r="Y84" s="1300">
        <f t="shared" si="123"/>
        <v>-20000</v>
      </c>
      <c r="Z84" s="1216">
        <f t="shared" si="154"/>
        <v>-100</v>
      </c>
      <c r="AA84" s="1264">
        <f t="shared" si="155"/>
        <v>20000</v>
      </c>
      <c r="AB84" s="1300"/>
      <c r="AC84" s="1300">
        <f t="shared" si="126"/>
        <v>-20000</v>
      </c>
      <c r="AD84" s="1216">
        <f t="shared" si="156"/>
        <v>-100</v>
      </c>
      <c r="AE84" s="1264">
        <f t="shared" si="157"/>
        <v>20000</v>
      </c>
      <c r="AF84" s="1300"/>
      <c r="AG84" s="1300">
        <f t="shared" si="129"/>
        <v>-20000</v>
      </c>
      <c r="AH84" s="1216">
        <f t="shared" si="158"/>
        <v>-100</v>
      </c>
      <c r="AI84" s="1264">
        <f t="shared" si="159"/>
        <v>20000</v>
      </c>
      <c r="AJ84" s="1300"/>
      <c r="AK84" s="1300">
        <f t="shared" si="132"/>
        <v>-20000</v>
      </c>
      <c r="AL84" s="1216">
        <f t="shared" si="160"/>
        <v>-100</v>
      </c>
      <c r="AM84" s="1264">
        <f t="shared" si="161"/>
        <v>20000</v>
      </c>
      <c r="AN84" s="1300"/>
      <c r="AO84" s="1300">
        <f t="shared" si="135"/>
        <v>-20000</v>
      </c>
      <c r="AP84" s="1216">
        <f t="shared" si="162"/>
        <v>-100</v>
      </c>
      <c r="AQ84" s="1264">
        <f t="shared" si="163"/>
        <v>20000</v>
      </c>
      <c r="AR84" s="1300"/>
      <c r="AS84" s="1300">
        <f t="shared" si="138"/>
        <v>-20000</v>
      </c>
      <c r="AT84" s="1216">
        <f t="shared" si="164"/>
        <v>-100</v>
      </c>
      <c r="AU84" s="1264">
        <f t="shared" si="165"/>
        <v>20000</v>
      </c>
      <c r="AV84" s="1300"/>
      <c r="AW84" s="1300">
        <f t="shared" si="141"/>
        <v>-20000</v>
      </c>
      <c r="AX84" s="1364">
        <f t="shared" si="166"/>
        <v>-100</v>
      </c>
      <c r="AY84" s="1237">
        <f t="shared" si="143"/>
        <v>240000</v>
      </c>
      <c r="AZ84" s="1189">
        <f t="shared" si="144"/>
        <v>0</v>
      </c>
      <c r="BA84" s="805"/>
      <c r="BB84" s="1178"/>
    </row>
    <row r="85" spans="1:57" s="119" customFormat="1" ht="18" customHeight="1" x14ac:dyDescent="0.25">
      <c r="A85" s="170">
        <v>53920</v>
      </c>
      <c r="B85" s="382" t="s">
        <v>3630</v>
      </c>
      <c r="C85" s="1207">
        <v>15000</v>
      </c>
      <c r="D85" s="1300"/>
      <c r="E85" s="1300">
        <f t="shared" si="108"/>
        <v>-15000</v>
      </c>
      <c r="F85" s="1216">
        <f t="shared" si="109"/>
        <v>-100</v>
      </c>
      <c r="G85" s="1264">
        <f t="shared" si="145"/>
        <v>15000</v>
      </c>
      <c r="H85" s="1300"/>
      <c r="I85" s="1300">
        <f t="shared" si="111"/>
        <v>-15000</v>
      </c>
      <c r="J85" s="1216">
        <f t="shared" si="146"/>
        <v>-100</v>
      </c>
      <c r="K85" s="1264">
        <f t="shared" si="147"/>
        <v>15000</v>
      </c>
      <c r="L85" s="1300"/>
      <c r="M85" s="1300">
        <f t="shared" si="114"/>
        <v>-15000</v>
      </c>
      <c r="N85" s="1216">
        <f t="shared" si="148"/>
        <v>-100</v>
      </c>
      <c r="O85" s="1264">
        <f t="shared" si="149"/>
        <v>15000</v>
      </c>
      <c r="P85" s="1300"/>
      <c r="Q85" s="1300">
        <f t="shared" si="117"/>
        <v>-15000</v>
      </c>
      <c r="R85" s="1216">
        <f t="shared" si="150"/>
        <v>-100</v>
      </c>
      <c r="S85" s="1264">
        <f t="shared" si="151"/>
        <v>15000</v>
      </c>
      <c r="T85" s="1300"/>
      <c r="U85" s="1300">
        <f t="shared" si="120"/>
        <v>-15000</v>
      </c>
      <c r="V85" s="1216">
        <f t="shared" si="152"/>
        <v>-100</v>
      </c>
      <c r="W85" s="1264">
        <f t="shared" si="153"/>
        <v>15000</v>
      </c>
      <c r="X85" s="1300"/>
      <c r="Y85" s="1300">
        <f t="shared" si="123"/>
        <v>-15000</v>
      </c>
      <c r="Z85" s="1216">
        <f t="shared" si="154"/>
        <v>-100</v>
      </c>
      <c r="AA85" s="1264">
        <f t="shared" si="155"/>
        <v>15000</v>
      </c>
      <c r="AB85" s="1300"/>
      <c r="AC85" s="1300">
        <f t="shared" si="126"/>
        <v>-15000</v>
      </c>
      <c r="AD85" s="1216">
        <f t="shared" si="156"/>
        <v>-100</v>
      </c>
      <c r="AE85" s="1264">
        <f t="shared" si="157"/>
        <v>15000</v>
      </c>
      <c r="AF85" s="1300"/>
      <c r="AG85" s="1300">
        <f t="shared" si="129"/>
        <v>-15000</v>
      </c>
      <c r="AH85" s="1216">
        <f t="shared" si="158"/>
        <v>-100</v>
      </c>
      <c r="AI85" s="1264">
        <f t="shared" si="159"/>
        <v>15000</v>
      </c>
      <c r="AJ85" s="1300"/>
      <c r="AK85" s="1300">
        <f t="shared" si="132"/>
        <v>-15000</v>
      </c>
      <c r="AL85" s="1216">
        <f t="shared" si="160"/>
        <v>-100</v>
      </c>
      <c r="AM85" s="1264">
        <f t="shared" si="161"/>
        <v>15000</v>
      </c>
      <c r="AN85" s="1300"/>
      <c r="AO85" s="1300">
        <f t="shared" si="135"/>
        <v>-15000</v>
      </c>
      <c r="AP85" s="1216">
        <f t="shared" si="162"/>
        <v>-100</v>
      </c>
      <c r="AQ85" s="1264">
        <f t="shared" si="163"/>
        <v>15000</v>
      </c>
      <c r="AR85" s="1300"/>
      <c r="AS85" s="1300">
        <f t="shared" si="138"/>
        <v>-15000</v>
      </c>
      <c r="AT85" s="1216">
        <f t="shared" si="164"/>
        <v>-100</v>
      </c>
      <c r="AU85" s="1264">
        <f t="shared" si="165"/>
        <v>15000</v>
      </c>
      <c r="AV85" s="1300"/>
      <c r="AW85" s="1300">
        <f t="shared" si="141"/>
        <v>-15000</v>
      </c>
      <c r="AX85" s="1364">
        <f t="shared" si="166"/>
        <v>-100</v>
      </c>
      <c r="AY85" s="1237">
        <f t="shared" si="143"/>
        <v>180000</v>
      </c>
      <c r="AZ85" s="1189">
        <f t="shared" si="144"/>
        <v>0</v>
      </c>
      <c r="BA85" s="805"/>
      <c r="BB85" s="1178"/>
    </row>
    <row r="86" spans="1:57" s="119" customFormat="1" ht="18" customHeight="1" x14ac:dyDescent="0.25">
      <c r="A86" s="170">
        <v>53921</v>
      </c>
      <c r="B86" s="382" t="s">
        <v>3791</v>
      </c>
      <c r="C86" s="1207">
        <v>8000</v>
      </c>
      <c r="D86" s="1300"/>
      <c r="E86" s="1300">
        <f t="shared" si="108"/>
        <v>-8000</v>
      </c>
      <c r="F86" s="1216">
        <f t="shared" si="109"/>
        <v>-100</v>
      </c>
      <c r="G86" s="1264">
        <f t="shared" si="145"/>
        <v>8000</v>
      </c>
      <c r="H86" s="1300"/>
      <c r="I86" s="1300">
        <f t="shared" si="111"/>
        <v>-8000</v>
      </c>
      <c r="J86" s="1216">
        <f t="shared" si="146"/>
        <v>-100</v>
      </c>
      <c r="K86" s="1264">
        <f t="shared" si="147"/>
        <v>8000</v>
      </c>
      <c r="L86" s="1300"/>
      <c r="M86" s="1300">
        <f t="shared" si="114"/>
        <v>-8000</v>
      </c>
      <c r="N86" s="1216">
        <f t="shared" si="148"/>
        <v>-100</v>
      </c>
      <c r="O86" s="1264">
        <f t="shared" si="149"/>
        <v>8000</v>
      </c>
      <c r="P86" s="1300"/>
      <c r="Q86" s="1300">
        <f t="shared" si="117"/>
        <v>-8000</v>
      </c>
      <c r="R86" s="1216">
        <f t="shared" si="150"/>
        <v>-100</v>
      </c>
      <c r="S86" s="1264">
        <f t="shared" si="151"/>
        <v>8000</v>
      </c>
      <c r="T86" s="1300"/>
      <c r="U86" s="1300">
        <f t="shared" si="120"/>
        <v>-8000</v>
      </c>
      <c r="V86" s="1216">
        <f t="shared" si="152"/>
        <v>-100</v>
      </c>
      <c r="W86" s="1264">
        <f t="shared" si="153"/>
        <v>8000</v>
      </c>
      <c r="X86" s="1300"/>
      <c r="Y86" s="1300">
        <f t="shared" si="123"/>
        <v>-8000</v>
      </c>
      <c r="Z86" s="1216">
        <f t="shared" si="154"/>
        <v>-100</v>
      </c>
      <c r="AA86" s="1264">
        <f t="shared" si="155"/>
        <v>8000</v>
      </c>
      <c r="AB86" s="1300"/>
      <c r="AC86" s="1300">
        <f t="shared" si="126"/>
        <v>-8000</v>
      </c>
      <c r="AD86" s="1216">
        <f t="shared" si="156"/>
        <v>-100</v>
      </c>
      <c r="AE86" s="1264">
        <f t="shared" si="157"/>
        <v>8000</v>
      </c>
      <c r="AF86" s="1300"/>
      <c r="AG86" s="1300">
        <f t="shared" si="129"/>
        <v>-8000</v>
      </c>
      <c r="AH86" s="1216">
        <f t="shared" si="158"/>
        <v>-100</v>
      </c>
      <c r="AI86" s="1264">
        <f t="shared" si="159"/>
        <v>8000</v>
      </c>
      <c r="AJ86" s="1300"/>
      <c r="AK86" s="1300">
        <f t="shared" si="132"/>
        <v>-8000</v>
      </c>
      <c r="AL86" s="1216">
        <f t="shared" si="160"/>
        <v>-100</v>
      </c>
      <c r="AM86" s="1264">
        <f t="shared" si="161"/>
        <v>8000</v>
      </c>
      <c r="AN86" s="1300"/>
      <c r="AO86" s="1300">
        <f t="shared" si="135"/>
        <v>-8000</v>
      </c>
      <c r="AP86" s="1216">
        <f t="shared" si="162"/>
        <v>-100</v>
      </c>
      <c r="AQ86" s="1264">
        <f t="shared" si="163"/>
        <v>8000</v>
      </c>
      <c r="AR86" s="1300"/>
      <c r="AS86" s="1300">
        <f t="shared" si="138"/>
        <v>-8000</v>
      </c>
      <c r="AT86" s="1216">
        <f t="shared" si="164"/>
        <v>-100</v>
      </c>
      <c r="AU86" s="1264">
        <f t="shared" si="165"/>
        <v>8000</v>
      </c>
      <c r="AV86" s="1300"/>
      <c r="AW86" s="1300">
        <f t="shared" si="141"/>
        <v>-8000</v>
      </c>
      <c r="AX86" s="1364">
        <f t="shared" si="166"/>
        <v>-100</v>
      </c>
      <c r="AY86" s="1237">
        <f t="shared" si="143"/>
        <v>96000</v>
      </c>
      <c r="AZ86" s="1189">
        <f t="shared" si="144"/>
        <v>0</v>
      </c>
      <c r="BA86" s="805"/>
      <c r="BB86" s="1178"/>
    </row>
    <row r="87" spans="1:57" s="119" customFormat="1" ht="18" customHeight="1" x14ac:dyDescent="0.25">
      <c r="A87" s="170">
        <v>12878</v>
      </c>
      <c r="B87" s="382" t="s">
        <v>194</v>
      </c>
      <c r="C87" s="1207">
        <v>1000</v>
      </c>
      <c r="D87" s="1300"/>
      <c r="E87" s="1300">
        <f t="shared" si="108"/>
        <v>-1000</v>
      </c>
      <c r="F87" s="1216">
        <f t="shared" si="109"/>
        <v>-100</v>
      </c>
      <c r="G87" s="1264">
        <f t="shared" si="145"/>
        <v>1000</v>
      </c>
      <c r="H87" s="1300"/>
      <c r="I87" s="1300">
        <f t="shared" si="111"/>
        <v>-1000</v>
      </c>
      <c r="J87" s="1216">
        <f t="shared" si="146"/>
        <v>-100</v>
      </c>
      <c r="K87" s="1264">
        <f t="shared" si="147"/>
        <v>1000</v>
      </c>
      <c r="L87" s="1300"/>
      <c r="M87" s="1300">
        <f t="shared" si="114"/>
        <v>-1000</v>
      </c>
      <c r="N87" s="1216">
        <f t="shared" si="148"/>
        <v>-100</v>
      </c>
      <c r="O87" s="1264">
        <f t="shared" si="149"/>
        <v>1000</v>
      </c>
      <c r="P87" s="1300"/>
      <c r="Q87" s="1300">
        <f t="shared" si="117"/>
        <v>-1000</v>
      </c>
      <c r="R87" s="1216">
        <f t="shared" si="150"/>
        <v>-100</v>
      </c>
      <c r="S87" s="1264">
        <f t="shared" si="151"/>
        <v>1000</v>
      </c>
      <c r="T87" s="1300"/>
      <c r="U87" s="1300">
        <f t="shared" si="120"/>
        <v>-1000</v>
      </c>
      <c r="V87" s="1216">
        <f t="shared" si="152"/>
        <v>-100</v>
      </c>
      <c r="W87" s="1264">
        <f t="shared" si="153"/>
        <v>1000</v>
      </c>
      <c r="X87" s="1300"/>
      <c r="Y87" s="1300">
        <f t="shared" si="123"/>
        <v>-1000</v>
      </c>
      <c r="Z87" s="1216">
        <f t="shared" si="154"/>
        <v>-100</v>
      </c>
      <c r="AA87" s="1264">
        <f t="shared" si="155"/>
        <v>1000</v>
      </c>
      <c r="AB87" s="1300"/>
      <c r="AC87" s="1300">
        <f t="shared" si="126"/>
        <v>-1000</v>
      </c>
      <c r="AD87" s="1216">
        <f t="shared" si="156"/>
        <v>-100</v>
      </c>
      <c r="AE87" s="1264">
        <f t="shared" si="157"/>
        <v>1000</v>
      </c>
      <c r="AF87" s="1300"/>
      <c r="AG87" s="1300">
        <f t="shared" si="129"/>
        <v>-1000</v>
      </c>
      <c r="AH87" s="1216">
        <f t="shared" si="158"/>
        <v>-100</v>
      </c>
      <c r="AI87" s="1264">
        <f t="shared" si="159"/>
        <v>1000</v>
      </c>
      <c r="AJ87" s="1300"/>
      <c r="AK87" s="1300">
        <f t="shared" si="132"/>
        <v>-1000</v>
      </c>
      <c r="AL87" s="1216">
        <f t="shared" si="160"/>
        <v>-100</v>
      </c>
      <c r="AM87" s="1264">
        <f t="shared" si="161"/>
        <v>1000</v>
      </c>
      <c r="AN87" s="1300"/>
      <c r="AO87" s="1300">
        <f t="shared" si="135"/>
        <v>-1000</v>
      </c>
      <c r="AP87" s="1216">
        <f t="shared" si="162"/>
        <v>-100</v>
      </c>
      <c r="AQ87" s="1264">
        <f t="shared" si="163"/>
        <v>1000</v>
      </c>
      <c r="AR87" s="1300"/>
      <c r="AS87" s="1300">
        <f t="shared" si="138"/>
        <v>-1000</v>
      </c>
      <c r="AT87" s="1216">
        <f t="shared" si="164"/>
        <v>-100</v>
      </c>
      <c r="AU87" s="1264">
        <f t="shared" si="165"/>
        <v>1000</v>
      </c>
      <c r="AV87" s="1300"/>
      <c r="AW87" s="1300">
        <f t="shared" si="141"/>
        <v>-1000</v>
      </c>
      <c r="AX87" s="1364">
        <f t="shared" si="166"/>
        <v>-100</v>
      </c>
      <c r="AY87" s="1237">
        <f t="shared" si="143"/>
        <v>12000</v>
      </c>
      <c r="AZ87" s="1189">
        <f t="shared" si="144"/>
        <v>0</v>
      </c>
      <c r="BA87" s="805"/>
      <c r="BB87" s="1178"/>
    </row>
    <row r="88" spans="1:57" s="119" customFormat="1" ht="18" customHeight="1" x14ac:dyDescent="0.25">
      <c r="A88" s="170">
        <v>12899</v>
      </c>
      <c r="B88" s="382" t="s">
        <v>180</v>
      </c>
      <c r="C88" s="1207">
        <v>850000</v>
      </c>
      <c r="D88" s="1300"/>
      <c r="E88" s="1300">
        <f t="shared" si="108"/>
        <v>-850000</v>
      </c>
      <c r="F88" s="1216">
        <f t="shared" si="109"/>
        <v>-100</v>
      </c>
      <c r="G88" s="1264">
        <f t="shared" si="145"/>
        <v>850000</v>
      </c>
      <c r="H88" s="1300"/>
      <c r="I88" s="1300">
        <f t="shared" si="111"/>
        <v>-850000</v>
      </c>
      <c r="J88" s="1216">
        <f t="shared" si="146"/>
        <v>-100</v>
      </c>
      <c r="K88" s="1264">
        <f t="shared" si="147"/>
        <v>850000</v>
      </c>
      <c r="L88" s="1300"/>
      <c r="M88" s="1300">
        <f t="shared" si="114"/>
        <v>-850000</v>
      </c>
      <c r="N88" s="1216">
        <f t="shared" si="148"/>
        <v>-100</v>
      </c>
      <c r="O88" s="1264">
        <f t="shared" si="149"/>
        <v>850000</v>
      </c>
      <c r="P88" s="1300"/>
      <c r="Q88" s="1300">
        <f t="shared" si="117"/>
        <v>-850000</v>
      </c>
      <c r="R88" s="1216">
        <f t="shared" si="150"/>
        <v>-100</v>
      </c>
      <c r="S88" s="1264">
        <f t="shared" si="151"/>
        <v>850000</v>
      </c>
      <c r="T88" s="1300"/>
      <c r="U88" s="1300">
        <f t="shared" si="120"/>
        <v>-850000</v>
      </c>
      <c r="V88" s="1216">
        <f t="shared" si="152"/>
        <v>-100</v>
      </c>
      <c r="W88" s="1264">
        <f t="shared" si="153"/>
        <v>850000</v>
      </c>
      <c r="X88" s="1300"/>
      <c r="Y88" s="1300">
        <f t="shared" si="123"/>
        <v>-850000</v>
      </c>
      <c r="Z88" s="1216">
        <f t="shared" si="154"/>
        <v>-100</v>
      </c>
      <c r="AA88" s="1264">
        <f t="shared" si="155"/>
        <v>850000</v>
      </c>
      <c r="AB88" s="1300"/>
      <c r="AC88" s="1300">
        <f t="shared" si="126"/>
        <v>-850000</v>
      </c>
      <c r="AD88" s="1216">
        <f t="shared" si="156"/>
        <v>-100</v>
      </c>
      <c r="AE88" s="1264">
        <f t="shared" si="157"/>
        <v>850000</v>
      </c>
      <c r="AF88" s="1300"/>
      <c r="AG88" s="1300">
        <f t="shared" si="129"/>
        <v>-850000</v>
      </c>
      <c r="AH88" s="1216">
        <f t="shared" si="158"/>
        <v>-100</v>
      </c>
      <c r="AI88" s="1264">
        <f t="shared" si="159"/>
        <v>850000</v>
      </c>
      <c r="AJ88" s="1300"/>
      <c r="AK88" s="1300">
        <f t="shared" si="132"/>
        <v>-850000</v>
      </c>
      <c r="AL88" s="1216">
        <f t="shared" si="160"/>
        <v>-100</v>
      </c>
      <c r="AM88" s="1264">
        <f t="shared" si="161"/>
        <v>850000</v>
      </c>
      <c r="AN88" s="1300"/>
      <c r="AO88" s="1300">
        <f t="shared" si="135"/>
        <v>-850000</v>
      </c>
      <c r="AP88" s="1216">
        <f t="shared" si="162"/>
        <v>-100</v>
      </c>
      <c r="AQ88" s="1264">
        <f t="shared" si="163"/>
        <v>850000</v>
      </c>
      <c r="AR88" s="1300"/>
      <c r="AS88" s="1300">
        <f t="shared" si="138"/>
        <v>-850000</v>
      </c>
      <c r="AT88" s="1216">
        <f t="shared" si="164"/>
        <v>-100</v>
      </c>
      <c r="AU88" s="1264">
        <f t="shared" si="165"/>
        <v>850000</v>
      </c>
      <c r="AV88" s="1300"/>
      <c r="AW88" s="1300">
        <f t="shared" si="141"/>
        <v>-850000</v>
      </c>
      <c r="AX88" s="1364">
        <f t="shared" si="166"/>
        <v>-100</v>
      </c>
      <c r="AY88" s="1237">
        <f t="shared" si="143"/>
        <v>10200000</v>
      </c>
      <c r="AZ88" s="1189">
        <f t="shared" si="144"/>
        <v>0</v>
      </c>
      <c r="BA88" s="805"/>
      <c r="BB88" s="1177"/>
    </row>
    <row r="89" spans="1:57" s="119" customFormat="1" ht="18" customHeight="1" x14ac:dyDescent="0.25">
      <c r="A89" s="170">
        <v>51645</v>
      </c>
      <c r="B89" s="382" t="s">
        <v>3701</v>
      </c>
      <c r="C89" s="1207">
        <v>500</v>
      </c>
      <c r="D89" s="1300"/>
      <c r="E89" s="1300">
        <f t="shared" si="108"/>
        <v>-500</v>
      </c>
      <c r="F89" s="1216">
        <f t="shared" si="109"/>
        <v>-100</v>
      </c>
      <c r="G89" s="1264">
        <f t="shared" si="145"/>
        <v>500</v>
      </c>
      <c r="H89" s="1300"/>
      <c r="I89" s="1300">
        <f t="shared" si="111"/>
        <v>-500</v>
      </c>
      <c r="J89" s="1216">
        <f t="shared" si="146"/>
        <v>-100</v>
      </c>
      <c r="K89" s="1264">
        <f t="shared" si="147"/>
        <v>500</v>
      </c>
      <c r="L89" s="1300"/>
      <c r="M89" s="1300">
        <f t="shared" si="114"/>
        <v>-500</v>
      </c>
      <c r="N89" s="1216">
        <f t="shared" si="148"/>
        <v>-100</v>
      </c>
      <c r="O89" s="1264">
        <f t="shared" si="149"/>
        <v>500</v>
      </c>
      <c r="P89" s="1300"/>
      <c r="Q89" s="1300">
        <f t="shared" si="117"/>
        <v>-500</v>
      </c>
      <c r="R89" s="1216">
        <f t="shared" si="150"/>
        <v>-100</v>
      </c>
      <c r="S89" s="1264">
        <f t="shared" si="151"/>
        <v>500</v>
      </c>
      <c r="T89" s="1300"/>
      <c r="U89" s="1300">
        <f t="shared" si="120"/>
        <v>-500</v>
      </c>
      <c r="V89" s="1216">
        <f t="shared" si="152"/>
        <v>-100</v>
      </c>
      <c r="W89" s="1264">
        <f t="shared" si="153"/>
        <v>500</v>
      </c>
      <c r="X89" s="1300"/>
      <c r="Y89" s="1300">
        <f t="shared" si="123"/>
        <v>-500</v>
      </c>
      <c r="Z89" s="1216">
        <f t="shared" si="154"/>
        <v>-100</v>
      </c>
      <c r="AA89" s="1264">
        <f t="shared" si="155"/>
        <v>500</v>
      </c>
      <c r="AB89" s="1300"/>
      <c r="AC89" s="1300">
        <f t="shared" si="126"/>
        <v>-500</v>
      </c>
      <c r="AD89" s="1216">
        <f t="shared" si="156"/>
        <v>-100</v>
      </c>
      <c r="AE89" s="1264">
        <f t="shared" si="157"/>
        <v>500</v>
      </c>
      <c r="AF89" s="1300"/>
      <c r="AG89" s="1300">
        <f t="shared" si="129"/>
        <v>-500</v>
      </c>
      <c r="AH89" s="1216">
        <f t="shared" si="158"/>
        <v>-100</v>
      </c>
      <c r="AI89" s="1264">
        <f t="shared" si="159"/>
        <v>500</v>
      </c>
      <c r="AJ89" s="1300"/>
      <c r="AK89" s="1300">
        <f t="shared" si="132"/>
        <v>-500</v>
      </c>
      <c r="AL89" s="1216">
        <f t="shared" si="160"/>
        <v>-100</v>
      </c>
      <c r="AM89" s="1264">
        <f t="shared" si="161"/>
        <v>500</v>
      </c>
      <c r="AN89" s="1300"/>
      <c r="AO89" s="1300">
        <f t="shared" si="135"/>
        <v>-500</v>
      </c>
      <c r="AP89" s="1216">
        <f t="shared" si="162"/>
        <v>-100</v>
      </c>
      <c r="AQ89" s="1264">
        <f t="shared" si="163"/>
        <v>500</v>
      </c>
      <c r="AR89" s="1300"/>
      <c r="AS89" s="1300">
        <f t="shared" si="138"/>
        <v>-500</v>
      </c>
      <c r="AT89" s="1216">
        <f t="shared" si="164"/>
        <v>-100</v>
      </c>
      <c r="AU89" s="1264">
        <f t="shared" si="165"/>
        <v>500</v>
      </c>
      <c r="AV89" s="1300"/>
      <c r="AW89" s="1300">
        <f t="shared" si="141"/>
        <v>-500</v>
      </c>
      <c r="AX89" s="1364">
        <f t="shared" si="166"/>
        <v>-100</v>
      </c>
      <c r="AY89" s="1237">
        <f t="shared" si="143"/>
        <v>6000</v>
      </c>
      <c r="AZ89" s="1189">
        <f t="shared" si="144"/>
        <v>0</v>
      </c>
      <c r="BA89" s="805"/>
      <c r="BB89" s="1178"/>
    </row>
    <row r="90" spans="1:57" s="119" customFormat="1" ht="18" customHeight="1" x14ac:dyDescent="0.25">
      <c r="A90" s="1181">
        <v>55229</v>
      </c>
      <c r="B90" s="1075" t="s">
        <v>3710</v>
      </c>
      <c r="C90" s="1207">
        <v>45000</v>
      </c>
      <c r="D90" s="1300"/>
      <c r="E90" s="1300">
        <f t="shared" si="108"/>
        <v>-45000</v>
      </c>
      <c r="F90" s="1216">
        <f t="shared" si="109"/>
        <v>-100</v>
      </c>
      <c r="G90" s="1207">
        <f t="shared" si="145"/>
        <v>45000</v>
      </c>
      <c r="H90" s="1300"/>
      <c r="I90" s="1300">
        <f t="shared" si="111"/>
        <v>-45000</v>
      </c>
      <c r="J90" s="1216">
        <f t="shared" si="146"/>
        <v>-100</v>
      </c>
      <c r="K90" s="1207">
        <f t="shared" si="147"/>
        <v>45000</v>
      </c>
      <c r="L90" s="1300"/>
      <c r="M90" s="1300">
        <f t="shared" si="114"/>
        <v>-45000</v>
      </c>
      <c r="N90" s="1216">
        <f t="shared" si="148"/>
        <v>-100</v>
      </c>
      <c r="O90" s="1207">
        <f t="shared" si="149"/>
        <v>45000</v>
      </c>
      <c r="P90" s="1300"/>
      <c r="Q90" s="1300">
        <f t="shared" si="117"/>
        <v>-45000</v>
      </c>
      <c r="R90" s="1216">
        <f t="shared" si="150"/>
        <v>-100</v>
      </c>
      <c r="S90" s="1207">
        <f t="shared" si="151"/>
        <v>45000</v>
      </c>
      <c r="T90" s="1300"/>
      <c r="U90" s="1300">
        <f t="shared" si="120"/>
        <v>-45000</v>
      </c>
      <c r="V90" s="1216">
        <f t="shared" si="152"/>
        <v>-100</v>
      </c>
      <c r="W90" s="1207">
        <f t="shared" si="153"/>
        <v>45000</v>
      </c>
      <c r="X90" s="1300"/>
      <c r="Y90" s="1300">
        <f t="shared" si="123"/>
        <v>-45000</v>
      </c>
      <c r="Z90" s="1216">
        <f t="shared" si="154"/>
        <v>-100</v>
      </c>
      <c r="AA90" s="1207">
        <f t="shared" si="155"/>
        <v>45000</v>
      </c>
      <c r="AB90" s="1300"/>
      <c r="AC90" s="1300">
        <f t="shared" si="126"/>
        <v>-45000</v>
      </c>
      <c r="AD90" s="1216">
        <f t="shared" si="156"/>
        <v>-100</v>
      </c>
      <c r="AE90" s="1207">
        <f t="shared" si="157"/>
        <v>45000</v>
      </c>
      <c r="AF90" s="1300"/>
      <c r="AG90" s="1300">
        <f t="shared" si="129"/>
        <v>-45000</v>
      </c>
      <c r="AH90" s="1216">
        <f t="shared" si="158"/>
        <v>-100</v>
      </c>
      <c r="AI90" s="1207">
        <f t="shared" si="159"/>
        <v>45000</v>
      </c>
      <c r="AJ90" s="1300"/>
      <c r="AK90" s="1300">
        <f t="shared" si="132"/>
        <v>-45000</v>
      </c>
      <c r="AL90" s="1216">
        <f t="shared" si="160"/>
        <v>-100</v>
      </c>
      <c r="AM90" s="1207">
        <f t="shared" si="161"/>
        <v>45000</v>
      </c>
      <c r="AN90" s="1300"/>
      <c r="AO90" s="1300">
        <f t="shared" si="135"/>
        <v>-45000</v>
      </c>
      <c r="AP90" s="1216">
        <f t="shared" si="162"/>
        <v>-100</v>
      </c>
      <c r="AQ90" s="1207">
        <f t="shared" si="163"/>
        <v>45000</v>
      </c>
      <c r="AR90" s="1300"/>
      <c r="AS90" s="1300">
        <f t="shared" si="138"/>
        <v>-45000</v>
      </c>
      <c r="AT90" s="1216">
        <f t="shared" si="164"/>
        <v>-100</v>
      </c>
      <c r="AU90" s="1207">
        <f t="shared" si="165"/>
        <v>45000</v>
      </c>
      <c r="AV90" s="1300"/>
      <c r="AW90" s="1300">
        <f t="shared" si="141"/>
        <v>-45000</v>
      </c>
      <c r="AX90" s="1364">
        <f t="shared" si="166"/>
        <v>-100</v>
      </c>
      <c r="AY90" s="1237">
        <f t="shared" si="143"/>
        <v>540000</v>
      </c>
      <c r="AZ90" s="1189">
        <f t="shared" si="144"/>
        <v>0</v>
      </c>
      <c r="BA90" s="11"/>
      <c r="BB90" s="1172"/>
      <c r="BC90" s="11"/>
      <c r="BD90" s="11"/>
      <c r="BE90" s="11"/>
    </row>
    <row r="91" spans="1:57" s="119" customFormat="1" ht="18" customHeight="1" x14ac:dyDescent="0.25">
      <c r="A91" s="170">
        <v>51820</v>
      </c>
      <c r="B91" s="382" t="s">
        <v>190</v>
      </c>
      <c r="C91" s="1207">
        <v>1200</v>
      </c>
      <c r="D91" s="1300"/>
      <c r="E91" s="1300">
        <f t="shared" si="108"/>
        <v>-1200</v>
      </c>
      <c r="F91" s="1216">
        <f t="shared" si="109"/>
        <v>-100</v>
      </c>
      <c r="G91" s="1264">
        <f t="shared" si="145"/>
        <v>1200</v>
      </c>
      <c r="H91" s="1300"/>
      <c r="I91" s="1300">
        <f t="shared" si="111"/>
        <v>-1200</v>
      </c>
      <c r="J91" s="1216">
        <f t="shared" si="146"/>
        <v>-100</v>
      </c>
      <c r="K91" s="1264">
        <f t="shared" si="147"/>
        <v>1200</v>
      </c>
      <c r="L91" s="1300"/>
      <c r="M91" s="1300">
        <f t="shared" si="114"/>
        <v>-1200</v>
      </c>
      <c r="N91" s="1216">
        <f t="shared" si="148"/>
        <v>-100</v>
      </c>
      <c r="O91" s="1264">
        <f t="shared" si="149"/>
        <v>1200</v>
      </c>
      <c r="P91" s="1300"/>
      <c r="Q91" s="1300">
        <f t="shared" si="117"/>
        <v>-1200</v>
      </c>
      <c r="R91" s="1216">
        <f t="shared" si="150"/>
        <v>-100</v>
      </c>
      <c r="S91" s="1264">
        <f t="shared" si="151"/>
        <v>1200</v>
      </c>
      <c r="T91" s="1300"/>
      <c r="U91" s="1300">
        <f t="shared" si="120"/>
        <v>-1200</v>
      </c>
      <c r="V91" s="1216">
        <f t="shared" si="152"/>
        <v>-100</v>
      </c>
      <c r="W91" s="1264">
        <f t="shared" si="153"/>
        <v>1200</v>
      </c>
      <c r="X91" s="1300"/>
      <c r="Y91" s="1300">
        <f t="shared" si="123"/>
        <v>-1200</v>
      </c>
      <c r="Z91" s="1216">
        <f t="shared" si="154"/>
        <v>-100</v>
      </c>
      <c r="AA91" s="1264">
        <f t="shared" si="155"/>
        <v>1200</v>
      </c>
      <c r="AB91" s="1300"/>
      <c r="AC91" s="1300">
        <f t="shared" si="126"/>
        <v>-1200</v>
      </c>
      <c r="AD91" s="1216">
        <f t="shared" si="156"/>
        <v>-100</v>
      </c>
      <c r="AE91" s="1264">
        <f t="shared" si="157"/>
        <v>1200</v>
      </c>
      <c r="AF91" s="1300"/>
      <c r="AG91" s="1300">
        <f t="shared" si="129"/>
        <v>-1200</v>
      </c>
      <c r="AH91" s="1216">
        <f t="shared" si="158"/>
        <v>-100</v>
      </c>
      <c r="AI91" s="1264">
        <f t="shared" si="159"/>
        <v>1200</v>
      </c>
      <c r="AJ91" s="1300"/>
      <c r="AK91" s="1300">
        <f t="shared" si="132"/>
        <v>-1200</v>
      </c>
      <c r="AL91" s="1216">
        <f t="shared" si="160"/>
        <v>-100</v>
      </c>
      <c r="AM91" s="1264">
        <f t="shared" si="161"/>
        <v>1200</v>
      </c>
      <c r="AN91" s="1300"/>
      <c r="AO91" s="1300">
        <f t="shared" si="135"/>
        <v>-1200</v>
      </c>
      <c r="AP91" s="1216">
        <f t="shared" si="162"/>
        <v>-100</v>
      </c>
      <c r="AQ91" s="1264">
        <f t="shared" si="163"/>
        <v>1200</v>
      </c>
      <c r="AR91" s="1300"/>
      <c r="AS91" s="1300">
        <f t="shared" si="138"/>
        <v>-1200</v>
      </c>
      <c r="AT91" s="1216">
        <f t="shared" si="164"/>
        <v>-100</v>
      </c>
      <c r="AU91" s="1264">
        <f t="shared" si="165"/>
        <v>1200</v>
      </c>
      <c r="AV91" s="1300"/>
      <c r="AW91" s="1300">
        <f t="shared" si="141"/>
        <v>-1200</v>
      </c>
      <c r="AX91" s="1364">
        <f t="shared" si="166"/>
        <v>-100</v>
      </c>
      <c r="AY91" s="1237">
        <f t="shared" si="143"/>
        <v>14400</v>
      </c>
      <c r="AZ91" s="1189">
        <f t="shared" si="144"/>
        <v>0</v>
      </c>
      <c r="BA91" s="805"/>
      <c r="BB91" s="1178"/>
    </row>
    <row r="92" spans="1:57" s="119" customFormat="1" ht="18" customHeight="1" x14ac:dyDescent="0.25">
      <c r="A92" s="1181">
        <v>54391</v>
      </c>
      <c r="B92" s="1075" t="s">
        <v>3793</v>
      </c>
      <c r="C92" s="1212">
        <v>95000</v>
      </c>
      <c r="D92" s="1324"/>
      <c r="E92" s="1325">
        <f t="shared" si="108"/>
        <v>-95000</v>
      </c>
      <c r="F92" s="1322">
        <f t="shared" si="109"/>
        <v>-100</v>
      </c>
      <c r="G92" s="1212">
        <f t="shared" si="145"/>
        <v>95000</v>
      </c>
      <c r="H92" s="1324"/>
      <c r="I92" s="1325">
        <f t="shared" si="111"/>
        <v>-95000</v>
      </c>
      <c r="J92" s="1322">
        <f t="shared" si="146"/>
        <v>-100</v>
      </c>
      <c r="K92" s="1212">
        <f t="shared" si="147"/>
        <v>95000</v>
      </c>
      <c r="L92" s="1324"/>
      <c r="M92" s="1325">
        <f t="shared" si="114"/>
        <v>-95000</v>
      </c>
      <c r="N92" s="1322">
        <f t="shared" si="148"/>
        <v>-100</v>
      </c>
      <c r="O92" s="1212">
        <f t="shared" si="149"/>
        <v>95000</v>
      </c>
      <c r="P92" s="1324"/>
      <c r="Q92" s="1325">
        <f t="shared" si="117"/>
        <v>-95000</v>
      </c>
      <c r="R92" s="1322">
        <f t="shared" si="150"/>
        <v>-100</v>
      </c>
      <c r="S92" s="1212">
        <f t="shared" si="151"/>
        <v>95000</v>
      </c>
      <c r="T92" s="1324"/>
      <c r="U92" s="1325">
        <f t="shared" si="120"/>
        <v>-95000</v>
      </c>
      <c r="V92" s="1322">
        <f t="shared" si="152"/>
        <v>-100</v>
      </c>
      <c r="W92" s="1212">
        <f t="shared" si="153"/>
        <v>95000</v>
      </c>
      <c r="X92" s="1324"/>
      <c r="Y92" s="1325">
        <f t="shared" si="123"/>
        <v>-95000</v>
      </c>
      <c r="Z92" s="1322">
        <f t="shared" si="154"/>
        <v>-100</v>
      </c>
      <c r="AA92" s="1212">
        <f t="shared" si="155"/>
        <v>95000</v>
      </c>
      <c r="AB92" s="1324"/>
      <c r="AC92" s="1325">
        <f t="shared" si="126"/>
        <v>-95000</v>
      </c>
      <c r="AD92" s="1322">
        <f t="shared" si="156"/>
        <v>-100</v>
      </c>
      <c r="AE92" s="1212">
        <f t="shared" si="157"/>
        <v>95000</v>
      </c>
      <c r="AF92" s="1324"/>
      <c r="AG92" s="1325">
        <f t="shared" si="129"/>
        <v>-95000</v>
      </c>
      <c r="AH92" s="1322">
        <f t="shared" si="158"/>
        <v>-100</v>
      </c>
      <c r="AI92" s="1212">
        <f t="shared" si="159"/>
        <v>95000</v>
      </c>
      <c r="AJ92" s="1324"/>
      <c r="AK92" s="1325">
        <f t="shared" si="132"/>
        <v>-95000</v>
      </c>
      <c r="AL92" s="1322">
        <f t="shared" si="160"/>
        <v>-100</v>
      </c>
      <c r="AM92" s="1212">
        <f t="shared" si="161"/>
        <v>95000</v>
      </c>
      <c r="AN92" s="1324"/>
      <c r="AO92" s="1325">
        <f t="shared" si="135"/>
        <v>-95000</v>
      </c>
      <c r="AP92" s="1322">
        <f t="shared" si="162"/>
        <v>-100</v>
      </c>
      <c r="AQ92" s="1212">
        <f t="shared" si="163"/>
        <v>95000</v>
      </c>
      <c r="AR92" s="1324"/>
      <c r="AS92" s="1325">
        <f t="shared" si="138"/>
        <v>-95000</v>
      </c>
      <c r="AT92" s="1322">
        <f t="shared" si="164"/>
        <v>-100</v>
      </c>
      <c r="AU92" s="1212">
        <f t="shared" ref="AU92:AU106" si="167">AQ92</f>
        <v>95000</v>
      </c>
      <c r="AV92" s="1324"/>
      <c r="AW92" s="1325">
        <f t="shared" si="141"/>
        <v>-95000</v>
      </c>
      <c r="AX92" s="1390">
        <f t="shared" si="166"/>
        <v>-100</v>
      </c>
      <c r="AY92" s="1237">
        <f t="shared" si="143"/>
        <v>1140000</v>
      </c>
      <c r="AZ92" s="1189">
        <f t="shared" si="144"/>
        <v>0</v>
      </c>
      <c r="BA92" s="146"/>
      <c r="BB92" s="232"/>
      <c r="BC92" s="146"/>
      <c r="BD92" s="146"/>
      <c r="BE92" s="146"/>
    </row>
    <row r="93" spans="1:57" s="119" customFormat="1" ht="18" customHeight="1" x14ac:dyDescent="0.25">
      <c r="A93" s="170">
        <v>51822</v>
      </c>
      <c r="B93" s="382" t="s">
        <v>192</v>
      </c>
      <c r="C93" s="1207">
        <v>95000</v>
      </c>
      <c r="D93" s="1300"/>
      <c r="E93" s="1300">
        <f t="shared" si="108"/>
        <v>-95000</v>
      </c>
      <c r="F93" s="1216">
        <f t="shared" si="109"/>
        <v>-100</v>
      </c>
      <c r="G93" s="1264">
        <f t="shared" si="145"/>
        <v>95000</v>
      </c>
      <c r="H93" s="1300"/>
      <c r="I93" s="1300">
        <f t="shared" si="111"/>
        <v>-95000</v>
      </c>
      <c r="J93" s="1216">
        <f t="shared" si="146"/>
        <v>-100</v>
      </c>
      <c r="K93" s="1264">
        <f t="shared" si="147"/>
        <v>95000</v>
      </c>
      <c r="L93" s="1300"/>
      <c r="M93" s="1300">
        <f t="shared" si="114"/>
        <v>-95000</v>
      </c>
      <c r="N93" s="1216">
        <f t="shared" si="148"/>
        <v>-100</v>
      </c>
      <c r="O93" s="1264">
        <f t="shared" si="149"/>
        <v>95000</v>
      </c>
      <c r="P93" s="1300"/>
      <c r="Q93" s="1300">
        <f t="shared" si="117"/>
        <v>-95000</v>
      </c>
      <c r="R93" s="1216">
        <f t="shared" si="150"/>
        <v>-100</v>
      </c>
      <c r="S93" s="1264">
        <f t="shared" si="151"/>
        <v>95000</v>
      </c>
      <c r="T93" s="1300"/>
      <c r="U93" s="1300">
        <f t="shared" si="120"/>
        <v>-95000</v>
      </c>
      <c r="V93" s="1216">
        <f t="shared" si="152"/>
        <v>-100</v>
      </c>
      <c r="W93" s="1264">
        <f t="shared" si="153"/>
        <v>95000</v>
      </c>
      <c r="X93" s="1300"/>
      <c r="Y93" s="1300">
        <f t="shared" si="123"/>
        <v>-95000</v>
      </c>
      <c r="Z93" s="1216">
        <f t="shared" si="154"/>
        <v>-100</v>
      </c>
      <c r="AA93" s="1264">
        <f t="shared" si="155"/>
        <v>95000</v>
      </c>
      <c r="AB93" s="1300"/>
      <c r="AC93" s="1300">
        <f t="shared" si="126"/>
        <v>-95000</v>
      </c>
      <c r="AD93" s="1216">
        <f t="shared" si="156"/>
        <v>-100</v>
      </c>
      <c r="AE93" s="1264">
        <f t="shared" si="157"/>
        <v>95000</v>
      </c>
      <c r="AF93" s="1300"/>
      <c r="AG93" s="1300">
        <f t="shared" si="129"/>
        <v>-95000</v>
      </c>
      <c r="AH93" s="1216">
        <f t="shared" si="158"/>
        <v>-100</v>
      </c>
      <c r="AI93" s="1264">
        <f t="shared" si="159"/>
        <v>95000</v>
      </c>
      <c r="AJ93" s="1300"/>
      <c r="AK93" s="1300">
        <f t="shared" si="132"/>
        <v>-95000</v>
      </c>
      <c r="AL93" s="1216">
        <f t="shared" si="160"/>
        <v>-100</v>
      </c>
      <c r="AM93" s="1264">
        <f t="shared" si="161"/>
        <v>95000</v>
      </c>
      <c r="AN93" s="1300"/>
      <c r="AO93" s="1300">
        <f t="shared" si="135"/>
        <v>-95000</v>
      </c>
      <c r="AP93" s="1216">
        <f t="shared" si="162"/>
        <v>-100</v>
      </c>
      <c r="AQ93" s="1264">
        <f t="shared" si="163"/>
        <v>95000</v>
      </c>
      <c r="AR93" s="1300"/>
      <c r="AS93" s="1300">
        <f t="shared" si="138"/>
        <v>-95000</v>
      </c>
      <c r="AT93" s="1216">
        <f t="shared" si="164"/>
        <v>-100</v>
      </c>
      <c r="AU93" s="1264">
        <f t="shared" si="167"/>
        <v>95000</v>
      </c>
      <c r="AV93" s="1300"/>
      <c r="AW93" s="1300">
        <f t="shared" si="141"/>
        <v>-95000</v>
      </c>
      <c r="AX93" s="1364">
        <f t="shared" si="166"/>
        <v>-100</v>
      </c>
      <c r="AY93" s="1237">
        <f t="shared" si="143"/>
        <v>1140000</v>
      </c>
      <c r="AZ93" s="1189">
        <f t="shared" si="144"/>
        <v>0</v>
      </c>
      <c r="BA93" s="805"/>
      <c r="BB93" s="1178"/>
    </row>
    <row r="94" spans="1:57" s="119" customFormat="1" ht="18" customHeight="1" x14ac:dyDescent="0.25">
      <c r="A94" s="170">
        <v>52230</v>
      </c>
      <c r="B94" s="382" t="s">
        <v>3789</v>
      </c>
      <c r="C94" s="1207">
        <v>12000</v>
      </c>
      <c r="D94" s="1300"/>
      <c r="E94" s="1300">
        <f t="shared" si="108"/>
        <v>-12000</v>
      </c>
      <c r="F94" s="1216">
        <f t="shared" si="109"/>
        <v>-100</v>
      </c>
      <c r="G94" s="1264">
        <f t="shared" si="145"/>
        <v>12000</v>
      </c>
      <c r="H94" s="1300"/>
      <c r="I94" s="1300">
        <f t="shared" si="111"/>
        <v>-12000</v>
      </c>
      <c r="J94" s="1216">
        <f t="shared" si="146"/>
        <v>-100</v>
      </c>
      <c r="K94" s="1264">
        <f t="shared" si="147"/>
        <v>12000</v>
      </c>
      <c r="L94" s="1300"/>
      <c r="M94" s="1300">
        <f t="shared" si="114"/>
        <v>-12000</v>
      </c>
      <c r="N94" s="1216">
        <f t="shared" si="148"/>
        <v>-100</v>
      </c>
      <c r="O94" s="1264">
        <f t="shared" si="149"/>
        <v>12000</v>
      </c>
      <c r="P94" s="1300"/>
      <c r="Q94" s="1300">
        <f t="shared" si="117"/>
        <v>-12000</v>
      </c>
      <c r="R94" s="1216">
        <f t="shared" si="150"/>
        <v>-100</v>
      </c>
      <c r="S94" s="1264">
        <f t="shared" si="151"/>
        <v>12000</v>
      </c>
      <c r="T94" s="1300"/>
      <c r="U94" s="1300">
        <f t="shared" si="120"/>
        <v>-12000</v>
      </c>
      <c r="V94" s="1216">
        <f t="shared" si="152"/>
        <v>-100</v>
      </c>
      <c r="W94" s="1264">
        <f t="shared" si="153"/>
        <v>12000</v>
      </c>
      <c r="X94" s="1300"/>
      <c r="Y94" s="1300">
        <f t="shared" si="123"/>
        <v>-12000</v>
      </c>
      <c r="Z94" s="1216">
        <f t="shared" si="154"/>
        <v>-100</v>
      </c>
      <c r="AA94" s="1264">
        <f t="shared" si="155"/>
        <v>12000</v>
      </c>
      <c r="AB94" s="1300"/>
      <c r="AC94" s="1300">
        <f t="shared" si="126"/>
        <v>-12000</v>
      </c>
      <c r="AD94" s="1216">
        <f t="shared" si="156"/>
        <v>-100</v>
      </c>
      <c r="AE94" s="1264">
        <f t="shared" si="157"/>
        <v>12000</v>
      </c>
      <c r="AF94" s="1300"/>
      <c r="AG94" s="1300">
        <f t="shared" si="129"/>
        <v>-12000</v>
      </c>
      <c r="AH94" s="1216">
        <f t="shared" si="158"/>
        <v>-100</v>
      </c>
      <c r="AI94" s="1264">
        <f t="shared" si="159"/>
        <v>12000</v>
      </c>
      <c r="AJ94" s="1300"/>
      <c r="AK94" s="1300">
        <f t="shared" si="132"/>
        <v>-12000</v>
      </c>
      <c r="AL94" s="1216">
        <f t="shared" si="160"/>
        <v>-100</v>
      </c>
      <c r="AM94" s="1264">
        <f t="shared" si="161"/>
        <v>12000</v>
      </c>
      <c r="AN94" s="1300"/>
      <c r="AO94" s="1300">
        <f t="shared" si="135"/>
        <v>-12000</v>
      </c>
      <c r="AP94" s="1216">
        <f t="shared" si="162"/>
        <v>-100</v>
      </c>
      <c r="AQ94" s="1264">
        <f t="shared" si="163"/>
        <v>12000</v>
      </c>
      <c r="AR94" s="1300"/>
      <c r="AS94" s="1300">
        <f t="shared" si="138"/>
        <v>-12000</v>
      </c>
      <c r="AT94" s="1216">
        <f t="shared" si="164"/>
        <v>-100</v>
      </c>
      <c r="AU94" s="1264">
        <f t="shared" si="167"/>
        <v>12000</v>
      </c>
      <c r="AV94" s="1300"/>
      <c r="AW94" s="1300">
        <f t="shared" si="141"/>
        <v>-12000</v>
      </c>
      <c r="AX94" s="1364">
        <f t="shared" si="166"/>
        <v>-100</v>
      </c>
      <c r="AY94" s="1237">
        <f t="shared" si="143"/>
        <v>144000</v>
      </c>
      <c r="AZ94" s="1189">
        <f t="shared" si="144"/>
        <v>0</v>
      </c>
      <c r="BA94" s="805"/>
      <c r="BB94" s="1178"/>
    </row>
    <row r="95" spans="1:57" s="119" customFormat="1" ht="18" customHeight="1" x14ac:dyDescent="0.25">
      <c r="A95" s="170">
        <v>12226</v>
      </c>
      <c r="B95" s="382" t="s">
        <v>3773</v>
      </c>
      <c r="C95" s="1207">
        <v>35000</v>
      </c>
      <c r="D95" s="1300"/>
      <c r="E95" s="1300">
        <f t="shared" si="108"/>
        <v>-35000</v>
      </c>
      <c r="F95" s="1216">
        <f t="shared" si="109"/>
        <v>-100</v>
      </c>
      <c r="G95" s="1264">
        <f t="shared" si="145"/>
        <v>35000</v>
      </c>
      <c r="H95" s="1300"/>
      <c r="I95" s="1300">
        <f t="shared" si="111"/>
        <v>-35000</v>
      </c>
      <c r="J95" s="1216">
        <f t="shared" si="146"/>
        <v>-100</v>
      </c>
      <c r="K95" s="1264">
        <f t="shared" si="147"/>
        <v>35000</v>
      </c>
      <c r="L95" s="1300"/>
      <c r="M95" s="1300">
        <f t="shared" si="114"/>
        <v>-35000</v>
      </c>
      <c r="N95" s="1216">
        <f t="shared" si="148"/>
        <v>-100</v>
      </c>
      <c r="O95" s="1264">
        <f t="shared" si="149"/>
        <v>35000</v>
      </c>
      <c r="P95" s="1300"/>
      <c r="Q95" s="1300">
        <f t="shared" si="117"/>
        <v>-35000</v>
      </c>
      <c r="R95" s="1216">
        <f t="shared" si="150"/>
        <v>-100</v>
      </c>
      <c r="S95" s="1264">
        <f t="shared" si="151"/>
        <v>35000</v>
      </c>
      <c r="T95" s="1300"/>
      <c r="U95" s="1300">
        <f t="shared" si="120"/>
        <v>-35000</v>
      </c>
      <c r="V95" s="1216">
        <f t="shared" si="152"/>
        <v>-100</v>
      </c>
      <c r="W95" s="1264">
        <f t="shared" si="153"/>
        <v>35000</v>
      </c>
      <c r="X95" s="1300"/>
      <c r="Y95" s="1300">
        <f t="shared" si="123"/>
        <v>-35000</v>
      </c>
      <c r="Z95" s="1216">
        <f t="shared" si="154"/>
        <v>-100</v>
      </c>
      <c r="AA95" s="1264">
        <f t="shared" si="155"/>
        <v>35000</v>
      </c>
      <c r="AB95" s="1300"/>
      <c r="AC95" s="1300">
        <f t="shared" si="126"/>
        <v>-35000</v>
      </c>
      <c r="AD95" s="1216">
        <f t="shared" si="156"/>
        <v>-100</v>
      </c>
      <c r="AE95" s="1264">
        <f t="shared" si="157"/>
        <v>35000</v>
      </c>
      <c r="AF95" s="1300"/>
      <c r="AG95" s="1300">
        <f t="shared" si="129"/>
        <v>-35000</v>
      </c>
      <c r="AH95" s="1216">
        <f t="shared" si="158"/>
        <v>-100</v>
      </c>
      <c r="AI95" s="1264">
        <f t="shared" si="159"/>
        <v>35000</v>
      </c>
      <c r="AJ95" s="1300"/>
      <c r="AK95" s="1300">
        <f t="shared" si="132"/>
        <v>-35000</v>
      </c>
      <c r="AL95" s="1216">
        <f t="shared" si="160"/>
        <v>-100</v>
      </c>
      <c r="AM95" s="1264">
        <f t="shared" si="161"/>
        <v>35000</v>
      </c>
      <c r="AN95" s="1300"/>
      <c r="AO95" s="1300">
        <f t="shared" si="135"/>
        <v>-35000</v>
      </c>
      <c r="AP95" s="1216">
        <f t="shared" si="162"/>
        <v>-100</v>
      </c>
      <c r="AQ95" s="1264">
        <f t="shared" si="163"/>
        <v>35000</v>
      </c>
      <c r="AR95" s="1300"/>
      <c r="AS95" s="1300">
        <f t="shared" si="138"/>
        <v>-35000</v>
      </c>
      <c r="AT95" s="1216">
        <f t="shared" si="164"/>
        <v>-100</v>
      </c>
      <c r="AU95" s="1264">
        <f t="shared" si="167"/>
        <v>35000</v>
      </c>
      <c r="AV95" s="1300"/>
      <c r="AW95" s="1300">
        <f t="shared" si="141"/>
        <v>-35000</v>
      </c>
      <c r="AX95" s="1364">
        <f t="shared" si="166"/>
        <v>-100</v>
      </c>
      <c r="AY95" s="1237">
        <f t="shared" si="143"/>
        <v>420000</v>
      </c>
      <c r="AZ95" s="1189">
        <f t="shared" si="144"/>
        <v>0</v>
      </c>
      <c r="BA95" s="805"/>
      <c r="BB95" s="1177"/>
    </row>
    <row r="96" spans="1:57" s="119" customFormat="1" ht="18" customHeight="1" x14ac:dyDescent="0.25">
      <c r="A96" s="170">
        <v>51821</v>
      </c>
      <c r="B96" s="382" t="s">
        <v>191</v>
      </c>
      <c r="C96" s="1207">
        <v>3600</v>
      </c>
      <c r="D96" s="1300"/>
      <c r="E96" s="1300">
        <f t="shared" si="108"/>
        <v>-3600</v>
      </c>
      <c r="F96" s="1216">
        <f t="shared" si="109"/>
        <v>-100</v>
      </c>
      <c r="G96" s="1264">
        <f t="shared" si="145"/>
        <v>3600</v>
      </c>
      <c r="H96" s="1300"/>
      <c r="I96" s="1300">
        <f t="shared" si="111"/>
        <v>-3600</v>
      </c>
      <c r="J96" s="1216">
        <f t="shared" si="146"/>
        <v>-100</v>
      </c>
      <c r="K96" s="1264">
        <f t="shared" si="147"/>
        <v>3600</v>
      </c>
      <c r="L96" s="1300"/>
      <c r="M96" s="1300">
        <f t="shared" si="114"/>
        <v>-3600</v>
      </c>
      <c r="N96" s="1216">
        <f t="shared" si="148"/>
        <v>-100</v>
      </c>
      <c r="O96" s="1264">
        <f t="shared" si="149"/>
        <v>3600</v>
      </c>
      <c r="P96" s="1300"/>
      <c r="Q96" s="1300">
        <f t="shared" si="117"/>
        <v>-3600</v>
      </c>
      <c r="R96" s="1216">
        <f t="shared" si="150"/>
        <v>-100</v>
      </c>
      <c r="S96" s="1264">
        <f t="shared" si="151"/>
        <v>3600</v>
      </c>
      <c r="T96" s="1300"/>
      <c r="U96" s="1300">
        <f t="shared" si="120"/>
        <v>-3600</v>
      </c>
      <c r="V96" s="1216">
        <f t="shared" si="152"/>
        <v>-100</v>
      </c>
      <c r="W96" s="1264">
        <f t="shared" si="153"/>
        <v>3600</v>
      </c>
      <c r="X96" s="1300"/>
      <c r="Y96" s="1300">
        <f t="shared" si="123"/>
        <v>-3600</v>
      </c>
      <c r="Z96" s="1216">
        <f t="shared" si="154"/>
        <v>-100</v>
      </c>
      <c r="AA96" s="1264">
        <f t="shared" si="155"/>
        <v>3600</v>
      </c>
      <c r="AB96" s="1300"/>
      <c r="AC96" s="1300">
        <f t="shared" si="126"/>
        <v>-3600</v>
      </c>
      <c r="AD96" s="1216">
        <f t="shared" si="156"/>
        <v>-100</v>
      </c>
      <c r="AE96" s="1264">
        <f t="shared" si="157"/>
        <v>3600</v>
      </c>
      <c r="AF96" s="1300"/>
      <c r="AG96" s="1300">
        <f t="shared" si="129"/>
        <v>-3600</v>
      </c>
      <c r="AH96" s="1216">
        <f t="shared" si="158"/>
        <v>-100</v>
      </c>
      <c r="AI96" s="1264">
        <f t="shared" si="159"/>
        <v>3600</v>
      </c>
      <c r="AJ96" s="1300"/>
      <c r="AK96" s="1300">
        <f t="shared" si="132"/>
        <v>-3600</v>
      </c>
      <c r="AL96" s="1216">
        <f t="shared" si="160"/>
        <v>-100</v>
      </c>
      <c r="AM96" s="1264">
        <f t="shared" si="161"/>
        <v>3600</v>
      </c>
      <c r="AN96" s="1300"/>
      <c r="AO96" s="1300">
        <f t="shared" si="135"/>
        <v>-3600</v>
      </c>
      <c r="AP96" s="1216">
        <f t="shared" si="162"/>
        <v>-100</v>
      </c>
      <c r="AQ96" s="1264">
        <f t="shared" si="163"/>
        <v>3600</v>
      </c>
      <c r="AR96" s="1300"/>
      <c r="AS96" s="1300">
        <f t="shared" si="138"/>
        <v>-3600</v>
      </c>
      <c r="AT96" s="1216">
        <f t="shared" si="164"/>
        <v>-100</v>
      </c>
      <c r="AU96" s="1264">
        <f t="shared" si="167"/>
        <v>3600</v>
      </c>
      <c r="AV96" s="1300"/>
      <c r="AW96" s="1300">
        <f t="shared" si="141"/>
        <v>-3600</v>
      </c>
      <c r="AX96" s="1364">
        <f t="shared" si="166"/>
        <v>-100</v>
      </c>
      <c r="AY96" s="1237">
        <f t="shared" si="143"/>
        <v>43200</v>
      </c>
      <c r="AZ96" s="1189">
        <f t="shared" si="144"/>
        <v>0</v>
      </c>
      <c r="BA96" s="805"/>
      <c r="BB96" s="1178"/>
    </row>
    <row r="97" spans="1:95" s="119" customFormat="1" ht="18" customHeight="1" x14ac:dyDescent="0.25">
      <c r="A97" s="170">
        <v>51641</v>
      </c>
      <c r="B97" s="382" t="s">
        <v>3787</v>
      </c>
      <c r="C97" s="1207">
        <v>65000</v>
      </c>
      <c r="D97" s="1300"/>
      <c r="E97" s="1300">
        <f t="shared" si="108"/>
        <v>-65000</v>
      </c>
      <c r="F97" s="1216">
        <f t="shared" si="109"/>
        <v>-100</v>
      </c>
      <c r="G97" s="1264">
        <f t="shared" si="145"/>
        <v>65000</v>
      </c>
      <c r="H97" s="1300"/>
      <c r="I97" s="1300">
        <f t="shared" si="111"/>
        <v>-65000</v>
      </c>
      <c r="J97" s="1216">
        <f t="shared" si="146"/>
        <v>-100</v>
      </c>
      <c r="K97" s="1264">
        <f t="shared" si="147"/>
        <v>65000</v>
      </c>
      <c r="L97" s="1300"/>
      <c r="M97" s="1300">
        <f t="shared" si="114"/>
        <v>-65000</v>
      </c>
      <c r="N97" s="1216">
        <f t="shared" si="148"/>
        <v>-100</v>
      </c>
      <c r="O97" s="1264">
        <f t="shared" si="149"/>
        <v>65000</v>
      </c>
      <c r="P97" s="1300"/>
      <c r="Q97" s="1300">
        <f t="shared" si="117"/>
        <v>-65000</v>
      </c>
      <c r="R97" s="1216">
        <f t="shared" si="150"/>
        <v>-100</v>
      </c>
      <c r="S97" s="1264">
        <f t="shared" si="151"/>
        <v>65000</v>
      </c>
      <c r="T97" s="1300"/>
      <c r="U97" s="1300">
        <f t="shared" si="120"/>
        <v>-65000</v>
      </c>
      <c r="V97" s="1216">
        <f t="shared" si="152"/>
        <v>-100</v>
      </c>
      <c r="W97" s="1264">
        <f t="shared" si="153"/>
        <v>65000</v>
      </c>
      <c r="X97" s="1300"/>
      <c r="Y97" s="1300">
        <f t="shared" si="123"/>
        <v>-65000</v>
      </c>
      <c r="Z97" s="1216">
        <f t="shared" si="154"/>
        <v>-100</v>
      </c>
      <c r="AA97" s="1264">
        <f t="shared" si="155"/>
        <v>65000</v>
      </c>
      <c r="AB97" s="1300"/>
      <c r="AC97" s="1300">
        <f t="shared" si="126"/>
        <v>-65000</v>
      </c>
      <c r="AD97" s="1216">
        <f t="shared" si="156"/>
        <v>-100</v>
      </c>
      <c r="AE97" s="1264">
        <f t="shared" si="157"/>
        <v>65000</v>
      </c>
      <c r="AF97" s="1300"/>
      <c r="AG97" s="1300">
        <f t="shared" si="129"/>
        <v>-65000</v>
      </c>
      <c r="AH97" s="1216">
        <f t="shared" si="158"/>
        <v>-100</v>
      </c>
      <c r="AI97" s="1264">
        <f t="shared" si="159"/>
        <v>65000</v>
      </c>
      <c r="AJ97" s="1300"/>
      <c r="AK97" s="1300">
        <f t="shared" si="132"/>
        <v>-65000</v>
      </c>
      <c r="AL97" s="1216">
        <f t="shared" si="160"/>
        <v>-100</v>
      </c>
      <c r="AM97" s="1264">
        <f t="shared" si="161"/>
        <v>65000</v>
      </c>
      <c r="AN97" s="1300"/>
      <c r="AO97" s="1300">
        <f t="shared" si="135"/>
        <v>-65000</v>
      </c>
      <c r="AP97" s="1216">
        <f t="shared" si="162"/>
        <v>-100</v>
      </c>
      <c r="AQ97" s="1264">
        <f t="shared" si="163"/>
        <v>65000</v>
      </c>
      <c r="AR97" s="1300"/>
      <c r="AS97" s="1300">
        <f t="shared" si="138"/>
        <v>-65000</v>
      </c>
      <c r="AT97" s="1216">
        <f t="shared" si="164"/>
        <v>-100</v>
      </c>
      <c r="AU97" s="1264">
        <f t="shared" si="167"/>
        <v>65000</v>
      </c>
      <c r="AV97" s="1300"/>
      <c r="AW97" s="1300">
        <f t="shared" si="141"/>
        <v>-65000</v>
      </c>
      <c r="AX97" s="1364">
        <f t="shared" si="166"/>
        <v>-100</v>
      </c>
      <c r="AY97" s="1237">
        <f t="shared" si="143"/>
        <v>780000</v>
      </c>
      <c r="AZ97" s="1189">
        <f t="shared" si="144"/>
        <v>0</v>
      </c>
      <c r="BA97" s="805"/>
      <c r="BB97" s="1178"/>
    </row>
    <row r="98" spans="1:95" s="119" customFormat="1" ht="18" customHeight="1" x14ac:dyDescent="0.25">
      <c r="A98" s="1123" t="s">
        <v>52</v>
      </c>
      <c r="B98" s="382" t="s">
        <v>182</v>
      </c>
      <c r="C98" s="1207">
        <v>8000</v>
      </c>
      <c r="D98" s="1300"/>
      <c r="E98" s="1300">
        <f t="shared" si="108"/>
        <v>-8000</v>
      </c>
      <c r="F98" s="1216">
        <f t="shared" si="109"/>
        <v>-100</v>
      </c>
      <c r="G98" s="1264">
        <f t="shared" si="145"/>
        <v>8000</v>
      </c>
      <c r="H98" s="1300"/>
      <c r="I98" s="1300">
        <f t="shared" si="111"/>
        <v>-8000</v>
      </c>
      <c r="J98" s="1216">
        <f t="shared" si="146"/>
        <v>-100</v>
      </c>
      <c r="K98" s="1264">
        <f t="shared" si="147"/>
        <v>8000</v>
      </c>
      <c r="L98" s="1300"/>
      <c r="M98" s="1300">
        <f t="shared" si="114"/>
        <v>-8000</v>
      </c>
      <c r="N98" s="1216">
        <f t="shared" si="148"/>
        <v>-100</v>
      </c>
      <c r="O98" s="1264">
        <f t="shared" si="149"/>
        <v>8000</v>
      </c>
      <c r="P98" s="1300"/>
      <c r="Q98" s="1300">
        <f t="shared" si="117"/>
        <v>-8000</v>
      </c>
      <c r="R98" s="1216">
        <f t="shared" si="150"/>
        <v>-100</v>
      </c>
      <c r="S98" s="1264">
        <f t="shared" si="151"/>
        <v>8000</v>
      </c>
      <c r="T98" s="1300"/>
      <c r="U98" s="1300">
        <f t="shared" si="120"/>
        <v>-8000</v>
      </c>
      <c r="V98" s="1216">
        <f t="shared" si="152"/>
        <v>-100</v>
      </c>
      <c r="W98" s="1264">
        <f t="shared" si="153"/>
        <v>8000</v>
      </c>
      <c r="X98" s="1300"/>
      <c r="Y98" s="1300">
        <f t="shared" si="123"/>
        <v>-8000</v>
      </c>
      <c r="Z98" s="1216">
        <f t="shared" si="154"/>
        <v>-100</v>
      </c>
      <c r="AA98" s="1264">
        <f t="shared" si="155"/>
        <v>8000</v>
      </c>
      <c r="AB98" s="1300"/>
      <c r="AC98" s="1300">
        <f t="shared" si="126"/>
        <v>-8000</v>
      </c>
      <c r="AD98" s="1216">
        <f t="shared" si="156"/>
        <v>-100</v>
      </c>
      <c r="AE98" s="1264">
        <f t="shared" si="157"/>
        <v>8000</v>
      </c>
      <c r="AF98" s="1300"/>
      <c r="AG98" s="1300">
        <f t="shared" si="129"/>
        <v>-8000</v>
      </c>
      <c r="AH98" s="1216">
        <f t="shared" si="158"/>
        <v>-100</v>
      </c>
      <c r="AI98" s="1264">
        <f t="shared" si="159"/>
        <v>8000</v>
      </c>
      <c r="AJ98" s="1300"/>
      <c r="AK98" s="1300">
        <f t="shared" si="132"/>
        <v>-8000</v>
      </c>
      <c r="AL98" s="1216">
        <f t="shared" si="160"/>
        <v>-100</v>
      </c>
      <c r="AM98" s="1264">
        <f t="shared" si="161"/>
        <v>8000</v>
      </c>
      <c r="AN98" s="1300"/>
      <c r="AO98" s="1300">
        <f t="shared" si="135"/>
        <v>-8000</v>
      </c>
      <c r="AP98" s="1216">
        <f t="shared" si="162"/>
        <v>-100</v>
      </c>
      <c r="AQ98" s="1264">
        <f t="shared" si="163"/>
        <v>8000</v>
      </c>
      <c r="AR98" s="1300"/>
      <c r="AS98" s="1300">
        <f t="shared" si="138"/>
        <v>-8000</v>
      </c>
      <c r="AT98" s="1216">
        <f t="shared" si="164"/>
        <v>-100</v>
      </c>
      <c r="AU98" s="1264">
        <f t="shared" si="167"/>
        <v>8000</v>
      </c>
      <c r="AV98" s="1300"/>
      <c r="AW98" s="1300">
        <f t="shared" si="141"/>
        <v>-8000</v>
      </c>
      <c r="AX98" s="1364">
        <f t="shared" si="166"/>
        <v>-100</v>
      </c>
      <c r="AY98" s="1237">
        <f t="shared" si="143"/>
        <v>96000</v>
      </c>
      <c r="AZ98" s="1189">
        <f t="shared" si="144"/>
        <v>0</v>
      </c>
      <c r="BA98" s="805"/>
      <c r="BB98" s="1177"/>
    </row>
    <row r="99" spans="1:95" s="423" customFormat="1" ht="18" customHeight="1" x14ac:dyDescent="0.25">
      <c r="A99" s="1101">
        <v>54162</v>
      </c>
      <c r="B99" s="1075" t="s">
        <v>3788</v>
      </c>
      <c r="C99" s="1207">
        <v>25000</v>
      </c>
      <c r="D99" s="1300"/>
      <c r="E99" s="1300">
        <f t="shared" si="108"/>
        <v>-25000</v>
      </c>
      <c r="F99" s="1216">
        <f t="shared" si="109"/>
        <v>-100</v>
      </c>
      <c r="G99" s="1212">
        <f t="shared" si="145"/>
        <v>25000</v>
      </c>
      <c r="H99" s="1300"/>
      <c r="I99" s="1300">
        <f t="shared" si="111"/>
        <v>-25000</v>
      </c>
      <c r="J99" s="1216">
        <f t="shared" si="146"/>
        <v>-100</v>
      </c>
      <c r="K99" s="1212">
        <f t="shared" si="147"/>
        <v>25000</v>
      </c>
      <c r="L99" s="1300"/>
      <c r="M99" s="1300">
        <f t="shared" si="114"/>
        <v>-25000</v>
      </c>
      <c r="N99" s="1216">
        <f t="shared" si="148"/>
        <v>-100</v>
      </c>
      <c r="O99" s="1212">
        <f t="shared" si="149"/>
        <v>25000</v>
      </c>
      <c r="P99" s="1300"/>
      <c r="Q99" s="1300">
        <f t="shared" si="117"/>
        <v>-25000</v>
      </c>
      <c r="R99" s="1216">
        <f t="shared" si="150"/>
        <v>-100</v>
      </c>
      <c r="S99" s="1212">
        <f t="shared" si="151"/>
        <v>25000</v>
      </c>
      <c r="T99" s="1300"/>
      <c r="U99" s="1300">
        <f t="shared" si="120"/>
        <v>-25000</v>
      </c>
      <c r="V99" s="1216">
        <f t="shared" si="152"/>
        <v>-100</v>
      </c>
      <c r="W99" s="1212">
        <f t="shared" si="153"/>
        <v>25000</v>
      </c>
      <c r="X99" s="1300"/>
      <c r="Y99" s="1300">
        <f t="shared" si="123"/>
        <v>-25000</v>
      </c>
      <c r="Z99" s="1216">
        <f t="shared" si="154"/>
        <v>-100</v>
      </c>
      <c r="AA99" s="1212">
        <f t="shared" si="155"/>
        <v>25000</v>
      </c>
      <c r="AB99" s="1300"/>
      <c r="AC99" s="1300">
        <f t="shared" si="126"/>
        <v>-25000</v>
      </c>
      <c r="AD99" s="1216">
        <f t="shared" si="156"/>
        <v>-100</v>
      </c>
      <c r="AE99" s="1212">
        <f t="shared" si="157"/>
        <v>25000</v>
      </c>
      <c r="AF99" s="1300"/>
      <c r="AG99" s="1300">
        <f t="shared" si="129"/>
        <v>-25000</v>
      </c>
      <c r="AH99" s="1216">
        <f t="shared" si="158"/>
        <v>-100</v>
      </c>
      <c r="AI99" s="1212">
        <f t="shared" si="159"/>
        <v>25000</v>
      </c>
      <c r="AJ99" s="1300"/>
      <c r="AK99" s="1300">
        <f t="shared" si="132"/>
        <v>-25000</v>
      </c>
      <c r="AL99" s="1216">
        <f t="shared" si="160"/>
        <v>-100</v>
      </c>
      <c r="AM99" s="1212">
        <f t="shared" si="161"/>
        <v>25000</v>
      </c>
      <c r="AN99" s="1300"/>
      <c r="AO99" s="1300">
        <f t="shared" si="135"/>
        <v>-25000</v>
      </c>
      <c r="AP99" s="1216">
        <f t="shared" si="162"/>
        <v>-100</v>
      </c>
      <c r="AQ99" s="1212">
        <f t="shared" si="163"/>
        <v>25000</v>
      </c>
      <c r="AR99" s="1300"/>
      <c r="AS99" s="1300">
        <f t="shared" si="138"/>
        <v>-25000</v>
      </c>
      <c r="AT99" s="1216">
        <f t="shared" si="164"/>
        <v>-100</v>
      </c>
      <c r="AU99" s="1212">
        <f t="shared" si="167"/>
        <v>25000</v>
      </c>
      <c r="AV99" s="1300"/>
      <c r="AW99" s="1300">
        <f t="shared" si="141"/>
        <v>-25000</v>
      </c>
      <c r="AX99" s="1364">
        <f t="shared" si="166"/>
        <v>-100</v>
      </c>
      <c r="AY99" s="1237">
        <f t="shared" si="143"/>
        <v>300000</v>
      </c>
      <c r="AZ99" s="1189">
        <f t="shared" si="144"/>
        <v>0</v>
      </c>
      <c r="BA99" s="805"/>
      <c r="BB99" s="1178"/>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row>
    <row r="100" spans="1:95" s="146" customFormat="1" ht="18" customHeight="1" x14ac:dyDescent="0.25">
      <c r="A100" s="1517">
        <v>12230</v>
      </c>
      <c r="B100" s="382" t="s">
        <v>184</v>
      </c>
      <c r="C100" s="1207">
        <v>20000</v>
      </c>
      <c r="D100" s="1300"/>
      <c r="E100" s="1300">
        <f t="shared" si="108"/>
        <v>-20000</v>
      </c>
      <c r="F100" s="1216">
        <f t="shared" si="109"/>
        <v>-100</v>
      </c>
      <c r="G100" s="1264">
        <f t="shared" si="145"/>
        <v>20000</v>
      </c>
      <c r="H100" s="1300"/>
      <c r="I100" s="1300">
        <f t="shared" si="111"/>
        <v>-20000</v>
      </c>
      <c r="J100" s="1216">
        <f t="shared" si="146"/>
        <v>-100</v>
      </c>
      <c r="K100" s="1264">
        <f t="shared" si="147"/>
        <v>20000</v>
      </c>
      <c r="L100" s="1300"/>
      <c r="M100" s="1300">
        <f t="shared" si="114"/>
        <v>-20000</v>
      </c>
      <c r="N100" s="1216">
        <f t="shared" si="148"/>
        <v>-100</v>
      </c>
      <c r="O100" s="1264">
        <f t="shared" si="149"/>
        <v>20000</v>
      </c>
      <c r="P100" s="1300"/>
      <c r="Q100" s="1300">
        <f t="shared" si="117"/>
        <v>-20000</v>
      </c>
      <c r="R100" s="1216">
        <f t="shared" si="150"/>
        <v>-100</v>
      </c>
      <c r="S100" s="1264">
        <f t="shared" si="151"/>
        <v>20000</v>
      </c>
      <c r="T100" s="1300"/>
      <c r="U100" s="1300">
        <f t="shared" si="120"/>
        <v>-20000</v>
      </c>
      <c r="V100" s="1216">
        <f t="shared" si="152"/>
        <v>-100</v>
      </c>
      <c r="W100" s="1264">
        <f t="shared" si="153"/>
        <v>20000</v>
      </c>
      <c r="X100" s="1300"/>
      <c r="Y100" s="1300">
        <f t="shared" si="123"/>
        <v>-20000</v>
      </c>
      <c r="Z100" s="1216">
        <f t="shared" si="154"/>
        <v>-100</v>
      </c>
      <c r="AA100" s="1264">
        <f t="shared" si="155"/>
        <v>20000</v>
      </c>
      <c r="AB100" s="1300"/>
      <c r="AC100" s="1300">
        <f t="shared" si="126"/>
        <v>-20000</v>
      </c>
      <c r="AD100" s="1216">
        <f t="shared" si="156"/>
        <v>-100</v>
      </c>
      <c r="AE100" s="1264">
        <f t="shared" si="157"/>
        <v>20000</v>
      </c>
      <c r="AF100" s="1300"/>
      <c r="AG100" s="1300">
        <f t="shared" si="129"/>
        <v>-20000</v>
      </c>
      <c r="AH100" s="1216">
        <f t="shared" si="158"/>
        <v>-100</v>
      </c>
      <c r="AI100" s="1264">
        <f t="shared" si="159"/>
        <v>20000</v>
      </c>
      <c r="AJ100" s="1300"/>
      <c r="AK100" s="1300">
        <f t="shared" si="132"/>
        <v>-20000</v>
      </c>
      <c r="AL100" s="1216">
        <f t="shared" si="160"/>
        <v>-100</v>
      </c>
      <c r="AM100" s="1264">
        <f t="shared" si="161"/>
        <v>20000</v>
      </c>
      <c r="AN100" s="1300"/>
      <c r="AO100" s="1300">
        <f t="shared" si="135"/>
        <v>-20000</v>
      </c>
      <c r="AP100" s="1216">
        <f t="shared" si="162"/>
        <v>-100</v>
      </c>
      <c r="AQ100" s="1264">
        <f t="shared" si="163"/>
        <v>20000</v>
      </c>
      <c r="AR100" s="1300"/>
      <c r="AS100" s="1300">
        <f t="shared" si="138"/>
        <v>-20000</v>
      </c>
      <c r="AT100" s="1364">
        <f t="shared" si="164"/>
        <v>-100</v>
      </c>
      <c r="AU100" s="1389">
        <f t="shared" si="167"/>
        <v>20000</v>
      </c>
      <c r="AV100" s="1300"/>
      <c r="AW100" s="1300">
        <f t="shared" si="141"/>
        <v>-20000</v>
      </c>
      <c r="AX100" s="1364">
        <f t="shared" si="166"/>
        <v>-100</v>
      </c>
      <c r="AY100" s="1237">
        <f t="shared" si="143"/>
        <v>240000</v>
      </c>
      <c r="AZ100" s="1189">
        <f t="shared" si="144"/>
        <v>0</v>
      </c>
      <c r="BA100" s="805"/>
      <c r="BB100" s="1178"/>
      <c r="BC100" s="119"/>
      <c r="BD100" s="119"/>
      <c r="BE100" s="119"/>
      <c r="BO100" s="119"/>
      <c r="BP100" s="119"/>
    </row>
    <row r="101" spans="1:95" s="146" customFormat="1" ht="18" customHeight="1" x14ac:dyDescent="0.25">
      <c r="A101" s="1517">
        <v>12231</v>
      </c>
      <c r="B101" s="382" t="s">
        <v>185</v>
      </c>
      <c r="C101" s="1207">
        <v>40000</v>
      </c>
      <c r="D101" s="1300"/>
      <c r="E101" s="1300">
        <f t="shared" si="108"/>
        <v>-40000</v>
      </c>
      <c r="F101" s="1216">
        <f t="shared" si="109"/>
        <v>-100</v>
      </c>
      <c r="G101" s="1264">
        <f t="shared" si="145"/>
        <v>40000</v>
      </c>
      <c r="H101" s="1300"/>
      <c r="I101" s="1300">
        <f t="shared" si="111"/>
        <v>-40000</v>
      </c>
      <c r="J101" s="1216">
        <f t="shared" si="146"/>
        <v>-100</v>
      </c>
      <c r="K101" s="1264">
        <f t="shared" si="147"/>
        <v>40000</v>
      </c>
      <c r="L101" s="1300"/>
      <c r="M101" s="1300">
        <f t="shared" si="114"/>
        <v>-40000</v>
      </c>
      <c r="N101" s="1216">
        <f t="shared" si="148"/>
        <v>-100</v>
      </c>
      <c r="O101" s="1264">
        <f t="shared" si="149"/>
        <v>40000</v>
      </c>
      <c r="P101" s="1300"/>
      <c r="Q101" s="1300">
        <f t="shared" si="117"/>
        <v>-40000</v>
      </c>
      <c r="R101" s="1216">
        <f t="shared" si="150"/>
        <v>-100</v>
      </c>
      <c r="S101" s="1264">
        <f t="shared" si="151"/>
        <v>40000</v>
      </c>
      <c r="T101" s="1300"/>
      <c r="U101" s="1300">
        <f t="shared" si="120"/>
        <v>-40000</v>
      </c>
      <c r="V101" s="1216">
        <f t="shared" si="152"/>
        <v>-100</v>
      </c>
      <c r="W101" s="1264">
        <f t="shared" si="153"/>
        <v>40000</v>
      </c>
      <c r="X101" s="1300"/>
      <c r="Y101" s="1300">
        <f t="shared" si="123"/>
        <v>-40000</v>
      </c>
      <c r="Z101" s="1216">
        <f t="shared" si="154"/>
        <v>-100</v>
      </c>
      <c r="AA101" s="1264">
        <f t="shared" si="155"/>
        <v>40000</v>
      </c>
      <c r="AB101" s="1300"/>
      <c r="AC101" s="1300">
        <f t="shared" si="126"/>
        <v>-40000</v>
      </c>
      <c r="AD101" s="1216">
        <f t="shared" si="156"/>
        <v>-100</v>
      </c>
      <c r="AE101" s="1264">
        <f t="shared" si="157"/>
        <v>40000</v>
      </c>
      <c r="AF101" s="1300"/>
      <c r="AG101" s="1300">
        <f t="shared" si="129"/>
        <v>-40000</v>
      </c>
      <c r="AH101" s="1216">
        <f t="shared" si="158"/>
        <v>-100</v>
      </c>
      <c r="AI101" s="1264">
        <f t="shared" si="159"/>
        <v>40000</v>
      </c>
      <c r="AJ101" s="1300"/>
      <c r="AK101" s="1300">
        <f t="shared" si="132"/>
        <v>-40000</v>
      </c>
      <c r="AL101" s="1216">
        <f t="shared" si="160"/>
        <v>-100</v>
      </c>
      <c r="AM101" s="1264">
        <f t="shared" si="161"/>
        <v>40000</v>
      </c>
      <c r="AN101" s="1300"/>
      <c r="AO101" s="1300">
        <f t="shared" si="135"/>
        <v>-40000</v>
      </c>
      <c r="AP101" s="1216">
        <f t="shared" si="162"/>
        <v>-100</v>
      </c>
      <c r="AQ101" s="1264">
        <f t="shared" si="163"/>
        <v>40000</v>
      </c>
      <c r="AR101" s="1300"/>
      <c r="AS101" s="1300">
        <f t="shared" si="138"/>
        <v>-40000</v>
      </c>
      <c r="AT101" s="1216">
        <f t="shared" si="164"/>
        <v>-100</v>
      </c>
      <c r="AU101" s="1264">
        <f t="shared" si="167"/>
        <v>40000</v>
      </c>
      <c r="AV101" s="1300"/>
      <c r="AW101" s="1300">
        <f t="shared" si="141"/>
        <v>-40000</v>
      </c>
      <c r="AX101" s="1364">
        <f t="shared" si="166"/>
        <v>-100</v>
      </c>
      <c r="AY101" s="1237">
        <f t="shared" si="143"/>
        <v>480000</v>
      </c>
      <c r="AZ101" s="1189">
        <f t="shared" si="144"/>
        <v>0</v>
      </c>
      <c r="BA101" s="805"/>
      <c r="BB101" s="1178"/>
      <c r="BC101" s="119"/>
      <c r="BD101" s="119"/>
      <c r="BE101" s="119"/>
      <c r="BO101" s="119"/>
      <c r="BP101" s="119"/>
    </row>
    <row r="102" spans="1:95" s="146" customFormat="1" ht="18" customHeight="1" x14ac:dyDescent="0.25">
      <c r="A102" s="1101">
        <v>54448</v>
      </c>
      <c r="B102" s="1075" t="s">
        <v>3792</v>
      </c>
      <c r="C102" s="1207">
        <v>8000</v>
      </c>
      <c r="D102" s="1300"/>
      <c r="E102" s="1300">
        <f t="shared" si="108"/>
        <v>-8000</v>
      </c>
      <c r="F102" s="1216">
        <f t="shared" si="109"/>
        <v>-100</v>
      </c>
      <c r="G102" s="1212">
        <f t="shared" si="145"/>
        <v>8000</v>
      </c>
      <c r="H102" s="1300"/>
      <c r="I102" s="1300">
        <f t="shared" si="111"/>
        <v>-8000</v>
      </c>
      <c r="J102" s="1216">
        <f t="shared" si="146"/>
        <v>-100</v>
      </c>
      <c r="K102" s="1212">
        <f t="shared" si="147"/>
        <v>8000</v>
      </c>
      <c r="L102" s="1300"/>
      <c r="M102" s="1300">
        <f t="shared" si="114"/>
        <v>-8000</v>
      </c>
      <c r="N102" s="1216">
        <f t="shared" si="148"/>
        <v>-100</v>
      </c>
      <c r="O102" s="1212">
        <f t="shared" si="149"/>
        <v>8000</v>
      </c>
      <c r="P102" s="1300"/>
      <c r="Q102" s="1300">
        <f t="shared" si="117"/>
        <v>-8000</v>
      </c>
      <c r="R102" s="1216">
        <f t="shared" si="150"/>
        <v>-100</v>
      </c>
      <c r="S102" s="1212">
        <f t="shared" si="151"/>
        <v>8000</v>
      </c>
      <c r="T102" s="1300"/>
      <c r="U102" s="1300">
        <f t="shared" si="120"/>
        <v>-8000</v>
      </c>
      <c r="V102" s="1216">
        <f t="shared" si="152"/>
        <v>-100</v>
      </c>
      <c r="W102" s="1212">
        <f t="shared" si="153"/>
        <v>8000</v>
      </c>
      <c r="X102" s="1300"/>
      <c r="Y102" s="1300">
        <f t="shared" si="123"/>
        <v>-8000</v>
      </c>
      <c r="Z102" s="1216">
        <f t="shared" si="154"/>
        <v>-100</v>
      </c>
      <c r="AA102" s="1212">
        <f t="shared" si="155"/>
        <v>8000</v>
      </c>
      <c r="AB102" s="1300"/>
      <c r="AC102" s="1300">
        <f t="shared" si="126"/>
        <v>-8000</v>
      </c>
      <c r="AD102" s="1216">
        <f t="shared" si="156"/>
        <v>-100</v>
      </c>
      <c r="AE102" s="1212">
        <f t="shared" si="157"/>
        <v>8000</v>
      </c>
      <c r="AF102" s="1300"/>
      <c r="AG102" s="1300">
        <f t="shared" si="129"/>
        <v>-8000</v>
      </c>
      <c r="AH102" s="1216">
        <f t="shared" si="158"/>
        <v>-100</v>
      </c>
      <c r="AI102" s="1212">
        <f t="shared" si="159"/>
        <v>8000</v>
      </c>
      <c r="AJ102" s="1300"/>
      <c r="AK102" s="1300">
        <f t="shared" si="132"/>
        <v>-8000</v>
      </c>
      <c r="AL102" s="1216">
        <f t="shared" si="160"/>
        <v>-100</v>
      </c>
      <c r="AM102" s="1212">
        <f t="shared" si="161"/>
        <v>8000</v>
      </c>
      <c r="AN102" s="1300"/>
      <c r="AO102" s="1300">
        <f t="shared" si="135"/>
        <v>-8000</v>
      </c>
      <c r="AP102" s="1216">
        <f t="shared" si="162"/>
        <v>-100</v>
      </c>
      <c r="AQ102" s="1212">
        <f t="shared" si="163"/>
        <v>8000</v>
      </c>
      <c r="AR102" s="1300"/>
      <c r="AS102" s="1300">
        <f t="shared" si="138"/>
        <v>-8000</v>
      </c>
      <c r="AT102" s="1216">
        <f t="shared" si="164"/>
        <v>-100</v>
      </c>
      <c r="AU102" s="1212">
        <f t="shared" si="167"/>
        <v>8000</v>
      </c>
      <c r="AV102" s="1300"/>
      <c r="AW102" s="1300">
        <f t="shared" si="141"/>
        <v>-8000</v>
      </c>
      <c r="AX102" s="1364">
        <f t="shared" si="166"/>
        <v>-100</v>
      </c>
      <c r="AY102" s="1237">
        <f t="shared" si="143"/>
        <v>96000</v>
      </c>
      <c r="AZ102" s="1189">
        <f t="shared" si="144"/>
        <v>0</v>
      </c>
      <c r="BB102" s="232"/>
    </row>
    <row r="103" spans="1:95" s="11" customFormat="1" ht="18" customHeight="1" x14ac:dyDescent="0.25">
      <c r="A103" s="1519">
        <v>51013</v>
      </c>
      <c r="B103" s="989" t="s">
        <v>56</v>
      </c>
      <c r="C103" s="1342">
        <v>8000</v>
      </c>
      <c r="D103" s="1344"/>
      <c r="E103" s="1344">
        <f t="shared" si="108"/>
        <v>-8000</v>
      </c>
      <c r="F103" s="1343">
        <f t="shared" si="109"/>
        <v>-100</v>
      </c>
      <c r="G103" s="1435">
        <f t="shared" si="145"/>
        <v>8000</v>
      </c>
      <c r="H103" s="1300"/>
      <c r="I103" s="1300">
        <f t="shared" si="111"/>
        <v>-8000</v>
      </c>
      <c r="J103" s="1364">
        <f t="shared" si="146"/>
        <v>-100</v>
      </c>
      <c r="K103" s="1435">
        <f t="shared" si="147"/>
        <v>8000</v>
      </c>
      <c r="L103" s="1344"/>
      <c r="M103" s="1300">
        <f t="shared" si="114"/>
        <v>-8000</v>
      </c>
      <c r="N103" s="1343">
        <f t="shared" si="148"/>
        <v>-100</v>
      </c>
      <c r="O103" s="1435">
        <f t="shared" si="149"/>
        <v>8000</v>
      </c>
      <c r="P103" s="1300"/>
      <c r="Q103" s="1300">
        <f t="shared" si="117"/>
        <v>-8000</v>
      </c>
      <c r="R103" s="1343">
        <f t="shared" si="150"/>
        <v>-100</v>
      </c>
      <c r="S103" s="1436">
        <f t="shared" si="151"/>
        <v>8000</v>
      </c>
      <c r="T103" s="1344"/>
      <c r="U103" s="1344">
        <f t="shared" si="120"/>
        <v>-8000</v>
      </c>
      <c r="V103" s="1343">
        <f t="shared" si="152"/>
        <v>-100</v>
      </c>
      <c r="W103" s="1435">
        <f t="shared" si="153"/>
        <v>8000</v>
      </c>
      <c r="X103" s="1344"/>
      <c r="Y103" s="1344">
        <f t="shared" si="123"/>
        <v>-8000</v>
      </c>
      <c r="Z103" s="1343">
        <f t="shared" si="154"/>
        <v>-100</v>
      </c>
      <c r="AA103" s="1436">
        <f t="shared" si="155"/>
        <v>8000</v>
      </c>
      <c r="AB103" s="1344"/>
      <c r="AC103" s="1344">
        <f t="shared" si="126"/>
        <v>-8000</v>
      </c>
      <c r="AD103" s="1364">
        <f t="shared" si="156"/>
        <v>-100</v>
      </c>
      <c r="AE103" s="1448">
        <f t="shared" si="157"/>
        <v>8000</v>
      </c>
      <c r="AF103" s="1300"/>
      <c r="AG103" s="1344">
        <f t="shared" si="129"/>
        <v>-8000</v>
      </c>
      <c r="AH103" s="1343">
        <f t="shared" si="158"/>
        <v>-100</v>
      </c>
      <c r="AI103" s="1448">
        <f t="shared" si="159"/>
        <v>8000</v>
      </c>
      <c r="AJ103" s="1344"/>
      <c r="AK103" s="1344">
        <f t="shared" si="132"/>
        <v>-8000</v>
      </c>
      <c r="AL103" s="1364">
        <f t="shared" si="160"/>
        <v>-100</v>
      </c>
      <c r="AM103" s="1435">
        <f t="shared" si="161"/>
        <v>8000</v>
      </c>
      <c r="AN103" s="1344"/>
      <c r="AO103" s="1300">
        <f t="shared" si="135"/>
        <v>-8000</v>
      </c>
      <c r="AP103" s="1364">
        <f t="shared" si="162"/>
        <v>-100</v>
      </c>
      <c r="AQ103" s="1435">
        <f t="shared" si="163"/>
        <v>8000</v>
      </c>
      <c r="AR103" s="1300"/>
      <c r="AS103" s="1344">
        <f t="shared" si="138"/>
        <v>-8000</v>
      </c>
      <c r="AT103" s="1364">
        <f t="shared" si="164"/>
        <v>-100</v>
      </c>
      <c r="AU103" s="1435">
        <f t="shared" si="167"/>
        <v>8000</v>
      </c>
      <c r="AV103" s="1344"/>
      <c r="AW103" s="1300">
        <f t="shared" si="141"/>
        <v>-8000</v>
      </c>
      <c r="AX103" s="1432">
        <f t="shared" si="166"/>
        <v>-100</v>
      </c>
      <c r="AY103" s="1343">
        <f t="shared" si="143"/>
        <v>96000</v>
      </c>
      <c r="AZ103" s="1433">
        <f t="shared" si="144"/>
        <v>0</v>
      </c>
      <c r="BA103" s="805"/>
      <c r="BB103" s="1178"/>
      <c r="BC103" s="119"/>
      <c r="BD103" s="119"/>
      <c r="BE103" s="119"/>
    </row>
    <row r="104" spans="1:95" s="11" customFormat="1" ht="18" customHeight="1" x14ac:dyDescent="0.25">
      <c r="A104" s="1519">
        <v>54493</v>
      </c>
      <c r="B104" s="989" t="s">
        <v>3801</v>
      </c>
      <c r="C104" s="1452">
        <v>0</v>
      </c>
      <c r="D104" s="1344"/>
      <c r="E104" s="1344">
        <f t="shared" si="108"/>
        <v>0</v>
      </c>
      <c r="F104" s="1343"/>
      <c r="G104" s="1452">
        <f t="shared" si="145"/>
        <v>0</v>
      </c>
      <c r="H104" s="1344"/>
      <c r="I104" s="1454">
        <f t="shared" si="111"/>
        <v>0</v>
      </c>
      <c r="J104" s="1364"/>
      <c r="K104" s="1435">
        <f t="shared" si="147"/>
        <v>0</v>
      </c>
      <c r="L104" s="1443"/>
      <c r="M104" s="1454">
        <f t="shared" si="114"/>
        <v>0</v>
      </c>
      <c r="N104" s="1432"/>
      <c r="O104" s="1448">
        <f t="shared" si="149"/>
        <v>0</v>
      </c>
      <c r="P104" s="1300"/>
      <c r="Q104" s="1305">
        <f t="shared" si="117"/>
        <v>0</v>
      </c>
      <c r="R104" s="1432"/>
      <c r="S104" s="1448">
        <f t="shared" si="151"/>
        <v>0</v>
      </c>
      <c r="T104" s="1300"/>
      <c r="U104" s="1305">
        <f t="shared" si="120"/>
        <v>0</v>
      </c>
      <c r="V104" s="1426"/>
      <c r="W104" s="1448">
        <f t="shared" si="153"/>
        <v>0</v>
      </c>
      <c r="X104" s="1400"/>
      <c r="Y104" s="1305">
        <f t="shared" si="123"/>
        <v>0</v>
      </c>
      <c r="Z104" s="1426"/>
      <c r="AA104" s="1460">
        <f t="shared" si="155"/>
        <v>0</v>
      </c>
      <c r="AB104" s="1300"/>
      <c r="AC104" s="1305">
        <f t="shared" si="126"/>
        <v>0</v>
      </c>
      <c r="AD104" s="1444"/>
      <c r="AE104" s="1446">
        <f t="shared" si="157"/>
        <v>0</v>
      </c>
      <c r="AF104" s="1300"/>
      <c r="AG104" s="1305">
        <f t="shared" si="129"/>
        <v>0</v>
      </c>
      <c r="AH104" s="1432"/>
      <c r="AI104" s="1448">
        <f t="shared" si="159"/>
        <v>0</v>
      </c>
      <c r="AJ104" s="1300"/>
      <c r="AK104" s="1305">
        <f t="shared" si="132"/>
        <v>0</v>
      </c>
      <c r="AL104" s="1442"/>
      <c r="AM104" s="1436">
        <f t="shared" si="161"/>
        <v>0</v>
      </c>
      <c r="AN104" s="1344"/>
      <c r="AO104" s="1463">
        <f t="shared" si="135"/>
        <v>0</v>
      </c>
      <c r="AP104" s="1364"/>
      <c r="AQ104" s="1436">
        <f t="shared" si="163"/>
        <v>0</v>
      </c>
      <c r="AR104" s="1434"/>
      <c r="AS104" s="1305">
        <f t="shared" si="138"/>
        <v>0</v>
      </c>
      <c r="AT104" s="1364"/>
      <c r="AU104" s="1448">
        <f t="shared" si="167"/>
        <v>0</v>
      </c>
      <c r="AV104" s="1344"/>
      <c r="AW104" s="1463">
        <f t="shared" si="141"/>
        <v>0</v>
      </c>
      <c r="AX104" s="1364"/>
      <c r="AY104" s="1464">
        <f>C104+G104+K104+O104+S104+W104+AA104+AE104+AI104+AM104+AQ104+AU104</f>
        <v>0</v>
      </c>
      <c r="AZ104" s="1433">
        <f>D104+H104+L104+P104+T104+X104+AB104+AF104+AJ104+AN104+AR104+AV104</f>
        <v>0</v>
      </c>
      <c r="BA104" s="805"/>
      <c r="BB104" s="1178"/>
      <c r="BC104" s="1421"/>
      <c r="BD104" s="1421"/>
      <c r="BE104" s="1421"/>
    </row>
    <row r="105" spans="1:95" s="11" customFormat="1" ht="18" customHeight="1" x14ac:dyDescent="0.25">
      <c r="A105" s="1519">
        <v>12193</v>
      </c>
      <c r="B105" s="989" t="s">
        <v>3834</v>
      </c>
      <c r="C105" s="1452"/>
      <c r="D105" s="1344"/>
      <c r="E105" s="1520"/>
      <c r="F105" s="1343"/>
      <c r="G105" s="1452"/>
      <c r="H105" s="1344"/>
      <c r="I105" s="1521"/>
      <c r="J105" s="1432"/>
      <c r="K105" s="1435"/>
      <c r="L105" s="1434"/>
      <c r="M105" s="1522"/>
      <c r="N105" s="1432"/>
      <c r="O105" s="1523"/>
      <c r="P105" s="1524"/>
      <c r="Q105" s="1525"/>
      <c r="R105" s="1432"/>
      <c r="S105" s="1523"/>
      <c r="T105" s="1344"/>
      <c r="U105" s="1526"/>
      <c r="V105" s="1442"/>
      <c r="W105" s="1523"/>
      <c r="X105" s="1400"/>
      <c r="Y105" s="1526"/>
      <c r="Z105" s="1442"/>
      <c r="AA105" s="1527"/>
      <c r="AB105" s="1528"/>
      <c r="AC105" s="1463"/>
      <c r="AD105" s="1444"/>
      <c r="AE105" s="1446"/>
      <c r="AF105" s="1434"/>
      <c r="AG105" s="1525"/>
      <c r="AH105" s="1432"/>
      <c r="AI105" s="1446"/>
      <c r="AJ105" s="1524"/>
      <c r="AK105" s="1521"/>
      <c r="AL105" s="1442"/>
      <c r="AM105" s="1436"/>
      <c r="AN105" s="1344"/>
      <c r="AO105" s="1463"/>
      <c r="AP105" s="1444"/>
      <c r="AQ105" s="1436"/>
      <c r="AR105" s="1434"/>
      <c r="AS105" s="1525"/>
      <c r="AT105" s="1442"/>
      <c r="AU105" s="1446"/>
      <c r="AV105" s="1344"/>
      <c r="AW105" s="1463"/>
      <c r="AX105" s="1442"/>
      <c r="AY105" s="1464"/>
      <c r="AZ105" s="1433"/>
      <c r="BA105" s="805"/>
      <c r="BB105" s="1178"/>
      <c r="BC105" s="1421"/>
      <c r="BD105" s="1421"/>
      <c r="BE105" s="1421"/>
    </row>
    <row r="106" spans="1:95" s="11" customFormat="1" ht="18" customHeight="1" thickBot="1" x14ac:dyDescent="0.3">
      <c r="A106" s="1518">
        <v>55277</v>
      </c>
      <c r="B106" s="384" t="s">
        <v>3800</v>
      </c>
      <c r="C106" s="1452">
        <v>0</v>
      </c>
      <c r="D106" s="1344"/>
      <c r="E106" s="1438">
        <f t="shared" si="108"/>
        <v>0</v>
      </c>
      <c r="F106" s="1439"/>
      <c r="G106" s="1453">
        <f t="shared" si="145"/>
        <v>0</v>
      </c>
      <c r="H106" s="1450"/>
      <c r="I106" s="1455">
        <f t="shared" si="111"/>
        <v>0</v>
      </c>
      <c r="J106" s="1439"/>
      <c r="K106" s="1453">
        <f t="shared" si="147"/>
        <v>0</v>
      </c>
      <c r="L106" s="343"/>
      <c r="M106" s="1456">
        <f t="shared" si="114"/>
        <v>0</v>
      </c>
      <c r="N106" s="1439"/>
      <c r="O106" s="1457">
        <f t="shared" si="149"/>
        <v>0</v>
      </c>
      <c r="P106" s="1447"/>
      <c r="Q106" s="1458">
        <f t="shared" si="117"/>
        <v>0</v>
      </c>
      <c r="R106" s="1439"/>
      <c r="S106" s="1457">
        <f t="shared" si="151"/>
        <v>0</v>
      </c>
      <c r="T106" s="1441"/>
      <c r="U106" s="1459">
        <f t="shared" si="120"/>
        <v>0</v>
      </c>
      <c r="V106" s="1440"/>
      <c r="W106" s="1457">
        <f t="shared" si="153"/>
        <v>0</v>
      </c>
      <c r="X106" s="1441"/>
      <c r="Y106" s="1459">
        <f t="shared" si="123"/>
        <v>0</v>
      </c>
      <c r="Z106" s="1440"/>
      <c r="AA106" s="1453">
        <f t="shared" si="155"/>
        <v>0</v>
      </c>
      <c r="AB106" s="1451"/>
      <c r="AC106" s="1461">
        <f t="shared" si="126"/>
        <v>0</v>
      </c>
      <c r="AD106" s="1439"/>
      <c r="AE106" s="1453">
        <f t="shared" si="157"/>
        <v>0</v>
      </c>
      <c r="AF106" s="343"/>
      <c r="AG106" s="1458">
        <f t="shared" si="129"/>
        <v>0</v>
      </c>
      <c r="AH106" s="1439"/>
      <c r="AI106" s="1462">
        <f t="shared" si="159"/>
        <v>0</v>
      </c>
      <c r="AJ106" s="1447"/>
      <c r="AK106" s="1455">
        <f t="shared" si="132"/>
        <v>0</v>
      </c>
      <c r="AL106" s="1439"/>
      <c r="AM106" s="1453">
        <f t="shared" si="161"/>
        <v>0</v>
      </c>
      <c r="AN106" s="1450"/>
      <c r="AO106" s="1459">
        <f t="shared" si="135"/>
        <v>0</v>
      </c>
      <c r="AP106" s="1445"/>
      <c r="AQ106" s="1453">
        <f t="shared" si="163"/>
        <v>0</v>
      </c>
      <c r="AR106" s="1449"/>
      <c r="AS106" s="1458">
        <f t="shared" si="138"/>
        <v>0</v>
      </c>
      <c r="AT106" s="1440"/>
      <c r="AU106" s="1462">
        <f t="shared" si="167"/>
        <v>0</v>
      </c>
      <c r="AV106" s="1441"/>
      <c r="AW106" s="1459">
        <f t="shared" si="141"/>
        <v>0</v>
      </c>
      <c r="AX106" s="1440"/>
      <c r="AY106" s="1465">
        <f>C106+G106+K106+O106+S106+W106+AA106+AE106+AI106+AM106+AQ106+AU106</f>
        <v>0</v>
      </c>
      <c r="AZ106" s="1383">
        <f>D106+H106+L106+P106+T106+X106+AB106+AF106+AJ106+AN106+AR106+AV106</f>
        <v>0</v>
      </c>
      <c r="BA106" s="805"/>
      <c r="BB106" s="1178"/>
      <c r="BC106" s="1421"/>
      <c r="BD106" s="1421"/>
      <c r="BE106" s="1421"/>
    </row>
    <row r="107" spans="1:95" s="11" customFormat="1" ht="18" customHeight="1" thickBot="1" x14ac:dyDescent="0.3">
      <c r="A107" s="161"/>
      <c r="C107" s="1437"/>
      <c r="D107" s="1437"/>
      <c r="E107" s="1258"/>
      <c r="F107" s="1258"/>
      <c r="G107" s="119"/>
      <c r="H107" s="1258"/>
      <c r="I107" s="1258"/>
      <c r="J107" s="1258"/>
      <c r="K107" s="119"/>
      <c r="L107" s="1258"/>
      <c r="M107" s="1258"/>
      <c r="N107" s="1258"/>
      <c r="O107" s="119"/>
      <c r="P107" s="1258"/>
      <c r="Q107" s="1258"/>
      <c r="R107" s="1258"/>
      <c r="S107" s="119"/>
      <c r="T107" s="1258"/>
      <c r="U107" s="1258"/>
      <c r="V107" s="1258"/>
      <c r="W107" s="119"/>
      <c r="X107" s="1258"/>
      <c r="Y107" s="1258"/>
      <c r="Z107" s="1258"/>
      <c r="AA107" s="119"/>
      <c r="AB107" s="1258"/>
      <c r="AC107" s="1258"/>
      <c r="AD107" s="1258"/>
      <c r="AE107" s="119"/>
      <c r="AF107" s="1258"/>
      <c r="AG107" s="1258"/>
      <c r="AH107" s="1258"/>
      <c r="AI107" s="119"/>
      <c r="AJ107" s="1258"/>
      <c r="AK107" s="1258"/>
      <c r="AL107" s="1258"/>
      <c r="AM107" s="119"/>
      <c r="AN107" s="1258"/>
      <c r="AO107" s="1258"/>
      <c r="AP107" s="1258"/>
      <c r="AQ107" s="119"/>
      <c r="AR107" s="1258"/>
      <c r="AS107" s="1258"/>
      <c r="AT107" s="1258"/>
      <c r="AU107" s="119"/>
      <c r="AV107" s="1258"/>
      <c r="AW107" s="1258"/>
      <c r="AX107" s="1258"/>
      <c r="AY107" s="1186"/>
      <c r="AZ107" s="1186"/>
      <c r="BA107" s="1172"/>
      <c r="BB107" s="1172"/>
    </row>
    <row r="108" spans="1:95" s="11" customFormat="1" ht="18" customHeight="1" thickBot="1" x14ac:dyDescent="0.3">
      <c r="A108" s="165"/>
      <c r="B108" s="330" t="s">
        <v>169</v>
      </c>
      <c r="C108" s="1167">
        <f>SUM(C109:C118)</f>
        <v>195292.27</v>
      </c>
      <c r="D108" s="1313">
        <f>SUM(D109:D118)</f>
        <v>0</v>
      </c>
      <c r="E108" s="392">
        <f>D108-C108</f>
        <v>-195292.27</v>
      </c>
      <c r="F108" s="1334">
        <f>((D108/C108)-1)*100</f>
        <v>-100</v>
      </c>
      <c r="G108" s="1168">
        <f>SUM(G109:G118)</f>
        <v>194792.27</v>
      </c>
      <c r="H108" s="1313">
        <f>SUM(H109:H118)</f>
        <v>0</v>
      </c>
      <c r="I108" s="392">
        <f>H108-G108</f>
        <v>-194792.27</v>
      </c>
      <c r="J108" s="1334">
        <f>((H108/G108)-1)*100</f>
        <v>-100</v>
      </c>
      <c r="K108" s="1168">
        <f>SUM(K109:K118)</f>
        <v>194292.27</v>
      </c>
      <c r="L108" s="1313">
        <f>SUM(L109:L118)</f>
        <v>0</v>
      </c>
      <c r="M108" s="392">
        <f>L108-K108</f>
        <v>-194292.27</v>
      </c>
      <c r="N108" s="1334">
        <f>((L108/K108)-1)*100</f>
        <v>-100</v>
      </c>
      <c r="O108" s="1168">
        <f>SUM(O109:O118)</f>
        <v>193792.27</v>
      </c>
      <c r="P108" s="1313">
        <f>SUM(P109:P118)</f>
        <v>0</v>
      </c>
      <c r="Q108" s="392">
        <f>P108-O108</f>
        <v>-193792.27</v>
      </c>
      <c r="R108" s="1334">
        <f>((P108/O108)-1)*100</f>
        <v>-100</v>
      </c>
      <c r="S108" s="1168">
        <f>SUM(S109:S118)</f>
        <v>193292.27</v>
      </c>
      <c r="T108" s="1313">
        <f>SUM(T109:T118)</f>
        <v>0</v>
      </c>
      <c r="U108" s="392">
        <f>T108-S108</f>
        <v>-193292.27</v>
      </c>
      <c r="V108" s="1334">
        <f>((T108/S108)-1)*100</f>
        <v>-100</v>
      </c>
      <c r="W108" s="1168">
        <f>SUM(W109:W118)</f>
        <v>192792.27</v>
      </c>
      <c r="X108" s="1313">
        <f>SUM(X109:X118)</f>
        <v>0</v>
      </c>
      <c r="Y108" s="392">
        <f>X108-W108</f>
        <v>-192792.27</v>
      </c>
      <c r="Z108" s="1334">
        <f>((X108/W108)-1)*100</f>
        <v>-100</v>
      </c>
      <c r="AA108" s="1168">
        <f>SUM(AA109:AA118)</f>
        <v>192292.27</v>
      </c>
      <c r="AB108" s="1313">
        <f>SUM(AB109:AB118)</f>
        <v>0</v>
      </c>
      <c r="AC108" s="392">
        <f>AB108-AA108</f>
        <v>-192292.27</v>
      </c>
      <c r="AD108" s="1334">
        <f>((AB108/AA108)-1)*100</f>
        <v>-100</v>
      </c>
      <c r="AE108" s="1168">
        <f>SUM(AE109:AE118)</f>
        <v>191792.27</v>
      </c>
      <c r="AF108" s="1313">
        <f>SUM(AF109:AF118)</f>
        <v>0</v>
      </c>
      <c r="AG108" s="392">
        <f>AF108-AE108</f>
        <v>-191792.27</v>
      </c>
      <c r="AH108" s="1334">
        <f>((AF108/AE108)-1)*100</f>
        <v>-100</v>
      </c>
      <c r="AI108" s="1391">
        <f>SUM(AI109:AI118)</f>
        <v>191292.27</v>
      </c>
      <c r="AJ108" s="1313">
        <f>SUM(AJ109:AJ118)</f>
        <v>0</v>
      </c>
      <c r="AK108" s="392">
        <f>AJ108-AI108</f>
        <v>-191292.27</v>
      </c>
      <c r="AL108" s="1334">
        <f>((AJ108/AI108)-1)*100</f>
        <v>-100</v>
      </c>
      <c r="AM108" s="1391">
        <f>SUM(AM109:AM118)</f>
        <v>190792.27</v>
      </c>
      <c r="AN108" s="1313">
        <f>SUM(AN109:AN118)</f>
        <v>0</v>
      </c>
      <c r="AO108" s="392">
        <f>AN108-AM108</f>
        <v>-190792.27</v>
      </c>
      <c r="AP108" s="1334">
        <f>((AN108/AM108)-1)*100</f>
        <v>-100</v>
      </c>
      <c r="AQ108" s="1391">
        <f>SUM(AQ109:AQ118)</f>
        <v>190292.27</v>
      </c>
      <c r="AR108" s="1313">
        <f>SUM(AR109:AR118)</f>
        <v>0</v>
      </c>
      <c r="AS108" s="392">
        <f>AR108-AQ108</f>
        <v>-190292.27</v>
      </c>
      <c r="AT108" s="1334">
        <f>((AR108/AQ108)-1)*100</f>
        <v>-100</v>
      </c>
      <c r="AU108" s="1391">
        <f>SUM(AU109:AU118)</f>
        <v>189792.27</v>
      </c>
      <c r="AV108" s="1313">
        <f>SUM(AV109:AV118)</f>
        <v>0</v>
      </c>
      <c r="AW108" s="392">
        <f>AV108-AU108</f>
        <v>-189792.27</v>
      </c>
      <c r="AX108" s="1334">
        <f>((AV108/AU108)-1)*100</f>
        <v>-100</v>
      </c>
      <c r="AY108" s="395">
        <f>C108+G108+K108+O108+S108+W108+AA108+AE108+AI108+AM108+AQ108+AU108</f>
        <v>2310507.2399999998</v>
      </c>
      <c r="AZ108" s="1385">
        <f>D108+H108+L108+P108+T108+X108+AB108+AF108+AJ108+AN108+AR108+AV108</f>
        <v>0</v>
      </c>
      <c r="BA108" s="195"/>
      <c r="BB108" s="1176"/>
    </row>
    <row r="109" spans="1:95" s="119" customFormat="1" ht="18" customHeight="1" x14ac:dyDescent="0.25">
      <c r="A109" s="170">
        <v>11634</v>
      </c>
      <c r="B109" s="331" t="s">
        <v>40</v>
      </c>
      <c r="C109" s="1222">
        <v>10000</v>
      </c>
      <c r="D109" s="1299"/>
      <c r="E109" s="1299">
        <f t="shared" ref="E109:E118" si="168">D109-C109</f>
        <v>-10000</v>
      </c>
      <c r="F109" s="1286">
        <f t="shared" ref="F109:F118" si="169">((D109/C109)-1)*100</f>
        <v>-100</v>
      </c>
      <c r="G109" s="1222">
        <v>10000</v>
      </c>
      <c r="H109" s="1299"/>
      <c r="I109" s="1299">
        <f t="shared" ref="I109:I118" si="170">H109-G109</f>
        <v>-10000</v>
      </c>
      <c r="J109" s="1286">
        <f t="shared" ref="J109:J118" si="171">((H109/G109)-1)*100</f>
        <v>-100</v>
      </c>
      <c r="K109" s="1222">
        <v>10000</v>
      </c>
      <c r="L109" s="1299"/>
      <c r="M109" s="1299">
        <f t="shared" ref="M109:M118" si="172">L109-K109</f>
        <v>-10000</v>
      </c>
      <c r="N109" s="1286">
        <f t="shared" ref="N109:N118" si="173">((L109/K109)-1)*100</f>
        <v>-100</v>
      </c>
      <c r="O109" s="1222">
        <v>10000</v>
      </c>
      <c r="P109" s="1299"/>
      <c r="Q109" s="1299">
        <f t="shared" ref="Q109:Q118" si="174">P109-O109</f>
        <v>-10000</v>
      </c>
      <c r="R109" s="1286">
        <f t="shared" ref="R109:R118" si="175">((P109/O109)-1)*100</f>
        <v>-100</v>
      </c>
      <c r="S109" s="1222">
        <v>10000</v>
      </c>
      <c r="T109" s="1299"/>
      <c r="U109" s="1299">
        <f t="shared" ref="U109:U118" si="176">T109-S109</f>
        <v>-10000</v>
      </c>
      <c r="V109" s="1286">
        <f t="shared" ref="V109:V118" si="177">((T109/S109)-1)*100</f>
        <v>-100</v>
      </c>
      <c r="W109" s="1222">
        <v>10000</v>
      </c>
      <c r="X109" s="1299"/>
      <c r="Y109" s="1299">
        <f t="shared" ref="Y109:Y118" si="178">X109-W109</f>
        <v>-10000</v>
      </c>
      <c r="Z109" s="1286">
        <f t="shared" ref="Z109:Z118" si="179">((X109/W109)-1)*100</f>
        <v>-100</v>
      </c>
      <c r="AA109" s="1222">
        <v>10000</v>
      </c>
      <c r="AB109" s="1299"/>
      <c r="AC109" s="1299">
        <f t="shared" ref="AC109:AC118" si="180">AB109-AA109</f>
        <v>-10000</v>
      </c>
      <c r="AD109" s="1286">
        <f t="shared" ref="AD109:AD118" si="181">((AB109/AA109)-1)*100</f>
        <v>-100</v>
      </c>
      <c r="AE109" s="1222">
        <v>10000</v>
      </c>
      <c r="AF109" s="1299"/>
      <c r="AG109" s="1299">
        <f t="shared" ref="AG109:AG118" si="182">AF109-AE109</f>
        <v>-10000</v>
      </c>
      <c r="AH109" s="1286">
        <f t="shared" ref="AH109:AH118" si="183">((AF109/AE109)-1)*100</f>
        <v>-100</v>
      </c>
      <c r="AI109" s="1222">
        <v>10000</v>
      </c>
      <c r="AJ109" s="1299"/>
      <c r="AK109" s="1299">
        <f t="shared" ref="AK109:AK118" si="184">AJ109-AI109</f>
        <v>-10000</v>
      </c>
      <c r="AL109" s="1286">
        <f t="shared" ref="AL109:AL118" si="185">((AJ109/AI109)-1)*100</f>
        <v>-100</v>
      </c>
      <c r="AM109" s="1222">
        <v>10000</v>
      </c>
      <c r="AN109" s="1299"/>
      <c r="AO109" s="1299">
        <f t="shared" ref="AO109:AO118" si="186">AN109-AM109</f>
        <v>-10000</v>
      </c>
      <c r="AP109" s="1286">
        <f t="shared" ref="AP109:AP118" si="187">((AN109/AM109)-1)*100</f>
        <v>-100</v>
      </c>
      <c r="AQ109" s="1222">
        <v>10000</v>
      </c>
      <c r="AR109" s="1299"/>
      <c r="AS109" s="1299">
        <f t="shared" ref="AS109:AS118" si="188">AR109-AQ109</f>
        <v>-10000</v>
      </c>
      <c r="AT109" s="1286">
        <f t="shared" ref="AT109:AT118" si="189">((AR109/AQ109)-1)*100</f>
        <v>-100</v>
      </c>
      <c r="AU109" s="1222">
        <v>10000</v>
      </c>
      <c r="AV109" s="1299"/>
      <c r="AW109" s="1299">
        <f t="shared" ref="AW109:AW118" si="190">AV109-AU109</f>
        <v>-10000</v>
      </c>
      <c r="AX109" s="1286">
        <f t="shared" ref="AX109:AX118" si="191">((AV109/AU109)-1)*100</f>
        <v>-100</v>
      </c>
      <c r="AY109" s="1240">
        <f t="shared" ref="AY109:AY118" si="192">C109+G109+K109+O109+S109+W109+AA109+AE109+AI109+AM109+AQ109+AU109</f>
        <v>120000</v>
      </c>
      <c r="AZ109" s="1189">
        <f>D109+H109+L109+P109+T109+X109+AB109+AF109+AJ109+AN109+AR109+AV109</f>
        <v>0</v>
      </c>
      <c r="BB109" s="12"/>
    </row>
    <row r="110" spans="1:95" s="119" customFormat="1" ht="18" customHeight="1" x14ac:dyDescent="0.25">
      <c r="A110" s="170">
        <v>12293</v>
      </c>
      <c r="B110" s="332" t="s">
        <v>195</v>
      </c>
      <c r="C110" s="1223">
        <v>32000</v>
      </c>
      <c r="D110" s="1336"/>
      <c r="E110" s="1336">
        <f t="shared" si="168"/>
        <v>-32000</v>
      </c>
      <c r="F110" s="1267">
        <f t="shared" si="169"/>
        <v>-100</v>
      </c>
      <c r="G110" s="1223">
        <v>31500</v>
      </c>
      <c r="H110" s="1336"/>
      <c r="I110" s="1336">
        <f t="shared" si="170"/>
        <v>-31500</v>
      </c>
      <c r="J110" s="1267">
        <f t="shared" si="171"/>
        <v>-100</v>
      </c>
      <c r="K110" s="1223">
        <v>31000</v>
      </c>
      <c r="L110" s="1336"/>
      <c r="M110" s="1336">
        <f t="shared" si="172"/>
        <v>-31000</v>
      </c>
      <c r="N110" s="1267">
        <f t="shared" si="173"/>
        <v>-100</v>
      </c>
      <c r="O110" s="1223">
        <v>30500</v>
      </c>
      <c r="P110" s="1336"/>
      <c r="Q110" s="1336">
        <f t="shared" si="174"/>
        <v>-30500</v>
      </c>
      <c r="R110" s="1267">
        <f t="shared" si="175"/>
        <v>-100</v>
      </c>
      <c r="S110" s="1223">
        <v>30000</v>
      </c>
      <c r="T110" s="1336"/>
      <c r="U110" s="1336">
        <f t="shared" si="176"/>
        <v>-30000</v>
      </c>
      <c r="V110" s="1267">
        <f t="shared" si="177"/>
        <v>-100</v>
      </c>
      <c r="W110" s="1223">
        <v>29500</v>
      </c>
      <c r="X110" s="1336"/>
      <c r="Y110" s="1336">
        <f t="shared" si="178"/>
        <v>-29500</v>
      </c>
      <c r="Z110" s="1267">
        <f t="shared" si="179"/>
        <v>-100</v>
      </c>
      <c r="AA110" s="1223">
        <v>29000</v>
      </c>
      <c r="AB110" s="1336"/>
      <c r="AC110" s="1336">
        <f t="shared" si="180"/>
        <v>-29000</v>
      </c>
      <c r="AD110" s="1267">
        <f t="shared" si="181"/>
        <v>-100</v>
      </c>
      <c r="AE110" s="1223">
        <v>28500</v>
      </c>
      <c r="AF110" s="1336"/>
      <c r="AG110" s="1336">
        <f t="shared" si="182"/>
        <v>-28500</v>
      </c>
      <c r="AH110" s="1267">
        <f t="shared" si="183"/>
        <v>-100</v>
      </c>
      <c r="AI110" s="1223">
        <v>28000</v>
      </c>
      <c r="AJ110" s="1336"/>
      <c r="AK110" s="1336">
        <f t="shared" si="184"/>
        <v>-28000</v>
      </c>
      <c r="AL110" s="1267">
        <f t="shared" si="185"/>
        <v>-100</v>
      </c>
      <c r="AM110" s="1223">
        <v>27500</v>
      </c>
      <c r="AN110" s="1336"/>
      <c r="AO110" s="1336">
        <f t="shared" si="186"/>
        <v>-27500</v>
      </c>
      <c r="AP110" s="1267">
        <f t="shared" si="187"/>
        <v>-100</v>
      </c>
      <c r="AQ110" s="1223">
        <v>27000</v>
      </c>
      <c r="AR110" s="1336"/>
      <c r="AS110" s="1336">
        <f t="shared" si="188"/>
        <v>-27000</v>
      </c>
      <c r="AT110" s="1267">
        <f t="shared" si="189"/>
        <v>-100</v>
      </c>
      <c r="AU110" s="1223">
        <v>26500</v>
      </c>
      <c r="AV110" s="1336"/>
      <c r="AW110" s="1336">
        <f t="shared" si="190"/>
        <v>-26500</v>
      </c>
      <c r="AX110" s="1267">
        <f t="shared" si="191"/>
        <v>-100</v>
      </c>
      <c r="AY110" s="1241">
        <f t="shared" si="192"/>
        <v>351000</v>
      </c>
      <c r="AZ110" s="1189">
        <f t="shared" ref="AZ110:AZ118" si="193">D110+H110+L110+P110+T110+X110+AB110+AF110+AJ110+AN110+AR110+AV110</f>
        <v>0</v>
      </c>
      <c r="BB110" s="12"/>
    </row>
    <row r="111" spans="1:95" s="119" customFormat="1" ht="18" customHeight="1" x14ac:dyDescent="0.25">
      <c r="A111" s="170">
        <v>11528</v>
      </c>
      <c r="B111" s="332" t="s">
        <v>197</v>
      </c>
      <c r="C111" s="1223">
        <v>7500</v>
      </c>
      <c r="D111" s="1336"/>
      <c r="E111" s="1336">
        <f t="shared" si="168"/>
        <v>-7500</v>
      </c>
      <c r="F111" s="1267">
        <f t="shared" si="169"/>
        <v>-100</v>
      </c>
      <c r="G111" s="1223">
        <v>7500</v>
      </c>
      <c r="H111" s="1336"/>
      <c r="I111" s="1336">
        <f t="shared" si="170"/>
        <v>-7500</v>
      </c>
      <c r="J111" s="1267">
        <f t="shared" si="171"/>
        <v>-100</v>
      </c>
      <c r="K111" s="1223">
        <v>7500</v>
      </c>
      <c r="L111" s="1336"/>
      <c r="M111" s="1336">
        <f t="shared" si="172"/>
        <v>-7500</v>
      </c>
      <c r="N111" s="1267">
        <f t="shared" si="173"/>
        <v>-100</v>
      </c>
      <c r="O111" s="1223">
        <v>7500</v>
      </c>
      <c r="P111" s="1336"/>
      <c r="Q111" s="1336">
        <f t="shared" si="174"/>
        <v>-7500</v>
      </c>
      <c r="R111" s="1267">
        <f t="shared" si="175"/>
        <v>-100</v>
      </c>
      <c r="S111" s="1223">
        <v>7500</v>
      </c>
      <c r="T111" s="1336"/>
      <c r="U111" s="1336">
        <f t="shared" si="176"/>
        <v>-7500</v>
      </c>
      <c r="V111" s="1267">
        <f t="shared" si="177"/>
        <v>-100</v>
      </c>
      <c r="W111" s="1223">
        <v>7500</v>
      </c>
      <c r="X111" s="1336"/>
      <c r="Y111" s="1336">
        <f t="shared" si="178"/>
        <v>-7500</v>
      </c>
      <c r="Z111" s="1267">
        <f t="shared" si="179"/>
        <v>-100</v>
      </c>
      <c r="AA111" s="1223">
        <v>7500</v>
      </c>
      <c r="AB111" s="1336"/>
      <c r="AC111" s="1336">
        <f t="shared" si="180"/>
        <v>-7500</v>
      </c>
      <c r="AD111" s="1267">
        <f t="shared" si="181"/>
        <v>-100</v>
      </c>
      <c r="AE111" s="1223">
        <v>7500</v>
      </c>
      <c r="AF111" s="1336"/>
      <c r="AG111" s="1336">
        <f t="shared" si="182"/>
        <v>-7500</v>
      </c>
      <c r="AH111" s="1267">
        <f t="shared" si="183"/>
        <v>-100</v>
      </c>
      <c r="AI111" s="1223">
        <v>7500</v>
      </c>
      <c r="AJ111" s="1336"/>
      <c r="AK111" s="1336">
        <f t="shared" si="184"/>
        <v>-7500</v>
      </c>
      <c r="AL111" s="1267">
        <f t="shared" si="185"/>
        <v>-100</v>
      </c>
      <c r="AM111" s="1223">
        <v>7500</v>
      </c>
      <c r="AN111" s="1336"/>
      <c r="AO111" s="1336">
        <f t="shared" si="186"/>
        <v>-7500</v>
      </c>
      <c r="AP111" s="1267">
        <f t="shared" si="187"/>
        <v>-100</v>
      </c>
      <c r="AQ111" s="1223">
        <v>7500</v>
      </c>
      <c r="AR111" s="1336"/>
      <c r="AS111" s="1336">
        <f t="shared" si="188"/>
        <v>-7500</v>
      </c>
      <c r="AT111" s="1267">
        <f t="shared" si="189"/>
        <v>-100</v>
      </c>
      <c r="AU111" s="1223">
        <v>7500</v>
      </c>
      <c r="AV111" s="1336"/>
      <c r="AW111" s="1336">
        <f t="shared" si="190"/>
        <v>-7500</v>
      </c>
      <c r="AX111" s="1267">
        <f t="shared" si="191"/>
        <v>-100</v>
      </c>
      <c r="AY111" s="1241">
        <f t="shared" si="192"/>
        <v>90000</v>
      </c>
      <c r="AZ111" s="1189">
        <f t="shared" si="193"/>
        <v>0</v>
      </c>
      <c r="BB111" s="12"/>
    </row>
    <row r="112" spans="1:95" s="119" customFormat="1" ht="18" customHeight="1" x14ac:dyDescent="0.25">
      <c r="A112" s="170">
        <v>12303</v>
      </c>
      <c r="B112" s="332" t="s">
        <v>196</v>
      </c>
      <c r="C112" s="1223">
        <v>12000</v>
      </c>
      <c r="D112" s="1336"/>
      <c r="E112" s="1336">
        <f t="shared" si="168"/>
        <v>-12000</v>
      </c>
      <c r="F112" s="1267">
        <f t="shared" si="169"/>
        <v>-100</v>
      </c>
      <c r="G112" s="1223">
        <v>12000</v>
      </c>
      <c r="H112" s="1336"/>
      <c r="I112" s="1336">
        <f t="shared" si="170"/>
        <v>-12000</v>
      </c>
      <c r="J112" s="1267">
        <f t="shared" si="171"/>
        <v>-100</v>
      </c>
      <c r="K112" s="1223">
        <v>12000</v>
      </c>
      <c r="L112" s="1336"/>
      <c r="M112" s="1336">
        <f t="shared" si="172"/>
        <v>-12000</v>
      </c>
      <c r="N112" s="1267">
        <f t="shared" si="173"/>
        <v>-100</v>
      </c>
      <c r="O112" s="1223">
        <v>12000</v>
      </c>
      <c r="P112" s="1336"/>
      <c r="Q112" s="1336">
        <f t="shared" si="174"/>
        <v>-12000</v>
      </c>
      <c r="R112" s="1267">
        <f t="shared" si="175"/>
        <v>-100</v>
      </c>
      <c r="S112" s="1223">
        <v>12000</v>
      </c>
      <c r="T112" s="1336"/>
      <c r="U112" s="1336">
        <f t="shared" si="176"/>
        <v>-12000</v>
      </c>
      <c r="V112" s="1267">
        <f t="shared" si="177"/>
        <v>-100</v>
      </c>
      <c r="W112" s="1223">
        <v>12000</v>
      </c>
      <c r="X112" s="1336"/>
      <c r="Y112" s="1336">
        <f t="shared" si="178"/>
        <v>-12000</v>
      </c>
      <c r="Z112" s="1267">
        <f t="shared" si="179"/>
        <v>-100</v>
      </c>
      <c r="AA112" s="1223">
        <v>12000</v>
      </c>
      <c r="AB112" s="1336"/>
      <c r="AC112" s="1336">
        <f t="shared" si="180"/>
        <v>-12000</v>
      </c>
      <c r="AD112" s="1267">
        <f t="shared" si="181"/>
        <v>-100</v>
      </c>
      <c r="AE112" s="1223">
        <v>12000</v>
      </c>
      <c r="AF112" s="1336"/>
      <c r="AG112" s="1336">
        <f t="shared" si="182"/>
        <v>-12000</v>
      </c>
      <c r="AH112" s="1267">
        <f t="shared" si="183"/>
        <v>-100</v>
      </c>
      <c r="AI112" s="1223">
        <v>12000</v>
      </c>
      <c r="AJ112" s="1336"/>
      <c r="AK112" s="1336">
        <f t="shared" si="184"/>
        <v>-12000</v>
      </c>
      <c r="AL112" s="1267">
        <f t="shared" si="185"/>
        <v>-100</v>
      </c>
      <c r="AM112" s="1223">
        <v>12000</v>
      </c>
      <c r="AN112" s="1336"/>
      <c r="AO112" s="1336">
        <f t="shared" si="186"/>
        <v>-12000</v>
      </c>
      <c r="AP112" s="1267">
        <f t="shared" si="187"/>
        <v>-100</v>
      </c>
      <c r="AQ112" s="1223">
        <v>12000</v>
      </c>
      <c r="AR112" s="1336"/>
      <c r="AS112" s="1336">
        <f t="shared" si="188"/>
        <v>-12000</v>
      </c>
      <c r="AT112" s="1267">
        <f t="shared" si="189"/>
        <v>-100</v>
      </c>
      <c r="AU112" s="1223">
        <v>12000</v>
      </c>
      <c r="AV112" s="1336"/>
      <c r="AW112" s="1336">
        <f t="shared" si="190"/>
        <v>-12000</v>
      </c>
      <c r="AX112" s="1267">
        <f t="shared" si="191"/>
        <v>-100</v>
      </c>
      <c r="AY112" s="1241">
        <f t="shared" si="192"/>
        <v>144000</v>
      </c>
      <c r="AZ112" s="1189">
        <f t="shared" si="193"/>
        <v>0</v>
      </c>
      <c r="BB112" s="12"/>
    </row>
    <row r="113" spans="1:54" s="119" customFormat="1" ht="18" customHeight="1" x14ac:dyDescent="0.25">
      <c r="A113" s="170" t="s">
        <v>3624</v>
      </c>
      <c r="B113" s="332" t="s">
        <v>331</v>
      </c>
      <c r="C113" s="1223">
        <v>105000</v>
      </c>
      <c r="D113" s="1336"/>
      <c r="E113" s="1336">
        <f t="shared" si="168"/>
        <v>-105000</v>
      </c>
      <c r="F113" s="1267">
        <f t="shared" si="169"/>
        <v>-100</v>
      </c>
      <c r="G113" s="1223">
        <f>C113</f>
        <v>105000</v>
      </c>
      <c r="H113" s="1336"/>
      <c r="I113" s="1336">
        <f t="shared" si="170"/>
        <v>-105000</v>
      </c>
      <c r="J113" s="1267">
        <f t="shared" si="171"/>
        <v>-100</v>
      </c>
      <c r="K113" s="1223">
        <f>G113</f>
        <v>105000</v>
      </c>
      <c r="L113" s="1336"/>
      <c r="M113" s="1336">
        <f t="shared" si="172"/>
        <v>-105000</v>
      </c>
      <c r="N113" s="1267">
        <f t="shared" si="173"/>
        <v>-100</v>
      </c>
      <c r="O113" s="1223">
        <f>K113</f>
        <v>105000</v>
      </c>
      <c r="P113" s="1336"/>
      <c r="Q113" s="1336">
        <f t="shared" si="174"/>
        <v>-105000</v>
      </c>
      <c r="R113" s="1267">
        <f t="shared" si="175"/>
        <v>-100</v>
      </c>
      <c r="S113" s="1223">
        <f>O113</f>
        <v>105000</v>
      </c>
      <c r="T113" s="1336"/>
      <c r="U113" s="1336">
        <f t="shared" si="176"/>
        <v>-105000</v>
      </c>
      <c r="V113" s="1267">
        <f t="shared" si="177"/>
        <v>-100</v>
      </c>
      <c r="W113" s="1223">
        <f>S113</f>
        <v>105000</v>
      </c>
      <c r="X113" s="1336"/>
      <c r="Y113" s="1336">
        <f t="shared" si="178"/>
        <v>-105000</v>
      </c>
      <c r="Z113" s="1267">
        <f t="shared" si="179"/>
        <v>-100</v>
      </c>
      <c r="AA113" s="1223">
        <f>W113</f>
        <v>105000</v>
      </c>
      <c r="AB113" s="1336"/>
      <c r="AC113" s="1336">
        <f t="shared" si="180"/>
        <v>-105000</v>
      </c>
      <c r="AD113" s="1267">
        <f t="shared" si="181"/>
        <v>-100</v>
      </c>
      <c r="AE113" s="1223">
        <f>AA113</f>
        <v>105000</v>
      </c>
      <c r="AF113" s="1336"/>
      <c r="AG113" s="1336">
        <f t="shared" si="182"/>
        <v>-105000</v>
      </c>
      <c r="AH113" s="1267">
        <f t="shared" si="183"/>
        <v>-100</v>
      </c>
      <c r="AI113" s="1223">
        <f>AE113</f>
        <v>105000</v>
      </c>
      <c r="AJ113" s="1336"/>
      <c r="AK113" s="1336">
        <f t="shared" si="184"/>
        <v>-105000</v>
      </c>
      <c r="AL113" s="1267">
        <f t="shared" si="185"/>
        <v>-100</v>
      </c>
      <c r="AM113" s="1223">
        <f>AI113</f>
        <v>105000</v>
      </c>
      <c r="AN113" s="1336"/>
      <c r="AO113" s="1336">
        <f t="shared" si="186"/>
        <v>-105000</v>
      </c>
      <c r="AP113" s="1267">
        <f t="shared" si="187"/>
        <v>-100</v>
      </c>
      <c r="AQ113" s="1223">
        <f>AM113</f>
        <v>105000</v>
      </c>
      <c r="AR113" s="1336"/>
      <c r="AS113" s="1336">
        <f t="shared" si="188"/>
        <v>-105000</v>
      </c>
      <c r="AT113" s="1267">
        <f t="shared" si="189"/>
        <v>-100</v>
      </c>
      <c r="AU113" s="1223">
        <f>AQ113</f>
        <v>105000</v>
      </c>
      <c r="AV113" s="1336"/>
      <c r="AW113" s="1336">
        <f t="shared" si="190"/>
        <v>-105000</v>
      </c>
      <c r="AX113" s="1267">
        <f t="shared" si="191"/>
        <v>-100</v>
      </c>
      <c r="AY113" s="1241">
        <f t="shared" si="192"/>
        <v>1260000</v>
      </c>
      <c r="AZ113" s="1189">
        <f t="shared" si="193"/>
        <v>0</v>
      </c>
      <c r="BA113" s="334"/>
      <c r="BB113" s="12"/>
    </row>
    <row r="114" spans="1:54" s="119" customFormat="1" ht="18" customHeight="1" x14ac:dyDescent="0.25">
      <c r="A114" s="170">
        <v>51673</v>
      </c>
      <c r="B114" s="332" t="s">
        <v>198</v>
      </c>
      <c r="C114" s="1223">
        <v>4000</v>
      </c>
      <c r="D114" s="1336"/>
      <c r="E114" s="1336">
        <f t="shared" si="168"/>
        <v>-4000</v>
      </c>
      <c r="F114" s="1267">
        <f t="shared" si="169"/>
        <v>-100</v>
      </c>
      <c r="G114" s="1223">
        <v>4000</v>
      </c>
      <c r="H114" s="1336"/>
      <c r="I114" s="1336">
        <f t="shared" si="170"/>
        <v>-4000</v>
      </c>
      <c r="J114" s="1267">
        <f t="shared" si="171"/>
        <v>-100</v>
      </c>
      <c r="K114" s="1223">
        <v>4000</v>
      </c>
      <c r="L114" s="1336"/>
      <c r="M114" s="1336">
        <f t="shared" si="172"/>
        <v>-4000</v>
      </c>
      <c r="N114" s="1267">
        <f t="shared" si="173"/>
        <v>-100</v>
      </c>
      <c r="O114" s="1223">
        <v>4000</v>
      </c>
      <c r="P114" s="1336"/>
      <c r="Q114" s="1336">
        <f t="shared" si="174"/>
        <v>-4000</v>
      </c>
      <c r="R114" s="1267">
        <f t="shared" si="175"/>
        <v>-100</v>
      </c>
      <c r="S114" s="1223">
        <v>4000</v>
      </c>
      <c r="T114" s="1336"/>
      <c r="U114" s="1336">
        <f t="shared" si="176"/>
        <v>-4000</v>
      </c>
      <c r="V114" s="1267">
        <f t="shared" si="177"/>
        <v>-100</v>
      </c>
      <c r="W114" s="1223">
        <v>4000</v>
      </c>
      <c r="X114" s="1336"/>
      <c r="Y114" s="1336">
        <f t="shared" si="178"/>
        <v>-4000</v>
      </c>
      <c r="Z114" s="1267">
        <f t="shared" si="179"/>
        <v>-100</v>
      </c>
      <c r="AA114" s="1223">
        <v>4000</v>
      </c>
      <c r="AB114" s="1336"/>
      <c r="AC114" s="1336">
        <f t="shared" si="180"/>
        <v>-4000</v>
      </c>
      <c r="AD114" s="1267">
        <f t="shared" si="181"/>
        <v>-100</v>
      </c>
      <c r="AE114" s="1223">
        <v>4000</v>
      </c>
      <c r="AF114" s="1336"/>
      <c r="AG114" s="1336">
        <f t="shared" si="182"/>
        <v>-4000</v>
      </c>
      <c r="AH114" s="1267">
        <f t="shared" si="183"/>
        <v>-100</v>
      </c>
      <c r="AI114" s="1223">
        <v>4000</v>
      </c>
      <c r="AJ114" s="1336"/>
      <c r="AK114" s="1336">
        <f t="shared" si="184"/>
        <v>-4000</v>
      </c>
      <c r="AL114" s="1267">
        <f t="shared" si="185"/>
        <v>-100</v>
      </c>
      <c r="AM114" s="1223">
        <v>4000</v>
      </c>
      <c r="AN114" s="1336"/>
      <c r="AO114" s="1336">
        <f t="shared" si="186"/>
        <v>-4000</v>
      </c>
      <c r="AP114" s="1267">
        <f t="shared" si="187"/>
        <v>-100</v>
      </c>
      <c r="AQ114" s="1223">
        <v>4000</v>
      </c>
      <c r="AR114" s="1336"/>
      <c r="AS114" s="1336">
        <f t="shared" si="188"/>
        <v>-4000</v>
      </c>
      <c r="AT114" s="1267">
        <f t="shared" si="189"/>
        <v>-100</v>
      </c>
      <c r="AU114" s="1223">
        <v>4000</v>
      </c>
      <c r="AV114" s="1336"/>
      <c r="AW114" s="1336">
        <f t="shared" si="190"/>
        <v>-4000</v>
      </c>
      <c r="AX114" s="1267">
        <f t="shared" si="191"/>
        <v>-100</v>
      </c>
      <c r="AY114" s="1241">
        <f t="shared" si="192"/>
        <v>48000</v>
      </c>
      <c r="AZ114" s="1189">
        <f t="shared" si="193"/>
        <v>0</v>
      </c>
      <c r="BB114" s="12"/>
    </row>
    <row r="115" spans="1:54" s="119" customFormat="1" ht="18" customHeight="1" x14ac:dyDescent="0.25">
      <c r="A115" s="170" t="s">
        <v>63</v>
      </c>
      <c r="B115" s="332" t="s">
        <v>65</v>
      </c>
      <c r="C115" s="1223">
        <v>14000</v>
      </c>
      <c r="D115" s="1336"/>
      <c r="E115" s="1336">
        <f t="shared" si="168"/>
        <v>-14000</v>
      </c>
      <c r="F115" s="1267">
        <f t="shared" si="169"/>
        <v>-100</v>
      </c>
      <c r="G115" s="1223">
        <v>14000</v>
      </c>
      <c r="H115" s="1336"/>
      <c r="I115" s="1336">
        <f t="shared" si="170"/>
        <v>-14000</v>
      </c>
      <c r="J115" s="1267">
        <f t="shared" si="171"/>
        <v>-100</v>
      </c>
      <c r="K115" s="1223">
        <v>14000</v>
      </c>
      <c r="L115" s="1336"/>
      <c r="M115" s="1336">
        <f t="shared" si="172"/>
        <v>-14000</v>
      </c>
      <c r="N115" s="1267">
        <f t="shared" si="173"/>
        <v>-100</v>
      </c>
      <c r="O115" s="1223">
        <v>14000</v>
      </c>
      <c r="P115" s="1336"/>
      <c r="Q115" s="1336">
        <f t="shared" si="174"/>
        <v>-14000</v>
      </c>
      <c r="R115" s="1267">
        <f t="shared" si="175"/>
        <v>-100</v>
      </c>
      <c r="S115" s="1223">
        <v>14000</v>
      </c>
      <c r="T115" s="1336"/>
      <c r="U115" s="1336">
        <f t="shared" si="176"/>
        <v>-14000</v>
      </c>
      <c r="V115" s="1267">
        <f t="shared" si="177"/>
        <v>-100</v>
      </c>
      <c r="W115" s="1223">
        <v>14000</v>
      </c>
      <c r="X115" s="1336"/>
      <c r="Y115" s="1336">
        <f t="shared" si="178"/>
        <v>-14000</v>
      </c>
      <c r="Z115" s="1267">
        <f t="shared" si="179"/>
        <v>-100</v>
      </c>
      <c r="AA115" s="1223">
        <v>14000</v>
      </c>
      <c r="AB115" s="1336"/>
      <c r="AC115" s="1336">
        <f t="shared" si="180"/>
        <v>-14000</v>
      </c>
      <c r="AD115" s="1267">
        <f t="shared" si="181"/>
        <v>-100</v>
      </c>
      <c r="AE115" s="1223">
        <v>14000</v>
      </c>
      <c r="AF115" s="1336"/>
      <c r="AG115" s="1336">
        <f t="shared" si="182"/>
        <v>-14000</v>
      </c>
      <c r="AH115" s="1267">
        <f t="shared" si="183"/>
        <v>-100</v>
      </c>
      <c r="AI115" s="1223">
        <v>14000</v>
      </c>
      <c r="AJ115" s="1336"/>
      <c r="AK115" s="1336">
        <f t="shared" si="184"/>
        <v>-14000</v>
      </c>
      <c r="AL115" s="1267">
        <f t="shared" si="185"/>
        <v>-100</v>
      </c>
      <c r="AM115" s="1223">
        <v>14000</v>
      </c>
      <c r="AN115" s="1336"/>
      <c r="AO115" s="1336">
        <f t="shared" si="186"/>
        <v>-14000</v>
      </c>
      <c r="AP115" s="1267">
        <f t="shared" si="187"/>
        <v>-100</v>
      </c>
      <c r="AQ115" s="1223">
        <v>14000</v>
      </c>
      <c r="AR115" s="1336"/>
      <c r="AS115" s="1336">
        <f t="shared" si="188"/>
        <v>-14000</v>
      </c>
      <c r="AT115" s="1267">
        <f t="shared" si="189"/>
        <v>-100</v>
      </c>
      <c r="AU115" s="1223">
        <v>14000</v>
      </c>
      <c r="AV115" s="1336"/>
      <c r="AW115" s="1336">
        <f t="shared" si="190"/>
        <v>-14000</v>
      </c>
      <c r="AX115" s="1267">
        <f t="shared" si="191"/>
        <v>-100</v>
      </c>
      <c r="AY115" s="1241">
        <f t="shared" si="192"/>
        <v>168000</v>
      </c>
      <c r="AZ115" s="1189">
        <f t="shared" si="193"/>
        <v>0</v>
      </c>
      <c r="BB115" s="12"/>
    </row>
    <row r="116" spans="1:54" s="119" customFormat="1" ht="18" customHeight="1" x14ac:dyDescent="0.25">
      <c r="A116" s="170">
        <v>33004</v>
      </c>
      <c r="B116" s="332" t="s">
        <v>66</v>
      </c>
      <c r="C116" s="1223">
        <v>3846.43</v>
      </c>
      <c r="D116" s="1336"/>
      <c r="E116" s="1336">
        <f t="shared" si="168"/>
        <v>-3846.43</v>
      </c>
      <c r="F116" s="1267">
        <f t="shared" si="169"/>
        <v>-100</v>
      </c>
      <c r="G116" s="1223">
        <v>3846.43</v>
      </c>
      <c r="H116" s="1336"/>
      <c r="I116" s="1336">
        <f t="shared" si="170"/>
        <v>-3846.43</v>
      </c>
      <c r="J116" s="1267">
        <f t="shared" si="171"/>
        <v>-100</v>
      </c>
      <c r="K116" s="1223">
        <v>3846.43</v>
      </c>
      <c r="L116" s="1336"/>
      <c r="M116" s="1336">
        <f t="shared" si="172"/>
        <v>-3846.43</v>
      </c>
      <c r="N116" s="1267">
        <f t="shared" si="173"/>
        <v>-100</v>
      </c>
      <c r="O116" s="1223">
        <v>3846.43</v>
      </c>
      <c r="P116" s="1336"/>
      <c r="Q116" s="1336">
        <f t="shared" si="174"/>
        <v>-3846.43</v>
      </c>
      <c r="R116" s="1267">
        <f t="shared" si="175"/>
        <v>-100</v>
      </c>
      <c r="S116" s="1223">
        <v>3846.43</v>
      </c>
      <c r="T116" s="1336"/>
      <c r="U116" s="1336">
        <f t="shared" si="176"/>
        <v>-3846.43</v>
      </c>
      <c r="V116" s="1267">
        <f t="shared" si="177"/>
        <v>-100</v>
      </c>
      <c r="W116" s="1223">
        <v>3846.43</v>
      </c>
      <c r="X116" s="1336"/>
      <c r="Y116" s="1336">
        <f t="shared" si="178"/>
        <v>-3846.43</v>
      </c>
      <c r="Z116" s="1267">
        <f t="shared" si="179"/>
        <v>-100</v>
      </c>
      <c r="AA116" s="1223">
        <v>3846.43</v>
      </c>
      <c r="AB116" s="1336"/>
      <c r="AC116" s="1336">
        <f t="shared" si="180"/>
        <v>-3846.43</v>
      </c>
      <c r="AD116" s="1267">
        <f t="shared" si="181"/>
        <v>-100</v>
      </c>
      <c r="AE116" s="1223">
        <v>3846.43</v>
      </c>
      <c r="AF116" s="1336"/>
      <c r="AG116" s="1336">
        <f t="shared" si="182"/>
        <v>-3846.43</v>
      </c>
      <c r="AH116" s="1267">
        <f t="shared" si="183"/>
        <v>-100</v>
      </c>
      <c r="AI116" s="1223">
        <v>3846.43</v>
      </c>
      <c r="AJ116" s="1336"/>
      <c r="AK116" s="1336">
        <f t="shared" si="184"/>
        <v>-3846.43</v>
      </c>
      <c r="AL116" s="1267">
        <f t="shared" si="185"/>
        <v>-100</v>
      </c>
      <c r="AM116" s="1223">
        <v>3846.43</v>
      </c>
      <c r="AN116" s="1336"/>
      <c r="AO116" s="1336">
        <f t="shared" si="186"/>
        <v>-3846.43</v>
      </c>
      <c r="AP116" s="1267">
        <f t="shared" si="187"/>
        <v>-100</v>
      </c>
      <c r="AQ116" s="1223">
        <v>3846.43</v>
      </c>
      <c r="AR116" s="1336"/>
      <c r="AS116" s="1336">
        <f t="shared" si="188"/>
        <v>-3846.43</v>
      </c>
      <c r="AT116" s="1267">
        <f t="shared" si="189"/>
        <v>-100</v>
      </c>
      <c r="AU116" s="1223">
        <v>3846.43</v>
      </c>
      <c r="AV116" s="1336"/>
      <c r="AW116" s="1336">
        <f t="shared" si="190"/>
        <v>-3846.43</v>
      </c>
      <c r="AX116" s="1267">
        <f t="shared" si="191"/>
        <v>-100</v>
      </c>
      <c r="AY116" s="1241">
        <f t="shared" si="192"/>
        <v>46157.159999999996</v>
      </c>
      <c r="AZ116" s="1189">
        <f t="shared" si="193"/>
        <v>0</v>
      </c>
      <c r="BB116" s="12"/>
    </row>
    <row r="117" spans="1:54" s="119" customFormat="1" ht="18" customHeight="1" x14ac:dyDescent="0.25">
      <c r="A117" s="170">
        <v>12305</v>
      </c>
      <c r="B117" s="332" t="s">
        <v>67</v>
      </c>
      <c r="C117" s="1223">
        <v>4000</v>
      </c>
      <c r="D117" s="1336"/>
      <c r="E117" s="1336">
        <f t="shared" si="168"/>
        <v>-4000</v>
      </c>
      <c r="F117" s="1267">
        <f t="shared" si="169"/>
        <v>-100</v>
      </c>
      <c r="G117" s="1223">
        <v>4000</v>
      </c>
      <c r="H117" s="1336"/>
      <c r="I117" s="1336">
        <f t="shared" si="170"/>
        <v>-4000</v>
      </c>
      <c r="J117" s="1267">
        <f t="shared" si="171"/>
        <v>-100</v>
      </c>
      <c r="K117" s="1223">
        <v>4000</v>
      </c>
      <c r="L117" s="1336"/>
      <c r="M117" s="1336">
        <f t="shared" si="172"/>
        <v>-4000</v>
      </c>
      <c r="N117" s="1267">
        <f t="shared" si="173"/>
        <v>-100</v>
      </c>
      <c r="O117" s="1223">
        <v>4000</v>
      </c>
      <c r="P117" s="1336"/>
      <c r="Q117" s="1336">
        <f t="shared" si="174"/>
        <v>-4000</v>
      </c>
      <c r="R117" s="1267">
        <f t="shared" si="175"/>
        <v>-100</v>
      </c>
      <c r="S117" s="1223">
        <v>4000</v>
      </c>
      <c r="T117" s="1336"/>
      <c r="U117" s="1336">
        <f t="shared" si="176"/>
        <v>-4000</v>
      </c>
      <c r="V117" s="1267">
        <f t="shared" si="177"/>
        <v>-100</v>
      </c>
      <c r="W117" s="1223">
        <v>4000</v>
      </c>
      <c r="X117" s="1336"/>
      <c r="Y117" s="1336">
        <f t="shared" si="178"/>
        <v>-4000</v>
      </c>
      <c r="Z117" s="1267">
        <f t="shared" si="179"/>
        <v>-100</v>
      </c>
      <c r="AA117" s="1223">
        <v>4000</v>
      </c>
      <c r="AB117" s="1336"/>
      <c r="AC117" s="1336">
        <f t="shared" si="180"/>
        <v>-4000</v>
      </c>
      <c r="AD117" s="1267">
        <f t="shared" si="181"/>
        <v>-100</v>
      </c>
      <c r="AE117" s="1223">
        <v>4000</v>
      </c>
      <c r="AF117" s="1336"/>
      <c r="AG117" s="1336">
        <f t="shared" si="182"/>
        <v>-4000</v>
      </c>
      <c r="AH117" s="1267">
        <f t="shared" si="183"/>
        <v>-100</v>
      </c>
      <c r="AI117" s="1223">
        <v>4000</v>
      </c>
      <c r="AJ117" s="1336"/>
      <c r="AK117" s="1336">
        <f t="shared" si="184"/>
        <v>-4000</v>
      </c>
      <c r="AL117" s="1267">
        <f t="shared" si="185"/>
        <v>-100</v>
      </c>
      <c r="AM117" s="1223">
        <v>4000</v>
      </c>
      <c r="AN117" s="1336"/>
      <c r="AO117" s="1336">
        <f t="shared" si="186"/>
        <v>-4000</v>
      </c>
      <c r="AP117" s="1267">
        <f t="shared" si="187"/>
        <v>-100</v>
      </c>
      <c r="AQ117" s="1223">
        <v>4000</v>
      </c>
      <c r="AR117" s="1336"/>
      <c r="AS117" s="1336">
        <f t="shared" si="188"/>
        <v>-4000</v>
      </c>
      <c r="AT117" s="1267">
        <f t="shared" si="189"/>
        <v>-100</v>
      </c>
      <c r="AU117" s="1223">
        <v>4000</v>
      </c>
      <c r="AV117" s="1336"/>
      <c r="AW117" s="1336">
        <f t="shared" si="190"/>
        <v>-4000</v>
      </c>
      <c r="AX117" s="1267">
        <f t="shared" si="191"/>
        <v>-100</v>
      </c>
      <c r="AY117" s="1241">
        <f t="shared" si="192"/>
        <v>48000</v>
      </c>
      <c r="AZ117" s="1189">
        <f t="shared" si="193"/>
        <v>0</v>
      </c>
      <c r="BB117" s="12"/>
    </row>
    <row r="118" spans="1:54" s="119" customFormat="1" ht="18" customHeight="1" thickBot="1" x14ac:dyDescent="0.3">
      <c r="A118" s="178">
        <v>11675</v>
      </c>
      <c r="B118" s="385" t="s">
        <v>68</v>
      </c>
      <c r="C118" s="1333">
        <v>2945.84</v>
      </c>
      <c r="D118" s="1337"/>
      <c r="E118" s="1337">
        <f t="shared" si="168"/>
        <v>-2945.84</v>
      </c>
      <c r="F118" s="1335">
        <f t="shared" si="169"/>
        <v>-100</v>
      </c>
      <c r="G118" s="1333">
        <v>2945.84</v>
      </c>
      <c r="H118" s="1337"/>
      <c r="I118" s="1337">
        <f t="shared" si="170"/>
        <v>-2945.84</v>
      </c>
      <c r="J118" s="1335">
        <f t="shared" si="171"/>
        <v>-100</v>
      </c>
      <c r="K118" s="1333">
        <v>2945.84</v>
      </c>
      <c r="L118" s="1337"/>
      <c r="M118" s="1337">
        <f t="shared" si="172"/>
        <v>-2945.84</v>
      </c>
      <c r="N118" s="1335">
        <f t="shared" si="173"/>
        <v>-100</v>
      </c>
      <c r="O118" s="1333">
        <v>2945.84</v>
      </c>
      <c r="P118" s="1337"/>
      <c r="Q118" s="1337">
        <f t="shared" si="174"/>
        <v>-2945.84</v>
      </c>
      <c r="R118" s="1335">
        <f t="shared" si="175"/>
        <v>-100</v>
      </c>
      <c r="S118" s="1333">
        <v>2945.84</v>
      </c>
      <c r="T118" s="1337"/>
      <c r="U118" s="1337">
        <f t="shared" si="176"/>
        <v>-2945.84</v>
      </c>
      <c r="V118" s="1335">
        <f t="shared" si="177"/>
        <v>-100</v>
      </c>
      <c r="W118" s="1333">
        <v>2945.84</v>
      </c>
      <c r="X118" s="1337"/>
      <c r="Y118" s="1337">
        <f t="shared" si="178"/>
        <v>-2945.84</v>
      </c>
      <c r="Z118" s="1335">
        <f t="shared" si="179"/>
        <v>-100</v>
      </c>
      <c r="AA118" s="1333">
        <v>2945.84</v>
      </c>
      <c r="AB118" s="1337"/>
      <c r="AC118" s="1337">
        <f t="shared" si="180"/>
        <v>-2945.84</v>
      </c>
      <c r="AD118" s="1335">
        <f t="shared" si="181"/>
        <v>-100</v>
      </c>
      <c r="AE118" s="1333">
        <v>2945.84</v>
      </c>
      <c r="AF118" s="1337"/>
      <c r="AG118" s="1337">
        <f t="shared" si="182"/>
        <v>-2945.84</v>
      </c>
      <c r="AH118" s="1335">
        <f t="shared" si="183"/>
        <v>-100</v>
      </c>
      <c r="AI118" s="1333">
        <v>2945.84</v>
      </c>
      <c r="AJ118" s="1337"/>
      <c r="AK118" s="1337">
        <f t="shared" si="184"/>
        <v>-2945.84</v>
      </c>
      <c r="AL118" s="1335">
        <f t="shared" si="185"/>
        <v>-100</v>
      </c>
      <c r="AM118" s="1333">
        <v>2945.84</v>
      </c>
      <c r="AN118" s="1337"/>
      <c r="AO118" s="1337">
        <f t="shared" si="186"/>
        <v>-2945.84</v>
      </c>
      <c r="AP118" s="1335">
        <f t="shared" si="187"/>
        <v>-100</v>
      </c>
      <c r="AQ118" s="1333">
        <v>2945.84</v>
      </c>
      <c r="AR118" s="1337"/>
      <c r="AS118" s="1337">
        <f t="shared" si="188"/>
        <v>-2945.84</v>
      </c>
      <c r="AT118" s="1335">
        <f t="shared" si="189"/>
        <v>-100</v>
      </c>
      <c r="AU118" s="1333">
        <v>2945.84</v>
      </c>
      <c r="AV118" s="1337"/>
      <c r="AW118" s="1337">
        <f t="shared" si="190"/>
        <v>-2945.84</v>
      </c>
      <c r="AX118" s="1335">
        <f t="shared" si="191"/>
        <v>-100</v>
      </c>
      <c r="AY118" s="1076">
        <f t="shared" si="192"/>
        <v>35350.080000000002</v>
      </c>
      <c r="AZ118" s="1383">
        <f t="shared" si="193"/>
        <v>0</v>
      </c>
      <c r="BB118" s="12"/>
    </row>
    <row r="119" spans="1:54" s="11" customFormat="1" ht="18" customHeight="1" thickBot="1" x14ac:dyDescent="0.3">
      <c r="A119" s="161"/>
      <c r="C119" s="334"/>
      <c r="D119" s="334"/>
      <c r="E119" s="334"/>
      <c r="F119" s="334"/>
      <c r="G119" s="119"/>
      <c r="H119" s="334"/>
      <c r="I119" s="334"/>
      <c r="J119" s="334"/>
      <c r="K119" s="119"/>
      <c r="L119" s="334"/>
      <c r="M119" s="334"/>
      <c r="N119" s="334"/>
      <c r="O119" s="119"/>
      <c r="P119" s="334"/>
      <c r="Q119" s="334"/>
      <c r="R119" s="334"/>
      <c r="S119" s="119"/>
      <c r="T119" s="334"/>
      <c r="U119" s="334"/>
      <c r="V119" s="334"/>
      <c r="W119" s="119"/>
      <c r="X119" s="334"/>
      <c r="Y119" s="334"/>
      <c r="Z119" s="334"/>
      <c r="AA119" s="119"/>
      <c r="AB119" s="334"/>
      <c r="AC119" s="334"/>
      <c r="AD119" s="334"/>
      <c r="AE119" s="119"/>
      <c r="AF119" s="334"/>
      <c r="AG119" s="334"/>
      <c r="AH119" s="334"/>
      <c r="AI119" s="119"/>
      <c r="AJ119" s="334"/>
      <c r="AK119" s="334"/>
      <c r="AL119" s="334"/>
      <c r="AM119" s="119"/>
      <c r="AN119" s="334"/>
      <c r="AO119" s="334"/>
      <c r="AP119" s="334"/>
      <c r="AQ119" s="119"/>
      <c r="AR119" s="334"/>
      <c r="AS119" s="334"/>
      <c r="AT119" s="334"/>
      <c r="AU119" s="119"/>
      <c r="AV119" s="334"/>
      <c r="AW119" s="334"/>
      <c r="AX119" s="334"/>
      <c r="AY119" s="805"/>
      <c r="AZ119" s="805"/>
      <c r="BA119" s="1172"/>
      <c r="BB119" s="1172"/>
    </row>
    <row r="120" spans="1:54" s="11" customFormat="1" ht="18" customHeight="1" thickBot="1" x14ac:dyDescent="0.3">
      <c r="A120" s="165"/>
      <c r="B120" s="330" t="s">
        <v>170</v>
      </c>
      <c r="C120" s="1168">
        <f>SUM(C121:C142)</f>
        <v>6200881.2924000006</v>
      </c>
      <c r="D120" s="1313">
        <f>SUM(D121:D142)</f>
        <v>0</v>
      </c>
      <c r="E120" s="392">
        <f>D120-C120</f>
        <v>-6200881.2924000006</v>
      </c>
      <c r="F120" s="1334">
        <f>((D120/C120)-1)*100</f>
        <v>-100</v>
      </c>
      <c r="G120" s="1168">
        <f>SUM(G121:G142)</f>
        <v>6200881.2924000006</v>
      </c>
      <c r="H120" s="1313">
        <f>SUM(H121:H142)</f>
        <v>0</v>
      </c>
      <c r="I120" s="392">
        <f>H120-G120</f>
        <v>-6200881.2924000006</v>
      </c>
      <c r="J120" s="530">
        <f>((H120/G120)-1)*100</f>
        <v>-100</v>
      </c>
      <c r="K120" s="534">
        <f>SUM(K121:K142)</f>
        <v>6200881.2924000006</v>
      </c>
      <c r="L120" s="1313">
        <f>SUM(L121:L142)</f>
        <v>0</v>
      </c>
      <c r="M120" s="392">
        <f>L120-K120</f>
        <v>-6200881.2924000006</v>
      </c>
      <c r="N120" s="530">
        <f>((L120/K120)-1)*100</f>
        <v>-100</v>
      </c>
      <c r="O120" s="534">
        <f>SUM(O121:O142)</f>
        <v>6200881.2924000006</v>
      </c>
      <c r="P120" s="1313">
        <f>SUM(P121:P142)</f>
        <v>0</v>
      </c>
      <c r="Q120" s="392">
        <f>P120-O120</f>
        <v>-6200881.2924000006</v>
      </c>
      <c r="R120" s="530">
        <f>((P120/O120)-1)*100</f>
        <v>-100</v>
      </c>
      <c r="S120" s="534">
        <f>SUM(S121:S142)</f>
        <v>6200881.2924000006</v>
      </c>
      <c r="T120" s="1313">
        <f>SUM(T121:T142)</f>
        <v>0</v>
      </c>
      <c r="U120" s="392">
        <f>T120-S120</f>
        <v>-6200881.2924000006</v>
      </c>
      <c r="V120" s="530">
        <f>((T120/S120)-1)*100</f>
        <v>-100</v>
      </c>
      <c r="W120" s="534">
        <f>SUM(W121:W142)</f>
        <v>6748465.3532000007</v>
      </c>
      <c r="X120" s="1313">
        <f>SUM(X121:X142)</f>
        <v>0</v>
      </c>
      <c r="Y120" s="392">
        <f>X120-W120</f>
        <v>-6748465.3532000007</v>
      </c>
      <c r="Z120" s="530">
        <f>((X120/W120)-1)*100</f>
        <v>-100</v>
      </c>
      <c r="AA120" s="534">
        <f>SUM(AA121:AA142)</f>
        <v>6748565.3532000007</v>
      </c>
      <c r="AB120" s="1313">
        <f>SUM(AB121:AB142)</f>
        <v>0</v>
      </c>
      <c r="AC120" s="392">
        <f>AB120-AA120</f>
        <v>-6748565.3532000007</v>
      </c>
      <c r="AD120" s="530">
        <f>((AB120/AA120)-1)*100</f>
        <v>-100</v>
      </c>
      <c r="AE120" s="534">
        <f>SUM(AE121:AE142)</f>
        <v>6748565.3532000007</v>
      </c>
      <c r="AF120" s="1313">
        <f>SUM(AF121:AF142)</f>
        <v>0</v>
      </c>
      <c r="AG120" s="392">
        <f>AF120-AE120</f>
        <v>-6748565.3532000007</v>
      </c>
      <c r="AH120" s="530">
        <f>((AF120/AE120)-1)*100</f>
        <v>-100</v>
      </c>
      <c r="AI120" s="395">
        <f>SUM(AI121:AI142)</f>
        <v>6748565.3532000007</v>
      </c>
      <c r="AJ120" s="1313">
        <f>SUM(AJ121:AJ142)</f>
        <v>0</v>
      </c>
      <c r="AK120" s="392">
        <f>AJ120-AI120</f>
        <v>-6748565.3532000007</v>
      </c>
      <c r="AL120" s="530">
        <f>((AJ120/AI120)-1)*100</f>
        <v>-100</v>
      </c>
      <c r="AM120" s="395">
        <f>SUM(AM121:AM142)</f>
        <v>6748565.3532000007</v>
      </c>
      <c r="AN120" s="1313">
        <f>SUM(AN121:AN142)</f>
        <v>0</v>
      </c>
      <c r="AO120" s="392">
        <f>AN120-AM120</f>
        <v>-6748565.3532000007</v>
      </c>
      <c r="AP120" s="530">
        <f>((AN120/AM120)-1)*100</f>
        <v>-100</v>
      </c>
      <c r="AQ120" s="395">
        <f>SUM(AQ121:AQ142)</f>
        <v>6748565.3532000007</v>
      </c>
      <c r="AR120" s="1313">
        <f>SUM(AR121:AR142)</f>
        <v>0</v>
      </c>
      <c r="AS120" s="392">
        <f>AR120-AQ120</f>
        <v>-6748565.3532000007</v>
      </c>
      <c r="AT120" s="530">
        <f>((AR120/AQ120)-1)*100</f>
        <v>-100</v>
      </c>
      <c r="AU120" s="395">
        <f>SUM(AU121:AU142)</f>
        <v>6748565.3532000007</v>
      </c>
      <c r="AV120" s="1313">
        <f>SUM(AV121:AV142)</f>
        <v>0</v>
      </c>
      <c r="AW120" s="392">
        <f>AV120-AU120</f>
        <v>-6748565.3532000007</v>
      </c>
      <c r="AX120" s="1334">
        <f>((AV120/AU120)-1)*100</f>
        <v>-100</v>
      </c>
      <c r="AY120" s="1074">
        <f t="shared" ref="AY120:AZ142" si="194">C120+G120+K120+O120+S120+W120+AA120+AE120+AI120+AM120+AQ120+AU120</f>
        <v>78244263.934400022</v>
      </c>
      <c r="AZ120" s="1385">
        <f>D120+H120+L120+P120+T120+X120+AB120+AF120+AJ120+AN120+AR120+AV120</f>
        <v>0</v>
      </c>
      <c r="BA120" s="195"/>
      <c r="BB120" s="1176"/>
    </row>
    <row r="121" spans="1:54" s="119" customFormat="1" ht="18" customHeight="1" x14ac:dyDescent="0.25">
      <c r="A121" s="167">
        <v>11416</v>
      </c>
      <c r="B121" s="331" t="s">
        <v>69</v>
      </c>
      <c r="C121" s="1222">
        <v>16088.355399999999</v>
      </c>
      <c r="D121" s="1299"/>
      <c r="E121" s="1336">
        <f t="shared" ref="E121:E142" si="195">D121-C121</f>
        <v>-16088.355399999999</v>
      </c>
      <c r="F121" s="1267">
        <f t="shared" ref="F121:F142" si="196">((D121/C121)-1)*100</f>
        <v>-100</v>
      </c>
      <c r="G121" s="1222">
        <f t="shared" ref="G121:G142" si="197">C121</f>
        <v>16088.355399999999</v>
      </c>
      <c r="H121" s="1299"/>
      <c r="I121" s="1336">
        <f t="shared" ref="I121:I142" si="198">H121-G121</f>
        <v>-16088.355399999999</v>
      </c>
      <c r="J121" s="1393">
        <f t="shared" ref="J121:J142" si="199">((H121/G121)-1)*100</f>
        <v>-100</v>
      </c>
      <c r="K121" s="1352">
        <f t="shared" ref="K121:K142" si="200">G121</f>
        <v>16088.355399999999</v>
      </c>
      <c r="L121" s="1299"/>
      <c r="M121" s="1336">
        <f t="shared" ref="M121:M142" si="201">L121-K121</f>
        <v>-16088.355399999999</v>
      </c>
      <c r="N121" s="1393">
        <f t="shared" ref="N121:N142" si="202">((L121/K121)-1)*100</f>
        <v>-100</v>
      </c>
      <c r="O121" s="1352">
        <f t="shared" ref="O121:O142" si="203">K121</f>
        <v>16088.355399999999</v>
      </c>
      <c r="P121" s="1299"/>
      <c r="Q121" s="1336">
        <f t="shared" ref="Q121:Q142" si="204">P121-O121</f>
        <v>-16088.355399999999</v>
      </c>
      <c r="R121" s="1393">
        <f t="shared" ref="R121:R142" si="205">((P121/O121)-1)*100</f>
        <v>-100</v>
      </c>
      <c r="S121" s="1352">
        <f t="shared" ref="S121:S142" si="206">O121</f>
        <v>16088.355399999999</v>
      </c>
      <c r="T121" s="1299"/>
      <c r="U121" s="1336">
        <f t="shared" ref="U121:U142" si="207">T121-S121</f>
        <v>-16088.355399999999</v>
      </c>
      <c r="V121" s="1393">
        <f t="shared" ref="V121:V142" si="208">((T121/S121)-1)*100</f>
        <v>-100</v>
      </c>
      <c r="W121" s="1352">
        <v>16088.355399999999</v>
      </c>
      <c r="X121" s="1299"/>
      <c r="Y121" s="1336">
        <f t="shared" ref="Y121:Y142" si="209">X121-W121</f>
        <v>-16088.355399999999</v>
      </c>
      <c r="Z121" s="1393">
        <f t="shared" ref="Z121:Z142" si="210">((X121/W121)-1)*100</f>
        <v>-100</v>
      </c>
      <c r="AA121" s="1352">
        <f t="shared" ref="AA121:AA129" si="211">W121</f>
        <v>16088.355399999999</v>
      </c>
      <c r="AB121" s="1299"/>
      <c r="AC121" s="1336">
        <f t="shared" ref="AC121:AC142" si="212">AB121-AA121</f>
        <v>-16088.355399999999</v>
      </c>
      <c r="AD121" s="1393">
        <f t="shared" ref="AD121:AD142" si="213">((AB121/AA121)-1)*100</f>
        <v>-100</v>
      </c>
      <c r="AE121" s="1352">
        <f t="shared" ref="AE121:AE129" si="214">AA121</f>
        <v>16088.355399999999</v>
      </c>
      <c r="AF121" s="1299"/>
      <c r="AG121" s="1336">
        <f t="shared" ref="AG121:AG142" si="215">AF121-AE121</f>
        <v>-16088.355399999999</v>
      </c>
      <c r="AH121" s="1393">
        <f t="shared" ref="AH121:AH142" si="216">((AF121/AE121)-1)*100</f>
        <v>-100</v>
      </c>
      <c r="AI121" s="1352">
        <f t="shared" ref="AI121:AI129" si="217">AE121</f>
        <v>16088.355399999999</v>
      </c>
      <c r="AJ121" s="1299"/>
      <c r="AK121" s="1336">
        <f t="shared" ref="AK121:AK142" si="218">AJ121-AI121</f>
        <v>-16088.355399999999</v>
      </c>
      <c r="AL121" s="1393">
        <f t="shared" ref="AL121:AL142" si="219">((AJ121/AI121)-1)*100</f>
        <v>-100</v>
      </c>
      <c r="AM121" s="1352">
        <f t="shared" ref="AM121:AM142" si="220">AI121</f>
        <v>16088.355399999999</v>
      </c>
      <c r="AN121" s="1299"/>
      <c r="AO121" s="1336">
        <f t="shared" ref="AO121:AO142" si="221">AN121-AM121</f>
        <v>-16088.355399999999</v>
      </c>
      <c r="AP121" s="1393">
        <f t="shared" ref="AP121:AP142" si="222">((AN121/AM121)-1)*100</f>
        <v>-100</v>
      </c>
      <c r="AQ121" s="1352">
        <f t="shared" ref="AQ121:AQ142" si="223">AM121</f>
        <v>16088.355399999999</v>
      </c>
      <c r="AR121" s="1299"/>
      <c r="AS121" s="1336">
        <f t="shared" ref="AS121:AS142" si="224">AR121-AQ121</f>
        <v>-16088.355399999999</v>
      </c>
      <c r="AT121" s="1393">
        <f t="shared" ref="AT121:AT142" si="225">((AR121/AQ121)-1)*100</f>
        <v>-100</v>
      </c>
      <c r="AU121" s="1352">
        <f t="shared" ref="AU121:AU137" si="226">AQ121</f>
        <v>16088.355399999999</v>
      </c>
      <c r="AV121" s="1299"/>
      <c r="AW121" s="1336">
        <f t="shared" ref="AW121:AW142" si="227">AV121-AU121</f>
        <v>-16088.355399999999</v>
      </c>
      <c r="AX121" s="1267">
        <f t="shared" ref="AX121:AX142" si="228">((AV121/AU121)-1)*100</f>
        <v>-100</v>
      </c>
      <c r="AY121" s="1226">
        <f t="shared" si="194"/>
        <v>193060.26479999998</v>
      </c>
      <c r="AZ121" s="1189">
        <f>D121+H121+L121+P121+T121+X121+AB121+AF121+AJ121+AN121+AR121+AV121</f>
        <v>0</v>
      </c>
      <c r="BA121" s="334"/>
      <c r="BB121" s="1174"/>
    </row>
    <row r="122" spans="1:54" s="1421" customFormat="1" ht="18" customHeight="1" x14ac:dyDescent="0.25">
      <c r="A122" s="170">
        <v>55262</v>
      </c>
      <c r="B122" s="332" t="s">
        <v>3802</v>
      </c>
      <c r="C122" s="1223">
        <v>0</v>
      </c>
      <c r="D122" s="1336"/>
      <c r="E122" s="1336">
        <f t="shared" si="195"/>
        <v>0</v>
      </c>
      <c r="F122" s="1267"/>
      <c r="G122" s="1223"/>
      <c r="H122" s="1336"/>
      <c r="I122" s="1336"/>
      <c r="J122" s="1393"/>
      <c r="K122" s="1392"/>
      <c r="L122" s="1336"/>
      <c r="M122" s="1336"/>
      <c r="N122" s="1393"/>
      <c r="O122" s="1392"/>
      <c r="P122" s="1336"/>
      <c r="Q122" s="1336"/>
      <c r="R122" s="1393"/>
      <c r="S122" s="1392"/>
      <c r="T122" s="1336"/>
      <c r="U122" s="1336"/>
      <c r="V122" s="1393"/>
      <c r="W122" s="1392"/>
      <c r="X122" s="1336"/>
      <c r="Y122" s="1336"/>
      <c r="Z122" s="1393"/>
      <c r="AA122" s="1392"/>
      <c r="AB122" s="1336"/>
      <c r="AC122" s="1336"/>
      <c r="AD122" s="1393"/>
      <c r="AE122" s="1392"/>
      <c r="AF122" s="1336"/>
      <c r="AG122" s="1336"/>
      <c r="AH122" s="1393"/>
      <c r="AI122" s="1392"/>
      <c r="AJ122" s="1336"/>
      <c r="AK122" s="1336"/>
      <c r="AL122" s="1393"/>
      <c r="AM122" s="1392"/>
      <c r="AN122" s="1336"/>
      <c r="AO122" s="1336"/>
      <c r="AP122" s="1393"/>
      <c r="AQ122" s="1392"/>
      <c r="AR122" s="1336"/>
      <c r="AS122" s="1336"/>
      <c r="AT122" s="1393"/>
      <c r="AU122" s="1392"/>
      <c r="AV122" s="1336"/>
      <c r="AW122" s="1336"/>
      <c r="AX122" s="1267"/>
      <c r="AY122" s="1226"/>
      <c r="AZ122" s="1189">
        <f>D122+H122+L122+P122+T122+X122+AB122+AF122+AJ122+AN122+AR122+AV122</f>
        <v>0</v>
      </c>
      <c r="BA122" s="334"/>
      <c r="BB122" s="1174"/>
    </row>
    <row r="123" spans="1:54" s="119" customFormat="1" ht="18" customHeight="1" x14ac:dyDescent="0.25">
      <c r="A123" s="170">
        <v>12328</v>
      </c>
      <c r="B123" s="332" t="s">
        <v>336</v>
      </c>
      <c r="C123" s="1223">
        <v>16550.5504</v>
      </c>
      <c r="D123" s="1336"/>
      <c r="E123" s="1336">
        <f t="shared" si="195"/>
        <v>-16550.5504</v>
      </c>
      <c r="F123" s="1267">
        <f t="shared" si="196"/>
        <v>-100</v>
      </c>
      <c r="G123" s="1223">
        <f t="shared" si="197"/>
        <v>16550.5504</v>
      </c>
      <c r="H123" s="1336"/>
      <c r="I123" s="1336">
        <f t="shared" si="198"/>
        <v>-16550.5504</v>
      </c>
      <c r="J123" s="1393">
        <f t="shared" si="199"/>
        <v>-100</v>
      </c>
      <c r="K123" s="1392">
        <f t="shared" si="200"/>
        <v>16550.5504</v>
      </c>
      <c r="L123" s="1336"/>
      <c r="M123" s="1336">
        <f t="shared" si="201"/>
        <v>-16550.5504</v>
      </c>
      <c r="N123" s="1393">
        <f t="shared" si="202"/>
        <v>-100</v>
      </c>
      <c r="O123" s="1392">
        <f t="shared" si="203"/>
        <v>16550.5504</v>
      </c>
      <c r="P123" s="1336"/>
      <c r="Q123" s="1336">
        <f t="shared" si="204"/>
        <v>-16550.5504</v>
      </c>
      <c r="R123" s="1393">
        <f t="shared" si="205"/>
        <v>-100</v>
      </c>
      <c r="S123" s="1392">
        <f t="shared" si="206"/>
        <v>16550.5504</v>
      </c>
      <c r="T123" s="1336"/>
      <c r="U123" s="1336">
        <f t="shared" si="207"/>
        <v>-16550.5504</v>
      </c>
      <c r="V123" s="1393">
        <f t="shared" si="208"/>
        <v>-100</v>
      </c>
      <c r="W123" s="1392">
        <v>36550.5504</v>
      </c>
      <c r="X123" s="1336"/>
      <c r="Y123" s="1336">
        <f t="shared" si="209"/>
        <v>-36550.5504</v>
      </c>
      <c r="Z123" s="1393">
        <f t="shared" si="210"/>
        <v>-100</v>
      </c>
      <c r="AA123" s="1392">
        <f t="shared" si="211"/>
        <v>36550.5504</v>
      </c>
      <c r="AB123" s="1336"/>
      <c r="AC123" s="1336">
        <f t="shared" si="212"/>
        <v>-36550.5504</v>
      </c>
      <c r="AD123" s="1393">
        <f t="shared" si="213"/>
        <v>-100</v>
      </c>
      <c r="AE123" s="1392">
        <f t="shared" si="214"/>
        <v>36550.5504</v>
      </c>
      <c r="AF123" s="1336"/>
      <c r="AG123" s="1336">
        <f t="shared" si="215"/>
        <v>-36550.5504</v>
      </c>
      <c r="AH123" s="1393">
        <f t="shared" si="216"/>
        <v>-100</v>
      </c>
      <c r="AI123" s="1392">
        <f t="shared" si="217"/>
        <v>36550.5504</v>
      </c>
      <c r="AJ123" s="1336"/>
      <c r="AK123" s="1336">
        <f t="shared" si="218"/>
        <v>-36550.5504</v>
      </c>
      <c r="AL123" s="1393">
        <f t="shared" si="219"/>
        <v>-100</v>
      </c>
      <c r="AM123" s="1392">
        <f t="shared" si="220"/>
        <v>36550.5504</v>
      </c>
      <c r="AN123" s="1336"/>
      <c r="AO123" s="1336">
        <f t="shared" si="221"/>
        <v>-36550.5504</v>
      </c>
      <c r="AP123" s="1393">
        <f t="shared" si="222"/>
        <v>-100</v>
      </c>
      <c r="AQ123" s="1392">
        <f t="shared" si="223"/>
        <v>36550.5504</v>
      </c>
      <c r="AR123" s="1336"/>
      <c r="AS123" s="1336">
        <f t="shared" si="224"/>
        <v>-36550.5504</v>
      </c>
      <c r="AT123" s="1393">
        <f t="shared" si="225"/>
        <v>-100</v>
      </c>
      <c r="AU123" s="1392">
        <f t="shared" si="226"/>
        <v>36550.5504</v>
      </c>
      <c r="AV123" s="1336"/>
      <c r="AW123" s="1336">
        <f t="shared" si="227"/>
        <v>-36550.5504</v>
      </c>
      <c r="AX123" s="1267">
        <f t="shared" si="228"/>
        <v>-100</v>
      </c>
      <c r="AY123" s="1226">
        <f t="shared" si="194"/>
        <v>338606.60480000003</v>
      </c>
      <c r="AZ123" s="1189">
        <f t="shared" si="194"/>
        <v>0</v>
      </c>
      <c r="BA123" s="334"/>
      <c r="BB123" s="1174"/>
    </row>
    <row r="124" spans="1:54" s="119" customFormat="1" ht="18" customHeight="1" x14ac:dyDescent="0.25">
      <c r="A124" s="170">
        <v>32497</v>
      </c>
      <c r="B124" s="332" t="s">
        <v>202</v>
      </c>
      <c r="C124" s="1223">
        <v>110654</v>
      </c>
      <c r="D124" s="1336"/>
      <c r="E124" s="1336">
        <f t="shared" si="195"/>
        <v>-110654</v>
      </c>
      <c r="F124" s="1267">
        <f t="shared" si="196"/>
        <v>-100</v>
      </c>
      <c r="G124" s="1223">
        <f t="shared" si="197"/>
        <v>110654</v>
      </c>
      <c r="H124" s="1336"/>
      <c r="I124" s="1336">
        <f t="shared" si="198"/>
        <v>-110654</v>
      </c>
      <c r="J124" s="1393">
        <f t="shared" si="199"/>
        <v>-100</v>
      </c>
      <c r="K124" s="1392">
        <f t="shared" si="200"/>
        <v>110654</v>
      </c>
      <c r="L124" s="1336"/>
      <c r="M124" s="1336">
        <f t="shared" si="201"/>
        <v>-110654</v>
      </c>
      <c r="N124" s="1393">
        <f t="shared" si="202"/>
        <v>-100</v>
      </c>
      <c r="O124" s="1392">
        <f t="shared" si="203"/>
        <v>110654</v>
      </c>
      <c r="P124" s="1336"/>
      <c r="Q124" s="1336">
        <f t="shared" si="204"/>
        <v>-110654</v>
      </c>
      <c r="R124" s="1393">
        <f t="shared" si="205"/>
        <v>-100</v>
      </c>
      <c r="S124" s="1392">
        <f t="shared" si="206"/>
        <v>110654</v>
      </c>
      <c r="T124" s="1336"/>
      <c r="U124" s="1336">
        <f t="shared" si="207"/>
        <v>-110654</v>
      </c>
      <c r="V124" s="1393">
        <f t="shared" si="208"/>
        <v>-100</v>
      </c>
      <c r="W124" s="1392">
        <v>122779.5426</v>
      </c>
      <c r="X124" s="1336"/>
      <c r="Y124" s="1336">
        <f t="shared" si="209"/>
        <v>-122779.5426</v>
      </c>
      <c r="Z124" s="1393">
        <f t="shared" si="210"/>
        <v>-100</v>
      </c>
      <c r="AA124" s="1392">
        <f t="shared" si="211"/>
        <v>122779.5426</v>
      </c>
      <c r="AB124" s="1336"/>
      <c r="AC124" s="1336">
        <f t="shared" si="212"/>
        <v>-122779.5426</v>
      </c>
      <c r="AD124" s="1393">
        <f t="shared" si="213"/>
        <v>-100</v>
      </c>
      <c r="AE124" s="1392">
        <f t="shared" si="214"/>
        <v>122779.5426</v>
      </c>
      <c r="AF124" s="1336"/>
      <c r="AG124" s="1336">
        <f t="shared" si="215"/>
        <v>-122779.5426</v>
      </c>
      <c r="AH124" s="1393">
        <f t="shared" si="216"/>
        <v>-100</v>
      </c>
      <c r="AI124" s="1392">
        <f t="shared" si="217"/>
        <v>122779.5426</v>
      </c>
      <c r="AJ124" s="1336"/>
      <c r="AK124" s="1336">
        <f t="shared" si="218"/>
        <v>-122779.5426</v>
      </c>
      <c r="AL124" s="1393">
        <f t="shared" si="219"/>
        <v>-100</v>
      </c>
      <c r="AM124" s="1392">
        <f t="shared" si="220"/>
        <v>122779.5426</v>
      </c>
      <c r="AN124" s="1336"/>
      <c r="AO124" s="1336">
        <f t="shared" si="221"/>
        <v>-122779.5426</v>
      </c>
      <c r="AP124" s="1393">
        <f t="shared" si="222"/>
        <v>-100</v>
      </c>
      <c r="AQ124" s="1392">
        <f t="shared" si="223"/>
        <v>122779.5426</v>
      </c>
      <c r="AR124" s="1336"/>
      <c r="AS124" s="1336">
        <f t="shared" si="224"/>
        <v>-122779.5426</v>
      </c>
      <c r="AT124" s="1393">
        <f t="shared" si="225"/>
        <v>-100</v>
      </c>
      <c r="AU124" s="1392">
        <f t="shared" si="226"/>
        <v>122779.5426</v>
      </c>
      <c r="AV124" s="1336"/>
      <c r="AW124" s="1336">
        <f t="shared" si="227"/>
        <v>-122779.5426</v>
      </c>
      <c r="AX124" s="1267">
        <f t="shared" si="228"/>
        <v>-100</v>
      </c>
      <c r="AY124" s="1226">
        <f t="shared" si="194"/>
        <v>1412726.7982000003</v>
      </c>
      <c r="AZ124" s="1189">
        <f t="shared" si="194"/>
        <v>0</v>
      </c>
      <c r="BA124" s="334"/>
      <c r="BB124" s="1174"/>
    </row>
    <row r="125" spans="1:54" s="119" customFormat="1" ht="18" customHeight="1" x14ac:dyDescent="0.25">
      <c r="A125" s="170">
        <v>12338</v>
      </c>
      <c r="B125" s="332" t="s">
        <v>199</v>
      </c>
      <c r="C125" s="1223">
        <v>343225.34299999999</v>
      </c>
      <c r="D125" s="1336"/>
      <c r="E125" s="1336">
        <f t="shared" si="195"/>
        <v>-343225.34299999999</v>
      </c>
      <c r="F125" s="1267">
        <f t="shared" si="196"/>
        <v>-100</v>
      </c>
      <c r="G125" s="1223">
        <f t="shared" si="197"/>
        <v>343225.34299999999</v>
      </c>
      <c r="H125" s="1336"/>
      <c r="I125" s="1336">
        <f t="shared" si="198"/>
        <v>-343225.34299999999</v>
      </c>
      <c r="J125" s="1393">
        <f t="shared" si="199"/>
        <v>-100</v>
      </c>
      <c r="K125" s="1392">
        <f t="shared" si="200"/>
        <v>343225.34299999999</v>
      </c>
      <c r="L125" s="1336"/>
      <c r="M125" s="1336">
        <f t="shared" si="201"/>
        <v>-343225.34299999999</v>
      </c>
      <c r="N125" s="1393">
        <f t="shared" si="202"/>
        <v>-100</v>
      </c>
      <c r="O125" s="1392">
        <f t="shared" si="203"/>
        <v>343225.34299999999</v>
      </c>
      <c r="P125" s="1336"/>
      <c r="Q125" s="1336">
        <f t="shared" si="204"/>
        <v>-343225.34299999999</v>
      </c>
      <c r="R125" s="1393">
        <f t="shared" si="205"/>
        <v>-100</v>
      </c>
      <c r="S125" s="1392">
        <f t="shared" si="206"/>
        <v>343225.34299999999</v>
      </c>
      <c r="T125" s="1336"/>
      <c r="U125" s="1336">
        <f t="shared" si="207"/>
        <v>-343225.34299999999</v>
      </c>
      <c r="V125" s="1393">
        <f t="shared" si="208"/>
        <v>-100</v>
      </c>
      <c r="W125" s="1392">
        <v>363225.34299999999</v>
      </c>
      <c r="X125" s="1336"/>
      <c r="Y125" s="1336">
        <f t="shared" si="209"/>
        <v>-363225.34299999999</v>
      </c>
      <c r="Z125" s="1393">
        <f t="shared" si="210"/>
        <v>-100</v>
      </c>
      <c r="AA125" s="1392">
        <f t="shared" si="211"/>
        <v>363225.34299999999</v>
      </c>
      <c r="AB125" s="1336"/>
      <c r="AC125" s="1336">
        <f t="shared" si="212"/>
        <v>-363225.34299999999</v>
      </c>
      <c r="AD125" s="1393">
        <f t="shared" si="213"/>
        <v>-100</v>
      </c>
      <c r="AE125" s="1392">
        <f t="shared" si="214"/>
        <v>363225.34299999999</v>
      </c>
      <c r="AF125" s="1336"/>
      <c r="AG125" s="1336">
        <f t="shared" si="215"/>
        <v>-363225.34299999999</v>
      </c>
      <c r="AH125" s="1393">
        <f t="shared" si="216"/>
        <v>-100</v>
      </c>
      <c r="AI125" s="1392">
        <f t="shared" si="217"/>
        <v>363225.34299999999</v>
      </c>
      <c r="AJ125" s="1336"/>
      <c r="AK125" s="1336">
        <f t="shared" si="218"/>
        <v>-363225.34299999999</v>
      </c>
      <c r="AL125" s="1393">
        <f t="shared" si="219"/>
        <v>-100</v>
      </c>
      <c r="AM125" s="1392">
        <f t="shared" si="220"/>
        <v>363225.34299999999</v>
      </c>
      <c r="AN125" s="1336"/>
      <c r="AO125" s="1336">
        <f t="shared" si="221"/>
        <v>-363225.34299999999</v>
      </c>
      <c r="AP125" s="1393">
        <f t="shared" si="222"/>
        <v>-100</v>
      </c>
      <c r="AQ125" s="1392">
        <f t="shared" si="223"/>
        <v>363225.34299999999</v>
      </c>
      <c r="AR125" s="1336"/>
      <c r="AS125" s="1336">
        <f t="shared" si="224"/>
        <v>-363225.34299999999</v>
      </c>
      <c r="AT125" s="1393">
        <f t="shared" si="225"/>
        <v>-100</v>
      </c>
      <c r="AU125" s="1392">
        <f t="shared" si="226"/>
        <v>363225.34299999999</v>
      </c>
      <c r="AV125" s="1336"/>
      <c r="AW125" s="1336">
        <f t="shared" si="227"/>
        <v>-363225.34299999999</v>
      </c>
      <c r="AX125" s="1267">
        <f t="shared" si="228"/>
        <v>-100</v>
      </c>
      <c r="AY125" s="1226">
        <f t="shared" si="194"/>
        <v>4258704.1159999995</v>
      </c>
      <c r="AZ125" s="1189">
        <f t="shared" si="194"/>
        <v>0</v>
      </c>
      <c r="BA125" s="334"/>
      <c r="BB125" s="1174"/>
    </row>
    <row r="126" spans="1:54" s="119" customFormat="1" ht="18" customHeight="1" x14ac:dyDescent="0.25">
      <c r="A126" s="170" t="s">
        <v>79</v>
      </c>
      <c r="B126" s="332" t="s">
        <v>203</v>
      </c>
      <c r="C126" s="1223">
        <v>18585.135799999996</v>
      </c>
      <c r="D126" s="1336"/>
      <c r="E126" s="1336">
        <f t="shared" si="195"/>
        <v>-18585.135799999996</v>
      </c>
      <c r="F126" s="1267">
        <f t="shared" si="196"/>
        <v>-100</v>
      </c>
      <c r="G126" s="1223">
        <f t="shared" si="197"/>
        <v>18585.135799999996</v>
      </c>
      <c r="H126" s="1336"/>
      <c r="I126" s="1336">
        <f t="shared" si="198"/>
        <v>-18585.135799999996</v>
      </c>
      <c r="J126" s="1393">
        <f t="shared" si="199"/>
        <v>-100</v>
      </c>
      <c r="K126" s="1392">
        <f t="shared" si="200"/>
        <v>18585.135799999996</v>
      </c>
      <c r="L126" s="1336"/>
      <c r="M126" s="1336">
        <f t="shared" si="201"/>
        <v>-18585.135799999996</v>
      </c>
      <c r="N126" s="1393">
        <f t="shared" si="202"/>
        <v>-100</v>
      </c>
      <c r="O126" s="1392">
        <f t="shared" si="203"/>
        <v>18585.135799999996</v>
      </c>
      <c r="P126" s="1336"/>
      <c r="Q126" s="1336">
        <f t="shared" si="204"/>
        <v>-18585.135799999996</v>
      </c>
      <c r="R126" s="1393">
        <f t="shared" si="205"/>
        <v>-100</v>
      </c>
      <c r="S126" s="1392">
        <f t="shared" si="206"/>
        <v>18585.135799999996</v>
      </c>
      <c r="T126" s="1336"/>
      <c r="U126" s="1336">
        <f t="shared" si="207"/>
        <v>-18585.135799999996</v>
      </c>
      <c r="V126" s="1393">
        <f t="shared" si="208"/>
        <v>-100</v>
      </c>
      <c r="W126" s="1392">
        <v>28585.135799999996</v>
      </c>
      <c r="X126" s="1336"/>
      <c r="Y126" s="1336">
        <f t="shared" si="209"/>
        <v>-28585.135799999996</v>
      </c>
      <c r="Z126" s="1393">
        <f t="shared" si="210"/>
        <v>-100</v>
      </c>
      <c r="AA126" s="1392">
        <f t="shared" si="211"/>
        <v>28585.135799999996</v>
      </c>
      <c r="AB126" s="1336"/>
      <c r="AC126" s="1336">
        <f t="shared" si="212"/>
        <v>-28585.135799999996</v>
      </c>
      <c r="AD126" s="1393">
        <f t="shared" si="213"/>
        <v>-100</v>
      </c>
      <c r="AE126" s="1392">
        <f t="shared" si="214"/>
        <v>28585.135799999996</v>
      </c>
      <c r="AF126" s="1336"/>
      <c r="AG126" s="1336">
        <f t="shared" si="215"/>
        <v>-28585.135799999996</v>
      </c>
      <c r="AH126" s="1393">
        <f t="shared" si="216"/>
        <v>-100</v>
      </c>
      <c r="AI126" s="1392">
        <f t="shared" si="217"/>
        <v>28585.135799999996</v>
      </c>
      <c r="AJ126" s="1336"/>
      <c r="AK126" s="1336">
        <f t="shared" si="218"/>
        <v>-28585.135799999996</v>
      </c>
      <c r="AL126" s="1393">
        <f t="shared" si="219"/>
        <v>-100</v>
      </c>
      <c r="AM126" s="1392">
        <f t="shared" si="220"/>
        <v>28585.135799999996</v>
      </c>
      <c r="AN126" s="1336"/>
      <c r="AO126" s="1336">
        <f t="shared" si="221"/>
        <v>-28585.135799999996</v>
      </c>
      <c r="AP126" s="1393">
        <f t="shared" si="222"/>
        <v>-100</v>
      </c>
      <c r="AQ126" s="1392">
        <f t="shared" si="223"/>
        <v>28585.135799999996</v>
      </c>
      <c r="AR126" s="1336"/>
      <c r="AS126" s="1336">
        <f t="shared" si="224"/>
        <v>-28585.135799999996</v>
      </c>
      <c r="AT126" s="1393">
        <f t="shared" si="225"/>
        <v>-100</v>
      </c>
      <c r="AU126" s="1392">
        <f t="shared" si="226"/>
        <v>28585.135799999996</v>
      </c>
      <c r="AV126" s="1336"/>
      <c r="AW126" s="1336">
        <f t="shared" si="227"/>
        <v>-28585.135799999996</v>
      </c>
      <c r="AX126" s="1267">
        <f t="shared" si="228"/>
        <v>-100</v>
      </c>
      <c r="AY126" s="1226">
        <f t="shared" si="194"/>
        <v>293021.62959999993</v>
      </c>
      <c r="AZ126" s="1189">
        <f t="shared" si="194"/>
        <v>0</v>
      </c>
      <c r="BA126" s="334"/>
      <c r="BB126" s="1174"/>
    </row>
    <row r="127" spans="1:54" s="119" customFormat="1" ht="18" customHeight="1" x14ac:dyDescent="0.25">
      <c r="A127" s="170" t="s">
        <v>134</v>
      </c>
      <c r="B127" s="332" t="s">
        <v>70</v>
      </c>
      <c r="C127" s="1223">
        <v>392.41800000000001</v>
      </c>
      <c r="D127" s="1336"/>
      <c r="E127" s="1336">
        <f t="shared" si="195"/>
        <v>-392.41800000000001</v>
      </c>
      <c r="F127" s="1267">
        <f t="shared" si="196"/>
        <v>-100</v>
      </c>
      <c r="G127" s="1223">
        <f t="shared" si="197"/>
        <v>392.41800000000001</v>
      </c>
      <c r="H127" s="1336"/>
      <c r="I127" s="1336">
        <f t="shared" si="198"/>
        <v>-392.41800000000001</v>
      </c>
      <c r="J127" s="1393">
        <f t="shared" si="199"/>
        <v>-100</v>
      </c>
      <c r="K127" s="1392">
        <f t="shared" si="200"/>
        <v>392.41800000000001</v>
      </c>
      <c r="L127" s="1336"/>
      <c r="M127" s="1336">
        <f t="shared" si="201"/>
        <v>-392.41800000000001</v>
      </c>
      <c r="N127" s="1393">
        <f t="shared" si="202"/>
        <v>-100</v>
      </c>
      <c r="O127" s="1392">
        <f t="shared" si="203"/>
        <v>392.41800000000001</v>
      </c>
      <c r="P127" s="1336"/>
      <c r="Q127" s="1336">
        <f t="shared" si="204"/>
        <v>-392.41800000000001</v>
      </c>
      <c r="R127" s="1393">
        <f t="shared" si="205"/>
        <v>-100</v>
      </c>
      <c r="S127" s="1392">
        <f t="shared" si="206"/>
        <v>392.41800000000001</v>
      </c>
      <c r="T127" s="1336"/>
      <c r="U127" s="1336">
        <f t="shared" si="207"/>
        <v>-392.41800000000001</v>
      </c>
      <c r="V127" s="1393">
        <f t="shared" si="208"/>
        <v>-100</v>
      </c>
      <c r="W127" s="1392">
        <v>392.41800000000001</v>
      </c>
      <c r="X127" s="1336"/>
      <c r="Y127" s="1336">
        <f t="shared" si="209"/>
        <v>-392.41800000000001</v>
      </c>
      <c r="Z127" s="1393">
        <f t="shared" si="210"/>
        <v>-100</v>
      </c>
      <c r="AA127" s="1392">
        <f t="shared" si="211"/>
        <v>392.41800000000001</v>
      </c>
      <c r="AB127" s="1336"/>
      <c r="AC127" s="1336">
        <f t="shared" si="212"/>
        <v>-392.41800000000001</v>
      </c>
      <c r="AD127" s="1393">
        <f t="shared" si="213"/>
        <v>-100</v>
      </c>
      <c r="AE127" s="1392">
        <f t="shared" si="214"/>
        <v>392.41800000000001</v>
      </c>
      <c r="AF127" s="1336"/>
      <c r="AG127" s="1336">
        <f t="shared" si="215"/>
        <v>-392.41800000000001</v>
      </c>
      <c r="AH127" s="1393">
        <f t="shared" si="216"/>
        <v>-100</v>
      </c>
      <c r="AI127" s="1392">
        <f t="shared" si="217"/>
        <v>392.41800000000001</v>
      </c>
      <c r="AJ127" s="1336"/>
      <c r="AK127" s="1336">
        <f t="shared" si="218"/>
        <v>-392.41800000000001</v>
      </c>
      <c r="AL127" s="1393">
        <f t="shared" si="219"/>
        <v>-100</v>
      </c>
      <c r="AM127" s="1392">
        <f t="shared" si="220"/>
        <v>392.41800000000001</v>
      </c>
      <c r="AN127" s="1336"/>
      <c r="AO127" s="1336">
        <f t="shared" si="221"/>
        <v>-392.41800000000001</v>
      </c>
      <c r="AP127" s="1393">
        <f t="shared" si="222"/>
        <v>-100</v>
      </c>
      <c r="AQ127" s="1392">
        <f t="shared" si="223"/>
        <v>392.41800000000001</v>
      </c>
      <c r="AR127" s="1336"/>
      <c r="AS127" s="1336">
        <f t="shared" si="224"/>
        <v>-392.41800000000001</v>
      </c>
      <c r="AT127" s="1393">
        <f t="shared" si="225"/>
        <v>-100</v>
      </c>
      <c r="AU127" s="1392">
        <f t="shared" si="226"/>
        <v>392.41800000000001</v>
      </c>
      <c r="AV127" s="1336"/>
      <c r="AW127" s="1336">
        <f t="shared" si="227"/>
        <v>-392.41800000000001</v>
      </c>
      <c r="AX127" s="1267">
        <f t="shared" si="228"/>
        <v>-100</v>
      </c>
      <c r="AY127" s="1226">
        <f t="shared" si="194"/>
        <v>4709.0160000000005</v>
      </c>
      <c r="AZ127" s="1189">
        <f t="shared" si="194"/>
        <v>0</v>
      </c>
      <c r="BA127" s="334"/>
      <c r="BB127" s="1174"/>
    </row>
    <row r="128" spans="1:54" s="119" customFormat="1" ht="18" customHeight="1" x14ac:dyDescent="0.25">
      <c r="A128" s="170">
        <v>54164</v>
      </c>
      <c r="B128" s="332" t="s">
        <v>3779</v>
      </c>
      <c r="C128" s="1223">
        <v>13847.548000000001</v>
      </c>
      <c r="D128" s="1336"/>
      <c r="E128" s="1336">
        <f t="shared" si="195"/>
        <v>-13847.548000000001</v>
      </c>
      <c r="F128" s="1267">
        <f t="shared" si="196"/>
        <v>-100</v>
      </c>
      <c r="G128" s="1223">
        <f t="shared" si="197"/>
        <v>13847.548000000001</v>
      </c>
      <c r="H128" s="1336"/>
      <c r="I128" s="1336">
        <f t="shared" si="198"/>
        <v>-13847.548000000001</v>
      </c>
      <c r="J128" s="1393">
        <f t="shared" si="199"/>
        <v>-100</v>
      </c>
      <c r="K128" s="1392">
        <f t="shared" si="200"/>
        <v>13847.548000000001</v>
      </c>
      <c r="L128" s="1336"/>
      <c r="M128" s="1336">
        <f t="shared" si="201"/>
        <v>-13847.548000000001</v>
      </c>
      <c r="N128" s="1393">
        <f t="shared" si="202"/>
        <v>-100</v>
      </c>
      <c r="O128" s="1392">
        <f t="shared" si="203"/>
        <v>13847.548000000001</v>
      </c>
      <c r="P128" s="1336"/>
      <c r="Q128" s="1336">
        <f t="shared" si="204"/>
        <v>-13847.548000000001</v>
      </c>
      <c r="R128" s="1393">
        <f t="shared" si="205"/>
        <v>-100</v>
      </c>
      <c r="S128" s="1392">
        <f t="shared" si="206"/>
        <v>13847.548000000001</v>
      </c>
      <c r="T128" s="1336"/>
      <c r="U128" s="1336">
        <f t="shared" si="207"/>
        <v>-13847.548000000001</v>
      </c>
      <c r="V128" s="1393">
        <f t="shared" si="208"/>
        <v>-100</v>
      </c>
      <c r="W128" s="1392">
        <v>13847.548000000001</v>
      </c>
      <c r="X128" s="1336"/>
      <c r="Y128" s="1336">
        <f t="shared" si="209"/>
        <v>-13847.548000000001</v>
      </c>
      <c r="Z128" s="1393">
        <f t="shared" si="210"/>
        <v>-100</v>
      </c>
      <c r="AA128" s="1392">
        <f t="shared" si="211"/>
        <v>13847.548000000001</v>
      </c>
      <c r="AB128" s="1336"/>
      <c r="AC128" s="1336">
        <f t="shared" si="212"/>
        <v>-13847.548000000001</v>
      </c>
      <c r="AD128" s="1393">
        <f t="shared" si="213"/>
        <v>-100</v>
      </c>
      <c r="AE128" s="1392">
        <f t="shared" si="214"/>
        <v>13847.548000000001</v>
      </c>
      <c r="AF128" s="1336"/>
      <c r="AG128" s="1336">
        <f t="shared" si="215"/>
        <v>-13847.548000000001</v>
      </c>
      <c r="AH128" s="1393">
        <f t="shared" si="216"/>
        <v>-100</v>
      </c>
      <c r="AI128" s="1392">
        <f t="shared" si="217"/>
        <v>13847.548000000001</v>
      </c>
      <c r="AJ128" s="1336"/>
      <c r="AK128" s="1336">
        <f t="shared" si="218"/>
        <v>-13847.548000000001</v>
      </c>
      <c r="AL128" s="1393">
        <f t="shared" si="219"/>
        <v>-100</v>
      </c>
      <c r="AM128" s="1392">
        <f t="shared" si="220"/>
        <v>13847.548000000001</v>
      </c>
      <c r="AN128" s="1336"/>
      <c r="AO128" s="1336">
        <f t="shared" si="221"/>
        <v>-13847.548000000001</v>
      </c>
      <c r="AP128" s="1393">
        <f t="shared" si="222"/>
        <v>-100</v>
      </c>
      <c r="AQ128" s="1392">
        <f t="shared" si="223"/>
        <v>13847.548000000001</v>
      </c>
      <c r="AR128" s="1336"/>
      <c r="AS128" s="1336">
        <f t="shared" si="224"/>
        <v>-13847.548000000001</v>
      </c>
      <c r="AT128" s="1393">
        <f t="shared" si="225"/>
        <v>-100</v>
      </c>
      <c r="AU128" s="1392">
        <f t="shared" si="226"/>
        <v>13847.548000000001</v>
      </c>
      <c r="AV128" s="1336"/>
      <c r="AW128" s="1336">
        <f t="shared" si="227"/>
        <v>-13847.548000000001</v>
      </c>
      <c r="AX128" s="1267">
        <f t="shared" si="228"/>
        <v>-100</v>
      </c>
      <c r="AY128" s="1226">
        <f t="shared" si="194"/>
        <v>166170.576</v>
      </c>
      <c r="AZ128" s="1189">
        <f t="shared" si="194"/>
        <v>0</v>
      </c>
      <c r="BA128" s="334"/>
      <c r="BB128" s="1174"/>
    </row>
    <row r="129" spans="1:54" s="119" customFormat="1" ht="18" customHeight="1" x14ac:dyDescent="0.25">
      <c r="A129" s="170">
        <v>54554</v>
      </c>
      <c r="B129" s="332" t="s">
        <v>3707</v>
      </c>
      <c r="C129" s="1223">
        <v>300130.24420000002</v>
      </c>
      <c r="D129" s="1336"/>
      <c r="E129" s="1336">
        <f t="shared" si="195"/>
        <v>-300130.24420000002</v>
      </c>
      <c r="F129" s="1267">
        <f t="shared" si="196"/>
        <v>-100</v>
      </c>
      <c r="G129" s="1223">
        <f t="shared" si="197"/>
        <v>300130.24420000002</v>
      </c>
      <c r="H129" s="1336"/>
      <c r="I129" s="1336">
        <f t="shared" si="198"/>
        <v>-300130.24420000002</v>
      </c>
      <c r="J129" s="1393">
        <f t="shared" si="199"/>
        <v>-100</v>
      </c>
      <c r="K129" s="1392">
        <f t="shared" si="200"/>
        <v>300130.24420000002</v>
      </c>
      <c r="L129" s="1336"/>
      <c r="M129" s="1336">
        <f t="shared" si="201"/>
        <v>-300130.24420000002</v>
      </c>
      <c r="N129" s="1393">
        <f t="shared" si="202"/>
        <v>-100</v>
      </c>
      <c r="O129" s="1392">
        <f t="shared" si="203"/>
        <v>300130.24420000002</v>
      </c>
      <c r="P129" s="1336"/>
      <c r="Q129" s="1336">
        <f t="shared" si="204"/>
        <v>-300130.24420000002</v>
      </c>
      <c r="R129" s="1393">
        <f t="shared" si="205"/>
        <v>-100</v>
      </c>
      <c r="S129" s="1392">
        <f t="shared" si="206"/>
        <v>300130.24420000002</v>
      </c>
      <c r="T129" s="1336"/>
      <c r="U129" s="1336">
        <f t="shared" si="207"/>
        <v>-300130.24420000002</v>
      </c>
      <c r="V129" s="1393">
        <f t="shared" si="208"/>
        <v>-100</v>
      </c>
      <c r="W129" s="1392">
        <v>320130.24420000002</v>
      </c>
      <c r="X129" s="1336"/>
      <c r="Y129" s="1336">
        <f t="shared" si="209"/>
        <v>-320130.24420000002</v>
      </c>
      <c r="Z129" s="1393">
        <f t="shared" si="210"/>
        <v>-100</v>
      </c>
      <c r="AA129" s="1392">
        <f t="shared" si="211"/>
        <v>320130.24420000002</v>
      </c>
      <c r="AB129" s="1336"/>
      <c r="AC129" s="1336">
        <f t="shared" si="212"/>
        <v>-320130.24420000002</v>
      </c>
      <c r="AD129" s="1393">
        <f t="shared" si="213"/>
        <v>-100</v>
      </c>
      <c r="AE129" s="1392">
        <f t="shared" si="214"/>
        <v>320130.24420000002</v>
      </c>
      <c r="AF129" s="1336"/>
      <c r="AG129" s="1336">
        <f t="shared" si="215"/>
        <v>-320130.24420000002</v>
      </c>
      <c r="AH129" s="1393">
        <f t="shared" si="216"/>
        <v>-100</v>
      </c>
      <c r="AI129" s="1392">
        <f t="shared" si="217"/>
        <v>320130.24420000002</v>
      </c>
      <c r="AJ129" s="1336"/>
      <c r="AK129" s="1336">
        <f t="shared" si="218"/>
        <v>-320130.24420000002</v>
      </c>
      <c r="AL129" s="1393">
        <f t="shared" si="219"/>
        <v>-100</v>
      </c>
      <c r="AM129" s="1392">
        <f t="shared" si="220"/>
        <v>320130.24420000002</v>
      </c>
      <c r="AN129" s="1336"/>
      <c r="AO129" s="1336">
        <f t="shared" si="221"/>
        <v>-320130.24420000002</v>
      </c>
      <c r="AP129" s="1393">
        <f t="shared" si="222"/>
        <v>-100</v>
      </c>
      <c r="AQ129" s="1392">
        <f t="shared" si="223"/>
        <v>320130.24420000002</v>
      </c>
      <c r="AR129" s="1336"/>
      <c r="AS129" s="1336">
        <f t="shared" si="224"/>
        <v>-320130.24420000002</v>
      </c>
      <c r="AT129" s="1393">
        <f t="shared" si="225"/>
        <v>-100</v>
      </c>
      <c r="AU129" s="1392">
        <f t="shared" si="226"/>
        <v>320130.24420000002</v>
      </c>
      <c r="AV129" s="1336"/>
      <c r="AW129" s="1336">
        <f t="shared" si="227"/>
        <v>-320130.24420000002</v>
      </c>
      <c r="AX129" s="1267">
        <f t="shared" si="228"/>
        <v>-100</v>
      </c>
      <c r="AY129" s="1226">
        <f t="shared" si="194"/>
        <v>3741562.9304000004</v>
      </c>
      <c r="AZ129" s="1189">
        <f t="shared" si="194"/>
        <v>0</v>
      </c>
      <c r="BA129" s="334"/>
      <c r="BB129" s="1174"/>
    </row>
    <row r="130" spans="1:54" s="119" customFormat="1" ht="18" customHeight="1" x14ac:dyDescent="0.25">
      <c r="A130" s="170">
        <v>12299</v>
      </c>
      <c r="B130" s="332" t="s">
        <v>71</v>
      </c>
      <c r="C130" s="1223">
        <v>741399.55920000002</v>
      </c>
      <c r="D130" s="1336"/>
      <c r="E130" s="1336">
        <f t="shared" si="195"/>
        <v>-741399.55920000002</v>
      </c>
      <c r="F130" s="1267">
        <f t="shared" si="196"/>
        <v>-100</v>
      </c>
      <c r="G130" s="1223">
        <f t="shared" si="197"/>
        <v>741399.55920000002</v>
      </c>
      <c r="H130" s="1336"/>
      <c r="I130" s="1336">
        <f t="shared" si="198"/>
        <v>-741399.55920000002</v>
      </c>
      <c r="J130" s="1393">
        <f t="shared" si="199"/>
        <v>-100</v>
      </c>
      <c r="K130" s="1392">
        <f t="shared" si="200"/>
        <v>741399.55920000002</v>
      </c>
      <c r="L130" s="1336"/>
      <c r="M130" s="1336">
        <f t="shared" si="201"/>
        <v>-741399.55920000002</v>
      </c>
      <c r="N130" s="1393">
        <f t="shared" si="202"/>
        <v>-100</v>
      </c>
      <c r="O130" s="1392">
        <f t="shared" si="203"/>
        <v>741399.55920000002</v>
      </c>
      <c r="P130" s="1336"/>
      <c r="Q130" s="1336">
        <f t="shared" si="204"/>
        <v>-741399.55920000002</v>
      </c>
      <c r="R130" s="1393">
        <f t="shared" si="205"/>
        <v>-100</v>
      </c>
      <c r="S130" s="1392">
        <f t="shared" si="206"/>
        <v>741399.55920000002</v>
      </c>
      <c r="T130" s="1336"/>
      <c r="U130" s="1336">
        <f t="shared" si="207"/>
        <v>-741399.55920000002</v>
      </c>
      <c r="V130" s="1393">
        <f t="shared" si="208"/>
        <v>-100</v>
      </c>
      <c r="W130" s="1392">
        <v>808200</v>
      </c>
      <c r="X130" s="1336"/>
      <c r="Y130" s="1336">
        <f t="shared" si="209"/>
        <v>-808200</v>
      </c>
      <c r="Z130" s="1393">
        <f t="shared" si="210"/>
        <v>-100</v>
      </c>
      <c r="AA130" s="1392">
        <v>808300</v>
      </c>
      <c r="AB130" s="1336"/>
      <c r="AC130" s="1336">
        <f t="shared" si="212"/>
        <v>-808300</v>
      </c>
      <c r="AD130" s="1393">
        <f t="shared" si="213"/>
        <v>-100</v>
      </c>
      <c r="AE130" s="1392">
        <v>808300</v>
      </c>
      <c r="AF130" s="1336"/>
      <c r="AG130" s="1336">
        <f t="shared" si="215"/>
        <v>-808300</v>
      </c>
      <c r="AH130" s="1393">
        <f t="shared" si="216"/>
        <v>-100</v>
      </c>
      <c r="AI130" s="1392">
        <v>808300</v>
      </c>
      <c r="AJ130" s="1336"/>
      <c r="AK130" s="1336">
        <f t="shared" si="218"/>
        <v>-808300</v>
      </c>
      <c r="AL130" s="1393">
        <f t="shared" si="219"/>
        <v>-100</v>
      </c>
      <c r="AM130" s="1392">
        <f t="shared" si="220"/>
        <v>808300</v>
      </c>
      <c r="AN130" s="1336"/>
      <c r="AO130" s="1336">
        <f t="shared" si="221"/>
        <v>-808300</v>
      </c>
      <c r="AP130" s="1393">
        <f t="shared" si="222"/>
        <v>-100</v>
      </c>
      <c r="AQ130" s="1392">
        <f t="shared" si="223"/>
        <v>808300</v>
      </c>
      <c r="AR130" s="1336"/>
      <c r="AS130" s="1336">
        <f t="shared" si="224"/>
        <v>-808300</v>
      </c>
      <c r="AT130" s="1393">
        <f t="shared" si="225"/>
        <v>-100</v>
      </c>
      <c r="AU130" s="1392">
        <f>AQ130</f>
        <v>808300</v>
      </c>
      <c r="AV130" s="1336"/>
      <c r="AW130" s="1336">
        <f t="shared" si="227"/>
        <v>-808300</v>
      </c>
      <c r="AX130" s="1267">
        <f t="shared" si="228"/>
        <v>-100</v>
      </c>
      <c r="AY130" s="1226">
        <f t="shared" si="194"/>
        <v>9364997.7960000001</v>
      </c>
      <c r="AZ130" s="1189">
        <f t="shared" si="194"/>
        <v>0</v>
      </c>
      <c r="BA130" s="805"/>
      <c r="BB130" s="1174"/>
    </row>
    <row r="131" spans="1:54" s="119" customFormat="1" ht="18" customHeight="1" x14ac:dyDescent="0.25">
      <c r="A131" s="170">
        <v>11605</v>
      </c>
      <c r="B131" s="332" t="s">
        <v>74</v>
      </c>
      <c r="C131" s="1223">
        <v>93000</v>
      </c>
      <c r="D131" s="1336"/>
      <c r="E131" s="1336">
        <f t="shared" si="195"/>
        <v>-93000</v>
      </c>
      <c r="F131" s="1267">
        <f t="shared" si="196"/>
        <v>-100</v>
      </c>
      <c r="G131" s="1223">
        <f t="shared" si="197"/>
        <v>93000</v>
      </c>
      <c r="H131" s="1336"/>
      <c r="I131" s="1336">
        <f t="shared" si="198"/>
        <v>-93000</v>
      </c>
      <c r="J131" s="1393">
        <f t="shared" si="199"/>
        <v>-100</v>
      </c>
      <c r="K131" s="1392">
        <f t="shared" si="200"/>
        <v>93000</v>
      </c>
      <c r="L131" s="1336"/>
      <c r="M131" s="1336">
        <f t="shared" si="201"/>
        <v>-93000</v>
      </c>
      <c r="N131" s="1393">
        <f t="shared" si="202"/>
        <v>-100</v>
      </c>
      <c r="O131" s="1392">
        <f t="shared" si="203"/>
        <v>93000</v>
      </c>
      <c r="P131" s="1336"/>
      <c r="Q131" s="1336">
        <f t="shared" si="204"/>
        <v>-93000</v>
      </c>
      <c r="R131" s="1393">
        <f t="shared" si="205"/>
        <v>-100</v>
      </c>
      <c r="S131" s="1392">
        <f t="shared" si="206"/>
        <v>93000</v>
      </c>
      <c r="T131" s="1336"/>
      <c r="U131" s="1336">
        <f t="shared" si="207"/>
        <v>-93000</v>
      </c>
      <c r="V131" s="1393">
        <f t="shared" si="208"/>
        <v>-100</v>
      </c>
      <c r="W131" s="1392">
        <v>93000</v>
      </c>
      <c r="X131" s="1336"/>
      <c r="Y131" s="1336">
        <f t="shared" si="209"/>
        <v>-93000</v>
      </c>
      <c r="Z131" s="1393">
        <f t="shared" si="210"/>
        <v>-100</v>
      </c>
      <c r="AA131" s="1392">
        <f t="shared" ref="AA131:AA142" si="229">W131</f>
        <v>93000</v>
      </c>
      <c r="AB131" s="1336"/>
      <c r="AC131" s="1336">
        <f t="shared" si="212"/>
        <v>-93000</v>
      </c>
      <c r="AD131" s="1393">
        <f t="shared" si="213"/>
        <v>-100</v>
      </c>
      <c r="AE131" s="1392">
        <f t="shared" ref="AE131:AE142" si="230">AA131</f>
        <v>93000</v>
      </c>
      <c r="AF131" s="1336"/>
      <c r="AG131" s="1336">
        <f t="shared" si="215"/>
        <v>-93000</v>
      </c>
      <c r="AH131" s="1393">
        <f t="shared" si="216"/>
        <v>-100</v>
      </c>
      <c r="AI131" s="1392">
        <f t="shared" ref="AI131:AI142" si="231">AE131</f>
        <v>93000</v>
      </c>
      <c r="AJ131" s="1336"/>
      <c r="AK131" s="1336">
        <f t="shared" si="218"/>
        <v>-93000</v>
      </c>
      <c r="AL131" s="1393">
        <f t="shared" si="219"/>
        <v>-100</v>
      </c>
      <c r="AM131" s="1392">
        <f t="shared" si="220"/>
        <v>93000</v>
      </c>
      <c r="AN131" s="1336"/>
      <c r="AO131" s="1336">
        <f t="shared" si="221"/>
        <v>-93000</v>
      </c>
      <c r="AP131" s="1393">
        <f t="shared" si="222"/>
        <v>-100</v>
      </c>
      <c r="AQ131" s="1392">
        <f t="shared" si="223"/>
        <v>93000</v>
      </c>
      <c r="AR131" s="1336"/>
      <c r="AS131" s="1336">
        <f t="shared" si="224"/>
        <v>-93000</v>
      </c>
      <c r="AT131" s="1393">
        <f t="shared" si="225"/>
        <v>-100</v>
      </c>
      <c r="AU131" s="1392">
        <f t="shared" si="226"/>
        <v>93000</v>
      </c>
      <c r="AV131" s="1336"/>
      <c r="AW131" s="1336">
        <f t="shared" si="227"/>
        <v>-93000</v>
      </c>
      <c r="AX131" s="1267">
        <f t="shared" si="228"/>
        <v>-100</v>
      </c>
      <c r="AY131" s="1226">
        <f t="shared" si="194"/>
        <v>1116000</v>
      </c>
      <c r="AZ131" s="1189">
        <f t="shared" si="194"/>
        <v>0</v>
      </c>
      <c r="BA131" s="334"/>
      <c r="BB131" s="1174"/>
    </row>
    <row r="132" spans="1:54" s="119" customFormat="1" ht="18" customHeight="1" x14ac:dyDescent="0.25">
      <c r="A132" s="170">
        <v>12297</v>
      </c>
      <c r="B132" s="332" t="s">
        <v>200</v>
      </c>
      <c r="C132" s="1223">
        <v>70725.574399999998</v>
      </c>
      <c r="D132" s="1336"/>
      <c r="E132" s="1336">
        <f t="shared" si="195"/>
        <v>-70725.574399999998</v>
      </c>
      <c r="F132" s="1267">
        <f t="shared" si="196"/>
        <v>-100</v>
      </c>
      <c r="G132" s="1223">
        <f t="shared" si="197"/>
        <v>70725.574399999998</v>
      </c>
      <c r="H132" s="1336"/>
      <c r="I132" s="1336">
        <f t="shared" si="198"/>
        <v>-70725.574399999998</v>
      </c>
      <c r="J132" s="1393">
        <f t="shared" si="199"/>
        <v>-100</v>
      </c>
      <c r="K132" s="1392">
        <f t="shared" si="200"/>
        <v>70725.574399999998</v>
      </c>
      <c r="L132" s="1336"/>
      <c r="M132" s="1336">
        <f t="shared" si="201"/>
        <v>-70725.574399999998</v>
      </c>
      <c r="N132" s="1393">
        <f t="shared" si="202"/>
        <v>-100</v>
      </c>
      <c r="O132" s="1392">
        <f t="shared" si="203"/>
        <v>70725.574399999998</v>
      </c>
      <c r="P132" s="1336"/>
      <c r="Q132" s="1336">
        <f t="shared" si="204"/>
        <v>-70725.574399999998</v>
      </c>
      <c r="R132" s="1393">
        <f t="shared" si="205"/>
        <v>-100</v>
      </c>
      <c r="S132" s="1392">
        <f t="shared" si="206"/>
        <v>70725.574399999998</v>
      </c>
      <c r="T132" s="1336"/>
      <c r="U132" s="1336">
        <f t="shared" si="207"/>
        <v>-70725.574399999998</v>
      </c>
      <c r="V132" s="1393">
        <f t="shared" si="208"/>
        <v>-100</v>
      </c>
      <c r="W132" s="1392">
        <v>70725.574399999998</v>
      </c>
      <c r="X132" s="1336"/>
      <c r="Y132" s="1336">
        <f t="shared" si="209"/>
        <v>-70725.574399999998</v>
      </c>
      <c r="Z132" s="1393">
        <f t="shared" si="210"/>
        <v>-100</v>
      </c>
      <c r="AA132" s="1392">
        <f t="shared" si="229"/>
        <v>70725.574399999998</v>
      </c>
      <c r="AB132" s="1336"/>
      <c r="AC132" s="1336">
        <f t="shared" si="212"/>
        <v>-70725.574399999998</v>
      </c>
      <c r="AD132" s="1393">
        <f t="shared" si="213"/>
        <v>-100</v>
      </c>
      <c r="AE132" s="1392">
        <f t="shared" si="230"/>
        <v>70725.574399999998</v>
      </c>
      <c r="AF132" s="1336"/>
      <c r="AG132" s="1336">
        <f t="shared" si="215"/>
        <v>-70725.574399999998</v>
      </c>
      <c r="AH132" s="1393">
        <f t="shared" si="216"/>
        <v>-100</v>
      </c>
      <c r="AI132" s="1392">
        <f t="shared" si="231"/>
        <v>70725.574399999998</v>
      </c>
      <c r="AJ132" s="1336"/>
      <c r="AK132" s="1336">
        <f t="shared" si="218"/>
        <v>-70725.574399999998</v>
      </c>
      <c r="AL132" s="1393">
        <f t="shared" si="219"/>
        <v>-100</v>
      </c>
      <c r="AM132" s="1392">
        <f t="shared" si="220"/>
        <v>70725.574399999998</v>
      </c>
      <c r="AN132" s="1336"/>
      <c r="AO132" s="1336">
        <f t="shared" si="221"/>
        <v>-70725.574399999998</v>
      </c>
      <c r="AP132" s="1393">
        <f t="shared" si="222"/>
        <v>-100</v>
      </c>
      <c r="AQ132" s="1392">
        <f t="shared" si="223"/>
        <v>70725.574399999998</v>
      </c>
      <c r="AR132" s="1336"/>
      <c r="AS132" s="1336">
        <f t="shared" si="224"/>
        <v>-70725.574399999998</v>
      </c>
      <c r="AT132" s="1393">
        <f t="shared" si="225"/>
        <v>-100</v>
      </c>
      <c r="AU132" s="1392">
        <f t="shared" si="226"/>
        <v>70725.574399999998</v>
      </c>
      <c r="AV132" s="1336"/>
      <c r="AW132" s="1336">
        <f t="shared" si="227"/>
        <v>-70725.574399999998</v>
      </c>
      <c r="AX132" s="1267">
        <f t="shared" si="228"/>
        <v>-100</v>
      </c>
      <c r="AY132" s="1226">
        <f t="shared" si="194"/>
        <v>848706.89280000015</v>
      </c>
      <c r="AZ132" s="1189">
        <f t="shared" si="194"/>
        <v>0</v>
      </c>
      <c r="BA132" s="334"/>
      <c r="BB132" s="1174"/>
    </row>
    <row r="133" spans="1:54" s="119" customFormat="1" ht="18" customHeight="1" x14ac:dyDescent="0.25">
      <c r="A133" s="170">
        <v>12333</v>
      </c>
      <c r="B133" s="332" t="s">
        <v>75</v>
      </c>
      <c r="C133" s="1223">
        <v>42271.244599999998</v>
      </c>
      <c r="D133" s="1336"/>
      <c r="E133" s="1336">
        <f t="shared" si="195"/>
        <v>-42271.244599999998</v>
      </c>
      <c r="F133" s="1267">
        <f t="shared" si="196"/>
        <v>-100</v>
      </c>
      <c r="G133" s="1223">
        <f t="shared" si="197"/>
        <v>42271.244599999998</v>
      </c>
      <c r="H133" s="1336"/>
      <c r="I133" s="1336">
        <f t="shared" si="198"/>
        <v>-42271.244599999998</v>
      </c>
      <c r="J133" s="1393">
        <f t="shared" si="199"/>
        <v>-100</v>
      </c>
      <c r="K133" s="1392">
        <f t="shared" si="200"/>
        <v>42271.244599999998</v>
      </c>
      <c r="L133" s="1336"/>
      <c r="M133" s="1336">
        <f t="shared" si="201"/>
        <v>-42271.244599999998</v>
      </c>
      <c r="N133" s="1393">
        <f t="shared" si="202"/>
        <v>-100</v>
      </c>
      <c r="O133" s="1392">
        <f t="shared" si="203"/>
        <v>42271.244599999998</v>
      </c>
      <c r="P133" s="1336"/>
      <c r="Q133" s="1336">
        <f t="shared" si="204"/>
        <v>-42271.244599999998</v>
      </c>
      <c r="R133" s="1393">
        <f t="shared" si="205"/>
        <v>-100</v>
      </c>
      <c r="S133" s="1392">
        <f t="shared" si="206"/>
        <v>42271.244599999998</v>
      </c>
      <c r="T133" s="1336"/>
      <c r="U133" s="1336">
        <f t="shared" si="207"/>
        <v>-42271.244599999998</v>
      </c>
      <c r="V133" s="1393">
        <f t="shared" si="208"/>
        <v>-100</v>
      </c>
      <c r="W133" s="1392">
        <v>42271.244599999998</v>
      </c>
      <c r="X133" s="1336"/>
      <c r="Y133" s="1336">
        <f t="shared" si="209"/>
        <v>-42271.244599999998</v>
      </c>
      <c r="Z133" s="1393">
        <f t="shared" si="210"/>
        <v>-100</v>
      </c>
      <c r="AA133" s="1392">
        <f t="shared" si="229"/>
        <v>42271.244599999998</v>
      </c>
      <c r="AB133" s="1336"/>
      <c r="AC133" s="1336">
        <f t="shared" si="212"/>
        <v>-42271.244599999998</v>
      </c>
      <c r="AD133" s="1393">
        <f t="shared" si="213"/>
        <v>-100</v>
      </c>
      <c r="AE133" s="1392">
        <f t="shared" si="230"/>
        <v>42271.244599999998</v>
      </c>
      <c r="AF133" s="1336"/>
      <c r="AG133" s="1336">
        <f t="shared" si="215"/>
        <v>-42271.244599999998</v>
      </c>
      <c r="AH133" s="1393">
        <f t="shared" si="216"/>
        <v>-100</v>
      </c>
      <c r="AI133" s="1392">
        <f t="shared" si="231"/>
        <v>42271.244599999998</v>
      </c>
      <c r="AJ133" s="1336"/>
      <c r="AK133" s="1336">
        <f t="shared" si="218"/>
        <v>-42271.244599999998</v>
      </c>
      <c r="AL133" s="1393">
        <f t="shared" si="219"/>
        <v>-100</v>
      </c>
      <c r="AM133" s="1392">
        <f t="shared" si="220"/>
        <v>42271.244599999998</v>
      </c>
      <c r="AN133" s="1336"/>
      <c r="AO133" s="1336">
        <f t="shared" si="221"/>
        <v>-42271.244599999998</v>
      </c>
      <c r="AP133" s="1393">
        <f t="shared" si="222"/>
        <v>-100</v>
      </c>
      <c r="AQ133" s="1392">
        <f t="shared" si="223"/>
        <v>42271.244599999998</v>
      </c>
      <c r="AR133" s="1336"/>
      <c r="AS133" s="1336">
        <f t="shared" si="224"/>
        <v>-42271.244599999998</v>
      </c>
      <c r="AT133" s="1393">
        <f t="shared" si="225"/>
        <v>-100</v>
      </c>
      <c r="AU133" s="1392">
        <f t="shared" si="226"/>
        <v>42271.244599999998</v>
      </c>
      <c r="AV133" s="1336"/>
      <c r="AW133" s="1336">
        <f t="shared" si="227"/>
        <v>-42271.244599999998</v>
      </c>
      <c r="AX133" s="1267">
        <f t="shared" si="228"/>
        <v>-100</v>
      </c>
      <c r="AY133" s="1226">
        <f t="shared" si="194"/>
        <v>507254.93519999989</v>
      </c>
      <c r="AZ133" s="1189">
        <f t="shared" si="194"/>
        <v>0</v>
      </c>
      <c r="BA133" s="334"/>
      <c r="BB133" s="1174"/>
    </row>
    <row r="134" spans="1:54" s="119" customFormat="1" ht="18" customHeight="1" x14ac:dyDescent="0.25">
      <c r="A134" s="170">
        <v>12331</v>
      </c>
      <c r="B134" s="332" t="s">
        <v>76</v>
      </c>
      <c r="C134" s="1223">
        <v>179045.315</v>
      </c>
      <c r="D134" s="1336"/>
      <c r="E134" s="1336">
        <f t="shared" si="195"/>
        <v>-179045.315</v>
      </c>
      <c r="F134" s="1267">
        <f t="shared" si="196"/>
        <v>-100</v>
      </c>
      <c r="G134" s="1223">
        <f t="shared" si="197"/>
        <v>179045.315</v>
      </c>
      <c r="H134" s="1336"/>
      <c r="I134" s="1336">
        <f t="shared" si="198"/>
        <v>-179045.315</v>
      </c>
      <c r="J134" s="1393">
        <f t="shared" si="199"/>
        <v>-100</v>
      </c>
      <c r="K134" s="1392">
        <f t="shared" si="200"/>
        <v>179045.315</v>
      </c>
      <c r="L134" s="1336"/>
      <c r="M134" s="1336">
        <f t="shared" si="201"/>
        <v>-179045.315</v>
      </c>
      <c r="N134" s="1393">
        <f t="shared" si="202"/>
        <v>-100</v>
      </c>
      <c r="O134" s="1392">
        <f t="shared" si="203"/>
        <v>179045.315</v>
      </c>
      <c r="P134" s="1336"/>
      <c r="Q134" s="1336">
        <f t="shared" si="204"/>
        <v>-179045.315</v>
      </c>
      <c r="R134" s="1393">
        <f t="shared" si="205"/>
        <v>-100</v>
      </c>
      <c r="S134" s="1392">
        <f t="shared" si="206"/>
        <v>179045.315</v>
      </c>
      <c r="T134" s="1336"/>
      <c r="U134" s="1336">
        <f t="shared" si="207"/>
        <v>-179045.315</v>
      </c>
      <c r="V134" s="1393">
        <f t="shared" si="208"/>
        <v>-100</v>
      </c>
      <c r="W134" s="1392">
        <v>198045.315</v>
      </c>
      <c r="X134" s="1336"/>
      <c r="Y134" s="1336">
        <f t="shared" si="209"/>
        <v>-198045.315</v>
      </c>
      <c r="Z134" s="1393">
        <f t="shared" si="210"/>
        <v>-100</v>
      </c>
      <c r="AA134" s="1392">
        <f t="shared" si="229"/>
        <v>198045.315</v>
      </c>
      <c r="AB134" s="1336"/>
      <c r="AC134" s="1336">
        <f t="shared" si="212"/>
        <v>-198045.315</v>
      </c>
      <c r="AD134" s="1393">
        <f t="shared" si="213"/>
        <v>-100</v>
      </c>
      <c r="AE134" s="1392">
        <f t="shared" si="230"/>
        <v>198045.315</v>
      </c>
      <c r="AF134" s="1336"/>
      <c r="AG134" s="1336">
        <f t="shared" si="215"/>
        <v>-198045.315</v>
      </c>
      <c r="AH134" s="1393">
        <f t="shared" si="216"/>
        <v>-100</v>
      </c>
      <c r="AI134" s="1392">
        <f t="shared" si="231"/>
        <v>198045.315</v>
      </c>
      <c r="AJ134" s="1336"/>
      <c r="AK134" s="1336">
        <f t="shared" si="218"/>
        <v>-198045.315</v>
      </c>
      <c r="AL134" s="1393">
        <f t="shared" si="219"/>
        <v>-100</v>
      </c>
      <c r="AM134" s="1392">
        <f t="shared" si="220"/>
        <v>198045.315</v>
      </c>
      <c r="AN134" s="1336"/>
      <c r="AO134" s="1336">
        <f t="shared" si="221"/>
        <v>-198045.315</v>
      </c>
      <c r="AP134" s="1393">
        <f t="shared" si="222"/>
        <v>-100</v>
      </c>
      <c r="AQ134" s="1392">
        <f t="shared" si="223"/>
        <v>198045.315</v>
      </c>
      <c r="AR134" s="1336"/>
      <c r="AS134" s="1336">
        <f t="shared" si="224"/>
        <v>-198045.315</v>
      </c>
      <c r="AT134" s="1393">
        <f t="shared" si="225"/>
        <v>-100</v>
      </c>
      <c r="AU134" s="1392">
        <f t="shared" si="226"/>
        <v>198045.315</v>
      </c>
      <c r="AV134" s="1336"/>
      <c r="AW134" s="1336">
        <f t="shared" si="227"/>
        <v>-198045.315</v>
      </c>
      <c r="AX134" s="1267">
        <f t="shared" si="228"/>
        <v>-100</v>
      </c>
      <c r="AY134" s="1226">
        <f t="shared" si="194"/>
        <v>2281543.7799999998</v>
      </c>
      <c r="AZ134" s="1189">
        <f t="shared" si="194"/>
        <v>0</v>
      </c>
      <c r="BA134" s="334"/>
      <c r="BB134" s="1174"/>
    </row>
    <row r="135" spans="1:54" s="119" customFormat="1" ht="18" customHeight="1" x14ac:dyDescent="0.25">
      <c r="A135" s="170">
        <v>12301</v>
      </c>
      <c r="B135" s="332" t="s">
        <v>72</v>
      </c>
      <c r="C135" s="1223">
        <v>1979930.9632000001</v>
      </c>
      <c r="D135" s="1336"/>
      <c r="E135" s="1336">
        <f t="shared" si="195"/>
        <v>-1979930.9632000001</v>
      </c>
      <c r="F135" s="1267">
        <f t="shared" si="196"/>
        <v>-100</v>
      </c>
      <c r="G135" s="1223">
        <f t="shared" si="197"/>
        <v>1979930.9632000001</v>
      </c>
      <c r="H135" s="1336"/>
      <c r="I135" s="1336">
        <f t="shared" si="198"/>
        <v>-1979930.9632000001</v>
      </c>
      <c r="J135" s="1393">
        <f t="shared" si="199"/>
        <v>-100</v>
      </c>
      <c r="K135" s="1392">
        <f t="shared" si="200"/>
        <v>1979930.9632000001</v>
      </c>
      <c r="L135" s="1336"/>
      <c r="M135" s="1336">
        <f t="shared" si="201"/>
        <v>-1979930.9632000001</v>
      </c>
      <c r="N135" s="1393">
        <f t="shared" si="202"/>
        <v>-100</v>
      </c>
      <c r="O135" s="1392">
        <f t="shared" si="203"/>
        <v>1979930.9632000001</v>
      </c>
      <c r="P135" s="1336"/>
      <c r="Q135" s="1336">
        <f t="shared" si="204"/>
        <v>-1979930.9632000001</v>
      </c>
      <c r="R135" s="1393">
        <f t="shared" si="205"/>
        <v>-100</v>
      </c>
      <c r="S135" s="1392">
        <f t="shared" si="206"/>
        <v>1979930.9632000001</v>
      </c>
      <c r="T135" s="1336"/>
      <c r="U135" s="1336">
        <f t="shared" si="207"/>
        <v>-1979930.9632000001</v>
      </c>
      <c r="V135" s="1393">
        <f t="shared" si="208"/>
        <v>-100</v>
      </c>
      <c r="W135" s="1392">
        <v>2100000</v>
      </c>
      <c r="X135" s="1336"/>
      <c r="Y135" s="1336">
        <f t="shared" si="209"/>
        <v>-2100000</v>
      </c>
      <c r="Z135" s="1393">
        <f t="shared" si="210"/>
        <v>-100</v>
      </c>
      <c r="AA135" s="1392">
        <f t="shared" si="229"/>
        <v>2100000</v>
      </c>
      <c r="AB135" s="1336"/>
      <c r="AC135" s="1336">
        <f t="shared" si="212"/>
        <v>-2100000</v>
      </c>
      <c r="AD135" s="1393">
        <f t="shared" si="213"/>
        <v>-100</v>
      </c>
      <c r="AE135" s="1392">
        <f t="shared" si="230"/>
        <v>2100000</v>
      </c>
      <c r="AF135" s="1336"/>
      <c r="AG135" s="1336">
        <f t="shared" si="215"/>
        <v>-2100000</v>
      </c>
      <c r="AH135" s="1393">
        <f t="shared" si="216"/>
        <v>-100</v>
      </c>
      <c r="AI135" s="1392">
        <f t="shared" si="231"/>
        <v>2100000</v>
      </c>
      <c r="AJ135" s="1336"/>
      <c r="AK135" s="1336">
        <f t="shared" si="218"/>
        <v>-2100000</v>
      </c>
      <c r="AL135" s="1393">
        <f t="shared" si="219"/>
        <v>-100</v>
      </c>
      <c r="AM135" s="1392">
        <f t="shared" si="220"/>
        <v>2100000</v>
      </c>
      <c r="AN135" s="1336"/>
      <c r="AO135" s="1336">
        <f t="shared" si="221"/>
        <v>-2100000</v>
      </c>
      <c r="AP135" s="1393">
        <f t="shared" si="222"/>
        <v>-100</v>
      </c>
      <c r="AQ135" s="1392">
        <f t="shared" si="223"/>
        <v>2100000</v>
      </c>
      <c r="AR135" s="1336"/>
      <c r="AS135" s="1336">
        <f t="shared" si="224"/>
        <v>-2100000</v>
      </c>
      <c r="AT135" s="1393">
        <f t="shared" si="225"/>
        <v>-100</v>
      </c>
      <c r="AU135" s="1392">
        <f t="shared" si="226"/>
        <v>2100000</v>
      </c>
      <c r="AV135" s="1336"/>
      <c r="AW135" s="1336">
        <f t="shared" si="227"/>
        <v>-2100000</v>
      </c>
      <c r="AX135" s="1267">
        <f t="shared" si="228"/>
        <v>-100</v>
      </c>
      <c r="AY135" s="1226">
        <f t="shared" si="194"/>
        <v>24599654.816</v>
      </c>
      <c r="AZ135" s="1189">
        <f t="shared" si="194"/>
        <v>0</v>
      </c>
      <c r="BA135" s="805"/>
      <c r="BB135" s="1174"/>
    </row>
    <row r="136" spans="1:54" s="119" customFormat="1" ht="18" customHeight="1" x14ac:dyDescent="0.25">
      <c r="A136" s="170">
        <v>12329</v>
      </c>
      <c r="B136" s="332" t="s">
        <v>73</v>
      </c>
      <c r="C136" s="1223">
        <v>2200000</v>
      </c>
      <c r="D136" s="1336"/>
      <c r="E136" s="1336">
        <f t="shared" si="195"/>
        <v>-2200000</v>
      </c>
      <c r="F136" s="1267">
        <f t="shared" si="196"/>
        <v>-100</v>
      </c>
      <c r="G136" s="1223">
        <f t="shared" si="197"/>
        <v>2200000</v>
      </c>
      <c r="H136" s="1336"/>
      <c r="I136" s="1336">
        <f t="shared" si="198"/>
        <v>-2200000</v>
      </c>
      <c r="J136" s="1393">
        <f t="shared" si="199"/>
        <v>-100</v>
      </c>
      <c r="K136" s="1392">
        <f t="shared" si="200"/>
        <v>2200000</v>
      </c>
      <c r="L136" s="1336"/>
      <c r="M136" s="1336">
        <f t="shared" si="201"/>
        <v>-2200000</v>
      </c>
      <c r="N136" s="1393">
        <f t="shared" si="202"/>
        <v>-100</v>
      </c>
      <c r="O136" s="1392">
        <f t="shared" si="203"/>
        <v>2200000</v>
      </c>
      <c r="P136" s="1336"/>
      <c r="Q136" s="1336">
        <f t="shared" si="204"/>
        <v>-2200000</v>
      </c>
      <c r="R136" s="1393">
        <f t="shared" si="205"/>
        <v>-100</v>
      </c>
      <c r="S136" s="1392">
        <f t="shared" si="206"/>
        <v>2200000</v>
      </c>
      <c r="T136" s="1336"/>
      <c r="U136" s="1336">
        <f t="shared" si="207"/>
        <v>-2200000</v>
      </c>
      <c r="V136" s="1393">
        <f t="shared" si="208"/>
        <v>-100</v>
      </c>
      <c r="W136" s="1392">
        <v>2400000</v>
      </c>
      <c r="X136" s="1336"/>
      <c r="Y136" s="1336">
        <f t="shared" si="209"/>
        <v>-2400000</v>
      </c>
      <c r="Z136" s="1393">
        <f t="shared" si="210"/>
        <v>-100</v>
      </c>
      <c r="AA136" s="1392">
        <f t="shared" si="229"/>
        <v>2400000</v>
      </c>
      <c r="AB136" s="1336"/>
      <c r="AC136" s="1336">
        <f t="shared" si="212"/>
        <v>-2400000</v>
      </c>
      <c r="AD136" s="1393">
        <f t="shared" si="213"/>
        <v>-100</v>
      </c>
      <c r="AE136" s="1392">
        <f t="shared" si="230"/>
        <v>2400000</v>
      </c>
      <c r="AF136" s="1336"/>
      <c r="AG136" s="1336">
        <f t="shared" si="215"/>
        <v>-2400000</v>
      </c>
      <c r="AH136" s="1393">
        <f t="shared" si="216"/>
        <v>-100</v>
      </c>
      <c r="AI136" s="1392">
        <f t="shared" si="231"/>
        <v>2400000</v>
      </c>
      <c r="AJ136" s="1336"/>
      <c r="AK136" s="1336">
        <f t="shared" si="218"/>
        <v>-2400000</v>
      </c>
      <c r="AL136" s="1393">
        <f t="shared" si="219"/>
        <v>-100</v>
      </c>
      <c r="AM136" s="1392">
        <f t="shared" si="220"/>
        <v>2400000</v>
      </c>
      <c r="AN136" s="1336"/>
      <c r="AO136" s="1336">
        <f t="shared" si="221"/>
        <v>-2400000</v>
      </c>
      <c r="AP136" s="1393">
        <f t="shared" si="222"/>
        <v>-100</v>
      </c>
      <c r="AQ136" s="1392">
        <f t="shared" si="223"/>
        <v>2400000</v>
      </c>
      <c r="AR136" s="1336"/>
      <c r="AS136" s="1336">
        <f t="shared" si="224"/>
        <v>-2400000</v>
      </c>
      <c r="AT136" s="1393">
        <f t="shared" si="225"/>
        <v>-100</v>
      </c>
      <c r="AU136" s="1392">
        <f t="shared" si="226"/>
        <v>2400000</v>
      </c>
      <c r="AV136" s="1336"/>
      <c r="AW136" s="1336">
        <f t="shared" si="227"/>
        <v>-2400000</v>
      </c>
      <c r="AX136" s="1267">
        <f t="shared" si="228"/>
        <v>-100</v>
      </c>
      <c r="AY136" s="1226">
        <f t="shared" si="194"/>
        <v>27800000</v>
      </c>
      <c r="AZ136" s="1189">
        <f t="shared" si="194"/>
        <v>0</v>
      </c>
      <c r="BA136" s="805"/>
      <c r="BB136" s="1174"/>
    </row>
    <row r="137" spans="1:54" s="119" customFormat="1" ht="18" customHeight="1" x14ac:dyDescent="0.25">
      <c r="A137" s="170">
        <v>51649</v>
      </c>
      <c r="B137" s="332" t="s">
        <v>78</v>
      </c>
      <c r="C137" s="1223">
        <v>14994.555199999999</v>
      </c>
      <c r="D137" s="1336"/>
      <c r="E137" s="1336">
        <f t="shared" si="195"/>
        <v>-14994.555199999999</v>
      </c>
      <c r="F137" s="1267">
        <f t="shared" si="196"/>
        <v>-100</v>
      </c>
      <c r="G137" s="1223">
        <f t="shared" si="197"/>
        <v>14994.555199999999</v>
      </c>
      <c r="H137" s="1336"/>
      <c r="I137" s="1336">
        <f t="shared" si="198"/>
        <v>-14994.555199999999</v>
      </c>
      <c r="J137" s="1393">
        <f t="shared" si="199"/>
        <v>-100</v>
      </c>
      <c r="K137" s="1392">
        <f t="shared" si="200"/>
        <v>14994.555199999999</v>
      </c>
      <c r="L137" s="1336"/>
      <c r="M137" s="1336">
        <f t="shared" si="201"/>
        <v>-14994.555199999999</v>
      </c>
      <c r="N137" s="1393">
        <f t="shared" si="202"/>
        <v>-100</v>
      </c>
      <c r="O137" s="1392">
        <f t="shared" si="203"/>
        <v>14994.555199999999</v>
      </c>
      <c r="P137" s="1336"/>
      <c r="Q137" s="1336">
        <f t="shared" si="204"/>
        <v>-14994.555199999999</v>
      </c>
      <c r="R137" s="1393">
        <f t="shared" si="205"/>
        <v>-100</v>
      </c>
      <c r="S137" s="1392">
        <f t="shared" si="206"/>
        <v>14994.555199999999</v>
      </c>
      <c r="T137" s="1336"/>
      <c r="U137" s="1336">
        <f t="shared" si="207"/>
        <v>-14994.555199999999</v>
      </c>
      <c r="V137" s="1393">
        <f t="shared" si="208"/>
        <v>-100</v>
      </c>
      <c r="W137" s="1392">
        <v>15994.555199999999</v>
      </c>
      <c r="X137" s="1336"/>
      <c r="Y137" s="1336">
        <f t="shared" si="209"/>
        <v>-15994.555199999999</v>
      </c>
      <c r="Z137" s="1393">
        <f t="shared" si="210"/>
        <v>-100</v>
      </c>
      <c r="AA137" s="1392">
        <f t="shared" si="229"/>
        <v>15994.555199999999</v>
      </c>
      <c r="AB137" s="1336"/>
      <c r="AC137" s="1336">
        <f t="shared" si="212"/>
        <v>-15994.555199999999</v>
      </c>
      <c r="AD137" s="1393">
        <f t="shared" si="213"/>
        <v>-100</v>
      </c>
      <c r="AE137" s="1392">
        <f t="shared" si="230"/>
        <v>15994.555199999999</v>
      </c>
      <c r="AF137" s="1336"/>
      <c r="AG137" s="1336">
        <f t="shared" si="215"/>
        <v>-15994.555199999999</v>
      </c>
      <c r="AH137" s="1393">
        <f t="shared" si="216"/>
        <v>-100</v>
      </c>
      <c r="AI137" s="1392">
        <f t="shared" si="231"/>
        <v>15994.555199999999</v>
      </c>
      <c r="AJ137" s="1336"/>
      <c r="AK137" s="1336">
        <f t="shared" si="218"/>
        <v>-15994.555199999999</v>
      </c>
      <c r="AL137" s="1393">
        <f t="shared" si="219"/>
        <v>-100</v>
      </c>
      <c r="AM137" s="1392">
        <f t="shared" si="220"/>
        <v>15994.555199999999</v>
      </c>
      <c r="AN137" s="1336"/>
      <c r="AO137" s="1336">
        <f t="shared" si="221"/>
        <v>-15994.555199999999</v>
      </c>
      <c r="AP137" s="1393">
        <f t="shared" si="222"/>
        <v>-100</v>
      </c>
      <c r="AQ137" s="1392">
        <f t="shared" si="223"/>
        <v>15994.555199999999</v>
      </c>
      <c r="AR137" s="1336"/>
      <c r="AS137" s="1336">
        <f t="shared" si="224"/>
        <v>-15994.555199999999</v>
      </c>
      <c r="AT137" s="1393">
        <f t="shared" si="225"/>
        <v>-100</v>
      </c>
      <c r="AU137" s="1392">
        <f t="shared" si="226"/>
        <v>15994.555199999999</v>
      </c>
      <c r="AV137" s="1336"/>
      <c r="AW137" s="1336">
        <f t="shared" si="227"/>
        <v>-15994.555199999999</v>
      </c>
      <c r="AX137" s="1267">
        <f t="shared" si="228"/>
        <v>-100</v>
      </c>
      <c r="AY137" s="1226">
        <f t="shared" si="194"/>
        <v>186934.6624</v>
      </c>
      <c r="AZ137" s="1189">
        <f t="shared" si="194"/>
        <v>0</v>
      </c>
      <c r="BA137" s="334"/>
      <c r="BB137" s="1174"/>
    </row>
    <row r="138" spans="1:54" s="119" customFormat="1" ht="18" customHeight="1" x14ac:dyDescent="0.25">
      <c r="A138" s="170">
        <v>37763</v>
      </c>
      <c r="B138" s="332" t="s">
        <v>80</v>
      </c>
      <c r="C138" s="1223">
        <v>6667.0460000000021</v>
      </c>
      <c r="D138" s="1336"/>
      <c r="E138" s="1336">
        <f t="shared" si="195"/>
        <v>-6667.0460000000021</v>
      </c>
      <c r="F138" s="1267">
        <f t="shared" si="196"/>
        <v>-100</v>
      </c>
      <c r="G138" s="1223">
        <f t="shared" si="197"/>
        <v>6667.0460000000021</v>
      </c>
      <c r="H138" s="1336"/>
      <c r="I138" s="1336">
        <f t="shared" si="198"/>
        <v>-6667.0460000000021</v>
      </c>
      <c r="J138" s="1393">
        <f t="shared" si="199"/>
        <v>-100</v>
      </c>
      <c r="K138" s="1392">
        <f t="shared" si="200"/>
        <v>6667.0460000000021</v>
      </c>
      <c r="L138" s="1336"/>
      <c r="M138" s="1336">
        <f t="shared" si="201"/>
        <v>-6667.0460000000021</v>
      </c>
      <c r="N138" s="1393">
        <f t="shared" si="202"/>
        <v>-100</v>
      </c>
      <c r="O138" s="1392">
        <f t="shared" si="203"/>
        <v>6667.0460000000021</v>
      </c>
      <c r="P138" s="1336"/>
      <c r="Q138" s="1336">
        <f t="shared" si="204"/>
        <v>-6667.0460000000021</v>
      </c>
      <c r="R138" s="1393">
        <f t="shared" si="205"/>
        <v>-100</v>
      </c>
      <c r="S138" s="1392">
        <f t="shared" si="206"/>
        <v>6667.0460000000021</v>
      </c>
      <c r="T138" s="1336"/>
      <c r="U138" s="1336">
        <f t="shared" si="207"/>
        <v>-6667.0460000000021</v>
      </c>
      <c r="V138" s="1393">
        <f t="shared" si="208"/>
        <v>-100</v>
      </c>
      <c r="W138" s="1392">
        <v>36667.046000000002</v>
      </c>
      <c r="X138" s="1336"/>
      <c r="Y138" s="1336">
        <f t="shared" si="209"/>
        <v>-36667.046000000002</v>
      </c>
      <c r="Z138" s="1393">
        <f t="shared" si="210"/>
        <v>-100</v>
      </c>
      <c r="AA138" s="1392">
        <f t="shared" si="229"/>
        <v>36667.046000000002</v>
      </c>
      <c r="AB138" s="1336"/>
      <c r="AC138" s="1336">
        <f t="shared" si="212"/>
        <v>-36667.046000000002</v>
      </c>
      <c r="AD138" s="1393">
        <f t="shared" si="213"/>
        <v>-100</v>
      </c>
      <c r="AE138" s="1392">
        <f t="shared" si="230"/>
        <v>36667.046000000002</v>
      </c>
      <c r="AF138" s="1336"/>
      <c r="AG138" s="1336">
        <f t="shared" si="215"/>
        <v>-36667.046000000002</v>
      </c>
      <c r="AH138" s="1393">
        <f t="shared" si="216"/>
        <v>-100</v>
      </c>
      <c r="AI138" s="1392">
        <f t="shared" si="231"/>
        <v>36667.046000000002</v>
      </c>
      <c r="AJ138" s="1336"/>
      <c r="AK138" s="1336">
        <f t="shared" si="218"/>
        <v>-36667.046000000002</v>
      </c>
      <c r="AL138" s="1393">
        <f t="shared" si="219"/>
        <v>-100</v>
      </c>
      <c r="AM138" s="1392">
        <f t="shared" si="220"/>
        <v>36667.046000000002</v>
      </c>
      <c r="AN138" s="1336"/>
      <c r="AO138" s="1336">
        <f t="shared" si="221"/>
        <v>-36667.046000000002</v>
      </c>
      <c r="AP138" s="1393">
        <f t="shared" si="222"/>
        <v>-100</v>
      </c>
      <c r="AQ138" s="1392">
        <f t="shared" si="223"/>
        <v>36667.046000000002</v>
      </c>
      <c r="AR138" s="1336"/>
      <c r="AS138" s="1336">
        <f t="shared" si="224"/>
        <v>-36667.046000000002</v>
      </c>
      <c r="AT138" s="1393">
        <f t="shared" si="225"/>
        <v>-100</v>
      </c>
      <c r="AU138" s="1392">
        <f>AQ138</f>
        <v>36667.046000000002</v>
      </c>
      <c r="AV138" s="1336"/>
      <c r="AW138" s="1336">
        <f t="shared" si="227"/>
        <v>-36667.046000000002</v>
      </c>
      <c r="AX138" s="1267">
        <f t="shared" si="228"/>
        <v>-100</v>
      </c>
      <c r="AY138" s="1226">
        <f t="shared" si="194"/>
        <v>290004.55200000003</v>
      </c>
      <c r="AZ138" s="1189">
        <f t="shared" si="194"/>
        <v>0</v>
      </c>
      <c r="BA138" s="334"/>
      <c r="BB138" s="1174"/>
    </row>
    <row r="139" spans="1:54" s="119" customFormat="1" ht="18" customHeight="1" x14ac:dyDescent="0.25">
      <c r="A139" s="170">
        <v>37259</v>
      </c>
      <c r="B139" s="332" t="s">
        <v>204</v>
      </c>
      <c r="C139" s="1223">
        <v>6985.2640000000001</v>
      </c>
      <c r="D139" s="1336"/>
      <c r="E139" s="1336">
        <f t="shared" si="195"/>
        <v>-6985.2640000000001</v>
      </c>
      <c r="F139" s="1267">
        <f t="shared" si="196"/>
        <v>-100</v>
      </c>
      <c r="G139" s="1223">
        <f t="shared" si="197"/>
        <v>6985.2640000000001</v>
      </c>
      <c r="H139" s="1336"/>
      <c r="I139" s="1336">
        <f t="shared" si="198"/>
        <v>-6985.2640000000001</v>
      </c>
      <c r="J139" s="1393">
        <f t="shared" si="199"/>
        <v>-100</v>
      </c>
      <c r="K139" s="1392">
        <f t="shared" si="200"/>
        <v>6985.2640000000001</v>
      </c>
      <c r="L139" s="1336"/>
      <c r="M139" s="1336">
        <f t="shared" si="201"/>
        <v>-6985.2640000000001</v>
      </c>
      <c r="N139" s="1393">
        <f t="shared" si="202"/>
        <v>-100</v>
      </c>
      <c r="O139" s="1392">
        <f t="shared" si="203"/>
        <v>6985.2640000000001</v>
      </c>
      <c r="P139" s="1336"/>
      <c r="Q139" s="1336">
        <f t="shared" si="204"/>
        <v>-6985.2640000000001</v>
      </c>
      <c r="R139" s="1393">
        <f t="shared" si="205"/>
        <v>-100</v>
      </c>
      <c r="S139" s="1392">
        <f t="shared" si="206"/>
        <v>6985.2640000000001</v>
      </c>
      <c r="T139" s="1336"/>
      <c r="U139" s="1336">
        <f t="shared" si="207"/>
        <v>-6985.2640000000001</v>
      </c>
      <c r="V139" s="1393">
        <f t="shared" si="208"/>
        <v>-100</v>
      </c>
      <c r="W139" s="1392">
        <v>6985.2640000000001</v>
      </c>
      <c r="X139" s="1336"/>
      <c r="Y139" s="1336">
        <f t="shared" si="209"/>
        <v>-6985.2640000000001</v>
      </c>
      <c r="Z139" s="1393">
        <f t="shared" si="210"/>
        <v>-100</v>
      </c>
      <c r="AA139" s="1392">
        <f t="shared" si="229"/>
        <v>6985.2640000000001</v>
      </c>
      <c r="AB139" s="1336"/>
      <c r="AC139" s="1336">
        <f t="shared" si="212"/>
        <v>-6985.2640000000001</v>
      </c>
      <c r="AD139" s="1393">
        <f t="shared" si="213"/>
        <v>-100</v>
      </c>
      <c r="AE139" s="1392">
        <f t="shared" si="230"/>
        <v>6985.2640000000001</v>
      </c>
      <c r="AF139" s="1336"/>
      <c r="AG139" s="1336">
        <f t="shared" si="215"/>
        <v>-6985.2640000000001</v>
      </c>
      <c r="AH139" s="1393">
        <f t="shared" si="216"/>
        <v>-100</v>
      </c>
      <c r="AI139" s="1392">
        <f t="shared" si="231"/>
        <v>6985.2640000000001</v>
      </c>
      <c r="AJ139" s="1336"/>
      <c r="AK139" s="1336">
        <f t="shared" si="218"/>
        <v>-6985.2640000000001</v>
      </c>
      <c r="AL139" s="1393">
        <f t="shared" si="219"/>
        <v>-100</v>
      </c>
      <c r="AM139" s="1392">
        <f t="shared" si="220"/>
        <v>6985.2640000000001</v>
      </c>
      <c r="AN139" s="1336"/>
      <c r="AO139" s="1336">
        <f t="shared" si="221"/>
        <v>-6985.2640000000001</v>
      </c>
      <c r="AP139" s="1393">
        <f t="shared" si="222"/>
        <v>-100</v>
      </c>
      <c r="AQ139" s="1392">
        <f t="shared" si="223"/>
        <v>6985.2640000000001</v>
      </c>
      <c r="AR139" s="1336"/>
      <c r="AS139" s="1336">
        <f t="shared" si="224"/>
        <v>-6985.2640000000001</v>
      </c>
      <c r="AT139" s="1393">
        <f t="shared" si="225"/>
        <v>-100</v>
      </c>
      <c r="AU139" s="1392">
        <f>AQ139</f>
        <v>6985.2640000000001</v>
      </c>
      <c r="AV139" s="1336"/>
      <c r="AW139" s="1336">
        <f t="shared" si="227"/>
        <v>-6985.2640000000001</v>
      </c>
      <c r="AX139" s="1267">
        <f t="shared" si="228"/>
        <v>-100</v>
      </c>
      <c r="AY139" s="1226">
        <f t="shared" si="194"/>
        <v>83823.168000000005</v>
      </c>
      <c r="AZ139" s="1189">
        <f t="shared" si="194"/>
        <v>0</v>
      </c>
      <c r="BA139" s="334"/>
      <c r="BB139" s="1174"/>
    </row>
    <row r="140" spans="1:54" s="119" customFormat="1" ht="18" customHeight="1" x14ac:dyDescent="0.25">
      <c r="A140" s="170">
        <v>12865</v>
      </c>
      <c r="B140" s="332" t="s">
        <v>205</v>
      </c>
      <c r="C140" s="1223">
        <v>3903.7205999999996</v>
      </c>
      <c r="D140" s="1336"/>
      <c r="E140" s="1336">
        <f t="shared" si="195"/>
        <v>-3903.7205999999996</v>
      </c>
      <c r="F140" s="1267">
        <f t="shared" si="196"/>
        <v>-100</v>
      </c>
      <c r="G140" s="1223">
        <f t="shared" si="197"/>
        <v>3903.7205999999996</v>
      </c>
      <c r="H140" s="1336"/>
      <c r="I140" s="1336">
        <f t="shared" si="198"/>
        <v>-3903.7205999999996</v>
      </c>
      <c r="J140" s="1393">
        <f t="shared" si="199"/>
        <v>-100</v>
      </c>
      <c r="K140" s="1392">
        <f t="shared" si="200"/>
        <v>3903.7205999999996</v>
      </c>
      <c r="L140" s="1336"/>
      <c r="M140" s="1336">
        <f t="shared" si="201"/>
        <v>-3903.7205999999996</v>
      </c>
      <c r="N140" s="1393">
        <f t="shared" si="202"/>
        <v>-100</v>
      </c>
      <c r="O140" s="1392">
        <f t="shared" si="203"/>
        <v>3903.7205999999996</v>
      </c>
      <c r="P140" s="1336"/>
      <c r="Q140" s="1336">
        <f t="shared" si="204"/>
        <v>-3903.7205999999996</v>
      </c>
      <c r="R140" s="1393">
        <f t="shared" si="205"/>
        <v>-100</v>
      </c>
      <c r="S140" s="1392">
        <f t="shared" si="206"/>
        <v>3903.7205999999996</v>
      </c>
      <c r="T140" s="1336"/>
      <c r="U140" s="1336">
        <f t="shared" si="207"/>
        <v>-3903.7205999999996</v>
      </c>
      <c r="V140" s="1393">
        <f t="shared" si="208"/>
        <v>-100</v>
      </c>
      <c r="W140" s="1392">
        <v>3903.7205999999996</v>
      </c>
      <c r="X140" s="1336"/>
      <c r="Y140" s="1336">
        <f t="shared" si="209"/>
        <v>-3903.7205999999996</v>
      </c>
      <c r="Z140" s="1393">
        <f t="shared" si="210"/>
        <v>-100</v>
      </c>
      <c r="AA140" s="1392">
        <f t="shared" si="229"/>
        <v>3903.7205999999996</v>
      </c>
      <c r="AB140" s="1336"/>
      <c r="AC140" s="1336">
        <f t="shared" si="212"/>
        <v>-3903.7205999999996</v>
      </c>
      <c r="AD140" s="1393">
        <f t="shared" si="213"/>
        <v>-100</v>
      </c>
      <c r="AE140" s="1392">
        <f t="shared" si="230"/>
        <v>3903.7205999999996</v>
      </c>
      <c r="AF140" s="1336"/>
      <c r="AG140" s="1336">
        <f t="shared" si="215"/>
        <v>-3903.7205999999996</v>
      </c>
      <c r="AH140" s="1393">
        <f t="shared" si="216"/>
        <v>-100</v>
      </c>
      <c r="AI140" s="1392">
        <f t="shared" si="231"/>
        <v>3903.7205999999996</v>
      </c>
      <c r="AJ140" s="1336"/>
      <c r="AK140" s="1336">
        <f t="shared" si="218"/>
        <v>-3903.7205999999996</v>
      </c>
      <c r="AL140" s="1393">
        <f t="shared" si="219"/>
        <v>-100</v>
      </c>
      <c r="AM140" s="1392">
        <f t="shared" si="220"/>
        <v>3903.7205999999996</v>
      </c>
      <c r="AN140" s="1336"/>
      <c r="AO140" s="1336">
        <f t="shared" si="221"/>
        <v>-3903.7205999999996</v>
      </c>
      <c r="AP140" s="1393">
        <f t="shared" si="222"/>
        <v>-100</v>
      </c>
      <c r="AQ140" s="1392">
        <f t="shared" si="223"/>
        <v>3903.7205999999996</v>
      </c>
      <c r="AR140" s="1336"/>
      <c r="AS140" s="1336">
        <f t="shared" si="224"/>
        <v>-3903.7205999999996</v>
      </c>
      <c r="AT140" s="1393">
        <f t="shared" si="225"/>
        <v>-100</v>
      </c>
      <c r="AU140" s="1392">
        <f>AQ140</f>
        <v>3903.7205999999996</v>
      </c>
      <c r="AV140" s="1336"/>
      <c r="AW140" s="1336">
        <f t="shared" si="227"/>
        <v>-3903.7205999999996</v>
      </c>
      <c r="AX140" s="1267">
        <f t="shared" si="228"/>
        <v>-100</v>
      </c>
      <c r="AY140" s="1226">
        <f t="shared" si="194"/>
        <v>46844.647199999999</v>
      </c>
      <c r="AZ140" s="1189">
        <f t="shared" si="194"/>
        <v>0</v>
      </c>
      <c r="BA140" s="334"/>
      <c r="BB140" s="1174"/>
    </row>
    <row r="141" spans="1:54" s="119" customFormat="1" ht="18" customHeight="1" x14ac:dyDescent="0.25">
      <c r="A141" s="170">
        <v>12332</v>
      </c>
      <c r="B141" s="332" t="s">
        <v>77</v>
      </c>
      <c r="C141" s="1223">
        <v>21949</v>
      </c>
      <c r="D141" s="1336"/>
      <c r="E141" s="1336">
        <f t="shared" si="195"/>
        <v>-21949</v>
      </c>
      <c r="F141" s="1267">
        <f t="shared" si="196"/>
        <v>-100</v>
      </c>
      <c r="G141" s="1223">
        <f t="shared" si="197"/>
        <v>21949</v>
      </c>
      <c r="H141" s="1336"/>
      <c r="I141" s="1336">
        <f t="shared" si="198"/>
        <v>-21949</v>
      </c>
      <c r="J141" s="1393">
        <f t="shared" si="199"/>
        <v>-100</v>
      </c>
      <c r="K141" s="1392">
        <f t="shared" si="200"/>
        <v>21949</v>
      </c>
      <c r="L141" s="1336"/>
      <c r="M141" s="1336">
        <f t="shared" si="201"/>
        <v>-21949</v>
      </c>
      <c r="N141" s="1393">
        <f t="shared" si="202"/>
        <v>-100</v>
      </c>
      <c r="O141" s="1392">
        <f t="shared" si="203"/>
        <v>21949</v>
      </c>
      <c r="P141" s="1336"/>
      <c r="Q141" s="1336">
        <f t="shared" si="204"/>
        <v>-21949</v>
      </c>
      <c r="R141" s="1393">
        <f t="shared" si="205"/>
        <v>-100</v>
      </c>
      <c r="S141" s="1392">
        <f t="shared" si="206"/>
        <v>21949</v>
      </c>
      <c r="T141" s="1336"/>
      <c r="U141" s="1336">
        <f t="shared" si="207"/>
        <v>-21949</v>
      </c>
      <c r="V141" s="1393">
        <f t="shared" si="208"/>
        <v>-100</v>
      </c>
      <c r="W141" s="1392">
        <v>45538.040599999993</v>
      </c>
      <c r="X141" s="1336"/>
      <c r="Y141" s="1336">
        <f t="shared" si="209"/>
        <v>-45538.040599999993</v>
      </c>
      <c r="Z141" s="1393">
        <f t="shared" si="210"/>
        <v>-100</v>
      </c>
      <c r="AA141" s="1392">
        <f t="shared" si="229"/>
        <v>45538.040599999993</v>
      </c>
      <c r="AB141" s="1336"/>
      <c r="AC141" s="1336">
        <f t="shared" si="212"/>
        <v>-45538.040599999993</v>
      </c>
      <c r="AD141" s="1393">
        <f t="shared" si="213"/>
        <v>-100</v>
      </c>
      <c r="AE141" s="1392">
        <f t="shared" si="230"/>
        <v>45538.040599999993</v>
      </c>
      <c r="AF141" s="1336"/>
      <c r="AG141" s="1336">
        <f t="shared" si="215"/>
        <v>-45538.040599999993</v>
      </c>
      <c r="AH141" s="1393">
        <f t="shared" si="216"/>
        <v>-100</v>
      </c>
      <c r="AI141" s="1392">
        <f t="shared" si="231"/>
        <v>45538.040599999993</v>
      </c>
      <c r="AJ141" s="1336"/>
      <c r="AK141" s="1336">
        <f t="shared" si="218"/>
        <v>-45538.040599999993</v>
      </c>
      <c r="AL141" s="1393">
        <f t="shared" si="219"/>
        <v>-100</v>
      </c>
      <c r="AM141" s="1392">
        <f t="shared" si="220"/>
        <v>45538.040599999993</v>
      </c>
      <c r="AN141" s="1336"/>
      <c r="AO141" s="1336">
        <f t="shared" si="221"/>
        <v>-45538.040599999993</v>
      </c>
      <c r="AP141" s="1393">
        <f t="shared" si="222"/>
        <v>-100</v>
      </c>
      <c r="AQ141" s="1392">
        <f t="shared" si="223"/>
        <v>45538.040599999993</v>
      </c>
      <c r="AR141" s="1336"/>
      <c r="AS141" s="1336">
        <f t="shared" si="224"/>
        <v>-45538.040599999993</v>
      </c>
      <c r="AT141" s="1393">
        <f t="shared" si="225"/>
        <v>-100</v>
      </c>
      <c r="AU141" s="1392">
        <f>AQ141</f>
        <v>45538.040599999993</v>
      </c>
      <c r="AV141" s="1336"/>
      <c r="AW141" s="1336">
        <f t="shared" si="227"/>
        <v>-45538.040599999993</v>
      </c>
      <c r="AX141" s="1267">
        <f t="shared" si="228"/>
        <v>-100</v>
      </c>
      <c r="AY141" s="1226">
        <f t="shared" si="194"/>
        <v>428511.28420000005</v>
      </c>
      <c r="AZ141" s="1189">
        <f t="shared" si="194"/>
        <v>0</v>
      </c>
      <c r="BA141" s="334"/>
      <c r="BB141" s="1174"/>
    </row>
    <row r="142" spans="1:54" s="119" customFormat="1" ht="18" customHeight="1" thickBot="1" x14ac:dyDescent="0.3">
      <c r="A142" s="379">
        <v>12316</v>
      </c>
      <c r="B142" s="384" t="s">
        <v>3794</v>
      </c>
      <c r="C142" s="1225">
        <v>20535.455399999999</v>
      </c>
      <c r="D142" s="1301"/>
      <c r="E142" s="1301">
        <f t="shared" si="195"/>
        <v>-20535.455399999999</v>
      </c>
      <c r="F142" s="1242">
        <f t="shared" si="196"/>
        <v>-100</v>
      </c>
      <c r="G142" s="1225">
        <f t="shared" si="197"/>
        <v>20535.455399999999</v>
      </c>
      <c r="H142" s="1301"/>
      <c r="I142" s="1301">
        <f t="shared" si="198"/>
        <v>-20535.455399999999</v>
      </c>
      <c r="J142" s="1365">
        <f t="shared" si="199"/>
        <v>-100</v>
      </c>
      <c r="K142" s="1354">
        <f t="shared" si="200"/>
        <v>20535.455399999999</v>
      </c>
      <c r="L142" s="1301"/>
      <c r="M142" s="1301">
        <f t="shared" si="201"/>
        <v>-20535.455399999999</v>
      </c>
      <c r="N142" s="1365">
        <f t="shared" si="202"/>
        <v>-100</v>
      </c>
      <c r="O142" s="1354">
        <f t="shared" si="203"/>
        <v>20535.455399999999</v>
      </c>
      <c r="P142" s="1301"/>
      <c r="Q142" s="1301">
        <f t="shared" si="204"/>
        <v>-20535.455399999999</v>
      </c>
      <c r="R142" s="1365">
        <f t="shared" si="205"/>
        <v>-100</v>
      </c>
      <c r="S142" s="1354">
        <f t="shared" si="206"/>
        <v>20535.455399999999</v>
      </c>
      <c r="T142" s="1301"/>
      <c r="U142" s="1301">
        <f t="shared" si="207"/>
        <v>-20535.455399999999</v>
      </c>
      <c r="V142" s="1365">
        <f t="shared" si="208"/>
        <v>-100</v>
      </c>
      <c r="W142" s="1354">
        <v>25535.455399999999</v>
      </c>
      <c r="X142" s="1301"/>
      <c r="Y142" s="1301">
        <f t="shared" si="209"/>
        <v>-25535.455399999999</v>
      </c>
      <c r="Z142" s="1365">
        <f t="shared" si="210"/>
        <v>-100</v>
      </c>
      <c r="AA142" s="1354">
        <f t="shared" si="229"/>
        <v>25535.455399999999</v>
      </c>
      <c r="AB142" s="1301"/>
      <c r="AC142" s="1301">
        <f t="shared" si="212"/>
        <v>-25535.455399999999</v>
      </c>
      <c r="AD142" s="1365">
        <f t="shared" si="213"/>
        <v>-100</v>
      </c>
      <c r="AE142" s="1354">
        <f t="shared" si="230"/>
        <v>25535.455399999999</v>
      </c>
      <c r="AF142" s="1301"/>
      <c r="AG142" s="1301">
        <f t="shared" si="215"/>
        <v>-25535.455399999999</v>
      </c>
      <c r="AH142" s="1365">
        <f t="shared" si="216"/>
        <v>-100</v>
      </c>
      <c r="AI142" s="1354">
        <f t="shared" si="231"/>
        <v>25535.455399999999</v>
      </c>
      <c r="AJ142" s="1301"/>
      <c r="AK142" s="1301">
        <f t="shared" si="218"/>
        <v>-25535.455399999999</v>
      </c>
      <c r="AL142" s="1365">
        <f t="shared" si="219"/>
        <v>-100</v>
      </c>
      <c r="AM142" s="1354">
        <f t="shared" si="220"/>
        <v>25535.455399999999</v>
      </c>
      <c r="AN142" s="1301"/>
      <c r="AO142" s="1301">
        <f t="shared" si="221"/>
        <v>-25535.455399999999</v>
      </c>
      <c r="AP142" s="1365">
        <f t="shared" si="222"/>
        <v>-100</v>
      </c>
      <c r="AQ142" s="1354">
        <f t="shared" si="223"/>
        <v>25535.455399999999</v>
      </c>
      <c r="AR142" s="1301"/>
      <c r="AS142" s="1301">
        <f t="shared" si="224"/>
        <v>-25535.455399999999</v>
      </c>
      <c r="AT142" s="1365">
        <f t="shared" si="225"/>
        <v>-100</v>
      </c>
      <c r="AU142" s="1354">
        <f>AQ142</f>
        <v>25535.455399999999</v>
      </c>
      <c r="AV142" s="1301"/>
      <c r="AW142" s="1301">
        <f t="shared" si="227"/>
        <v>-25535.455399999999</v>
      </c>
      <c r="AX142" s="1242">
        <f t="shared" si="228"/>
        <v>-100</v>
      </c>
      <c r="AY142" s="1194">
        <f t="shared" si="194"/>
        <v>281425.46480000002</v>
      </c>
      <c r="AZ142" s="1383">
        <f t="shared" si="194"/>
        <v>0</v>
      </c>
      <c r="BA142" s="334"/>
      <c r="BB142" s="1174"/>
    </row>
    <row r="143" spans="1:54" s="119" customFormat="1" ht="18" customHeight="1" thickBot="1" x14ac:dyDescent="0.3">
      <c r="A143" s="508"/>
      <c r="B143" s="154"/>
      <c r="C143" s="67"/>
      <c r="D143" s="67"/>
      <c r="E143" s="67"/>
      <c r="F143" s="67"/>
      <c r="G143" s="67"/>
      <c r="H143" s="1532"/>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6"/>
      <c r="AJ143" s="67"/>
      <c r="AK143" s="67"/>
      <c r="AL143" s="67"/>
      <c r="AM143" s="66"/>
      <c r="AN143" s="67"/>
      <c r="AO143" s="67"/>
      <c r="AP143" s="67"/>
      <c r="AQ143" s="66"/>
      <c r="AR143" s="67"/>
      <c r="AS143" s="67"/>
      <c r="AT143" s="67"/>
      <c r="AU143" s="66"/>
      <c r="AV143" s="67"/>
      <c r="AW143" s="67"/>
      <c r="AX143" s="67"/>
      <c r="AY143" s="67"/>
      <c r="AZ143" s="67"/>
      <c r="BA143" s="1172"/>
      <c r="BB143" s="1172"/>
    </row>
    <row r="144" spans="1:54" s="11" customFormat="1" ht="18" customHeight="1" thickBot="1" x14ac:dyDescent="0.3">
      <c r="A144" s="165"/>
      <c r="B144" s="559" t="s">
        <v>171</v>
      </c>
      <c r="C144" s="1168">
        <f>SUM(C145:C160)</f>
        <v>751500</v>
      </c>
      <c r="D144" s="1313">
        <f>SUM(D145:D160)</f>
        <v>0</v>
      </c>
      <c r="E144" s="392">
        <f>D144-C144</f>
        <v>-751500</v>
      </c>
      <c r="F144" s="1167">
        <f>((D144/C144)-1)*100</f>
        <v>-100</v>
      </c>
      <c r="G144" s="1168">
        <f>SUM(G145:G160)</f>
        <v>751500</v>
      </c>
      <c r="H144" s="1313">
        <f>SUM(H145:H160)</f>
        <v>0</v>
      </c>
      <c r="I144" s="392">
        <f>H144-G144</f>
        <v>-751500</v>
      </c>
      <c r="J144" s="1167">
        <f>((H144/G144)-1)*100</f>
        <v>-100</v>
      </c>
      <c r="K144" s="1168">
        <f>SUM(K145:K160)</f>
        <v>751500</v>
      </c>
      <c r="L144" s="1313">
        <f>SUM(L145:L160)</f>
        <v>0</v>
      </c>
      <c r="M144" s="392">
        <f>L144-K144</f>
        <v>-751500</v>
      </c>
      <c r="N144" s="1167">
        <f>((L144/K144)-1)*100</f>
        <v>-100</v>
      </c>
      <c r="O144" s="564">
        <f>SUM(O145:O160)</f>
        <v>751500</v>
      </c>
      <c r="P144" s="1263">
        <f>SUM(P145:P160)</f>
        <v>0</v>
      </c>
      <c r="Q144" s="1168">
        <f>P144-O144</f>
        <v>-751500</v>
      </c>
      <c r="R144" s="1168">
        <f>((P144/O144)-1)*100</f>
        <v>-100</v>
      </c>
      <c r="S144" s="1168">
        <f>SUM(S145:S160)</f>
        <v>720500</v>
      </c>
      <c r="T144" s="1313">
        <f>SUM(T145:T160)</f>
        <v>0</v>
      </c>
      <c r="U144" s="392">
        <f>T144-S144</f>
        <v>-720500</v>
      </c>
      <c r="V144" s="1167">
        <f>((T144/S144)-1)*100</f>
        <v>-100</v>
      </c>
      <c r="W144" s="1168">
        <f>SUM(W145:W160)</f>
        <v>720500</v>
      </c>
      <c r="X144" s="1313">
        <f>SUM(X145:X160)</f>
        <v>0</v>
      </c>
      <c r="Y144" s="392">
        <f>X144-W144</f>
        <v>-720500</v>
      </c>
      <c r="Z144" s="1167">
        <f>((X144/W144)-1)*100</f>
        <v>-100</v>
      </c>
      <c r="AA144" s="1168">
        <f>SUM(AA145:AA160)</f>
        <v>720500</v>
      </c>
      <c r="AB144" s="1313">
        <f>SUM(AB145:AB160)</f>
        <v>0</v>
      </c>
      <c r="AC144" s="392">
        <f>AB144-AA144</f>
        <v>-720500</v>
      </c>
      <c r="AD144" s="1167">
        <f>((AB144/AA144)-1)*100</f>
        <v>-100</v>
      </c>
      <c r="AE144" s="1168">
        <f>SUM(AE145:AE160)</f>
        <v>720500</v>
      </c>
      <c r="AF144" s="1313">
        <f>SUM(AF145:AF160)</f>
        <v>0</v>
      </c>
      <c r="AG144" s="392">
        <f>AF144-AE144</f>
        <v>-720500</v>
      </c>
      <c r="AH144" s="1167">
        <f>((AF144/AE144)-1)*100</f>
        <v>-100</v>
      </c>
      <c r="AI144" s="1168">
        <f>SUM(AI145:AI160)</f>
        <v>751500</v>
      </c>
      <c r="AJ144" s="1313">
        <f>SUM(AJ145:AJ160)</f>
        <v>0</v>
      </c>
      <c r="AK144" s="392">
        <f>AJ144-AI144</f>
        <v>-751500</v>
      </c>
      <c r="AL144" s="1167">
        <f>((AJ144/AI144)-1)*100</f>
        <v>-100</v>
      </c>
      <c r="AM144" s="1168">
        <f>SUM(AM145:AM160)</f>
        <v>751500</v>
      </c>
      <c r="AN144" s="1313">
        <f>SUM(AN145:AN160)</f>
        <v>0</v>
      </c>
      <c r="AO144" s="392">
        <f>AN144-AM144</f>
        <v>-751500</v>
      </c>
      <c r="AP144" s="1167">
        <f>((AN144/AM144)-1)*100</f>
        <v>-100</v>
      </c>
      <c r="AQ144" s="1168">
        <f>SUM(AQ145:AQ160)</f>
        <v>751500</v>
      </c>
      <c r="AR144" s="1313">
        <f>SUM(AR145:AR160)</f>
        <v>0</v>
      </c>
      <c r="AS144" s="392">
        <f>AR144-AQ144</f>
        <v>-751500</v>
      </c>
      <c r="AT144" s="1167">
        <f>((AR144/AQ144)-1)*100</f>
        <v>-100</v>
      </c>
      <c r="AU144" s="1168">
        <f>SUM(AU145:AU160)</f>
        <v>751500</v>
      </c>
      <c r="AV144" s="1313">
        <f>SUM(AV145:AV160)</f>
        <v>0</v>
      </c>
      <c r="AW144" s="392">
        <f>AV144-AU144</f>
        <v>-751500</v>
      </c>
      <c r="AX144" s="1167">
        <f>((AV144/AU144)-1)*100</f>
        <v>-100</v>
      </c>
      <c r="AY144" s="1074">
        <f t="shared" ref="AY144:AZ160" si="232">C144+G144+K144+O144+S144+W144+AA144+AE144+AI144+AM144+AQ144+AU144</f>
        <v>8894000</v>
      </c>
      <c r="AZ144" s="1385">
        <f>D144+H144+L144+P144+T144+X144+AB144+AF144+AJ144+AN144+AR144+AV144</f>
        <v>0</v>
      </c>
      <c r="BA144" s="195"/>
      <c r="BB144" s="1176"/>
    </row>
    <row r="145" spans="1:54" s="119" customFormat="1" ht="18" customHeight="1" x14ac:dyDescent="0.25">
      <c r="A145" s="167">
        <v>12330</v>
      </c>
      <c r="B145" s="331" t="s">
        <v>81</v>
      </c>
      <c r="C145" s="1222">
        <v>115000</v>
      </c>
      <c r="D145" s="1299"/>
      <c r="E145" s="1299">
        <f t="shared" ref="E145:E160" si="233">D145-C145</f>
        <v>-115000</v>
      </c>
      <c r="F145" s="1338">
        <f t="shared" ref="F145:F160" si="234">((D145/C145)-1)*100</f>
        <v>-100</v>
      </c>
      <c r="G145" s="1222">
        <f t="shared" ref="G145:G160" si="235">C145</f>
        <v>115000</v>
      </c>
      <c r="H145" s="1299"/>
      <c r="I145" s="1299">
        <f t="shared" ref="I145:I160" si="236">H145-G145</f>
        <v>-115000</v>
      </c>
      <c r="J145" s="1338">
        <f t="shared" ref="J145:J160" si="237">((H145/G145)-1)*100</f>
        <v>-100</v>
      </c>
      <c r="K145" s="1222">
        <f t="shared" ref="K145:K160" si="238">G145</f>
        <v>115000</v>
      </c>
      <c r="L145" s="1299"/>
      <c r="M145" s="1299">
        <f t="shared" ref="M145:M160" si="239">L145-K145</f>
        <v>-115000</v>
      </c>
      <c r="N145" s="1338">
        <f t="shared" ref="N145:N160" si="240">((L145/K145)-1)*100</f>
        <v>-100</v>
      </c>
      <c r="O145" s="1222">
        <f t="shared" ref="O145:O160" si="241">K145</f>
        <v>115000</v>
      </c>
      <c r="P145" s="1299"/>
      <c r="Q145" s="1299">
        <f t="shared" ref="Q145:Q160" si="242">P145-O145</f>
        <v>-115000</v>
      </c>
      <c r="R145" s="1338">
        <f t="shared" ref="R145:R160" si="243">((P145/O145)-1)*100</f>
        <v>-100</v>
      </c>
      <c r="S145" s="1222">
        <f>O145</f>
        <v>115000</v>
      </c>
      <c r="T145" s="1299"/>
      <c r="U145" s="1299">
        <f t="shared" ref="U145:U160" si="244">T145-S145</f>
        <v>-115000</v>
      </c>
      <c r="V145" s="1338">
        <f t="shared" ref="V145:V160" si="245">((T145/S145)-1)*100</f>
        <v>-100</v>
      </c>
      <c r="W145" s="1222">
        <f t="shared" ref="W145:W160" si="246">S145</f>
        <v>115000</v>
      </c>
      <c r="X145" s="1299"/>
      <c r="Y145" s="1299">
        <f t="shared" ref="Y145:Y160" si="247">X145-W145</f>
        <v>-115000</v>
      </c>
      <c r="Z145" s="1338">
        <f t="shared" ref="Z145:Z160" si="248">((X145/W145)-1)*100</f>
        <v>-100</v>
      </c>
      <c r="AA145" s="1222">
        <f t="shared" ref="AA145:AA160" si="249">W145</f>
        <v>115000</v>
      </c>
      <c r="AB145" s="1299"/>
      <c r="AC145" s="1299">
        <f t="shared" ref="AC145:AC160" si="250">AB145-AA145</f>
        <v>-115000</v>
      </c>
      <c r="AD145" s="1338">
        <f t="shared" ref="AD145:AD160" si="251">((AB145/AA145)-1)*100</f>
        <v>-100</v>
      </c>
      <c r="AE145" s="1222">
        <f t="shared" ref="AE145:AE160" si="252">AA145</f>
        <v>115000</v>
      </c>
      <c r="AF145" s="1299"/>
      <c r="AG145" s="1299">
        <f t="shared" ref="AG145:AG160" si="253">AF145-AE145</f>
        <v>-115000</v>
      </c>
      <c r="AH145" s="1338">
        <f t="shared" ref="AH145:AH160" si="254">((AF145/AE145)-1)*100</f>
        <v>-100</v>
      </c>
      <c r="AI145" s="1222">
        <f>AE145</f>
        <v>115000</v>
      </c>
      <c r="AJ145" s="1299"/>
      <c r="AK145" s="1299">
        <f t="shared" ref="AK145:AK160" si="255">AJ145-AI145</f>
        <v>-115000</v>
      </c>
      <c r="AL145" s="1338">
        <f t="shared" ref="AL145:AL160" si="256">((AJ145/AI145)-1)*100</f>
        <v>-100</v>
      </c>
      <c r="AM145" s="1222">
        <f t="shared" ref="AM145:AM160" si="257">AI145</f>
        <v>115000</v>
      </c>
      <c r="AN145" s="1299"/>
      <c r="AO145" s="1299">
        <f t="shared" ref="AO145:AO160" si="258">AN145-AM145</f>
        <v>-115000</v>
      </c>
      <c r="AP145" s="1338">
        <f t="shared" ref="AP145:AP160" si="259">((AN145/AM145)-1)*100</f>
        <v>-100</v>
      </c>
      <c r="AQ145" s="1222">
        <f t="shared" ref="AQ145:AQ160" si="260">AM145</f>
        <v>115000</v>
      </c>
      <c r="AR145" s="1299"/>
      <c r="AS145" s="1299">
        <f t="shared" ref="AS145:AS160" si="261">AR145-AQ145</f>
        <v>-115000</v>
      </c>
      <c r="AT145" s="1338">
        <f t="shared" ref="AT145:AT160" si="262">((AR145/AQ145)-1)*100</f>
        <v>-100</v>
      </c>
      <c r="AU145" s="1222">
        <f t="shared" ref="AU145:AU160" si="263">AQ145</f>
        <v>115000</v>
      </c>
      <c r="AV145" s="1299"/>
      <c r="AW145" s="1299">
        <f t="shared" ref="AW145:AW160" si="264">AV145-AU145</f>
        <v>-115000</v>
      </c>
      <c r="AX145" s="1286">
        <f t="shared" ref="AX145:AX160" si="265">((AV145/AU145)-1)*100</f>
        <v>-100</v>
      </c>
      <c r="AY145" s="1235">
        <f t="shared" si="232"/>
        <v>1380000</v>
      </c>
      <c r="AZ145" s="1189">
        <f t="shared" si="232"/>
        <v>0</v>
      </c>
      <c r="BA145" s="334"/>
      <c r="BB145" s="12"/>
    </row>
    <row r="146" spans="1:54" s="119" customFormat="1" ht="18" customHeight="1" x14ac:dyDescent="0.25">
      <c r="A146" s="170" t="s">
        <v>88</v>
      </c>
      <c r="B146" s="332" t="s">
        <v>213</v>
      </c>
      <c r="C146" s="1223">
        <v>60000</v>
      </c>
      <c r="D146" s="1336"/>
      <c r="E146" s="1336">
        <f t="shared" si="233"/>
        <v>-60000</v>
      </c>
      <c r="F146" s="1339">
        <f t="shared" si="234"/>
        <v>-100</v>
      </c>
      <c r="G146" s="1223">
        <f t="shared" si="235"/>
        <v>60000</v>
      </c>
      <c r="H146" s="1336"/>
      <c r="I146" s="1336">
        <f t="shared" si="236"/>
        <v>-60000</v>
      </c>
      <c r="J146" s="1339">
        <f t="shared" si="237"/>
        <v>-100</v>
      </c>
      <c r="K146" s="1223">
        <f t="shared" si="238"/>
        <v>60000</v>
      </c>
      <c r="L146" s="1336"/>
      <c r="M146" s="1336">
        <f t="shared" si="239"/>
        <v>-60000</v>
      </c>
      <c r="N146" s="1339">
        <f t="shared" si="240"/>
        <v>-100</v>
      </c>
      <c r="O146" s="1223">
        <f t="shared" si="241"/>
        <v>60000</v>
      </c>
      <c r="P146" s="1336"/>
      <c r="Q146" s="1336">
        <f t="shared" si="242"/>
        <v>-60000</v>
      </c>
      <c r="R146" s="1339">
        <f t="shared" si="243"/>
        <v>-100</v>
      </c>
      <c r="S146" s="1223">
        <f>O146</f>
        <v>60000</v>
      </c>
      <c r="T146" s="1336"/>
      <c r="U146" s="1336">
        <f t="shared" si="244"/>
        <v>-60000</v>
      </c>
      <c r="V146" s="1339">
        <f t="shared" si="245"/>
        <v>-100</v>
      </c>
      <c r="W146" s="1223">
        <f t="shared" si="246"/>
        <v>60000</v>
      </c>
      <c r="X146" s="1336"/>
      <c r="Y146" s="1336">
        <f t="shared" si="247"/>
        <v>-60000</v>
      </c>
      <c r="Z146" s="1339">
        <f t="shared" si="248"/>
        <v>-100</v>
      </c>
      <c r="AA146" s="1223">
        <f t="shared" si="249"/>
        <v>60000</v>
      </c>
      <c r="AB146" s="1336"/>
      <c r="AC146" s="1336">
        <f t="shared" si="250"/>
        <v>-60000</v>
      </c>
      <c r="AD146" s="1339">
        <f t="shared" si="251"/>
        <v>-100</v>
      </c>
      <c r="AE146" s="1223">
        <f t="shared" si="252"/>
        <v>60000</v>
      </c>
      <c r="AF146" s="1336"/>
      <c r="AG146" s="1336">
        <f t="shared" si="253"/>
        <v>-60000</v>
      </c>
      <c r="AH146" s="1339">
        <f t="shared" si="254"/>
        <v>-100</v>
      </c>
      <c r="AI146" s="1223">
        <f>AE146</f>
        <v>60000</v>
      </c>
      <c r="AJ146" s="1336"/>
      <c r="AK146" s="1336">
        <f t="shared" si="255"/>
        <v>-60000</v>
      </c>
      <c r="AL146" s="1339">
        <f t="shared" si="256"/>
        <v>-100</v>
      </c>
      <c r="AM146" s="1223">
        <f t="shared" si="257"/>
        <v>60000</v>
      </c>
      <c r="AN146" s="1336"/>
      <c r="AO146" s="1336">
        <f t="shared" si="258"/>
        <v>-60000</v>
      </c>
      <c r="AP146" s="1339">
        <f t="shared" si="259"/>
        <v>-100</v>
      </c>
      <c r="AQ146" s="1223">
        <f t="shared" si="260"/>
        <v>60000</v>
      </c>
      <c r="AR146" s="1336"/>
      <c r="AS146" s="1336">
        <f t="shared" si="261"/>
        <v>-60000</v>
      </c>
      <c r="AT146" s="1339">
        <f t="shared" si="262"/>
        <v>-100</v>
      </c>
      <c r="AU146" s="1223">
        <f t="shared" si="263"/>
        <v>60000</v>
      </c>
      <c r="AV146" s="1336"/>
      <c r="AW146" s="1336">
        <f t="shared" si="264"/>
        <v>-60000</v>
      </c>
      <c r="AX146" s="1267">
        <f t="shared" si="265"/>
        <v>-100</v>
      </c>
      <c r="AY146" s="1235">
        <f t="shared" si="232"/>
        <v>720000</v>
      </c>
      <c r="AZ146" s="1189">
        <f t="shared" si="232"/>
        <v>0</v>
      </c>
      <c r="BB146" s="12"/>
    </row>
    <row r="147" spans="1:54" s="119" customFormat="1" ht="18" customHeight="1" x14ac:dyDescent="0.25">
      <c r="A147" s="170" t="s">
        <v>90</v>
      </c>
      <c r="B147" s="332" t="s">
        <v>3795</v>
      </c>
      <c r="C147" s="1223">
        <v>196000</v>
      </c>
      <c r="D147" s="1336"/>
      <c r="E147" s="1336">
        <f t="shared" si="233"/>
        <v>-196000</v>
      </c>
      <c r="F147" s="1339">
        <f t="shared" si="234"/>
        <v>-100</v>
      </c>
      <c r="G147" s="1223">
        <f t="shared" si="235"/>
        <v>196000</v>
      </c>
      <c r="H147" s="1336"/>
      <c r="I147" s="1336">
        <f t="shared" si="236"/>
        <v>-196000</v>
      </c>
      <c r="J147" s="1339">
        <f t="shared" si="237"/>
        <v>-100</v>
      </c>
      <c r="K147" s="1223">
        <f t="shared" si="238"/>
        <v>196000</v>
      </c>
      <c r="L147" s="1336"/>
      <c r="M147" s="1336">
        <f t="shared" si="239"/>
        <v>-196000</v>
      </c>
      <c r="N147" s="1339">
        <f t="shared" si="240"/>
        <v>-100</v>
      </c>
      <c r="O147" s="1223">
        <f t="shared" si="241"/>
        <v>196000</v>
      </c>
      <c r="P147" s="1336"/>
      <c r="Q147" s="1336">
        <f t="shared" si="242"/>
        <v>-196000</v>
      </c>
      <c r="R147" s="1339">
        <f t="shared" si="243"/>
        <v>-100</v>
      </c>
      <c r="S147" s="1223">
        <v>165000</v>
      </c>
      <c r="T147" s="1336"/>
      <c r="U147" s="1336">
        <f t="shared" si="244"/>
        <v>-165000</v>
      </c>
      <c r="V147" s="1339">
        <f t="shared" si="245"/>
        <v>-100</v>
      </c>
      <c r="W147" s="1223">
        <f t="shared" si="246"/>
        <v>165000</v>
      </c>
      <c r="X147" s="1336"/>
      <c r="Y147" s="1336">
        <f t="shared" si="247"/>
        <v>-165000</v>
      </c>
      <c r="Z147" s="1339">
        <f t="shared" si="248"/>
        <v>-100</v>
      </c>
      <c r="AA147" s="1223">
        <f t="shared" si="249"/>
        <v>165000</v>
      </c>
      <c r="AB147" s="1336"/>
      <c r="AC147" s="1336">
        <f t="shared" si="250"/>
        <v>-165000</v>
      </c>
      <c r="AD147" s="1339">
        <f t="shared" si="251"/>
        <v>-100</v>
      </c>
      <c r="AE147" s="1223">
        <f t="shared" si="252"/>
        <v>165000</v>
      </c>
      <c r="AF147" s="1336"/>
      <c r="AG147" s="1336">
        <f t="shared" si="253"/>
        <v>-165000</v>
      </c>
      <c r="AH147" s="1339">
        <f t="shared" si="254"/>
        <v>-100</v>
      </c>
      <c r="AI147" s="1223">
        <v>196000</v>
      </c>
      <c r="AJ147" s="1336"/>
      <c r="AK147" s="1336">
        <f t="shared" si="255"/>
        <v>-196000</v>
      </c>
      <c r="AL147" s="1339">
        <f t="shared" si="256"/>
        <v>-100</v>
      </c>
      <c r="AM147" s="1223">
        <f t="shared" si="257"/>
        <v>196000</v>
      </c>
      <c r="AN147" s="1336"/>
      <c r="AO147" s="1336">
        <f t="shared" si="258"/>
        <v>-196000</v>
      </c>
      <c r="AP147" s="1339">
        <f t="shared" si="259"/>
        <v>-100</v>
      </c>
      <c r="AQ147" s="1223">
        <f t="shared" si="260"/>
        <v>196000</v>
      </c>
      <c r="AR147" s="1336"/>
      <c r="AS147" s="1336">
        <f t="shared" si="261"/>
        <v>-196000</v>
      </c>
      <c r="AT147" s="1339">
        <f t="shared" si="262"/>
        <v>-100</v>
      </c>
      <c r="AU147" s="1223">
        <f t="shared" si="263"/>
        <v>196000</v>
      </c>
      <c r="AV147" s="1336"/>
      <c r="AW147" s="1336">
        <f t="shared" si="264"/>
        <v>-196000</v>
      </c>
      <c r="AX147" s="1267">
        <f t="shared" si="265"/>
        <v>-100</v>
      </c>
      <c r="AY147" s="1235">
        <f t="shared" si="232"/>
        <v>2228000</v>
      </c>
      <c r="AZ147" s="1189">
        <f t="shared" si="232"/>
        <v>0</v>
      </c>
      <c r="BB147" s="12"/>
    </row>
    <row r="148" spans="1:54" s="119" customFormat="1" ht="18" customHeight="1" x14ac:dyDescent="0.25">
      <c r="A148" s="170">
        <v>32937</v>
      </c>
      <c r="B148" s="332" t="s">
        <v>95</v>
      </c>
      <c r="C148" s="1224">
        <v>27000</v>
      </c>
      <c r="D148" s="1341"/>
      <c r="E148" s="1341">
        <f t="shared" si="233"/>
        <v>-27000</v>
      </c>
      <c r="F148" s="1340">
        <f t="shared" si="234"/>
        <v>-100</v>
      </c>
      <c r="G148" s="1224">
        <f t="shared" si="235"/>
        <v>27000</v>
      </c>
      <c r="H148" s="1341"/>
      <c r="I148" s="1341">
        <f t="shared" si="236"/>
        <v>-27000</v>
      </c>
      <c r="J148" s="1340">
        <f t="shared" si="237"/>
        <v>-100</v>
      </c>
      <c r="K148" s="1224">
        <f t="shared" si="238"/>
        <v>27000</v>
      </c>
      <c r="L148" s="1341"/>
      <c r="M148" s="1341">
        <f t="shared" si="239"/>
        <v>-27000</v>
      </c>
      <c r="N148" s="1340">
        <f t="shared" si="240"/>
        <v>-100</v>
      </c>
      <c r="O148" s="1224">
        <f t="shared" si="241"/>
        <v>27000</v>
      </c>
      <c r="P148" s="1341"/>
      <c r="Q148" s="1341">
        <f t="shared" si="242"/>
        <v>-27000</v>
      </c>
      <c r="R148" s="1340">
        <f t="shared" si="243"/>
        <v>-100</v>
      </c>
      <c r="S148" s="1224">
        <f t="shared" ref="S148:S160" si="266">O148</f>
        <v>27000</v>
      </c>
      <c r="T148" s="1341"/>
      <c r="U148" s="1341">
        <f t="shared" si="244"/>
        <v>-27000</v>
      </c>
      <c r="V148" s="1340">
        <f t="shared" si="245"/>
        <v>-100</v>
      </c>
      <c r="W148" s="1224">
        <f t="shared" si="246"/>
        <v>27000</v>
      </c>
      <c r="X148" s="1341"/>
      <c r="Y148" s="1341">
        <f t="shared" si="247"/>
        <v>-27000</v>
      </c>
      <c r="Z148" s="1340">
        <f t="shared" si="248"/>
        <v>-100</v>
      </c>
      <c r="AA148" s="1224">
        <f t="shared" si="249"/>
        <v>27000</v>
      </c>
      <c r="AB148" s="1341"/>
      <c r="AC148" s="1341">
        <f t="shared" si="250"/>
        <v>-27000</v>
      </c>
      <c r="AD148" s="1340">
        <f t="shared" si="251"/>
        <v>-100</v>
      </c>
      <c r="AE148" s="1224">
        <f t="shared" si="252"/>
        <v>27000</v>
      </c>
      <c r="AF148" s="1341"/>
      <c r="AG148" s="1341">
        <f t="shared" si="253"/>
        <v>-27000</v>
      </c>
      <c r="AH148" s="1340">
        <f t="shared" si="254"/>
        <v>-100</v>
      </c>
      <c r="AI148" s="1224">
        <f t="shared" ref="AI148:AI160" si="267">AE148</f>
        <v>27000</v>
      </c>
      <c r="AJ148" s="1341"/>
      <c r="AK148" s="1341">
        <f t="shared" si="255"/>
        <v>-27000</v>
      </c>
      <c r="AL148" s="1340">
        <f t="shared" si="256"/>
        <v>-100</v>
      </c>
      <c r="AM148" s="1224">
        <f t="shared" si="257"/>
        <v>27000</v>
      </c>
      <c r="AN148" s="1341"/>
      <c r="AO148" s="1341">
        <f t="shared" si="258"/>
        <v>-27000</v>
      </c>
      <c r="AP148" s="1340">
        <f t="shared" si="259"/>
        <v>-100</v>
      </c>
      <c r="AQ148" s="1224">
        <f t="shared" si="260"/>
        <v>27000</v>
      </c>
      <c r="AR148" s="1341"/>
      <c r="AS148" s="1341">
        <f t="shared" si="261"/>
        <v>-27000</v>
      </c>
      <c r="AT148" s="1340">
        <f t="shared" si="262"/>
        <v>-100</v>
      </c>
      <c r="AU148" s="1223">
        <f t="shared" si="263"/>
        <v>27000</v>
      </c>
      <c r="AV148" s="1341"/>
      <c r="AW148" s="1341">
        <f t="shared" si="264"/>
        <v>-27000</v>
      </c>
      <c r="AX148" s="1394">
        <f t="shared" si="265"/>
        <v>-100</v>
      </c>
      <c r="AY148" s="1235">
        <f t="shared" si="232"/>
        <v>324000</v>
      </c>
      <c r="AZ148" s="1189">
        <f t="shared" si="232"/>
        <v>0</v>
      </c>
      <c r="BB148" s="12"/>
    </row>
    <row r="149" spans="1:54" s="119" customFormat="1" ht="18" customHeight="1" x14ac:dyDescent="0.25">
      <c r="A149" s="170">
        <v>12869</v>
      </c>
      <c r="B149" s="332" t="s">
        <v>94</v>
      </c>
      <c r="C149" s="1223">
        <v>77000</v>
      </c>
      <c r="D149" s="1336"/>
      <c r="E149" s="1336">
        <f t="shared" si="233"/>
        <v>-77000</v>
      </c>
      <c r="F149" s="1339">
        <f t="shared" si="234"/>
        <v>-100</v>
      </c>
      <c r="G149" s="1223">
        <f t="shared" si="235"/>
        <v>77000</v>
      </c>
      <c r="H149" s="1336"/>
      <c r="I149" s="1336">
        <f t="shared" si="236"/>
        <v>-77000</v>
      </c>
      <c r="J149" s="1339">
        <f t="shared" si="237"/>
        <v>-100</v>
      </c>
      <c r="K149" s="1223">
        <f t="shared" si="238"/>
        <v>77000</v>
      </c>
      <c r="L149" s="1336"/>
      <c r="M149" s="1336">
        <f t="shared" si="239"/>
        <v>-77000</v>
      </c>
      <c r="N149" s="1339">
        <f t="shared" si="240"/>
        <v>-100</v>
      </c>
      <c r="O149" s="1223">
        <f t="shared" si="241"/>
        <v>77000</v>
      </c>
      <c r="P149" s="1300"/>
      <c r="Q149" s="1300">
        <f t="shared" si="242"/>
        <v>-77000</v>
      </c>
      <c r="R149" s="1339">
        <f t="shared" si="243"/>
        <v>-100</v>
      </c>
      <c r="S149" s="1223">
        <f t="shared" si="266"/>
        <v>77000</v>
      </c>
      <c r="T149" s="1336"/>
      <c r="U149" s="1336">
        <f t="shared" si="244"/>
        <v>-77000</v>
      </c>
      <c r="V149" s="1339">
        <f t="shared" si="245"/>
        <v>-100</v>
      </c>
      <c r="W149" s="1223">
        <f t="shared" si="246"/>
        <v>77000</v>
      </c>
      <c r="X149" s="1336"/>
      <c r="Y149" s="1336">
        <f t="shared" si="247"/>
        <v>-77000</v>
      </c>
      <c r="Z149" s="1339">
        <f t="shared" si="248"/>
        <v>-100</v>
      </c>
      <c r="AA149" s="1223">
        <f t="shared" si="249"/>
        <v>77000</v>
      </c>
      <c r="AB149" s="1336"/>
      <c r="AC149" s="1336">
        <f t="shared" si="250"/>
        <v>-77000</v>
      </c>
      <c r="AD149" s="1339">
        <f t="shared" si="251"/>
        <v>-100</v>
      </c>
      <c r="AE149" s="1223">
        <f t="shared" si="252"/>
        <v>77000</v>
      </c>
      <c r="AF149" s="1336"/>
      <c r="AG149" s="1336">
        <f t="shared" si="253"/>
        <v>-77000</v>
      </c>
      <c r="AH149" s="1339">
        <f t="shared" si="254"/>
        <v>-100</v>
      </c>
      <c r="AI149" s="1223">
        <f t="shared" si="267"/>
        <v>77000</v>
      </c>
      <c r="AJ149" s="1336"/>
      <c r="AK149" s="1336">
        <f t="shared" si="255"/>
        <v>-77000</v>
      </c>
      <c r="AL149" s="1339">
        <f t="shared" si="256"/>
        <v>-100</v>
      </c>
      <c r="AM149" s="1223">
        <f t="shared" si="257"/>
        <v>77000</v>
      </c>
      <c r="AN149" s="1336"/>
      <c r="AO149" s="1336">
        <f t="shared" si="258"/>
        <v>-77000</v>
      </c>
      <c r="AP149" s="1339">
        <f t="shared" si="259"/>
        <v>-100</v>
      </c>
      <c r="AQ149" s="1223">
        <f t="shared" si="260"/>
        <v>77000</v>
      </c>
      <c r="AR149" s="1336"/>
      <c r="AS149" s="1336">
        <f t="shared" si="261"/>
        <v>-77000</v>
      </c>
      <c r="AT149" s="1339">
        <f t="shared" si="262"/>
        <v>-100</v>
      </c>
      <c r="AU149" s="1223">
        <f t="shared" si="263"/>
        <v>77000</v>
      </c>
      <c r="AV149" s="1336"/>
      <c r="AW149" s="1336">
        <f t="shared" si="264"/>
        <v>-77000</v>
      </c>
      <c r="AX149" s="1267">
        <f t="shared" si="265"/>
        <v>-100</v>
      </c>
      <c r="AY149" s="1235">
        <f t="shared" si="232"/>
        <v>924000</v>
      </c>
      <c r="AZ149" s="1189">
        <f t="shared" si="232"/>
        <v>0</v>
      </c>
      <c r="BB149" s="12"/>
    </row>
    <row r="150" spans="1:54" s="119" customFormat="1" ht="18" customHeight="1" x14ac:dyDescent="0.25">
      <c r="A150" s="170">
        <v>12900</v>
      </c>
      <c r="B150" s="332" t="s">
        <v>87</v>
      </c>
      <c r="C150" s="1223">
        <v>11000</v>
      </c>
      <c r="D150" s="1336"/>
      <c r="E150" s="1336">
        <f t="shared" si="233"/>
        <v>-11000</v>
      </c>
      <c r="F150" s="1339">
        <f t="shared" si="234"/>
        <v>-100</v>
      </c>
      <c r="G150" s="1223">
        <f t="shared" si="235"/>
        <v>11000</v>
      </c>
      <c r="H150" s="1336"/>
      <c r="I150" s="1336">
        <f t="shared" si="236"/>
        <v>-11000</v>
      </c>
      <c r="J150" s="1339">
        <f t="shared" si="237"/>
        <v>-100</v>
      </c>
      <c r="K150" s="1223">
        <f t="shared" si="238"/>
        <v>11000</v>
      </c>
      <c r="L150" s="1336"/>
      <c r="M150" s="1336">
        <f t="shared" si="239"/>
        <v>-11000</v>
      </c>
      <c r="N150" s="1339">
        <f t="shared" si="240"/>
        <v>-100</v>
      </c>
      <c r="O150" s="1223">
        <f t="shared" si="241"/>
        <v>11000</v>
      </c>
      <c r="P150" s="1336"/>
      <c r="Q150" s="1336">
        <f t="shared" si="242"/>
        <v>-11000</v>
      </c>
      <c r="R150" s="1339">
        <f t="shared" si="243"/>
        <v>-100</v>
      </c>
      <c r="S150" s="1223">
        <f t="shared" si="266"/>
        <v>11000</v>
      </c>
      <c r="T150" s="1336"/>
      <c r="U150" s="1336">
        <f t="shared" si="244"/>
        <v>-11000</v>
      </c>
      <c r="V150" s="1339">
        <f t="shared" si="245"/>
        <v>-100</v>
      </c>
      <c r="W150" s="1223">
        <f t="shared" si="246"/>
        <v>11000</v>
      </c>
      <c r="X150" s="1336"/>
      <c r="Y150" s="1336">
        <f t="shared" si="247"/>
        <v>-11000</v>
      </c>
      <c r="Z150" s="1339">
        <f t="shared" si="248"/>
        <v>-100</v>
      </c>
      <c r="AA150" s="1223">
        <f t="shared" si="249"/>
        <v>11000</v>
      </c>
      <c r="AB150" s="1336"/>
      <c r="AC150" s="1336">
        <f t="shared" si="250"/>
        <v>-11000</v>
      </c>
      <c r="AD150" s="1339">
        <f t="shared" si="251"/>
        <v>-100</v>
      </c>
      <c r="AE150" s="1223">
        <f t="shared" si="252"/>
        <v>11000</v>
      </c>
      <c r="AF150" s="1336"/>
      <c r="AG150" s="1336">
        <f t="shared" si="253"/>
        <v>-11000</v>
      </c>
      <c r="AH150" s="1339">
        <f t="shared" si="254"/>
        <v>-100</v>
      </c>
      <c r="AI150" s="1223">
        <f t="shared" si="267"/>
        <v>11000</v>
      </c>
      <c r="AJ150" s="1336"/>
      <c r="AK150" s="1336">
        <f t="shared" si="255"/>
        <v>-11000</v>
      </c>
      <c r="AL150" s="1339">
        <f t="shared" si="256"/>
        <v>-100</v>
      </c>
      <c r="AM150" s="1223">
        <f t="shared" si="257"/>
        <v>11000</v>
      </c>
      <c r="AN150" s="1336"/>
      <c r="AO150" s="1336">
        <f t="shared" si="258"/>
        <v>-11000</v>
      </c>
      <c r="AP150" s="1339">
        <f t="shared" si="259"/>
        <v>-100</v>
      </c>
      <c r="AQ150" s="1223">
        <f t="shared" si="260"/>
        <v>11000</v>
      </c>
      <c r="AR150" s="1336"/>
      <c r="AS150" s="1336">
        <f t="shared" si="261"/>
        <v>-11000</v>
      </c>
      <c r="AT150" s="1339">
        <f t="shared" si="262"/>
        <v>-100</v>
      </c>
      <c r="AU150" s="1223">
        <f t="shared" si="263"/>
        <v>11000</v>
      </c>
      <c r="AV150" s="1336"/>
      <c r="AW150" s="1336">
        <f t="shared" si="264"/>
        <v>-11000</v>
      </c>
      <c r="AX150" s="1267">
        <f t="shared" si="265"/>
        <v>-100</v>
      </c>
      <c r="AY150" s="1235">
        <f t="shared" si="232"/>
        <v>132000</v>
      </c>
      <c r="AZ150" s="1189">
        <f t="shared" si="232"/>
        <v>0</v>
      </c>
      <c r="BB150" s="12"/>
    </row>
    <row r="151" spans="1:54" s="119" customFormat="1" ht="18" customHeight="1" x14ac:dyDescent="0.25">
      <c r="A151" s="170">
        <v>12334</v>
      </c>
      <c r="B151" s="332" t="s">
        <v>82</v>
      </c>
      <c r="C151" s="1223">
        <v>31000</v>
      </c>
      <c r="D151" s="1336"/>
      <c r="E151" s="1336">
        <f t="shared" si="233"/>
        <v>-31000</v>
      </c>
      <c r="F151" s="1339">
        <f t="shared" si="234"/>
        <v>-100</v>
      </c>
      <c r="G151" s="1223">
        <f t="shared" si="235"/>
        <v>31000</v>
      </c>
      <c r="H151" s="1336"/>
      <c r="I151" s="1336">
        <f t="shared" si="236"/>
        <v>-31000</v>
      </c>
      <c r="J151" s="1339">
        <f t="shared" si="237"/>
        <v>-100</v>
      </c>
      <c r="K151" s="1223">
        <f t="shared" si="238"/>
        <v>31000</v>
      </c>
      <c r="L151" s="1336"/>
      <c r="M151" s="1336">
        <f t="shared" si="239"/>
        <v>-31000</v>
      </c>
      <c r="N151" s="1339">
        <f t="shared" si="240"/>
        <v>-100</v>
      </c>
      <c r="O151" s="1223">
        <f t="shared" si="241"/>
        <v>31000</v>
      </c>
      <c r="P151" s="1336"/>
      <c r="Q151" s="1336">
        <f t="shared" si="242"/>
        <v>-31000</v>
      </c>
      <c r="R151" s="1339">
        <f t="shared" si="243"/>
        <v>-100</v>
      </c>
      <c r="S151" s="1223">
        <f t="shared" si="266"/>
        <v>31000</v>
      </c>
      <c r="T151" s="1336"/>
      <c r="U151" s="1336">
        <f t="shared" si="244"/>
        <v>-31000</v>
      </c>
      <c r="V151" s="1339">
        <f t="shared" si="245"/>
        <v>-100</v>
      </c>
      <c r="W151" s="1223">
        <f t="shared" si="246"/>
        <v>31000</v>
      </c>
      <c r="X151" s="1336"/>
      <c r="Y151" s="1336">
        <f t="shared" si="247"/>
        <v>-31000</v>
      </c>
      <c r="Z151" s="1339">
        <f t="shared" si="248"/>
        <v>-100</v>
      </c>
      <c r="AA151" s="1223">
        <f t="shared" si="249"/>
        <v>31000</v>
      </c>
      <c r="AB151" s="1336"/>
      <c r="AC151" s="1336">
        <f t="shared" si="250"/>
        <v>-31000</v>
      </c>
      <c r="AD151" s="1339">
        <f t="shared" si="251"/>
        <v>-100</v>
      </c>
      <c r="AE151" s="1223">
        <f t="shared" si="252"/>
        <v>31000</v>
      </c>
      <c r="AF151" s="1336"/>
      <c r="AG151" s="1336">
        <f t="shared" si="253"/>
        <v>-31000</v>
      </c>
      <c r="AH151" s="1339">
        <f t="shared" si="254"/>
        <v>-100</v>
      </c>
      <c r="AI151" s="1223">
        <f t="shared" si="267"/>
        <v>31000</v>
      </c>
      <c r="AJ151" s="1336"/>
      <c r="AK151" s="1336">
        <f t="shared" si="255"/>
        <v>-31000</v>
      </c>
      <c r="AL151" s="1339">
        <f t="shared" si="256"/>
        <v>-100</v>
      </c>
      <c r="AM151" s="1223">
        <f t="shared" si="257"/>
        <v>31000</v>
      </c>
      <c r="AN151" s="1336"/>
      <c r="AO151" s="1336">
        <f t="shared" si="258"/>
        <v>-31000</v>
      </c>
      <c r="AP151" s="1339">
        <f t="shared" si="259"/>
        <v>-100</v>
      </c>
      <c r="AQ151" s="1223">
        <f t="shared" si="260"/>
        <v>31000</v>
      </c>
      <c r="AR151" s="1336"/>
      <c r="AS151" s="1336">
        <f t="shared" si="261"/>
        <v>-31000</v>
      </c>
      <c r="AT151" s="1339">
        <f t="shared" si="262"/>
        <v>-100</v>
      </c>
      <c r="AU151" s="1223">
        <f t="shared" si="263"/>
        <v>31000</v>
      </c>
      <c r="AV151" s="1336"/>
      <c r="AW151" s="1336">
        <f t="shared" si="264"/>
        <v>-31000</v>
      </c>
      <c r="AX151" s="1267">
        <f t="shared" si="265"/>
        <v>-100</v>
      </c>
      <c r="AY151" s="1235">
        <f t="shared" si="232"/>
        <v>372000</v>
      </c>
      <c r="AZ151" s="1189">
        <f t="shared" si="232"/>
        <v>0</v>
      </c>
      <c r="BB151" s="12"/>
    </row>
    <row r="152" spans="1:54" s="119" customFormat="1" ht="18" customHeight="1" x14ac:dyDescent="0.25">
      <c r="A152" s="170">
        <v>12893</v>
      </c>
      <c r="B152" s="332" t="s">
        <v>206</v>
      </c>
      <c r="C152" s="1223">
        <v>28000</v>
      </c>
      <c r="D152" s="1336"/>
      <c r="E152" s="1336">
        <f t="shared" si="233"/>
        <v>-28000</v>
      </c>
      <c r="F152" s="1339">
        <f t="shared" si="234"/>
        <v>-100</v>
      </c>
      <c r="G152" s="1223">
        <f t="shared" si="235"/>
        <v>28000</v>
      </c>
      <c r="H152" s="1336"/>
      <c r="I152" s="1336">
        <f t="shared" si="236"/>
        <v>-28000</v>
      </c>
      <c r="J152" s="1339">
        <f t="shared" si="237"/>
        <v>-100</v>
      </c>
      <c r="K152" s="1223">
        <f t="shared" si="238"/>
        <v>28000</v>
      </c>
      <c r="L152" s="1336"/>
      <c r="M152" s="1336">
        <f t="shared" si="239"/>
        <v>-28000</v>
      </c>
      <c r="N152" s="1339">
        <f t="shared" si="240"/>
        <v>-100</v>
      </c>
      <c r="O152" s="1223">
        <f t="shared" si="241"/>
        <v>28000</v>
      </c>
      <c r="P152" s="1336"/>
      <c r="Q152" s="1336">
        <f t="shared" si="242"/>
        <v>-28000</v>
      </c>
      <c r="R152" s="1339">
        <f t="shared" si="243"/>
        <v>-100</v>
      </c>
      <c r="S152" s="1223">
        <f t="shared" si="266"/>
        <v>28000</v>
      </c>
      <c r="T152" s="1336"/>
      <c r="U152" s="1336">
        <f t="shared" si="244"/>
        <v>-28000</v>
      </c>
      <c r="V152" s="1339">
        <f t="shared" si="245"/>
        <v>-100</v>
      </c>
      <c r="W152" s="1223">
        <f t="shared" si="246"/>
        <v>28000</v>
      </c>
      <c r="X152" s="1336"/>
      <c r="Y152" s="1336">
        <f t="shared" si="247"/>
        <v>-28000</v>
      </c>
      <c r="Z152" s="1339">
        <f t="shared" si="248"/>
        <v>-100</v>
      </c>
      <c r="AA152" s="1223">
        <f t="shared" si="249"/>
        <v>28000</v>
      </c>
      <c r="AB152" s="1336"/>
      <c r="AC152" s="1336">
        <f t="shared" si="250"/>
        <v>-28000</v>
      </c>
      <c r="AD152" s="1339">
        <f t="shared" si="251"/>
        <v>-100</v>
      </c>
      <c r="AE152" s="1223">
        <f t="shared" si="252"/>
        <v>28000</v>
      </c>
      <c r="AF152" s="1336"/>
      <c r="AG152" s="1336">
        <f t="shared" si="253"/>
        <v>-28000</v>
      </c>
      <c r="AH152" s="1339">
        <f t="shared" si="254"/>
        <v>-100</v>
      </c>
      <c r="AI152" s="1223">
        <f t="shared" si="267"/>
        <v>28000</v>
      </c>
      <c r="AJ152" s="1336"/>
      <c r="AK152" s="1336">
        <f t="shared" si="255"/>
        <v>-28000</v>
      </c>
      <c r="AL152" s="1339">
        <f t="shared" si="256"/>
        <v>-100</v>
      </c>
      <c r="AM152" s="1223">
        <f t="shared" si="257"/>
        <v>28000</v>
      </c>
      <c r="AN152" s="1336"/>
      <c r="AO152" s="1336">
        <f t="shared" si="258"/>
        <v>-28000</v>
      </c>
      <c r="AP152" s="1339">
        <f t="shared" si="259"/>
        <v>-100</v>
      </c>
      <c r="AQ152" s="1223">
        <f t="shared" si="260"/>
        <v>28000</v>
      </c>
      <c r="AR152" s="1336"/>
      <c r="AS152" s="1336">
        <f t="shared" si="261"/>
        <v>-28000</v>
      </c>
      <c r="AT152" s="1339">
        <f t="shared" si="262"/>
        <v>-100</v>
      </c>
      <c r="AU152" s="1223">
        <f t="shared" si="263"/>
        <v>28000</v>
      </c>
      <c r="AV152" s="1336"/>
      <c r="AW152" s="1336">
        <f t="shared" si="264"/>
        <v>-28000</v>
      </c>
      <c r="AX152" s="1267">
        <f t="shared" si="265"/>
        <v>-100</v>
      </c>
      <c r="AY152" s="1235">
        <f t="shared" si="232"/>
        <v>336000</v>
      </c>
      <c r="AZ152" s="1189">
        <f t="shared" si="232"/>
        <v>0</v>
      </c>
      <c r="BB152" s="12"/>
    </row>
    <row r="153" spans="1:54" s="119" customFormat="1" ht="18" customHeight="1" x14ac:dyDescent="0.25">
      <c r="A153" s="170">
        <v>12282</v>
      </c>
      <c r="B153" s="152" t="s">
        <v>211</v>
      </c>
      <c r="C153" s="1223">
        <v>25500</v>
      </c>
      <c r="D153" s="1336"/>
      <c r="E153" s="1336">
        <f t="shared" si="233"/>
        <v>-25500</v>
      </c>
      <c r="F153" s="1339">
        <f t="shared" si="234"/>
        <v>-100</v>
      </c>
      <c r="G153" s="1223">
        <f t="shared" si="235"/>
        <v>25500</v>
      </c>
      <c r="H153" s="1336"/>
      <c r="I153" s="1336">
        <f t="shared" si="236"/>
        <v>-25500</v>
      </c>
      <c r="J153" s="1339">
        <f t="shared" si="237"/>
        <v>-100</v>
      </c>
      <c r="K153" s="1223">
        <f t="shared" si="238"/>
        <v>25500</v>
      </c>
      <c r="L153" s="1336"/>
      <c r="M153" s="1336">
        <f t="shared" si="239"/>
        <v>-25500</v>
      </c>
      <c r="N153" s="1339">
        <f t="shared" si="240"/>
        <v>-100</v>
      </c>
      <c r="O153" s="1223">
        <f t="shared" si="241"/>
        <v>25500</v>
      </c>
      <c r="P153" s="1336"/>
      <c r="Q153" s="1336">
        <f t="shared" si="242"/>
        <v>-25500</v>
      </c>
      <c r="R153" s="1339">
        <f t="shared" si="243"/>
        <v>-100</v>
      </c>
      <c r="S153" s="1223">
        <f t="shared" si="266"/>
        <v>25500</v>
      </c>
      <c r="T153" s="1336"/>
      <c r="U153" s="1336">
        <f t="shared" si="244"/>
        <v>-25500</v>
      </c>
      <c r="V153" s="1339">
        <f t="shared" si="245"/>
        <v>-100</v>
      </c>
      <c r="W153" s="1223">
        <f t="shared" si="246"/>
        <v>25500</v>
      </c>
      <c r="X153" s="1336"/>
      <c r="Y153" s="1336">
        <f t="shared" si="247"/>
        <v>-25500</v>
      </c>
      <c r="Z153" s="1339">
        <f t="shared" si="248"/>
        <v>-100</v>
      </c>
      <c r="AA153" s="1223">
        <f t="shared" si="249"/>
        <v>25500</v>
      </c>
      <c r="AB153" s="1336"/>
      <c r="AC153" s="1336">
        <f t="shared" si="250"/>
        <v>-25500</v>
      </c>
      <c r="AD153" s="1339">
        <f t="shared" si="251"/>
        <v>-100</v>
      </c>
      <c r="AE153" s="1223">
        <f t="shared" si="252"/>
        <v>25500</v>
      </c>
      <c r="AF153" s="1336"/>
      <c r="AG153" s="1336">
        <f t="shared" si="253"/>
        <v>-25500</v>
      </c>
      <c r="AH153" s="1339">
        <f t="shared" si="254"/>
        <v>-100</v>
      </c>
      <c r="AI153" s="1223">
        <f t="shared" si="267"/>
        <v>25500</v>
      </c>
      <c r="AJ153" s="1336"/>
      <c r="AK153" s="1336">
        <f t="shared" si="255"/>
        <v>-25500</v>
      </c>
      <c r="AL153" s="1339">
        <f t="shared" si="256"/>
        <v>-100</v>
      </c>
      <c r="AM153" s="1223">
        <f t="shared" si="257"/>
        <v>25500</v>
      </c>
      <c r="AN153" s="1336"/>
      <c r="AO153" s="1336">
        <f t="shared" si="258"/>
        <v>-25500</v>
      </c>
      <c r="AP153" s="1339">
        <f t="shared" si="259"/>
        <v>-100</v>
      </c>
      <c r="AQ153" s="1223">
        <f t="shared" si="260"/>
        <v>25500</v>
      </c>
      <c r="AR153" s="1336"/>
      <c r="AS153" s="1336">
        <f t="shared" si="261"/>
        <v>-25500</v>
      </c>
      <c r="AT153" s="1339">
        <f t="shared" si="262"/>
        <v>-100</v>
      </c>
      <c r="AU153" s="1223">
        <f t="shared" si="263"/>
        <v>25500</v>
      </c>
      <c r="AV153" s="1336"/>
      <c r="AW153" s="1336">
        <f t="shared" si="264"/>
        <v>-25500</v>
      </c>
      <c r="AX153" s="1267">
        <f t="shared" si="265"/>
        <v>-100</v>
      </c>
      <c r="AY153" s="1235">
        <f t="shared" si="232"/>
        <v>306000</v>
      </c>
      <c r="AZ153" s="1189">
        <f t="shared" si="232"/>
        <v>0</v>
      </c>
      <c r="BB153" s="12"/>
    </row>
    <row r="154" spans="1:54" s="119" customFormat="1" ht="18" customHeight="1" x14ac:dyDescent="0.25">
      <c r="A154" s="170">
        <v>51665</v>
      </c>
      <c r="B154" s="152" t="s">
        <v>212</v>
      </c>
      <c r="C154" s="1223">
        <v>60000</v>
      </c>
      <c r="D154" s="1336"/>
      <c r="E154" s="1336">
        <f t="shared" si="233"/>
        <v>-60000</v>
      </c>
      <c r="F154" s="1339">
        <f t="shared" si="234"/>
        <v>-100</v>
      </c>
      <c r="G154" s="1223">
        <f t="shared" si="235"/>
        <v>60000</v>
      </c>
      <c r="H154" s="1336"/>
      <c r="I154" s="1336">
        <f t="shared" si="236"/>
        <v>-60000</v>
      </c>
      <c r="J154" s="1339">
        <f t="shared" si="237"/>
        <v>-100</v>
      </c>
      <c r="K154" s="1223">
        <f t="shared" si="238"/>
        <v>60000</v>
      </c>
      <c r="L154" s="1336"/>
      <c r="M154" s="1336">
        <f t="shared" si="239"/>
        <v>-60000</v>
      </c>
      <c r="N154" s="1339">
        <f t="shared" si="240"/>
        <v>-100</v>
      </c>
      <c r="O154" s="1223">
        <f t="shared" si="241"/>
        <v>60000</v>
      </c>
      <c r="P154" s="1336"/>
      <c r="Q154" s="1336">
        <f t="shared" si="242"/>
        <v>-60000</v>
      </c>
      <c r="R154" s="1339">
        <f t="shared" si="243"/>
        <v>-100</v>
      </c>
      <c r="S154" s="1223">
        <f t="shared" si="266"/>
        <v>60000</v>
      </c>
      <c r="T154" s="1336"/>
      <c r="U154" s="1336">
        <f t="shared" si="244"/>
        <v>-60000</v>
      </c>
      <c r="V154" s="1339">
        <f t="shared" si="245"/>
        <v>-100</v>
      </c>
      <c r="W154" s="1223">
        <f t="shared" si="246"/>
        <v>60000</v>
      </c>
      <c r="X154" s="1336"/>
      <c r="Y154" s="1336">
        <f t="shared" si="247"/>
        <v>-60000</v>
      </c>
      <c r="Z154" s="1339">
        <f t="shared" si="248"/>
        <v>-100</v>
      </c>
      <c r="AA154" s="1223">
        <f t="shared" si="249"/>
        <v>60000</v>
      </c>
      <c r="AB154" s="1336"/>
      <c r="AC154" s="1336">
        <f t="shared" si="250"/>
        <v>-60000</v>
      </c>
      <c r="AD154" s="1339">
        <f t="shared" si="251"/>
        <v>-100</v>
      </c>
      <c r="AE154" s="1223">
        <f t="shared" si="252"/>
        <v>60000</v>
      </c>
      <c r="AF154" s="1336"/>
      <c r="AG154" s="1336">
        <f t="shared" si="253"/>
        <v>-60000</v>
      </c>
      <c r="AH154" s="1339">
        <f t="shared" si="254"/>
        <v>-100</v>
      </c>
      <c r="AI154" s="1223">
        <f t="shared" si="267"/>
        <v>60000</v>
      </c>
      <c r="AJ154" s="1336"/>
      <c r="AK154" s="1336">
        <f t="shared" si="255"/>
        <v>-60000</v>
      </c>
      <c r="AL154" s="1339">
        <f t="shared" si="256"/>
        <v>-100</v>
      </c>
      <c r="AM154" s="1223">
        <f t="shared" si="257"/>
        <v>60000</v>
      </c>
      <c r="AN154" s="1336"/>
      <c r="AO154" s="1336">
        <f t="shared" si="258"/>
        <v>-60000</v>
      </c>
      <c r="AP154" s="1339">
        <f t="shared" si="259"/>
        <v>-100</v>
      </c>
      <c r="AQ154" s="1223">
        <f t="shared" si="260"/>
        <v>60000</v>
      </c>
      <c r="AR154" s="1336"/>
      <c r="AS154" s="1336">
        <f t="shared" si="261"/>
        <v>-60000</v>
      </c>
      <c r="AT154" s="1339">
        <f t="shared" si="262"/>
        <v>-100</v>
      </c>
      <c r="AU154" s="1223">
        <f t="shared" si="263"/>
        <v>60000</v>
      </c>
      <c r="AV154" s="1336"/>
      <c r="AW154" s="1336">
        <f t="shared" si="264"/>
        <v>-60000</v>
      </c>
      <c r="AX154" s="1267">
        <f t="shared" si="265"/>
        <v>-100</v>
      </c>
      <c r="AY154" s="1235">
        <f t="shared" si="232"/>
        <v>720000</v>
      </c>
      <c r="AZ154" s="1189">
        <f t="shared" si="232"/>
        <v>0</v>
      </c>
      <c r="BB154" s="12"/>
    </row>
    <row r="155" spans="1:54" s="119" customFormat="1" ht="18" customHeight="1" x14ac:dyDescent="0.25">
      <c r="A155" s="170">
        <v>51667</v>
      </c>
      <c r="B155" s="152" t="s">
        <v>85</v>
      </c>
      <c r="C155" s="1223">
        <v>7000</v>
      </c>
      <c r="D155" s="1336"/>
      <c r="E155" s="1336">
        <f t="shared" si="233"/>
        <v>-7000</v>
      </c>
      <c r="F155" s="1339">
        <f t="shared" si="234"/>
        <v>-100</v>
      </c>
      <c r="G155" s="1223">
        <f t="shared" si="235"/>
        <v>7000</v>
      </c>
      <c r="H155" s="1336"/>
      <c r="I155" s="1336">
        <f t="shared" si="236"/>
        <v>-7000</v>
      </c>
      <c r="J155" s="1339">
        <f t="shared" si="237"/>
        <v>-100</v>
      </c>
      <c r="K155" s="1223">
        <f t="shared" si="238"/>
        <v>7000</v>
      </c>
      <c r="L155" s="1336"/>
      <c r="M155" s="1336">
        <f t="shared" si="239"/>
        <v>-7000</v>
      </c>
      <c r="N155" s="1339">
        <f t="shared" si="240"/>
        <v>-100</v>
      </c>
      <c r="O155" s="1223">
        <f t="shared" si="241"/>
        <v>7000</v>
      </c>
      <c r="P155" s="1336"/>
      <c r="Q155" s="1336">
        <f t="shared" si="242"/>
        <v>-7000</v>
      </c>
      <c r="R155" s="1339">
        <f t="shared" si="243"/>
        <v>-100</v>
      </c>
      <c r="S155" s="1223">
        <f t="shared" si="266"/>
        <v>7000</v>
      </c>
      <c r="T155" s="1336"/>
      <c r="U155" s="1336">
        <f t="shared" si="244"/>
        <v>-7000</v>
      </c>
      <c r="V155" s="1339">
        <f t="shared" si="245"/>
        <v>-100</v>
      </c>
      <c r="W155" s="1223">
        <f t="shared" si="246"/>
        <v>7000</v>
      </c>
      <c r="X155" s="1336"/>
      <c r="Y155" s="1336">
        <f t="shared" si="247"/>
        <v>-7000</v>
      </c>
      <c r="Z155" s="1339">
        <f t="shared" si="248"/>
        <v>-100</v>
      </c>
      <c r="AA155" s="1223">
        <f t="shared" si="249"/>
        <v>7000</v>
      </c>
      <c r="AB155" s="1336"/>
      <c r="AC155" s="1336">
        <f t="shared" si="250"/>
        <v>-7000</v>
      </c>
      <c r="AD155" s="1339">
        <f t="shared" si="251"/>
        <v>-100</v>
      </c>
      <c r="AE155" s="1223">
        <f t="shared" si="252"/>
        <v>7000</v>
      </c>
      <c r="AF155" s="1336"/>
      <c r="AG155" s="1336">
        <f t="shared" si="253"/>
        <v>-7000</v>
      </c>
      <c r="AH155" s="1339">
        <f t="shared" si="254"/>
        <v>-100</v>
      </c>
      <c r="AI155" s="1223">
        <f t="shared" si="267"/>
        <v>7000</v>
      </c>
      <c r="AJ155" s="1336"/>
      <c r="AK155" s="1336">
        <f t="shared" si="255"/>
        <v>-7000</v>
      </c>
      <c r="AL155" s="1339">
        <f t="shared" si="256"/>
        <v>-100</v>
      </c>
      <c r="AM155" s="1223">
        <f t="shared" si="257"/>
        <v>7000</v>
      </c>
      <c r="AN155" s="1336"/>
      <c r="AO155" s="1336">
        <f t="shared" si="258"/>
        <v>-7000</v>
      </c>
      <c r="AP155" s="1339">
        <f t="shared" si="259"/>
        <v>-100</v>
      </c>
      <c r="AQ155" s="1223">
        <f t="shared" si="260"/>
        <v>7000</v>
      </c>
      <c r="AR155" s="1336"/>
      <c r="AS155" s="1336">
        <f t="shared" si="261"/>
        <v>-7000</v>
      </c>
      <c r="AT155" s="1339">
        <f t="shared" si="262"/>
        <v>-100</v>
      </c>
      <c r="AU155" s="1223">
        <f t="shared" si="263"/>
        <v>7000</v>
      </c>
      <c r="AV155" s="1336"/>
      <c r="AW155" s="1336">
        <f t="shared" si="264"/>
        <v>-7000</v>
      </c>
      <c r="AX155" s="1267">
        <f t="shared" si="265"/>
        <v>-100</v>
      </c>
      <c r="AY155" s="1235">
        <f t="shared" si="232"/>
        <v>84000</v>
      </c>
      <c r="AZ155" s="1189">
        <f t="shared" si="232"/>
        <v>0</v>
      </c>
      <c r="BB155" s="12"/>
    </row>
    <row r="156" spans="1:54" s="119" customFormat="1" ht="18" customHeight="1" x14ac:dyDescent="0.25">
      <c r="A156" s="170">
        <v>51666</v>
      </c>
      <c r="B156" s="152" t="s">
        <v>84</v>
      </c>
      <c r="C156" s="1223">
        <v>23000</v>
      </c>
      <c r="D156" s="1336"/>
      <c r="E156" s="1336">
        <f t="shared" si="233"/>
        <v>-23000</v>
      </c>
      <c r="F156" s="1339">
        <f t="shared" si="234"/>
        <v>-100</v>
      </c>
      <c r="G156" s="1223">
        <f t="shared" si="235"/>
        <v>23000</v>
      </c>
      <c r="H156" s="1336"/>
      <c r="I156" s="1336">
        <f t="shared" si="236"/>
        <v>-23000</v>
      </c>
      <c r="J156" s="1339">
        <f t="shared" si="237"/>
        <v>-100</v>
      </c>
      <c r="K156" s="1223">
        <f t="shared" si="238"/>
        <v>23000</v>
      </c>
      <c r="L156" s="1336"/>
      <c r="M156" s="1336">
        <f t="shared" si="239"/>
        <v>-23000</v>
      </c>
      <c r="N156" s="1339">
        <f t="shared" si="240"/>
        <v>-100</v>
      </c>
      <c r="O156" s="1223">
        <f t="shared" si="241"/>
        <v>23000</v>
      </c>
      <c r="P156" s="1336"/>
      <c r="Q156" s="1336">
        <f t="shared" si="242"/>
        <v>-23000</v>
      </c>
      <c r="R156" s="1339">
        <f t="shared" si="243"/>
        <v>-100</v>
      </c>
      <c r="S156" s="1223">
        <f t="shared" si="266"/>
        <v>23000</v>
      </c>
      <c r="T156" s="1336"/>
      <c r="U156" s="1336">
        <f t="shared" si="244"/>
        <v>-23000</v>
      </c>
      <c r="V156" s="1339">
        <f t="shared" si="245"/>
        <v>-100</v>
      </c>
      <c r="W156" s="1223">
        <f t="shared" si="246"/>
        <v>23000</v>
      </c>
      <c r="X156" s="1336"/>
      <c r="Y156" s="1336">
        <f t="shared" si="247"/>
        <v>-23000</v>
      </c>
      <c r="Z156" s="1339">
        <f t="shared" si="248"/>
        <v>-100</v>
      </c>
      <c r="AA156" s="1223">
        <f t="shared" si="249"/>
        <v>23000</v>
      </c>
      <c r="AB156" s="1336"/>
      <c r="AC156" s="1336">
        <f t="shared" si="250"/>
        <v>-23000</v>
      </c>
      <c r="AD156" s="1339">
        <f t="shared" si="251"/>
        <v>-100</v>
      </c>
      <c r="AE156" s="1223">
        <f t="shared" si="252"/>
        <v>23000</v>
      </c>
      <c r="AF156" s="1336"/>
      <c r="AG156" s="1336">
        <f t="shared" si="253"/>
        <v>-23000</v>
      </c>
      <c r="AH156" s="1339">
        <f t="shared" si="254"/>
        <v>-100</v>
      </c>
      <c r="AI156" s="1223">
        <f t="shared" si="267"/>
        <v>23000</v>
      </c>
      <c r="AJ156" s="1336"/>
      <c r="AK156" s="1336">
        <f t="shared" si="255"/>
        <v>-23000</v>
      </c>
      <c r="AL156" s="1339">
        <f t="shared" si="256"/>
        <v>-100</v>
      </c>
      <c r="AM156" s="1223">
        <f t="shared" si="257"/>
        <v>23000</v>
      </c>
      <c r="AN156" s="1336"/>
      <c r="AO156" s="1336">
        <f t="shared" si="258"/>
        <v>-23000</v>
      </c>
      <c r="AP156" s="1339">
        <f t="shared" si="259"/>
        <v>-100</v>
      </c>
      <c r="AQ156" s="1223">
        <f t="shared" si="260"/>
        <v>23000</v>
      </c>
      <c r="AR156" s="1336"/>
      <c r="AS156" s="1336">
        <f t="shared" si="261"/>
        <v>-23000</v>
      </c>
      <c r="AT156" s="1339">
        <f t="shared" si="262"/>
        <v>-100</v>
      </c>
      <c r="AU156" s="1223">
        <f t="shared" si="263"/>
        <v>23000</v>
      </c>
      <c r="AV156" s="1336"/>
      <c r="AW156" s="1336">
        <f t="shared" si="264"/>
        <v>-23000</v>
      </c>
      <c r="AX156" s="1267">
        <f t="shared" si="265"/>
        <v>-100</v>
      </c>
      <c r="AY156" s="1235">
        <f t="shared" si="232"/>
        <v>276000</v>
      </c>
      <c r="AZ156" s="1189">
        <f t="shared" si="232"/>
        <v>0</v>
      </c>
      <c r="BB156" s="12"/>
    </row>
    <row r="157" spans="1:54" s="119" customFormat="1" ht="18" customHeight="1" x14ac:dyDescent="0.25">
      <c r="A157" s="170">
        <v>12284</v>
      </c>
      <c r="B157" s="152" t="s">
        <v>207</v>
      </c>
      <c r="C157" s="1223">
        <v>17000</v>
      </c>
      <c r="D157" s="1336"/>
      <c r="E157" s="1336">
        <f t="shared" si="233"/>
        <v>-17000</v>
      </c>
      <c r="F157" s="1339">
        <f t="shared" si="234"/>
        <v>-100</v>
      </c>
      <c r="G157" s="1223">
        <f t="shared" si="235"/>
        <v>17000</v>
      </c>
      <c r="H157" s="1336"/>
      <c r="I157" s="1336">
        <f t="shared" si="236"/>
        <v>-17000</v>
      </c>
      <c r="J157" s="1339">
        <f t="shared" si="237"/>
        <v>-100</v>
      </c>
      <c r="K157" s="1223">
        <f t="shared" si="238"/>
        <v>17000</v>
      </c>
      <c r="L157" s="1336"/>
      <c r="M157" s="1336">
        <f t="shared" si="239"/>
        <v>-17000</v>
      </c>
      <c r="N157" s="1339">
        <f t="shared" si="240"/>
        <v>-100</v>
      </c>
      <c r="O157" s="1223">
        <f t="shared" si="241"/>
        <v>17000</v>
      </c>
      <c r="P157" s="1336"/>
      <c r="Q157" s="1336">
        <f t="shared" si="242"/>
        <v>-17000</v>
      </c>
      <c r="R157" s="1339">
        <f t="shared" si="243"/>
        <v>-100</v>
      </c>
      <c r="S157" s="1223">
        <f t="shared" si="266"/>
        <v>17000</v>
      </c>
      <c r="T157" s="1336"/>
      <c r="U157" s="1336">
        <f t="shared" si="244"/>
        <v>-17000</v>
      </c>
      <c r="V157" s="1339">
        <f t="shared" si="245"/>
        <v>-100</v>
      </c>
      <c r="W157" s="1223">
        <f t="shared" si="246"/>
        <v>17000</v>
      </c>
      <c r="X157" s="1336"/>
      <c r="Y157" s="1336">
        <f t="shared" si="247"/>
        <v>-17000</v>
      </c>
      <c r="Z157" s="1339">
        <f t="shared" si="248"/>
        <v>-100</v>
      </c>
      <c r="AA157" s="1223">
        <f t="shared" si="249"/>
        <v>17000</v>
      </c>
      <c r="AB157" s="1336"/>
      <c r="AC157" s="1336">
        <f t="shared" si="250"/>
        <v>-17000</v>
      </c>
      <c r="AD157" s="1339">
        <f t="shared" si="251"/>
        <v>-100</v>
      </c>
      <c r="AE157" s="1223">
        <f t="shared" si="252"/>
        <v>17000</v>
      </c>
      <c r="AF157" s="1336"/>
      <c r="AG157" s="1336">
        <f t="shared" si="253"/>
        <v>-17000</v>
      </c>
      <c r="AH157" s="1339">
        <f t="shared" si="254"/>
        <v>-100</v>
      </c>
      <c r="AI157" s="1223">
        <f t="shared" si="267"/>
        <v>17000</v>
      </c>
      <c r="AJ157" s="1336"/>
      <c r="AK157" s="1336">
        <f t="shared" si="255"/>
        <v>-17000</v>
      </c>
      <c r="AL157" s="1339">
        <f t="shared" si="256"/>
        <v>-100</v>
      </c>
      <c r="AM157" s="1223">
        <f t="shared" si="257"/>
        <v>17000</v>
      </c>
      <c r="AN157" s="1336"/>
      <c r="AO157" s="1336">
        <f t="shared" si="258"/>
        <v>-17000</v>
      </c>
      <c r="AP157" s="1339">
        <f t="shared" si="259"/>
        <v>-100</v>
      </c>
      <c r="AQ157" s="1223">
        <f t="shared" si="260"/>
        <v>17000</v>
      </c>
      <c r="AR157" s="1336"/>
      <c r="AS157" s="1336">
        <f t="shared" si="261"/>
        <v>-17000</v>
      </c>
      <c r="AT157" s="1339">
        <f t="shared" si="262"/>
        <v>-100</v>
      </c>
      <c r="AU157" s="1223">
        <f t="shared" si="263"/>
        <v>17000</v>
      </c>
      <c r="AV157" s="1336"/>
      <c r="AW157" s="1336">
        <f t="shared" si="264"/>
        <v>-17000</v>
      </c>
      <c r="AX157" s="1267">
        <f t="shared" si="265"/>
        <v>-100</v>
      </c>
      <c r="AY157" s="1235">
        <f t="shared" si="232"/>
        <v>204000</v>
      </c>
      <c r="AZ157" s="1189">
        <f t="shared" si="232"/>
        <v>0</v>
      </c>
      <c r="BB157" s="12"/>
    </row>
    <row r="158" spans="1:54" s="119" customFormat="1" ht="18" customHeight="1" x14ac:dyDescent="0.25">
      <c r="A158" s="170">
        <v>12280</v>
      </c>
      <c r="B158" s="152" t="s">
        <v>209</v>
      </c>
      <c r="C158" s="1223">
        <v>23000</v>
      </c>
      <c r="D158" s="1336"/>
      <c r="E158" s="1336">
        <f t="shared" si="233"/>
        <v>-23000</v>
      </c>
      <c r="F158" s="1339">
        <f t="shared" si="234"/>
        <v>-100</v>
      </c>
      <c r="G158" s="1223">
        <f t="shared" si="235"/>
        <v>23000</v>
      </c>
      <c r="H158" s="1336"/>
      <c r="I158" s="1336">
        <f t="shared" si="236"/>
        <v>-23000</v>
      </c>
      <c r="J158" s="1339">
        <f t="shared" si="237"/>
        <v>-100</v>
      </c>
      <c r="K158" s="1223">
        <f t="shared" si="238"/>
        <v>23000</v>
      </c>
      <c r="L158" s="1336"/>
      <c r="M158" s="1336">
        <f t="shared" si="239"/>
        <v>-23000</v>
      </c>
      <c r="N158" s="1339">
        <f t="shared" si="240"/>
        <v>-100</v>
      </c>
      <c r="O158" s="1223">
        <f t="shared" si="241"/>
        <v>23000</v>
      </c>
      <c r="P158" s="1336"/>
      <c r="Q158" s="1336">
        <f t="shared" si="242"/>
        <v>-23000</v>
      </c>
      <c r="R158" s="1339">
        <f t="shared" si="243"/>
        <v>-100</v>
      </c>
      <c r="S158" s="1223">
        <f t="shared" si="266"/>
        <v>23000</v>
      </c>
      <c r="T158" s="1336"/>
      <c r="U158" s="1336">
        <f t="shared" si="244"/>
        <v>-23000</v>
      </c>
      <c r="V158" s="1339">
        <f t="shared" si="245"/>
        <v>-100</v>
      </c>
      <c r="W158" s="1223">
        <f t="shared" si="246"/>
        <v>23000</v>
      </c>
      <c r="X158" s="1336"/>
      <c r="Y158" s="1336">
        <f t="shared" si="247"/>
        <v>-23000</v>
      </c>
      <c r="Z158" s="1339">
        <f t="shared" si="248"/>
        <v>-100</v>
      </c>
      <c r="AA158" s="1223">
        <f t="shared" si="249"/>
        <v>23000</v>
      </c>
      <c r="AB158" s="1336"/>
      <c r="AC158" s="1336">
        <f t="shared" si="250"/>
        <v>-23000</v>
      </c>
      <c r="AD158" s="1339">
        <f t="shared" si="251"/>
        <v>-100</v>
      </c>
      <c r="AE158" s="1223">
        <f t="shared" si="252"/>
        <v>23000</v>
      </c>
      <c r="AF158" s="1336"/>
      <c r="AG158" s="1336">
        <f t="shared" si="253"/>
        <v>-23000</v>
      </c>
      <c r="AH158" s="1339">
        <f t="shared" si="254"/>
        <v>-100</v>
      </c>
      <c r="AI158" s="1223">
        <f t="shared" si="267"/>
        <v>23000</v>
      </c>
      <c r="AJ158" s="1336"/>
      <c r="AK158" s="1336">
        <f t="shared" si="255"/>
        <v>-23000</v>
      </c>
      <c r="AL158" s="1339">
        <f t="shared" si="256"/>
        <v>-100</v>
      </c>
      <c r="AM158" s="1223">
        <f t="shared" si="257"/>
        <v>23000</v>
      </c>
      <c r="AN158" s="1336"/>
      <c r="AO158" s="1336">
        <f t="shared" si="258"/>
        <v>-23000</v>
      </c>
      <c r="AP158" s="1339">
        <f t="shared" si="259"/>
        <v>-100</v>
      </c>
      <c r="AQ158" s="1223">
        <f t="shared" si="260"/>
        <v>23000</v>
      </c>
      <c r="AR158" s="1336"/>
      <c r="AS158" s="1336">
        <f t="shared" si="261"/>
        <v>-23000</v>
      </c>
      <c r="AT158" s="1339">
        <f t="shared" si="262"/>
        <v>-100</v>
      </c>
      <c r="AU158" s="1223">
        <f t="shared" si="263"/>
        <v>23000</v>
      </c>
      <c r="AV158" s="1336"/>
      <c r="AW158" s="1336">
        <f t="shared" si="264"/>
        <v>-23000</v>
      </c>
      <c r="AX158" s="1267">
        <f t="shared" si="265"/>
        <v>-100</v>
      </c>
      <c r="AY158" s="1235">
        <f t="shared" si="232"/>
        <v>276000</v>
      </c>
      <c r="AZ158" s="1189">
        <f t="shared" si="232"/>
        <v>0</v>
      </c>
      <c r="BB158" s="12"/>
    </row>
    <row r="159" spans="1:54" s="119" customFormat="1" ht="31.5" x14ac:dyDescent="0.25">
      <c r="A159" s="170" t="s">
        <v>3656</v>
      </c>
      <c r="B159" s="152" t="s">
        <v>208</v>
      </c>
      <c r="C159" s="1223">
        <v>33000</v>
      </c>
      <c r="D159" s="1336"/>
      <c r="E159" s="1336">
        <f t="shared" si="233"/>
        <v>-33000</v>
      </c>
      <c r="F159" s="1339">
        <f t="shared" si="234"/>
        <v>-100</v>
      </c>
      <c r="G159" s="1223">
        <f t="shared" si="235"/>
        <v>33000</v>
      </c>
      <c r="H159" s="1336"/>
      <c r="I159" s="1336">
        <f t="shared" si="236"/>
        <v>-33000</v>
      </c>
      <c r="J159" s="1339">
        <f t="shared" si="237"/>
        <v>-100</v>
      </c>
      <c r="K159" s="1223">
        <f t="shared" si="238"/>
        <v>33000</v>
      </c>
      <c r="L159" s="1336"/>
      <c r="M159" s="1336">
        <f t="shared" si="239"/>
        <v>-33000</v>
      </c>
      <c r="N159" s="1339">
        <f t="shared" si="240"/>
        <v>-100</v>
      </c>
      <c r="O159" s="1223">
        <f t="shared" si="241"/>
        <v>33000</v>
      </c>
      <c r="P159" s="1336"/>
      <c r="Q159" s="1336">
        <f t="shared" si="242"/>
        <v>-33000</v>
      </c>
      <c r="R159" s="1339">
        <f t="shared" si="243"/>
        <v>-100</v>
      </c>
      <c r="S159" s="1223">
        <f t="shared" si="266"/>
        <v>33000</v>
      </c>
      <c r="T159" s="1336"/>
      <c r="U159" s="1336">
        <f t="shared" si="244"/>
        <v>-33000</v>
      </c>
      <c r="V159" s="1339">
        <f t="shared" si="245"/>
        <v>-100</v>
      </c>
      <c r="W159" s="1223">
        <f t="shared" si="246"/>
        <v>33000</v>
      </c>
      <c r="X159" s="1336"/>
      <c r="Y159" s="1336">
        <f t="shared" si="247"/>
        <v>-33000</v>
      </c>
      <c r="Z159" s="1339">
        <f t="shared" si="248"/>
        <v>-100</v>
      </c>
      <c r="AA159" s="1223">
        <f t="shared" si="249"/>
        <v>33000</v>
      </c>
      <c r="AB159" s="1336"/>
      <c r="AC159" s="1336">
        <f t="shared" si="250"/>
        <v>-33000</v>
      </c>
      <c r="AD159" s="1339">
        <f t="shared" si="251"/>
        <v>-100</v>
      </c>
      <c r="AE159" s="1223">
        <f t="shared" si="252"/>
        <v>33000</v>
      </c>
      <c r="AF159" s="1336"/>
      <c r="AG159" s="1336">
        <f t="shared" si="253"/>
        <v>-33000</v>
      </c>
      <c r="AH159" s="1339">
        <f t="shared" si="254"/>
        <v>-100</v>
      </c>
      <c r="AI159" s="1223">
        <f t="shared" si="267"/>
        <v>33000</v>
      </c>
      <c r="AJ159" s="1336"/>
      <c r="AK159" s="1336">
        <f t="shared" si="255"/>
        <v>-33000</v>
      </c>
      <c r="AL159" s="1339">
        <f t="shared" si="256"/>
        <v>-100</v>
      </c>
      <c r="AM159" s="1223">
        <f t="shared" si="257"/>
        <v>33000</v>
      </c>
      <c r="AN159" s="1336"/>
      <c r="AO159" s="1336">
        <f t="shared" si="258"/>
        <v>-33000</v>
      </c>
      <c r="AP159" s="1339">
        <f t="shared" si="259"/>
        <v>-100</v>
      </c>
      <c r="AQ159" s="1223">
        <f t="shared" si="260"/>
        <v>33000</v>
      </c>
      <c r="AR159" s="1336"/>
      <c r="AS159" s="1336">
        <f t="shared" si="261"/>
        <v>-33000</v>
      </c>
      <c r="AT159" s="1339">
        <f t="shared" si="262"/>
        <v>-100</v>
      </c>
      <c r="AU159" s="1223">
        <f t="shared" si="263"/>
        <v>33000</v>
      </c>
      <c r="AV159" s="1336"/>
      <c r="AW159" s="1336">
        <f t="shared" si="264"/>
        <v>-33000</v>
      </c>
      <c r="AX159" s="1267">
        <f t="shared" si="265"/>
        <v>-100</v>
      </c>
      <c r="AY159" s="1235">
        <f t="shared" si="232"/>
        <v>396000</v>
      </c>
      <c r="AZ159" s="1189">
        <f t="shared" si="232"/>
        <v>0</v>
      </c>
      <c r="BB159" s="12"/>
    </row>
    <row r="160" spans="1:54" s="119" customFormat="1" ht="18" customHeight="1" thickBot="1" x14ac:dyDescent="0.3">
      <c r="A160" s="178">
        <v>51090</v>
      </c>
      <c r="B160" s="180" t="s">
        <v>210</v>
      </c>
      <c r="C160" s="1225">
        <v>18000</v>
      </c>
      <c r="D160" s="1301"/>
      <c r="E160" s="1301">
        <f t="shared" si="233"/>
        <v>-18000</v>
      </c>
      <c r="F160" s="1218">
        <f t="shared" si="234"/>
        <v>-100</v>
      </c>
      <c r="G160" s="1225">
        <f t="shared" si="235"/>
        <v>18000</v>
      </c>
      <c r="H160" s="1301"/>
      <c r="I160" s="1301">
        <f t="shared" si="236"/>
        <v>-18000</v>
      </c>
      <c r="J160" s="1218">
        <f t="shared" si="237"/>
        <v>-100</v>
      </c>
      <c r="K160" s="1225">
        <f t="shared" si="238"/>
        <v>18000</v>
      </c>
      <c r="L160" s="1301"/>
      <c r="M160" s="1301">
        <f t="shared" si="239"/>
        <v>-18000</v>
      </c>
      <c r="N160" s="1218">
        <f t="shared" si="240"/>
        <v>-100</v>
      </c>
      <c r="O160" s="1225">
        <f t="shared" si="241"/>
        <v>18000</v>
      </c>
      <c r="P160" s="1301"/>
      <c r="Q160" s="1301">
        <f t="shared" si="242"/>
        <v>-18000</v>
      </c>
      <c r="R160" s="1218">
        <f t="shared" si="243"/>
        <v>-100</v>
      </c>
      <c r="S160" s="1225">
        <f t="shared" si="266"/>
        <v>18000</v>
      </c>
      <c r="T160" s="1301"/>
      <c r="U160" s="1301">
        <f t="shared" si="244"/>
        <v>-18000</v>
      </c>
      <c r="V160" s="1218">
        <f t="shared" si="245"/>
        <v>-100</v>
      </c>
      <c r="W160" s="1225">
        <f t="shared" si="246"/>
        <v>18000</v>
      </c>
      <c r="X160" s="1301"/>
      <c r="Y160" s="1301">
        <f t="shared" si="247"/>
        <v>-18000</v>
      </c>
      <c r="Z160" s="1218">
        <f t="shared" si="248"/>
        <v>-100</v>
      </c>
      <c r="AA160" s="1225">
        <f t="shared" si="249"/>
        <v>18000</v>
      </c>
      <c r="AB160" s="1301"/>
      <c r="AC160" s="1301">
        <f t="shared" si="250"/>
        <v>-18000</v>
      </c>
      <c r="AD160" s="1218">
        <f t="shared" si="251"/>
        <v>-100</v>
      </c>
      <c r="AE160" s="1225">
        <f t="shared" si="252"/>
        <v>18000</v>
      </c>
      <c r="AF160" s="1301"/>
      <c r="AG160" s="1301">
        <f t="shared" si="253"/>
        <v>-18000</v>
      </c>
      <c r="AH160" s="1218">
        <f t="shared" si="254"/>
        <v>-100</v>
      </c>
      <c r="AI160" s="1225">
        <f t="shared" si="267"/>
        <v>18000</v>
      </c>
      <c r="AJ160" s="1301"/>
      <c r="AK160" s="1301">
        <f t="shared" si="255"/>
        <v>-18000</v>
      </c>
      <c r="AL160" s="1218">
        <f t="shared" si="256"/>
        <v>-100</v>
      </c>
      <c r="AM160" s="1225">
        <f t="shared" si="257"/>
        <v>18000</v>
      </c>
      <c r="AN160" s="1301"/>
      <c r="AO160" s="1301">
        <f t="shared" si="258"/>
        <v>-18000</v>
      </c>
      <c r="AP160" s="1218">
        <f t="shared" si="259"/>
        <v>-100</v>
      </c>
      <c r="AQ160" s="1225">
        <f t="shared" si="260"/>
        <v>18000</v>
      </c>
      <c r="AR160" s="1301"/>
      <c r="AS160" s="1301">
        <f t="shared" si="261"/>
        <v>-18000</v>
      </c>
      <c r="AT160" s="1218">
        <f t="shared" si="262"/>
        <v>-100</v>
      </c>
      <c r="AU160" s="1225">
        <f t="shared" si="263"/>
        <v>18000</v>
      </c>
      <c r="AV160" s="1301"/>
      <c r="AW160" s="1301">
        <f t="shared" si="264"/>
        <v>-18000</v>
      </c>
      <c r="AX160" s="1242">
        <f t="shared" si="265"/>
        <v>-100</v>
      </c>
      <c r="AY160" s="1239">
        <f t="shared" si="232"/>
        <v>216000</v>
      </c>
      <c r="AZ160" s="1383">
        <f t="shared" si="232"/>
        <v>0</v>
      </c>
      <c r="BA160" s="401"/>
      <c r="BB160" s="12"/>
    </row>
    <row r="161" spans="1:57" s="119" customFormat="1" ht="18" customHeight="1" thickBot="1" x14ac:dyDescent="0.3">
      <c r="A161" s="161"/>
      <c r="C161" s="334"/>
      <c r="D161" s="334"/>
      <c r="E161" s="334"/>
      <c r="F161" s="334"/>
      <c r="H161" s="334"/>
      <c r="I161" s="334"/>
      <c r="J161" s="334"/>
      <c r="L161" s="334"/>
      <c r="M161" s="334"/>
      <c r="N161" s="334"/>
      <c r="P161" s="334"/>
      <c r="Q161" s="334"/>
      <c r="R161" s="334"/>
      <c r="T161" s="334"/>
      <c r="U161" s="334"/>
      <c r="V161" s="334"/>
      <c r="X161" s="334"/>
      <c r="Y161" s="334"/>
      <c r="Z161" s="334"/>
      <c r="AB161" s="334"/>
      <c r="AC161" s="334"/>
      <c r="AD161" s="334"/>
      <c r="AF161" s="334"/>
      <c r="AG161" s="334"/>
      <c r="AH161" s="334"/>
      <c r="AJ161" s="334"/>
      <c r="AK161" s="334"/>
      <c r="AL161" s="334"/>
      <c r="AN161" s="334"/>
      <c r="AO161" s="334"/>
      <c r="AP161" s="334"/>
      <c r="AR161" s="334"/>
      <c r="AS161" s="334"/>
      <c r="AT161" s="334"/>
      <c r="AV161" s="334"/>
      <c r="AW161" s="334"/>
      <c r="AX161" s="334"/>
      <c r="AY161" s="805"/>
      <c r="AZ161" s="805"/>
      <c r="BA161" s="1172"/>
      <c r="BB161" s="1172"/>
    </row>
    <row r="162" spans="1:57" s="551" customFormat="1" ht="18" customHeight="1" thickBot="1" x14ac:dyDescent="0.3">
      <c r="A162" s="557"/>
      <c r="B162" s="559" t="s">
        <v>3775</v>
      </c>
      <c r="C162" s="1168">
        <f>SUM(C163:C191)</f>
        <v>1246650</v>
      </c>
      <c r="D162" s="1313">
        <f>SUM(D163:D191)</f>
        <v>0</v>
      </c>
      <c r="E162" s="392">
        <f>D162-C162</f>
        <v>-1246650</v>
      </c>
      <c r="F162" s="1167">
        <f>((D162/C162)-1)*100</f>
        <v>-100</v>
      </c>
      <c r="G162" s="1168">
        <f>SUM(G163:G191)</f>
        <v>1247950</v>
      </c>
      <c r="H162" s="1313">
        <f>SUM(H163:H191)</f>
        <v>0</v>
      </c>
      <c r="I162" s="392">
        <f>H162-G162</f>
        <v>-1247950</v>
      </c>
      <c r="J162" s="1167">
        <f>((H162/G162)-1)*100</f>
        <v>-100</v>
      </c>
      <c r="K162" s="1168">
        <f>SUM(K163:K191)</f>
        <v>1398650</v>
      </c>
      <c r="L162" s="1313">
        <f>SUM(L163:L191)</f>
        <v>0</v>
      </c>
      <c r="M162" s="392">
        <f>L162-K162</f>
        <v>-1398650</v>
      </c>
      <c r="N162" s="1167">
        <f>((L162/K162)-1)*100</f>
        <v>-100</v>
      </c>
      <c r="O162" s="392">
        <f>SUM(O163:O191)</f>
        <v>1398650</v>
      </c>
      <c r="P162" s="1313">
        <f>SUM(P163:P191)</f>
        <v>0</v>
      </c>
      <c r="Q162" s="392">
        <f>P162-O162</f>
        <v>-1398650</v>
      </c>
      <c r="R162" s="1167">
        <f>((P162/O162)-1)*100</f>
        <v>-100</v>
      </c>
      <c r="S162" s="1168">
        <f>SUM(S163:S191)</f>
        <v>1404110</v>
      </c>
      <c r="T162" s="1313">
        <f>SUM(T163:T191)</f>
        <v>0</v>
      </c>
      <c r="U162" s="392">
        <f>T162-S162</f>
        <v>-1404110</v>
      </c>
      <c r="V162" s="1167">
        <f>((T162/S162)-1)*100</f>
        <v>-100</v>
      </c>
      <c r="W162" s="392">
        <f>SUM(W163:W191)</f>
        <v>1407150</v>
      </c>
      <c r="X162" s="1313">
        <f>SUM(X163:X191)</f>
        <v>0</v>
      </c>
      <c r="Y162" s="392">
        <f>X162-W162</f>
        <v>-1407150</v>
      </c>
      <c r="Z162" s="1167">
        <f>((X162/W162)-1)*100</f>
        <v>-100</v>
      </c>
      <c r="AA162" s="392">
        <f>SUM(AA163:AA191)</f>
        <v>1407150</v>
      </c>
      <c r="AB162" s="1313">
        <f>SUM(AB163:AB191)</f>
        <v>0</v>
      </c>
      <c r="AC162" s="392">
        <f>AB162-AA162</f>
        <v>-1407150</v>
      </c>
      <c r="AD162" s="1167">
        <f>((AB162/AA162)-1)*100</f>
        <v>-100</v>
      </c>
      <c r="AE162" s="1168">
        <f>SUM(AE163:AE191)</f>
        <v>1409150</v>
      </c>
      <c r="AF162" s="1313">
        <f>SUM(AF163:AF191)</f>
        <v>0</v>
      </c>
      <c r="AG162" s="392">
        <f>AF162-AE162</f>
        <v>-1409150</v>
      </c>
      <c r="AH162" s="1167">
        <f>((AF162/AE162)-1)*100</f>
        <v>-100</v>
      </c>
      <c r="AI162" s="1168">
        <f>SUM(AI163:AI191)</f>
        <v>1409150</v>
      </c>
      <c r="AJ162" s="1313">
        <f>SUM(AJ163:AJ191)</f>
        <v>0</v>
      </c>
      <c r="AK162" s="392">
        <f>AJ162-AI162</f>
        <v>-1409150</v>
      </c>
      <c r="AL162" s="1167">
        <f>((AJ162/AI162)-1)*100</f>
        <v>-100</v>
      </c>
      <c r="AM162" s="1168">
        <f>SUM(AM163:AM191)</f>
        <v>1409150</v>
      </c>
      <c r="AN162" s="1313">
        <f>SUM(AN163:AN191)</f>
        <v>0</v>
      </c>
      <c r="AO162" s="392">
        <f>AN162-AM162</f>
        <v>-1409150</v>
      </c>
      <c r="AP162" s="1167">
        <f>((AN162/AM162)-1)*100</f>
        <v>-100</v>
      </c>
      <c r="AQ162" s="1168">
        <f>SUM(AQ163:AQ191)</f>
        <v>1409150</v>
      </c>
      <c r="AR162" s="1313">
        <f>SUM(AR163:AR191)</f>
        <v>0</v>
      </c>
      <c r="AS162" s="392">
        <f>AR162-AQ162</f>
        <v>-1409150</v>
      </c>
      <c r="AT162" s="1167">
        <f>((AR162/AQ162)-1)*100</f>
        <v>-100</v>
      </c>
      <c r="AU162" s="1168">
        <f>SUM(AU163:AU191)</f>
        <v>1409150</v>
      </c>
      <c r="AV162" s="1313">
        <f>SUM(AV163:AV191)</f>
        <v>0</v>
      </c>
      <c r="AW162" s="392">
        <f>AV162-AU162</f>
        <v>-1409150</v>
      </c>
      <c r="AX162" s="1167">
        <f>((AV162/AU162)-1)*100</f>
        <v>-100</v>
      </c>
      <c r="AY162" s="1074">
        <f t="shared" ref="AY162:AZ191" si="268">C162+G162+K162+O162+S162+W162+AA162+AE162+AI162+AM162+AQ162+AU162</f>
        <v>16556060</v>
      </c>
      <c r="AZ162" s="1385">
        <f>D162+H162+L162+P162+T162+X162+AB162+AF162+AJ162+AN162+AR162+AV162</f>
        <v>0</v>
      </c>
      <c r="BA162" s="195"/>
      <c r="BB162" s="1176"/>
    </row>
    <row r="163" spans="1:57" s="119" customFormat="1" ht="18" customHeight="1" x14ac:dyDescent="0.25">
      <c r="A163" s="170">
        <v>33248</v>
      </c>
      <c r="B163" s="189" t="s">
        <v>221</v>
      </c>
      <c r="C163" s="1222">
        <v>-65000</v>
      </c>
      <c r="D163" s="1299"/>
      <c r="E163" s="1299">
        <f t="shared" ref="E163:E191" si="269">D163-C163</f>
        <v>65000</v>
      </c>
      <c r="F163" s="1286">
        <f t="shared" ref="F163:F191" si="270">((D163/C163)-1)*100</f>
        <v>-100</v>
      </c>
      <c r="G163" s="1222">
        <f>C163</f>
        <v>-65000</v>
      </c>
      <c r="H163" s="1299"/>
      <c r="I163" s="1299">
        <f t="shared" ref="I163:I191" si="271">H163-G163</f>
        <v>65000</v>
      </c>
      <c r="J163" s="1286">
        <f t="shared" ref="J163:J185" si="272">((H163/G163)-1)*100</f>
        <v>-100</v>
      </c>
      <c r="K163" s="1222">
        <f>G163</f>
        <v>-65000</v>
      </c>
      <c r="L163" s="1299"/>
      <c r="M163" s="1299">
        <f t="shared" ref="M163:M191" si="273">L163-K163</f>
        <v>65000</v>
      </c>
      <c r="N163" s="1338">
        <f t="shared" ref="N163:N185" si="274">((L163/K163)-1)*100</f>
        <v>-100</v>
      </c>
      <c r="O163" s="1299">
        <f>K163</f>
        <v>-65000</v>
      </c>
      <c r="P163" s="1299"/>
      <c r="Q163" s="1299">
        <f t="shared" ref="Q163:Q191" si="275">P163-O163</f>
        <v>65000</v>
      </c>
      <c r="R163" s="1286">
        <f t="shared" ref="R163:R185" si="276">((P163/O163)-1)*100</f>
        <v>-100</v>
      </c>
      <c r="S163" s="1222">
        <f>O163</f>
        <v>-65000</v>
      </c>
      <c r="T163" s="1299"/>
      <c r="U163" s="1299">
        <f t="shared" ref="U163:U191" si="277">T163-S163</f>
        <v>65000</v>
      </c>
      <c r="V163" s="1338">
        <f t="shared" ref="V163:V185" si="278">((T163/S163)-1)*100</f>
        <v>-100</v>
      </c>
      <c r="W163" s="1299">
        <f>S163</f>
        <v>-65000</v>
      </c>
      <c r="X163" s="1299"/>
      <c r="Y163" s="1299">
        <f t="shared" ref="Y163:Y191" si="279">X163-W163</f>
        <v>65000</v>
      </c>
      <c r="Z163" s="1338">
        <f t="shared" ref="Z163:Z185" si="280">((X163/W163)-1)*100</f>
        <v>-100</v>
      </c>
      <c r="AA163" s="1299">
        <f>W163</f>
        <v>-65000</v>
      </c>
      <c r="AB163" s="1299"/>
      <c r="AC163" s="1299">
        <f t="shared" ref="AC163:AC191" si="281">AB163-AA163</f>
        <v>65000</v>
      </c>
      <c r="AD163" s="1286">
        <f t="shared" ref="AD163:AD185" si="282">((AB163/AA163)-1)*100</f>
        <v>-100</v>
      </c>
      <c r="AE163" s="1222">
        <f>AA163</f>
        <v>-65000</v>
      </c>
      <c r="AF163" s="1299"/>
      <c r="AG163" s="1299">
        <f t="shared" ref="AG163:AG191" si="283">AF163-AE163</f>
        <v>65000</v>
      </c>
      <c r="AH163" s="1286">
        <f t="shared" ref="AH163:AH185" si="284">((AF163/AE163)-1)*100</f>
        <v>-100</v>
      </c>
      <c r="AI163" s="1222">
        <f>AE163</f>
        <v>-65000</v>
      </c>
      <c r="AJ163" s="1299"/>
      <c r="AK163" s="1299">
        <f t="shared" ref="AK163:AK191" si="285">AJ163-AI163</f>
        <v>65000</v>
      </c>
      <c r="AL163" s="1286">
        <f t="shared" ref="AL163:AL185" si="286">((AJ163/AI163)-1)*100</f>
        <v>-100</v>
      </c>
      <c r="AM163" s="1222">
        <f>AI163</f>
        <v>-65000</v>
      </c>
      <c r="AN163" s="1299"/>
      <c r="AO163" s="1299">
        <f t="shared" ref="AO163:AO191" si="287">AN163-AM163</f>
        <v>65000</v>
      </c>
      <c r="AP163" s="1286">
        <f t="shared" ref="AP163:AP185" si="288">((AN163/AM163)-1)*100</f>
        <v>-100</v>
      </c>
      <c r="AQ163" s="1222">
        <f>AM163</f>
        <v>-65000</v>
      </c>
      <c r="AR163" s="1299"/>
      <c r="AS163" s="1299">
        <f t="shared" ref="AS163:AS191" si="289">AR163-AQ163</f>
        <v>65000</v>
      </c>
      <c r="AT163" s="1286">
        <f t="shared" ref="AT163:AT185" si="290">((AR163/AQ163)-1)*100</f>
        <v>-100</v>
      </c>
      <c r="AU163" s="1222">
        <f>AQ163</f>
        <v>-65000</v>
      </c>
      <c r="AV163" s="1299"/>
      <c r="AW163" s="1299">
        <f t="shared" ref="AW163:AW191" si="291">AV163-AU163</f>
        <v>65000</v>
      </c>
      <c r="AX163" s="1286">
        <f t="shared" ref="AX163:AX185" si="292">((AV163/AU163)-1)*100</f>
        <v>-100</v>
      </c>
      <c r="AY163" s="1235">
        <f t="shared" si="268"/>
        <v>-780000</v>
      </c>
      <c r="AZ163" s="1189">
        <f t="shared" si="268"/>
        <v>0</v>
      </c>
      <c r="BA163" s="805"/>
      <c r="BB163" s="1178"/>
    </row>
    <row r="164" spans="1:57" s="119" customFormat="1" ht="18" customHeight="1" x14ac:dyDescent="0.25">
      <c r="A164" s="170">
        <v>11563</v>
      </c>
      <c r="B164" s="124" t="s">
        <v>3679</v>
      </c>
      <c r="C164" s="1207">
        <v>125000</v>
      </c>
      <c r="D164" s="1300"/>
      <c r="E164" s="1300">
        <f t="shared" si="269"/>
        <v>-125000</v>
      </c>
      <c r="F164" s="1237">
        <f t="shared" si="270"/>
        <v>-100</v>
      </c>
      <c r="G164" s="1276">
        <v>126300</v>
      </c>
      <c r="H164" s="1300"/>
      <c r="I164" s="1300">
        <f t="shared" si="271"/>
        <v>-126300</v>
      </c>
      <c r="J164" s="1237">
        <f t="shared" si="272"/>
        <v>-100</v>
      </c>
      <c r="K164" s="1276">
        <v>127000</v>
      </c>
      <c r="L164" s="1300"/>
      <c r="M164" s="1300">
        <f t="shared" si="273"/>
        <v>-127000</v>
      </c>
      <c r="N164" s="1216">
        <f t="shared" si="274"/>
        <v>-100</v>
      </c>
      <c r="O164" s="1297">
        <v>127000</v>
      </c>
      <c r="P164" s="1300"/>
      <c r="Q164" s="1300">
        <f t="shared" si="275"/>
        <v>-127000</v>
      </c>
      <c r="R164" s="1237">
        <f t="shared" si="276"/>
        <v>-100</v>
      </c>
      <c r="S164" s="1276">
        <v>132200</v>
      </c>
      <c r="T164" s="1300"/>
      <c r="U164" s="1300">
        <f t="shared" si="277"/>
        <v>-132200</v>
      </c>
      <c r="V164" s="1216">
        <f t="shared" si="278"/>
        <v>-100</v>
      </c>
      <c r="W164" s="1297">
        <v>135500</v>
      </c>
      <c r="X164" s="1300"/>
      <c r="Y164" s="1300">
        <f t="shared" si="279"/>
        <v>-135500</v>
      </c>
      <c r="Z164" s="1216">
        <f t="shared" si="280"/>
        <v>-100</v>
      </c>
      <c r="AA164" s="1297">
        <v>135500</v>
      </c>
      <c r="AB164" s="1300"/>
      <c r="AC164" s="1300">
        <f t="shared" si="281"/>
        <v>-135500</v>
      </c>
      <c r="AD164" s="1237">
        <f t="shared" si="282"/>
        <v>-100</v>
      </c>
      <c r="AE164" s="1276">
        <v>137500</v>
      </c>
      <c r="AF164" s="1300"/>
      <c r="AG164" s="1300">
        <f t="shared" si="283"/>
        <v>-137500</v>
      </c>
      <c r="AH164" s="1237">
        <f t="shared" si="284"/>
        <v>-100</v>
      </c>
      <c r="AI164" s="1276">
        <v>137500</v>
      </c>
      <c r="AJ164" s="1300"/>
      <c r="AK164" s="1300">
        <f t="shared" si="285"/>
        <v>-137500</v>
      </c>
      <c r="AL164" s="1237">
        <f t="shared" si="286"/>
        <v>-100</v>
      </c>
      <c r="AM164" s="1276">
        <v>137500</v>
      </c>
      <c r="AN164" s="1300"/>
      <c r="AO164" s="1300">
        <f t="shared" si="287"/>
        <v>-137500</v>
      </c>
      <c r="AP164" s="1237">
        <f t="shared" si="288"/>
        <v>-100</v>
      </c>
      <c r="AQ164" s="1276">
        <v>137500</v>
      </c>
      <c r="AR164" s="1300"/>
      <c r="AS164" s="1300">
        <f t="shared" si="289"/>
        <v>-137500</v>
      </c>
      <c r="AT164" s="1237">
        <f t="shared" si="290"/>
        <v>-100</v>
      </c>
      <c r="AU164" s="1276">
        <v>137500</v>
      </c>
      <c r="AV164" s="1300"/>
      <c r="AW164" s="1300">
        <f t="shared" si="291"/>
        <v>-137500</v>
      </c>
      <c r="AX164" s="1237">
        <f t="shared" si="292"/>
        <v>-100</v>
      </c>
      <c r="AY164" s="1236">
        <f t="shared" si="268"/>
        <v>1596000</v>
      </c>
      <c r="AZ164" s="1189">
        <f t="shared" si="268"/>
        <v>0</v>
      </c>
      <c r="BA164" s="805"/>
      <c r="BB164" s="1178"/>
    </row>
    <row r="165" spans="1:57" s="119" customFormat="1" ht="18" customHeight="1" x14ac:dyDescent="0.25">
      <c r="A165" s="170">
        <v>11761</v>
      </c>
      <c r="B165" s="124" t="s">
        <v>99</v>
      </c>
      <c r="C165" s="1207">
        <v>8000</v>
      </c>
      <c r="D165" s="1300"/>
      <c r="E165" s="1300">
        <f t="shared" si="269"/>
        <v>-8000</v>
      </c>
      <c r="F165" s="1237">
        <f t="shared" si="270"/>
        <v>-100</v>
      </c>
      <c r="G165" s="1276">
        <f t="shared" ref="G165:G191" si="293">C165</f>
        <v>8000</v>
      </c>
      <c r="H165" s="1300"/>
      <c r="I165" s="1300">
        <f t="shared" si="271"/>
        <v>-8000</v>
      </c>
      <c r="J165" s="1237">
        <f t="shared" si="272"/>
        <v>-100</v>
      </c>
      <c r="K165" s="1276">
        <f t="shared" ref="K165:K179" si="294">G165</f>
        <v>8000</v>
      </c>
      <c r="L165" s="1300"/>
      <c r="M165" s="1300">
        <f t="shared" si="273"/>
        <v>-8000</v>
      </c>
      <c r="N165" s="1216">
        <f t="shared" si="274"/>
        <v>-100</v>
      </c>
      <c r="O165" s="1297">
        <f t="shared" ref="O165:O191" si="295">K165</f>
        <v>8000</v>
      </c>
      <c r="P165" s="1300"/>
      <c r="Q165" s="1300">
        <f t="shared" si="275"/>
        <v>-8000</v>
      </c>
      <c r="R165" s="1237">
        <f t="shared" si="276"/>
        <v>-100</v>
      </c>
      <c r="S165" s="1276">
        <f t="shared" ref="S165:S185" si="296">O165</f>
        <v>8000</v>
      </c>
      <c r="T165" s="1300"/>
      <c r="U165" s="1300">
        <f t="shared" si="277"/>
        <v>-8000</v>
      </c>
      <c r="V165" s="1216">
        <f t="shared" si="278"/>
        <v>-100</v>
      </c>
      <c r="W165" s="1297">
        <f t="shared" ref="W165:W185" si="297">S165</f>
        <v>8000</v>
      </c>
      <c r="X165" s="1300"/>
      <c r="Y165" s="1300">
        <f t="shared" si="279"/>
        <v>-8000</v>
      </c>
      <c r="Z165" s="1216">
        <f t="shared" si="280"/>
        <v>-100</v>
      </c>
      <c r="AA165" s="1297">
        <f t="shared" ref="AA165:AA185" si="298">W165</f>
        <v>8000</v>
      </c>
      <c r="AB165" s="1300"/>
      <c r="AC165" s="1300">
        <f t="shared" si="281"/>
        <v>-8000</v>
      </c>
      <c r="AD165" s="1237">
        <f t="shared" si="282"/>
        <v>-100</v>
      </c>
      <c r="AE165" s="1276">
        <f t="shared" ref="AE165:AE185" si="299">AA165</f>
        <v>8000</v>
      </c>
      <c r="AF165" s="1300"/>
      <c r="AG165" s="1300">
        <f t="shared" si="283"/>
        <v>-8000</v>
      </c>
      <c r="AH165" s="1237">
        <f t="shared" si="284"/>
        <v>-100</v>
      </c>
      <c r="AI165" s="1276">
        <f t="shared" ref="AI165:AI185" si="300">AE165</f>
        <v>8000</v>
      </c>
      <c r="AJ165" s="1300"/>
      <c r="AK165" s="1300">
        <f t="shared" si="285"/>
        <v>-8000</v>
      </c>
      <c r="AL165" s="1237">
        <f t="shared" si="286"/>
        <v>-100</v>
      </c>
      <c r="AM165" s="1276">
        <f t="shared" ref="AM165:AM185" si="301">AI165</f>
        <v>8000</v>
      </c>
      <c r="AN165" s="1300"/>
      <c r="AO165" s="1300">
        <f t="shared" si="287"/>
        <v>-8000</v>
      </c>
      <c r="AP165" s="1237">
        <f t="shared" si="288"/>
        <v>-100</v>
      </c>
      <c r="AQ165" s="1276">
        <f t="shared" ref="AQ165:AQ185" si="302">AM165</f>
        <v>8000</v>
      </c>
      <c r="AR165" s="1300"/>
      <c r="AS165" s="1300">
        <f t="shared" si="289"/>
        <v>-8000</v>
      </c>
      <c r="AT165" s="1237">
        <f t="shared" si="290"/>
        <v>-100</v>
      </c>
      <c r="AU165" s="1276">
        <f t="shared" ref="AU165:AU180" si="303">AQ165</f>
        <v>8000</v>
      </c>
      <c r="AV165" s="1300"/>
      <c r="AW165" s="1300">
        <f t="shared" si="291"/>
        <v>-8000</v>
      </c>
      <c r="AX165" s="1237">
        <f t="shared" si="292"/>
        <v>-100</v>
      </c>
      <c r="AY165" s="1236">
        <f t="shared" si="268"/>
        <v>96000</v>
      </c>
      <c r="AZ165" s="1189">
        <f t="shared" si="268"/>
        <v>0</v>
      </c>
      <c r="BA165" s="805"/>
      <c r="BB165" s="1178"/>
    </row>
    <row r="166" spans="1:57" s="119" customFormat="1" ht="31.5" x14ac:dyDescent="0.25">
      <c r="A166" s="170" t="s">
        <v>138</v>
      </c>
      <c r="B166" s="124" t="s">
        <v>214</v>
      </c>
      <c r="C166" s="1207">
        <v>2000</v>
      </c>
      <c r="D166" s="1300"/>
      <c r="E166" s="1300">
        <f t="shared" si="269"/>
        <v>-2000</v>
      </c>
      <c r="F166" s="1237">
        <f t="shared" si="270"/>
        <v>-100</v>
      </c>
      <c r="G166" s="1276">
        <f t="shared" si="293"/>
        <v>2000</v>
      </c>
      <c r="H166" s="1300"/>
      <c r="I166" s="1300">
        <f t="shared" si="271"/>
        <v>-2000</v>
      </c>
      <c r="J166" s="1237">
        <f t="shared" si="272"/>
        <v>-100</v>
      </c>
      <c r="K166" s="1276">
        <f t="shared" si="294"/>
        <v>2000</v>
      </c>
      <c r="L166" s="1300"/>
      <c r="M166" s="1300">
        <f t="shared" si="273"/>
        <v>-2000</v>
      </c>
      <c r="N166" s="1216">
        <f t="shared" si="274"/>
        <v>-100</v>
      </c>
      <c r="O166" s="1297">
        <f t="shared" si="295"/>
        <v>2000</v>
      </c>
      <c r="P166" s="1300"/>
      <c r="Q166" s="1300">
        <f t="shared" si="275"/>
        <v>-2000</v>
      </c>
      <c r="R166" s="1237">
        <f t="shared" si="276"/>
        <v>-100</v>
      </c>
      <c r="S166" s="1276">
        <f t="shared" si="296"/>
        <v>2000</v>
      </c>
      <c r="T166" s="1300"/>
      <c r="U166" s="1300">
        <f t="shared" si="277"/>
        <v>-2000</v>
      </c>
      <c r="V166" s="1216">
        <f t="shared" si="278"/>
        <v>-100</v>
      </c>
      <c r="W166" s="1297">
        <f t="shared" si="297"/>
        <v>2000</v>
      </c>
      <c r="X166" s="1300"/>
      <c r="Y166" s="1300">
        <f t="shared" si="279"/>
        <v>-2000</v>
      </c>
      <c r="Z166" s="1216">
        <f t="shared" si="280"/>
        <v>-100</v>
      </c>
      <c r="AA166" s="1297">
        <f t="shared" si="298"/>
        <v>2000</v>
      </c>
      <c r="AB166" s="1300"/>
      <c r="AC166" s="1300">
        <f t="shared" si="281"/>
        <v>-2000</v>
      </c>
      <c r="AD166" s="1237">
        <f t="shared" si="282"/>
        <v>-100</v>
      </c>
      <c r="AE166" s="1276">
        <f t="shared" si="299"/>
        <v>2000</v>
      </c>
      <c r="AF166" s="1300"/>
      <c r="AG166" s="1300">
        <f t="shared" si="283"/>
        <v>-2000</v>
      </c>
      <c r="AH166" s="1237">
        <f t="shared" si="284"/>
        <v>-100</v>
      </c>
      <c r="AI166" s="1276">
        <f t="shared" si="300"/>
        <v>2000</v>
      </c>
      <c r="AJ166" s="1300"/>
      <c r="AK166" s="1300">
        <f t="shared" si="285"/>
        <v>-2000</v>
      </c>
      <c r="AL166" s="1237">
        <f t="shared" si="286"/>
        <v>-100</v>
      </c>
      <c r="AM166" s="1276">
        <f t="shared" si="301"/>
        <v>2000</v>
      </c>
      <c r="AN166" s="1300"/>
      <c r="AO166" s="1300">
        <f t="shared" si="287"/>
        <v>-2000</v>
      </c>
      <c r="AP166" s="1237">
        <f t="shared" si="288"/>
        <v>-100</v>
      </c>
      <c r="AQ166" s="1276">
        <f t="shared" si="302"/>
        <v>2000</v>
      </c>
      <c r="AR166" s="1300"/>
      <c r="AS166" s="1300">
        <f t="shared" si="289"/>
        <v>-2000</v>
      </c>
      <c r="AT166" s="1237">
        <f t="shared" si="290"/>
        <v>-100</v>
      </c>
      <c r="AU166" s="1276">
        <f t="shared" si="303"/>
        <v>2000</v>
      </c>
      <c r="AV166" s="1300"/>
      <c r="AW166" s="1300">
        <f t="shared" si="291"/>
        <v>-2000</v>
      </c>
      <c r="AX166" s="1237">
        <f t="shared" si="292"/>
        <v>-100</v>
      </c>
      <c r="AY166" s="1236">
        <f t="shared" si="268"/>
        <v>24000</v>
      </c>
      <c r="AZ166" s="1189">
        <f t="shared" si="268"/>
        <v>0</v>
      </c>
      <c r="BA166" s="805"/>
      <c r="BB166" s="1178"/>
    </row>
    <row r="167" spans="1:57" s="119" customFormat="1" ht="18" customHeight="1" x14ac:dyDescent="0.25">
      <c r="A167" s="170">
        <v>51091</v>
      </c>
      <c r="B167" s="124" t="s">
        <v>3771</v>
      </c>
      <c r="C167" s="1207">
        <v>500</v>
      </c>
      <c r="D167" s="1300"/>
      <c r="E167" s="1300">
        <f t="shared" si="269"/>
        <v>-500</v>
      </c>
      <c r="F167" s="1237">
        <f t="shared" si="270"/>
        <v>-100</v>
      </c>
      <c r="G167" s="1276">
        <f t="shared" si="293"/>
        <v>500</v>
      </c>
      <c r="H167" s="1300"/>
      <c r="I167" s="1300">
        <f t="shared" si="271"/>
        <v>-500</v>
      </c>
      <c r="J167" s="1237">
        <f t="shared" si="272"/>
        <v>-100</v>
      </c>
      <c r="K167" s="1276">
        <f t="shared" si="294"/>
        <v>500</v>
      </c>
      <c r="L167" s="1300"/>
      <c r="M167" s="1300">
        <f t="shared" si="273"/>
        <v>-500</v>
      </c>
      <c r="N167" s="1216">
        <f t="shared" si="274"/>
        <v>-100</v>
      </c>
      <c r="O167" s="1297">
        <f t="shared" si="295"/>
        <v>500</v>
      </c>
      <c r="P167" s="1300"/>
      <c r="Q167" s="1300">
        <f t="shared" si="275"/>
        <v>-500</v>
      </c>
      <c r="R167" s="1237">
        <f t="shared" si="276"/>
        <v>-100</v>
      </c>
      <c r="S167" s="1276">
        <f t="shared" si="296"/>
        <v>500</v>
      </c>
      <c r="T167" s="1300"/>
      <c r="U167" s="1300">
        <f t="shared" si="277"/>
        <v>-500</v>
      </c>
      <c r="V167" s="1216">
        <f t="shared" si="278"/>
        <v>-100</v>
      </c>
      <c r="W167" s="1297">
        <f t="shared" si="297"/>
        <v>500</v>
      </c>
      <c r="X167" s="1300"/>
      <c r="Y167" s="1300">
        <f t="shared" si="279"/>
        <v>-500</v>
      </c>
      <c r="Z167" s="1216">
        <f t="shared" si="280"/>
        <v>-100</v>
      </c>
      <c r="AA167" s="1297">
        <f t="shared" si="298"/>
        <v>500</v>
      </c>
      <c r="AB167" s="1300"/>
      <c r="AC167" s="1300">
        <f t="shared" si="281"/>
        <v>-500</v>
      </c>
      <c r="AD167" s="1237">
        <f t="shared" si="282"/>
        <v>-100</v>
      </c>
      <c r="AE167" s="1276">
        <f t="shared" si="299"/>
        <v>500</v>
      </c>
      <c r="AF167" s="1300"/>
      <c r="AG167" s="1300">
        <f t="shared" si="283"/>
        <v>-500</v>
      </c>
      <c r="AH167" s="1237">
        <f t="shared" si="284"/>
        <v>-100</v>
      </c>
      <c r="AI167" s="1276">
        <f t="shared" si="300"/>
        <v>500</v>
      </c>
      <c r="AJ167" s="1300"/>
      <c r="AK167" s="1300">
        <f t="shared" si="285"/>
        <v>-500</v>
      </c>
      <c r="AL167" s="1237">
        <f t="shared" si="286"/>
        <v>-100</v>
      </c>
      <c r="AM167" s="1276">
        <f t="shared" si="301"/>
        <v>500</v>
      </c>
      <c r="AN167" s="1300"/>
      <c r="AO167" s="1300">
        <f t="shared" si="287"/>
        <v>-500</v>
      </c>
      <c r="AP167" s="1237">
        <f t="shared" si="288"/>
        <v>-100</v>
      </c>
      <c r="AQ167" s="1276">
        <f t="shared" si="302"/>
        <v>500</v>
      </c>
      <c r="AR167" s="1300"/>
      <c r="AS167" s="1300">
        <f t="shared" si="289"/>
        <v>-500</v>
      </c>
      <c r="AT167" s="1237">
        <f t="shared" si="290"/>
        <v>-100</v>
      </c>
      <c r="AU167" s="1276">
        <f t="shared" si="303"/>
        <v>500</v>
      </c>
      <c r="AV167" s="1300"/>
      <c r="AW167" s="1300">
        <f t="shared" si="291"/>
        <v>-500</v>
      </c>
      <c r="AX167" s="1237">
        <f t="shared" si="292"/>
        <v>-100</v>
      </c>
      <c r="AY167" s="1236">
        <f t="shared" si="268"/>
        <v>6000</v>
      </c>
      <c r="AZ167" s="1189">
        <f t="shared" si="268"/>
        <v>0</v>
      </c>
      <c r="BA167" s="805"/>
      <c r="BB167" s="1178"/>
    </row>
    <row r="168" spans="1:57" s="119" customFormat="1" ht="18" customHeight="1" x14ac:dyDescent="0.25">
      <c r="A168" s="170" t="s">
        <v>96</v>
      </c>
      <c r="B168" s="124" t="s">
        <v>97</v>
      </c>
      <c r="C168" s="1276">
        <v>215000</v>
      </c>
      <c r="D168" s="1297"/>
      <c r="E168" s="1297">
        <f t="shared" si="269"/>
        <v>-215000</v>
      </c>
      <c r="F168" s="1268">
        <f t="shared" si="270"/>
        <v>-100</v>
      </c>
      <c r="G168" s="1276">
        <f t="shared" si="293"/>
        <v>215000</v>
      </c>
      <c r="H168" s="1537"/>
      <c r="I168" s="1297">
        <f t="shared" si="271"/>
        <v>-215000</v>
      </c>
      <c r="J168" s="1268">
        <f t="shared" si="272"/>
        <v>-100</v>
      </c>
      <c r="K168" s="1276">
        <f t="shared" si="294"/>
        <v>215000</v>
      </c>
      <c r="L168" s="1297"/>
      <c r="M168" s="1297">
        <f t="shared" si="273"/>
        <v>-215000</v>
      </c>
      <c r="N168" s="1397">
        <f t="shared" si="274"/>
        <v>-100</v>
      </c>
      <c r="O168" s="1297">
        <f t="shared" si="295"/>
        <v>215000</v>
      </c>
      <c r="P168" s="1297"/>
      <c r="Q168" s="1297">
        <f t="shared" si="275"/>
        <v>-215000</v>
      </c>
      <c r="R168" s="1268">
        <f t="shared" si="276"/>
        <v>-100</v>
      </c>
      <c r="S168" s="1276">
        <f t="shared" si="296"/>
        <v>215000</v>
      </c>
      <c r="T168" s="1297"/>
      <c r="U168" s="1297">
        <f t="shared" si="277"/>
        <v>-215000</v>
      </c>
      <c r="V168" s="1397">
        <f t="shared" si="278"/>
        <v>-100</v>
      </c>
      <c r="W168" s="1297">
        <f t="shared" si="297"/>
        <v>215000</v>
      </c>
      <c r="X168" s="1297"/>
      <c r="Y168" s="1297">
        <f t="shared" si="279"/>
        <v>-215000</v>
      </c>
      <c r="Z168" s="1397">
        <f t="shared" si="280"/>
        <v>-100</v>
      </c>
      <c r="AA168" s="1297">
        <f t="shared" si="298"/>
        <v>215000</v>
      </c>
      <c r="AB168" s="1297"/>
      <c r="AC168" s="1297">
        <f t="shared" si="281"/>
        <v>-215000</v>
      </c>
      <c r="AD168" s="1268">
        <f t="shared" si="282"/>
        <v>-100</v>
      </c>
      <c r="AE168" s="1276">
        <f t="shared" si="299"/>
        <v>215000</v>
      </c>
      <c r="AF168" s="1297"/>
      <c r="AG168" s="1297">
        <f t="shared" si="283"/>
        <v>-215000</v>
      </c>
      <c r="AH168" s="1268">
        <f t="shared" si="284"/>
        <v>-100</v>
      </c>
      <c r="AI168" s="1276">
        <f t="shared" si="300"/>
        <v>215000</v>
      </c>
      <c r="AJ168" s="1297"/>
      <c r="AK168" s="1297">
        <f t="shared" si="285"/>
        <v>-215000</v>
      </c>
      <c r="AL168" s="1268">
        <f t="shared" si="286"/>
        <v>-100</v>
      </c>
      <c r="AM168" s="1276">
        <f t="shared" si="301"/>
        <v>215000</v>
      </c>
      <c r="AN168" s="1297"/>
      <c r="AO168" s="1297">
        <f t="shared" si="287"/>
        <v>-215000</v>
      </c>
      <c r="AP168" s="1268">
        <f t="shared" si="288"/>
        <v>-100</v>
      </c>
      <c r="AQ168" s="1276">
        <f t="shared" si="302"/>
        <v>215000</v>
      </c>
      <c r="AR168" s="1297"/>
      <c r="AS168" s="1297">
        <f t="shared" si="289"/>
        <v>-215000</v>
      </c>
      <c r="AT168" s="1268">
        <f t="shared" si="290"/>
        <v>-100</v>
      </c>
      <c r="AU168" s="1276">
        <f t="shared" si="303"/>
        <v>215000</v>
      </c>
      <c r="AV168" s="1297"/>
      <c r="AW168" s="1297">
        <f t="shared" si="291"/>
        <v>-215000</v>
      </c>
      <c r="AX168" s="1268">
        <f t="shared" si="292"/>
        <v>-100</v>
      </c>
      <c r="AY168" s="1236">
        <f t="shared" si="268"/>
        <v>2580000</v>
      </c>
      <c r="AZ168" s="1189">
        <f t="shared" si="268"/>
        <v>0</v>
      </c>
      <c r="BA168" s="805"/>
      <c r="BB168" s="1178"/>
    </row>
    <row r="169" spans="1:57" s="119" customFormat="1" ht="18" customHeight="1" x14ac:dyDescent="0.25">
      <c r="A169" s="170">
        <v>33736</v>
      </c>
      <c r="B169" s="124" t="s">
        <v>98</v>
      </c>
      <c r="C169" s="1207">
        <v>34000</v>
      </c>
      <c r="D169" s="1300"/>
      <c r="E169" s="1300">
        <f t="shared" si="269"/>
        <v>-34000</v>
      </c>
      <c r="F169" s="1237">
        <f t="shared" si="270"/>
        <v>-100</v>
      </c>
      <c r="G169" s="1276">
        <f t="shared" si="293"/>
        <v>34000</v>
      </c>
      <c r="H169" s="1300"/>
      <c r="I169" s="1300">
        <f t="shared" si="271"/>
        <v>-34000</v>
      </c>
      <c r="J169" s="1237">
        <f t="shared" si="272"/>
        <v>-100</v>
      </c>
      <c r="K169" s="1276">
        <f t="shared" si="294"/>
        <v>34000</v>
      </c>
      <c r="L169" s="1300"/>
      <c r="M169" s="1300">
        <f t="shared" si="273"/>
        <v>-34000</v>
      </c>
      <c r="N169" s="1216">
        <f t="shared" si="274"/>
        <v>-100</v>
      </c>
      <c r="O169" s="1297">
        <f t="shared" si="295"/>
        <v>34000</v>
      </c>
      <c r="P169" s="1300"/>
      <c r="Q169" s="1300">
        <f t="shared" si="275"/>
        <v>-34000</v>
      </c>
      <c r="R169" s="1237">
        <f t="shared" si="276"/>
        <v>-100</v>
      </c>
      <c r="S169" s="1276">
        <f t="shared" si="296"/>
        <v>34000</v>
      </c>
      <c r="T169" s="1300"/>
      <c r="U169" s="1300">
        <f t="shared" si="277"/>
        <v>-34000</v>
      </c>
      <c r="V169" s="1216">
        <f t="shared" si="278"/>
        <v>-100</v>
      </c>
      <c r="W169" s="1297">
        <f t="shared" si="297"/>
        <v>34000</v>
      </c>
      <c r="X169" s="1300"/>
      <c r="Y169" s="1300">
        <f t="shared" si="279"/>
        <v>-34000</v>
      </c>
      <c r="Z169" s="1216">
        <f t="shared" si="280"/>
        <v>-100</v>
      </c>
      <c r="AA169" s="1297">
        <f t="shared" si="298"/>
        <v>34000</v>
      </c>
      <c r="AB169" s="1300"/>
      <c r="AC169" s="1300">
        <f t="shared" si="281"/>
        <v>-34000</v>
      </c>
      <c r="AD169" s="1237">
        <f t="shared" si="282"/>
        <v>-100</v>
      </c>
      <c r="AE169" s="1276">
        <f t="shared" si="299"/>
        <v>34000</v>
      </c>
      <c r="AF169" s="1300"/>
      <c r="AG169" s="1300">
        <f t="shared" si="283"/>
        <v>-34000</v>
      </c>
      <c r="AH169" s="1237">
        <f t="shared" si="284"/>
        <v>-100</v>
      </c>
      <c r="AI169" s="1276">
        <f t="shared" si="300"/>
        <v>34000</v>
      </c>
      <c r="AJ169" s="1300"/>
      <c r="AK169" s="1300">
        <f t="shared" si="285"/>
        <v>-34000</v>
      </c>
      <c r="AL169" s="1237">
        <f t="shared" si="286"/>
        <v>-100</v>
      </c>
      <c r="AM169" s="1276">
        <f t="shared" si="301"/>
        <v>34000</v>
      </c>
      <c r="AN169" s="1300"/>
      <c r="AO169" s="1300">
        <f t="shared" si="287"/>
        <v>-34000</v>
      </c>
      <c r="AP169" s="1237">
        <f t="shared" si="288"/>
        <v>-100</v>
      </c>
      <c r="AQ169" s="1276">
        <f t="shared" si="302"/>
        <v>34000</v>
      </c>
      <c r="AR169" s="1300"/>
      <c r="AS169" s="1300">
        <f t="shared" si="289"/>
        <v>-34000</v>
      </c>
      <c r="AT169" s="1237">
        <f t="shared" si="290"/>
        <v>-100</v>
      </c>
      <c r="AU169" s="1276">
        <f t="shared" si="303"/>
        <v>34000</v>
      </c>
      <c r="AV169" s="1300"/>
      <c r="AW169" s="1300">
        <f t="shared" si="291"/>
        <v>-34000</v>
      </c>
      <c r="AX169" s="1237">
        <f t="shared" si="292"/>
        <v>-100</v>
      </c>
      <c r="AY169" s="1236">
        <f t="shared" si="268"/>
        <v>408000</v>
      </c>
      <c r="AZ169" s="1189">
        <f t="shared" si="268"/>
        <v>0</v>
      </c>
      <c r="BA169" s="805"/>
      <c r="BB169" s="1178"/>
    </row>
    <row r="170" spans="1:57" s="119" customFormat="1" ht="18" customHeight="1" x14ac:dyDescent="0.25">
      <c r="A170" s="170">
        <v>11972</v>
      </c>
      <c r="B170" s="124" t="s">
        <v>328</v>
      </c>
      <c r="C170" s="1207">
        <v>10000</v>
      </c>
      <c r="D170" s="1300"/>
      <c r="E170" s="1300">
        <f t="shared" si="269"/>
        <v>-10000</v>
      </c>
      <c r="F170" s="1237">
        <f t="shared" si="270"/>
        <v>-100</v>
      </c>
      <c r="G170" s="1276">
        <f t="shared" si="293"/>
        <v>10000</v>
      </c>
      <c r="H170" s="1300"/>
      <c r="I170" s="1300">
        <f t="shared" si="271"/>
        <v>-10000</v>
      </c>
      <c r="J170" s="1237">
        <f t="shared" si="272"/>
        <v>-100</v>
      </c>
      <c r="K170" s="1276">
        <f t="shared" si="294"/>
        <v>10000</v>
      </c>
      <c r="L170" s="1300"/>
      <c r="M170" s="1300">
        <f t="shared" si="273"/>
        <v>-10000</v>
      </c>
      <c r="N170" s="1216">
        <f t="shared" si="274"/>
        <v>-100</v>
      </c>
      <c r="O170" s="1297">
        <f t="shared" si="295"/>
        <v>10000</v>
      </c>
      <c r="P170" s="1300"/>
      <c r="Q170" s="1300">
        <f t="shared" si="275"/>
        <v>-10000</v>
      </c>
      <c r="R170" s="1237">
        <f t="shared" si="276"/>
        <v>-100</v>
      </c>
      <c r="S170" s="1276">
        <f t="shared" si="296"/>
        <v>10000</v>
      </c>
      <c r="T170" s="1300"/>
      <c r="U170" s="1300">
        <f t="shared" si="277"/>
        <v>-10000</v>
      </c>
      <c r="V170" s="1216">
        <f t="shared" si="278"/>
        <v>-100</v>
      </c>
      <c r="W170" s="1297">
        <f t="shared" si="297"/>
        <v>10000</v>
      </c>
      <c r="X170" s="1300"/>
      <c r="Y170" s="1300">
        <f t="shared" si="279"/>
        <v>-10000</v>
      </c>
      <c r="Z170" s="1216">
        <f t="shared" si="280"/>
        <v>-100</v>
      </c>
      <c r="AA170" s="1297">
        <f t="shared" si="298"/>
        <v>10000</v>
      </c>
      <c r="AB170" s="1300"/>
      <c r="AC170" s="1300">
        <f t="shared" si="281"/>
        <v>-10000</v>
      </c>
      <c r="AD170" s="1237">
        <f t="shared" si="282"/>
        <v>-100</v>
      </c>
      <c r="AE170" s="1276">
        <f t="shared" si="299"/>
        <v>10000</v>
      </c>
      <c r="AF170" s="1300"/>
      <c r="AG170" s="1300">
        <f t="shared" si="283"/>
        <v>-10000</v>
      </c>
      <c r="AH170" s="1237">
        <f t="shared" si="284"/>
        <v>-100</v>
      </c>
      <c r="AI170" s="1276">
        <f t="shared" si="300"/>
        <v>10000</v>
      </c>
      <c r="AJ170" s="1300"/>
      <c r="AK170" s="1300">
        <f t="shared" si="285"/>
        <v>-10000</v>
      </c>
      <c r="AL170" s="1237">
        <f t="shared" si="286"/>
        <v>-100</v>
      </c>
      <c r="AM170" s="1276">
        <f t="shared" si="301"/>
        <v>10000</v>
      </c>
      <c r="AN170" s="1300"/>
      <c r="AO170" s="1300">
        <f t="shared" si="287"/>
        <v>-10000</v>
      </c>
      <c r="AP170" s="1237">
        <f t="shared" si="288"/>
        <v>-100</v>
      </c>
      <c r="AQ170" s="1276">
        <f t="shared" si="302"/>
        <v>10000</v>
      </c>
      <c r="AR170" s="1300"/>
      <c r="AS170" s="1300">
        <f t="shared" si="289"/>
        <v>-10000</v>
      </c>
      <c r="AT170" s="1237">
        <f t="shared" si="290"/>
        <v>-100</v>
      </c>
      <c r="AU170" s="1276">
        <f t="shared" si="303"/>
        <v>10000</v>
      </c>
      <c r="AV170" s="1300"/>
      <c r="AW170" s="1300">
        <f t="shared" si="291"/>
        <v>-10000</v>
      </c>
      <c r="AX170" s="1237">
        <f t="shared" si="292"/>
        <v>-100</v>
      </c>
      <c r="AY170" s="1236">
        <f t="shared" si="268"/>
        <v>120000</v>
      </c>
      <c r="AZ170" s="1189">
        <f t="shared" si="268"/>
        <v>0</v>
      </c>
      <c r="BA170" s="805"/>
      <c r="BB170" s="1178"/>
    </row>
    <row r="171" spans="1:57" s="119" customFormat="1" ht="18" customHeight="1" x14ac:dyDescent="0.25">
      <c r="A171" s="170">
        <v>11611</v>
      </c>
      <c r="B171" s="124" t="s">
        <v>329</v>
      </c>
      <c r="C171" s="1207">
        <v>150</v>
      </c>
      <c r="D171" s="1300"/>
      <c r="E171" s="1300">
        <f t="shared" si="269"/>
        <v>-150</v>
      </c>
      <c r="F171" s="1237">
        <f t="shared" si="270"/>
        <v>-100</v>
      </c>
      <c r="G171" s="1207">
        <f t="shared" si="293"/>
        <v>150</v>
      </c>
      <c r="H171" s="1300"/>
      <c r="I171" s="1300">
        <f t="shared" si="271"/>
        <v>-150</v>
      </c>
      <c r="J171" s="1237">
        <f t="shared" si="272"/>
        <v>-100</v>
      </c>
      <c r="K171" s="1207">
        <f t="shared" si="294"/>
        <v>150</v>
      </c>
      <c r="L171" s="1300"/>
      <c r="M171" s="1300">
        <f t="shared" si="273"/>
        <v>-150</v>
      </c>
      <c r="N171" s="1216">
        <f t="shared" si="274"/>
        <v>-100</v>
      </c>
      <c r="O171" s="1300">
        <f t="shared" si="295"/>
        <v>150</v>
      </c>
      <c r="P171" s="1300"/>
      <c r="Q171" s="1300">
        <f t="shared" si="275"/>
        <v>-150</v>
      </c>
      <c r="R171" s="1237">
        <f t="shared" si="276"/>
        <v>-100</v>
      </c>
      <c r="S171" s="1207">
        <f t="shared" si="296"/>
        <v>150</v>
      </c>
      <c r="T171" s="1300"/>
      <c r="U171" s="1300">
        <f t="shared" si="277"/>
        <v>-150</v>
      </c>
      <c r="V171" s="1216">
        <f t="shared" si="278"/>
        <v>-100</v>
      </c>
      <c r="W171" s="1300">
        <f t="shared" si="297"/>
        <v>150</v>
      </c>
      <c r="X171" s="1300"/>
      <c r="Y171" s="1300">
        <f t="shared" si="279"/>
        <v>-150</v>
      </c>
      <c r="Z171" s="1216">
        <f t="shared" si="280"/>
        <v>-100</v>
      </c>
      <c r="AA171" s="1300">
        <f t="shared" si="298"/>
        <v>150</v>
      </c>
      <c r="AB171" s="1300"/>
      <c r="AC171" s="1300">
        <f t="shared" si="281"/>
        <v>-150</v>
      </c>
      <c r="AD171" s="1237">
        <f t="shared" si="282"/>
        <v>-100</v>
      </c>
      <c r="AE171" s="1207">
        <f t="shared" si="299"/>
        <v>150</v>
      </c>
      <c r="AF171" s="1300"/>
      <c r="AG171" s="1300">
        <f t="shared" si="283"/>
        <v>-150</v>
      </c>
      <c r="AH171" s="1237">
        <f t="shared" si="284"/>
        <v>-100</v>
      </c>
      <c r="AI171" s="1207">
        <f t="shared" si="300"/>
        <v>150</v>
      </c>
      <c r="AJ171" s="1300"/>
      <c r="AK171" s="1300">
        <f t="shared" si="285"/>
        <v>-150</v>
      </c>
      <c r="AL171" s="1237">
        <f t="shared" si="286"/>
        <v>-100</v>
      </c>
      <c r="AM171" s="1207">
        <f t="shared" si="301"/>
        <v>150</v>
      </c>
      <c r="AN171" s="1300"/>
      <c r="AO171" s="1300">
        <f t="shared" si="287"/>
        <v>-150</v>
      </c>
      <c r="AP171" s="1237">
        <f t="shared" si="288"/>
        <v>-100</v>
      </c>
      <c r="AQ171" s="1207">
        <f t="shared" si="302"/>
        <v>150</v>
      </c>
      <c r="AR171" s="1300"/>
      <c r="AS171" s="1300">
        <f t="shared" si="289"/>
        <v>-150</v>
      </c>
      <c r="AT171" s="1237">
        <f t="shared" si="290"/>
        <v>-100</v>
      </c>
      <c r="AU171" s="1207">
        <f t="shared" si="303"/>
        <v>150</v>
      </c>
      <c r="AV171" s="1300"/>
      <c r="AW171" s="1300">
        <f t="shared" si="291"/>
        <v>-150</v>
      </c>
      <c r="AX171" s="1237">
        <f t="shared" si="292"/>
        <v>-100</v>
      </c>
      <c r="AY171" s="1236">
        <f t="shared" si="268"/>
        <v>1800</v>
      </c>
      <c r="AZ171" s="1189">
        <f t="shared" si="268"/>
        <v>0</v>
      </c>
      <c r="BA171" s="805"/>
      <c r="BB171" s="1178"/>
    </row>
    <row r="172" spans="1:57" s="119" customFormat="1" ht="18" customHeight="1" x14ac:dyDescent="0.25">
      <c r="A172" s="170">
        <v>11704</v>
      </c>
      <c r="B172" s="124" t="s">
        <v>109</v>
      </c>
      <c r="C172" s="1207">
        <v>8000</v>
      </c>
      <c r="D172" s="1300"/>
      <c r="E172" s="1300">
        <f t="shared" si="269"/>
        <v>-8000</v>
      </c>
      <c r="F172" s="1237">
        <f t="shared" si="270"/>
        <v>-100</v>
      </c>
      <c r="G172" s="1276">
        <f t="shared" si="293"/>
        <v>8000</v>
      </c>
      <c r="H172" s="1300"/>
      <c r="I172" s="1300">
        <f t="shared" si="271"/>
        <v>-8000</v>
      </c>
      <c r="J172" s="1237">
        <f t="shared" si="272"/>
        <v>-100</v>
      </c>
      <c r="K172" s="1276">
        <f t="shared" si="294"/>
        <v>8000</v>
      </c>
      <c r="L172" s="1300"/>
      <c r="M172" s="1300">
        <f t="shared" si="273"/>
        <v>-8000</v>
      </c>
      <c r="N172" s="1216">
        <f t="shared" si="274"/>
        <v>-100</v>
      </c>
      <c r="O172" s="1297">
        <f t="shared" si="295"/>
        <v>8000</v>
      </c>
      <c r="P172" s="1300"/>
      <c r="Q172" s="1300">
        <f t="shared" si="275"/>
        <v>-8000</v>
      </c>
      <c r="R172" s="1237">
        <f t="shared" si="276"/>
        <v>-100</v>
      </c>
      <c r="S172" s="1276">
        <f t="shared" si="296"/>
        <v>8000</v>
      </c>
      <c r="T172" s="1300"/>
      <c r="U172" s="1300">
        <f t="shared" si="277"/>
        <v>-8000</v>
      </c>
      <c r="V172" s="1216">
        <f t="shared" si="278"/>
        <v>-100</v>
      </c>
      <c r="W172" s="1297">
        <f t="shared" si="297"/>
        <v>8000</v>
      </c>
      <c r="X172" s="1300"/>
      <c r="Y172" s="1300">
        <f t="shared" si="279"/>
        <v>-8000</v>
      </c>
      <c r="Z172" s="1216">
        <f t="shared" si="280"/>
        <v>-100</v>
      </c>
      <c r="AA172" s="1297">
        <f t="shared" si="298"/>
        <v>8000</v>
      </c>
      <c r="AB172" s="1300"/>
      <c r="AC172" s="1300">
        <f t="shared" si="281"/>
        <v>-8000</v>
      </c>
      <c r="AD172" s="1237">
        <f t="shared" si="282"/>
        <v>-100</v>
      </c>
      <c r="AE172" s="1276">
        <f t="shared" si="299"/>
        <v>8000</v>
      </c>
      <c r="AF172" s="1300"/>
      <c r="AG172" s="1300">
        <f t="shared" si="283"/>
        <v>-8000</v>
      </c>
      <c r="AH172" s="1237">
        <f t="shared" si="284"/>
        <v>-100</v>
      </c>
      <c r="AI172" s="1276">
        <f t="shared" si="300"/>
        <v>8000</v>
      </c>
      <c r="AJ172" s="1300"/>
      <c r="AK172" s="1300">
        <f t="shared" si="285"/>
        <v>-8000</v>
      </c>
      <c r="AL172" s="1237">
        <f t="shared" si="286"/>
        <v>-100</v>
      </c>
      <c r="AM172" s="1276">
        <f t="shared" si="301"/>
        <v>8000</v>
      </c>
      <c r="AN172" s="1300"/>
      <c r="AO172" s="1300">
        <f t="shared" si="287"/>
        <v>-8000</v>
      </c>
      <c r="AP172" s="1237">
        <f t="shared" si="288"/>
        <v>-100</v>
      </c>
      <c r="AQ172" s="1276">
        <f t="shared" si="302"/>
        <v>8000</v>
      </c>
      <c r="AR172" s="1300"/>
      <c r="AS172" s="1300">
        <f t="shared" si="289"/>
        <v>-8000</v>
      </c>
      <c r="AT172" s="1237">
        <f t="shared" si="290"/>
        <v>-100</v>
      </c>
      <c r="AU172" s="1276">
        <f t="shared" si="303"/>
        <v>8000</v>
      </c>
      <c r="AV172" s="1300"/>
      <c r="AW172" s="1300">
        <f t="shared" si="291"/>
        <v>-8000</v>
      </c>
      <c r="AX172" s="1237">
        <f t="shared" si="292"/>
        <v>-100</v>
      </c>
      <c r="AY172" s="1236">
        <f t="shared" si="268"/>
        <v>96000</v>
      </c>
      <c r="AZ172" s="1189">
        <f t="shared" si="268"/>
        <v>0</v>
      </c>
      <c r="BA172" s="805"/>
      <c r="BB172" s="1178"/>
    </row>
    <row r="173" spans="1:57" s="119" customFormat="1" ht="31.5" x14ac:dyDescent="0.25">
      <c r="A173" s="170" t="s">
        <v>3629</v>
      </c>
      <c r="B173" s="124" t="s">
        <v>3772</v>
      </c>
      <c r="C173" s="1207">
        <v>15000</v>
      </c>
      <c r="D173" s="1300"/>
      <c r="E173" s="1300">
        <f t="shared" si="269"/>
        <v>-15000</v>
      </c>
      <c r="F173" s="1237">
        <f t="shared" si="270"/>
        <v>-100</v>
      </c>
      <c r="G173" s="1276">
        <f t="shared" si="293"/>
        <v>15000</v>
      </c>
      <c r="H173" s="1300"/>
      <c r="I173" s="1300">
        <f t="shared" si="271"/>
        <v>-15000</v>
      </c>
      <c r="J173" s="1237">
        <f t="shared" si="272"/>
        <v>-100</v>
      </c>
      <c r="K173" s="1276">
        <f t="shared" si="294"/>
        <v>15000</v>
      </c>
      <c r="L173" s="1300"/>
      <c r="M173" s="1300">
        <f t="shared" si="273"/>
        <v>-15000</v>
      </c>
      <c r="N173" s="1216">
        <f t="shared" si="274"/>
        <v>-100</v>
      </c>
      <c r="O173" s="1297">
        <f t="shared" si="295"/>
        <v>15000</v>
      </c>
      <c r="P173" s="1300"/>
      <c r="Q173" s="1300">
        <f t="shared" si="275"/>
        <v>-15000</v>
      </c>
      <c r="R173" s="1237">
        <f t="shared" si="276"/>
        <v>-100</v>
      </c>
      <c r="S173" s="1276">
        <f t="shared" si="296"/>
        <v>15000</v>
      </c>
      <c r="T173" s="1300"/>
      <c r="U173" s="1300">
        <f t="shared" si="277"/>
        <v>-15000</v>
      </c>
      <c r="V173" s="1216">
        <f t="shared" si="278"/>
        <v>-100</v>
      </c>
      <c r="W173" s="1297">
        <f t="shared" si="297"/>
        <v>15000</v>
      </c>
      <c r="X173" s="1300"/>
      <c r="Y173" s="1300">
        <f t="shared" si="279"/>
        <v>-15000</v>
      </c>
      <c r="Z173" s="1216">
        <f t="shared" si="280"/>
        <v>-100</v>
      </c>
      <c r="AA173" s="1297">
        <f t="shared" si="298"/>
        <v>15000</v>
      </c>
      <c r="AB173" s="1300"/>
      <c r="AC173" s="1300">
        <f t="shared" si="281"/>
        <v>-15000</v>
      </c>
      <c r="AD173" s="1237">
        <f t="shared" si="282"/>
        <v>-100</v>
      </c>
      <c r="AE173" s="1276">
        <f t="shared" si="299"/>
        <v>15000</v>
      </c>
      <c r="AF173" s="1300"/>
      <c r="AG173" s="1300">
        <f t="shared" si="283"/>
        <v>-15000</v>
      </c>
      <c r="AH173" s="1237">
        <f t="shared" si="284"/>
        <v>-100</v>
      </c>
      <c r="AI173" s="1276">
        <f t="shared" si="300"/>
        <v>15000</v>
      </c>
      <c r="AJ173" s="1300"/>
      <c r="AK173" s="1300">
        <f t="shared" si="285"/>
        <v>-15000</v>
      </c>
      <c r="AL173" s="1237">
        <f t="shared" si="286"/>
        <v>-100</v>
      </c>
      <c r="AM173" s="1276">
        <f t="shared" si="301"/>
        <v>15000</v>
      </c>
      <c r="AN173" s="1300"/>
      <c r="AO173" s="1300">
        <f t="shared" si="287"/>
        <v>-15000</v>
      </c>
      <c r="AP173" s="1237">
        <f t="shared" si="288"/>
        <v>-100</v>
      </c>
      <c r="AQ173" s="1276">
        <f t="shared" si="302"/>
        <v>15000</v>
      </c>
      <c r="AR173" s="1300"/>
      <c r="AS173" s="1300">
        <f t="shared" si="289"/>
        <v>-15000</v>
      </c>
      <c r="AT173" s="1237">
        <f t="shared" si="290"/>
        <v>-100</v>
      </c>
      <c r="AU173" s="1276">
        <f t="shared" si="303"/>
        <v>15000</v>
      </c>
      <c r="AV173" s="1300"/>
      <c r="AW173" s="1300">
        <f t="shared" si="291"/>
        <v>-15000</v>
      </c>
      <c r="AX173" s="1237">
        <f t="shared" si="292"/>
        <v>-100</v>
      </c>
      <c r="AY173" s="1236">
        <f t="shared" si="268"/>
        <v>180000</v>
      </c>
      <c r="AZ173" s="1189">
        <f t="shared" si="268"/>
        <v>0</v>
      </c>
      <c r="BA173" s="805"/>
      <c r="BB173" s="1178"/>
    </row>
    <row r="174" spans="1:57" s="119" customFormat="1" ht="18" customHeight="1" x14ac:dyDescent="0.25">
      <c r="A174" s="170">
        <v>11534</v>
      </c>
      <c r="B174" s="124" t="s">
        <v>115</v>
      </c>
      <c r="C174" s="1207">
        <v>2600</v>
      </c>
      <c r="D174" s="1300"/>
      <c r="E174" s="1300">
        <f t="shared" si="269"/>
        <v>-2600</v>
      </c>
      <c r="F174" s="1237">
        <f t="shared" si="270"/>
        <v>-100</v>
      </c>
      <c r="G174" s="1207">
        <f t="shared" si="293"/>
        <v>2600</v>
      </c>
      <c r="H174" s="1300"/>
      <c r="I174" s="1300">
        <f t="shared" si="271"/>
        <v>-2600</v>
      </c>
      <c r="J174" s="1237">
        <f t="shared" si="272"/>
        <v>-100</v>
      </c>
      <c r="K174" s="1207">
        <f t="shared" si="294"/>
        <v>2600</v>
      </c>
      <c r="L174" s="1300"/>
      <c r="M174" s="1300">
        <f t="shared" si="273"/>
        <v>-2600</v>
      </c>
      <c r="N174" s="1216">
        <f t="shared" si="274"/>
        <v>-100</v>
      </c>
      <c r="O174" s="1300">
        <f t="shared" si="295"/>
        <v>2600</v>
      </c>
      <c r="P174" s="1300"/>
      <c r="Q174" s="1300">
        <f t="shared" si="275"/>
        <v>-2600</v>
      </c>
      <c r="R174" s="1237">
        <f t="shared" si="276"/>
        <v>-100</v>
      </c>
      <c r="S174" s="1207">
        <f t="shared" si="296"/>
        <v>2600</v>
      </c>
      <c r="T174" s="1300"/>
      <c r="U174" s="1300">
        <f t="shared" si="277"/>
        <v>-2600</v>
      </c>
      <c r="V174" s="1216">
        <f t="shared" si="278"/>
        <v>-100</v>
      </c>
      <c r="W174" s="1300">
        <f t="shared" si="297"/>
        <v>2600</v>
      </c>
      <c r="X174" s="1300"/>
      <c r="Y174" s="1300">
        <f t="shared" si="279"/>
        <v>-2600</v>
      </c>
      <c r="Z174" s="1216">
        <f t="shared" si="280"/>
        <v>-100</v>
      </c>
      <c r="AA174" s="1300">
        <f t="shared" si="298"/>
        <v>2600</v>
      </c>
      <c r="AB174" s="1300"/>
      <c r="AC174" s="1300">
        <f t="shared" si="281"/>
        <v>-2600</v>
      </c>
      <c r="AD174" s="1237">
        <f t="shared" si="282"/>
        <v>-100</v>
      </c>
      <c r="AE174" s="1207">
        <f t="shared" si="299"/>
        <v>2600</v>
      </c>
      <c r="AF174" s="1300"/>
      <c r="AG174" s="1300">
        <f t="shared" si="283"/>
        <v>-2600</v>
      </c>
      <c r="AH174" s="1237">
        <f t="shared" si="284"/>
        <v>-100</v>
      </c>
      <c r="AI174" s="1207">
        <f t="shared" si="300"/>
        <v>2600</v>
      </c>
      <c r="AJ174" s="1300"/>
      <c r="AK174" s="1300">
        <f t="shared" si="285"/>
        <v>-2600</v>
      </c>
      <c r="AL174" s="1237">
        <f t="shared" si="286"/>
        <v>-100</v>
      </c>
      <c r="AM174" s="1207">
        <f t="shared" si="301"/>
        <v>2600</v>
      </c>
      <c r="AN174" s="1300"/>
      <c r="AO174" s="1300">
        <f t="shared" si="287"/>
        <v>-2600</v>
      </c>
      <c r="AP174" s="1237">
        <f t="shared" si="288"/>
        <v>-100</v>
      </c>
      <c r="AQ174" s="1207">
        <f t="shared" si="302"/>
        <v>2600</v>
      </c>
      <c r="AR174" s="1300"/>
      <c r="AS174" s="1300">
        <f t="shared" si="289"/>
        <v>-2600</v>
      </c>
      <c r="AT174" s="1237">
        <f t="shared" si="290"/>
        <v>-100</v>
      </c>
      <c r="AU174" s="1207">
        <f t="shared" si="303"/>
        <v>2600</v>
      </c>
      <c r="AV174" s="1300"/>
      <c r="AW174" s="1300">
        <f t="shared" si="291"/>
        <v>-2600</v>
      </c>
      <c r="AX174" s="1237">
        <f t="shared" si="292"/>
        <v>-100</v>
      </c>
      <c r="AY174" s="1236">
        <f t="shared" si="268"/>
        <v>31200</v>
      </c>
      <c r="AZ174" s="1189">
        <f t="shared" si="268"/>
        <v>0</v>
      </c>
      <c r="BA174" s="805"/>
      <c r="BB174" s="1178"/>
    </row>
    <row r="175" spans="1:57" s="552" customFormat="1" ht="18" customHeight="1" x14ac:dyDescent="0.25">
      <c r="A175" s="170">
        <v>11510</v>
      </c>
      <c r="B175" s="124" t="s">
        <v>105</v>
      </c>
      <c r="C175" s="1207">
        <v>12000</v>
      </c>
      <c r="D175" s="1300"/>
      <c r="E175" s="1300">
        <f t="shared" si="269"/>
        <v>-12000</v>
      </c>
      <c r="F175" s="1237">
        <f t="shared" si="270"/>
        <v>-100</v>
      </c>
      <c r="G175" s="1276">
        <f t="shared" si="293"/>
        <v>12000</v>
      </c>
      <c r="H175" s="1300"/>
      <c r="I175" s="1300">
        <f t="shared" si="271"/>
        <v>-12000</v>
      </c>
      <c r="J175" s="1237">
        <f t="shared" si="272"/>
        <v>-100</v>
      </c>
      <c r="K175" s="1276">
        <f t="shared" si="294"/>
        <v>12000</v>
      </c>
      <c r="L175" s="1300"/>
      <c r="M175" s="1300">
        <f t="shared" si="273"/>
        <v>-12000</v>
      </c>
      <c r="N175" s="1216">
        <f t="shared" si="274"/>
        <v>-100</v>
      </c>
      <c r="O175" s="1297">
        <f t="shared" si="295"/>
        <v>12000</v>
      </c>
      <c r="P175" s="1300"/>
      <c r="Q175" s="1300">
        <f t="shared" si="275"/>
        <v>-12000</v>
      </c>
      <c r="R175" s="1237">
        <f t="shared" si="276"/>
        <v>-100</v>
      </c>
      <c r="S175" s="1276">
        <f t="shared" si="296"/>
        <v>12000</v>
      </c>
      <c r="T175" s="1300"/>
      <c r="U175" s="1300">
        <f t="shared" si="277"/>
        <v>-12000</v>
      </c>
      <c r="V175" s="1216">
        <f t="shared" si="278"/>
        <v>-100</v>
      </c>
      <c r="W175" s="1297">
        <f t="shared" si="297"/>
        <v>12000</v>
      </c>
      <c r="X175" s="1300"/>
      <c r="Y175" s="1300">
        <f t="shared" si="279"/>
        <v>-12000</v>
      </c>
      <c r="Z175" s="1216">
        <f t="shared" si="280"/>
        <v>-100</v>
      </c>
      <c r="AA175" s="1297">
        <f t="shared" si="298"/>
        <v>12000</v>
      </c>
      <c r="AB175" s="1300"/>
      <c r="AC175" s="1300">
        <f t="shared" si="281"/>
        <v>-12000</v>
      </c>
      <c r="AD175" s="1237">
        <f t="shared" si="282"/>
        <v>-100</v>
      </c>
      <c r="AE175" s="1276">
        <f t="shared" si="299"/>
        <v>12000</v>
      </c>
      <c r="AF175" s="1300"/>
      <c r="AG175" s="1300">
        <f t="shared" si="283"/>
        <v>-12000</v>
      </c>
      <c r="AH175" s="1237">
        <f t="shared" si="284"/>
        <v>-100</v>
      </c>
      <c r="AI175" s="1276">
        <f t="shared" si="300"/>
        <v>12000</v>
      </c>
      <c r="AJ175" s="1300"/>
      <c r="AK175" s="1300">
        <f t="shared" si="285"/>
        <v>-12000</v>
      </c>
      <c r="AL175" s="1237">
        <f t="shared" si="286"/>
        <v>-100</v>
      </c>
      <c r="AM175" s="1276">
        <f t="shared" si="301"/>
        <v>12000</v>
      </c>
      <c r="AN175" s="1300"/>
      <c r="AO175" s="1300">
        <f t="shared" si="287"/>
        <v>-12000</v>
      </c>
      <c r="AP175" s="1237">
        <f t="shared" si="288"/>
        <v>-100</v>
      </c>
      <c r="AQ175" s="1276">
        <f t="shared" si="302"/>
        <v>12000</v>
      </c>
      <c r="AR175" s="1300"/>
      <c r="AS175" s="1300">
        <f t="shared" si="289"/>
        <v>-12000</v>
      </c>
      <c r="AT175" s="1237">
        <f t="shared" si="290"/>
        <v>-100</v>
      </c>
      <c r="AU175" s="1276">
        <f t="shared" si="303"/>
        <v>12000</v>
      </c>
      <c r="AV175" s="1300"/>
      <c r="AW175" s="1300">
        <f t="shared" si="291"/>
        <v>-12000</v>
      </c>
      <c r="AX175" s="1237">
        <f t="shared" si="292"/>
        <v>-100</v>
      </c>
      <c r="AY175" s="1236">
        <f t="shared" si="268"/>
        <v>144000</v>
      </c>
      <c r="AZ175" s="1189">
        <f t="shared" si="268"/>
        <v>0</v>
      </c>
      <c r="BA175" s="805"/>
      <c r="BB175" s="1178"/>
      <c r="BC175" s="119"/>
      <c r="BD175" s="119"/>
      <c r="BE175" s="119"/>
    </row>
    <row r="176" spans="1:57" s="119" customFormat="1" ht="18" customHeight="1" x14ac:dyDescent="0.25">
      <c r="A176" s="170">
        <v>11516</v>
      </c>
      <c r="B176" s="124" t="s">
        <v>3762</v>
      </c>
      <c r="C176" s="1207">
        <v>1500</v>
      </c>
      <c r="D176" s="1300"/>
      <c r="E176" s="1300">
        <f t="shared" si="269"/>
        <v>-1500</v>
      </c>
      <c r="F176" s="1237">
        <f t="shared" si="270"/>
        <v>-100</v>
      </c>
      <c r="G176" s="1276">
        <f t="shared" si="293"/>
        <v>1500</v>
      </c>
      <c r="H176" s="1300"/>
      <c r="I176" s="1300">
        <f t="shared" si="271"/>
        <v>-1500</v>
      </c>
      <c r="J176" s="1237">
        <f t="shared" si="272"/>
        <v>-100</v>
      </c>
      <c r="K176" s="1276">
        <f t="shared" si="294"/>
        <v>1500</v>
      </c>
      <c r="L176" s="1300"/>
      <c r="M176" s="1300">
        <f t="shared" si="273"/>
        <v>-1500</v>
      </c>
      <c r="N176" s="1216">
        <f t="shared" si="274"/>
        <v>-100</v>
      </c>
      <c r="O176" s="1297">
        <f t="shared" si="295"/>
        <v>1500</v>
      </c>
      <c r="P176" s="1300"/>
      <c r="Q176" s="1300">
        <f t="shared" si="275"/>
        <v>-1500</v>
      </c>
      <c r="R176" s="1237">
        <f t="shared" si="276"/>
        <v>-100</v>
      </c>
      <c r="S176" s="1276">
        <f t="shared" si="296"/>
        <v>1500</v>
      </c>
      <c r="T176" s="1300"/>
      <c r="U176" s="1300">
        <f t="shared" si="277"/>
        <v>-1500</v>
      </c>
      <c r="V176" s="1216">
        <f t="shared" si="278"/>
        <v>-100</v>
      </c>
      <c r="W176" s="1297">
        <f t="shared" si="297"/>
        <v>1500</v>
      </c>
      <c r="X176" s="1300"/>
      <c r="Y176" s="1300">
        <f t="shared" si="279"/>
        <v>-1500</v>
      </c>
      <c r="Z176" s="1216">
        <f t="shared" si="280"/>
        <v>-100</v>
      </c>
      <c r="AA176" s="1297">
        <f t="shared" si="298"/>
        <v>1500</v>
      </c>
      <c r="AB176" s="1300"/>
      <c r="AC176" s="1300">
        <f t="shared" si="281"/>
        <v>-1500</v>
      </c>
      <c r="AD176" s="1237">
        <f t="shared" si="282"/>
        <v>-100</v>
      </c>
      <c r="AE176" s="1276">
        <f t="shared" si="299"/>
        <v>1500</v>
      </c>
      <c r="AF176" s="1300"/>
      <c r="AG176" s="1300">
        <f t="shared" si="283"/>
        <v>-1500</v>
      </c>
      <c r="AH176" s="1237">
        <f t="shared" si="284"/>
        <v>-100</v>
      </c>
      <c r="AI176" s="1276">
        <f t="shared" si="300"/>
        <v>1500</v>
      </c>
      <c r="AJ176" s="1300"/>
      <c r="AK176" s="1300">
        <f t="shared" si="285"/>
        <v>-1500</v>
      </c>
      <c r="AL176" s="1237">
        <f t="shared" si="286"/>
        <v>-100</v>
      </c>
      <c r="AM176" s="1276">
        <f t="shared" si="301"/>
        <v>1500</v>
      </c>
      <c r="AN176" s="1300"/>
      <c r="AO176" s="1300">
        <f t="shared" si="287"/>
        <v>-1500</v>
      </c>
      <c r="AP176" s="1237">
        <f t="shared" si="288"/>
        <v>-100</v>
      </c>
      <c r="AQ176" s="1276">
        <f t="shared" si="302"/>
        <v>1500</v>
      </c>
      <c r="AR176" s="1300"/>
      <c r="AS176" s="1300">
        <f t="shared" si="289"/>
        <v>-1500</v>
      </c>
      <c r="AT176" s="1237">
        <f t="shared" si="290"/>
        <v>-100</v>
      </c>
      <c r="AU176" s="1276">
        <f t="shared" si="303"/>
        <v>1500</v>
      </c>
      <c r="AV176" s="1300"/>
      <c r="AW176" s="1300">
        <f t="shared" si="291"/>
        <v>-1500</v>
      </c>
      <c r="AX176" s="1237">
        <f t="shared" si="292"/>
        <v>-100</v>
      </c>
      <c r="AY176" s="1236">
        <f t="shared" si="268"/>
        <v>18000</v>
      </c>
      <c r="AZ176" s="1189">
        <f t="shared" si="268"/>
        <v>0</v>
      </c>
      <c r="BA176" s="805"/>
      <c r="BB176" s="1178"/>
    </row>
    <row r="177" spans="1:57" s="119" customFormat="1" ht="18" customHeight="1" x14ac:dyDescent="0.25">
      <c r="A177" s="170">
        <v>11522</v>
      </c>
      <c r="B177" s="124" t="s">
        <v>111</v>
      </c>
      <c r="C177" s="1207">
        <v>95000</v>
      </c>
      <c r="D177" s="1300"/>
      <c r="E177" s="1300">
        <f t="shared" si="269"/>
        <v>-95000</v>
      </c>
      <c r="F177" s="1237">
        <f t="shared" si="270"/>
        <v>-100</v>
      </c>
      <c r="G177" s="1276">
        <f t="shared" si="293"/>
        <v>95000</v>
      </c>
      <c r="H177" s="1300"/>
      <c r="I177" s="1300">
        <f t="shared" si="271"/>
        <v>-95000</v>
      </c>
      <c r="J177" s="1237">
        <f t="shared" si="272"/>
        <v>-100</v>
      </c>
      <c r="K177" s="1276">
        <f t="shared" si="294"/>
        <v>95000</v>
      </c>
      <c r="L177" s="1300"/>
      <c r="M177" s="1300">
        <f t="shared" si="273"/>
        <v>-95000</v>
      </c>
      <c r="N177" s="1216">
        <f t="shared" si="274"/>
        <v>-100</v>
      </c>
      <c r="O177" s="1297">
        <f t="shared" si="295"/>
        <v>95000</v>
      </c>
      <c r="P177" s="1300"/>
      <c r="Q177" s="1300">
        <f t="shared" si="275"/>
        <v>-95000</v>
      </c>
      <c r="R177" s="1237">
        <f t="shared" si="276"/>
        <v>-100</v>
      </c>
      <c r="S177" s="1276">
        <f t="shared" si="296"/>
        <v>95000</v>
      </c>
      <c r="T177" s="1300"/>
      <c r="U177" s="1300">
        <f t="shared" si="277"/>
        <v>-95000</v>
      </c>
      <c r="V177" s="1216">
        <f t="shared" si="278"/>
        <v>-100</v>
      </c>
      <c r="W177" s="1297">
        <f t="shared" si="297"/>
        <v>95000</v>
      </c>
      <c r="X177" s="1300"/>
      <c r="Y177" s="1300">
        <f t="shared" si="279"/>
        <v>-95000</v>
      </c>
      <c r="Z177" s="1216">
        <f t="shared" si="280"/>
        <v>-100</v>
      </c>
      <c r="AA177" s="1297">
        <f t="shared" si="298"/>
        <v>95000</v>
      </c>
      <c r="AB177" s="1300"/>
      <c r="AC177" s="1300">
        <f t="shared" si="281"/>
        <v>-95000</v>
      </c>
      <c r="AD177" s="1237">
        <f t="shared" si="282"/>
        <v>-100</v>
      </c>
      <c r="AE177" s="1276">
        <f t="shared" si="299"/>
        <v>95000</v>
      </c>
      <c r="AF177" s="1300"/>
      <c r="AG177" s="1300">
        <f t="shared" si="283"/>
        <v>-95000</v>
      </c>
      <c r="AH177" s="1237">
        <f t="shared" si="284"/>
        <v>-100</v>
      </c>
      <c r="AI177" s="1276">
        <f t="shared" si="300"/>
        <v>95000</v>
      </c>
      <c r="AJ177" s="1300"/>
      <c r="AK177" s="1300">
        <f t="shared" si="285"/>
        <v>-95000</v>
      </c>
      <c r="AL177" s="1237">
        <f t="shared" si="286"/>
        <v>-100</v>
      </c>
      <c r="AM177" s="1276">
        <f t="shared" si="301"/>
        <v>95000</v>
      </c>
      <c r="AN177" s="1300"/>
      <c r="AO177" s="1300">
        <f t="shared" si="287"/>
        <v>-95000</v>
      </c>
      <c r="AP177" s="1237">
        <f t="shared" si="288"/>
        <v>-100</v>
      </c>
      <c r="AQ177" s="1276">
        <f t="shared" si="302"/>
        <v>95000</v>
      </c>
      <c r="AR177" s="1300"/>
      <c r="AS177" s="1300">
        <f t="shared" si="289"/>
        <v>-95000</v>
      </c>
      <c r="AT177" s="1237">
        <f t="shared" si="290"/>
        <v>-100</v>
      </c>
      <c r="AU177" s="1276">
        <f t="shared" si="303"/>
        <v>95000</v>
      </c>
      <c r="AV177" s="1300"/>
      <c r="AW177" s="1300">
        <f t="shared" si="291"/>
        <v>-95000</v>
      </c>
      <c r="AX177" s="1237">
        <f t="shared" si="292"/>
        <v>-100</v>
      </c>
      <c r="AY177" s="1236">
        <f t="shared" si="268"/>
        <v>1140000</v>
      </c>
      <c r="AZ177" s="1189">
        <f t="shared" si="268"/>
        <v>0</v>
      </c>
      <c r="BA177" s="805"/>
      <c r="BB177" s="1178"/>
    </row>
    <row r="178" spans="1:57" s="119" customFormat="1" ht="18" customHeight="1" x14ac:dyDescent="0.25">
      <c r="A178" s="170">
        <v>11527</v>
      </c>
      <c r="B178" s="124" t="s">
        <v>112</v>
      </c>
      <c r="C178" s="1207">
        <v>2500</v>
      </c>
      <c r="D178" s="1300"/>
      <c r="E178" s="1300">
        <f t="shared" si="269"/>
        <v>-2500</v>
      </c>
      <c r="F178" s="1237">
        <f t="shared" si="270"/>
        <v>-100</v>
      </c>
      <c r="G178" s="1207">
        <f t="shared" si="293"/>
        <v>2500</v>
      </c>
      <c r="H178" s="1300"/>
      <c r="I178" s="1300">
        <f t="shared" si="271"/>
        <v>-2500</v>
      </c>
      <c r="J178" s="1237">
        <f t="shared" si="272"/>
        <v>-100</v>
      </c>
      <c r="K178" s="1207">
        <f t="shared" si="294"/>
        <v>2500</v>
      </c>
      <c r="L178" s="1300"/>
      <c r="M178" s="1300">
        <f t="shared" si="273"/>
        <v>-2500</v>
      </c>
      <c r="N178" s="1216">
        <f t="shared" si="274"/>
        <v>-100</v>
      </c>
      <c r="O178" s="1300">
        <f t="shared" si="295"/>
        <v>2500</v>
      </c>
      <c r="P178" s="1300"/>
      <c r="Q178" s="1300">
        <f t="shared" si="275"/>
        <v>-2500</v>
      </c>
      <c r="R178" s="1237">
        <f t="shared" si="276"/>
        <v>-100</v>
      </c>
      <c r="S178" s="1207">
        <f t="shared" si="296"/>
        <v>2500</v>
      </c>
      <c r="T178" s="1300"/>
      <c r="U178" s="1300">
        <f t="shared" si="277"/>
        <v>-2500</v>
      </c>
      <c r="V178" s="1216">
        <f t="shared" si="278"/>
        <v>-100</v>
      </c>
      <c r="W178" s="1300">
        <f t="shared" si="297"/>
        <v>2500</v>
      </c>
      <c r="X178" s="1300"/>
      <c r="Y178" s="1300">
        <f t="shared" si="279"/>
        <v>-2500</v>
      </c>
      <c r="Z178" s="1216">
        <f t="shared" si="280"/>
        <v>-100</v>
      </c>
      <c r="AA178" s="1300">
        <f t="shared" si="298"/>
        <v>2500</v>
      </c>
      <c r="AB178" s="1300"/>
      <c r="AC178" s="1300">
        <f t="shared" si="281"/>
        <v>-2500</v>
      </c>
      <c r="AD178" s="1237">
        <f t="shared" si="282"/>
        <v>-100</v>
      </c>
      <c r="AE178" s="1207">
        <f t="shared" si="299"/>
        <v>2500</v>
      </c>
      <c r="AF178" s="1300"/>
      <c r="AG178" s="1300">
        <f t="shared" si="283"/>
        <v>-2500</v>
      </c>
      <c r="AH178" s="1237">
        <f t="shared" si="284"/>
        <v>-100</v>
      </c>
      <c r="AI178" s="1207">
        <f t="shared" si="300"/>
        <v>2500</v>
      </c>
      <c r="AJ178" s="1300"/>
      <c r="AK178" s="1300">
        <f t="shared" si="285"/>
        <v>-2500</v>
      </c>
      <c r="AL178" s="1237">
        <f t="shared" si="286"/>
        <v>-100</v>
      </c>
      <c r="AM178" s="1207">
        <f t="shared" si="301"/>
        <v>2500</v>
      </c>
      <c r="AN178" s="1300"/>
      <c r="AO178" s="1300">
        <f t="shared" si="287"/>
        <v>-2500</v>
      </c>
      <c r="AP178" s="1237">
        <f t="shared" si="288"/>
        <v>-100</v>
      </c>
      <c r="AQ178" s="1207">
        <f t="shared" si="302"/>
        <v>2500</v>
      </c>
      <c r="AR178" s="1300"/>
      <c r="AS178" s="1300">
        <f t="shared" si="289"/>
        <v>-2500</v>
      </c>
      <c r="AT178" s="1237">
        <f t="shared" si="290"/>
        <v>-100</v>
      </c>
      <c r="AU178" s="1207">
        <f t="shared" si="303"/>
        <v>2500</v>
      </c>
      <c r="AV178" s="1300"/>
      <c r="AW178" s="1300">
        <f t="shared" si="291"/>
        <v>-2500</v>
      </c>
      <c r="AX178" s="1237">
        <f t="shared" si="292"/>
        <v>-100</v>
      </c>
      <c r="AY178" s="1236">
        <f t="shared" si="268"/>
        <v>30000</v>
      </c>
      <c r="AZ178" s="1189">
        <f t="shared" si="268"/>
        <v>0</v>
      </c>
      <c r="BA178" s="805"/>
      <c r="BB178" s="1178"/>
    </row>
    <row r="179" spans="1:57" s="119" customFormat="1" ht="18" customHeight="1" x14ac:dyDescent="0.25">
      <c r="A179" s="170">
        <v>11820</v>
      </c>
      <c r="B179" s="124" t="s">
        <v>330</v>
      </c>
      <c r="C179" s="1207">
        <v>1000</v>
      </c>
      <c r="D179" s="1300"/>
      <c r="E179" s="1300">
        <f t="shared" si="269"/>
        <v>-1000</v>
      </c>
      <c r="F179" s="1237">
        <f t="shared" si="270"/>
        <v>-100</v>
      </c>
      <c r="G179" s="1207">
        <f t="shared" si="293"/>
        <v>1000</v>
      </c>
      <c r="H179" s="1300"/>
      <c r="I179" s="1300">
        <f t="shared" si="271"/>
        <v>-1000</v>
      </c>
      <c r="J179" s="1237">
        <f t="shared" si="272"/>
        <v>-100</v>
      </c>
      <c r="K179" s="1207">
        <f t="shared" si="294"/>
        <v>1000</v>
      </c>
      <c r="L179" s="1300"/>
      <c r="M179" s="1300">
        <f t="shared" si="273"/>
        <v>-1000</v>
      </c>
      <c r="N179" s="1216">
        <f t="shared" si="274"/>
        <v>-100</v>
      </c>
      <c r="O179" s="1300">
        <f t="shared" si="295"/>
        <v>1000</v>
      </c>
      <c r="P179" s="1300"/>
      <c r="Q179" s="1300">
        <f t="shared" si="275"/>
        <v>-1000</v>
      </c>
      <c r="R179" s="1237">
        <f t="shared" si="276"/>
        <v>-100</v>
      </c>
      <c r="S179" s="1207">
        <f t="shared" si="296"/>
        <v>1000</v>
      </c>
      <c r="T179" s="1300"/>
      <c r="U179" s="1300">
        <f t="shared" si="277"/>
        <v>-1000</v>
      </c>
      <c r="V179" s="1216">
        <f t="shared" si="278"/>
        <v>-100</v>
      </c>
      <c r="W179" s="1300">
        <f t="shared" si="297"/>
        <v>1000</v>
      </c>
      <c r="X179" s="1300"/>
      <c r="Y179" s="1300">
        <f t="shared" si="279"/>
        <v>-1000</v>
      </c>
      <c r="Z179" s="1216">
        <f t="shared" si="280"/>
        <v>-100</v>
      </c>
      <c r="AA179" s="1300">
        <f t="shared" si="298"/>
        <v>1000</v>
      </c>
      <c r="AB179" s="1300"/>
      <c r="AC179" s="1300">
        <f t="shared" si="281"/>
        <v>-1000</v>
      </c>
      <c r="AD179" s="1237">
        <f t="shared" si="282"/>
        <v>-100</v>
      </c>
      <c r="AE179" s="1207">
        <f t="shared" si="299"/>
        <v>1000</v>
      </c>
      <c r="AF179" s="1300"/>
      <c r="AG179" s="1300">
        <f t="shared" si="283"/>
        <v>-1000</v>
      </c>
      <c r="AH179" s="1237">
        <f t="shared" si="284"/>
        <v>-100</v>
      </c>
      <c r="AI179" s="1207">
        <f t="shared" si="300"/>
        <v>1000</v>
      </c>
      <c r="AJ179" s="1300"/>
      <c r="AK179" s="1300">
        <f t="shared" si="285"/>
        <v>-1000</v>
      </c>
      <c r="AL179" s="1237">
        <f t="shared" si="286"/>
        <v>-100</v>
      </c>
      <c r="AM179" s="1207">
        <f t="shared" si="301"/>
        <v>1000</v>
      </c>
      <c r="AN179" s="1300"/>
      <c r="AO179" s="1300">
        <f t="shared" si="287"/>
        <v>-1000</v>
      </c>
      <c r="AP179" s="1237">
        <f t="shared" si="288"/>
        <v>-100</v>
      </c>
      <c r="AQ179" s="1207">
        <f t="shared" si="302"/>
        <v>1000</v>
      </c>
      <c r="AR179" s="1300"/>
      <c r="AS179" s="1300">
        <f t="shared" si="289"/>
        <v>-1000</v>
      </c>
      <c r="AT179" s="1237">
        <f t="shared" si="290"/>
        <v>-100</v>
      </c>
      <c r="AU179" s="1207">
        <f t="shared" si="303"/>
        <v>1000</v>
      </c>
      <c r="AV179" s="1300"/>
      <c r="AW179" s="1300">
        <f t="shared" si="291"/>
        <v>-1000</v>
      </c>
      <c r="AX179" s="1237">
        <f t="shared" si="292"/>
        <v>-100</v>
      </c>
      <c r="AY179" s="1236">
        <f t="shared" si="268"/>
        <v>12000</v>
      </c>
      <c r="AZ179" s="1189">
        <f t="shared" si="268"/>
        <v>0</v>
      </c>
      <c r="BA179" s="805"/>
      <c r="BB179" s="1178"/>
    </row>
    <row r="180" spans="1:57" s="119" customFormat="1" ht="47.25" x14ac:dyDescent="0.25">
      <c r="A180" s="170" t="s">
        <v>3637</v>
      </c>
      <c r="B180" s="124" t="s">
        <v>3770</v>
      </c>
      <c r="C180" s="1207">
        <v>520000</v>
      </c>
      <c r="D180" s="1300"/>
      <c r="E180" s="1300">
        <f t="shared" si="269"/>
        <v>-520000</v>
      </c>
      <c r="F180" s="1237">
        <f t="shared" si="270"/>
        <v>-100</v>
      </c>
      <c r="G180" s="1276">
        <f t="shared" si="293"/>
        <v>520000</v>
      </c>
      <c r="H180" s="1300"/>
      <c r="I180" s="1300">
        <f t="shared" si="271"/>
        <v>-520000</v>
      </c>
      <c r="J180" s="1237">
        <f t="shared" si="272"/>
        <v>-100</v>
      </c>
      <c r="K180" s="1276">
        <f>G180+150000</f>
        <v>670000</v>
      </c>
      <c r="L180" s="1300"/>
      <c r="M180" s="1300">
        <f t="shared" si="273"/>
        <v>-670000</v>
      </c>
      <c r="N180" s="1216">
        <f t="shared" si="274"/>
        <v>-100</v>
      </c>
      <c r="O180" s="1297">
        <f t="shared" si="295"/>
        <v>670000</v>
      </c>
      <c r="P180" s="1300"/>
      <c r="Q180" s="1300">
        <f t="shared" si="275"/>
        <v>-670000</v>
      </c>
      <c r="R180" s="1237">
        <f t="shared" si="276"/>
        <v>-100</v>
      </c>
      <c r="S180" s="1276">
        <f t="shared" si="296"/>
        <v>670000</v>
      </c>
      <c r="T180" s="1300"/>
      <c r="U180" s="1300">
        <f t="shared" si="277"/>
        <v>-670000</v>
      </c>
      <c r="V180" s="1216">
        <f t="shared" si="278"/>
        <v>-100</v>
      </c>
      <c r="W180" s="1297">
        <f t="shared" si="297"/>
        <v>670000</v>
      </c>
      <c r="X180" s="1300"/>
      <c r="Y180" s="1300">
        <f t="shared" si="279"/>
        <v>-670000</v>
      </c>
      <c r="Z180" s="1216">
        <f t="shared" si="280"/>
        <v>-100</v>
      </c>
      <c r="AA180" s="1297">
        <f t="shared" si="298"/>
        <v>670000</v>
      </c>
      <c r="AB180" s="1300"/>
      <c r="AC180" s="1300">
        <f t="shared" si="281"/>
        <v>-670000</v>
      </c>
      <c r="AD180" s="1237">
        <f t="shared" si="282"/>
        <v>-100</v>
      </c>
      <c r="AE180" s="1276">
        <f t="shared" si="299"/>
        <v>670000</v>
      </c>
      <c r="AF180" s="1300"/>
      <c r="AG180" s="1300">
        <f t="shared" si="283"/>
        <v>-670000</v>
      </c>
      <c r="AH180" s="1237">
        <f t="shared" si="284"/>
        <v>-100</v>
      </c>
      <c r="AI180" s="1276">
        <f t="shared" si="300"/>
        <v>670000</v>
      </c>
      <c r="AJ180" s="1300"/>
      <c r="AK180" s="1300">
        <f t="shared" si="285"/>
        <v>-670000</v>
      </c>
      <c r="AL180" s="1237">
        <f t="shared" si="286"/>
        <v>-100</v>
      </c>
      <c r="AM180" s="1276">
        <f t="shared" si="301"/>
        <v>670000</v>
      </c>
      <c r="AN180" s="1300"/>
      <c r="AO180" s="1300">
        <f t="shared" si="287"/>
        <v>-670000</v>
      </c>
      <c r="AP180" s="1237">
        <f t="shared" si="288"/>
        <v>-100</v>
      </c>
      <c r="AQ180" s="1276">
        <f t="shared" si="302"/>
        <v>670000</v>
      </c>
      <c r="AR180" s="1300"/>
      <c r="AS180" s="1300">
        <f t="shared" si="289"/>
        <v>-670000</v>
      </c>
      <c r="AT180" s="1237">
        <f t="shared" si="290"/>
        <v>-100</v>
      </c>
      <c r="AU180" s="1276">
        <f t="shared" si="303"/>
        <v>670000</v>
      </c>
      <c r="AV180" s="1300"/>
      <c r="AW180" s="1300">
        <f t="shared" si="291"/>
        <v>-670000</v>
      </c>
      <c r="AX180" s="1237">
        <f t="shared" si="292"/>
        <v>-100</v>
      </c>
      <c r="AY180" s="1236">
        <f t="shared" si="268"/>
        <v>7740000</v>
      </c>
      <c r="AZ180" s="1189">
        <f t="shared" si="268"/>
        <v>0</v>
      </c>
      <c r="BA180" s="805"/>
      <c r="BB180" s="1178"/>
    </row>
    <row r="181" spans="1:57" s="119" customFormat="1" ht="18" customHeight="1" x14ac:dyDescent="0.25">
      <c r="A181" s="170">
        <v>11983</v>
      </c>
      <c r="B181" s="124" t="s">
        <v>218</v>
      </c>
      <c r="C181" s="1207">
        <v>2000</v>
      </c>
      <c r="D181" s="1300"/>
      <c r="E181" s="1300">
        <f t="shared" si="269"/>
        <v>-2000</v>
      </c>
      <c r="F181" s="1237">
        <f t="shared" si="270"/>
        <v>-100</v>
      </c>
      <c r="G181" s="1276">
        <f t="shared" si="293"/>
        <v>2000</v>
      </c>
      <c r="H181" s="1300"/>
      <c r="I181" s="1300">
        <f t="shared" si="271"/>
        <v>-2000</v>
      </c>
      <c r="J181" s="1237">
        <f t="shared" si="272"/>
        <v>-100</v>
      </c>
      <c r="K181" s="1276">
        <f t="shared" ref="K181:K191" si="304">G181</f>
        <v>2000</v>
      </c>
      <c r="L181" s="1300"/>
      <c r="M181" s="1300">
        <f t="shared" si="273"/>
        <v>-2000</v>
      </c>
      <c r="N181" s="1216">
        <f t="shared" si="274"/>
        <v>-100</v>
      </c>
      <c r="O181" s="1297">
        <f t="shared" si="295"/>
        <v>2000</v>
      </c>
      <c r="P181" s="1300"/>
      <c r="Q181" s="1300">
        <f t="shared" si="275"/>
        <v>-2000</v>
      </c>
      <c r="R181" s="1237">
        <f t="shared" si="276"/>
        <v>-100</v>
      </c>
      <c r="S181" s="1276">
        <f t="shared" si="296"/>
        <v>2000</v>
      </c>
      <c r="T181" s="1300"/>
      <c r="U181" s="1300">
        <f t="shared" si="277"/>
        <v>-2000</v>
      </c>
      <c r="V181" s="1216">
        <f t="shared" si="278"/>
        <v>-100</v>
      </c>
      <c r="W181" s="1297">
        <f t="shared" si="297"/>
        <v>2000</v>
      </c>
      <c r="X181" s="1300"/>
      <c r="Y181" s="1300">
        <f t="shared" si="279"/>
        <v>-2000</v>
      </c>
      <c r="Z181" s="1216">
        <f t="shared" si="280"/>
        <v>-100</v>
      </c>
      <c r="AA181" s="1297">
        <f t="shared" si="298"/>
        <v>2000</v>
      </c>
      <c r="AB181" s="1300"/>
      <c r="AC181" s="1300">
        <f t="shared" si="281"/>
        <v>-2000</v>
      </c>
      <c r="AD181" s="1237">
        <f t="shared" si="282"/>
        <v>-100</v>
      </c>
      <c r="AE181" s="1276">
        <f t="shared" si="299"/>
        <v>2000</v>
      </c>
      <c r="AF181" s="1300"/>
      <c r="AG181" s="1300">
        <f t="shared" si="283"/>
        <v>-2000</v>
      </c>
      <c r="AH181" s="1237">
        <f t="shared" si="284"/>
        <v>-100</v>
      </c>
      <c r="AI181" s="1276">
        <f t="shared" si="300"/>
        <v>2000</v>
      </c>
      <c r="AJ181" s="1300"/>
      <c r="AK181" s="1300">
        <f t="shared" si="285"/>
        <v>-2000</v>
      </c>
      <c r="AL181" s="1237">
        <f t="shared" si="286"/>
        <v>-100</v>
      </c>
      <c r="AM181" s="1276">
        <f t="shared" si="301"/>
        <v>2000</v>
      </c>
      <c r="AN181" s="1300"/>
      <c r="AO181" s="1300">
        <f t="shared" si="287"/>
        <v>-2000</v>
      </c>
      <c r="AP181" s="1237">
        <f t="shared" si="288"/>
        <v>-100</v>
      </c>
      <c r="AQ181" s="1276">
        <f t="shared" si="302"/>
        <v>2000</v>
      </c>
      <c r="AR181" s="1300"/>
      <c r="AS181" s="1300">
        <f t="shared" si="289"/>
        <v>-2000</v>
      </c>
      <c r="AT181" s="1237">
        <f t="shared" si="290"/>
        <v>-100</v>
      </c>
      <c r="AU181" s="1276">
        <f t="shared" ref="AU181:AU189" si="305">AQ181</f>
        <v>2000</v>
      </c>
      <c r="AV181" s="1300"/>
      <c r="AW181" s="1300">
        <f t="shared" si="291"/>
        <v>-2000</v>
      </c>
      <c r="AX181" s="1237">
        <f t="shared" si="292"/>
        <v>-100</v>
      </c>
      <c r="AY181" s="1236">
        <f t="shared" si="268"/>
        <v>24000</v>
      </c>
      <c r="AZ181" s="1189">
        <f t="shared" si="268"/>
        <v>0</v>
      </c>
      <c r="BA181" s="805"/>
      <c r="BB181" s="1178"/>
    </row>
    <row r="182" spans="1:57" s="119" customFormat="1" ht="18" customHeight="1" x14ac:dyDescent="0.25">
      <c r="A182" s="170">
        <v>11669</v>
      </c>
      <c r="B182" s="124" t="s">
        <v>334</v>
      </c>
      <c r="C182" s="1207">
        <v>2200</v>
      </c>
      <c r="D182" s="1300"/>
      <c r="E182" s="1300">
        <f t="shared" si="269"/>
        <v>-2200</v>
      </c>
      <c r="F182" s="1237">
        <f t="shared" si="270"/>
        <v>-100</v>
      </c>
      <c r="G182" s="1276">
        <f t="shared" si="293"/>
        <v>2200</v>
      </c>
      <c r="H182" s="1300"/>
      <c r="I182" s="1300">
        <f t="shared" si="271"/>
        <v>-2200</v>
      </c>
      <c r="J182" s="1237">
        <f t="shared" si="272"/>
        <v>-100</v>
      </c>
      <c r="K182" s="1276">
        <f t="shared" si="304"/>
        <v>2200</v>
      </c>
      <c r="L182" s="1300"/>
      <c r="M182" s="1300">
        <f t="shared" si="273"/>
        <v>-2200</v>
      </c>
      <c r="N182" s="1216">
        <f t="shared" si="274"/>
        <v>-100</v>
      </c>
      <c r="O182" s="1297">
        <f t="shared" si="295"/>
        <v>2200</v>
      </c>
      <c r="P182" s="1300"/>
      <c r="Q182" s="1300">
        <f t="shared" si="275"/>
        <v>-2200</v>
      </c>
      <c r="R182" s="1237">
        <f t="shared" si="276"/>
        <v>-100</v>
      </c>
      <c r="S182" s="1276">
        <f t="shared" si="296"/>
        <v>2200</v>
      </c>
      <c r="T182" s="1300"/>
      <c r="U182" s="1300">
        <f t="shared" si="277"/>
        <v>-2200</v>
      </c>
      <c r="V182" s="1216">
        <f t="shared" si="278"/>
        <v>-100</v>
      </c>
      <c r="W182" s="1297">
        <f t="shared" si="297"/>
        <v>2200</v>
      </c>
      <c r="X182" s="1300"/>
      <c r="Y182" s="1300">
        <f t="shared" si="279"/>
        <v>-2200</v>
      </c>
      <c r="Z182" s="1216">
        <f t="shared" si="280"/>
        <v>-100</v>
      </c>
      <c r="AA182" s="1297">
        <f t="shared" si="298"/>
        <v>2200</v>
      </c>
      <c r="AB182" s="1300"/>
      <c r="AC182" s="1300">
        <f t="shared" si="281"/>
        <v>-2200</v>
      </c>
      <c r="AD182" s="1237">
        <f t="shared" si="282"/>
        <v>-100</v>
      </c>
      <c r="AE182" s="1276">
        <f t="shared" si="299"/>
        <v>2200</v>
      </c>
      <c r="AF182" s="1300"/>
      <c r="AG182" s="1300">
        <f t="shared" si="283"/>
        <v>-2200</v>
      </c>
      <c r="AH182" s="1237">
        <f t="shared" si="284"/>
        <v>-100</v>
      </c>
      <c r="AI182" s="1276">
        <f t="shared" si="300"/>
        <v>2200</v>
      </c>
      <c r="AJ182" s="1300"/>
      <c r="AK182" s="1300">
        <f t="shared" si="285"/>
        <v>-2200</v>
      </c>
      <c r="AL182" s="1237">
        <f t="shared" si="286"/>
        <v>-100</v>
      </c>
      <c r="AM182" s="1276">
        <f t="shared" si="301"/>
        <v>2200</v>
      </c>
      <c r="AN182" s="1300"/>
      <c r="AO182" s="1300">
        <f t="shared" si="287"/>
        <v>-2200</v>
      </c>
      <c r="AP182" s="1237">
        <f t="shared" si="288"/>
        <v>-100</v>
      </c>
      <c r="AQ182" s="1276">
        <f t="shared" si="302"/>
        <v>2200</v>
      </c>
      <c r="AR182" s="1300"/>
      <c r="AS182" s="1300">
        <f t="shared" si="289"/>
        <v>-2200</v>
      </c>
      <c r="AT182" s="1237">
        <f t="shared" si="290"/>
        <v>-100</v>
      </c>
      <c r="AU182" s="1276">
        <f t="shared" si="305"/>
        <v>2200</v>
      </c>
      <c r="AV182" s="1300"/>
      <c r="AW182" s="1300">
        <f t="shared" si="291"/>
        <v>-2200</v>
      </c>
      <c r="AX182" s="1237">
        <f t="shared" si="292"/>
        <v>-100</v>
      </c>
      <c r="AY182" s="1236">
        <f t="shared" si="268"/>
        <v>26400</v>
      </c>
      <c r="AZ182" s="1189">
        <f t="shared" si="268"/>
        <v>0</v>
      </c>
      <c r="BA182" s="805"/>
      <c r="BB182" s="1178"/>
    </row>
    <row r="183" spans="1:57" s="119" customFormat="1" ht="18" customHeight="1" x14ac:dyDescent="0.25">
      <c r="A183" s="170" t="s">
        <v>3635</v>
      </c>
      <c r="B183" s="124" t="s">
        <v>108</v>
      </c>
      <c r="C183" s="1207">
        <v>20000</v>
      </c>
      <c r="D183" s="1300"/>
      <c r="E183" s="1300">
        <f t="shared" si="269"/>
        <v>-20000</v>
      </c>
      <c r="F183" s="1237">
        <f t="shared" si="270"/>
        <v>-100</v>
      </c>
      <c r="G183" s="1276">
        <f t="shared" si="293"/>
        <v>20000</v>
      </c>
      <c r="H183" s="1300"/>
      <c r="I183" s="1300">
        <f t="shared" si="271"/>
        <v>-20000</v>
      </c>
      <c r="J183" s="1237">
        <f t="shared" si="272"/>
        <v>-100</v>
      </c>
      <c r="K183" s="1276">
        <f t="shared" si="304"/>
        <v>20000</v>
      </c>
      <c r="L183" s="1300"/>
      <c r="M183" s="1300">
        <f t="shared" si="273"/>
        <v>-20000</v>
      </c>
      <c r="N183" s="1216">
        <f t="shared" si="274"/>
        <v>-100</v>
      </c>
      <c r="O183" s="1297">
        <f t="shared" si="295"/>
        <v>20000</v>
      </c>
      <c r="P183" s="1300"/>
      <c r="Q183" s="1300">
        <f t="shared" si="275"/>
        <v>-20000</v>
      </c>
      <c r="R183" s="1237">
        <f t="shared" si="276"/>
        <v>-100</v>
      </c>
      <c r="S183" s="1276">
        <f t="shared" si="296"/>
        <v>20000</v>
      </c>
      <c r="T183" s="1300"/>
      <c r="U183" s="1300">
        <f t="shared" si="277"/>
        <v>-20000</v>
      </c>
      <c r="V183" s="1216">
        <f t="shared" si="278"/>
        <v>-100</v>
      </c>
      <c r="W183" s="1297">
        <f t="shared" si="297"/>
        <v>20000</v>
      </c>
      <c r="X183" s="1300"/>
      <c r="Y183" s="1300">
        <f t="shared" si="279"/>
        <v>-20000</v>
      </c>
      <c r="Z183" s="1216">
        <f t="shared" si="280"/>
        <v>-100</v>
      </c>
      <c r="AA183" s="1297">
        <f t="shared" si="298"/>
        <v>20000</v>
      </c>
      <c r="AB183" s="1300"/>
      <c r="AC183" s="1300">
        <f t="shared" si="281"/>
        <v>-20000</v>
      </c>
      <c r="AD183" s="1237">
        <f t="shared" si="282"/>
        <v>-100</v>
      </c>
      <c r="AE183" s="1276">
        <f t="shared" si="299"/>
        <v>20000</v>
      </c>
      <c r="AF183" s="1300"/>
      <c r="AG183" s="1300">
        <f t="shared" si="283"/>
        <v>-20000</v>
      </c>
      <c r="AH183" s="1237">
        <f t="shared" si="284"/>
        <v>-100</v>
      </c>
      <c r="AI183" s="1276">
        <f t="shared" si="300"/>
        <v>20000</v>
      </c>
      <c r="AJ183" s="1300"/>
      <c r="AK183" s="1300">
        <f t="shared" si="285"/>
        <v>-20000</v>
      </c>
      <c r="AL183" s="1237">
        <f t="shared" si="286"/>
        <v>-100</v>
      </c>
      <c r="AM183" s="1276">
        <f t="shared" si="301"/>
        <v>20000</v>
      </c>
      <c r="AN183" s="1300"/>
      <c r="AO183" s="1300">
        <f t="shared" si="287"/>
        <v>-20000</v>
      </c>
      <c r="AP183" s="1237">
        <f t="shared" si="288"/>
        <v>-100</v>
      </c>
      <c r="AQ183" s="1276">
        <f t="shared" si="302"/>
        <v>20000</v>
      </c>
      <c r="AR183" s="1300"/>
      <c r="AS183" s="1300">
        <f t="shared" si="289"/>
        <v>-20000</v>
      </c>
      <c r="AT183" s="1237">
        <f t="shared" si="290"/>
        <v>-100</v>
      </c>
      <c r="AU183" s="1276">
        <f t="shared" si="305"/>
        <v>20000</v>
      </c>
      <c r="AV183" s="1300"/>
      <c r="AW183" s="1300">
        <f t="shared" si="291"/>
        <v>-20000</v>
      </c>
      <c r="AX183" s="1237">
        <f t="shared" si="292"/>
        <v>-100</v>
      </c>
      <c r="AY183" s="1236">
        <f t="shared" si="268"/>
        <v>240000</v>
      </c>
      <c r="AZ183" s="1189">
        <f t="shared" si="268"/>
        <v>0</v>
      </c>
      <c r="BA183" s="828"/>
      <c r="BB183" s="1178"/>
      <c r="BC183" s="552"/>
      <c r="BD183" s="552"/>
      <c r="BE183" s="552"/>
    </row>
    <row r="184" spans="1:57" s="119" customFormat="1" ht="18" customHeight="1" x14ac:dyDescent="0.25">
      <c r="A184" s="1181">
        <v>33263</v>
      </c>
      <c r="B184" s="1075" t="s">
        <v>3761</v>
      </c>
      <c r="C184" s="1207">
        <v>200000</v>
      </c>
      <c r="D184" s="1300"/>
      <c r="E184" s="1300">
        <f t="shared" si="269"/>
        <v>-200000</v>
      </c>
      <c r="F184" s="1216">
        <f t="shared" si="270"/>
        <v>-100</v>
      </c>
      <c r="G184" s="1207">
        <f t="shared" si="293"/>
        <v>200000</v>
      </c>
      <c r="H184" s="1300"/>
      <c r="I184" s="1300">
        <f t="shared" si="271"/>
        <v>-200000</v>
      </c>
      <c r="J184" s="1216">
        <f t="shared" si="272"/>
        <v>-100</v>
      </c>
      <c r="K184" s="1207">
        <f t="shared" si="304"/>
        <v>200000</v>
      </c>
      <c r="L184" s="1300"/>
      <c r="M184" s="1300">
        <f t="shared" si="273"/>
        <v>-200000</v>
      </c>
      <c r="N184" s="1216">
        <f t="shared" si="274"/>
        <v>-100</v>
      </c>
      <c r="O184" s="1300">
        <f t="shared" si="295"/>
        <v>200000</v>
      </c>
      <c r="P184" s="1300"/>
      <c r="Q184" s="1300">
        <f t="shared" si="275"/>
        <v>-200000</v>
      </c>
      <c r="R184" s="1216">
        <f t="shared" si="276"/>
        <v>-100</v>
      </c>
      <c r="S184" s="1207">
        <f t="shared" si="296"/>
        <v>200000</v>
      </c>
      <c r="T184" s="1300"/>
      <c r="U184" s="1300">
        <f t="shared" si="277"/>
        <v>-200000</v>
      </c>
      <c r="V184" s="1216">
        <f t="shared" si="278"/>
        <v>-100</v>
      </c>
      <c r="W184" s="1300">
        <f t="shared" si="297"/>
        <v>200000</v>
      </c>
      <c r="X184" s="1300"/>
      <c r="Y184" s="1300">
        <f t="shared" si="279"/>
        <v>-200000</v>
      </c>
      <c r="Z184" s="1216">
        <f t="shared" si="280"/>
        <v>-100</v>
      </c>
      <c r="AA184" s="1300">
        <f t="shared" si="298"/>
        <v>200000</v>
      </c>
      <c r="AB184" s="1300"/>
      <c r="AC184" s="1300">
        <f t="shared" si="281"/>
        <v>-200000</v>
      </c>
      <c r="AD184" s="1216">
        <f t="shared" si="282"/>
        <v>-100</v>
      </c>
      <c r="AE184" s="1207">
        <f t="shared" si="299"/>
        <v>200000</v>
      </c>
      <c r="AF184" s="1300"/>
      <c r="AG184" s="1300">
        <f t="shared" si="283"/>
        <v>-200000</v>
      </c>
      <c r="AH184" s="1216">
        <f t="shared" si="284"/>
        <v>-100</v>
      </c>
      <c r="AI184" s="1207">
        <f t="shared" si="300"/>
        <v>200000</v>
      </c>
      <c r="AJ184" s="1300"/>
      <c r="AK184" s="1300">
        <f t="shared" si="285"/>
        <v>-200000</v>
      </c>
      <c r="AL184" s="1216">
        <f t="shared" si="286"/>
        <v>-100</v>
      </c>
      <c r="AM184" s="1207">
        <f t="shared" si="301"/>
        <v>200000</v>
      </c>
      <c r="AN184" s="1300"/>
      <c r="AO184" s="1300">
        <f t="shared" si="287"/>
        <v>-200000</v>
      </c>
      <c r="AP184" s="1216">
        <f t="shared" si="288"/>
        <v>-100</v>
      </c>
      <c r="AQ184" s="1207">
        <f t="shared" si="302"/>
        <v>200000</v>
      </c>
      <c r="AR184" s="1300"/>
      <c r="AS184" s="1300">
        <f t="shared" si="289"/>
        <v>-200000</v>
      </c>
      <c r="AT184" s="1216">
        <f t="shared" si="290"/>
        <v>-100</v>
      </c>
      <c r="AU184" s="1207">
        <f t="shared" si="305"/>
        <v>200000</v>
      </c>
      <c r="AV184" s="1300"/>
      <c r="AW184" s="1300">
        <f t="shared" si="291"/>
        <v>-200000</v>
      </c>
      <c r="AX184" s="1237">
        <f t="shared" si="292"/>
        <v>-100</v>
      </c>
      <c r="AY184" s="1237">
        <f t="shared" si="268"/>
        <v>2400000</v>
      </c>
      <c r="AZ184" s="1189">
        <f t="shared" si="268"/>
        <v>0</v>
      </c>
      <c r="BA184" s="146"/>
      <c r="BB184" s="232"/>
      <c r="BC184" s="146"/>
      <c r="BD184" s="146"/>
      <c r="BE184" s="146"/>
    </row>
    <row r="185" spans="1:57" s="119" customFormat="1" ht="18" customHeight="1" x14ac:dyDescent="0.25">
      <c r="A185" s="170" t="s">
        <v>113</v>
      </c>
      <c r="B185" s="124" t="s">
        <v>220</v>
      </c>
      <c r="C185" s="1207">
        <v>1200</v>
      </c>
      <c r="D185" s="1300"/>
      <c r="E185" s="1300">
        <f t="shared" si="269"/>
        <v>-1200</v>
      </c>
      <c r="F185" s="1237">
        <f t="shared" si="270"/>
        <v>-100</v>
      </c>
      <c r="G185" s="1207">
        <f t="shared" si="293"/>
        <v>1200</v>
      </c>
      <c r="H185" s="1300"/>
      <c r="I185" s="1300">
        <f t="shared" si="271"/>
        <v>-1200</v>
      </c>
      <c r="J185" s="1237">
        <f t="shared" si="272"/>
        <v>-100</v>
      </c>
      <c r="K185" s="1207">
        <f t="shared" si="304"/>
        <v>1200</v>
      </c>
      <c r="L185" s="1300"/>
      <c r="M185" s="1300">
        <f t="shared" si="273"/>
        <v>-1200</v>
      </c>
      <c r="N185" s="1216">
        <f t="shared" si="274"/>
        <v>-100</v>
      </c>
      <c r="O185" s="1300">
        <f t="shared" si="295"/>
        <v>1200</v>
      </c>
      <c r="P185" s="1300"/>
      <c r="Q185" s="1300">
        <f t="shared" si="275"/>
        <v>-1200</v>
      </c>
      <c r="R185" s="1237">
        <f t="shared" si="276"/>
        <v>-100</v>
      </c>
      <c r="S185" s="1207">
        <f t="shared" si="296"/>
        <v>1200</v>
      </c>
      <c r="T185" s="1300"/>
      <c r="U185" s="1300">
        <f t="shared" si="277"/>
        <v>-1200</v>
      </c>
      <c r="V185" s="1216">
        <f t="shared" si="278"/>
        <v>-100</v>
      </c>
      <c r="W185" s="1300">
        <f t="shared" si="297"/>
        <v>1200</v>
      </c>
      <c r="X185" s="1300"/>
      <c r="Y185" s="1300">
        <f t="shared" si="279"/>
        <v>-1200</v>
      </c>
      <c r="Z185" s="1216">
        <f t="shared" si="280"/>
        <v>-100</v>
      </c>
      <c r="AA185" s="1300">
        <f t="shared" si="298"/>
        <v>1200</v>
      </c>
      <c r="AB185" s="1300"/>
      <c r="AC185" s="1300">
        <f t="shared" si="281"/>
        <v>-1200</v>
      </c>
      <c r="AD185" s="1237">
        <f t="shared" si="282"/>
        <v>-100</v>
      </c>
      <c r="AE185" s="1207">
        <f t="shared" si="299"/>
        <v>1200</v>
      </c>
      <c r="AF185" s="1300"/>
      <c r="AG185" s="1300">
        <f t="shared" si="283"/>
        <v>-1200</v>
      </c>
      <c r="AH185" s="1237">
        <f t="shared" si="284"/>
        <v>-100</v>
      </c>
      <c r="AI185" s="1207">
        <f t="shared" si="300"/>
        <v>1200</v>
      </c>
      <c r="AJ185" s="1300"/>
      <c r="AK185" s="1300">
        <f t="shared" si="285"/>
        <v>-1200</v>
      </c>
      <c r="AL185" s="1237">
        <f t="shared" si="286"/>
        <v>-100</v>
      </c>
      <c r="AM185" s="1207">
        <f t="shared" si="301"/>
        <v>1200</v>
      </c>
      <c r="AN185" s="1300"/>
      <c r="AO185" s="1300">
        <f t="shared" si="287"/>
        <v>-1200</v>
      </c>
      <c r="AP185" s="1237">
        <f t="shared" si="288"/>
        <v>-100</v>
      </c>
      <c r="AQ185" s="1207">
        <f t="shared" si="302"/>
        <v>1200</v>
      </c>
      <c r="AR185" s="1300"/>
      <c r="AS185" s="1300">
        <f t="shared" si="289"/>
        <v>-1200</v>
      </c>
      <c r="AT185" s="1237">
        <f t="shared" si="290"/>
        <v>-100</v>
      </c>
      <c r="AU185" s="1207">
        <f t="shared" si="305"/>
        <v>1200</v>
      </c>
      <c r="AV185" s="1300"/>
      <c r="AW185" s="1300">
        <f t="shared" si="291"/>
        <v>-1200</v>
      </c>
      <c r="AX185" s="1237">
        <f t="shared" si="292"/>
        <v>-100</v>
      </c>
      <c r="AY185" s="1236">
        <f t="shared" si="268"/>
        <v>14400</v>
      </c>
      <c r="AZ185" s="1189">
        <f t="shared" si="268"/>
        <v>0</v>
      </c>
      <c r="BA185" s="805"/>
      <c r="BB185" s="1178"/>
    </row>
    <row r="186" spans="1:57" s="119" customFormat="1" ht="18" customHeight="1" x14ac:dyDescent="0.25">
      <c r="A186" s="170">
        <v>37992</v>
      </c>
      <c r="B186" s="124" t="s">
        <v>222</v>
      </c>
      <c r="C186" s="1275">
        <v>0</v>
      </c>
      <c r="D186" s="1295"/>
      <c r="E186" s="1295">
        <f t="shared" si="269"/>
        <v>0</v>
      </c>
      <c r="F186" s="1269">
        <v>0</v>
      </c>
      <c r="G186" s="1275">
        <f t="shared" si="293"/>
        <v>0</v>
      </c>
      <c r="H186" s="1295"/>
      <c r="I186" s="1295">
        <f t="shared" si="271"/>
        <v>0</v>
      </c>
      <c r="J186" s="1269">
        <v>0</v>
      </c>
      <c r="K186" s="1275">
        <f t="shared" si="304"/>
        <v>0</v>
      </c>
      <c r="L186" s="1295"/>
      <c r="M186" s="1295">
        <f t="shared" si="273"/>
        <v>0</v>
      </c>
      <c r="N186" s="1398">
        <v>0</v>
      </c>
      <c r="O186" s="1295">
        <f t="shared" si="295"/>
        <v>0</v>
      </c>
      <c r="P186" s="1295"/>
      <c r="Q186" s="1295">
        <f t="shared" si="275"/>
        <v>0</v>
      </c>
      <c r="R186" s="1269">
        <v>0</v>
      </c>
      <c r="S186" s="1275">
        <v>260</v>
      </c>
      <c r="T186" s="1295"/>
      <c r="U186" s="1295">
        <f t="shared" si="277"/>
        <v>-260</v>
      </c>
      <c r="V186" s="1398">
        <v>0</v>
      </c>
      <c r="W186" s="1295">
        <v>0</v>
      </c>
      <c r="X186" s="1295"/>
      <c r="Y186" s="1295">
        <f t="shared" si="279"/>
        <v>0</v>
      </c>
      <c r="Z186" s="1398">
        <v>0</v>
      </c>
      <c r="AA186" s="1295">
        <v>0</v>
      </c>
      <c r="AB186" s="1295"/>
      <c r="AC186" s="1295">
        <f t="shared" si="281"/>
        <v>0</v>
      </c>
      <c r="AD186" s="1269">
        <v>0</v>
      </c>
      <c r="AE186" s="1275">
        <v>0</v>
      </c>
      <c r="AF186" s="1295"/>
      <c r="AG186" s="1295">
        <f t="shared" si="283"/>
        <v>0</v>
      </c>
      <c r="AH186" s="1269">
        <v>0</v>
      </c>
      <c r="AI186" s="1275">
        <v>0</v>
      </c>
      <c r="AJ186" s="1295"/>
      <c r="AK186" s="1295">
        <f t="shared" si="285"/>
        <v>0</v>
      </c>
      <c r="AL186" s="1269">
        <v>0</v>
      </c>
      <c r="AM186" s="1275">
        <v>0</v>
      </c>
      <c r="AN186" s="1295"/>
      <c r="AO186" s="1295">
        <f t="shared" si="287"/>
        <v>0</v>
      </c>
      <c r="AP186" s="1269">
        <v>0</v>
      </c>
      <c r="AQ186" s="1275">
        <v>0</v>
      </c>
      <c r="AR186" s="1295"/>
      <c r="AS186" s="1295">
        <f t="shared" si="289"/>
        <v>0</v>
      </c>
      <c r="AT186" s="1269">
        <v>0</v>
      </c>
      <c r="AU186" s="1275">
        <f t="shared" si="305"/>
        <v>0</v>
      </c>
      <c r="AV186" s="1295"/>
      <c r="AW186" s="1295">
        <f t="shared" si="291"/>
        <v>0</v>
      </c>
      <c r="AX186" s="1269">
        <v>0</v>
      </c>
      <c r="AY186" s="1236">
        <f t="shared" si="268"/>
        <v>260</v>
      </c>
      <c r="AZ186" s="1189">
        <f t="shared" si="268"/>
        <v>0</v>
      </c>
      <c r="BA186" s="805"/>
      <c r="BB186" s="1178"/>
    </row>
    <row r="187" spans="1:57" s="119" customFormat="1" ht="18" customHeight="1" x14ac:dyDescent="0.25">
      <c r="A187" s="170">
        <v>12867</v>
      </c>
      <c r="B187" s="124" t="s">
        <v>3711</v>
      </c>
      <c r="C187" s="1207">
        <v>20000</v>
      </c>
      <c r="D187" s="1300"/>
      <c r="E187" s="1300">
        <f t="shared" si="269"/>
        <v>-20000</v>
      </c>
      <c r="F187" s="1237">
        <f t="shared" si="270"/>
        <v>-100</v>
      </c>
      <c r="G187" s="1276">
        <f t="shared" si="293"/>
        <v>20000</v>
      </c>
      <c r="H187" s="1300"/>
      <c r="I187" s="1300">
        <f t="shared" si="271"/>
        <v>-20000</v>
      </c>
      <c r="J187" s="1237">
        <f>((H187/G187)-1)*100</f>
        <v>-100</v>
      </c>
      <c r="K187" s="1276">
        <f t="shared" si="304"/>
        <v>20000</v>
      </c>
      <c r="L187" s="1300"/>
      <c r="M187" s="1300">
        <f t="shared" si="273"/>
        <v>-20000</v>
      </c>
      <c r="N187" s="1216">
        <f>((L187/K187)-1)*100</f>
        <v>-100</v>
      </c>
      <c r="O187" s="1297">
        <f t="shared" si="295"/>
        <v>20000</v>
      </c>
      <c r="P187" s="1300"/>
      <c r="Q187" s="1300">
        <f t="shared" si="275"/>
        <v>-20000</v>
      </c>
      <c r="R187" s="1237">
        <f>((P187/O187)-1)*100</f>
        <v>-100</v>
      </c>
      <c r="S187" s="1276">
        <f>O187</f>
        <v>20000</v>
      </c>
      <c r="T187" s="1300"/>
      <c r="U187" s="1300">
        <f t="shared" si="277"/>
        <v>-20000</v>
      </c>
      <c r="V187" s="1216">
        <f>((T187/S187)-1)*100</f>
        <v>-100</v>
      </c>
      <c r="W187" s="1297">
        <f>S187</f>
        <v>20000</v>
      </c>
      <c r="X187" s="1300"/>
      <c r="Y187" s="1300">
        <f t="shared" si="279"/>
        <v>-20000</v>
      </c>
      <c r="Z187" s="1216">
        <f>((X187/W187)-1)*100</f>
        <v>-100</v>
      </c>
      <c r="AA187" s="1297">
        <f>W187</f>
        <v>20000</v>
      </c>
      <c r="AB187" s="1300"/>
      <c r="AC187" s="1300">
        <f t="shared" si="281"/>
        <v>-20000</v>
      </c>
      <c r="AD187" s="1237">
        <f>((AB187/AA187)-1)*100</f>
        <v>-100</v>
      </c>
      <c r="AE187" s="1276">
        <f>AA187</f>
        <v>20000</v>
      </c>
      <c r="AF187" s="1300"/>
      <c r="AG187" s="1300">
        <f t="shared" si="283"/>
        <v>-20000</v>
      </c>
      <c r="AH187" s="1237">
        <f>((AF187/AE187)-1)*100</f>
        <v>-100</v>
      </c>
      <c r="AI187" s="1276">
        <f>AE187</f>
        <v>20000</v>
      </c>
      <c r="AJ187" s="1300"/>
      <c r="AK187" s="1300">
        <f t="shared" si="285"/>
        <v>-20000</v>
      </c>
      <c r="AL187" s="1237">
        <f>((AJ187/AI187)-1)*100</f>
        <v>-100</v>
      </c>
      <c r="AM187" s="1276">
        <f>AI187</f>
        <v>20000</v>
      </c>
      <c r="AN187" s="1300"/>
      <c r="AO187" s="1300">
        <f t="shared" si="287"/>
        <v>-20000</v>
      </c>
      <c r="AP187" s="1237">
        <f>((AN187/AM187)-1)*100</f>
        <v>-100</v>
      </c>
      <c r="AQ187" s="1276">
        <f>AM187</f>
        <v>20000</v>
      </c>
      <c r="AR187" s="1300"/>
      <c r="AS187" s="1300">
        <f t="shared" si="289"/>
        <v>-20000</v>
      </c>
      <c r="AT187" s="1237">
        <f>((AR187/AQ187)-1)*100</f>
        <v>-100</v>
      </c>
      <c r="AU187" s="1276">
        <f t="shared" si="305"/>
        <v>20000</v>
      </c>
      <c r="AV187" s="1300"/>
      <c r="AW187" s="1300">
        <f t="shared" si="291"/>
        <v>-20000</v>
      </c>
      <c r="AX187" s="1237">
        <f>((AV187/AU187)-1)*100</f>
        <v>-100</v>
      </c>
      <c r="AY187" s="1236">
        <f t="shared" si="268"/>
        <v>240000</v>
      </c>
      <c r="AZ187" s="1189">
        <f t="shared" si="268"/>
        <v>0</v>
      </c>
      <c r="BA187" s="805"/>
      <c r="BB187" s="1178"/>
    </row>
    <row r="188" spans="1:57" s="119" customFormat="1" ht="18" customHeight="1" x14ac:dyDescent="0.25">
      <c r="A188" s="170">
        <v>11161</v>
      </c>
      <c r="B188" s="124" t="s">
        <v>3766</v>
      </c>
      <c r="C188" s="1275">
        <v>2000</v>
      </c>
      <c r="D188" s="1295"/>
      <c r="E188" s="1296">
        <f t="shared" si="269"/>
        <v>-2000</v>
      </c>
      <c r="F188" s="1284">
        <f t="shared" si="270"/>
        <v>-100</v>
      </c>
      <c r="G188" s="1275">
        <f t="shared" si="293"/>
        <v>2000</v>
      </c>
      <c r="H188" s="1295"/>
      <c r="I188" s="1296">
        <f t="shared" si="271"/>
        <v>-2000</v>
      </c>
      <c r="J188" s="1284">
        <f>((H188/G188)-1)*100</f>
        <v>-100</v>
      </c>
      <c r="K188" s="1275">
        <f t="shared" si="304"/>
        <v>2000</v>
      </c>
      <c r="L188" s="1295"/>
      <c r="M188" s="1296">
        <f t="shared" si="273"/>
        <v>-2000</v>
      </c>
      <c r="N188" s="1399">
        <f>((L188/K188)-1)*100</f>
        <v>-100</v>
      </c>
      <c r="O188" s="1295">
        <f t="shared" si="295"/>
        <v>2000</v>
      </c>
      <c r="P188" s="1295"/>
      <c r="Q188" s="1296">
        <f t="shared" si="275"/>
        <v>-2000</v>
      </c>
      <c r="R188" s="1284">
        <f>((P188/O188)-1)*100</f>
        <v>-100</v>
      </c>
      <c r="S188" s="1275">
        <f>O188</f>
        <v>2000</v>
      </c>
      <c r="T188" s="1295"/>
      <c r="U188" s="1296">
        <f t="shared" si="277"/>
        <v>-2000</v>
      </c>
      <c r="V188" s="1399">
        <f>((T188/S188)-1)*100</f>
        <v>-100</v>
      </c>
      <c r="W188" s="1295">
        <f>S188</f>
        <v>2000</v>
      </c>
      <c r="X188" s="1295"/>
      <c r="Y188" s="1296">
        <f t="shared" si="279"/>
        <v>-2000</v>
      </c>
      <c r="Z188" s="1399">
        <f>((X188/W188)-1)*100</f>
        <v>-100</v>
      </c>
      <c r="AA188" s="1295">
        <f>W188</f>
        <v>2000</v>
      </c>
      <c r="AB188" s="1295"/>
      <c r="AC188" s="1296">
        <f t="shared" si="281"/>
        <v>-2000</v>
      </c>
      <c r="AD188" s="1284">
        <f>((AB188/AA188)-1)*100</f>
        <v>-100</v>
      </c>
      <c r="AE188" s="1275">
        <f>AA188</f>
        <v>2000</v>
      </c>
      <c r="AF188" s="1295"/>
      <c r="AG188" s="1296">
        <f t="shared" si="283"/>
        <v>-2000</v>
      </c>
      <c r="AH188" s="1284">
        <f>((AF188/AE188)-1)*100</f>
        <v>-100</v>
      </c>
      <c r="AI188" s="1275">
        <f>AE188</f>
        <v>2000</v>
      </c>
      <c r="AJ188" s="1295"/>
      <c r="AK188" s="1296">
        <f t="shared" si="285"/>
        <v>-2000</v>
      </c>
      <c r="AL188" s="1284">
        <f>((AJ188/AI188)-1)*100</f>
        <v>-100</v>
      </c>
      <c r="AM188" s="1275">
        <f>AI188</f>
        <v>2000</v>
      </c>
      <c r="AN188" s="1295"/>
      <c r="AO188" s="1296">
        <f t="shared" si="287"/>
        <v>-2000</v>
      </c>
      <c r="AP188" s="1284">
        <f>((AN188/AM188)-1)*100</f>
        <v>-100</v>
      </c>
      <c r="AQ188" s="1275">
        <f>AM188</f>
        <v>2000</v>
      </c>
      <c r="AR188" s="1295"/>
      <c r="AS188" s="1296">
        <f t="shared" si="289"/>
        <v>-2000</v>
      </c>
      <c r="AT188" s="1284">
        <f>((AR188/AQ188)-1)*100</f>
        <v>-100</v>
      </c>
      <c r="AU188" s="1275">
        <f t="shared" si="305"/>
        <v>2000</v>
      </c>
      <c r="AV188" s="1295"/>
      <c r="AW188" s="1296">
        <f t="shared" si="291"/>
        <v>-2000</v>
      </c>
      <c r="AX188" s="1284">
        <f>((AV188/AU188)-1)*100</f>
        <v>-100</v>
      </c>
      <c r="AY188" s="1236">
        <f t="shared" si="268"/>
        <v>24000</v>
      </c>
      <c r="AZ188" s="1189">
        <f t="shared" si="268"/>
        <v>0</v>
      </c>
      <c r="BA188" s="805"/>
      <c r="BB188" s="1178"/>
    </row>
    <row r="189" spans="1:57" s="119" customFormat="1" ht="18" customHeight="1" x14ac:dyDescent="0.25">
      <c r="A189" s="1123">
        <v>12314</v>
      </c>
      <c r="B189" s="124" t="s">
        <v>325</v>
      </c>
      <c r="C189" s="1342">
        <v>3000</v>
      </c>
      <c r="D189" s="1344"/>
      <c r="E189" s="1344">
        <f t="shared" si="269"/>
        <v>-3000</v>
      </c>
      <c r="F189" s="1343">
        <f t="shared" si="270"/>
        <v>-100</v>
      </c>
      <c r="G189" s="1395">
        <f t="shared" si="293"/>
        <v>3000</v>
      </c>
      <c r="H189" s="1344"/>
      <c r="I189" s="1344">
        <f t="shared" si="271"/>
        <v>-3000</v>
      </c>
      <c r="J189" s="1343">
        <f>((H189/G189)-1)*100</f>
        <v>-100</v>
      </c>
      <c r="K189" s="1395">
        <f t="shared" si="304"/>
        <v>3000</v>
      </c>
      <c r="L189" s="1344"/>
      <c r="M189" s="1344">
        <f t="shared" si="273"/>
        <v>-3000</v>
      </c>
      <c r="N189" s="1400">
        <f>((L189/K189)-1)*100</f>
        <v>-100</v>
      </c>
      <c r="O189" s="1401">
        <f t="shared" si="295"/>
        <v>3000</v>
      </c>
      <c r="P189" s="1344"/>
      <c r="Q189" s="1344">
        <f t="shared" si="275"/>
        <v>-3000</v>
      </c>
      <c r="R189" s="1343">
        <f>((P189/O189)-1)*100</f>
        <v>-100</v>
      </c>
      <c r="S189" s="1395">
        <f>O189</f>
        <v>3000</v>
      </c>
      <c r="T189" s="1344"/>
      <c r="U189" s="1344">
        <f t="shared" si="277"/>
        <v>-3000</v>
      </c>
      <c r="V189" s="1400">
        <f>((T189/S189)-1)*100</f>
        <v>-100</v>
      </c>
      <c r="W189" s="1401">
        <f>S189</f>
        <v>3000</v>
      </c>
      <c r="X189" s="1344"/>
      <c r="Y189" s="1344">
        <f t="shared" si="279"/>
        <v>-3000</v>
      </c>
      <c r="Z189" s="1400">
        <f>((X189/W189)-1)*100</f>
        <v>-100</v>
      </c>
      <c r="AA189" s="1401">
        <f>W189</f>
        <v>3000</v>
      </c>
      <c r="AB189" s="1344"/>
      <c r="AC189" s="1344">
        <f t="shared" si="281"/>
        <v>-3000</v>
      </c>
      <c r="AD189" s="1343">
        <f>((AB189/AA189)-1)*100</f>
        <v>-100</v>
      </c>
      <c r="AE189" s="1395">
        <f>AA189</f>
        <v>3000</v>
      </c>
      <c r="AF189" s="1344"/>
      <c r="AG189" s="1344">
        <f t="shared" si="283"/>
        <v>-3000</v>
      </c>
      <c r="AH189" s="1343">
        <f>((AF189/AE189)-1)*100</f>
        <v>-100</v>
      </c>
      <c r="AI189" s="1395">
        <f>AE189</f>
        <v>3000</v>
      </c>
      <c r="AJ189" s="1344"/>
      <c r="AK189" s="1344">
        <f t="shared" si="285"/>
        <v>-3000</v>
      </c>
      <c r="AL189" s="1343">
        <f>((AJ189/AI189)-1)*100</f>
        <v>-100</v>
      </c>
      <c r="AM189" s="1395">
        <f>AI189</f>
        <v>3000</v>
      </c>
      <c r="AN189" s="1344"/>
      <c r="AO189" s="1344">
        <f t="shared" si="287"/>
        <v>-3000</v>
      </c>
      <c r="AP189" s="1343">
        <f>((AN189/AM189)-1)*100</f>
        <v>-100</v>
      </c>
      <c r="AQ189" s="1395">
        <f>AM189</f>
        <v>3000</v>
      </c>
      <c r="AR189" s="1344"/>
      <c r="AS189" s="1344">
        <f t="shared" si="289"/>
        <v>-3000</v>
      </c>
      <c r="AT189" s="1343">
        <f>((AR189/AQ189)-1)*100</f>
        <v>-100</v>
      </c>
      <c r="AU189" s="1395">
        <f t="shared" si="305"/>
        <v>3000</v>
      </c>
      <c r="AV189" s="1344"/>
      <c r="AW189" s="1344">
        <f t="shared" si="291"/>
        <v>-3000</v>
      </c>
      <c r="AX189" s="1343">
        <f>((AV189/AU189)-1)*100</f>
        <v>-100</v>
      </c>
      <c r="AY189" s="1236">
        <f t="shared" si="268"/>
        <v>36000</v>
      </c>
      <c r="AZ189" s="1189">
        <f t="shared" si="268"/>
        <v>0</v>
      </c>
      <c r="BA189" s="805"/>
      <c r="BB189" s="1178"/>
    </row>
    <row r="190" spans="1:57" s="1421" customFormat="1" ht="18" customHeight="1" x14ac:dyDescent="0.25">
      <c r="A190" s="436">
        <v>12291</v>
      </c>
      <c r="B190" s="1529" t="s">
        <v>3835</v>
      </c>
      <c r="C190" s="1342"/>
      <c r="D190" s="1344"/>
      <c r="E190" s="1344"/>
      <c r="F190" s="1343"/>
      <c r="G190" s="1395"/>
      <c r="H190" s="1344"/>
      <c r="I190" s="1344"/>
      <c r="J190" s="1343"/>
      <c r="K190" s="1395"/>
      <c r="L190" s="1344"/>
      <c r="M190" s="1344"/>
      <c r="N190" s="1400"/>
      <c r="O190" s="1401"/>
      <c r="P190" s="1344"/>
      <c r="Q190" s="1344"/>
      <c r="R190" s="1343"/>
      <c r="S190" s="1395"/>
      <c r="T190" s="1344"/>
      <c r="U190" s="1344"/>
      <c r="V190" s="1400"/>
      <c r="W190" s="1401"/>
      <c r="X190" s="1344"/>
      <c r="Y190" s="1344"/>
      <c r="Z190" s="1400"/>
      <c r="AA190" s="1401"/>
      <c r="AB190" s="1344"/>
      <c r="AC190" s="1344"/>
      <c r="AD190" s="1343"/>
      <c r="AE190" s="1395"/>
      <c r="AF190" s="1344"/>
      <c r="AG190" s="1344"/>
      <c r="AH190" s="1343"/>
      <c r="AI190" s="1395"/>
      <c r="AJ190" s="1344"/>
      <c r="AK190" s="1344"/>
      <c r="AL190" s="1343"/>
      <c r="AM190" s="1395"/>
      <c r="AN190" s="1344"/>
      <c r="AO190" s="1344"/>
      <c r="AP190" s="1343"/>
      <c r="AQ190" s="1395"/>
      <c r="AR190" s="1344"/>
      <c r="AS190" s="1344"/>
      <c r="AT190" s="1343"/>
      <c r="AU190" s="1395"/>
      <c r="AV190" s="1344"/>
      <c r="AW190" s="1344"/>
      <c r="AX190" s="1343"/>
      <c r="AY190" s="1530"/>
      <c r="AZ190" s="1433"/>
      <c r="BA190" s="805"/>
      <c r="BB190" s="1178"/>
    </row>
    <row r="191" spans="1:57" s="119" customFormat="1" ht="18" customHeight="1" thickBot="1" x14ac:dyDescent="0.3">
      <c r="A191" s="1531" t="s">
        <v>106</v>
      </c>
      <c r="B191" s="384" t="s">
        <v>217</v>
      </c>
      <c r="C191" s="1225">
        <v>9000</v>
      </c>
      <c r="D191" s="1301"/>
      <c r="E191" s="1301">
        <f t="shared" si="269"/>
        <v>-9000</v>
      </c>
      <c r="F191" s="1242">
        <f t="shared" si="270"/>
        <v>-100</v>
      </c>
      <c r="G191" s="1396">
        <f t="shared" si="293"/>
        <v>9000</v>
      </c>
      <c r="H191" s="1301"/>
      <c r="I191" s="1301">
        <f t="shared" si="271"/>
        <v>-9000</v>
      </c>
      <c r="J191" s="1242">
        <f>((H191/G191)-1)*100</f>
        <v>-100</v>
      </c>
      <c r="K191" s="1396">
        <f t="shared" si="304"/>
        <v>9000</v>
      </c>
      <c r="L191" s="1301"/>
      <c r="M191" s="1301">
        <f t="shared" si="273"/>
        <v>-9000</v>
      </c>
      <c r="N191" s="1218">
        <f>((L191/K191)-1)*100</f>
        <v>-100</v>
      </c>
      <c r="O191" s="1402">
        <f t="shared" si="295"/>
        <v>9000</v>
      </c>
      <c r="P191" s="1301"/>
      <c r="Q191" s="1301">
        <f t="shared" si="275"/>
        <v>-9000</v>
      </c>
      <c r="R191" s="1242">
        <f>((P191/O191)-1)*100</f>
        <v>-100</v>
      </c>
      <c r="S191" s="1396">
        <f>O191</f>
        <v>9000</v>
      </c>
      <c r="T191" s="1301"/>
      <c r="U191" s="1301">
        <f t="shared" si="277"/>
        <v>-9000</v>
      </c>
      <c r="V191" s="1218">
        <f>((T191/S191)-1)*100</f>
        <v>-100</v>
      </c>
      <c r="W191" s="1402">
        <f>S191</f>
        <v>9000</v>
      </c>
      <c r="X191" s="1301"/>
      <c r="Y191" s="1301">
        <f t="shared" si="279"/>
        <v>-9000</v>
      </c>
      <c r="Z191" s="1218">
        <f>((X191/W191)-1)*100</f>
        <v>-100</v>
      </c>
      <c r="AA191" s="1402">
        <f>W191</f>
        <v>9000</v>
      </c>
      <c r="AB191" s="1301"/>
      <c r="AC191" s="1301">
        <f t="shared" si="281"/>
        <v>-9000</v>
      </c>
      <c r="AD191" s="1242">
        <f>((AB191/AA191)-1)*100</f>
        <v>-100</v>
      </c>
      <c r="AE191" s="1396">
        <f>AA191</f>
        <v>9000</v>
      </c>
      <c r="AF191" s="1301"/>
      <c r="AG191" s="1301">
        <f t="shared" si="283"/>
        <v>-9000</v>
      </c>
      <c r="AH191" s="1242">
        <f>((AF191/AE191)-1)*100</f>
        <v>-100</v>
      </c>
      <c r="AI191" s="1396">
        <f>AE191</f>
        <v>9000</v>
      </c>
      <c r="AJ191" s="1301"/>
      <c r="AK191" s="1301">
        <f t="shared" si="285"/>
        <v>-9000</v>
      </c>
      <c r="AL191" s="1242">
        <f>((AJ191/AI191)-1)*100</f>
        <v>-100</v>
      </c>
      <c r="AM191" s="1396">
        <f>AI191</f>
        <v>9000</v>
      </c>
      <c r="AN191" s="1301"/>
      <c r="AO191" s="1301">
        <f t="shared" si="287"/>
        <v>-9000</v>
      </c>
      <c r="AP191" s="1242">
        <f>((AN191/AM191)-1)*100</f>
        <v>-100</v>
      </c>
      <c r="AQ191" s="1396">
        <f>AM191</f>
        <v>9000</v>
      </c>
      <c r="AR191" s="1301"/>
      <c r="AS191" s="1301">
        <f t="shared" si="289"/>
        <v>-9000</v>
      </c>
      <c r="AT191" s="1242">
        <f>((AR191/AQ191)-1)*100</f>
        <v>-100</v>
      </c>
      <c r="AU191" s="1396">
        <f>AQ191</f>
        <v>9000</v>
      </c>
      <c r="AV191" s="1301"/>
      <c r="AW191" s="1301">
        <f t="shared" si="291"/>
        <v>-9000</v>
      </c>
      <c r="AX191" s="1242">
        <f>((AV191/AU191)-1)*100</f>
        <v>-100</v>
      </c>
      <c r="AY191" s="1238">
        <f t="shared" si="268"/>
        <v>108000</v>
      </c>
      <c r="AZ191" s="1383">
        <f t="shared" si="268"/>
        <v>0</v>
      </c>
      <c r="BA191" s="805"/>
      <c r="BB191" s="1178"/>
    </row>
    <row r="192" spans="1:57" s="119" customFormat="1" ht="18" customHeight="1" thickBot="1" x14ac:dyDescent="0.3">
      <c r="A192" s="923"/>
      <c r="B192" s="343"/>
      <c r="C192" s="1008"/>
      <c r="D192" s="437"/>
      <c r="E192" s="437"/>
      <c r="F192" s="437"/>
      <c r="G192" s="437"/>
      <c r="H192" s="1533"/>
      <c r="I192" s="437"/>
      <c r="J192" s="437"/>
      <c r="K192" s="1008"/>
      <c r="L192" s="437"/>
      <c r="M192" s="437"/>
      <c r="N192" s="437"/>
      <c r="O192" s="1008"/>
      <c r="P192" s="437"/>
      <c r="Q192" s="437"/>
      <c r="R192" s="437"/>
      <c r="S192" s="437"/>
      <c r="T192" s="437"/>
      <c r="U192" s="437"/>
      <c r="V192" s="437"/>
      <c r="W192" s="437"/>
      <c r="X192" s="437"/>
      <c r="Y192" s="437"/>
      <c r="Z192" s="437"/>
      <c r="AA192" s="437"/>
      <c r="AB192" s="437"/>
      <c r="AC192" s="437"/>
      <c r="AD192" s="437"/>
      <c r="AE192" s="947"/>
      <c r="AF192" s="437"/>
      <c r="AG192" s="437"/>
      <c r="AH192" s="437"/>
      <c r="AI192" s="437"/>
      <c r="AJ192" s="437"/>
      <c r="AK192" s="437"/>
      <c r="AL192" s="437"/>
      <c r="AM192" s="437"/>
      <c r="AN192" s="437"/>
      <c r="AO192" s="437"/>
      <c r="AP192" s="437"/>
      <c r="AQ192" s="1008"/>
      <c r="AR192" s="437"/>
      <c r="AS192" s="437"/>
      <c r="AT192" s="437"/>
      <c r="AU192" s="437"/>
      <c r="AV192" s="437"/>
      <c r="AW192" s="437"/>
      <c r="AX192" s="437"/>
      <c r="AY192" s="925"/>
      <c r="AZ192" s="925"/>
      <c r="BA192" s="805"/>
      <c r="BB192" s="1178"/>
    </row>
    <row r="193" spans="1:57" ht="18" customHeight="1" thickBot="1" x14ac:dyDescent="0.3">
      <c r="A193" s="557"/>
      <c r="B193" s="559" t="s">
        <v>671</v>
      </c>
      <c r="C193" s="1168">
        <f t="shared" ref="C193:AV193" si="306">SUM(C194)</f>
        <v>48000</v>
      </c>
      <c r="D193" s="1313">
        <f t="shared" si="306"/>
        <v>0</v>
      </c>
      <c r="E193" s="392">
        <f>D193-C193</f>
        <v>-48000</v>
      </c>
      <c r="F193" s="534">
        <f>((D193/C193)-1)*100</f>
        <v>-100</v>
      </c>
      <c r="G193" s="1168">
        <f t="shared" si="306"/>
        <v>48000</v>
      </c>
      <c r="H193" s="1313">
        <f>SUM(H194)</f>
        <v>0</v>
      </c>
      <c r="I193" s="392">
        <f>H193-G193</f>
        <v>-48000</v>
      </c>
      <c r="J193" s="534">
        <f>((H193/G193)-1)*100</f>
        <v>-100</v>
      </c>
      <c r="K193" s="1168">
        <f t="shared" si="306"/>
        <v>48000</v>
      </c>
      <c r="L193" s="1313">
        <f t="shared" si="306"/>
        <v>0</v>
      </c>
      <c r="M193" s="392">
        <f>L193-K193</f>
        <v>-48000</v>
      </c>
      <c r="N193" s="534">
        <f>((L193/K193)-1)*100</f>
        <v>-100</v>
      </c>
      <c r="O193" s="1168">
        <f t="shared" si="306"/>
        <v>48000</v>
      </c>
      <c r="P193" s="1313">
        <f t="shared" si="306"/>
        <v>0</v>
      </c>
      <c r="Q193" s="392">
        <f>P193-O193</f>
        <v>-48000</v>
      </c>
      <c r="R193" s="534">
        <f>((P193/O193)-1)*100</f>
        <v>-100</v>
      </c>
      <c r="S193" s="1168">
        <f t="shared" si="306"/>
        <v>48000</v>
      </c>
      <c r="T193" s="1313">
        <f t="shared" si="306"/>
        <v>0</v>
      </c>
      <c r="U193" s="392">
        <f>T193-S193</f>
        <v>-48000</v>
      </c>
      <c r="V193" s="534">
        <f>((T193/S193)-1)*100</f>
        <v>-100</v>
      </c>
      <c r="W193" s="1168">
        <f t="shared" si="306"/>
        <v>48000</v>
      </c>
      <c r="X193" s="1313">
        <f t="shared" si="306"/>
        <v>0</v>
      </c>
      <c r="Y193" s="392">
        <f>X193-W193</f>
        <v>-48000</v>
      </c>
      <c r="Z193" s="534">
        <f>((X193/W193)-1)*100</f>
        <v>-100</v>
      </c>
      <c r="AA193" s="1168">
        <f t="shared" si="306"/>
        <v>48000</v>
      </c>
      <c r="AB193" s="1313">
        <f t="shared" si="306"/>
        <v>0</v>
      </c>
      <c r="AC193" s="392">
        <f>AB193-AA193</f>
        <v>-48000</v>
      </c>
      <c r="AD193" s="534">
        <f>((AB193/AA193)-1)*100</f>
        <v>-100</v>
      </c>
      <c r="AE193" s="1168">
        <f t="shared" si="306"/>
        <v>48000</v>
      </c>
      <c r="AF193" s="1313">
        <f t="shared" si="306"/>
        <v>0</v>
      </c>
      <c r="AG193" s="392">
        <f>AF193-AE193</f>
        <v>-48000</v>
      </c>
      <c r="AH193" s="534">
        <f>((AF193/AE193)-1)*100</f>
        <v>-100</v>
      </c>
      <c r="AI193" s="1403">
        <f t="shared" si="306"/>
        <v>48000</v>
      </c>
      <c r="AJ193" s="1313">
        <f t="shared" si="306"/>
        <v>0</v>
      </c>
      <c r="AK193" s="392">
        <f>AJ193-AI193</f>
        <v>-48000</v>
      </c>
      <c r="AL193" s="534">
        <f>((AJ193/AI193)-1)*100</f>
        <v>-100</v>
      </c>
      <c r="AM193" s="1391">
        <f t="shared" si="306"/>
        <v>48000</v>
      </c>
      <c r="AN193" s="1313">
        <f t="shared" si="306"/>
        <v>0</v>
      </c>
      <c r="AO193" s="392">
        <f>AN193-AM193</f>
        <v>-48000</v>
      </c>
      <c r="AP193" s="530">
        <f>((AN193/AM193)-1)*100</f>
        <v>-100</v>
      </c>
      <c r="AQ193" s="1403">
        <f t="shared" si="306"/>
        <v>48000</v>
      </c>
      <c r="AR193" s="1313">
        <f t="shared" si="306"/>
        <v>0</v>
      </c>
      <c r="AS193" s="392">
        <f>AR193-AQ193</f>
        <v>-48000</v>
      </c>
      <c r="AT193" s="534">
        <f>((AR193/AQ193)-1)*100</f>
        <v>-100</v>
      </c>
      <c r="AU193" s="1391">
        <f t="shared" si="306"/>
        <v>48000</v>
      </c>
      <c r="AV193" s="1313">
        <f t="shared" si="306"/>
        <v>0</v>
      </c>
      <c r="AW193" s="392">
        <f>AV193-AU193</f>
        <v>-48000</v>
      </c>
      <c r="AX193" s="534">
        <f>((AV193/AU193)-1)*100</f>
        <v>-100</v>
      </c>
      <c r="AY193" s="1074">
        <f>C193+G193+K193+O193+S193+W193+AA193+AE193+AI193+AM193+AQ193+AU193</f>
        <v>576000</v>
      </c>
      <c r="AZ193" s="1385">
        <f>D193+H193+L193+P193+T193+X193+AB193+AF193+AJ193+AN193+AR193+AV193</f>
        <v>0</v>
      </c>
    </row>
    <row r="194" spans="1:57" s="119" customFormat="1" ht="18" customHeight="1" thickBot="1" x14ac:dyDescent="0.3">
      <c r="A194" s="910" t="s">
        <v>3626</v>
      </c>
      <c r="B194" s="911" t="s">
        <v>3625</v>
      </c>
      <c r="C194" s="1270">
        <v>48000</v>
      </c>
      <c r="D194" s="1307"/>
      <c r="E194" s="1307">
        <f>D194-C194</f>
        <v>-48000</v>
      </c>
      <c r="F194" s="1282">
        <f>((D194/C194)-1)*100</f>
        <v>-100</v>
      </c>
      <c r="G194" s="1270">
        <f>$C$194</f>
        <v>48000</v>
      </c>
      <c r="H194" s="1534"/>
      <c r="I194" s="1307">
        <f>H194-G194</f>
        <v>-48000</v>
      </c>
      <c r="J194" s="1282">
        <f>((H194/G194)-1)*100</f>
        <v>-100</v>
      </c>
      <c r="K194" s="1270">
        <f>$C$194</f>
        <v>48000</v>
      </c>
      <c r="L194" s="1307"/>
      <c r="M194" s="1307">
        <f>L194-K194</f>
        <v>-48000</v>
      </c>
      <c r="N194" s="1282">
        <f>((L194/K194)-1)*100</f>
        <v>-100</v>
      </c>
      <c r="O194" s="1270">
        <f>$C$194</f>
        <v>48000</v>
      </c>
      <c r="P194" s="1307"/>
      <c r="Q194" s="1307">
        <f>P194-O194</f>
        <v>-48000</v>
      </c>
      <c r="R194" s="1282">
        <f>((P194/O194)-1)*100</f>
        <v>-100</v>
      </c>
      <c r="S194" s="1270">
        <f>$C$194</f>
        <v>48000</v>
      </c>
      <c r="T194" s="1307"/>
      <c r="U194" s="1307">
        <f>T194-S194</f>
        <v>-48000</v>
      </c>
      <c r="V194" s="1282">
        <f>((T194/S194)-1)*100</f>
        <v>-100</v>
      </c>
      <c r="W194" s="1270">
        <f>$C$194</f>
        <v>48000</v>
      </c>
      <c r="X194" s="1307"/>
      <c r="Y194" s="1307">
        <f>X194-W194</f>
        <v>-48000</v>
      </c>
      <c r="Z194" s="1282">
        <f>((X194/W194)-1)*100</f>
        <v>-100</v>
      </c>
      <c r="AA194" s="1270">
        <f>$C$194</f>
        <v>48000</v>
      </c>
      <c r="AB194" s="1307"/>
      <c r="AC194" s="1307">
        <f>AB194-AA194</f>
        <v>-48000</v>
      </c>
      <c r="AD194" s="1282">
        <f>((AB194/AA194)-1)*100</f>
        <v>-100</v>
      </c>
      <c r="AE194" s="1270">
        <f>$C$194</f>
        <v>48000</v>
      </c>
      <c r="AF194" s="1307"/>
      <c r="AG194" s="1307">
        <f>AF194-AE194</f>
        <v>-48000</v>
      </c>
      <c r="AH194" s="1282">
        <f>((AF194/AE194)-1)*100</f>
        <v>-100</v>
      </c>
      <c r="AI194" s="1270">
        <f>$C$194</f>
        <v>48000</v>
      </c>
      <c r="AJ194" s="1307"/>
      <c r="AK194" s="1307">
        <f>AJ194-AI194</f>
        <v>-48000</v>
      </c>
      <c r="AL194" s="1282">
        <f>((AJ194/AI194)-1)*100</f>
        <v>-100</v>
      </c>
      <c r="AM194" s="1270">
        <f>$C$194</f>
        <v>48000</v>
      </c>
      <c r="AN194" s="1307"/>
      <c r="AO194" s="1307">
        <f>AN194-AM194</f>
        <v>-48000</v>
      </c>
      <c r="AP194" s="1282">
        <f>((AN194/AM194)-1)*100</f>
        <v>-100</v>
      </c>
      <c r="AQ194" s="1270">
        <f>$C$194</f>
        <v>48000</v>
      </c>
      <c r="AR194" s="1307"/>
      <c r="AS194" s="1307">
        <f>AR194-AQ194</f>
        <v>-48000</v>
      </c>
      <c r="AT194" s="1282">
        <f>((AR194/AQ194)-1)*100</f>
        <v>-100</v>
      </c>
      <c r="AU194" s="1270">
        <f>$C$194</f>
        <v>48000</v>
      </c>
      <c r="AV194" s="1307"/>
      <c r="AW194" s="1307">
        <f>AV194-AU194</f>
        <v>-48000</v>
      </c>
      <c r="AX194" s="1282">
        <f>((AV194/AU194)-1)*100</f>
        <v>-100</v>
      </c>
      <c r="AY194" s="1234">
        <f>C194+G194+K194+O194+S194+W194+AA194+AE194+AI194+AM194+AQ194+AU194</f>
        <v>576000</v>
      </c>
      <c r="AZ194" s="1384">
        <f>D194+H194+L194+P194+T194+X194+AB194+AF194+AJ194+AN194+AR194+AV194</f>
        <v>0</v>
      </c>
      <c r="BA194" s="805"/>
      <c r="BB194" s="1178"/>
    </row>
    <row r="195" spans="1:57" ht="18" customHeight="1" thickBot="1" x14ac:dyDescent="0.3">
      <c r="C195" s="1161"/>
      <c r="D195" s="437"/>
      <c r="E195" s="437"/>
      <c r="F195" s="437"/>
      <c r="G195" s="25"/>
      <c r="H195" s="1533"/>
      <c r="I195" s="437"/>
      <c r="J195" s="437"/>
      <c r="K195" s="85"/>
      <c r="L195" s="437"/>
      <c r="M195" s="437"/>
      <c r="N195" s="437"/>
      <c r="O195" s="25"/>
      <c r="P195" s="437"/>
      <c r="Q195" s="437"/>
      <c r="R195" s="437"/>
      <c r="S195" s="25"/>
      <c r="T195" s="437"/>
      <c r="U195" s="437"/>
      <c r="V195" s="437"/>
      <c r="W195" s="25"/>
      <c r="X195" s="437"/>
      <c r="Y195" s="437"/>
      <c r="Z195" s="437"/>
      <c r="AA195" s="25"/>
      <c r="AB195" s="437"/>
      <c r="AC195" s="437"/>
      <c r="AD195" s="437"/>
      <c r="AE195" s="25"/>
      <c r="AF195" s="437"/>
      <c r="AG195" s="437"/>
      <c r="AH195" s="437"/>
      <c r="AJ195" s="437"/>
      <c r="AK195" s="437"/>
      <c r="AL195" s="437"/>
      <c r="AN195" s="437"/>
      <c r="AO195" s="437"/>
      <c r="AP195" s="437"/>
      <c r="AR195" s="437"/>
      <c r="AS195" s="437"/>
      <c r="AT195" s="437"/>
      <c r="AV195" s="437"/>
      <c r="AW195" s="437"/>
      <c r="AX195" s="437"/>
      <c r="AY195" s="1185"/>
      <c r="AZ195" s="1185"/>
    </row>
    <row r="196" spans="1:57" s="8" customFormat="1" ht="18" customHeight="1" thickBot="1" x14ac:dyDescent="0.3">
      <c r="A196" s="315"/>
      <c r="B196" s="1256" t="s">
        <v>3774</v>
      </c>
      <c r="C196" s="1272">
        <f>C7-C39</f>
        <v>750924.71379333362</v>
      </c>
      <c r="D196" s="1320">
        <f>D7-D39</f>
        <v>0</v>
      </c>
      <c r="E196" s="1292">
        <f>D196-C196</f>
        <v>-750924.71379333362</v>
      </c>
      <c r="F196" s="1345">
        <f>((D196/C196)-1)*100</f>
        <v>-100</v>
      </c>
      <c r="G196" s="1272">
        <f>G7-G39</f>
        <v>750124.71379333362</v>
      </c>
      <c r="H196" s="1320">
        <f>H7-H39</f>
        <v>0</v>
      </c>
      <c r="I196" s="1292">
        <f>H196-G196</f>
        <v>-750124.71379333362</v>
      </c>
      <c r="J196" s="1345">
        <f>((H196/G196)-1)*100</f>
        <v>-100</v>
      </c>
      <c r="K196" s="1272">
        <f>K7-K39</f>
        <v>599924.71379333362</v>
      </c>
      <c r="L196" s="1320">
        <f>L7-L39</f>
        <v>0</v>
      </c>
      <c r="M196" s="1292">
        <f>L196-K196</f>
        <v>-599924.71379333362</v>
      </c>
      <c r="N196" s="1345">
        <f>((L196/K196)-1)*100</f>
        <v>-100</v>
      </c>
      <c r="O196" s="1272">
        <f>O7-O39</f>
        <v>604012.31674333289</v>
      </c>
      <c r="P196" s="1320">
        <f>P7-P39</f>
        <v>0</v>
      </c>
      <c r="Q196" s="1292">
        <f>P196-O196</f>
        <v>-604012.31674333289</v>
      </c>
      <c r="R196" s="1345">
        <f>((P196/O196)-1)*100</f>
        <v>-100</v>
      </c>
      <c r="S196" s="1272">
        <f>S7-S39</f>
        <v>1034799.1842833348</v>
      </c>
      <c r="T196" s="1320">
        <f>T7-T39</f>
        <v>0</v>
      </c>
      <c r="U196" s="1292">
        <f>T196-S196</f>
        <v>-1034799.1842833348</v>
      </c>
      <c r="V196" s="1345">
        <f>((T196/S196)-1)*100</f>
        <v>-100</v>
      </c>
      <c r="W196" s="1272">
        <f>W7-W39</f>
        <v>789896.46466333419</v>
      </c>
      <c r="X196" s="1320">
        <f>X7-X39</f>
        <v>0</v>
      </c>
      <c r="Y196" s="1292">
        <f>X196-W196</f>
        <v>-789896.46466333419</v>
      </c>
      <c r="Z196" s="1345">
        <f>((X196/W196)-1)*100</f>
        <v>-100</v>
      </c>
      <c r="AA196" s="1272">
        <f>AA7-AA39</f>
        <v>825372.22252333164</v>
      </c>
      <c r="AB196" s="1320">
        <f>AB7-AB39</f>
        <v>0</v>
      </c>
      <c r="AC196" s="1292">
        <f>AB196-AA196</f>
        <v>-825372.22252333164</v>
      </c>
      <c r="AD196" s="1345">
        <f>((AB196/AA196)-1)*100</f>
        <v>-100</v>
      </c>
      <c r="AE196" s="1272">
        <f>AE7-AE39</f>
        <v>918882.91434333101</v>
      </c>
      <c r="AF196" s="1320">
        <f>AF7-AF39</f>
        <v>0</v>
      </c>
      <c r="AG196" s="1292">
        <f>AF196-AE196</f>
        <v>-918882.91434333101</v>
      </c>
      <c r="AH196" s="1345">
        <f>((AF196/AE196)-1)*100</f>
        <v>-100</v>
      </c>
      <c r="AI196" s="1265">
        <f>AI7-AI39</f>
        <v>949387.50805333257</v>
      </c>
      <c r="AJ196" s="1320">
        <f>AJ7-AJ39</f>
        <v>0</v>
      </c>
      <c r="AK196" s="1292">
        <f>AJ196-AI196</f>
        <v>-949387.50805333257</v>
      </c>
      <c r="AL196" s="1345">
        <f>((AJ196/AI196)-1)*100</f>
        <v>-100</v>
      </c>
      <c r="AM196" s="1265">
        <f>AM7-AM39</f>
        <v>451333.75405333191</v>
      </c>
      <c r="AN196" s="1320">
        <f>AN7-AN39</f>
        <v>0</v>
      </c>
      <c r="AO196" s="1292">
        <f>AN196-AM196</f>
        <v>-451333.75405333191</v>
      </c>
      <c r="AP196" s="1345">
        <f>((AN196/AM196)-1)*100</f>
        <v>-100</v>
      </c>
      <c r="AQ196" s="1265">
        <f>AQ7-AQ39</f>
        <v>563803.521913331</v>
      </c>
      <c r="AR196" s="1320">
        <f>AR7-AR39</f>
        <v>0</v>
      </c>
      <c r="AS196" s="1292">
        <f>AR196-AQ196</f>
        <v>-563803.521913331</v>
      </c>
      <c r="AT196" s="1345">
        <f>((AR196/AQ196)-1)*100</f>
        <v>-100</v>
      </c>
      <c r="AU196" s="1265">
        <f>AU7-AU39</f>
        <v>393343.52194333076</v>
      </c>
      <c r="AV196" s="1320">
        <f>AV7-AV39</f>
        <v>0</v>
      </c>
      <c r="AW196" s="1292">
        <f>AV196-AU196</f>
        <v>-393343.52194333076</v>
      </c>
      <c r="AX196" s="1345">
        <f>((AV196/AU196)-1)*100</f>
        <v>-100</v>
      </c>
      <c r="AY196" s="1255">
        <f>C196+G196+K196+O196+S196+W196+AA196+AE196+AI196+AM196+AQ196+AU196</f>
        <v>8631805.5498999916</v>
      </c>
      <c r="AZ196" s="1498">
        <f>D196+H196+L196+P196+T196+X196+AB196+AF196+AJ196+AN196+AR196+AV196</f>
        <v>0</v>
      </c>
      <c r="BA196" s="132"/>
      <c r="BB196" s="195"/>
      <c r="BC196" s="9"/>
      <c r="BE196" s="9"/>
    </row>
    <row r="197" spans="1:57" ht="18" customHeight="1" thickBot="1" x14ac:dyDescent="0.3">
      <c r="A197" s="52"/>
      <c r="C197" s="16"/>
      <c r="D197" s="16"/>
      <c r="E197" s="16"/>
      <c r="F197" s="16"/>
      <c r="H197" s="16"/>
      <c r="I197" s="16"/>
      <c r="J197" s="16"/>
      <c r="L197" s="16"/>
      <c r="M197" s="16"/>
      <c r="N197" s="16"/>
      <c r="P197" s="16"/>
      <c r="Q197" s="16"/>
      <c r="R197" s="16"/>
      <c r="T197" s="16"/>
      <c r="U197" s="16"/>
      <c r="V197" s="16"/>
      <c r="X197" s="16"/>
      <c r="Y197" s="16"/>
      <c r="Z197" s="16"/>
      <c r="AB197" s="16"/>
      <c r="AC197" s="16"/>
      <c r="AD197" s="16"/>
      <c r="AF197" s="16"/>
      <c r="AG197" s="16"/>
      <c r="AH197" s="16"/>
      <c r="AJ197" s="16"/>
      <c r="AK197" s="16"/>
      <c r="AL197" s="16"/>
      <c r="AN197" s="16"/>
      <c r="AO197" s="16"/>
      <c r="AP197" s="16"/>
      <c r="AR197" s="16"/>
      <c r="AS197" s="16"/>
      <c r="AT197" s="16"/>
      <c r="AV197" s="16"/>
      <c r="AW197" s="16"/>
      <c r="AX197" s="16"/>
      <c r="AY197" s="1185"/>
      <c r="AZ197" s="1185"/>
    </row>
    <row r="198" spans="1:57" ht="18" customHeight="1" thickBot="1" x14ac:dyDescent="0.3">
      <c r="A198" s="52"/>
      <c r="B198" s="1244" t="s">
        <v>116</v>
      </c>
      <c r="C198" s="1404">
        <f>C202</f>
        <v>874391.85</v>
      </c>
      <c r="D198" s="1408">
        <f>D196</f>
        <v>0</v>
      </c>
      <c r="E198" s="1408">
        <f>D198-C198</f>
        <v>-874391.85</v>
      </c>
      <c r="F198" s="1406">
        <f>((D198/C198)-1)*100</f>
        <v>-100</v>
      </c>
      <c r="G198" s="1404">
        <f>G202</f>
        <v>874391.66</v>
      </c>
      <c r="H198" s="1408">
        <f>H196</f>
        <v>0</v>
      </c>
      <c r="I198" s="1408">
        <f>H198-G198</f>
        <v>-874391.66</v>
      </c>
      <c r="J198" s="1406">
        <f>((H198/G198)-1)*100</f>
        <v>-100</v>
      </c>
      <c r="K198" s="1404">
        <f>K202</f>
        <v>851797.62</v>
      </c>
      <c r="L198" s="1408">
        <f>L196</f>
        <v>0</v>
      </c>
      <c r="M198" s="1408">
        <f>L198-K198</f>
        <v>-851797.62</v>
      </c>
      <c r="N198" s="1406">
        <f>((L198/K198)-1)*100</f>
        <v>-100</v>
      </c>
      <c r="O198" s="1245">
        <f>O202</f>
        <v>851797.62</v>
      </c>
      <c r="P198" s="1245"/>
      <c r="Q198" s="1245">
        <f>P198-O198</f>
        <v>-851797.62</v>
      </c>
      <c r="R198" s="1245">
        <f>((P198/O198)-1)*100</f>
        <v>-100</v>
      </c>
      <c r="S198" s="1404">
        <f>S202</f>
        <v>851797.62</v>
      </c>
      <c r="T198" s="1408"/>
      <c r="U198" s="1408">
        <f>T198-S198</f>
        <v>-851797.62</v>
      </c>
      <c r="V198" s="1406">
        <f>((T198/S198)-1)*100</f>
        <v>-100</v>
      </c>
      <c r="W198" s="1404">
        <f>W202</f>
        <v>851797.62</v>
      </c>
      <c r="X198" s="1408"/>
      <c r="Y198" s="1408">
        <f>X198-W198</f>
        <v>-851797.62</v>
      </c>
      <c r="Z198" s="1406">
        <f>((X198/W198)-1)*100</f>
        <v>-100</v>
      </c>
      <c r="AA198" s="1404">
        <f>AA202</f>
        <v>826474.64</v>
      </c>
      <c r="AB198" s="1408"/>
      <c r="AC198" s="1408">
        <f>AB198-AA198</f>
        <v>-826474.64</v>
      </c>
      <c r="AD198" s="1406">
        <f>((AB198/AA198)-1)*100</f>
        <v>-100</v>
      </c>
      <c r="AE198" s="1404">
        <f>AE202</f>
        <v>805289.64</v>
      </c>
      <c r="AF198" s="1408"/>
      <c r="AG198" s="1408">
        <f>AF198-AE198</f>
        <v>-805289.64</v>
      </c>
      <c r="AH198" s="1406">
        <f>((AF198/AE198)-1)*100</f>
        <v>-100</v>
      </c>
      <c r="AI198" s="1404">
        <f>AI202</f>
        <v>805289.64</v>
      </c>
      <c r="AJ198" s="1408"/>
      <c r="AK198" s="1408">
        <f>AJ198-AI198</f>
        <v>-805289.64</v>
      </c>
      <c r="AL198" s="1406">
        <f>((AJ198/AI198)-1)*100</f>
        <v>-100</v>
      </c>
      <c r="AM198" s="1404">
        <f>AM202</f>
        <v>805289.64</v>
      </c>
      <c r="AN198" s="1408"/>
      <c r="AO198" s="1408">
        <f>AN198-AM198</f>
        <v>-805289.64</v>
      </c>
      <c r="AP198" s="1406">
        <f>((AN198/AM198)-1)*100</f>
        <v>-100</v>
      </c>
      <c r="AQ198" s="1404">
        <f>AQ202</f>
        <v>805289.64</v>
      </c>
      <c r="AR198" s="1408"/>
      <c r="AS198" s="1408">
        <f>AR198-AQ198</f>
        <v>-805289.64</v>
      </c>
      <c r="AT198" s="1409">
        <f>((AR198/AQ198)-1)*100</f>
        <v>-100</v>
      </c>
      <c r="AU198" s="1408">
        <f>AU202</f>
        <v>805289.64</v>
      </c>
      <c r="AV198" s="1408"/>
      <c r="AW198" s="1408">
        <f>AV198-AU198</f>
        <v>-805289.64</v>
      </c>
      <c r="AX198" s="1406">
        <f>((AV198/AU198)-1)*100</f>
        <v>-100</v>
      </c>
      <c r="AY198" s="1246">
        <f>C198+G198+K198+O198+S198+W198+AA198+AE198+AI198+AM198+AQ198+AU198</f>
        <v>10008896.83</v>
      </c>
      <c r="AZ198" s="1385">
        <f>D198+H198+L198+P198+T198+X198+AB198+AF198+AJ198+AN198+AR198+AV198</f>
        <v>0</v>
      </c>
      <c r="BA198" s="132"/>
    </row>
    <row r="199" spans="1:57" s="23" customFormat="1" ht="18" customHeight="1" thickBot="1" x14ac:dyDescent="0.3">
      <c r="A199" s="53"/>
      <c r="B199" s="19" t="s">
        <v>117</v>
      </c>
      <c r="C199" s="1405">
        <f>C196-C198</f>
        <v>-123467.13620666636</v>
      </c>
      <c r="D199" s="1405">
        <f>D196-D198</f>
        <v>0</v>
      </c>
      <c r="E199" s="21">
        <f>E196-E198</f>
        <v>123467.13620666636</v>
      </c>
      <c r="F199" s="1407"/>
      <c r="G199" s="1405">
        <f>G196-G198</f>
        <v>-124266.94620666641</v>
      </c>
      <c r="H199" s="21"/>
      <c r="I199" s="21">
        <f>I196-I198</f>
        <v>124266.94620666641</v>
      </c>
      <c r="J199" s="1407"/>
      <c r="K199" s="1405">
        <f>K196-K198</f>
        <v>-251872.90620666638</v>
      </c>
      <c r="L199" s="21"/>
      <c r="M199" s="21">
        <f>M196-M198</f>
        <v>251872.90620666638</v>
      </c>
      <c r="N199" s="1407"/>
      <c r="O199" s="1173">
        <f>O196-O198</f>
        <v>-247785.3032566671</v>
      </c>
      <c r="P199" s="1173"/>
      <c r="Q199" s="1173">
        <f>Q196-Q198</f>
        <v>247785.3032566671</v>
      </c>
      <c r="R199" s="1173"/>
      <c r="S199" s="1405">
        <f>S196-S198</f>
        <v>183001.56428333477</v>
      </c>
      <c r="T199" s="21"/>
      <c r="U199" s="21">
        <f>U196-U198</f>
        <v>-183001.56428333477</v>
      </c>
      <c r="V199" s="1407"/>
      <c r="W199" s="1405">
        <f>W196-W198</f>
        <v>-61901.155336665804</v>
      </c>
      <c r="X199" s="21"/>
      <c r="Y199" s="21">
        <f>Y196-Y198</f>
        <v>61901.155336665804</v>
      </c>
      <c r="Z199" s="1407"/>
      <c r="AA199" s="1405">
        <f>AA196-AA198</f>
        <v>-1102.4174766683718</v>
      </c>
      <c r="AB199" s="21"/>
      <c r="AC199" s="21">
        <f>AC196-AC198</f>
        <v>1102.4174766683718</v>
      </c>
      <c r="AD199" s="1407"/>
      <c r="AE199" s="1405">
        <f>AE196-AE198</f>
        <v>113593.274343331</v>
      </c>
      <c r="AF199" s="21"/>
      <c r="AG199" s="21">
        <f>AG196-AG198</f>
        <v>-113593.274343331</v>
      </c>
      <c r="AH199" s="1407"/>
      <c r="AI199" s="1405">
        <f>AI196-AI198</f>
        <v>144097.86805333255</v>
      </c>
      <c r="AJ199" s="21"/>
      <c r="AK199" s="21">
        <f>AK196-AK198</f>
        <v>-144097.86805333255</v>
      </c>
      <c r="AL199" s="1407"/>
      <c r="AM199" s="1405">
        <f>AM196-AM198</f>
        <v>-353955.8859466681</v>
      </c>
      <c r="AN199" s="21"/>
      <c r="AO199" s="21">
        <f>AO196-AO198</f>
        <v>353955.8859466681</v>
      </c>
      <c r="AP199" s="1407"/>
      <c r="AQ199" s="1405">
        <f>AQ196-AQ198</f>
        <v>-241486.11808666901</v>
      </c>
      <c r="AR199" s="21"/>
      <c r="AS199" s="21">
        <f>AS196-AS198</f>
        <v>241486.11808666901</v>
      </c>
      <c r="AT199" s="1410"/>
      <c r="AU199" s="21">
        <f>AU196-AU198</f>
        <v>-411946.11805666925</v>
      </c>
      <c r="AV199" s="21"/>
      <c r="AW199" s="21">
        <f>AW196-AW198</f>
        <v>411946.11805666925</v>
      </c>
      <c r="AX199" s="1407"/>
      <c r="AY199" s="1173">
        <f>AY196-AY198</f>
        <v>-1377091.2801000085</v>
      </c>
      <c r="AZ199" s="1384">
        <f>D199+H199+L199+P199+T199+X199+AB199+AF199+AJ199+AN199+AR199+AV199</f>
        <v>0</v>
      </c>
      <c r="BA199" s="105"/>
      <c r="BB199" s="1179"/>
    </row>
    <row r="200" spans="1:57" s="23" customFormat="1" ht="15.75" x14ac:dyDescent="0.25">
      <c r="A200" s="53"/>
      <c r="B200" s="54"/>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B200" s="1179"/>
    </row>
    <row r="201" spans="1:57" ht="16.5" hidden="1" thickBot="1" x14ac:dyDescent="0.3">
      <c r="A201" s="52"/>
      <c r="C201" s="16"/>
      <c r="D201" s="16"/>
      <c r="E201" s="16"/>
      <c r="F201" s="16"/>
      <c r="H201" s="16"/>
      <c r="I201" s="16"/>
      <c r="J201" s="16"/>
      <c r="L201" s="16"/>
      <c r="M201" s="16"/>
      <c r="N201" s="16"/>
      <c r="P201" s="16"/>
      <c r="Q201" s="16"/>
      <c r="R201" s="16"/>
      <c r="T201" s="16"/>
      <c r="U201" s="16"/>
      <c r="V201" s="16"/>
      <c r="X201" s="16"/>
      <c r="Y201" s="16"/>
      <c r="Z201" s="16"/>
      <c r="AB201" s="16"/>
      <c r="AC201" s="16"/>
      <c r="AD201" s="16"/>
      <c r="AF201" s="16"/>
      <c r="AG201" s="16"/>
      <c r="AH201" s="16"/>
      <c r="AJ201" s="16"/>
      <c r="AK201" s="16"/>
      <c r="AL201" s="16"/>
      <c r="AN201" s="16"/>
      <c r="AO201" s="16"/>
      <c r="AP201" s="16"/>
      <c r="AR201" s="16"/>
      <c r="AS201" s="16"/>
      <c r="AT201" s="16"/>
      <c r="AV201" s="16"/>
      <c r="AW201" s="16"/>
      <c r="AX201" s="16"/>
    </row>
    <row r="202" spans="1:57" s="1172" customFormat="1" ht="16.5" hidden="1" thickBot="1" x14ac:dyDescent="0.3">
      <c r="A202" s="161"/>
      <c r="B202" s="1169" t="s">
        <v>118</v>
      </c>
      <c r="C202" s="1170">
        <f>C203+C204</f>
        <v>874391.85</v>
      </c>
      <c r="D202" s="1170"/>
      <c r="E202" s="1170"/>
      <c r="F202" s="1170"/>
      <c r="G202" s="1170">
        <f>G203+G204</f>
        <v>874391.66</v>
      </c>
      <c r="H202" s="1170"/>
      <c r="I202" s="1170"/>
      <c r="J202" s="1170"/>
      <c r="K202" s="1170">
        <f>K203+K204</f>
        <v>851797.62</v>
      </c>
      <c r="L202" s="1170"/>
      <c r="M202" s="1170"/>
      <c r="N202" s="1170"/>
      <c r="O202" s="1170">
        <f>O203+O204</f>
        <v>851797.62</v>
      </c>
      <c r="P202" s="1170"/>
      <c r="Q202" s="1170"/>
      <c r="R202" s="1170"/>
      <c r="S202" s="1170">
        <f>S203+S204</f>
        <v>851797.62</v>
      </c>
      <c r="T202" s="1170"/>
      <c r="U202" s="1170"/>
      <c r="V202" s="1170"/>
      <c r="W202" s="1170">
        <f>W203+W204</f>
        <v>851797.62</v>
      </c>
      <c r="X202" s="1170"/>
      <c r="Y202" s="1170"/>
      <c r="Z202" s="1170"/>
      <c r="AA202" s="1170">
        <f>AA203+AA204</f>
        <v>826474.64</v>
      </c>
      <c r="AB202" s="1170"/>
      <c r="AC202" s="1170"/>
      <c r="AD202" s="1170"/>
      <c r="AE202" s="1170">
        <f>AE203+AE204</f>
        <v>805289.64</v>
      </c>
      <c r="AF202" s="1170"/>
      <c r="AG202" s="1170"/>
      <c r="AH202" s="1170"/>
      <c r="AI202" s="1170">
        <f>AI203+AI204</f>
        <v>805289.64</v>
      </c>
      <c r="AJ202" s="1170"/>
      <c r="AK202" s="1170"/>
      <c r="AL202" s="1170"/>
      <c r="AM202" s="1170">
        <f>AM203+AM204</f>
        <v>805289.64</v>
      </c>
      <c r="AN202" s="1170"/>
      <c r="AO202" s="1170"/>
      <c r="AP202" s="1170"/>
      <c r="AQ202" s="1170">
        <f>AQ203+AQ204</f>
        <v>805289.64</v>
      </c>
      <c r="AR202" s="1170"/>
      <c r="AS202" s="1170"/>
      <c r="AT202" s="1170"/>
      <c r="AU202" s="1170">
        <f>AU203+AU204</f>
        <v>805289.64</v>
      </c>
      <c r="AV202" s="1170"/>
      <c r="AW202" s="1170"/>
      <c r="AX202" s="1170"/>
      <c r="AY202" s="1171">
        <f>C202+G202+K202+O202+S202+W202+AA202+AE202+AI202+AM202+AQ202+AU202</f>
        <v>10008896.83</v>
      </c>
      <c r="AZ202" s="1171">
        <f>D202+K202+O202+S202+W202+AA202+AE202+AI202+AM202+AQ202+AU202+AY202</f>
        <v>18269010.149999999</v>
      </c>
    </row>
    <row r="203" spans="1:57" s="25" customFormat="1" ht="15.75" hidden="1" x14ac:dyDescent="0.25">
      <c r="A203" s="24"/>
      <c r="B203" s="1165" t="s">
        <v>119</v>
      </c>
      <c r="C203" s="1229">
        <f>569526.39+130000</f>
        <v>699526.39</v>
      </c>
      <c r="D203" s="1229"/>
      <c r="E203" s="1229"/>
      <c r="F203" s="1229"/>
      <c r="G203" s="1229">
        <f>C203</f>
        <v>699526.39</v>
      </c>
      <c r="H203" s="1229"/>
      <c r="I203" s="1229"/>
      <c r="J203" s="1229"/>
      <c r="K203" s="1229">
        <f>G203</f>
        <v>699526.39</v>
      </c>
      <c r="L203" s="1229"/>
      <c r="M203" s="1229"/>
      <c r="N203" s="1229"/>
      <c r="O203" s="1229">
        <f>K203</f>
        <v>699526.39</v>
      </c>
      <c r="P203" s="1229"/>
      <c r="Q203" s="1229"/>
      <c r="R203" s="1229"/>
      <c r="S203" s="1229">
        <f>O203</f>
        <v>699526.39</v>
      </c>
      <c r="T203" s="1229"/>
      <c r="U203" s="1229"/>
      <c r="V203" s="1229"/>
      <c r="W203" s="1229">
        <f>S203</f>
        <v>699526.39</v>
      </c>
      <c r="X203" s="1229"/>
      <c r="Y203" s="1229"/>
      <c r="Z203" s="1229"/>
      <c r="AA203" s="1229">
        <f>W203</f>
        <v>699526.39</v>
      </c>
      <c r="AB203" s="1229"/>
      <c r="AC203" s="1229"/>
      <c r="AD203" s="1229"/>
      <c r="AE203" s="1229">
        <f>AA203</f>
        <v>699526.39</v>
      </c>
      <c r="AF203" s="1229"/>
      <c r="AG203" s="1229"/>
      <c r="AH203" s="1229"/>
      <c r="AI203" s="1229">
        <f>AE203</f>
        <v>699526.39</v>
      </c>
      <c r="AJ203" s="1229"/>
      <c r="AK203" s="1229"/>
      <c r="AL203" s="1229"/>
      <c r="AM203" s="1229">
        <f>AI203</f>
        <v>699526.39</v>
      </c>
      <c r="AN203" s="1229"/>
      <c r="AO203" s="1229"/>
      <c r="AP203" s="1229"/>
      <c r="AQ203" s="1229">
        <f>AM203</f>
        <v>699526.39</v>
      </c>
      <c r="AR203" s="1229"/>
      <c r="AS203" s="1229"/>
      <c r="AT203" s="1229"/>
      <c r="AU203" s="1229">
        <f>AQ203</f>
        <v>699526.39</v>
      </c>
      <c r="AV203" s="1229"/>
      <c r="AW203" s="1229"/>
      <c r="AX203" s="1229"/>
      <c r="AY203" s="1232">
        <f>C203+G203+K203+O203+S203+W203+AA203+AE203+AI203+AM203+AQ203+AU203</f>
        <v>8394316.6799999978</v>
      </c>
      <c r="AZ203" s="1232">
        <f>D203+K203+O203+S203+W203+AA203+AE203+AI203+AM203+AQ203+AU203+AY203</f>
        <v>15389580.579999996</v>
      </c>
      <c r="BB203" s="71"/>
    </row>
    <row r="204" spans="1:57" s="34" customFormat="1" ht="16.5" hidden="1" thickBot="1" x14ac:dyDescent="0.3">
      <c r="A204" s="33"/>
      <c r="B204" s="1166" t="s">
        <v>3777</v>
      </c>
      <c r="C204" s="1230">
        <v>174865.46</v>
      </c>
      <c r="D204" s="1230"/>
      <c r="E204" s="1230"/>
      <c r="F204" s="1230"/>
      <c r="G204" s="1230">
        <v>174865.27</v>
      </c>
      <c r="H204" s="1230"/>
      <c r="I204" s="1230"/>
      <c r="J204" s="1230"/>
      <c r="K204" s="1230">
        <v>152271.22999999998</v>
      </c>
      <c r="L204" s="1230"/>
      <c r="M204" s="1230"/>
      <c r="N204" s="1230"/>
      <c r="O204" s="1230">
        <v>152271.22999999998</v>
      </c>
      <c r="P204" s="1230"/>
      <c r="Q204" s="1230"/>
      <c r="R204" s="1230"/>
      <c r="S204" s="1230">
        <v>152271.22999999998</v>
      </c>
      <c r="T204" s="1230"/>
      <c r="U204" s="1230"/>
      <c r="V204" s="1230"/>
      <c r="W204" s="1230">
        <v>152271.22999999998</v>
      </c>
      <c r="X204" s="1230"/>
      <c r="Y204" s="1230"/>
      <c r="Z204" s="1230"/>
      <c r="AA204" s="1230">
        <v>126948.25</v>
      </c>
      <c r="AB204" s="1230"/>
      <c r="AC204" s="1230"/>
      <c r="AD204" s="1230"/>
      <c r="AE204" s="1230">
        <v>105763.25</v>
      </c>
      <c r="AF204" s="1230"/>
      <c r="AG204" s="1230"/>
      <c r="AH204" s="1230"/>
      <c r="AI204" s="1230">
        <v>105763.25</v>
      </c>
      <c r="AJ204" s="1230"/>
      <c r="AK204" s="1230"/>
      <c r="AL204" s="1230"/>
      <c r="AM204" s="1230">
        <v>105763.25</v>
      </c>
      <c r="AN204" s="1230"/>
      <c r="AO204" s="1230"/>
      <c r="AP204" s="1230"/>
      <c r="AQ204" s="1230">
        <v>105763.25</v>
      </c>
      <c r="AR204" s="1230"/>
      <c r="AS204" s="1230"/>
      <c r="AT204" s="1230"/>
      <c r="AU204" s="1230">
        <v>105763.25</v>
      </c>
      <c r="AV204" s="1230"/>
      <c r="AW204" s="1230"/>
      <c r="AX204" s="1230"/>
      <c r="AY204" s="1233">
        <f>C204+G204+K204+O204+S204+W204+AA204+AE204+AI204+AM204+AQ204+AU204</f>
        <v>1614580.15</v>
      </c>
      <c r="AZ204" s="1233">
        <f>D204+K204+O204+S204+W204+AA204+AE204+AI204+AM204+AQ204+AU204+AY204</f>
        <v>2879429.57</v>
      </c>
      <c r="BB204" s="1180"/>
    </row>
    <row r="205" spans="1:57" ht="15.75" x14ac:dyDescent="0.25">
      <c r="C205" s="55"/>
      <c r="D205" s="55"/>
      <c r="E205" s="55"/>
      <c r="F205" s="55"/>
      <c r="G205" s="55"/>
      <c r="H205" s="55"/>
      <c r="I205" s="55"/>
      <c r="J205" s="55"/>
      <c r="K205" s="55"/>
      <c r="L205" s="55"/>
      <c r="M205" s="55"/>
      <c r="N205" s="55"/>
      <c r="O205" s="55"/>
      <c r="P205" s="55"/>
      <c r="Q205" s="55"/>
      <c r="R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row>
    <row r="206" spans="1:57" ht="18" customHeight="1" x14ac:dyDescent="0.25">
      <c r="C206" s="56"/>
      <c r="D206" s="56"/>
      <c r="E206" s="56"/>
      <c r="F206" s="56"/>
      <c r="G206" s="1497"/>
      <c r="H206" s="56"/>
      <c r="I206" s="56"/>
      <c r="J206" s="56"/>
      <c r="K206" s="57"/>
      <c r="L206" s="56"/>
      <c r="M206" s="56"/>
      <c r="N206" s="56"/>
      <c r="O206" s="57"/>
      <c r="P206" s="56"/>
      <c r="Q206" s="56"/>
      <c r="R206" s="56"/>
      <c r="T206" s="56"/>
      <c r="U206" s="56"/>
      <c r="V206" s="56"/>
      <c r="W206" s="57"/>
      <c r="X206" s="56"/>
      <c r="Y206" s="56"/>
      <c r="Z206" s="56"/>
      <c r="AA206" s="57"/>
      <c r="AB206" s="56"/>
      <c r="AC206" s="56"/>
      <c r="AD206" s="56"/>
      <c r="AE206" s="57"/>
      <c r="AF206" s="56"/>
      <c r="AG206" s="56"/>
      <c r="AH206" s="56"/>
      <c r="AI206" s="57"/>
      <c r="AJ206" s="56"/>
      <c r="AK206" s="56"/>
      <c r="AL206" s="56"/>
      <c r="AM206" s="57"/>
      <c r="AN206" s="56"/>
      <c r="AO206" s="56"/>
      <c r="AP206" s="56"/>
      <c r="AQ206" s="57"/>
      <c r="AR206" s="56"/>
      <c r="AS206" s="56"/>
      <c r="AT206" s="56"/>
      <c r="AU206" s="57"/>
      <c r="AV206" s="56"/>
      <c r="AW206" s="56"/>
      <c r="AX206" s="56"/>
      <c r="AY206" s="57"/>
      <c r="AZ206" s="57"/>
    </row>
    <row r="207" spans="1:57" ht="18" customHeight="1" x14ac:dyDescent="0.25">
      <c r="C207" s="55"/>
      <c r="D207" s="55"/>
      <c r="E207" s="55"/>
      <c r="F207" s="55"/>
      <c r="G207" s="55"/>
      <c r="H207" s="55"/>
      <c r="I207" s="55"/>
      <c r="J207" s="55"/>
      <c r="K207" s="55"/>
      <c r="L207" s="55"/>
      <c r="M207" s="55"/>
      <c r="N207" s="55"/>
      <c r="O207" s="55"/>
      <c r="P207" s="55"/>
      <c r="Q207" s="55"/>
      <c r="R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row>
    <row r="208" spans="1:57" ht="18" customHeight="1" x14ac:dyDescent="0.25">
      <c r="C208" s="13"/>
      <c r="D208" s="13"/>
      <c r="E208" s="13"/>
      <c r="F208" s="13"/>
      <c r="H208" s="13"/>
      <c r="I208" s="13"/>
      <c r="J208" s="13"/>
      <c r="L208" s="13"/>
      <c r="M208" s="13"/>
      <c r="N208" s="13"/>
      <c r="P208" s="13"/>
      <c r="Q208" s="13"/>
      <c r="R208" s="13"/>
      <c r="T208" s="13"/>
      <c r="U208" s="13"/>
      <c r="V208" s="13"/>
      <c r="X208" s="13"/>
      <c r="Y208" s="13"/>
      <c r="Z208" s="13"/>
      <c r="AA208" s="109"/>
      <c r="AB208" s="13"/>
      <c r="AC208" s="13"/>
      <c r="AD208" s="13"/>
      <c r="AF208" s="13"/>
      <c r="AG208" s="13"/>
      <c r="AH208" s="13"/>
      <c r="AJ208" s="13"/>
      <c r="AK208" s="13"/>
      <c r="AL208" s="13"/>
      <c r="AN208" s="13"/>
      <c r="AO208" s="13"/>
      <c r="AP208" s="13"/>
      <c r="AR208" s="13"/>
      <c r="AS208" s="13"/>
      <c r="AT208" s="13"/>
      <c r="AV208" s="13"/>
      <c r="AW208" s="13"/>
      <c r="AX208" s="13"/>
      <c r="AY208" s="43"/>
      <c r="AZ208" s="43"/>
    </row>
    <row r="209" spans="1:54" ht="18" customHeight="1" x14ac:dyDescent="0.25">
      <c r="C209" s="317"/>
      <c r="D209" s="317"/>
      <c r="E209" s="317"/>
      <c r="F209" s="317"/>
      <c r="H209" s="317"/>
      <c r="I209" s="317"/>
      <c r="J209" s="317"/>
      <c r="L209" s="317"/>
      <c r="M209" s="317"/>
      <c r="N209" s="317"/>
      <c r="P209" s="317"/>
      <c r="Q209" s="317"/>
      <c r="R209" s="317"/>
      <c r="T209" s="317"/>
      <c r="U209" s="317"/>
      <c r="V209" s="317"/>
      <c r="X209" s="317"/>
      <c r="Y209" s="317"/>
      <c r="Z209" s="317"/>
      <c r="AB209" s="317"/>
      <c r="AC209" s="317"/>
      <c r="AD209" s="317"/>
      <c r="AF209" s="317"/>
      <c r="AG209" s="317"/>
      <c r="AH209" s="317"/>
      <c r="AJ209" s="317"/>
      <c r="AK209" s="317"/>
      <c r="AL209" s="317"/>
      <c r="AN209" s="317"/>
      <c r="AO209" s="317"/>
      <c r="AP209" s="317"/>
      <c r="AR209" s="317"/>
      <c r="AS209" s="317"/>
      <c r="AT209" s="317"/>
      <c r="AV209" s="317"/>
      <c r="AW209" s="317"/>
      <c r="AX209" s="317"/>
      <c r="AY209" s="109"/>
      <c r="AZ209" s="109"/>
    </row>
    <row r="210" spans="1:54" ht="18" customHeight="1" x14ac:dyDescent="0.25">
      <c r="C210" s="317"/>
      <c r="D210" s="317"/>
      <c r="E210" s="317"/>
      <c r="F210" s="317"/>
      <c r="H210" s="317"/>
      <c r="I210" s="317"/>
      <c r="J210" s="317"/>
      <c r="L210" s="317"/>
      <c r="M210" s="317"/>
      <c r="N210" s="317"/>
      <c r="P210" s="317"/>
      <c r="Q210" s="317"/>
      <c r="R210" s="317"/>
      <c r="T210" s="317"/>
      <c r="U210" s="317"/>
      <c r="V210" s="317"/>
      <c r="X210" s="317"/>
      <c r="Y210" s="317"/>
      <c r="Z210" s="317"/>
      <c r="AB210" s="317"/>
      <c r="AC210" s="317"/>
      <c r="AD210" s="317"/>
      <c r="AF210" s="317"/>
      <c r="AG210" s="317"/>
      <c r="AH210" s="317"/>
      <c r="AJ210" s="317"/>
      <c r="AK210" s="317"/>
      <c r="AL210" s="317"/>
      <c r="AN210" s="317"/>
      <c r="AO210" s="317"/>
      <c r="AP210" s="317"/>
      <c r="AR210" s="317"/>
      <c r="AS210" s="317"/>
      <c r="AT210" s="317"/>
      <c r="AV210" s="317"/>
      <c r="AW210" s="317"/>
      <c r="AX210" s="317"/>
      <c r="AY210" s="109"/>
      <c r="AZ210" s="109"/>
    </row>
    <row r="211" spans="1:54" ht="18" customHeight="1" x14ac:dyDescent="0.25">
      <c r="A211" s="13"/>
      <c r="C211" s="317"/>
      <c r="D211" s="317"/>
      <c r="E211" s="317"/>
      <c r="F211" s="317"/>
      <c r="G211" s="109"/>
      <c r="H211" s="317"/>
      <c r="I211" s="317"/>
      <c r="J211" s="317"/>
      <c r="L211" s="317"/>
      <c r="M211" s="317"/>
      <c r="N211" s="317"/>
      <c r="P211" s="317"/>
      <c r="Q211" s="317"/>
      <c r="R211" s="317"/>
      <c r="T211" s="317"/>
      <c r="U211" s="317"/>
      <c r="V211" s="317"/>
      <c r="X211" s="317"/>
      <c r="Y211" s="317"/>
      <c r="Z211" s="317"/>
      <c r="AB211" s="317"/>
      <c r="AC211" s="317"/>
      <c r="AD211" s="317"/>
      <c r="AF211" s="317"/>
      <c r="AG211" s="317"/>
      <c r="AH211" s="317"/>
      <c r="AJ211" s="317"/>
      <c r="AK211" s="317"/>
      <c r="AL211" s="317"/>
      <c r="AN211" s="317"/>
      <c r="AO211" s="317"/>
      <c r="AP211" s="317"/>
      <c r="AR211" s="317"/>
      <c r="AS211" s="317"/>
      <c r="AT211" s="317"/>
      <c r="AV211" s="317"/>
      <c r="AW211" s="317"/>
      <c r="AX211" s="317"/>
      <c r="AY211" s="43"/>
      <c r="AZ211" s="43"/>
    </row>
    <row r="212" spans="1:54" ht="18" customHeight="1" x14ac:dyDescent="0.25">
      <c r="A212" s="13"/>
      <c r="C212" s="402"/>
      <c r="D212" s="402"/>
      <c r="E212" s="402"/>
      <c r="F212" s="402"/>
      <c r="G212" s="109"/>
      <c r="H212" s="402"/>
      <c r="I212" s="402"/>
      <c r="J212" s="402"/>
      <c r="L212" s="402"/>
      <c r="M212" s="402"/>
      <c r="N212" s="402"/>
      <c r="P212" s="402"/>
      <c r="Q212" s="402"/>
      <c r="R212" s="402"/>
      <c r="T212" s="402"/>
      <c r="U212" s="402"/>
      <c r="V212" s="402"/>
      <c r="X212" s="402"/>
      <c r="Y212" s="402"/>
      <c r="Z212" s="402"/>
      <c r="AB212" s="402"/>
      <c r="AC212" s="402"/>
      <c r="AD212" s="402"/>
      <c r="AF212" s="402"/>
      <c r="AG212" s="402"/>
      <c r="AH212" s="402"/>
      <c r="AJ212" s="402"/>
      <c r="AK212" s="402"/>
      <c r="AL212" s="402"/>
      <c r="AN212" s="402"/>
      <c r="AO212" s="402"/>
      <c r="AP212" s="402"/>
      <c r="AR212" s="402"/>
      <c r="AS212" s="402"/>
      <c r="AT212" s="402"/>
      <c r="AV212" s="402"/>
      <c r="AW212" s="402"/>
      <c r="AX212" s="402"/>
      <c r="AY212" s="43"/>
      <c r="AZ212" s="43"/>
    </row>
    <row r="213" spans="1:54" ht="18" customHeight="1" x14ac:dyDescent="0.25">
      <c r="A213" s="13"/>
      <c r="G213" s="109"/>
      <c r="AA213" s="43"/>
      <c r="AY213" s="43"/>
      <c r="AZ213" s="43"/>
    </row>
    <row r="214" spans="1:54" ht="18" customHeight="1" x14ac:dyDescent="0.25">
      <c r="A214" s="13"/>
      <c r="G214" s="109"/>
      <c r="AA214" s="109"/>
      <c r="AY214" s="109"/>
      <c r="AZ214" s="109"/>
    </row>
    <row r="215" spans="1:54" ht="18" customHeight="1" x14ac:dyDescent="0.25">
      <c r="A215" s="13"/>
      <c r="C215" s="402"/>
      <c r="D215" s="402"/>
      <c r="E215" s="402"/>
      <c r="F215" s="402"/>
      <c r="G215" s="109"/>
      <c r="H215" s="402"/>
      <c r="I215" s="402"/>
      <c r="J215" s="402"/>
      <c r="L215" s="402"/>
      <c r="M215" s="402"/>
      <c r="N215" s="402"/>
      <c r="P215" s="402"/>
      <c r="Q215" s="402"/>
      <c r="R215" s="402"/>
      <c r="T215" s="402"/>
      <c r="U215" s="402"/>
      <c r="V215" s="402"/>
      <c r="X215" s="402"/>
      <c r="Y215" s="402"/>
      <c r="Z215" s="402"/>
      <c r="AB215" s="402"/>
      <c r="AC215" s="402"/>
      <c r="AD215" s="402"/>
      <c r="AF215" s="402"/>
      <c r="AG215" s="402"/>
      <c r="AH215" s="402"/>
      <c r="AJ215" s="402"/>
      <c r="AK215" s="402"/>
      <c r="AL215" s="402"/>
      <c r="AN215" s="402"/>
      <c r="AO215" s="402"/>
      <c r="AP215" s="402"/>
      <c r="AR215" s="402"/>
      <c r="AS215" s="402"/>
      <c r="AT215" s="402"/>
      <c r="AV215" s="402"/>
      <c r="AW215" s="402"/>
      <c r="AX215" s="402"/>
      <c r="AY215" s="109"/>
      <c r="AZ215" s="109"/>
    </row>
    <row r="216" spans="1:54" ht="18" customHeight="1" x14ac:dyDescent="0.25">
      <c r="A216" s="13"/>
      <c r="B216" s="109"/>
      <c r="C216" s="109"/>
      <c r="D216" s="109"/>
      <c r="E216" s="109"/>
      <c r="F216" s="109"/>
      <c r="G216" s="109"/>
      <c r="H216" s="109"/>
      <c r="I216" s="109"/>
      <c r="J216" s="109"/>
      <c r="L216" s="109"/>
      <c r="M216" s="109"/>
      <c r="N216" s="109"/>
      <c r="P216" s="109"/>
      <c r="Q216" s="109"/>
      <c r="R216" s="109"/>
      <c r="T216" s="109"/>
      <c r="U216" s="109"/>
      <c r="V216" s="109"/>
      <c r="X216" s="109"/>
      <c r="Y216" s="109"/>
      <c r="Z216" s="109"/>
      <c r="AB216" s="109"/>
      <c r="AC216" s="109"/>
      <c r="AD216" s="109"/>
      <c r="AF216" s="109"/>
      <c r="AG216" s="109"/>
      <c r="AH216" s="109"/>
      <c r="AJ216" s="109"/>
      <c r="AK216" s="109"/>
      <c r="AL216" s="109"/>
      <c r="AN216" s="109"/>
      <c r="AO216" s="109"/>
      <c r="AP216" s="109"/>
      <c r="AR216" s="109"/>
      <c r="AS216" s="109"/>
      <c r="AT216" s="109"/>
      <c r="AV216" s="109"/>
      <c r="AW216" s="109"/>
      <c r="AX216" s="109"/>
      <c r="AY216" s="43"/>
      <c r="AZ216" s="43"/>
    </row>
    <row r="217" spans="1:54" ht="18" customHeight="1" x14ac:dyDescent="0.25">
      <c r="A217" s="13"/>
      <c r="B217" s="109"/>
      <c r="C217" s="402"/>
      <c r="D217" s="402"/>
      <c r="E217" s="402"/>
      <c r="F217" s="402"/>
      <c r="G217" s="109"/>
      <c r="H217" s="402"/>
      <c r="I217" s="402"/>
      <c r="J217" s="402"/>
      <c r="L217" s="402"/>
      <c r="M217" s="402"/>
      <c r="N217" s="402"/>
      <c r="P217" s="402"/>
      <c r="Q217" s="402"/>
      <c r="R217" s="402"/>
      <c r="T217" s="402"/>
      <c r="U217" s="402"/>
      <c r="V217" s="402"/>
      <c r="X217" s="402"/>
      <c r="Y217" s="402"/>
      <c r="Z217" s="402"/>
      <c r="AB217" s="402"/>
      <c r="AC217" s="402"/>
      <c r="AD217" s="402"/>
      <c r="AF217" s="402"/>
      <c r="AG217" s="402"/>
      <c r="AH217" s="402"/>
      <c r="AJ217" s="402"/>
      <c r="AK217" s="402"/>
      <c r="AL217" s="402"/>
      <c r="AN217" s="402"/>
      <c r="AO217" s="402"/>
      <c r="AP217" s="402"/>
      <c r="AR217" s="402"/>
      <c r="AS217" s="402"/>
      <c r="AT217" s="402"/>
      <c r="AV217" s="402"/>
      <c r="AW217" s="402"/>
      <c r="AX217" s="402"/>
      <c r="AY217" s="109"/>
      <c r="AZ217" s="109"/>
    </row>
    <row r="218" spans="1:54" ht="18" customHeight="1" x14ac:dyDescent="0.25">
      <c r="A218" s="13"/>
      <c r="B218" s="109"/>
      <c r="G218" s="109"/>
      <c r="AY218" s="110"/>
      <c r="AZ218" s="110"/>
    </row>
    <row r="219" spans="1:54" ht="18" customHeight="1" x14ac:dyDescent="0.25">
      <c r="A219" s="13"/>
      <c r="B219" s="109"/>
      <c r="G219" s="109"/>
    </row>
    <row r="220" spans="1:54" ht="18" customHeight="1" x14ac:dyDescent="0.25">
      <c r="A220" s="13"/>
      <c r="B220" s="110"/>
      <c r="G220" s="109"/>
      <c r="K220" s="110"/>
      <c r="BB220" s="13"/>
    </row>
    <row r="221" spans="1:54" ht="18" customHeight="1" x14ac:dyDescent="0.25">
      <c r="A221" s="13"/>
      <c r="G221" s="109"/>
      <c r="BB221" s="13"/>
    </row>
    <row r="222" spans="1:54" ht="18" customHeight="1" x14ac:dyDescent="0.25">
      <c r="A222" s="13"/>
      <c r="B222" s="110"/>
      <c r="G222" s="110"/>
      <c r="BB222" s="13"/>
    </row>
    <row r="224" spans="1:54" ht="18" customHeight="1" x14ac:dyDescent="0.25">
      <c r="A224" s="13"/>
      <c r="G224" s="110"/>
      <c r="BB224" s="13"/>
    </row>
  </sheetData>
  <mergeCells count="16">
    <mergeCell ref="A5:A6"/>
    <mergeCell ref="B5:B6"/>
    <mergeCell ref="AY5:AY6"/>
    <mergeCell ref="C5:F5"/>
    <mergeCell ref="AZ5:AZ6"/>
    <mergeCell ref="AU5:AX5"/>
    <mergeCell ref="AQ5:AT5"/>
    <mergeCell ref="AM5:AP5"/>
    <mergeCell ref="AI5:AL5"/>
    <mergeCell ref="K5:N5"/>
    <mergeCell ref="G5:J5"/>
    <mergeCell ref="AE5:AH5"/>
    <mergeCell ref="AA5:AD5"/>
    <mergeCell ref="W5:Z5"/>
    <mergeCell ref="S5:V5"/>
    <mergeCell ref="O5:R5"/>
  </mergeCells>
  <pageMargins left="0.511811024" right="0.511811024" top="0.78740157499999996" bottom="0.78740157499999996" header="0.31496062000000002" footer="0.31496062000000002"/>
  <pageSetup paperSize="9" orientation="portrait" horizontalDpi="300" verticalDpi="300" r:id="rId1"/>
  <ignoredErrors>
    <ignoredError sqref="AU14 AU20 G18 AU36 K180 G14 K36 K14 O36 O14 S36 S14 W36 W20 W14 AA36 AA20 AA14 AE36 AE20 AE14 AI36 AI20 AI14 AM36 AM20 AM14 AQ36 AQ20 AQ14" formula="1"/>
  </ignoredErrors>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2:CQ317"/>
  <sheetViews>
    <sheetView showGridLines="0" zoomScale="85" zoomScaleNormal="85" workbookViewId="0">
      <pane xSplit="2" topLeftCell="C1" activePane="topRight" state="frozen"/>
      <selection pane="topRight" activeCell="J25" sqref="J25"/>
    </sheetView>
  </sheetViews>
  <sheetFormatPr defaultColWidth="20.140625" defaultRowHeight="18.75" customHeight="1" x14ac:dyDescent="0.25"/>
  <cols>
    <col min="1" max="1" width="14.140625" style="38" bestFit="1" customWidth="1"/>
    <col min="2" max="2" width="52.5703125" style="13" bestFit="1" customWidth="1"/>
    <col min="3" max="3" width="12.7109375" style="40" customWidth="1"/>
    <col min="4" max="4" width="13.5703125" style="2045" bestFit="1" customWidth="1"/>
    <col min="5" max="5" width="14.5703125" style="40" customWidth="1"/>
    <col min="6" max="6" width="9" style="40" customWidth="1"/>
    <col min="7" max="7" width="11.85546875" style="13" bestFit="1" customWidth="1"/>
    <col min="8" max="8" width="12.7109375" style="40" bestFit="1" customWidth="1"/>
    <col min="9" max="9" width="11.5703125" style="40" bestFit="1" customWidth="1"/>
    <col min="10" max="10" width="6.7109375" style="40" bestFit="1" customWidth="1"/>
    <col min="11" max="11" width="11.85546875" style="13" bestFit="1" customWidth="1"/>
    <col min="12" max="12" width="12.7109375" style="40" bestFit="1" customWidth="1"/>
    <col min="13" max="13" width="11.5703125" style="40" bestFit="1" customWidth="1"/>
    <col min="14" max="14" width="6.7109375" style="40" bestFit="1" customWidth="1"/>
    <col min="15" max="15" width="11.85546875" style="13" bestFit="1" customWidth="1"/>
    <col min="16" max="16" width="12" style="40" bestFit="1" customWidth="1"/>
    <col min="17" max="17" width="12.5703125" style="40" bestFit="1" customWidth="1"/>
    <col min="18" max="18" width="7.42578125" style="40" bestFit="1" customWidth="1"/>
    <col min="19" max="19" width="12.7109375" style="13" bestFit="1" customWidth="1"/>
    <col min="20" max="20" width="12" style="40" bestFit="1" customWidth="1"/>
    <col min="21" max="21" width="12.7109375" style="40" bestFit="1" customWidth="1"/>
    <col min="22" max="22" width="7.42578125" style="40" bestFit="1" customWidth="1"/>
    <col min="23" max="23" width="11.85546875" style="13" bestFit="1" customWidth="1"/>
    <col min="24" max="24" width="12" style="40" bestFit="1" customWidth="1"/>
    <col min="25" max="25" width="12.5703125" style="40" bestFit="1" customWidth="1"/>
    <col min="26" max="26" width="7.42578125" style="40" bestFit="1" customWidth="1"/>
    <col min="27" max="27" width="11.85546875" style="13" bestFit="1" customWidth="1"/>
    <col min="28" max="28" width="12" style="40" bestFit="1" customWidth="1"/>
    <col min="29" max="29" width="12.5703125" style="40" bestFit="1" customWidth="1"/>
    <col min="30" max="30" width="7.42578125" style="40" bestFit="1" customWidth="1"/>
    <col min="31" max="31" width="11.85546875" style="13" bestFit="1" customWidth="1"/>
    <col min="32" max="32" width="12" style="40" bestFit="1" customWidth="1"/>
    <col min="33" max="33" width="12.5703125" style="40" bestFit="1" customWidth="1"/>
    <col min="34" max="34" width="7.42578125" style="40" bestFit="1" customWidth="1"/>
    <col min="35" max="35" width="11.85546875" style="13" bestFit="1" customWidth="1"/>
    <col min="36" max="36" width="12" style="40" bestFit="1" customWidth="1"/>
    <col min="37" max="37" width="12.5703125" style="40" bestFit="1" customWidth="1"/>
    <col min="38" max="38" width="7.42578125" style="40" bestFit="1" customWidth="1"/>
    <col min="39" max="39" width="11.85546875" style="13" bestFit="1" customWidth="1"/>
    <col min="40" max="40" width="12" style="40" bestFit="1" customWidth="1"/>
    <col min="41" max="41" width="12.5703125" style="40" bestFit="1" customWidth="1"/>
    <col min="42" max="42" width="7.42578125" style="40" bestFit="1" customWidth="1"/>
    <col min="43" max="43" width="12.7109375" style="13" bestFit="1" customWidth="1"/>
    <col min="44" max="44" width="12" style="40" bestFit="1" customWidth="1"/>
    <col min="45" max="45" width="12.7109375" style="40" bestFit="1" customWidth="1"/>
    <col min="46" max="46" width="7.42578125" style="40" bestFit="1" customWidth="1"/>
    <col min="47" max="47" width="11.85546875" style="13" bestFit="1" customWidth="1"/>
    <col min="48" max="48" width="12" style="40" bestFit="1" customWidth="1"/>
    <col min="49" max="49" width="12.5703125" style="40" bestFit="1" customWidth="1"/>
    <col min="50" max="50" width="7.42578125" style="40" bestFit="1" customWidth="1"/>
    <col min="51" max="51" width="16.42578125" style="13" customWidth="1"/>
    <col min="52" max="52" width="19.140625" style="13" bestFit="1" customWidth="1"/>
    <col min="53" max="53" width="20.140625" style="13"/>
    <col min="54" max="54" width="20.140625" style="71"/>
    <col min="55" max="16384" width="20.140625" style="13"/>
  </cols>
  <sheetData>
    <row r="2" spans="1:56" ht="18.75" customHeight="1" x14ac:dyDescent="0.25">
      <c r="C2" s="109"/>
      <c r="D2" s="1185"/>
      <c r="E2" s="109"/>
      <c r="F2" s="109"/>
      <c r="H2" s="109"/>
      <c r="I2" s="109"/>
      <c r="J2" s="109"/>
      <c r="L2" s="109"/>
      <c r="M2" s="109"/>
      <c r="N2" s="109"/>
      <c r="P2" s="109"/>
      <c r="Q2" s="109"/>
      <c r="R2" s="109"/>
      <c r="T2" s="109"/>
      <c r="U2" s="109"/>
      <c r="V2" s="109"/>
      <c r="X2" s="109"/>
      <c r="Y2" s="109"/>
      <c r="Z2" s="109"/>
      <c r="AA2" s="109"/>
      <c r="AB2" s="109"/>
      <c r="AC2" s="109"/>
      <c r="AD2" s="109"/>
      <c r="AF2" s="109"/>
      <c r="AG2" s="109"/>
      <c r="AH2" s="109"/>
      <c r="AJ2" s="109"/>
      <c r="AK2" s="109"/>
      <c r="AL2" s="109"/>
      <c r="AN2" s="109"/>
      <c r="AO2" s="109"/>
      <c r="AP2" s="109"/>
      <c r="AR2" s="109"/>
      <c r="AS2" s="109"/>
      <c r="AT2" s="109"/>
      <c r="AV2" s="109"/>
      <c r="AW2" s="109"/>
      <c r="AX2" s="109"/>
      <c r="AY2" s="109"/>
      <c r="AZ2" s="109"/>
      <c r="BA2" s="109"/>
    </row>
    <row r="3" spans="1:56" ht="18.75" customHeight="1" x14ac:dyDescent="0.25">
      <c r="C3" s="109"/>
      <c r="D3" s="1185"/>
      <c r="E3" s="109"/>
      <c r="F3" s="109"/>
      <c r="G3" s="110"/>
      <c r="H3" s="109"/>
      <c r="I3" s="109"/>
      <c r="J3" s="109"/>
      <c r="L3" s="109"/>
      <c r="M3" s="109"/>
      <c r="N3" s="109"/>
      <c r="P3" s="109"/>
      <c r="Q3" s="109"/>
      <c r="R3" s="109"/>
      <c r="T3" s="109"/>
      <c r="U3" s="109"/>
      <c r="V3" s="109"/>
      <c r="X3" s="109"/>
      <c r="Y3" s="109"/>
      <c r="Z3" s="109"/>
      <c r="AB3" s="109"/>
      <c r="AC3" s="109"/>
      <c r="AD3" s="109"/>
      <c r="AE3" s="43"/>
      <c r="AF3" s="109"/>
      <c r="AG3" s="109"/>
      <c r="AH3" s="109"/>
      <c r="AJ3" s="109"/>
      <c r="AK3" s="109"/>
      <c r="AL3" s="109"/>
      <c r="AN3" s="109"/>
      <c r="AO3" s="109"/>
      <c r="AP3" s="109"/>
      <c r="AR3" s="109"/>
      <c r="AS3" s="109"/>
      <c r="AT3" s="109"/>
      <c r="AV3" s="109"/>
      <c r="AW3" s="109"/>
      <c r="AX3" s="109"/>
      <c r="AY3" s="109"/>
      <c r="AZ3" s="109"/>
    </row>
    <row r="4" spans="1:56" ht="18.75" customHeight="1" thickBot="1" x14ac:dyDescent="0.3">
      <c r="C4" s="109"/>
      <c r="D4" s="1185"/>
      <c r="E4" s="109"/>
      <c r="F4" s="109"/>
      <c r="H4" s="109"/>
      <c r="I4" s="109"/>
      <c r="J4" s="109"/>
      <c r="L4" s="109"/>
      <c r="M4" s="109"/>
      <c r="N4" s="109"/>
      <c r="P4" s="109"/>
      <c r="Q4" s="109"/>
      <c r="R4" s="109"/>
      <c r="T4" s="109"/>
      <c r="U4" s="109"/>
      <c r="V4" s="109"/>
      <c r="X4" s="109"/>
      <c r="Y4" s="109"/>
      <c r="Z4" s="109"/>
      <c r="AA4" s="43"/>
      <c r="AB4" s="109"/>
      <c r="AC4" s="109"/>
      <c r="AD4" s="109"/>
      <c r="AF4" s="109"/>
      <c r="AG4" s="109"/>
      <c r="AH4" s="109"/>
      <c r="AJ4" s="109"/>
      <c r="AK4" s="109"/>
      <c r="AL4" s="109"/>
      <c r="AN4" s="109"/>
      <c r="AO4" s="109"/>
      <c r="AP4" s="109"/>
      <c r="AR4" s="109"/>
      <c r="AS4" s="109"/>
      <c r="AT4" s="109"/>
      <c r="AV4" s="109"/>
      <c r="AW4" s="109"/>
      <c r="AX4" s="109"/>
      <c r="AY4" s="1182"/>
      <c r="AZ4" s="1182"/>
    </row>
    <row r="5" spans="1:56" s="11" customFormat="1" ht="18.75" customHeight="1" x14ac:dyDescent="0.25">
      <c r="A5" s="2697" t="s">
        <v>0</v>
      </c>
      <c r="B5" s="2699" t="s">
        <v>145</v>
      </c>
      <c r="C5" s="2727" t="s">
        <v>3716</v>
      </c>
      <c r="D5" s="2728"/>
      <c r="E5" s="2728"/>
      <c r="F5" s="2729"/>
      <c r="G5" s="2727" t="s">
        <v>3717</v>
      </c>
      <c r="H5" s="2728"/>
      <c r="I5" s="2728"/>
      <c r="J5" s="2729"/>
      <c r="K5" s="2727" t="s">
        <v>3718</v>
      </c>
      <c r="L5" s="2728"/>
      <c r="M5" s="2728"/>
      <c r="N5" s="2729"/>
      <c r="O5" s="2727" t="s">
        <v>3719</v>
      </c>
      <c r="P5" s="2728"/>
      <c r="Q5" s="2728"/>
      <c r="R5" s="2729"/>
      <c r="S5" s="2727" t="s">
        <v>3720</v>
      </c>
      <c r="T5" s="2728"/>
      <c r="U5" s="2728"/>
      <c r="V5" s="2729"/>
      <c r="W5" s="2727" t="s">
        <v>3721</v>
      </c>
      <c r="X5" s="2728"/>
      <c r="Y5" s="2728"/>
      <c r="Z5" s="2729"/>
      <c r="AA5" s="2727" t="s">
        <v>3722</v>
      </c>
      <c r="AB5" s="2728"/>
      <c r="AC5" s="2728"/>
      <c r="AD5" s="2729"/>
      <c r="AE5" s="2727" t="s">
        <v>3723</v>
      </c>
      <c r="AF5" s="2728"/>
      <c r="AG5" s="2728"/>
      <c r="AH5" s="2729"/>
      <c r="AI5" s="2727" t="s">
        <v>3724</v>
      </c>
      <c r="AJ5" s="2728"/>
      <c r="AK5" s="2728"/>
      <c r="AL5" s="2729"/>
      <c r="AM5" s="2727" t="s">
        <v>3725</v>
      </c>
      <c r="AN5" s="2728"/>
      <c r="AO5" s="2728"/>
      <c r="AP5" s="2729"/>
      <c r="AQ5" s="2727" t="s">
        <v>3726</v>
      </c>
      <c r="AR5" s="2728"/>
      <c r="AS5" s="2728"/>
      <c r="AT5" s="2729"/>
      <c r="AU5" s="2727" t="s">
        <v>3727</v>
      </c>
      <c r="AV5" s="2728"/>
      <c r="AW5" s="2728"/>
      <c r="AX5" s="2729"/>
      <c r="AY5" s="2683" t="s">
        <v>162</v>
      </c>
      <c r="AZ5" s="2683" t="s">
        <v>163</v>
      </c>
      <c r="BA5" s="1172"/>
      <c r="BB5" s="1172"/>
    </row>
    <row r="6" spans="1:56" s="11" customFormat="1" ht="18.75" customHeight="1" thickBot="1" x14ac:dyDescent="0.3">
      <c r="A6" s="2698"/>
      <c r="B6" s="2700"/>
      <c r="C6" s="2730"/>
      <c r="D6" s="2731"/>
      <c r="E6" s="2731"/>
      <c r="F6" s="2732"/>
      <c r="G6" s="2730"/>
      <c r="H6" s="2731"/>
      <c r="I6" s="2731"/>
      <c r="J6" s="2732"/>
      <c r="K6" s="2730"/>
      <c r="L6" s="2731"/>
      <c r="M6" s="2731"/>
      <c r="N6" s="2732"/>
      <c r="O6" s="2730"/>
      <c r="P6" s="2731"/>
      <c r="Q6" s="2731"/>
      <c r="R6" s="2732"/>
      <c r="S6" s="2730"/>
      <c r="T6" s="2731"/>
      <c r="U6" s="2731"/>
      <c r="V6" s="2732"/>
      <c r="W6" s="2730"/>
      <c r="X6" s="2731"/>
      <c r="Y6" s="2731"/>
      <c r="Z6" s="2732"/>
      <c r="AA6" s="2730"/>
      <c r="AB6" s="2731"/>
      <c r="AC6" s="2731"/>
      <c r="AD6" s="2732"/>
      <c r="AE6" s="2730"/>
      <c r="AF6" s="2731"/>
      <c r="AG6" s="2731"/>
      <c r="AH6" s="2732"/>
      <c r="AI6" s="2730"/>
      <c r="AJ6" s="2731"/>
      <c r="AK6" s="2731"/>
      <c r="AL6" s="2732"/>
      <c r="AM6" s="2730"/>
      <c r="AN6" s="2731"/>
      <c r="AO6" s="2731"/>
      <c r="AP6" s="2732"/>
      <c r="AQ6" s="2730"/>
      <c r="AR6" s="2731"/>
      <c r="AS6" s="2731"/>
      <c r="AT6" s="2732"/>
      <c r="AU6" s="2730"/>
      <c r="AV6" s="2731"/>
      <c r="AW6" s="2731"/>
      <c r="AX6" s="2732"/>
      <c r="AY6" s="2733"/>
      <c r="AZ6" s="2733"/>
      <c r="BA6" s="1172"/>
      <c r="BB6" s="1172"/>
    </row>
    <row r="7" spans="1:56" s="11" customFormat="1" ht="18.75" customHeight="1" thickBot="1" x14ac:dyDescent="0.3">
      <c r="A7" s="2742" t="s">
        <v>3901</v>
      </c>
      <c r="B7" s="2686"/>
      <c r="C7" s="1260" t="s">
        <v>3728</v>
      </c>
      <c r="D7" s="2046" t="s">
        <v>3796</v>
      </c>
      <c r="E7" s="199" t="s">
        <v>3797</v>
      </c>
      <c r="F7" s="1050" t="s">
        <v>158</v>
      </c>
      <c r="G7" s="228" t="s">
        <v>3728</v>
      </c>
      <c r="H7" s="1260" t="s">
        <v>3796</v>
      </c>
      <c r="I7" s="1260" t="s">
        <v>3797</v>
      </c>
      <c r="J7" s="1050" t="s">
        <v>158</v>
      </c>
      <c r="K7" s="228" t="s">
        <v>3728</v>
      </c>
      <c r="L7" s="1260" t="s">
        <v>3796</v>
      </c>
      <c r="M7" s="1260" t="s">
        <v>3797</v>
      </c>
      <c r="N7" s="1050" t="s">
        <v>158</v>
      </c>
      <c r="O7" s="228" t="s">
        <v>3728</v>
      </c>
      <c r="P7" s="1260" t="s">
        <v>3796</v>
      </c>
      <c r="Q7" s="1260" t="s">
        <v>3797</v>
      </c>
      <c r="R7" s="1050" t="s">
        <v>158</v>
      </c>
      <c r="S7" s="228" t="s">
        <v>3728</v>
      </c>
      <c r="T7" s="1260" t="s">
        <v>3796</v>
      </c>
      <c r="U7" s="1260" t="s">
        <v>3797</v>
      </c>
      <c r="V7" s="1050" t="s">
        <v>158</v>
      </c>
      <c r="W7" s="228" t="s">
        <v>3728</v>
      </c>
      <c r="X7" s="1260" t="s">
        <v>3796</v>
      </c>
      <c r="Y7" s="1260" t="s">
        <v>3797</v>
      </c>
      <c r="Z7" s="1050" t="s">
        <v>158</v>
      </c>
      <c r="AA7" s="228" t="s">
        <v>3728</v>
      </c>
      <c r="AB7" s="1260" t="s">
        <v>3796</v>
      </c>
      <c r="AC7" s="1260" t="s">
        <v>3797</v>
      </c>
      <c r="AD7" s="1050" t="s">
        <v>158</v>
      </c>
      <c r="AE7" s="228" t="s">
        <v>3728</v>
      </c>
      <c r="AF7" s="1260" t="s">
        <v>3796</v>
      </c>
      <c r="AG7" s="1260" t="s">
        <v>3797</v>
      </c>
      <c r="AH7" s="1050" t="s">
        <v>158</v>
      </c>
      <c r="AI7" s="228" t="s">
        <v>3728</v>
      </c>
      <c r="AJ7" s="1260" t="s">
        <v>3796</v>
      </c>
      <c r="AK7" s="1260" t="s">
        <v>3797</v>
      </c>
      <c r="AL7" s="1050" t="s">
        <v>158</v>
      </c>
      <c r="AM7" s="228" t="s">
        <v>3728</v>
      </c>
      <c r="AN7" s="1260" t="s">
        <v>3796</v>
      </c>
      <c r="AO7" s="1260" t="s">
        <v>3797</v>
      </c>
      <c r="AP7" s="1050" t="s">
        <v>158</v>
      </c>
      <c r="AQ7" s="228" t="s">
        <v>3728</v>
      </c>
      <c r="AR7" s="1260" t="s">
        <v>3796</v>
      </c>
      <c r="AS7" s="1260" t="s">
        <v>3797</v>
      </c>
      <c r="AT7" s="1050" t="s">
        <v>158</v>
      </c>
      <c r="AU7" s="228" t="s">
        <v>3728</v>
      </c>
      <c r="AV7" s="1260" t="s">
        <v>3796</v>
      </c>
      <c r="AW7" s="1260" t="s">
        <v>3797</v>
      </c>
      <c r="AX7" s="1050" t="s">
        <v>158</v>
      </c>
      <c r="AY7" s="2684"/>
      <c r="AZ7" s="2684"/>
      <c r="BA7" s="1183"/>
      <c r="BB7" s="1172"/>
    </row>
    <row r="8" spans="1:56" s="1" customFormat="1" ht="18.75" customHeight="1" thickBot="1" x14ac:dyDescent="0.3">
      <c r="A8" s="2743" t="s">
        <v>3715</v>
      </c>
      <c r="B8" s="2711"/>
      <c r="C8" s="1265">
        <f>SUM(C9+C23+C27+C35+C41+C45+C54+C57+C60)</f>
        <v>20907348.276193332</v>
      </c>
      <c r="D8" s="1605">
        <f>SUM(D9+D23+D27+D35)</f>
        <v>21428831.690000005</v>
      </c>
      <c r="E8" s="1606">
        <f>D8-C8</f>
        <v>521483.41380667314</v>
      </c>
      <c r="F8" s="1251">
        <f>((D8/C8)-1)*100</f>
        <v>2.4942589893165668</v>
      </c>
      <c r="G8" s="1250">
        <f>SUM(G9+G23+G27+G35)</f>
        <v>20692432.056193333</v>
      </c>
      <c r="H8" s="1579">
        <f>SUM(H9+H23+H27+H35)</f>
        <v>21146714.560000006</v>
      </c>
      <c r="I8" s="1606">
        <f>H8-G8</f>
        <v>454282.50380667299</v>
      </c>
      <c r="J8" s="1251">
        <f>((H8/G8)-1)*100</f>
        <v>2.195404109932575</v>
      </c>
      <c r="K8" s="1251">
        <f>SUM(K9+K23+K27+K35)</f>
        <v>20692432.056193333</v>
      </c>
      <c r="L8" s="1579">
        <f>SUM(L9+L23+L27+L35)</f>
        <v>23078799.550000001</v>
      </c>
      <c r="M8" s="1606">
        <f>L8-K8</f>
        <v>2386367.4938066676</v>
      </c>
      <c r="N8" s="1251">
        <f>((L8/K8)-1)*100</f>
        <v>11.532561698528898</v>
      </c>
      <c r="O8" s="1251">
        <f>SUM(O9+O23+O27+O35)</f>
        <v>20696019.659143332</v>
      </c>
      <c r="P8" s="1579">
        <f>SUM(P9+P23+P27+P35)</f>
        <v>0</v>
      </c>
      <c r="Q8" s="1606">
        <f>P8-O8</f>
        <v>-20696019.659143332</v>
      </c>
      <c r="R8" s="1251">
        <f>((P8/O8)-1)*100</f>
        <v>-100</v>
      </c>
      <c r="S8" s="1250">
        <f>SUM(S9+S23+S27+S35)</f>
        <v>21433241.526683334</v>
      </c>
      <c r="T8" s="1579">
        <f>SUM(T9+T23+T27+T35)</f>
        <v>0</v>
      </c>
      <c r="U8" s="1606">
        <f>T8-S8</f>
        <v>-21433241.526683334</v>
      </c>
      <c r="V8" s="1251">
        <f>((T8/S8)-1)*100</f>
        <v>-100</v>
      </c>
      <c r="W8" s="1250">
        <f>SUM(W9+W23+W27+W35)</f>
        <v>21738462.867863335</v>
      </c>
      <c r="X8" s="1579">
        <f>SUM(X9+X23+X27+X35)</f>
        <v>0</v>
      </c>
      <c r="Y8" s="1606">
        <f>X8-W8</f>
        <v>-21738462.867863335</v>
      </c>
      <c r="Z8" s="1251">
        <f>((X8/W8)-1)*100</f>
        <v>-100</v>
      </c>
      <c r="AA8" s="1251">
        <f>SUM(AA9+AA23+AA27+AA35)</f>
        <v>21735538.625723332</v>
      </c>
      <c r="AB8" s="1579">
        <f>SUM(AB9+AB23+AB27+AB35)</f>
        <v>0</v>
      </c>
      <c r="AC8" s="1606">
        <f>AB8-AA8</f>
        <v>-21735538.625723332</v>
      </c>
      <c r="AD8" s="1251">
        <f>((AB8/AA8)-1)*100</f>
        <v>-100</v>
      </c>
      <c r="AE8" s="1250">
        <f>SUM(AE9+AE23+AE27+AE35)</f>
        <v>21830549.317543332</v>
      </c>
      <c r="AF8" s="1579">
        <f>SUM(AF9+AF23+AF27+AF35)</f>
        <v>0</v>
      </c>
      <c r="AG8" s="1606">
        <f>AF8-AE8</f>
        <v>-21830549.317543332</v>
      </c>
      <c r="AH8" s="1251">
        <f>((AF8/AE8)-1)*100</f>
        <v>-100</v>
      </c>
      <c r="AI8" s="1250">
        <f>SUM(AI9+AI23+AI27+AI35)</f>
        <v>21891553.911253333</v>
      </c>
      <c r="AJ8" s="1579">
        <f>SUM(AJ9+AJ23+AJ27+AJ35)</f>
        <v>0</v>
      </c>
      <c r="AK8" s="1606">
        <f>AJ8-AI8</f>
        <v>-21891553.911253333</v>
      </c>
      <c r="AL8" s="1251">
        <f>((AJ8/AI8)-1)*100</f>
        <v>-100</v>
      </c>
      <c r="AM8" s="1250">
        <f>SUM(AM9+AM23+AM27+AM35)</f>
        <v>21393000.157253332</v>
      </c>
      <c r="AN8" s="1579">
        <f>SUM(AN9+AN23+AN27+AN35)</f>
        <v>0</v>
      </c>
      <c r="AO8" s="1606">
        <f>AN8-AM8</f>
        <v>-21393000.157253332</v>
      </c>
      <c r="AP8" s="1251">
        <f>((AN8/AM8)-1)*100</f>
        <v>-100</v>
      </c>
      <c r="AQ8" s="1251">
        <f>SUM(AQ9+AQ23+AQ27+AQ35)</f>
        <v>21625969.925113332</v>
      </c>
      <c r="AR8" s="1579">
        <f>SUM(AR9+AR23+AR27+AR35)</f>
        <v>0</v>
      </c>
      <c r="AS8" s="1606">
        <f>AR8-AQ8</f>
        <v>-21625969.925113332</v>
      </c>
      <c r="AT8" s="1251">
        <f>((AR8/AQ8)-1)*100</f>
        <v>-100</v>
      </c>
      <c r="AU8" s="1250">
        <f>SUM(AU9+AU23+AU27+AU35)</f>
        <v>21455009.925143331</v>
      </c>
      <c r="AV8" s="1579">
        <f>SUM(AV9+AV23+AV27+AV35)</f>
        <v>0</v>
      </c>
      <c r="AW8" s="1606">
        <f>AV8-AU8</f>
        <v>-21455009.925143331</v>
      </c>
      <c r="AX8" s="1251">
        <f>((AV8/AU8)-1)*100</f>
        <v>-100</v>
      </c>
      <c r="AY8" s="1252">
        <f t="shared" ref="AY8:AZ14" si="0">C8+G8+K8+O8+S8+W8+AA8+AE8+AI8+AM8+AQ8+AU8</f>
        <v>256091558.30429995</v>
      </c>
      <c r="AZ8" s="1579">
        <f t="shared" si="0"/>
        <v>65654345.800000012</v>
      </c>
      <c r="BA8" s="195"/>
      <c r="BB8" s="1176"/>
      <c r="BC8" s="2"/>
      <c r="BD8" s="2"/>
    </row>
    <row r="9" spans="1:56" s="1421" customFormat="1" ht="18.75" customHeight="1" thickBot="1" x14ac:dyDescent="0.3">
      <c r="A9" s="2748" t="s">
        <v>161</v>
      </c>
      <c r="B9" s="2749"/>
      <c r="C9" s="1556">
        <f>SUM(C10:C22)</f>
        <v>19823201.632860001</v>
      </c>
      <c r="D9" s="1557">
        <f>SUM(D10:D22)</f>
        <v>20449487.930000003</v>
      </c>
      <c r="E9" s="723">
        <f>D9-C9</f>
        <v>626286.29714000225</v>
      </c>
      <c r="F9" s="723">
        <f>((D9/C9)-1)*100</f>
        <v>3.1593599698942487</v>
      </c>
      <c r="G9" s="209">
        <f>SUM(G10:G22)</f>
        <v>19823201.632860001</v>
      </c>
      <c r="H9" s="1557">
        <f>SUM(H10:H22)</f>
        <v>20115797.170000006</v>
      </c>
      <c r="I9" s="723">
        <f>H9-G9</f>
        <v>292595.53714000434</v>
      </c>
      <c r="J9" s="723">
        <f>((H9/G9)-1)*100</f>
        <v>1.4760256317777776</v>
      </c>
      <c r="K9" s="116">
        <f>SUM(K10:K22)</f>
        <v>19823201.632860001</v>
      </c>
      <c r="L9" s="1557">
        <f>SUM(L10:L22)</f>
        <v>22050351.109999999</v>
      </c>
      <c r="M9" s="723">
        <f>L9-K9</f>
        <v>2227149.4771399982</v>
      </c>
      <c r="N9" s="723">
        <f>((L9/K9)-1)*100</f>
        <v>11.235064438068143</v>
      </c>
      <c r="O9" s="116">
        <f>SUM(O10:O22)</f>
        <v>19826789.23581</v>
      </c>
      <c r="P9" s="1557">
        <f>SUM(P10:P22)</f>
        <v>0</v>
      </c>
      <c r="Q9" s="723">
        <f>P9-O9</f>
        <v>-19826789.23581</v>
      </c>
      <c r="R9" s="723">
        <f>((P9/O9)-1)*100</f>
        <v>-100</v>
      </c>
      <c r="S9" s="116">
        <f>SUM(S10:S22)</f>
        <v>20364011.103350002</v>
      </c>
      <c r="T9" s="1557">
        <f>SUM(T10:T22)</f>
        <v>0</v>
      </c>
      <c r="U9" s="723">
        <f>T9-S9</f>
        <v>-20364011.103350002</v>
      </c>
      <c r="V9" s="723">
        <f>((T9/S9)-1)*100</f>
        <v>-100</v>
      </c>
      <c r="W9" s="209">
        <f>SUM(W10:W22)</f>
        <v>20869232.444530003</v>
      </c>
      <c r="X9" s="1557">
        <f>SUM(X10:X22)</f>
        <v>0</v>
      </c>
      <c r="Y9" s="723">
        <f>X9-W9</f>
        <v>-20869232.444530003</v>
      </c>
      <c r="Z9" s="723">
        <f>((X9/W9)-1)*100</f>
        <v>-100</v>
      </c>
      <c r="AA9" s="116">
        <f>SUM(AA10:AA22)</f>
        <v>20896308.20239</v>
      </c>
      <c r="AB9" s="1557">
        <f>SUM(AB10:AB22)</f>
        <v>0</v>
      </c>
      <c r="AC9" s="723">
        <f>AB9-AA9</f>
        <v>-20896308.20239</v>
      </c>
      <c r="AD9" s="723">
        <f>((AB9/AA9)-1)*100</f>
        <v>-100</v>
      </c>
      <c r="AE9" s="209">
        <f>SUM(AE10:AE22)</f>
        <v>20991318.89421</v>
      </c>
      <c r="AF9" s="1557">
        <f>SUM(AF10:AF22)</f>
        <v>0</v>
      </c>
      <c r="AG9" s="723">
        <f>AF9-AE9</f>
        <v>-20991318.89421</v>
      </c>
      <c r="AH9" s="723">
        <f>((AF9/AE9)-1)*100</f>
        <v>-100</v>
      </c>
      <c r="AI9" s="209">
        <f>SUM(AI10:AI22)</f>
        <v>21052323.487920001</v>
      </c>
      <c r="AJ9" s="1557">
        <f>SUM(AJ10:AJ22)</f>
        <v>0</v>
      </c>
      <c r="AK9" s="723">
        <f>AJ9-AI9</f>
        <v>-21052323.487920001</v>
      </c>
      <c r="AL9" s="723">
        <f>((AJ9/AI9)-1)*100</f>
        <v>-100</v>
      </c>
      <c r="AM9" s="209">
        <f>SUM(AM10:AM22)</f>
        <v>20553769.73392</v>
      </c>
      <c r="AN9" s="1557">
        <f>SUM(AN10:AN22)</f>
        <v>0</v>
      </c>
      <c r="AO9" s="723">
        <f>AN9-AM9</f>
        <v>-20553769.73392</v>
      </c>
      <c r="AP9" s="723">
        <f>((AN9/AM9)-1)*100</f>
        <v>-100</v>
      </c>
      <c r="AQ9" s="209">
        <f>SUM(AQ10:AQ22)</f>
        <v>20586739.50178</v>
      </c>
      <c r="AR9" s="1557">
        <f>SUM(AR10:AR22)</f>
        <v>0</v>
      </c>
      <c r="AS9" s="723">
        <f>AR9-AQ9</f>
        <v>-20586739.50178</v>
      </c>
      <c r="AT9" s="723">
        <f>((AR9/AQ9)-1)*100</f>
        <v>-100</v>
      </c>
      <c r="AU9" s="209">
        <f>SUM(AU10:AU22)</f>
        <v>20615779.501809999</v>
      </c>
      <c r="AV9" s="1557">
        <f>SUM(AV10:AV22)</f>
        <v>0</v>
      </c>
      <c r="AW9" s="723">
        <f>AV9-AU9</f>
        <v>-20615779.501809999</v>
      </c>
      <c r="AX9" s="723">
        <f>((AV9/AU9)-1)*100</f>
        <v>-100</v>
      </c>
      <c r="AY9" s="209">
        <f t="shared" si="0"/>
        <v>245225877.00430006</v>
      </c>
      <c r="AZ9" s="1557">
        <f t="shared" si="0"/>
        <v>62615636.210000008</v>
      </c>
      <c r="BB9" s="550"/>
    </row>
    <row r="10" spans="1:56" s="1421" customFormat="1" ht="18.75" customHeight="1" thickBot="1" x14ac:dyDescent="0.3">
      <c r="A10" s="429">
        <v>51150</v>
      </c>
      <c r="B10" s="381" t="s">
        <v>3674</v>
      </c>
      <c r="C10" s="1558">
        <v>12000000</v>
      </c>
      <c r="D10" s="2011">
        <v>12487098.99</v>
      </c>
      <c r="E10" s="1559">
        <f>D10-C10</f>
        <v>487098.99000000022</v>
      </c>
      <c r="F10" s="1560">
        <f>((D10/C10)-1)*100</f>
        <v>4.0591582500000056</v>
      </c>
      <c r="G10" s="1569">
        <v>12000000</v>
      </c>
      <c r="H10" s="1570">
        <f>VLOOKUP(A10,'[1]r_balancete_sc 02-2022'!$1:$1048576,9,0)</f>
        <v>11933744.789999999</v>
      </c>
      <c r="I10" s="1559">
        <f>H10-G10</f>
        <v>-66255.210000000894</v>
      </c>
      <c r="J10" s="1560">
        <f>((H10/G10)-1)*100</f>
        <v>-0.55212675000000377</v>
      </c>
      <c r="K10" s="1569">
        <v>12000000</v>
      </c>
      <c r="L10" s="1608">
        <f>VLOOKUP(A10,'[2]bALANCETE ORÇAMENTO'!$1:$1048576,7,0)</f>
        <v>13828879.210000001</v>
      </c>
      <c r="M10" s="1559">
        <f>L10-K10</f>
        <v>1828879.2100000009</v>
      </c>
      <c r="N10" s="1560">
        <f>((L10/K10)-1)*100</f>
        <v>15.240660083333335</v>
      </c>
      <c r="O10" s="1607">
        <v>12000000</v>
      </c>
      <c r="P10" s="1608"/>
      <c r="Q10" s="1559">
        <f>P10-O10</f>
        <v>-12000000</v>
      </c>
      <c r="R10" s="1560">
        <f>((P10/O10)-1)*100</f>
        <v>-100</v>
      </c>
      <c r="S10" s="1560">
        <v>12500000</v>
      </c>
      <c r="T10" s="1609"/>
      <c r="U10" s="1559">
        <f>T10-S10</f>
        <v>-12500000</v>
      </c>
      <c r="V10" s="1560">
        <f>((T10/S10)-1)*100</f>
        <v>-100</v>
      </c>
      <c r="W10" s="1609">
        <v>13000000</v>
      </c>
      <c r="X10" s="1608"/>
      <c r="Y10" s="1559">
        <f>X10-W10</f>
        <v>-13000000</v>
      </c>
      <c r="Z10" s="1560">
        <f>((X10/W10)-1)*100</f>
        <v>-100</v>
      </c>
      <c r="AA10" s="1609">
        <v>13000000</v>
      </c>
      <c r="AB10" s="1608"/>
      <c r="AC10" s="1559">
        <f>AB10-AA10</f>
        <v>-13000000</v>
      </c>
      <c r="AD10" s="1560">
        <f>((AB10/AA10)-1)*100</f>
        <v>-100</v>
      </c>
      <c r="AE10" s="2340">
        <v>13000000</v>
      </c>
      <c r="AF10" s="2341"/>
      <c r="AG10" s="1559">
        <f>AF10-AE10</f>
        <v>-13000000</v>
      </c>
      <c r="AH10" s="1560">
        <f>((AF10/AE10)-1)*100</f>
        <v>-100</v>
      </c>
      <c r="AI10" s="1609">
        <v>13000000</v>
      </c>
      <c r="AJ10" s="1608"/>
      <c r="AK10" s="1559">
        <f>AJ10-AI10</f>
        <v>-13000000</v>
      </c>
      <c r="AL10" s="1560">
        <f>((AJ10/AI10)-1)*100</f>
        <v>-100</v>
      </c>
      <c r="AM10" s="1609">
        <v>12500000</v>
      </c>
      <c r="AN10" s="1608"/>
      <c r="AO10" s="1559">
        <f>AN10-AM10</f>
        <v>-12500000</v>
      </c>
      <c r="AP10" s="1560">
        <f>((AN10/AM10)-1)*100</f>
        <v>-100</v>
      </c>
      <c r="AQ10" s="1609">
        <v>12500000</v>
      </c>
      <c r="AR10" s="1608"/>
      <c r="AS10" s="1559">
        <f>AR10-AQ10</f>
        <v>-12500000</v>
      </c>
      <c r="AT10" s="1560">
        <f>((AR10/AQ10)-1)*100</f>
        <v>-100</v>
      </c>
      <c r="AU10" s="1609">
        <v>12500000</v>
      </c>
      <c r="AV10" s="1608"/>
      <c r="AW10" s="1559">
        <f>AV10-AU10</f>
        <v>-12500000</v>
      </c>
      <c r="AX10" s="1560">
        <f>((AV10/AU10)-1)*100</f>
        <v>-100</v>
      </c>
      <c r="AY10" s="1571">
        <f t="shared" si="0"/>
        <v>150000000</v>
      </c>
      <c r="AZ10" s="2197">
        <f t="shared" si="0"/>
        <v>38249722.990000002</v>
      </c>
      <c r="BB10" s="12"/>
    </row>
    <row r="11" spans="1:56" s="1421" customFormat="1" ht="18.75" customHeight="1" x14ac:dyDescent="0.25">
      <c r="A11" s="140">
        <v>4862</v>
      </c>
      <c r="B11" s="331" t="s">
        <v>338</v>
      </c>
      <c r="C11" s="2750">
        <v>4281052.10286</v>
      </c>
      <c r="D11" s="2031">
        <f>17202867.8-D10</f>
        <v>4715768.8100000005</v>
      </c>
      <c r="E11" s="2746">
        <f>D11+D12-C11</f>
        <v>537933.4871400008</v>
      </c>
      <c r="F11" s="2734">
        <f>((SUM(D11:D12)/C11)-1)*100</f>
        <v>12.56545059988008</v>
      </c>
      <c r="G11" s="2744">
        <v>4281052.10286</v>
      </c>
      <c r="H11" s="2108">
        <f>VLOOKUP(A11,'[1]r_balancete_sc 02-2022'!$1:$1048576,9,0)-H10</f>
        <v>4561237.2600000016</v>
      </c>
      <c r="I11" s="2746">
        <f>H11+H12-G11</f>
        <v>475597.90714000165</v>
      </c>
      <c r="J11" s="2734">
        <f>((SUM(H11:H12)/G11)-1)*100</f>
        <v>11.109369746335807</v>
      </c>
      <c r="K11" s="2744">
        <v>4281052.10286</v>
      </c>
      <c r="L11" s="1561">
        <f>VLOOKUP(A11,'[2]bALANCETE ORÇAMENTO'!$1:$1048576,7,0)-L10</f>
        <v>4835515.1400000006</v>
      </c>
      <c r="M11" s="2746">
        <f>L11+L12-K11</f>
        <v>664126.92714000028</v>
      </c>
      <c r="N11" s="2734">
        <f>((SUM(L11:L12)/K11)-1)*100</f>
        <v>15.513170855741819</v>
      </c>
      <c r="O11" s="2744">
        <v>4284639.7058100002</v>
      </c>
      <c r="P11" s="1561"/>
      <c r="Q11" s="2746">
        <f>P11+P12-O11</f>
        <v>-4284639.7058100002</v>
      </c>
      <c r="R11" s="2734">
        <f>((SUM(P11:P12)/O11)-1)*100</f>
        <v>-100</v>
      </c>
      <c r="S11" s="2744">
        <v>4321861.5733500002</v>
      </c>
      <c r="T11" s="1561"/>
      <c r="U11" s="2746">
        <f>T11+T12-S11</f>
        <v>-4321861.5733500002</v>
      </c>
      <c r="V11" s="2734">
        <f>((SUM(T11:T12)/S11)-1)*100</f>
        <v>-100</v>
      </c>
      <c r="W11" s="2744">
        <v>4327082.9145299997</v>
      </c>
      <c r="X11" s="1561"/>
      <c r="Y11" s="2746">
        <f>X11+X12-W11</f>
        <v>-4327082.9145299997</v>
      </c>
      <c r="Z11" s="2734">
        <f>((SUM(X11:X12)/W11)-1)*100</f>
        <v>-100</v>
      </c>
      <c r="AA11" s="2744">
        <v>4354158.672389999</v>
      </c>
      <c r="AB11" s="1561"/>
      <c r="AC11" s="2746">
        <f>AB11+AB12-AA11</f>
        <v>-4354158.672389999</v>
      </c>
      <c r="AD11" s="2734">
        <f>((SUM(AB11:AB12)/AA11)-1)*100</f>
        <v>-100</v>
      </c>
      <c r="AE11" s="2744">
        <v>4449169.3642099993</v>
      </c>
      <c r="AF11" s="1561"/>
      <c r="AG11" s="2746">
        <f>AF11+AF12-AE11</f>
        <v>-4449169.3642099993</v>
      </c>
      <c r="AH11" s="2734">
        <f>((SUM(AF11:AF12)/AE11)-1)*100</f>
        <v>-100</v>
      </c>
      <c r="AI11" s="2744">
        <v>4510173.957919999</v>
      </c>
      <c r="AJ11" s="1561"/>
      <c r="AK11" s="2746">
        <f>AJ11+AJ12-AI11</f>
        <v>-4510173.957919999</v>
      </c>
      <c r="AL11" s="2734">
        <f>((SUM(AJ11:AJ12)/AI11)-1)*100</f>
        <v>-100</v>
      </c>
      <c r="AM11" s="2744">
        <v>4511620.2039199993</v>
      </c>
      <c r="AN11" s="1561"/>
      <c r="AO11" s="2746">
        <f>AN11+AN12-AM11</f>
        <v>-4511620.2039199993</v>
      </c>
      <c r="AP11" s="2734">
        <f>((SUM(AN11:AN12)/AM11)-1)*100</f>
        <v>-100</v>
      </c>
      <c r="AQ11" s="2744">
        <v>4544589.9717799993</v>
      </c>
      <c r="AR11" s="1561"/>
      <c r="AS11" s="2746">
        <f>AR11+AR12-AQ11</f>
        <v>-4544589.9717799993</v>
      </c>
      <c r="AT11" s="2734">
        <f>((SUM(AR11:AR12)/AQ11)-1)*100</f>
        <v>-100</v>
      </c>
      <c r="AU11" s="2744">
        <v>4573629.9718099991</v>
      </c>
      <c r="AV11" s="1561"/>
      <c r="AW11" s="2761">
        <f>AV11+AV12-AU11</f>
        <v>-4573629.9718099991</v>
      </c>
      <c r="AX11" s="2734">
        <f>((SUM(AV11:AV12)/AU11)-1)*100</f>
        <v>-100</v>
      </c>
      <c r="AY11" s="1558">
        <f t="shared" si="0"/>
        <v>52720082.644299999</v>
      </c>
      <c r="AZ11" s="1561">
        <f t="shared" si="0"/>
        <v>14112521.210000003</v>
      </c>
      <c r="BB11" s="1174"/>
      <c r="BC11" s="118"/>
    </row>
    <row r="12" spans="1:56" s="1421" customFormat="1" ht="18.75" customHeight="1" thickBot="1" x14ac:dyDescent="0.3">
      <c r="A12" s="1554">
        <v>53065</v>
      </c>
      <c r="B12" s="384" t="s">
        <v>3850</v>
      </c>
      <c r="C12" s="2751"/>
      <c r="D12" s="2094">
        <v>103216.78</v>
      </c>
      <c r="E12" s="2747"/>
      <c r="F12" s="2735"/>
      <c r="G12" s="2745"/>
      <c r="H12" s="2109">
        <f>VLOOKUP(A12,'[1]r_balancete_sc 02-2022'!$1:$1048576,9,0)</f>
        <v>195412.75</v>
      </c>
      <c r="I12" s="2747"/>
      <c r="J12" s="2735"/>
      <c r="K12" s="2745"/>
      <c r="L12" s="1562">
        <f>VLOOKUP(A12,'[2]bALANCETE ORÇAMENTO'!$1:$1048576,7,0)</f>
        <v>109663.89</v>
      </c>
      <c r="M12" s="2747"/>
      <c r="N12" s="2735"/>
      <c r="O12" s="2745"/>
      <c r="P12" s="1562"/>
      <c r="Q12" s="2747"/>
      <c r="R12" s="2735"/>
      <c r="S12" s="2745"/>
      <c r="T12" s="1562"/>
      <c r="U12" s="2747"/>
      <c r="V12" s="2735"/>
      <c r="W12" s="2745"/>
      <c r="X12" s="1562"/>
      <c r="Y12" s="2747"/>
      <c r="Z12" s="2735"/>
      <c r="AA12" s="2745"/>
      <c r="AB12" s="1562"/>
      <c r="AC12" s="2747"/>
      <c r="AD12" s="2735"/>
      <c r="AE12" s="2745"/>
      <c r="AF12" s="1562"/>
      <c r="AG12" s="2747"/>
      <c r="AH12" s="2735"/>
      <c r="AI12" s="2745"/>
      <c r="AJ12" s="1562"/>
      <c r="AK12" s="2747"/>
      <c r="AL12" s="2735"/>
      <c r="AM12" s="2745"/>
      <c r="AN12" s="1562"/>
      <c r="AO12" s="2747"/>
      <c r="AP12" s="2735"/>
      <c r="AQ12" s="2745"/>
      <c r="AR12" s="1562"/>
      <c r="AS12" s="2747"/>
      <c r="AT12" s="2735"/>
      <c r="AU12" s="2745"/>
      <c r="AV12" s="1562"/>
      <c r="AW12" s="2762"/>
      <c r="AX12" s="2735"/>
      <c r="AY12" s="2188">
        <f t="shared" si="0"/>
        <v>0</v>
      </c>
      <c r="AZ12" s="1562">
        <f t="shared" si="0"/>
        <v>408293.42000000004</v>
      </c>
      <c r="BB12" s="1174"/>
      <c r="BC12" s="118"/>
    </row>
    <row r="13" spans="1:56" s="1421" customFormat="1" ht="18.75" customHeight="1" thickBot="1" x14ac:dyDescent="0.3">
      <c r="A13" s="1555">
        <v>4882</v>
      </c>
      <c r="B13" s="383" t="s">
        <v>8</v>
      </c>
      <c r="C13" s="1563">
        <v>850000</v>
      </c>
      <c r="D13" s="2012">
        <v>937561.31</v>
      </c>
      <c r="E13" s="1564">
        <f>D13-C13</f>
        <v>87561.310000000056</v>
      </c>
      <c r="F13" s="1560">
        <f>((D13/C13)-1)*100</f>
        <v>10.301330588235302</v>
      </c>
      <c r="G13" s="1569">
        <f>C13</f>
        <v>850000</v>
      </c>
      <c r="H13" s="1570">
        <f>VLOOKUP(A13,'[1]r_balancete_sc 02-2022'!$1:$1048576,9,0)</f>
        <v>873248.6</v>
      </c>
      <c r="I13" s="1564">
        <f>H13-G13</f>
        <v>23248.599999999977</v>
      </c>
      <c r="J13" s="1560">
        <f>((H13/G13)-1)*100</f>
        <v>2.7351294117647029</v>
      </c>
      <c r="K13" s="1559">
        <f>G13</f>
        <v>850000</v>
      </c>
      <c r="L13" s="1611">
        <f>VLOOKUP(A13,'[2]bALANCETE ORÇAMENTO'!$1:$1048576,7,0)</f>
        <v>993366.22</v>
      </c>
      <c r="M13" s="1564">
        <f>L13-K13</f>
        <v>143366.21999999997</v>
      </c>
      <c r="N13" s="1560">
        <f>((L13/K13)-1)*100</f>
        <v>16.86661411764705</v>
      </c>
      <c r="O13" s="1610">
        <f>K13</f>
        <v>850000</v>
      </c>
      <c r="P13" s="1611"/>
      <c r="Q13" s="1564">
        <f>P13-O13</f>
        <v>-850000</v>
      </c>
      <c r="R13" s="1560">
        <f>((P13/O13)-1)*100</f>
        <v>-100</v>
      </c>
      <c r="S13" s="1610">
        <f>O13</f>
        <v>850000</v>
      </c>
      <c r="T13" s="1611"/>
      <c r="U13" s="1564">
        <f>T13-S13</f>
        <v>-850000</v>
      </c>
      <c r="V13" s="1560">
        <f>((T13/S13)-1)*100</f>
        <v>-100</v>
      </c>
      <c r="W13" s="1610">
        <f>S13</f>
        <v>850000</v>
      </c>
      <c r="X13" s="1611"/>
      <c r="Y13" s="1564">
        <f>X13-W13</f>
        <v>-850000</v>
      </c>
      <c r="Z13" s="1560">
        <f>((X13/W13)-1)*100</f>
        <v>-100</v>
      </c>
      <c r="AA13" s="1610">
        <f>W13</f>
        <v>850000</v>
      </c>
      <c r="AB13" s="1611"/>
      <c r="AC13" s="1564">
        <f>AB13-AA13</f>
        <v>-850000</v>
      </c>
      <c r="AD13" s="1560">
        <f>((AB13/AA13)-1)*100</f>
        <v>-100</v>
      </c>
      <c r="AE13" s="1610">
        <f>AA13</f>
        <v>850000</v>
      </c>
      <c r="AF13" s="1611"/>
      <c r="AG13" s="1564">
        <f>AF13-AE13</f>
        <v>-850000</v>
      </c>
      <c r="AH13" s="1560">
        <f>((AF13/AE13)-1)*100</f>
        <v>-100</v>
      </c>
      <c r="AI13" s="1610">
        <f>AE13</f>
        <v>850000</v>
      </c>
      <c r="AJ13" s="1611"/>
      <c r="AK13" s="1564">
        <f>AJ13-AI13</f>
        <v>-850000</v>
      </c>
      <c r="AL13" s="1560">
        <f>((AJ13/AI13)-1)*100</f>
        <v>-100</v>
      </c>
      <c r="AM13" s="1610">
        <f>AI13</f>
        <v>850000</v>
      </c>
      <c r="AN13" s="1611"/>
      <c r="AO13" s="1564">
        <f>AN13-AM13</f>
        <v>-850000</v>
      </c>
      <c r="AP13" s="1560">
        <f>((AN13/AM13)-1)*100</f>
        <v>-100</v>
      </c>
      <c r="AQ13" s="1610">
        <f>AM13</f>
        <v>850000</v>
      </c>
      <c r="AR13" s="1611"/>
      <c r="AS13" s="1564">
        <f>AR13-AQ13</f>
        <v>-850000</v>
      </c>
      <c r="AT13" s="1560">
        <f>((AR13/AQ13)-1)*100</f>
        <v>-100</v>
      </c>
      <c r="AU13" s="1610">
        <f t="shared" ref="AU13:AU19" si="1">AQ13</f>
        <v>850000</v>
      </c>
      <c r="AV13" s="1611"/>
      <c r="AW13" s="1564">
        <f>AV13-AU13</f>
        <v>-850000</v>
      </c>
      <c r="AX13" s="1560">
        <f>((AV13/AU13)-1)*100</f>
        <v>-100</v>
      </c>
      <c r="AY13" s="1563">
        <f t="shared" si="0"/>
        <v>10200000</v>
      </c>
      <c r="AZ13" s="1976">
        <f t="shared" si="0"/>
        <v>2804176.13</v>
      </c>
      <c r="BB13" s="12"/>
    </row>
    <row r="14" spans="1:56" s="1421" customFormat="1" ht="18.75" customHeight="1" x14ac:dyDescent="0.25">
      <c r="A14" s="140">
        <v>4887</v>
      </c>
      <c r="B14" s="331" t="s">
        <v>337</v>
      </c>
      <c r="C14" s="2752">
        <v>2292149.5299999998</v>
      </c>
      <c r="D14" s="2103">
        <v>1673663.12</v>
      </c>
      <c r="E14" s="2755">
        <f>SUM(D14:D18)-C14</f>
        <v>-268859.56999999983</v>
      </c>
      <c r="F14" s="2758">
        <f>((SUM(D14:D18)/C14)-1)*100</f>
        <v>-11.729582493686607</v>
      </c>
      <c r="G14" s="2724">
        <f>C14</f>
        <v>2292149.5299999998</v>
      </c>
      <c r="H14" s="2069">
        <f>VLOOKUP(A14,'[1]r_balancete_sc 02-2022'!$1:$1048576,9,0)</f>
        <v>1032726.78</v>
      </c>
      <c r="I14" s="2755">
        <f>SUM(H14:H18)-G14</f>
        <v>-48109.519999999553</v>
      </c>
      <c r="J14" s="2758">
        <f>((SUM(H14:H18)/G14)-1)*100</f>
        <v>-2.0988822662018736</v>
      </c>
      <c r="K14" s="2724">
        <f>G14</f>
        <v>2292149.5299999998</v>
      </c>
      <c r="L14" s="1565">
        <f>VLOOKUP(A14,'[2]bALANCETE ORÇAMENTO'!$1:$1048576,7,0)</f>
        <v>1118482.3899999999</v>
      </c>
      <c r="M14" s="2755">
        <f>SUM(L14:L18)-K14</f>
        <v>-505974.26</v>
      </c>
      <c r="N14" s="2758">
        <f>((SUM(L14:L18)/K14)-1)*100</f>
        <v>-22.074225672353933</v>
      </c>
      <c r="O14" s="2724">
        <f>K14</f>
        <v>2292149.5299999998</v>
      </c>
      <c r="P14" s="1565"/>
      <c r="Q14" s="2755">
        <f>SUM(P14:P18)-O14</f>
        <v>-2292149.5299999998</v>
      </c>
      <c r="R14" s="2758">
        <f>((SUM(P14:P18)/O14)-1)*100</f>
        <v>-100</v>
      </c>
      <c r="S14" s="2724">
        <f>O14</f>
        <v>2292149.5299999998</v>
      </c>
      <c r="T14" s="1565"/>
      <c r="U14" s="2755">
        <f>SUM(T14:T18)-S14</f>
        <v>-2292149.5299999998</v>
      </c>
      <c r="V14" s="2758">
        <f>((SUM(T14:T18)/S14)-1)*100</f>
        <v>-100</v>
      </c>
      <c r="W14" s="2724">
        <f>S14</f>
        <v>2292149.5299999998</v>
      </c>
      <c r="X14" s="1565"/>
      <c r="Y14" s="2755">
        <f>SUM(X14:X18)-W14</f>
        <v>-2292149.5299999998</v>
      </c>
      <c r="Z14" s="2758">
        <f>((SUM(X14:X18)/W14)-1)*100</f>
        <v>-100</v>
      </c>
      <c r="AA14" s="2724">
        <f>W14</f>
        <v>2292149.5299999998</v>
      </c>
      <c r="AB14" s="1565"/>
      <c r="AC14" s="2755">
        <f>SUM(AB14:AB18)-AA14</f>
        <v>-2292149.5299999998</v>
      </c>
      <c r="AD14" s="2758">
        <f>((SUM(AB14:AB18)/AA14)-1)*100</f>
        <v>-100</v>
      </c>
      <c r="AE14" s="2724">
        <f>AA14</f>
        <v>2292149.5299999998</v>
      </c>
      <c r="AF14" s="1565"/>
      <c r="AG14" s="2755">
        <f>SUM(AF14:AF18)-AE14</f>
        <v>-2292149.5299999998</v>
      </c>
      <c r="AH14" s="2758">
        <f>((SUM(AF14:AF18)/AE14)-1)*100</f>
        <v>-100</v>
      </c>
      <c r="AI14" s="2724">
        <f>AE14</f>
        <v>2292149.5299999998</v>
      </c>
      <c r="AJ14" s="1565"/>
      <c r="AK14" s="2755">
        <f>SUM(AJ14:AJ18)-AI14</f>
        <v>-2292149.5299999998</v>
      </c>
      <c r="AL14" s="2758">
        <f>((SUM(AJ14:AJ18)/AI14)-1)*100</f>
        <v>-100</v>
      </c>
      <c r="AM14" s="2724">
        <f>AI14</f>
        <v>2292149.5299999998</v>
      </c>
      <c r="AN14" s="1565"/>
      <c r="AO14" s="2755">
        <f>SUM(AN14:AN18)-AM14</f>
        <v>-2292149.5299999998</v>
      </c>
      <c r="AP14" s="2758">
        <f>((SUM(AN14:AN18)/AM14)-1)*100</f>
        <v>-100</v>
      </c>
      <c r="AQ14" s="2724">
        <f>AM14</f>
        <v>2292149.5299999998</v>
      </c>
      <c r="AR14" s="1565"/>
      <c r="AS14" s="2755">
        <f>SUM(AR14:AR18)-AQ14</f>
        <v>-2292149.5299999998</v>
      </c>
      <c r="AT14" s="2758">
        <f>((SUM(AR14:AR18)/AQ14)-1)*100</f>
        <v>-100</v>
      </c>
      <c r="AU14" s="2724">
        <f t="shared" si="1"/>
        <v>2292149.5299999998</v>
      </c>
      <c r="AV14" s="1565"/>
      <c r="AW14" s="2773">
        <f>SUM(AV14:AV18)-AU14</f>
        <v>-2292149.5299999998</v>
      </c>
      <c r="AX14" s="2758">
        <f>((SUM(AV14:AV18)/AU14)-1)*100</f>
        <v>-100</v>
      </c>
      <c r="AY14" s="2724">
        <f t="shared" si="0"/>
        <v>27505794.360000003</v>
      </c>
      <c r="AZ14" s="2189">
        <f t="shared" si="0"/>
        <v>3824872.29</v>
      </c>
      <c r="BB14" s="550"/>
    </row>
    <row r="15" spans="1:56" s="1421" customFormat="1" ht="18.75" customHeight="1" x14ac:dyDescent="0.25">
      <c r="A15" s="1552">
        <v>4888</v>
      </c>
      <c r="B15" s="1424" t="s">
        <v>3852</v>
      </c>
      <c r="C15" s="2753"/>
      <c r="D15" s="2104">
        <v>944410.15</v>
      </c>
      <c r="E15" s="2756"/>
      <c r="F15" s="2759"/>
      <c r="G15" s="2725"/>
      <c r="H15" s="2073">
        <f>VLOOKUP(A15,'[1]r_balancete_sc 02-2022'!$1:$1048576,9,0)</f>
        <v>977746.4</v>
      </c>
      <c r="I15" s="2756"/>
      <c r="J15" s="2759"/>
      <c r="K15" s="2725"/>
      <c r="L15" s="2058">
        <f>VLOOKUP(A15,'[2]bALANCETE ORÇAMENTO'!$1:$1048576,7,0)</f>
        <v>958084.36</v>
      </c>
      <c r="M15" s="2756"/>
      <c r="N15" s="2759"/>
      <c r="O15" s="2725"/>
      <c r="P15" s="2058"/>
      <c r="Q15" s="2756"/>
      <c r="R15" s="2759"/>
      <c r="S15" s="2725"/>
      <c r="T15" s="2058"/>
      <c r="U15" s="2756"/>
      <c r="V15" s="2759"/>
      <c r="W15" s="2725"/>
      <c r="X15" s="2058"/>
      <c r="Y15" s="2756"/>
      <c r="Z15" s="2759"/>
      <c r="AA15" s="2725"/>
      <c r="AB15" s="2058"/>
      <c r="AC15" s="2756"/>
      <c r="AD15" s="2759"/>
      <c r="AE15" s="2725"/>
      <c r="AF15" s="2058"/>
      <c r="AG15" s="2756"/>
      <c r="AH15" s="2759"/>
      <c r="AI15" s="2725"/>
      <c r="AJ15" s="2058"/>
      <c r="AK15" s="2756"/>
      <c r="AL15" s="2759"/>
      <c r="AM15" s="2725"/>
      <c r="AN15" s="2058"/>
      <c r="AO15" s="2756"/>
      <c r="AP15" s="2759"/>
      <c r="AQ15" s="2725"/>
      <c r="AR15" s="2058"/>
      <c r="AS15" s="2756"/>
      <c r="AT15" s="2759"/>
      <c r="AU15" s="2725"/>
      <c r="AV15" s="2058"/>
      <c r="AW15" s="2774"/>
      <c r="AX15" s="2759"/>
      <c r="AY15" s="2725"/>
      <c r="AZ15" s="2081">
        <f t="shared" ref="AZ15:AZ30" si="2">D15+H15+L15+P15+T15+X15+AB15+AF15+AJ15+AN15+AR15+AV15</f>
        <v>2880240.91</v>
      </c>
      <c r="BB15" s="550"/>
    </row>
    <row r="16" spans="1:56" s="1421" customFormat="1" ht="18.75" customHeight="1" x14ac:dyDescent="0.25">
      <c r="A16" s="1552">
        <v>53330</v>
      </c>
      <c r="B16" s="1424" t="s">
        <v>3853</v>
      </c>
      <c r="C16" s="2753"/>
      <c r="D16" s="2104">
        <v>0</v>
      </c>
      <c r="E16" s="2756"/>
      <c r="F16" s="2759"/>
      <c r="G16" s="2725"/>
      <c r="H16" s="2071">
        <f>VLOOKUP(A16,'[1]r_balancete_sc 02-2022'!$1:$1048576,9,0)</f>
        <v>528221.52</v>
      </c>
      <c r="I16" s="2756"/>
      <c r="J16" s="2759"/>
      <c r="K16" s="2725"/>
      <c r="L16" s="2058">
        <f>VLOOKUP(A16,'[2]bALANCETE ORÇAMENTO'!$1:$1048576,7,0)</f>
        <v>458830.55</v>
      </c>
      <c r="M16" s="2756"/>
      <c r="N16" s="2759"/>
      <c r="O16" s="2725"/>
      <c r="P16" s="2058"/>
      <c r="Q16" s="2756"/>
      <c r="R16" s="2759"/>
      <c r="S16" s="2725"/>
      <c r="T16" s="2058"/>
      <c r="U16" s="2756"/>
      <c r="V16" s="2759"/>
      <c r="W16" s="2725"/>
      <c r="X16" s="2058"/>
      <c r="Y16" s="2756"/>
      <c r="Z16" s="2759"/>
      <c r="AA16" s="2725"/>
      <c r="AB16" s="2058"/>
      <c r="AC16" s="2756"/>
      <c r="AD16" s="2759"/>
      <c r="AE16" s="2725"/>
      <c r="AF16" s="2058"/>
      <c r="AG16" s="2756"/>
      <c r="AH16" s="2759"/>
      <c r="AI16" s="2725"/>
      <c r="AJ16" s="2058"/>
      <c r="AK16" s="2756"/>
      <c r="AL16" s="2759"/>
      <c r="AM16" s="2725"/>
      <c r="AN16" s="2058"/>
      <c r="AO16" s="2756"/>
      <c r="AP16" s="2759"/>
      <c r="AQ16" s="2725"/>
      <c r="AR16" s="2058"/>
      <c r="AS16" s="2756"/>
      <c r="AT16" s="2759"/>
      <c r="AU16" s="2725"/>
      <c r="AV16" s="2058"/>
      <c r="AW16" s="2774"/>
      <c r="AX16" s="2759"/>
      <c r="AY16" s="2725"/>
      <c r="AZ16" s="2081">
        <f t="shared" si="2"/>
        <v>987052.07000000007</v>
      </c>
      <c r="BB16" s="550"/>
    </row>
    <row r="17" spans="1:55" s="1421" customFormat="1" ht="18.75" customHeight="1" x14ac:dyDescent="0.25">
      <c r="A17" s="1552">
        <v>4889</v>
      </c>
      <c r="B17" s="1424" t="s">
        <v>3854</v>
      </c>
      <c r="C17" s="2753"/>
      <c r="D17" s="1610">
        <v>-594783.31000000006</v>
      </c>
      <c r="E17" s="2756"/>
      <c r="F17" s="2759"/>
      <c r="G17" s="2725"/>
      <c r="H17" s="2074">
        <f>VLOOKUP(A17,'[1]r_balancete_sc 02-2022'!$1:$1048576,9,0)</f>
        <v>-531769.38</v>
      </c>
      <c r="I17" s="2756"/>
      <c r="J17" s="2759"/>
      <c r="K17" s="2725"/>
      <c r="L17" s="2058">
        <f>VLOOKUP(A17,'[2]bALANCETE ORÇAMENTO'!$1:$1048576,7,0)</f>
        <v>-512107.34</v>
      </c>
      <c r="M17" s="2756"/>
      <c r="N17" s="2759"/>
      <c r="O17" s="2725"/>
      <c r="P17" s="2058"/>
      <c r="Q17" s="2756"/>
      <c r="R17" s="2759"/>
      <c r="S17" s="2725"/>
      <c r="T17" s="2058"/>
      <c r="U17" s="2756"/>
      <c r="V17" s="2759"/>
      <c r="W17" s="2725"/>
      <c r="X17" s="2058"/>
      <c r="Y17" s="2756"/>
      <c r="Z17" s="2759"/>
      <c r="AA17" s="2725"/>
      <c r="AB17" s="2058"/>
      <c r="AC17" s="2756"/>
      <c r="AD17" s="2759"/>
      <c r="AE17" s="2725"/>
      <c r="AF17" s="2058"/>
      <c r="AG17" s="2756"/>
      <c r="AH17" s="2759"/>
      <c r="AI17" s="2725"/>
      <c r="AJ17" s="2058"/>
      <c r="AK17" s="2756"/>
      <c r="AL17" s="2759"/>
      <c r="AM17" s="2725"/>
      <c r="AN17" s="2058"/>
      <c r="AO17" s="2756"/>
      <c r="AP17" s="2759"/>
      <c r="AQ17" s="2725"/>
      <c r="AR17" s="2058"/>
      <c r="AS17" s="2756"/>
      <c r="AT17" s="2759"/>
      <c r="AU17" s="2725"/>
      <c r="AV17" s="2058"/>
      <c r="AW17" s="2774"/>
      <c r="AX17" s="2759"/>
      <c r="AY17" s="2725"/>
      <c r="AZ17" s="2081">
        <f t="shared" si="2"/>
        <v>-1638660.03</v>
      </c>
      <c r="BB17" s="550"/>
    </row>
    <row r="18" spans="1:55" s="1421" customFormat="1" ht="18.75" customHeight="1" thickBot="1" x14ac:dyDescent="0.3">
      <c r="A18" s="1554">
        <v>54814</v>
      </c>
      <c r="B18" s="384" t="s">
        <v>3898</v>
      </c>
      <c r="C18" s="2754"/>
      <c r="D18" s="2105">
        <v>0</v>
      </c>
      <c r="E18" s="2757"/>
      <c r="F18" s="2760"/>
      <c r="G18" s="2726"/>
      <c r="H18" s="2072">
        <f>VLOOKUP(A18,'[1]r_balancete_sc 02-2022'!$1:$1048576,9,0)</f>
        <v>237114.69</v>
      </c>
      <c r="I18" s="2757"/>
      <c r="J18" s="2760"/>
      <c r="K18" s="2726"/>
      <c r="L18" s="2059">
        <f>VLOOKUP(A18,'[2]bALANCETE ORÇAMENTO'!$1:$1048576,7,0)</f>
        <v>-237114.69</v>
      </c>
      <c r="M18" s="2757"/>
      <c r="N18" s="2760"/>
      <c r="O18" s="2726"/>
      <c r="P18" s="2059"/>
      <c r="Q18" s="2757"/>
      <c r="R18" s="2760"/>
      <c r="S18" s="2726"/>
      <c r="T18" s="2059"/>
      <c r="U18" s="2757"/>
      <c r="V18" s="2760"/>
      <c r="W18" s="2726"/>
      <c r="X18" s="2059"/>
      <c r="Y18" s="2757"/>
      <c r="Z18" s="2760"/>
      <c r="AA18" s="2726"/>
      <c r="AB18" s="2059"/>
      <c r="AC18" s="2757"/>
      <c r="AD18" s="2760"/>
      <c r="AE18" s="2726"/>
      <c r="AF18" s="2059"/>
      <c r="AG18" s="2757"/>
      <c r="AH18" s="2760"/>
      <c r="AI18" s="2726"/>
      <c r="AJ18" s="2059"/>
      <c r="AK18" s="2757"/>
      <c r="AL18" s="2760"/>
      <c r="AM18" s="2726"/>
      <c r="AN18" s="2059"/>
      <c r="AO18" s="2757"/>
      <c r="AP18" s="2760"/>
      <c r="AQ18" s="2726"/>
      <c r="AR18" s="2059"/>
      <c r="AS18" s="2757"/>
      <c r="AT18" s="2760"/>
      <c r="AU18" s="2726"/>
      <c r="AV18" s="2059"/>
      <c r="AW18" s="2775"/>
      <c r="AX18" s="2760"/>
      <c r="AY18" s="2726"/>
      <c r="AZ18" s="1672">
        <f t="shared" si="2"/>
        <v>0</v>
      </c>
      <c r="BB18" s="550"/>
    </row>
    <row r="19" spans="1:55" s="1421" customFormat="1" ht="18.75" customHeight="1" x14ac:dyDescent="0.25">
      <c r="A19" s="1555">
        <v>53295</v>
      </c>
      <c r="B19" s="332" t="s">
        <v>7</v>
      </c>
      <c r="C19" s="2763">
        <v>400000</v>
      </c>
      <c r="D19" s="2099">
        <v>20957.55</v>
      </c>
      <c r="E19" s="2746">
        <f>SUM(D19:D22)-C19</f>
        <v>-217447.92</v>
      </c>
      <c r="F19" s="2767">
        <f>((SUM(D19:D22)/C19)-1)*100</f>
        <v>-54.36198000000001</v>
      </c>
      <c r="G19" s="2770">
        <f>C19</f>
        <v>400000</v>
      </c>
      <c r="H19" s="1565">
        <f>VLOOKUP(A19,'[1]r_balancete_sc 02-2022'!$1:$1048576,9,0)</f>
        <v>127879.07</v>
      </c>
      <c r="I19" s="2746">
        <f>SUM(H19:H22)-G19</f>
        <v>-91886.239999999991</v>
      </c>
      <c r="J19" s="2767">
        <f>((SUM(H19:H22)/G19)-1)*100</f>
        <v>-22.971560000000004</v>
      </c>
      <c r="K19" s="2770">
        <f>G19</f>
        <v>400000</v>
      </c>
      <c r="L19" s="1565">
        <f>VLOOKUP(A19,'[2]bALANCETE ORÇAMENTO'!$1:$1048576,7,0)</f>
        <v>110533.56</v>
      </c>
      <c r="M19" s="2746">
        <f>SUM(L19:L22)-K19</f>
        <v>96751.38</v>
      </c>
      <c r="N19" s="2767">
        <f>((SUM(L19:L22)/K19)-1)*100</f>
        <v>24.187844999999996</v>
      </c>
      <c r="O19" s="2770">
        <f>K19</f>
        <v>400000</v>
      </c>
      <c r="P19" s="1565"/>
      <c r="Q19" s="2746">
        <f>SUM(P19:P22)-O19</f>
        <v>-400000</v>
      </c>
      <c r="R19" s="2767">
        <f>((SUM(P19:P22)/O19)-1)*100</f>
        <v>-100</v>
      </c>
      <c r="S19" s="2770">
        <f>O19</f>
        <v>400000</v>
      </c>
      <c r="T19" s="1565"/>
      <c r="U19" s="2746">
        <f>SUM(T19:T22)-S19</f>
        <v>-400000</v>
      </c>
      <c r="V19" s="2767">
        <f>((SUM(T19:T22)/S19)-1)*100</f>
        <v>-100</v>
      </c>
      <c r="W19" s="2770">
        <f>S19</f>
        <v>400000</v>
      </c>
      <c r="X19" s="1565"/>
      <c r="Y19" s="2746">
        <f>SUM(X19:X22)-W19</f>
        <v>-400000</v>
      </c>
      <c r="Z19" s="2767">
        <f>((SUM(X19:X22)/W19)-1)*100</f>
        <v>-100</v>
      </c>
      <c r="AA19" s="2770">
        <f>W19</f>
        <v>400000</v>
      </c>
      <c r="AB19" s="1565"/>
      <c r="AC19" s="2746">
        <f>SUM(AB19:AB22)-AA19</f>
        <v>-400000</v>
      </c>
      <c r="AD19" s="2767">
        <f>((SUM(AB19:AB22)/AA19)-1)*100</f>
        <v>-100</v>
      </c>
      <c r="AE19" s="2770">
        <f>AA19</f>
        <v>400000</v>
      </c>
      <c r="AF19" s="1565"/>
      <c r="AG19" s="2746">
        <f>SUM(AF19:AF22)-AE19</f>
        <v>-400000</v>
      </c>
      <c r="AH19" s="2767">
        <f>((SUM(AF19:AF22)/AE19)-1)*100</f>
        <v>-100</v>
      </c>
      <c r="AI19" s="2770">
        <f>AE19</f>
        <v>400000</v>
      </c>
      <c r="AJ19" s="1565"/>
      <c r="AK19" s="2746">
        <f>SUM(AJ19:AJ22)-AI19</f>
        <v>-400000</v>
      </c>
      <c r="AL19" s="2767">
        <f>((SUM(AJ19:AJ22)/AI19)-1)*100</f>
        <v>-100</v>
      </c>
      <c r="AM19" s="2770">
        <f>AI19</f>
        <v>400000</v>
      </c>
      <c r="AN19" s="1565"/>
      <c r="AO19" s="2746">
        <f>SUM(AN19:AN22)-AM19</f>
        <v>-400000</v>
      </c>
      <c r="AP19" s="2767">
        <f>((SUM(AN19:AN22)/AM19)-1)*100</f>
        <v>-100</v>
      </c>
      <c r="AQ19" s="2770">
        <f>AM19</f>
        <v>400000</v>
      </c>
      <c r="AR19" s="1565"/>
      <c r="AS19" s="2746">
        <f>SUM(AR19:AR22)-AQ19</f>
        <v>-400000</v>
      </c>
      <c r="AT19" s="2767">
        <f>((SUM(AR19:AR22)/AQ19)-1)*100</f>
        <v>-100</v>
      </c>
      <c r="AU19" s="2770">
        <f t="shared" si="1"/>
        <v>400000</v>
      </c>
      <c r="AV19" s="1565"/>
      <c r="AW19" s="2761">
        <f>SUM(AV19:AV22)-AU19</f>
        <v>-400000</v>
      </c>
      <c r="AX19" s="2767">
        <f>((SUM(AV19:AV22)/AU19)-1)*100</f>
        <v>-100</v>
      </c>
      <c r="AY19" s="2724">
        <f>C19+G19+K19+O19+S19+W19+AA19+AE19+AI19+AM19+AQ19+AU19</f>
        <v>4800000</v>
      </c>
      <c r="AZ19" s="2080">
        <f t="shared" si="2"/>
        <v>259370.18</v>
      </c>
      <c r="BB19" s="12"/>
    </row>
    <row r="20" spans="1:55" s="1421" customFormat="1" ht="18.75" customHeight="1" x14ac:dyDescent="0.25">
      <c r="A20" s="1553">
        <v>53296</v>
      </c>
      <c r="B20" s="1424" t="s">
        <v>3855</v>
      </c>
      <c r="C20" s="2764"/>
      <c r="D20" s="2100">
        <v>152798.44</v>
      </c>
      <c r="E20" s="2766"/>
      <c r="F20" s="2768"/>
      <c r="G20" s="2771"/>
      <c r="H20" s="2067">
        <f>VLOOKUP(A20,'[1]r_balancete_sc 02-2022'!$1:$1048576,9,0)</f>
        <v>154111.44</v>
      </c>
      <c r="I20" s="2766"/>
      <c r="J20" s="2768"/>
      <c r="K20" s="2771"/>
      <c r="L20" s="2058">
        <f>VLOOKUP(A20,'[2]bALANCETE ORÇAMENTO'!$1:$1048576,7,0)</f>
        <v>360094.57</v>
      </c>
      <c r="M20" s="2766"/>
      <c r="N20" s="2768"/>
      <c r="O20" s="2771"/>
      <c r="P20" s="2058"/>
      <c r="Q20" s="2766"/>
      <c r="R20" s="2768"/>
      <c r="S20" s="2771"/>
      <c r="T20" s="2058"/>
      <c r="U20" s="2766"/>
      <c r="V20" s="2768"/>
      <c r="W20" s="2771"/>
      <c r="X20" s="2058"/>
      <c r="Y20" s="2766"/>
      <c r="Z20" s="2768"/>
      <c r="AA20" s="2771"/>
      <c r="AB20" s="2058"/>
      <c r="AC20" s="2766"/>
      <c r="AD20" s="2768"/>
      <c r="AE20" s="2771"/>
      <c r="AF20" s="2058"/>
      <c r="AG20" s="2766"/>
      <c r="AH20" s="2768"/>
      <c r="AI20" s="2771"/>
      <c r="AJ20" s="2058"/>
      <c r="AK20" s="2766"/>
      <c r="AL20" s="2768"/>
      <c r="AM20" s="2771"/>
      <c r="AN20" s="2058"/>
      <c r="AO20" s="2766"/>
      <c r="AP20" s="2768"/>
      <c r="AQ20" s="2771"/>
      <c r="AR20" s="2058"/>
      <c r="AS20" s="2766"/>
      <c r="AT20" s="2768"/>
      <c r="AU20" s="2771"/>
      <c r="AV20" s="2058"/>
      <c r="AW20" s="2808"/>
      <c r="AX20" s="2768"/>
      <c r="AY20" s="2725"/>
      <c r="AZ20" s="2081">
        <f t="shared" si="2"/>
        <v>667004.44999999995</v>
      </c>
      <c r="BB20" s="12"/>
    </row>
    <row r="21" spans="1:55" s="1421" customFormat="1" ht="18.75" customHeight="1" x14ac:dyDescent="0.25">
      <c r="A21" s="1553">
        <v>55261</v>
      </c>
      <c r="B21" s="1424" t="s">
        <v>3856</v>
      </c>
      <c r="C21" s="2764"/>
      <c r="D21" s="2100">
        <v>3571.44</v>
      </c>
      <c r="E21" s="2766"/>
      <c r="F21" s="2768"/>
      <c r="G21" s="2771"/>
      <c r="H21" s="2071">
        <f>VLOOKUP(A21,'[1]r_balancete_sc 02-2022'!$1:$1048576,9,0)</f>
        <v>0</v>
      </c>
      <c r="I21" s="2766"/>
      <c r="J21" s="2768"/>
      <c r="K21" s="2771"/>
      <c r="L21" s="2058">
        <f>VLOOKUP(A21,'[2]bALANCETE ORÇAMENTO'!$1:$1048576,7,0)</f>
        <v>0</v>
      </c>
      <c r="M21" s="2766"/>
      <c r="N21" s="2768"/>
      <c r="O21" s="2771"/>
      <c r="P21" s="2058"/>
      <c r="Q21" s="2766"/>
      <c r="R21" s="2768"/>
      <c r="S21" s="2771"/>
      <c r="T21" s="2058"/>
      <c r="U21" s="2766"/>
      <c r="V21" s="2768"/>
      <c r="W21" s="2771"/>
      <c r="X21" s="2058"/>
      <c r="Y21" s="2766"/>
      <c r="Z21" s="2768"/>
      <c r="AA21" s="2771"/>
      <c r="AB21" s="2058"/>
      <c r="AC21" s="2766"/>
      <c r="AD21" s="2768"/>
      <c r="AE21" s="2771"/>
      <c r="AF21" s="2058"/>
      <c r="AG21" s="2766"/>
      <c r="AH21" s="2768"/>
      <c r="AI21" s="2771"/>
      <c r="AJ21" s="2058"/>
      <c r="AK21" s="2766"/>
      <c r="AL21" s="2768"/>
      <c r="AM21" s="2771"/>
      <c r="AN21" s="2058"/>
      <c r="AO21" s="2766"/>
      <c r="AP21" s="2768"/>
      <c r="AQ21" s="2771"/>
      <c r="AR21" s="2058"/>
      <c r="AS21" s="2766"/>
      <c r="AT21" s="2768"/>
      <c r="AU21" s="2771"/>
      <c r="AV21" s="2058"/>
      <c r="AW21" s="2808"/>
      <c r="AX21" s="2768"/>
      <c r="AY21" s="2725"/>
      <c r="AZ21" s="2078">
        <f t="shared" si="2"/>
        <v>3571.44</v>
      </c>
      <c r="BB21" s="12"/>
    </row>
    <row r="22" spans="1:55" s="1421" customFormat="1" ht="18.75" customHeight="1" thickBot="1" x14ac:dyDescent="0.3">
      <c r="A22" s="1554">
        <v>55265</v>
      </c>
      <c r="B22" s="384" t="s">
        <v>3857</v>
      </c>
      <c r="C22" s="2765"/>
      <c r="D22" s="2101">
        <v>5224.6499999999996</v>
      </c>
      <c r="E22" s="2747"/>
      <c r="F22" s="2769"/>
      <c r="G22" s="2772"/>
      <c r="H22" s="2068">
        <f>VLOOKUP(A22,'[1]r_balancete_sc 02-2022'!$1:$1048576,9,0)</f>
        <v>26123.25</v>
      </c>
      <c r="I22" s="2747"/>
      <c r="J22" s="2769"/>
      <c r="K22" s="2772"/>
      <c r="L22" s="2059">
        <f>VLOOKUP(A22,'[2]bALANCETE ORÇAMENTO'!$1:$1048576,7,0)</f>
        <v>26123.25</v>
      </c>
      <c r="M22" s="2747"/>
      <c r="N22" s="2769"/>
      <c r="O22" s="2772"/>
      <c r="P22" s="2059"/>
      <c r="Q22" s="2747"/>
      <c r="R22" s="2769"/>
      <c r="S22" s="2772"/>
      <c r="T22" s="2059"/>
      <c r="U22" s="2747"/>
      <c r="V22" s="2769"/>
      <c r="W22" s="2772"/>
      <c r="X22" s="2059"/>
      <c r="Y22" s="2747"/>
      <c r="Z22" s="2769"/>
      <c r="AA22" s="2772"/>
      <c r="AB22" s="2059"/>
      <c r="AC22" s="2747"/>
      <c r="AD22" s="2769"/>
      <c r="AE22" s="2772"/>
      <c r="AF22" s="2059"/>
      <c r="AG22" s="2747"/>
      <c r="AH22" s="2769"/>
      <c r="AI22" s="2772"/>
      <c r="AJ22" s="2059"/>
      <c r="AK22" s="2747"/>
      <c r="AL22" s="2769"/>
      <c r="AM22" s="2772"/>
      <c r="AN22" s="2059"/>
      <c r="AO22" s="2747"/>
      <c r="AP22" s="2769"/>
      <c r="AQ22" s="2772"/>
      <c r="AR22" s="2059"/>
      <c r="AS22" s="2747"/>
      <c r="AT22" s="2769"/>
      <c r="AU22" s="2772"/>
      <c r="AV22" s="2059"/>
      <c r="AW22" s="2762"/>
      <c r="AX22" s="2769"/>
      <c r="AY22" s="2726"/>
      <c r="AZ22" s="2079">
        <f t="shared" si="2"/>
        <v>57471.15</v>
      </c>
      <c r="BB22" s="12"/>
    </row>
    <row r="23" spans="1:55" s="1421" customFormat="1" ht="18.75" customHeight="1" thickBot="1" x14ac:dyDescent="0.3">
      <c r="A23" s="2748" t="s">
        <v>159</v>
      </c>
      <c r="B23" s="2749"/>
      <c r="C23" s="1566">
        <f>SUM(C24:C26)</f>
        <v>830730.42333333334</v>
      </c>
      <c r="D23" s="1567">
        <f>SUM(D24:D26)</f>
        <v>830730.53</v>
      </c>
      <c r="E23" s="723">
        <f t="shared" ref="E23:E30" si="3">D23-C23</f>
        <v>0.10666666668839753</v>
      </c>
      <c r="F23" s="116"/>
      <c r="G23" s="1566">
        <f>SUM(G24:G26)</f>
        <v>830730.42333333334</v>
      </c>
      <c r="H23" s="1572">
        <f>SUM(H24:H26)</f>
        <v>830730.53</v>
      </c>
      <c r="I23" s="723">
        <f t="shared" ref="I23:I30" si="4">H23-G23</f>
        <v>0.10666666668839753</v>
      </c>
      <c r="J23" s="116"/>
      <c r="K23" s="723">
        <f>SUM(K24:K26)</f>
        <v>830730.42333333334</v>
      </c>
      <c r="L23" s="1584">
        <f>SUM(L24:L26)</f>
        <v>830730.53</v>
      </c>
      <c r="M23" s="723">
        <f t="shared" ref="M23:M30" si="5">L23-K23</f>
        <v>0.10666666668839753</v>
      </c>
      <c r="N23" s="116"/>
      <c r="O23" s="723">
        <f>SUM(O24:O26)</f>
        <v>830730.42333333334</v>
      </c>
      <c r="P23" s="1584">
        <f>SUM(P24:P26)</f>
        <v>0</v>
      </c>
      <c r="Q23" s="723">
        <f t="shared" ref="Q23:Q30" si="6">P23-O23</f>
        <v>-830730.42333333334</v>
      </c>
      <c r="R23" s="116"/>
      <c r="S23" s="723">
        <f>SUM(S24:S26)</f>
        <v>830730.42333333334</v>
      </c>
      <c r="T23" s="1584">
        <f>SUM(T24:T26)</f>
        <v>0</v>
      </c>
      <c r="U23" s="723">
        <f t="shared" ref="U23:U30" si="7">T23-S23</f>
        <v>-830730.42333333334</v>
      </c>
      <c r="V23" s="116"/>
      <c r="W23" s="723">
        <f>SUM(W24:W26)</f>
        <v>830730.42333333334</v>
      </c>
      <c r="X23" s="1584">
        <f>SUM(X24:X26)</f>
        <v>0</v>
      </c>
      <c r="Y23" s="723">
        <f t="shared" ref="Y23:Y30" si="8">X23-W23</f>
        <v>-830730.42333333334</v>
      </c>
      <c r="Z23" s="116"/>
      <c r="AA23" s="723">
        <f>SUM(AA24:AA26)</f>
        <v>830730.42333333334</v>
      </c>
      <c r="AB23" s="1584">
        <f>SUM(AB24:AB26)</f>
        <v>0</v>
      </c>
      <c r="AC23" s="723">
        <f t="shared" ref="AC23:AC30" si="9">AB23-AA23</f>
        <v>-830730.42333333334</v>
      </c>
      <c r="AD23" s="116"/>
      <c r="AE23" s="723">
        <f>SUM(AE24:AE26)</f>
        <v>830730.42333333334</v>
      </c>
      <c r="AF23" s="1584">
        <f>SUM(AF24:AF26)</f>
        <v>0</v>
      </c>
      <c r="AG23" s="723">
        <f t="shared" ref="AG23:AG30" si="10">AF23-AE23</f>
        <v>-830730.42333333334</v>
      </c>
      <c r="AH23" s="116"/>
      <c r="AI23" s="723">
        <f>SUM(AI24:AI26)</f>
        <v>830730.42333333334</v>
      </c>
      <c r="AJ23" s="1584">
        <f>SUM(AJ24:AJ26)</f>
        <v>0</v>
      </c>
      <c r="AK23" s="723">
        <f t="shared" ref="AK23:AK30" si="11">AJ23-AI23</f>
        <v>-830730.42333333334</v>
      </c>
      <c r="AL23" s="116"/>
      <c r="AM23" s="723">
        <f>SUM(AM24:AM26)</f>
        <v>830730.42333333334</v>
      </c>
      <c r="AN23" s="1584">
        <f>SUM(AN24:AN26)</f>
        <v>0</v>
      </c>
      <c r="AO23" s="723">
        <f t="shared" ref="AO23:AO30" si="12">AN23-AM23</f>
        <v>-830730.42333333334</v>
      </c>
      <c r="AP23" s="116"/>
      <c r="AQ23" s="723">
        <f>SUM(AQ24:AQ26)</f>
        <v>830730.42333333334</v>
      </c>
      <c r="AR23" s="1584">
        <f>SUM(AR24:AR26)</f>
        <v>0</v>
      </c>
      <c r="AS23" s="723">
        <f t="shared" ref="AS23:AS30" si="13">AR23-AQ23</f>
        <v>-830730.42333333334</v>
      </c>
      <c r="AT23" s="116"/>
      <c r="AU23" s="723">
        <f>SUM(AU24:AU26)</f>
        <v>830730.42333333334</v>
      </c>
      <c r="AV23" s="1584">
        <f>SUM(AV24:AV26)</f>
        <v>0</v>
      </c>
      <c r="AW23" s="723">
        <f t="shared" ref="AW23:AW30" si="14">AV23-AU23</f>
        <v>-830730.42333333334</v>
      </c>
      <c r="AX23" s="116"/>
      <c r="AY23" s="1566">
        <f t="shared" ref="AY23:AY30" si="15">C23+G23+K23+O23+S23+W23+AA23+AE23+AI23+AM23+AQ23+AU23</f>
        <v>9968765.0800000019</v>
      </c>
      <c r="AZ23" s="1614">
        <f t="shared" si="2"/>
        <v>2492191.59</v>
      </c>
      <c r="BB23" s="550"/>
    </row>
    <row r="24" spans="1:55" s="1421" customFormat="1" ht="18.75" customHeight="1" x14ac:dyDescent="0.25">
      <c r="A24" s="134">
        <v>55248</v>
      </c>
      <c r="B24" s="332" t="s">
        <v>9</v>
      </c>
      <c r="C24" s="1573">
        <v>199045.21</v>
      </c>
      <c r="D24" s="2013">
        <v>199045.21</v>
      </c>
      <c r="E24" s="1574">
        <f t="shared" si="3"/>
        <v>0</v>
      </c>
      <c r="F24" s="1615">
        <f t="shared" ref="F24:F28" si="16">((D24/C24)-1)*100</f>
        <v>0</v>
      </c>
      <c r="G24" s="1573">
        <f>C24</f>
        <v>199045.21</v>
      </c>
      <c r="H24" s="2069">
        <f>VLOOKUP(A24,'[1]r_balancete_sc 02-2022'!$1:$1048576,9,0)</f>
        <v>199045.21</v>
      </c>
      <c r="I24" s="1574">
        <f t="shared" si="4"/>
        <v>0</v>
      </c>
      <c r="J24" s="1615">
        <f t="shared" ref="J24:J28" si="17">((H24/G24)-1)*100</f>
        <v>0</v>
      </c>
      <c r="K24" s="1580">
        <f>G24</f>
        <v>199045.21</v>
      </c>
      <c r="L24" s="1574">
        <f>VLOOKUP(A24,'[2]bALANCETE ORÇAMENTO'!$1:$1048576,7,0)</f>
        <v>199045.21</v>
      </c>
      <c r="M24" s="1574">
        <f t="shared" si="5"/>
        <v>0</v>
      </c>
      <c r="N24" s="1615">
        <f t="shared" ref="N24:N28" si="18">((L24/K24)-1)*100</f>
        <v>0</v>
      </c>
      <c r="O24" s="1580">
        <f>K24</f>
        <v>199045.21</v>
      </c>
      <c r="P24" s="1574"/>
      <c r="Q24" s="1574">
        <f t="shared" si="6"/>
        <v>-199045.21</v>
      </c>
      <c r="R24" s="1615">
        <f t="shared" ref="R24:R28" si="19">((P24/O24)-1)*100</f>
        <v>-100</v>
      </c>
      <c r="S24" s="1580">
        <f>O24</f>
        <v>199045.21</v>
      </c>
      <c r="T24" s="1574"/>
      <c r="U24" s="1574">
        <f t="shared" si="7"/>
        <v>-199045.21</v>
      </c>
      <c r="V24" s="1615">
        <f t="shared" ref="V24:V28" si="20">((T24/S24)-1)*100</f>
        <v>-100</v>
      </c>
      <c r="W24" s="1580">
        <f>S24</f>
        <v>199045.21</v>
      </c>
      <c r="X24" s="1574"/>
      <c r="Y24" s="1574">
        <f t="shared" si="8"/>
        <v>-199045.21</v>
      </c>
      <c r="Z24" s="1615">
        <f t="shared" ref="Z24:Z28" si="21">((X24/W24)-1)*100</f>
        <v>-100</v>
      </c>
      <c r="AA24" s="1580">
        <f>W24</f>
        <v>199045.21</v>
      </c>
      <c r="AB24" s="1574"/>
      <c r="AC24" s="1574">
        <f t="shared" si="9"/>
        <v>-199045.21</v>
      </c>
      <c r="AD24" s="1615">
        <f t="shared" ref="AD24:AD28" si="22">((AB24/AA24)-1)*100</f>
        <v>-100</v>
      </c>
      <c r="AE24" s="1580">
        <f>AA24</f>
        <v>199045.21</v>
      </c>
      <c r="AF24" s="1574"/>
      <c r="AG24" s="1574">
        <f t="shared" si="10"/>
        <v>-199045.21</v>
      </c>
      <c r="AH24" s="1615">
        <f t="shared" ref="AH24:AH28" si="23">((AF24/AE24)-1)*100</f>
        <v>-100</v>
      </c>
      <c r="AI24" s="1580">
        <f>AE24</f>
        <v>199045.21</v>
      </c>
      <c r="AJ24" s="1574"/>
      <c r="AK24" s="1574">
        <f t="shared" si="11"/>
        <v>-199045.21</v>
      </c>
      <c r="AL24" s="1615">
        <f t="shared" ref="AL24:AL28" si="24">((AJ24/AI24)-1)*100</f>
        <v>-100</v>
      </c>
      <c r="AM24" s="1580">
        <f>AI24</f>
        <v>199045.21</v>
      </c>
      <c r="AN24" s="1574"/>
      <c r="AO24" s="1574">
        <f t="shared" si="12"/>
        <v>-199045.21</v>
      </c>
      <c r="AP24" s="1615">
        <f t="shared" ref="AP24:AP28" si="25">((AN24/AM24)-1)*100</f>
        <v>-100</v>
      </c>
      <c r="AQ24" s="1580">
        <f>AM24</f>
        <v>199045.21</v>
      </c>
      <c r="AR24" s="1574"/>
      <c r="AS24" s="1574">
        <f t="shared" si="13"/>
        <v>-199045.21</v>
      </c>
      <c r="AT24" s="1615">
        <f t="shared" ref="AT24:AT28" si="26">((AR24/AQ24)-1)*100</f>
        <v>-100</v>
      </c>
      <c r="AU24" s="1580">
        <f>AQ24</f>
        <v>199045.21</v>
      </c>
      <c r="AV24" s="1574"/>
      <c r="AW24" s="1574">
        <f t="shared" si="14"/>
        <v>-199045.21</v>
      </c>
      <c r="AX24" s="1615">
        <f t="shared" ref="AX24:AX28" si="27">((AV24/AU24)-1)*100</f>
        <v>-100</v>
      </c>
      <c r="AY24" s="1240">
        <f t="shared" si="15"/>
        <v>2388542.52</v>
      </c>
      <c r="AZ24" s="2189">
        <f t="shared" si="2"/>
        <v>597135.63</v>
      </c>
      <c r="BB24" s="1175"/>
    </row>
    <row r="25" spans="1:55" s="1421" customFormat="1" ht="18.75" customHeight="1" x14ac:dyDescent="0.25">
      <c r="A25" s="1423">
        <v>55249</v>
      </c>
      <c r="B25" s="1424" t="s">
        <v>10</v>
      </c>
      <c r="C25" s="1546">
        <v>70360.213333333362</v>
      </c>
      <c r="D25" s="2014">
        <v>70360.320000000007</v>
      </c>
      <c r="E25" s="1576">
        <f t="shared" si="3"/>
        <v>0.10666666664474178</v>
      </c>
      <c r="F25" s="1236">
        <f t="shared" si="16"/>
        <v>1.5160082891263471E-4</v>
      </c>
      <c r="G25" s="1546">
        <f>C25</f>
        <v>70360.213333333362</v>
      </c>
      <c r="H25" s="1611">
        <f>VLOOKUP(A25,'[1]r_balancete_sc 02-2022'!$1:$1048576,9,0)</f>
        <v>70360.320000000007</v>
      </c>
      <c r="I25" s="1576">
        <f t="shared" si="4"/>
        <v>0.10666666664474178</v>
      </c>
      <c r="J25" s="1236">
        <f t="shared" si="17"/>
        <v>1.5160082891263471E-4</v>
      </c>
      <c r="K25" s="1581">
        <f>G25</f>
        <v>70360.213333333362</v>
      </c>
      <c r="L25" s="1576">
        <f>VLOOKUP(A25,'[2]bALANCETE ORÇAMENTO'!$1:$1048576,7,0)</f>
        <v>70360.320000000007</v>
      </c>
      <c r="M25" s="1576">
        <f t="shared" si="5"/>
        <v>0.10666666664474178</v>
      </c>
      <c r="N25" s="1236">
        <f t="shared" si="18"/>
        <v>1.5160082891263471E-4</v>
      </c>
      <c r="O25" s="1581">
        <f>K25</f>
        <v>70360.213333333362</v>
      </c>
      <c r="P25" s="1576"/>
      <c r="Q25" s="1576">
        <f t="shared" si="6"/>
        <v>-70360.213333333362</v>
      </c>
      <c r="R25" s="1236">
        <f t="shared" si="19"/>
        <v>-100</v>
      </c>
      <c r="S25" s="1581">
        <f>O25</f>
        <v>70360.213333333362</v>
      </c>
      <c r="T25" s="1576"/>
      <c r="U25" s="1576">
        <f t="shared" si="7"/>
        <v>-70360.213333333362</v>
      </c>
      <c r="V25" s="1236">
        <f t="shared" si="20"/>
        <v>-100</v>
      </c>
      <c r="W25" s="1581">
        <f>S25</f>
        <v>70360.213333333362</v>
      </c>
      <c r="X25" s="1576"/>
      <c r="Y25" s="1576">
        <f t="shared" si="8"/>
        <v>-70360.213333333362</v>
      </c>
      <c r="Z25" s="1236">
        <f t="shared" si="21"/>
        <v>-100</v>
      </c>
      <c r="AA25" s="1581">
        <f>W25</f>
        <v>70360.213333333362</v>
      </c>
      <c r="AB25" s="1576"/>
      <c r="AC25" s="1576">
        <f t="shared" si="9"/>
        <v>-70360.213333333362</v>
      </c>
      <c r="AD25" s="1236">
        <f t="shared" si="22"/>
        <v>-100</v>
      </c>
      <c r="AE25" s="1581">
        <f>AA25</f>
        <v>70360.213333333362</v>
      </c>
      <c r="AF25" s="1576"/>
      <c r="AG25" s="1576">
        <f t="shared" si="10"/>
        <v>-70360.213333333362</v>
      </c>
      <c r="AH25" s="1236">
        <f t="shared" si="23"/>
        <v>-100</v>
      </c>
      <c r="AI25" s="1581">
        <f>AE25</f>
        <v>70360.213333333362</v>
      </c>
      <c r="AJ25" s="1576"/>
      <c r="AK25" s="1576">
        <f t="shared" si="11"/>
        <v>-70360.213333333362</v>
      </c>
      <c r="AL25" s="1236">
        <f t="shared" si="24"/>
        <v>-100</v>
      </c>
      <c r="AM25" s="1581">
        <f>AI25</f>
        <v>70360.213333333362</v>
      </c>
      <c r="AN25" s="1576"/>
      <c r="AO25" s="1576">
        <f t="shared" si="12"/>
        <v>-70360.213333333362</v>
      </c>
      <c r="AP25" s="1236">
        <f t="shared" si="25"/>
        <v>-100</v>
      </c>
      <c r="AQ25" s="1581">
        <f>AM25</f>
        <v>70360.213333333362</v>
      </c>
      <c r="AR25" s="1576"/>
      <c r="AS25" s="1576">
        <f t="shared" si="13"/>
        <v>-70360.213333333362</v>
      </c>
      <c r="AT25" s="1236">
        <f t="shared" si="26"/>
        <v>-100</v>
      </c>
      <c r="AU25" s="1581">
        <f>AQ25</f>
        <v>70360.213333333362</v>
      </c>
      <c r="AV25" s="1576"/>
      <c r="AW25" s="1576">
        <f t="shared" si="14"/>
        <v>-70360.213333333362</v>
      </c>
      <c r="AX25" s="1236">
        <f t="shared" si="27"/>
        <v>-100</v>
      </c>
      <c r="AY25" s="2061">
        <f t="shared" si="15"/>
        <v>844322.56000000041</v>
      </c>
      <c r="AZ25" s="2081">
        <f t="shared" si="2"/>
        <v>211080.96000000002</v>
      </c>
      <c r="BB25" s="1175"/>
    </row>
    <row r="26" spans="1:55" s="1421" customFormat="1" ht="18.75" customHeight="1" thickBot="1" x14ac:dyDescent="0.3">
      <c r="A26" s="1422">
        <v>55247</v>
      </c>
      <c r="B26" s="384" t="s">
        <v>11</v>
      </c>
      <c r="C26" s="1547">
        <v>561325</v>
      </c>
      <c r="D26" s="2015">
        <v>561325</v>
      </c>
      <c r="E26" s="1578">
        <f t="shared" si="3"/>
        <v>0</v>
      </c>
      <c r="F26" s="1239">
        <f t="shared" si="16"/>
        <v>0</v>
      </c>
      <c r="G26" s="1547">
        <f>C26</f>
        <v>561325</v>
      </c>
      <c r="H26" s="2070">
        <f>VLOOKUP(A26,'[1]r_balancete_sc 02-2022'!$1:$1048576,9,0)</f>
        <v>561325</v>
      </c>
      <c r="I26" s="1578">
        <f t="shared" si="4"/>
        <v>0</v>
      </c>
      <c r="J26" s="1239">
        <f t="shared" si="17"/>
        <v>0</v>
      </c>
      <c r="K26" s="1582">
        <f>G26</f>
        <v>561325</v>
      </c>
      <c r="L26" s="1578">
        <f>VLOOKUP(A26,'[2]bALANCETE ORÇAMENTO'!$1:$1048576,7,0)</f>
        <v>561325</v>
      </c>
      <c r="M26" s="1578">
        <f t="shared" si="5"/>
        <v>0</v>
      </c>
      <c r="N26" s="1239">
        <f t="shared" si="18"/>
        <v>0</v>
      </c>
      <c r="O26" s="1582">
        <f>K26</f>
        <v>561325</v>
      </c>
      <c r="P26" s="1578"/>
      <c r="Q26" s="1578">
        <f t="shared" si="6"/>
        <v>-561325</v>
      </c>
      <c r="R26" s="1239">
        <f t="shared" si="19"/>
        <v>-100</v>
      </c>
      <c r="S26" s="1582">
        <f>O26</f>
        <v>561325</v>
      </c>
      <c r="T26" s="1578"/>
      <c r="U26" s="1578">
        <f t="shared" si="7"/>
        <v>-561325</v>
      </c>
      <c r="V26" s="1239">
        <f t="shared" si="20"/>
        <v>-100</v>
      </c>
      <c r="W26" s="1582">
        <f>S26</f>
        <v>561325</v>
      </c>
      <c r="X26" s="1578"/>
      <c r="Y26" s="1578">
        <f t="shared" si="8"/>
        <v>-561325</v>
      </c>
      <c r="Z26" s="1239">
        <f t="shared" si="21"/>
        <v>-100</v>
      </c>
      <c r="AA26" s="1582">
        <f>W26</f>
        <v>561325</v>
      </c>
      <c r="AB26" s="1578"/>
      <c r="AC26" s="1578">
        <f t="shared" si="9"/>
        <v>-561325</v>
      </c>
      <c r="AD26" s="1239">
        <f t="shared" si="22"/>
        <v>-100</v>
      </c>
      <c r="AE26" s="1582">
        <f>AA26</f>
        <v>561325</v>
      </c>
      <c r="AF26" s="1578"/>
      <c r="AG26" s="1578">
        <f t="shared" si="10"/>
        <v>-561325</v>
      </c>
      <c r="AH26" s="1239">
        <f t="shared" si="23"/>
        <v>-100</v>
      </c>
      <c r="AI26" s="1582">
        <f>AE26</f>
        <v>561325</v>
      </c>
      <c r="AJ26" s="1578"/>
      <c r="AK26" s="1578">
        <f t="shared" si="11"/>
        <v>-561325</v>
      </c>
      <c r="AL26" s="1239">
        <f t="shared" si="24"/>
        <v>-100</v>
      </c>
      <c r="AM26" s="1582">
        <f>AI26</f>
        <v>561325</v>
      </c>
      <c r="AN26" s="1578"/>
      <c r="AO26" s="1578">
        <f t="shared" si="12"/>
        <v>-561325</v>
      </c>
      <c r="AP26" s="1239">
        <f t="shared" si="25"/>
        <v>-100</v>
      </c>
      <c r="AQ26" s="1582">
        <f>AM26</f>
        <v>561325</v>
      </c>
      <c r="AR26" s="1578"/>
      <c r="AS26" s="1578">
        <f t="shared" si="13"/>
        <v>-561325</v>
      </c>
      <c r="AT26" s="1239">
        <f t="shared" si="26"/>
        <v>-100</v>
      </c>
      <c r="AU26" s="1582">
        <f>AQ26</f>
        <v>561325</v>
      </c>
      <c r="AV26" s="1578"/>
      <c r="AW26" s="1578">
        <f t="shared" si="14"/>
        <v>-561325</v>
      </c>
      <c r="AX26" s="1239">
        <f t="shared" si="27"/>
        <v>-100</v>
      </c>
      <c r="AY26" s="2061">
        <f t="shared" si="15"/>
        <v>6735900</v>
      </c>
      <c r="AZ26" s="2079">
        <f t="shared" si="2"/>
        <v>1683975</v>
      </c>
      <c r="BB26" s="1175"/>
    </row>
    <row r="27" spans="1:55" s="1421" customFormat="1" ht="18.75" customHeight="1" thickBot="1" x14ac:dyDescent="0.3">
      <c r="A27" s="140"/>
      <c r="B27" s="381" t="s">
        <v>160</v>
      </c>
      <c r="C27" s="1617">
        <f>SUM(C28:C32)</f>
        <v>-46500</v>
      </c>
      <c r="D27" s="1584">
        <f>SUM(D28:D32)</f>
        <v>-35914.210000000006</v>
      </c>
      <c r="E27" s="1585">
        <f t="shared" si="3"/>
        <v>10585.789999999994</v>
      </c>
      <c r="F27" s="410">
        <f t="shared" si="16"/>
        <v>-22.765139784946221</v>
      </c>
      <c r="G27" s="1617">
        <f>SUM(G28:G32)</f>
        <v>-46500</v>
      </c>
      <c r="H27" s="1617">
        <f>SUM(H28:H32)</f>
        <v>-37379.53</v>
      </c>
      <c r="I27" s="1585">
        <f t="shared" si="4"/>
        <v>9120.4700000000012</v>
      </c>
      <c r="J27" s="410">
        <f t="shared" si="17"/>
        <v>-19.613913978494622</v>
      </c>
      <c r="K27" s="1583">
        <f>SUM(K28:K31)</f>
        <v>-46500</v>
      </c>
      <c r="L27" s="1584">
        <f>SUM(L28:L32)</f>
        <v>-11868.340000000002</v>
      </c>
      <c r="M27" s="1585">
        <f t="shared" si="5"/>
        <v>34631.659999999996</v>
      </c>
      <c r="N27" s="410">
        <f t="shared" si="18"/>
        <v>-74.476688172042998</v>
      </c>
      <c r="O27" s="1583">
        <f>SUM(O28:O31)</f>
        <v>-46500</v>
      </c>
      <c r="P27" s="1584">
        <f>SUM(P28:P32)</f>
        <v>0</v>
      </c>
      <c r="Q27" s="1585">
        <f t="shared" si="6"/>
        <v>46500</v>
      </c>
      <c r="R27" s="410">
        <f t="shared" si="19"/>
        <v>-100</v>
      </c>
      <c r="S27" s="1583">
        <f>SUM(S28:S31)</f>
        <v>153500</v>
      </c>
      <c r="T27" s="1584">
        <f>SUM(T28:T31)</f>
        <v>0</v>
      </c>
      <c r="U27" s="1585">
        <f t="shared" si="7"/>
        <v>-153500</v>
      </c>
      <c r="V27" s="410">
        <f t="shared" si="20"/>
        <v>-100</v>
      </c>
      <c r="W27" s="1583">
        <f>SUM(W28:W31)</f>
        <v>-46500</v>
      </c>
      <c r="X27" s="1584">
        <f>SUM(X28:X31)</f>
        <v>0</v>
      </c>
      <c r="Y27" s="1585">
        <f t="shared" si="8"/>
        <v>46500</v>
      </c>
      <c r="Z27" s="410">
        <f t="shared" si="21"/>
        <v>-100</v>
      </c>
      <c r="AA27" s="1583">
        <f>SUM(AA28:AA31)</f>
        <v>-46500</v>
      </c>
      <c r="AB27" s="1584">
        <f>SUM(AB28:AB31)</f>
        <v>0</v>
      </c>
      <c r="AC27" s="1585">
        <f t="shared" si="9"/>
        <v>46500</v>
      </c>
      <c r="AD27" s="410">
        <f t="shared" si="22"/>
        <v>-100</v>
      </c>
      <c r="AE27" s="1583">
        <f>SUM(AE28:AE31)</f>
        <v>-46500</v>
      </c>
      <c r="AF27" s="1584">
        <f>SUM(AF28:AF31)</f>
        <v>0</v>
      </c>
      <c r="AG27" s="1585">
        <f t="shared" si="10"/>
        <v>46500</v>
      </c>
      <c r="AH27" s="410">
        <f t="shared" si="23"/>
        <v>-100</v>
      </c>
      <c r="AI27" s="1583">
        <f>SUM(AI28:AI31)</f>
        <v>-46500</v>
      </c>
      <c r="AJ27" s="1584">
        <f>SUM(AJ28:AJ31)</f>
        <v>0</v>
      </c>
      <c r="AK27" s="1585">
        <f t="shared" si="11"/>
        <v>46500</v>
      </c>
      <c r="AL27" s="410">
        <f t="shared" si="24"/>
        <v>-100</v>
      </c>
      <c r="AM27" s="1583">
        <f>SUM(AM28:AM31)</f>
        <v>-46500</v>
      </c>
      <c r="AN27" s="1584">
        <f>SUM(AN28:AN31)</f>
        <v>0</v>
      </c>
      <c r="AO27" s="1585">
        <f t="shared" si="12"/>
        <v>46500</v>
      </c>
      <c r="AP27" s="410">
        <f t="shared" si="25"/>
        <v>-100</v>
      </c>
      <c r="AQ27" s="1583">
        <f>SUM(AQ28:AQ31)</f>
        <v>153500</v>
      </c>
      <c r="AR27" s="1584">
        <f>SUM(AR28:AR31)</f>
        <v>0</v>
      </c>
      <c r="AS27" s="1585">
        <f t="shared" si="13"/>
        <v>-153500</v>
      </c>
      <c r="AT27" s="410">
        <f t="shared" si="26"/>
        <v>-100</v>
      </c>
      <c r="AU27" s="1583">
        <f>SUM(AU28:AU31)</f>
        <v>-46500</v>
      </c>
      <c r="AV27" s="1584">
        <f>SUM(AV28:AV31)</f>
        <v>0</v>
      </c>
      <c r="AW27" s="1585">
        <f t="shared" si="14"/>
        <v>46500</v>
      </c>
      <c r="AX27" s="410">
        <f t="shared" si="27"/>
        <v>-100</v>
      </c>
      <c r="AY27" s="209">
        <f t="shared" si="15"/>
        <v>-158000</v>
      </c>
      <c r="AZ27" s="2190">
        <f t="shared" si="2"/>
        <v>-85162.08</v>
      </c>
      <c r="BB27" s="550"/>
      <c r="BC27" s="334"/>
    </row>
    <row r="28" spans="1:55" s="1421" customFormat="1" ht="18.75" customHeight="1" x14ac:dyDescent="0.25">
      <c r="A28" s="141">
        <v>4962</v>
      </c>
      <c r="B28" s="381" t="s">
        <v>164</v>
      </c>
      <c r="C28" s="2098">
        <v>-50000</v>
      </c>
      <c r="D28" s="2097">
        <v>-38356.910000000003</v>
      </c>
      <c r="E28" s="1587">
        <f t="shared" si="3"/>
        <v>11643.089999999997</v>
      </c>
      <c r="F28" s="1619">
        <f t="shared" si="16"/>
        <v>-23.286179999999991</v>
      </c>
      <c r="G28" s="1618">
        <f>C28</f>
        <v>-50000</v>
      </c>
      <c r="H28" s="1608">
        <f>VLOOKUP(A28,'[1]r_balancete_sc 02-2022'!$1:$1048576,9,0)</f>
        <v>-40522.720000000001</v>
      </c>
      <c r="I28" s="1587">
        <f t="shared" si="4"/>
        <v>9477.2799999999988</v>
      </c>
      <c r="J28" s="1619">
        <f t="shared" si="17"/>
        <v>-18.954559999999997</v>
      </c>
      <c r="K28" s="1586">
        <f>C28</f>
        <v>-50000</v>
      </c>
      <c r="L28" s="1587">
        <f>VLOOKUP(A28,'[2]bALANCETE ORÇAMENTO'!$1:$1048576,7,0)</f>
        <v>-19026.900000000001</v>
      </c>
      <c r="M28" s="1587">
        <f t="shared" si="5"/>
        <v>30973.1</v>
      </c>
      <c r="N28" s="1619">
        <f t="shared" si="18"/>
        <v>-61.946199999999997</v>
      </c>
      <c r="O28" s="1586">
        <f>G28</f>
        <v>-50000</v>
      </c>
      <c r="P28" s="1587"/>
      <c r="Q28" s="1587">
        <f t="shared" si="6"/>
        <v>50000</v>
      </c>
      <c r="R28" s="1619">
        <f t="shared" si="19"/>
        <v>-100</v>
      </c>
      <c r="S28" s="1586">
        <f>K28</f>
        <v>-50000</v>
      </c>
      <c r="T28" s="1587"/>
      <c r="U28" s="2645">
        <f t="shared" si="7"/>
        <v>50000</v>
      </c>
      <c r="V28" s="1588">
        <f t="shared" si="20"/>
        <v>-100</v>
      </c>
      <c r="W28" s="1586">
        <f>O28</f>
        <v>-50000</v>
      </c>
      <c r="X28" s="1587"/>
      <c r="Y28" s="1587">
        <f t="shared" si="8"/>
        <v>50000</v>
      </c>
      <c r="Z28" s="1619">
        <f t="shared" si="21"/>
        <v>-100</v>
      </c>
      <c r="AA28" s="1586">
        <f>S28</f>
        <v>-50000</v>
      </c>
      <c r="AB28" s="1587"/>
      <c r="AC28" s="1587">
        <f t="shared" si="9"/>
        <v>50000</v>
      </c>
      <c r="AD28" s="1619">
        <f t="shared" si="22"/>
        <v>-100</v>
      </c>
      <c r="AE28" s="1586">
        <f>W28</f>
        <v>-50000</v>
      </c>
      <c r="AF28" s="1587"/>
      <c r="AG28" s="1587">
        <f t="shared" si="10"/>
        <v>50000</v>
      </c>
      <c r="AH28" s="1619">
        <f t="shared" si="23"/>
        <v>-100</v>
      </c>
      <c r="AI28" s="1586">
        <f>AA28</f>
        <v>-50000</v>
      </c>
      <c r="AJ28" s="1587"/>
      <c r="AK28" s="2645">
        <f t="shared" si="11"/>
        <v>50000</v>
      </c>
      <c r="AL28" s="1588">
        <f t="shared" si="24"/>
        <v>-100</v>
      </c>
      <c r="AM28" s="1586">
        <f>AE28</f>
        <v>-50000</v>
      </c>
      <c r="AN28" s="1587"/>
      <c r="AO28" s="2645">
        <f t="shared" si="12"/>
        <v>50000</v>
      </c>
      <c r="AP28" s="1588">
        <f t="shared" si="25"/>
        <v>-100</v>
      </c>
      <c r="AQ28" s="1586">
        <f>AI28</f>
        <v>-50000</v>
      </c>
      <c r="AR28" s="1587"/>
      <c r="AS28" s="2645">
        <f t="shared" si="13"/>
        <v>50000</v>
      </c>
      <c r="AT28" s="1588">
        <f t="shared" si="26"/>
        <v>-100</v>
      </c>
      <c r="AU28" s="1586">
        <f t="shared" ref="AU28:AU31" si="28">AM28</f>
        <v>-50000</v>
      </c>
      <c r="AV28" s="1587"/>
      <c r="AW28" s="2645">
        <f t="shared" si="14"/>
        <v>50000</v>
      </c>
      <c r="AX28" s="1588">
        <f t="shared" si="27"/>
        <v>-100</v>
      </c>
      <c r="AY28" s="1240">
        <f t="shared" si="15"/>
        <v>-600000</v>
      </c>
      <c r="AZ28" s="2081">
        <f t="shared" si="2"/>
        <v>-97906.53</v>
      </c>
      <c r="BB28" s="550"/>
      <c r="BC28" s="334"/>
    </row>
    <row r="29" spans="1:55" s="1421" customFormat="1" ht="18.75" customHeight="1" x14ac:dyDescent="0.25">
      <c r="A29" s="1422">
        <v>40703</v>
      </c>
      <c r="B29" s="989" t="s">
        <v>3905</v>
      </c>
      <c r="C29" s="1597">
        <v>0</v>
      </c>
      <c r="D29" s="2096">
        <v>0</v>
      </c>
      <c r="E29" s="1590">
        <f t="shared" si="3"/>
        <v>0</v>
      </c>
      <c r="F29" s="1621">
        <v>0</v>
      </c>
      <c r="G29" s="1620">
        <v>0</v>
      </c>
      <c r="H29" s="1611">
        <v>0</v>
      </c>
      <c r="I29" s="1590">
        <f t="shared" si="4"/>
        <v>0</v>
      </c>
      <c r="J29" s="1621">
        <v>0</v>
      </c>
      <c r="K29" s="1589">
        <v>0</v>
      </c>
      <c r="L29" s="1590">
        <v>6022.41</v>
      </c>
      <c r="M29" s="1590">
        <f t="shared" si="5"/>
        <v>6022.41</v>
      </c>
      <c r="N29" s="1621">
        <v>0</v>
      </c>
      <c r="O29" s="1589">
        <v>0</v>
      </c>
      <c r="P29" s="1590"/>
      <c r="Q29" s="1590">
        <f t="shared" si="6"/>
        <v>0</v>
      </c>
      <c r="R29" s="1621">
        <v>0</v>
      </c>
      <c r="S29" s="1589">
        <v>0</v>
      </c>
      <c r="T29" s="1590"/>
      <c r="U29" s="1590">
        <f t="shared" si="7"/>
        <v>0</v>
      </c>
      <c r="V29" s="1621">
        <v>0</v>
      </c>
      <c r="W29" s="1592">
        <v>0</v>
      </c>
      <c r="X29" s="1590"/>
      <c r="Y29" s="1590">
        <f t="shared" si="8"/>
        <v>0</v>
      </c>
      <c r="Z29" s="1621">
        <v>0</v>
      </c>
      <c r="AA29" s="1589"/>
      <c r="AB29" s="1590"/>
      <c r="AC29" s="1590">
        <f t="shared" si="9"/>
        <v>0</v>
      </c>
      <c r="AD29" s="1621">
        <v>0</v>
      </c>
      <c r="AE29" s="1589">
        <v>0</v>
      </c>
      <c r="AF29" s="1590"/>
      <c r="AG29" s="2646">
        <f t="shared" si="10"/>
        <v>0</v>
      </c>
      <c r="AH29" s="1591">
        <v>0</v>
      </c>
      <c r="AI29" s="1589"/>
      <c r="AJ29" s="1590"/>
      <c r="AK29" s="2646">
        <f t="shared" si="11"/>
        <v>0</v>
      </c>
      <c r="AL29" s="1591">
        <v>0</v>
      </c>
      <c r="AM29" s="1589">
        <v>0</v>
      </c>
      <c r="AN29" s="1590"/>
      <c r="AO29" s="2646">
        <f t="shared" si="12"/>
        <v>0</v>
      </c>
      <c r="AP29" s="1591">
        <v>0</v>
      </c>
      <c r="AQ29" s="1589">
        <v>0</v>
      </c>
      <c r="AR29" s="1590"/>
      <c r="AS29" s="2646">
        <f t="shared" si="13"/>
        <v>0</v>
      </c>
      <c r="AT29" s="1591">
        <v>0</v>
      </c>
      <c r="AU29" s="1589"/>
      <c r="AV29" s="1590"/>
      <c r="AW29" s="1590">
        <f t="shared" si="14"/>
        <v>0</v>
      </c>
      <c r="AX29" s="1621">
        <v>0</v>
      </c>
      <c r="AY29" s="2062">
        <f t="shared" si="15"/>
        <v>0</v>
      </c>
      <c r="AZ29" s="2081">
        <f t="shared" si="2"/>
        <v>6022.41</v>
      </c>
      <c r="BB29" s="550"/>
    </row>
    <row r="30" spans="1:55" s="1421" customFormat="1" ht="18.75" customHeight="1" x14ac:dyDescent="0.25">
      <c r="A30" s="1422">
        <v>53327</v>
      </c>
      <c r="B30" s="989" t="s">
        <v>131</v>
      </c>
      <c r="C30" s="2088">
        <v>0</v>
      </c>
      <c r="D30" s="2087"/>
      <c r="E30" s="2603">
        <f t="shared" si="3"/>
        <v>0</v>
      </c>
      <c r="F30" s="1622">
        <v>0</v>
      </c>
      <c r="G30" s="1623">
        <v>0</v>
      </c>
      <c r="H30" s="1611">
        <v>0</v>
      </c>
      <c r="I30" s="2603">
        <f t="shared" si="4"/>
        <v>0</v>
      </c>
      <c r="J30" s="1622">
        <v>0</v>
      </c>
      <c r="K30" s="1592">
        <f t="shared" ref="K30" si="29">C30</f>
        <v>0</v>
      </c>
      <c r="L30" s="1593">
        <v>0</v>
      </c>
      <c r="M30" s="2603">
        <f t="shared" si="5"/>
        <v>0</v>
      </c>
      <c r="N30" s="1622">
        <v>0</v>
      </c>
      <c r="O30" s="1592">
        <f t="shared" ref="O30" si="30">G30</f>
        <v>0</v>
      </c>
      <c r="P30" s="1593"/>
      <c r="Q30" s="2603">
        <f t="shared" si="6"/>
        <v>0</v>
      </c>
      <c r="R30" s="1622">
        <v>0</v>
      </c>
      <c r="S30" s="1592">
        <v>200000</v>
      </c>
      <c r="T30" s="1593"/>
      <c r="U30" s="2603">
        <f t="shared" si="7"/>
        <v>-200000</v>
      </c>
      <c r="V30" s="1622">
        <v>0</v>
      </c>
      <c r="W30" s="1592">
        <f t="shared" ref="W30" si="31">O30</f>
        <v>0</v>
      </c>
      <c r="X30" s="1593"/>
      <c r="Y30" s="2603">
        <f t="shared" si="8"/>
        <v>0</v>
      </c>
      <c r="Z30" s="1622">
        <v>0</v>
      </c>
      <c r="AA30" s="1592">
        <v>0</v>
      </c>
      <c r="AB30" s="1593"/>
      <c r="AC30" s="2603">
        <f t="shared" si="9"/>
        <v>0</v>
      </c>
      <c r="AD30" s="1622">
        <v>0</v>
      </c>
      <c r="AE30" s="1592">
        <f t="shared" ref="AE30:AE31" si="32">W30</f>
        <v>0</v>
      </c>
      <c r="AF30" s="1593"/>
      <c r="AG30" s="2603">
        <f t="shared" si="10"/>
        <v>0</v>
      </c>
      <c r="AH30" s="1622">
        <v>0</v>
      </c>
      <c r="AI30" s="1624">
        <f t="shared" ref="AI30:AI32" si="33">AA30</f>
        <v>0</v>
      </c>
      <c r="AJ30" s="1593"/>
      <c r="AK30" s="2647">
        <f t="shared" si="11"/>
        <v>0</v>
      </c>
      <c r="AL30" s="2648">
        <v>0</v>
      </c>
      <c r="AM30" s="1624">
        <f t="shared" ref="AM30:AM31" si="34">AE30</f>
        <v>0</v>
      </c>
      <c r="AN30" s="1593"/>
      <c r="AO30" s="2647">
        <f t="shared" si="12"/>
        <v>0</v>
      </c>
      <c r="AP30" s="2648">
        <v>0</v>
      </c>
      <c r="AQ30" s="1592">
        <v>200000</v>
      </c>
      <c r="AR30" s="1593"/>
      <c r="AS30" s="2647">
        <f t="shared" si="13"/>
        <v>-200000</v>
      </c>
      <c r="AT30" s="2648">
        <v>0</v>
      </c>
      <c r="AU30" s="1592">
        <f t="shared" si="28"/>
        <v>0</v>
      </c>
      <c r="AV30" s="1593"/>
      <c r="AW30" s="2603">
        <f t="shared" si="14"/>
        <v>0</v>
      </c>
      <c r="AX30" s="1622">
        <v>0</v>
      </c>
      <c r="AY30" s="1625">
        <f t="shared" si="15"/>
        <v>400000</v>
      </c>
      <c r="AZ30" s="2081">
        <f t="shared" si="2"/>
        <v>0</v>
      </c>
      <c r="BB30" s="12"/>
    </row>
    <row r="31" spans="1:55" s="1421" customFormat="1" ht="18.75" customHeight="1" x14ac:dyDescent="0.25">
      <c r="A31" s="1423">
        <v>5181</v>
      </c>
      <c r="B31" s="1424" t="s">
        <v>19</v>
      </c>
      <c r="C31" s="2091">
        <v>3500</v>
      </c>
      <c r="D31" s="2090">
        <v>2422.6999999999998</v>
      </c>
      <c r="E31" s="2622">
        <f t="shared" ref="E31:E32" si="35">D31-C31</f>
        <v>-1077.3000000000002</v>
      </c>
      <c r="F31" s="2642">
        <f>((D31/C31)-1)*100</f>
        <v>-30.780000000000008</v>
      </c>
      <c r="G31" s="1620">
        <f>$C$31</f>
        <v>3500</v>
      </c>
      <c r="H31" s="1611">
        <f>VLOOKUP(A31,'[1]r_balancete_sc 02-2022'!$1:$1048576,9,0)</f>
        <v>3121.29</v>
      </c>
      <c r="I31" s="2083">
        <f t="shared" ref="I31:I32" si="36">H31-G31</f>
        <v>-378.71000000000004</v>
      </c>
      <c r="J31" s="2169">
        <f>((H31/G31)-1)*100</f>
        <v>-10.820285714285715</v>
      </c>
      <c r="K31" s="1589">
        <f t="shared" ref="K31:K32" si="37">C31</f>
        <v>3500</v>
      </c>
      <c r="L31" s="1590">
        <f>VLOOKUP(A31,'[2]bALANCETE ORÇAMENTO'!$1:$1048576,7,0)</f>
        <v>880.25</v>
      </c>
      <c r="M31" s="2083">
        <f t="shared" ref="M31:M32" si="38">L31-K31</f>
        <v>-2619.75</v>
      </c>
      <c r="N31" s="2169">
        <f>((L31/K31)-1)*100</f>
        <v>-74.849999999999994</v>
      </c>
      <c r="O31" s="1589">
        <f>G31</f>
        <v>3500</v>
      </c>
      <c r="P31" s="1590"/>
      <c r="Q31" s="2622">
        <f t="shared" ref="Q31:Q32" si="39">P31-O31</f>
        <v>-3500</v>
      </c>
      <c r="R31" s="2642">
        <f>((P31/O31)-1)*100</f>
        <v>-100</v>
      </c>
      <c r="S31" s="1589">
        <f t="shared" ref="S31:S32" si="40">K31</f>
        <v>3500</v>
      </c>
      <c r="T31" s="1590"/>
      <c r="U31" s="2083">
        <f t="shared" ref="U31:U32" si="41">T31-S31</f>
        <v>-3500</v>
      </c>
      <c r="V31" s="2169">
        <f>((T31/S31)-1)*100</f>
        <v>-100</v>
      </c>
      <c r="W31" s="1589">
        <f>O31</f>
        <v>3500</v>
      </c>
      <c r="X31" s="1590"/>
      <c r="Y31" s="2083">
        <f t="shared" ref="Y31:Y32" si="42">X31-W31</f>
        <v>-3500</v>
      </c>
      <c r="Z31" s="2169">
        <f>((X31/W31)-1)*100</f>
        <v>-100</v>
      </c>
      <c r="AA31" s="1589">
        <f t="shared" ref="AA31:AA32" si="43">S31</f>
        <v>3500</v>
      </c>
      <c r="AB31" s="1590"/>
      <c r="AC31" s="2622">
        <f t="shared" ref="AC31:AC32" si="44">AB31-AA31</f>
        <v>-3500</v>
      </c>
      <c r="AD31" s="2642">
        <f>((AB31/AA31)-1)*100</f>
        <v>-100</v>
      </c>
      <c r="AE31" s="1589">
        <f t="shared" si="32"/>
        <v>3500</v>
      </c>
      <c r="AF31" s="1590"/>
      <c r="AG31" s="2083">
        <f t="shared" ref="AG31:AG32" si="45">AF31-AE31</f>
        <v>-3500</v>
      </c>
      <c r="AH31" s="2169">
        <f>((AF31/AE31)-1)*100</f>
        <v>-100</v>
      </c>
      <c r="AI31" s="1589">
        <f t="shared" si="33"/>
        <v>3500</v>
      </c>
      <c r="AJ31" s="1590"/>
      <c r="AK31" s="2083">
        <f t="shared" ref="AK31:AK32" si="46">AJ31-AI31</f>
        <v>-3500</v>
      </c>
      <c r="AL31" s="2169">
        <f>((AJ31/AI31)-1)*100</f>
        <v>-100</v>
      </c>
      <c r="AM31" s="1589">
        <f t="shared" si="34"/>
        <v>3500</v>
      </c>
      <c r="AN31" s="1590"/>
      <c r="AO31" s="2083">
        <f t="shared" ref="AO31:AO32" si="47">AN31-AM31</f>
        <v>-3500</v>
      </c>
      <c r="AP31" s="2169">
        <f>((AN31/AM31)-1)*100</f>
        <v>-100</v>
      </c>
      <c r="AQ31" s="1589">
        <f t="shared" ref="AQ31:AQ32" si="48">AI31</f>
        <v>3500</v>
      </c>
      <c r="AR31" s="1590"/>
      <c r="AS31" s="2083">
        <f t="shared" ref="AS31:AS32" si="49">AR31-AQ31</f>
        <v>-3500</v>
      </c>
      <c r="AT31" s="2169">
        <f>((AR31/AQ31)-1)*100</f>
        <v>-100</v>
      </c>
      <c r="AU31" s="1589">
        <f t="shared" si="28"/>
        <v>3500</v>
      </c>
      <c r="AV31" s="1590"/>
      <c r="AW31" s="2083">
        <f t="shared" ref="AW31:AW32" si="50">AV31-AU31</f>
        <v>-3500</v>
      </c>
      <c r="AX31" s="2169">
        <f>((AV31/AU31)-1)*100</f>
        <v>-100</v>
      </c>
      <c r="AY31" s="2062">
        <f t="shared" ref="AY31:AY32" si="51">C31+G31+K31+O31+S31+W31+AA31+AE31+AI31+AM31+AQ31+AU31</f>
        <v>42000</v>
      </c>
      <c r="AZ31" s="2081">
        <f t="shared" ref="AZ31:AZ32" si="52">D31+H31+L31+P31+T31+X31+AB31+AF31+AJ31+AN31+AR31+AV31</f>
        <v>6424.24</v>
      </c>
      <c r="BB31" s="550"/>
    </row>
    <row r="32" spans="1:55" s="1421" customFormat="1" ht="18.75" customHeight="1" thickBot="1" x14ac:dyDescent="0.3">
      <c r="A32" s="2635">
        <v>32733</v>
      </c>
      <c r="B32" s="384" t="s">
        <v>3925</v>
      </c>
      <c r="C32" s="2640">
        <v>0</v>
      </c>
      <c r="D32" s="2641">
        <v>20</v>
      </c>
      <c r="E32" s="2644">
        <f t="shared" si="35"/>
        <v>20</v>
      </c>
      <c r="F32" s="2643">
        <v>0</v>
      </c>
      <c r="G32" s="1600">
        <v>0</v>
      </c>
      <c r="H32" s="1669">
        <f>VLOOKUP(A32,'[1]r_balancete_sc 02-2022'!$1:$1048576,9,0)</f>
        <v>21.9</v>
      </c>
      <c r="I32" s="1951">
        <f t="shared" si="36"/>
        <v>21.9</v>
      </c>
      <c r="J32" s="2636">
        <v>0</v>
      </c>
      <c r="K32" s="1600">
        <f t="shared" si="37"/>
        <v>0</v>
      </c>
      <c r="L32" s="1601">
        <f>VLOOKUP(A32,'[2]bALANCETE ORÇAMENTO'!$1:$1048576,7,0)</f>
        <v>255.9</v>
      </c>
      <c r="M32" s="1951">
        <f t="shared" si="38"/>
        <v>255.9</v>
      </c>
      <c r="N32" s="2636">
        <v>0</v>
      </c>
      <c r="O32" s="1600"/>
      <c r="P32" s="1601"/>
      <c r="Q32" s="1951">
        <f t="shared" si="39"/>
        <v>0</v>
      </c>
      <c r="R32" s="2636">
        <v>0</v>
      </c>
      <c r="S32" s="1600">
        <f t="shared" si="40"/>
        <v>0</v>
      </c>
      <c r="T32" s="1601"/>
      <c r="U32" s="1951">
        <f t="shared" si="41"/>
        <v>0</v>
      </c>
      <c r="V32" s="2636">
        <v>0</v>
      </c>
      <c r="W32" s="1600"/>
      <c r="X32" s="1601"/>
      <c r="Y32" s="1951">
        <f t="shared" si="42"/>
        <v>0</v>
      </c>
      <c r="Z32" s="2636">
        <v>0</v>
      </c>
      <c r="AA32" s="2631">
        <f t="shared" si="43"/>
        <v>0</v>
      </c>
      <c r="AB32" s="1601"/>
      <c r="AC32" s="2644">
        <f t="shared" si="44"/>
        <v>0</v>
      </c>
      <c r="AD32" s="2643">
        <v>0</v>
      </c>
      <c r="AE32" s="2631">
        <v>0</v>
      </c>
      <c r="AF32" s="1601"/>
      <c r="AG32" s="1951">
        <f t="shared" si="45"/>
        <v>0</v>
      </c>
      <c r="AH32" s="2636">
        <v>0</v>
      </c>
      <c r="AI32" s="2631">
        <f t="shared" si="33"/>
        <v>0</v>
      </c>
      <c r="AJ32" s="1601"/>
      <c r="AK32" s="1951">
        <f t="shared" si="46"/>
        <v>0</v>
      </c>
      <c r="AL32" s="2636">
        <v>0</v>
      </c>
      <c r="AM32" s="2631">
        <f t="shared" ref="AM32" si="53">AE32</f>
        <v>0</v>
      </c>
      <c r="AN32" s="2637"/>
      <c r="AO32" s="1951">
        <f t="shared" si="47"/>
        <v>0</v>
      </c>
      <c r="AP32" s="2636">
        <v>0</v>
      </c>
      <c r="AQ32" s="1600">
        <f t="shared" si="48"/>
        <v>0</v>
      </c>
      <c r="AR32" s="1601"/>
      <c r="AS32" s="1951">
        <f t="shared" si="49"/>
        <v>0</v>
      </c>
      <c r="AT32" s="2636">
        <v>0</v>
      </c>
      <c r="AU32" s="2631">
        <f t="shared" ref="AU32" si="54">AM32</f>
        <v>0</v>
      </c>
      <c r="AV32" s="1601"/>
      <c r="AW32" s="1951">
        <f t="shared" si="50"/>
        <v>0</v>
      </c>
      <c r="AX32" s="2636">
        <v>0</v>
      </c>
      <c r="AY32" s="2063">
        <f t="shared" si="51"/>
        <v>0</v>
      </c>
      <c r="AZ32" s="2079">
        <f t="shared" si="52"/>
        <v>297.8</v>
      </c>
      <c r="BB32" s="550"/>
    </row>
    <row r="33" spans="1:55" ht="18.75" customHeight="1" x14ac:dyDescent="0.25">
      <c r="AY33" s="2638"/>
    </row>
    <row r="34" spans="1:55" s="146" customFormat="1" ht="18.75" customHeight="1" thickBot="1" x14ac:dyDescent="0.3">
      <c r="A34" s="1430"/>
      <c r="B34" s="154"/>
      <c r="C34" s="1938"/>
      <c r="D34" s="2016"/>
      <c r="E34" s="1938"/>
      <c r="F34" s="1938"/>
      <c r="G34" s="1938"/>
      <c r="H34" s="1938"/>
      <c r="I34" s="1938"/>
      <c r="J34" s="1938"/>
      <c r="K34" s="1938"/>
      <c r="L34" s="1938"/>
      <c r="M34" s="1938"/>
      <c r="N34" s="1938"/>
      <c r="O34" s="1938"/>
      <c r="P34" s="1938"/>
      <c r="Q34" s="1938"/>
      <c r="R34" s="1938"/>
      <c r="S34" s="1938"/>
      <c r="T34" s="1938"/>
      <c r="U34" s="1938"/>
      <c r="V34" s="1938"/>
      <c r="W34" s="1938"/>
      <c r="X34" s="1938"/>
      <c r="Y34" s="1938"/>
      <c r="Z34" s="1938"/>
      <c r="AA34" s="1938"/>
      <c r="AB34" s="1938"/>
      <c r="AC34" s="1938"/>
      <c r="AD34" s="1938"/>
      <c r="AE34" s="1938"/>
      <c r="AF34" s="1938"/>
      <c r="AG34" s="1938"/>
      <c r="AH34" s="1938"/>
      <c r="AI34" s="1938"/>
      <c r="AJ34" s="1938"/>
      <c r="AK34" s="1938"/>
      <c r="AL34" s="1938"/>
      <c r="AM34" s="1938"/>
      <c r="AN34" s="1938"/>
      <c r="AO34" s="1938"/>
      <c r="AP34" s="1938"/>
      <c r="AQ34" s="1938"/>
      <c r="AR34" s="1938"/>
      <c r="AS34" s="1938"/>
      <c r="AT34" s="1938"/>
      <c r="AU34" s="2639"/>
      <c r="AV34" s="1938"/>
      <c r="AW34" s="1938"/>
      <c r="AX34" s="1938"/>
      <c r="AY34" s="2459"/>
      <c r="AZ34" s="1939"/>
      <c r="BB34" s="1940"/>
    </row>
    <row r="35" spans="1:55" s="146" customFormat="1" ht="18.75" customHeight="1" thickBot="1" x14ac:dyDescent="0.3">
      <c r="A35" s="2781" t="s">
        <v>3760</v>
      </c>
      <c r="B35" s="2782"/>
      <c r="C35" s="1566">
        <f>SUM(C36:C39)</f>
        <v>85000</v>
      </c>
      <c r="D35" s="2009">
        <f>SUM(D36:D39)</f>
        <v>184527.44</v>
      </c>
      <c r="E35" s="209">
        <f>D35-C35</f>
        <v>99527.44</v>
      </c>
      <c r="F35" s="209">
        <f>((D35/C35)-1)*100</f>
        <v>117.09110588235293</v>
      </c>
      <c r="G35" s="209">
        <f>SUM(G36:G39)</f>
        <v>85000</v>
      </c>
      <c r="H35" s="1557">
        <f>SUM(H36:H39)</f>
        <v>237566.38999999998</v>
      </c>
      <c r="I35" s="209">
        <f>H35-G35</f>
        <v>152566.38999999998</v>
      </c>
      <c r="J35" s="209">
        <f>((H35/G35)-1)*100</f>
        <v>179.48987058823528</v>
      </c>
      <c r="K35" s="209">
        <f>SUM(K36:K39)</f>
        <v>85000</v>
      </c>
      <c r="L35" s="1557">
        <f>SUM(L36:L39)</f>
        <v>209586.25</v>
      </c>
      <c r="M35" s="209">
        <f>L35-K35</f>
        <v>124586.25</v>
      </c>
      <c r="N35" s="209">
        <f>((L35/K35)-1)*100</f>
        <v>146.5720588235294</v>
      </c>
      <c r="O35" s="209">
        <f>SUM(O36:O39)</f>
        <v>85000</v>
      </c>
      <c r="P35" s="1557">
        <f>SUM(P36:P39)</f>
        <v>0</v>
      </c>
      <c r="Q35" s="209">
        <f>P35-O35</f>
        <v>-85000</v>
      </c>
      <c r="R35" s="209">
        <f>((P35/O35)-1)*100</f>
        <v>-100</v>
      </c>
      <c r="S35" s="209">
        <f>SUM(S36:S39)</f>
        <v>85000</v>
      </c>
      <c r="T35" s="1557">
        <f>SUM(T36:T39)</f>
        <v>0</v>
      </c>
      <c r="U35" s="209">
        <f>T35-S35</f>
        <v>-85000</v>
      </c>
      <c r="V35" s="209">
        <f>((T35/S35)-1)*100</f>
        <v>-100</v>
      </c>
      <c r="W35" s="209">
        <f>SUM(W36:W39)</f>
        <v>85000</v>
      </c>
      <c r="X35" s="1557">
        <f>SUM(X36)</f>
        <v>0</v>
      </c>
      <c r="Y35" s="209">
        <f>X35-W35</f>
        <v>-85000</v>
      </c>
      <c r="Z35" s="209">
        <f>((X35/W35)-1)*100</f>
        <v>-100</v>
      </c>
      <c r="AA35" s="209">
        <f>SUM(AA36)</f>
        <v>55000</v>
      </c>
      <c r="AB35" s="1557">
        <f>SUM(AB36)</f>
        <v>0</v>
      </c>
      <c r="AC35" s="209">
        <f>AB35-AA35</f>
        <v>-55000</v>
      </c>
      <c r="AD35" s="209">
        <f>((AB35/AA35)-1)*100</f>
        <v>-100</v>
      </c>
      <c r="AE35" s="209">
        <f>SUM(AE36)</f>
        <v>55000</v>
      </c>
      <c r="AF35" s="1557">
        <f>SUM(AF36)</f>
        <v>0</v>
      </c>
      <c r="AG35" s="209">
        <f>AF35-AE35</f>
        <v>-55000</v>
      </c>
      <c r="AH35" s="209">
        <f>((AF35/AE35)-1)*100</f>
        <v>-100</v>
      </c>
      <c r="AI35" s="209">
        <f>SUM(AI36)</f>
        <v>55000</v>
      </c>
      <c r="AJ35" s="1557">
        <f>SUM(AJ36)</f>
        <v>0</v>
      </c>
      <c r="AK35" s="209">
        <f>AJ35-AI35</f>
        <v>-55000</v>
      </c>
      <c r="AL35" s="209">
        <f>((AJ35/AI35)-1)*100</f>
        <v>-100</v>
      </c>
      <c r="AM35" s="209">
        <f>SUM(AM36)</f>
        <v>55000</v>
      </c>
      <c r="AN35" s="1557">
        <f>SUM(AN36)</f>
        <v>0</v>
      </c>
      <c r="AO35" s="209">
        <f>AN35-AM35</f>
        <v>-55000</v>
      </c>
      <c r="AP35" s="209">
        <f>((AN35/AM35)-1)*100</f>
        <v>-100</v>
      </c>
      <c r="AQ35" s="209">
        <f>SUM(AQ36)</f>
        <v>55000</v>
      </c>
      <c r="AR35" s="1557">
        <f>SUM(AR36)</f>
        <v>0</v>
      </c>
      <c r="AS35" s="209">
        <f>AR35-AQ35</f>
        <v>-55000</v>
      </c>
      <c r="AT35" s="209">
        <f>((AR35/AQ35)-1)*100</f>
        <v>-100</v>
      </c>
      <c r="AU35" s="209">
        <f>SUM(AU36)</f>
        <v>55000</v>
      </c>
      <c r="AV35" s="1557">
        <f>SUM(AV36)</f>
        <v>0</v>
      </c>
      <c r="AW35" s="209">
        <f>AV35-AU35</f>
        <v>-55000</v>
      </c>
      <c r="AX35" s="209">
        <f>((AV35/AU35)-1)*100</f>
        <v>-100</v>
      </c>
      <c r="AY35" s="209">
        <f t="shared" ref="AY35:AZ37" si="55">C35+G35+K35+O35+S35+W35+AA35+AE35+AI35+AM35+AQ35+AU35</f>
        <v>840000</v>
      </c>
      <c r="AZ35" s="1557">
        <f t="shared" si="55"/>
        <v>631680.07999999996</v>
      </c>
      <c r="BB35" s="1940"/>
      <c r="BC35" s="1258"/>
    </row>
    <row r="36" spans="1:55" s="11" customFormat="1" ht="18.75" customHeight="1" x14ac:dyDescent="0.25">
      <c r="A36" s="1941">
        <v>52497</v>
      </c>
      <c r="B36" s="1645" t="s">
        <v>3678</v>
      </c>
      <c r="C36" s="2712">
        <v>55000</v>
      </c>
      <c r="D36" s="2106">
        <v>0</v>
      </c>
      <c r="E36" s="2783">
        <f>D36-C36+D37</f>
        <v>76384.75</v>
      </c>
      <c r="F36" s="2776">
        <f>((D36+D37/C36)-1)*100</f>
        <v>138.88136363636363</v>
      </c>
      <c r="G36" s="2785">
        <f>C36</f>
        <v>55000</v>
      </c>
      <c r="H36" s="2069">
        <v>0</v>
      </c>
      <c r="I36" s="2783">
        <f>H36-G36+H37</f>
        <v>80806.59</v>
      </c>
      <c r="J36" s="2776">
        <f>((H36+H37/G36)-1)*100</f>
        <v>146.92107272727273</v>
      </c>
      <c r="K36" s="2712">
        <f>C36</f>
        <v>55000</v>
      </c>
      <c r="L36" s="2632">
        <v>0</v>
      </c>
      <c r="M36" s="2783">
        <f>L36-K36+L37</f>
        <v>90994.76999999999</v>
      </c>
      <c r="N36" s="2776">
        <f>((L36+L37/K36)-1)*100</f>
        <v>165.44503636363635</v>
      </c>
      <c r="O36" s="2785">
        <f>G36</f>
        <v>55000</v>
      </c>
      <c r="P36" s="1958"/>
      <c r="Q36" s="2783">
        <f>P36-O36+P37</f>
        <v>-55000</v>
      </c>
      <c r="R36" s="2776">
        <f>((P36+P37/O36)-1)*100</f>
        <v>-100</v>
      </c>
      <c r="S36" s="2777">
        <f>K36</f>
        <v>55000</v>
      </c>
      <c r="T36" s="1958"/>
      <c r="U36" s="2783">
        <f>T36-S36+T37</f>
        <v>-55000</v>
      </c>
      <c r="V36" s="2776">
        <f>((T36+T37/S36)-1)*100</f>
        <v>-100</v>
      </c>
      <c r="W36" s="2777">
        <f>O36</f>
        <v>55000</v>
      </c>
      <c r="X36" s="1958"/>
      <c r="Y36" s="2783">
        <f>X36-W36+X37</f>
        <v>-55000</v>
      </c>
      <c r="Z36" s="2776">
        <f>((X36+X37/W36)-1)*100</f>
        <v>-100</v>
      </c>
      <c r="AA36" s="2777">
        <f>S36</f>
        <v>55000</v>
      </c>
      <c r="AB36" s="1958"/>
      <c r="AC36" s="2783">
        <f>AB36-AA36+AB37</f>
        <v>-55000</v>
      </c>
      <c r="AD36" s="2776">
        <f>((AB36+AB37/AA36)-1)*100</f>
        <v>-100</v>
      </c>
      <c r="AE36" s="2777">
        <f>W36</f>
        <v>55000</v>
      </c>
      <c r="AF36" s="1958"/>
      <c r="AG36" s="2783">
        <f>AF36-AE36+AF37</f>
        <v>-55000</v>
      </c>
      <c r="AH36" s="2776">
        <f>((AF36+AF37/AE36)-1)*100</f>
        <v>-100</v>
      </c>
      <c r="AI36" s="2777">
        <f>AA36</f>
        <v>55000</v>
      </c>
      <c r="AJ36" s="1958"/>
      <c r="AK36" s="2783">
        <f>AJ36-AI36+AJ37</f>
        <v>-55000</v>
      </c>
      <c r="AL36" s="2776">
        <f>((AJ36+AJ37/AI36)-1)*100</f>
        <v>-100</v>
      </c>
      <c r="AM36" s="2777">
        <f>AE36</f>
        <v>55000</v>
      </c>
      <c r="AN36" s="1958"/>
      <c r="AO36" s="2783">
        <f>AN36-AM36+AN37</f>
        <v>-55000</v>
      </c>
      <c r="AP36" s="2776">
        <f>((AN36+AN37/AM36)-1)*100</f>
        <v>-100</v>
      </c>
      <c r="AQ36" s="2777">
        <f>AI36</f>
        <v>55000</v>
      </c>
      <c r="AR36" s="1958"/>
      <c r="AS36" s="2783">
        <f>AR36-AQ36+AR37</f>
        <v>-55000</v>
      </c>
      <c r="AT36" s="2776">
        <f>((AR36+AR37/AQ36)-1)*100</f>
        <v>-100</v>
      </c>
      <c r="AU36" s="2787">
        <f>AM36</f>
        <v>55000</v>
      </c>
      <c r="AV36" s="2632"/>
      <c r="AW36" s="2783">
        <f>AV36-AU36+AV37</f>
        <v>-55000</v>
      </c>
      <c r="AX36" s="2740">
        <f>((AV36+AV37/AU36)-1)*100</f>
        <v>-100</v>
      </c>
      <c r="AY36" s="1240">
        <f t="shared" si="55"/>
        <v>660000</v>
      </c>
      <c r="AZ36" s="1672">
        <f t="shared" si="55"/>
        <v>0</v>
      </c>
      <c r="BB36" s="1172"/>
    </row>
    <row r="37" spans="1:55" s="11" customFormat="1" ht="18.75" customHeight="1" thickBot="1" x14ac:dyDescent="0.3">
      <c r="A37" s="1636">
        <v>52302</v>
      </c>
      <c r="B37" s="1109" t="s">
        <v>3860</v>
      </c>
      <c r="C37" s="2713"/>
      <c r="D37" s="2107">
        <v>131384.75</v>
      </c>
      <c r="E37" s="2784"/>
      <c r="F37" s="2741"/>
      <c r="G37" s="2786"/>
      <c r="H37" s="1669">
        <f>VLOOKUP(A37,'[1]r_balancete_sc 02-2022'!$1:$1048576,9,0)</f>
        <v>135806.59</v>
      </c>
      <c r="I37" s="2784"/>
      <c r="J37" s="2741"/>
      <c r="K37" s="2713"/>
      <c r="L37" s="2633">
        <f>VLOOKUP(A37,'[2]bALANCETE ORÇAMENTO'!$1:$1048576,7,0)</f>
        <v>145994.76999999999</v>
      </c>
      <c r="M37" s="2784"/>
      <c r="N37" s="2741"/>
      <c r="O37" s="2786"/>
      <c r="P37" s="1959"/>
      <c r="Q37" s="2784"/>
      <c r="R37" s="2741"/>
      <c r="S37" s="2778"/>
      <c r="T37" s="1959"/>
      <c r="U37" s="2784"/>
      <c r="V37" s="2741"/>
      <c r="W37" s="2778"/>
      <c r="X37" s="1959"/>
      <c r="Y37" s="2784"/>
      <c r="Z37" s="2741"/>
      <c r="AA37" s="2778"/>
      <c r="AB37" s="1959"/>
      <c r="AC37" s="2784"/>
      <c r="AD37" s="2741"/>
      <c r="AE37" s="2778"/>
      <c r="AF37" s="1959"/>
      <c r="AG37" s="2784"/>
      <c r="AH37" s="2741"/>
      <c r="AI37" s="2778"/>
      <c r="AJ37" s="1959"/>
      <c r="AK37" s="2784"/>
      <c r="AL37" s="2741"/>
      <c r="AM37" s="2778"/>
      <c r="AN37" s="1959"/>
      <c r="AO37" s="2784"/>
      <c r="AP37" s="2741"/>
      <c r="AQ37" s="2778"/>
      <c r="AR37" s="1959"/>
      <c r="AS37" s="2784"/>
      <c r="AT37" s="2741"/>
      <c r="AU37" s="2788"/>
      <c r="AV37" s="2634"/>
      <c r="AW37" s="2784"/>
      <c r="AX37" s="2741"/>
      <c r="AY37" s="2063">
        <f t="shared" si="55"/>
        <v>0</v>
      </c>
      <c r="AZ37" s="2591">
        <f t="shared" si="55"/>
        <v>413186.11</v>
      </c>
      <c r="BA37" s="132"/>
      <c r="BB37" s="1172"/>
    </row>
    <row r="38" spans="1:55" s="1421" customFormat="1" ht="18.75" customHeight="1" x14ac:dyDescent="0.25">
      <c r="A38" s="1422">
        <v>5180</v>
      </c>
      <c r="B38" s="989" t="s">
        <v>3923</v>
      </c>
      <c r="C38" s="1597">
        <v>20000</v>
      </c>
      <c r="D38" s="2095">
        <v>32200</v>
      </c>
      <c r="E38" s="1621">
        <f>D38-C38</f>
        <v>12200</v>
      </c>
      <c r="F38" s="1621">
        <f>((D38/C38)-1)*100</f>
        <v>61.000000000000007</v>
      </c>
      <c r="G38" s="1620">
        <f>$C$38</f>
        <v>20000</v>
      </c>
      <c r="H38" s="2071">
        <f>VLOOKUP(A38,'[1]r_balancete_sc 02-2022'!$1:$1048576,9,0)</f>
        <v>85680</v>
      </c>
      <c r="I38" s="1621">
        <f>H38-G38</f>
        <v>65680</v>
      </c>
      <c r="J38" s="1621">
        <f>((H38/G38)-1)*100</f>
        <v>328.4</v>
      </c>
      <c r="K38" s="1589">
        <f>C38</f>
        <v>20000</v>
      </c>
      <c r="L38" s="1590">
        <f>VLOOKUP(A38,'[2]bALANCETE ORÇAMENTO'!$1:$1048576,7,0)</f>
        <v>47040</v>
      </c>
      <c r="M38" s="1621">
        <f>L38-K38</f>
        <v>27040</v>
      </c>
      <c r="N38" s="1621">
        <f>((L38/K38)-1)*100</f>
        <v>135.19999999999999</v>
      </c>
      <c r="O38" s="1589">
        <f>G38</f>
        <v>20000</v>
      </c>
      <c r="P38" s="1590"/>
      <c r="Q38" s="1621">
        <f>P38-O38</f>
        <v>-20000</v>
      </c>
      <c r="R38" s="1621">
        <f>((P38/O38)-1)*100</f>
        <v>-100</v>
      </c>
      <c r="S38" s="1589">
        <f>K38</f>
        <v>20000</v>
      </c>
      <c r="T38" s="1590"/>
      <c r="U38" s="1621">
        <f>T38-S38</f>
        <v>-20000</v>
      </c>
      <c r="V38" s="1621">
        <f>((T38/S38)-1)*100</f>
        <v>-100</v>
      </c>
      <c r="W38" s="1589">
        <f>O38</f>
        <v>20000</v>
      </c>
      <c r="X38" s="1590"/>
      <c r="Y38" s="1621">
        <f>X38-W38</f>
        <v>-20000</v>
      </c>
      <c r="Z38" s="1621">
        <f>((X38/W38)-1)*100</f>
        <v>-100</v>
      </c>
      <c r="AA38" s="1589">
        <f>S38</f>
        <v>20000</v>
      </c>
      <c r="AB38" s="1590"/>
      <c r="AC38" s="1621">
        <f>AB38-AA38</f>
        <v>-20000</v>
      </c>
      <c r="AD38" s="1621">
        <f>((AB38/AA38)-1)*100</f>
        <v>-100</v>
      </c>
      <c r="AE38" s="1589">
        <f>W38</f>
        <v>20000</v>
      </c>
      <c r="AF38" s="1590"/>
      <c r="AG38" s="1621">
        <f>AF38-AE38</f>
        <v>-20000</v>
      </c>
      <c r="AH38" s="1621">
        <f>((AF38/AE38)-1)*100</f>
        <v>-100</v>
      </c>
      <c r="AI38" s="1589">
        <f>AA38</f>
        <v>20000</v>
      </c>
      <c r="AJ38" s="1590"/>
      <c r="AK38" s="1621">
        <f>AJ38-AI38</f>
        <v>-20000</v>
      </c>
      <c r="AL38" s="1621">
        <f>((AJ38/AI38)-1)*100</f>
        <v>-100</v>
      </c>
      <c r="AM38" s="1589">
        <f>AE38</f>
        <v>20000</v>
      </c>
      <c r="AN38" s="1590"/>
      <c r="AO38" s="1621">
        <f>AN38-AM38</f>
        <v>-20000</v>
      </c>
      <c r="AP38" s="1621">
        <f>((AN38/AM38)-1)*100</f>
        <v>-100</v>
      </c>
      <c r="AQ38" s="1589">
        <f>AI38</f>
        <v>20000</v>
      </c>
      <c r="AR38" s="1590"/>
      <c r="AS38" s="1621">
        <f>AR38-AQ38</f>
        <v>-20000</v>
      </c>
      <c r="AT38" s="1621">
        <f>((AR38/AQ38)-1)*100</f>
        <v>-100</v>
      </c>
      <c r="AU38" s="1589">
        <f>AM38</f>
        <v>20000</v>
      </c>
      <c r="AV38" s="1590"/>
      <c r="AW38" s="1621">
        <f>AV38-AU38</f>
        <v>-20000</v>
      </c>
      <c r="AX38" s="1621">
        <f>((AV38/AU38)-1)*100</f>
        <v>-100</v>
      </c>
      <c r="AY38" s="2062">
        <f>C38+G38+K38+O38+S38+W38+AA38+AE38+AI38+AM38+AQ38+AU38</f>
        <v>240000</v>
      </c>
      <c r="AZ38" s="2081">
        <f>D38+H38+L38+P38+T38+X38+AB38+AF38+AJ38+AN38+AR38+AV38</f>
        <v>164920</v>
      </c>
      <c r="BB38" s="550"/>
    </row>
    <row r="39" spans="1:55" s="1421" customFormat="1" ht="18.75" customHeight="1" thickBot="1" x14ac:dyDescent="0.3">
      <c r="A39" s="155">
        <v>5193</v>
      </c>
      <c r="B39" s="384" t="s">
        <v>3924</v>
      </c>
      <c r="C39" s="1600">
        <v>10000</v>
      </c>
      <c r="D39" s="2093">
        <v>20942.689999999999</v>
      </c>
      <c r="E39" s="2628">
        <f>D39-C39</f>
        <v>10942.689999999999</v>
      </c>
      <c r="F39" s="2629">
        <f>((D39/C39)-1)*100</f>
        <v>109.42689999999997</v>
      </c>
      <c r="G39" s="2630">
        <f>$C$39</f>
        <v>10000</v>
      </c>
      <c r="H39" s="1669">
        <f>VLOOKUP(A39,'[1]r_balancete_sc 02-2022'!$1:$1048576,9,0)</f>
        <v>16079.8</v>
      </c>
      <c r="I39" s="2628">
        <f>H39-G39</f>
        <v>6079.7999999999993</v>
      </c>
      <c r="J39" s="2629">
        <f>((H39/G39)-1)*100</f>
        <v>60.797999999999995</v>
      </c>
      <c r="K39" s="2631">
        <f>C39</f>
        <v>10000</v>
      </c>
      <c r="L39" s="1601">
        <f>VLOOKUP(A39,'[2]bALANCETE ORÇAMENTO'!$1:$1048576,7,0)</f>
        <v>16551.48</v>
      </c>
      <c r="M39" s="2628">
        <f>L39-K39</f>
        <v>6551.48</v>
      </c>
      <c r="N39" s="2629">
        <f>((L39/K39)-1)*100</f>
        <v>65.514800000000008</v>
      </c>
      <c r="O39" s="2631">
        <f>G39</f>
        <v>10000</v>
      </c>
      <c r="P39" s="1601"/>
      <c r="Q39" s="2628">
        <f>P39-O39</f>
        <v>-10000</v>
      </c>
      <c r="R39" s="2629">
        <f>((P39/O39)-1)*100</f>
        <v>-100</v>
      </c>
      <c r="S39" s="2631">
        <f>K39</f>
        <v>10000</v>
      </c>
      <c r="T39" s="1601"/>
      <c r="U39" s="2628">
        <f>T39-S39</f>
        <v>-10000</v>
      </c>
      <c r="V39" s="2629">
        <f>((T39/S39)-1)*100</f>
        <v>-100</v>
      </c>
      <c r="W39" s="2631">
        <f>O39</f>
        <v>10000</v>
      </c>
      <c r="X39" s="1601"/>
      <c r="Y39" s="2628">
        <f>X39-W39</f>
        <v>-10000</v>
      </c>
      <c r="Z39" s="2629">
        <f>((X39/W39)-1)*100</f>
        <v>-100</v>
      </c>
      <c r="AA39" s="2631">
        <f>S39</f>
        <v>10000</v>
      </c>
      <c r="AB39" s="1601"/>
      <c r="AC39" s="2628">
        <f>AB39-AA39</f>
        <v>-10000</v>
      </c>
      <c r="AD39" s="2629">
        <f>((AB39/AA39)-1)*100</f>
        <v>-100</v>
      </c>
      <c r="AE39" s="2631">
        <f>W39</f>
        <v>10000</v>
      </c>
      <c r="AF39" s="1601"/>
      <c r="AG39" s="2628">
        <f>AF39-AE39</f>
        <v>-10000</v>
      </c>
      <c r="AH39" s="2629">
        <f>((AF39/AE39)-1)*100</f>
        <v>-100</v>
      </c>
      <c r="AI39" s="2631">
        <f>AA39</f>
        <v>10000</v>
      </c>
      <c r="AJ39" s="1601"/>
      <c r="AK39" s="2628">
        <f>AJ39-AI39</f>
        <v>-10000</v>
      </c>
      <c r="AL39" s="2629">
        <f>((AJ39/AI39)-1)*100</f>
        <v>-100</v>
      </c>
      <c r="AM39" s="2631">
        <f>AE39</f>
        <v>10000</v>
      </c>
      <c r="AN39" s="1601"/>
      <c r="AO39" s="2628">
        <f>AN39-AM39</f>
        <v>-10000</v>
      </c>
      <c r="AP39" s="2629">
        <f>((AN39/AM39)-1)*100</f>
        <v>-100</v>
      </c>
      <c r="AQ39" s="2631">
        <f>AI39</f>
        <v>10000</v>
      </c>
      <c r="AR39" s="1601"/>
      <c r="AS39" s="2628">
        <f>AR39-AQ39</f>
        <v>-10000</v>
      </c>
      <c r="AT39" s="2629">
        <f>((AR39/AQ39)-1)*100</f>
        <v>-100</v>
      </c>
      <c r="AU39" s="2631">
        <f>AM39</f>
        <v>10000</v>
      </c>
      <c r="AV39" s="1601"/>
      <c r="AW39" s="2628">
        <f>AV39-AU39</f>
        <v>-10000</v>
      </c>
      <c r="AX39" s="2629">
        <f>((AV39/AU39)-1)*100</f>
        <v>-100</v>
      </c>
      <c r="AY39" s="2063">
        <f>C39+G39+K39+O39+S39+W39+AA39+AE39+AI39+AM39+AQ39+AU39</f>
        <v>120000</v>
      </c>
      <c r="AZ39" s="2079">
        <f>D39+H39+L39+P39+T39+X39+AB39+AF39+AJ39+AN39+AR39+AV39</f>
        <v>53573.97</v>
      </c>
      <c r="BB39" s="550"/>
    </row>
    <row r="40" spans="1:55" s="11" customFormat="1" ht="18.75" customHeight="1" thickBot="1" x14ac:dyDescent="0.3">
      <c r="A40" s="1543"/>
      <c r="B40" s="185"/>
      <c r="C40" s="1960"/>
      <c r="D40" s="2017"/>
      <c r="E40" s="1539"/>
      <c r="F40" s="1960"/>
      <c r="G40" s="1960"/>
      <c r="H40" s="1961"/>
      <c r="I40" s="1539"/>
      <c r="J40" s="1960"/>
      <c r="K40" s="1960"/>
      <c r="L40" s="1961"/>
      <c r="M40" s="1539"/>
      <c r="N40" s="1960"/>
      <c r="O40" s="1960"/>
      <c r="P40" s="1961"/>
      <c r="Q40" s="1539"/>
      <c r="R40" s="1960"/>
      <c r="S40" s="1960"/>
      <c r="T40" s="1961"/>
      <c r="U40" s="1539"/>
      <c r="V40" s="1960"/>
      <c r="W40" s="1960"/>
      <c r="X40" s="1961"/>
      <c r="Y40" s="1539"/>
      <c r="Z40" s="1960"/>
      <c r="AA40" s="1960"/>
      <c r="AB40" s="1961"/>
      <c r="AC40" s="1539"/>
      <c r="AD40" s="1960"/>
      <c r="AE40" s="1960"/>
      <c r="AF40" s="1961"/>
      <c r="AG40" s="1539"/>
      <c r="AH40" s="1960"/>
      <c r="AI40" s="1960"/>
      <c r="AJ40" s="1961"/>
      <c r="AK40" s="1539"/>
      <c r="AL40" s="1960"/>
      <c r="AM40" s="1960"/>
      <c r="AN40" s="1961"/>
      <c r="AO40" s="1539"/>
      <c r="AP40" s="1960"/>
      <c r="AQ40" s="1960"/>
      <c r="AR40" s="1961"/>
      <c r="AS40" s="1539"/>
      <c r="AT40" s="1960"/>
      <c r="AU40" s="1960"/>
      <c r="AV40" s="1961"/>
      <c r="AW40" s="1539"/>
      <c r="AX40" s="1960"/>
      <c r="AY40" s="1962"/>
      <c r="AZ40" s="1962"/>
      <c r="BA40" s="132"/>
      <c r="BB40" s="1172"/>
    </row>
    <row r="41" spans="1:55" s="11" customFormat="1" ht="18.75" customHeight="1" thickBot="1" x14ac:dyDescent="0.3">
      <c r="A41" s="2702" t="s">
        <v>3928</v>
      </c>
      <c r="B41" s="2703"/>
      <c r="C41" s="2649">
        <f>SUM(C42:C43)</f>
        <v>1000</v>
      </c>
      <c r="D41" s="2609">
        <f>SUM(D42:D43)</f>
        <v>3169.89</v>
      </c>
      <c r="E41" s="1234">
        <f>D41-C41</f>
        <v>2169.89</v>
      </c>
      <c r="F41" s="2614"/>
      <c r="G41" s="2650">
        <f>SUM(G42)</f>
        <v>1000</v>
      </c>
      <c r="H41" s="2341">
        <f>SUM(H42)</f>
        <v>0.35</v>
      </c>
      <c r="I41" s="2187">
        <f>H41-G41</f>
        <v>-999.65</v>
      </c>
      <c r="J41" s="2614"/>
      <c r="K41" s="2650">
        <f>SUM(K42)</f>
        <v>1000</v>
      </c>
      <c r="L41" s="2608">
        <f>SUM(L42)</f>
        <v>765.93</v>
      </c>
      <c r="M41" s="2465">
        <f>L41-K41</f>
        <v>-234.07000000000005</v>
      </c>
      <c r="N41" s="2614"/>
      <c r="O41" s="2610"/>
      <c r="P41" s="2616"/>
      <c r="Q41" s="2187"/>
      <c r="R41" s="2608"/>
      <c r="S41" s="2608"/>
      <c r="T41" s="2616"/>
      <c r="U41" s="1234"/>
      <c r="V41" s="2614"/>
      <c r="W41" s="2610"/>
      <c r="X41" s="2616"/>
      <c r="Y41" s="2465"/>
      <c r="Z41" s="2614"/>
      <c r="AA41" s="2608"/>
      <c r="AB41" s="2615"/>
      <c r="AC41" s="1234"/>
      <c r="AD41" s="2610"/>
      <c r="AE41" s="2614"/>
      <c r="AF41" s="2611"/>
      <c r="AG41" s="1234"/>
      <c r="AH41" s="2610"/>
      <c r="AI41" s="2608"/>
      <c r="AJ41" s="2615"/>
      <c r="AK41" s="2465"/>
      <c r="AL41" s="2614"/>
      <c r="AM41" s="2614"/>
      <c r="AN41" s="2616"/>
      <c r="AO41" s="1234"/>
      <c r="AP41" s="2610"/>
      <c r="AQ41" s="2614"/>
      <c r="AR41" s="2616"/>
      <c r="AS41" s="1234"/>
      <c r="AT41" s="2617"/>
      <c r="AU41" s="2610"/>
      <c r="AV41" s="2615"/>
      <c r="AW41" s="1234"/>
      <c r="AX41" s="2614"/>
      <c r="AY41" s="2612"/>
      <c r="AZ41" s="2618"/>
      <c r="BA41" s="132"/>
      <c r="BB41" s="1172"/>
    </row>
    <row r="42" spans="1:55" s="1421" customFormat="1" ht="18.75" customHeight="1" x14ac:dyDescent="0.25">
      <c r="A42" s="1422">
        <v>5194</v>
      </c>
      <c r="B42" s="1424" t="s">
        <v>20</v>
      </c>
      <c r="C42" s="2604">
        <v>1000</v>
      </c>
      <c r="D42" s="2605">
        <v>0.08</v>
      </c>
      <c r="E42" s="2606">
        <f>D42-C42</f>
        <v>-999.92</v>
      </c>
      <c r="F42" s="2606">
        <f>((D42/C42)-1)*100</f>
        <v>-99.992000000000004</v>
      </c>
      <c r="G42" s="1631">
        <f>$C$42</f>
        <v>1000</v>
      </c>
      <c r="H42" s="2579">
        <f>VLOOKUP(A42,'[1]r_balancete_sc 02-2022'!$1:$1048576,9,0)</f>
        <v>0.35</v>
      </c>
      <c r="I42" s="2606">
        <f>H42-G42</f>
        <v>-999.65</v>
      </c>
      <c r="J42" s="2606">
        <f>((H42/G42)-1)*100</f>
        <v>-99.965000000000003</v>
      </c>
      <c r="K42" s="1604">
        <f>C42</f>
        <v>1000</v>
      </c>
      <c r="L42" s="2607">
        <f>VLOOKUP(A42,'[2]bALANCETE ORÇAMENTO'!$1:$1048576,7,0)</f>
        <v>765.93</v>
      </c>
      <c r="M42" s="2606">
        <f>L42-K42</f>
        <v>-234.07000000000005</v>
      </c>
      <c r="N42" s="2606">
        <f>((L42/K42)-1)*100</f>
        <v>-23.407</v>
      </c>
      <c r="O42" s="1604">
        <f>G42</f>
        <v>1000</v>
      </c>
      <c r="P42" s="2607"/>
      <c r="Q42" s="2606">
        <f>P42-O42</f>
        <v>-1000</v>
      </c>
      <c r="R42" s="2606">
        <f>((P42/O42)-1)*100</f>
        <v>-100</v>
      </c>
      <c r="S42" s="1604">
        <f>K42</f>
        <v>1000</v>
      </c>
      <c r="T42" s="2607"/>
      <c r="U42" s="2606">
        <f>T42-S42</f>
        <v>-1000</v>
      </c>
      <c r="V42" s="2606">
        <f>((T42/S42)-1)*100</f>
        <v>-100</v>
      </c>
      <c r="W42" s="1604">
        <f>O42</f>
        <v>1000</v>
      </c>
      <c r="X42" s="2607"/>
      <c r="Y42" s="2606">
        <f>X42-W42</f>
        <v>-1000</v>
      </c>
      <c r="Z42" s="2606">
        <f>((X42/W42)-1)*100</f>
        <v>-100</v>
      </c>
      <c r="AA42" s="1604">
        <f>S42</f>
        <v>1000</v>
      </c>
      <c r="AB42" s="2607"/>
      <c r="AC42" s="2606">
        <f>AB42-AA42</f>
        <v>-1000</v>
      </c>
      <c r="AD42" s="2606">
        <f>((AB42/AA42)-1)*100</f>
        <v>-100</v>
      </c>
      <c r="AE42" s="1604">
        <f>W42</f>
        <v>1000</v>
      </c>
      <c r="AF42" s="2607"/>
      <c r="AG42" s="2606">
        <f>AF42-AE42</f>
        <v>-1000</v>
      </c>
      <c r="AH42" s="2606">
        <f>((AF42/AE42)-1)*100</f>
        <v>-100</v>
      </c>
      <c r="AI42" s="1604">
        <f>AA42</f>
        <v>1000</v>
      </c>
      <c r="AJ42" s="2607"/>
      <c r="AK42" s="2606">
        <f>AJ42-AI42</f>
        <v>-1000</v>
      </c>
      <c r="AL42" s="2606">
        <f>((AJ42/AI42)-1)*100</f>
        <v>-100</v>
      </c>
      <c r="AM42" s="1604">
        <f>AE42</f>
        <v>1000</v>
      </c>
      <c r="AN42" s="2607"/>
      <c r="AO42" s="2606">
        <f>AN42-AM42</f>
        <v>-1000</v>
      </c>
      <c r="AP42" s="2606">
        <f>((AN42/AM42)-1)*100</f>
        <v>-100</v>
      </c>
      <c r="AQ42" s="1604">
        <f>AI42</f>
        <v>1000</v>
      </c>
      <c r="AR42" s="2607"/>
      <c r="AS42" s="2606">
        <f>AR42-AQ42</f>
        <v>-1000</v>
      </c>
      <c r="AT42" s="2606">
        <f>((AR42/AQ42)-1)*100</f>
        <v>-100</v>
      </c>
      <c r="AU42" s="1604">
        <f>AM42</f>
        <v>1000</v>
      </c>
      <c r="AV42" s="2607"/>
      <c r="AW42" s="2606">
        <f>AV42-AU42</f>
        <v>-1000</v>
      </c>
      <c r="AX42" s="2606">
        <f>((AV42/AU42)-1)*100</f>
        <v>-100</v>
      </c>
      <c r="AY42" s="2061">
        <f>C42+G42+K42+O42+S42+W42+AA42+AE42+AI42+AM42+AQ42+AU42</f>
        <v>12000</v>
      </c>
      <c r="AZ42" s="1672">
        <f>D42+H42+L42+P42+T42+X42+AB42+AF42+AJ42+AN42+AR42+AV42</f>
        <v>766.3599999999999</v>
      </c>
      <c r="BB42" s="550"/>
    </row>
    <row r="43" spans="1:55" s="1421" customFormat="1" ht="18.75" customHeight="1" thickBot="1" x14ac:dyDescent="0.3">
      <c r="A43" s="155">
        <v>5195</v>
      </c>
      <c r="B43" s="384" t="s">
        <v>3929</v>
      </c>
      <c r="C43" s="2640">
        <v>0</v>
      </c>
      <c r="D43" s="2641">
        <v>3169.81</v>
      </c>
      <c r="E43" s="2644">
        <f>D43-C43</f>
        <v>3169.81</v>
      </c>
      <c r="F43" s="2636">
        <v>0</v>
      </c>
      <c r="G43" s="2630">
        <v>0</v>
      </c>
      <c r="H43" s="1669">
        <f>VLOOKUP(A43,'[1]r_balancete_sc 02-2022'!$1:$1048576,9,0)</f>
        <v>0.2</v>
      </c>
      <c r="I43" s="2644">
        <f>H43-G43</f>
        <v>0.2</v>
      </c>
      <c r="J43" s="2636">
        <v>0</v>
      </c>
      <c r="K43" s="2631">
        <f>C43</f>
        <v>0</v>
      </c>
      <c r="L43" s="1601">
        <f>VLOOKUP(A43,'[2]bALANCETE ORÇAMENTO'!$1:$1048576,7,0)</f>
        <v>6582.66</v>
      </c>
      <c r="M43" s="2644">
        <f>L43-K43</f>
        <v>6582.66</v>
      </c>
      <c r="N43" s="2636">
        <v>0</v>
      </c>
      <c r="O43" s="2631"/>
      <c r="P43" s="1601"/>
      <c r="Q43" s="2644">
        <f>P43-O43</f>
        <v>0</v>
      </c>
      <c r="R43" s="2636">
        <v>0</v>
      </c>
      <c r="S43" s="2631">
        <f>K43</f>
        <v>0</v>
      </c>
      <c r="T43" s="1601"/>
      <c r="U43" s="2644">
        <f>T43-S43</f>
        <v>0</v>
      </c>
      <c r="V43" s="2636">
        <v>0</v>
      </c>
      <c r="W43" s="2631"/>
      <c r="X43" s="1601"/>
      <c r="Y43" s="2644">
        <f>X43-W43</f>
        <v>0</v>
      </c>
      <c r="Z43" s="2636">
        <v>0</v>
      </c>
      <c r="AA43" s="2631">
        <f>S43</f>
        <v>0</v>
      </c>
      <c r="AB43" s="1601"/>
      <c r="AC43" s="2644">
        <f>AB43-AA43</f>
        <v>0</v>
      </c>
      <c r="AD43" s="2636">
        <v>0</v>
      </c>
      <c r="AE43" s="2631">
        <v>0</v>
      </c>
      <c r="AF43" s="1601"/>
      <c r="AG43" s="2644">
        <f>AF43-AE43</f>
        <v>0</v>
      </c>
      <c r="AH43" s="2636">
        <v>0</v>
      </c>
      <c r="AI43" s="2631">
        <f>AA43</f>
        <v>0</v>
      </c>
      <c r="AJ43" s="1601"/>
      <c r="AK43" s="2644">
        <f>AJ43-AI43</f>
        <v>0</v>
      </c>
      <c r="AL43" s="2636">
        <v>0</v>
      </c>
      <c r="AM43" s="2631">
        <f>AE43</f>
        <v>0</v>
      </c>
      <c r="AN43" s="1601"/>
      <c r="AO43" s="2644">
        <f>AN43-AM43</f>
        <v>0</v>
      </c>
      <c r="AP43" s="2636">
        <v>0</v>
      </c>
      <c r="AQ43" s="2631">
        <f>AI43</f>
        <v>0</v>
      </c>
      <c r="AR43" s="1601"/>
      <c r="AS43" s="2644">
        <f>AR43-AQ43</f>
        <v>0</v>
      </c>
      <c r="AT43" s="2636">
        <v>0</v>
      </c>
      <c r="AU43" s="2631">
        <f>AM43</f>
        <v>0</v>
      </c>
      <c r="AV43" s="1601"/>
      <c r="AW43" s="2644">
        <f>AV43-AU43</f>
        <v>0</v>
      </c>
      <c r="AX43" s="2636">
        <v>0</v>
      </c>
      <c r="AY43" s="2063">
        <f>C43+G43+K43+O43+S43+W43+AA43+AE43+AI43+AM43+AQ43+AU43</f>
        <v>0</v>
      </c>
      <c r="AZ43" s="2079">
        <f>D43+H43+L43+P43+T43+X43+AB43+AF43+AJ43+AN43+AR43+AV43</f>
        <v>9752.67</v>
      </c>
      <c r="BB43" s="550"/>
    </row>
    <row r="44" spans="1:55" s="11" customFormat="1" ht="18.75" customHeight="1" thickBot="1" x14ac:dyDescent="0.3">
      <c r="A44" s="1543"/>
      <c r="B44" s="185"/>
      <c r="C44" s="1960"/>
      <c r="D44" s="2017"/>
      <c r="E44" s="1539"/>
      <c r="F44" s="1960"/>
      <c r="G44" s="1960"/>
      <c r="H44" s="1961"/>
      <c r="I44" s="1539"/>
      <c r="J44" s="1960"/>
      <c r="K44" s="1960"/>
      <c r="L44" s="1961"/>
      <c r="M44" s="1539"/>
      <c r="N44" s="1960"/>
      <c r="O44" s="1960"/>
      <c r="P44" s="1961"/>
      <c r="Q44" s="1539"/>
      <c r="R44" s="1960"/>
      <c r="S44" s="1960"/>
      <c r="T44" s="1961"/>
      <c r="U44" s="1539"/>
      <c r="V44" s="1960"/>
      <c r="W44" s="1960"/>
      <c r="X44" s="1961"/>
      <c r="Y44" s="1539"/>
      <c r="Z44" s="1960"/>
      <c r="AA44" s="1960"/>
      <c r="AB44" s="1961"/>
      <c r="AC44" s="1539"/>
      <c r="AD44" s="1960"/>
      <c r="AE44" s="1960"/>
      <c r="AF44" s="1961"/>
      <c r="AG44" s="1539"/>
      <c r="AH44" s="1960"/>
      <c r="AI44" s="1960"/>
      <c r="AJ44" s="1961"/>
      <c r="AK44" s="1539"/>
      <c r="AL44" s="1960"/>
      <c r="AM44" s="1960"/>
      <c r="AN44" s="1961"/>
      <c r="AO44" s="1539"/>
      <c r="AP44" s="1960"/>
      <c r="AQ44" s="1960"/>
      <c r="AR44" s="1961"/>
      <c r="AS44" s="1539"/>
      <c r="AT44" s="1960"/>
      <c r="AU44" s="1960"/>
      <c r="AV44" s="1961"/>
      <c r="AW44" s="1539"/>
      <c r="AX44" s="1960"/>
      <c r="AY44" s="1962"/>
      <c r="AZ44" s="1962"/>
      <c r="BA44" s="132"/>
      <c r="BB44" s="1172"/>
    </row>
    <row r="45" spans="1:55" s="11" customFormat="1" ht="18.75" customHeight="1" thickBot="1" x14ac:dyDescent="0.3">
      <c r="A45" s="2702" t="s">
        <v>3931</v>
      </c>
      <c r="B45" s="2703"/>
      <c r="C45" s="2608">
        <f>SUM(C46:C52)</f>
        <v>213916.22</v>
      </c>
      <c r="D45" s="2609">
        <f>SUM(D46:D52)</f>
        <v>1541020.57</v>
      </c>
      <c r="E45" s="2187"/>
      <c r="F45" s="2610"/>
      <c r="G45" s="2610"/>
      <c r="H45" s="2611"/>
      <c r="I45" s="2187"/>
      <c r="J45" s="2610"/>
      <c r="K45" s="2610"/>
      <c r="L45" s="2611"/>
      <c r="M45" s="2187"/>
      <c r="N45" s="2610"/>
      <c r="O45" s="2610"/>
      <c r="P45" s="2611"/>
      <c r="Q45" s="2187"/>
      <c r="R45" s="2610"/>
      <c r="S45" s="2610"/>
      <c r="T45" s="2611"/>
      <c r="U45" s="2187"/>
      <c r="V45" s="2610"/>
      <c r="W45" s="2610"/>
      <c r="X45" s="2611"/>
      <c r="Y45" s="2187"/>
      <c r="Z45" s="2610"/>
      <c r="AA45" s="2610"/>
      <c r="AB45" s="2611"/>
      <c r="AC45" s="2187"/>
      <c r="AD45" s="2610"/>
      <c r="AE45" s="2610"/>
      <c r="AF45" s="2611"/>
      <c r="AG45" s="2187"/>
      <c r="AH45" s="2610"/>
      <c r="AI45" s="2610"/>
      <c r="AJ45" s="2611"/>
      <c r="AK45" s="2187"/>
      <c r="AL45" s="2610"/>
      <c r="AM45" s="2610"/>
      <c r="AN45" s="2611"/>
      <c r="AO45" s="2187"/>
      <c r="AP45" s="2610"/>
      <c r="AQ45" s="2610"/>
      <c r="AR45" s="2611"/>
      <c r="AS45" s="2187"/>
      <c r="AT45" s="2610"/>
      <c r="AU45" s="2610"/>
      <c r="AV45" s="2611"/>
      <c r="AW45" s="2187"/>
      <c r="AX45" s="2610"/>
      <c r="AY45" s="2612"/>
      <c r="AZ45" s="2613"/>
      <c r="BA45" s="132"/>
      <c r="BB45" s="1172"/>
    </row>
    <row r="46" spans="1:55" s="1421" customFormat="1" ht="18.75" customHeight="1" thickBot="1" x14ac:dyDescent="0.3">
      <c r="A46" s="1422">
        <v>40786</v>
      </c>
      <c r="B46" s="1424" t="s">
        <v>16</v>
      </c>
      <c r="C46" s="2604">
        <f>3202.97+5713.25</f>
        <v>8916.2199999999993</v>
      </c>
      <c r="D46" s="2619">
        <v>8916.2199999999993</v>
      </c>
      <c r="E46" s="2620">
        <f>D46-C46</f>
        <v>0</v>
      </c>
      <c r="F46" s="2606">
        <f>((D46/C46)-1)*100</f>
        <v>0</v>
      </c>
      <c r="G46" s="1631">
        <f>$C$46</f>
        <v>8916.2199999999993</v>
      </c>
      <c r="H46" s="1664">
        <f>VLOOKUP(A46,'[1]r_balancete_sc 02-2022'!$1:$1048576,9,0)</f>
        <v>8916.2199999999993</v>
      </c>
      <c r="I46" s="2620">
        <f>H46-G46</f>
        <v>0</v>
      </c>
      <c r="J46" s="2606">
        <f>((H46/G46)-1)*100</f>
        <v>0</v>
      </c>
      <c r="K46" s="1604">
        <f>C46</f>
        <v>8916.2199999999993</v>
      </c>
      <c r="L46" s="2607">
        <f>VLOOKUP(A46,'[2]bALANCETE ORÇAMENTO'!$1:$1048576,7,0)</f>
        <v>8916.2199999999993</v>
      </c>
      <c r="M46" s="2620">
        <f>L46-K46</f>
        <v>0</v>
      </c>
      <c r="N46" s="2606">
        <f>((L46/K46)-1)*100</f>
        <v>0</v>
      </c>
      <c r="O46" s="1604">
        <f>G46</f>
        <v>8916.2199999999993</v>
      </c>
      <c r="P46" s="2607"/>
      <c r="Q46" s="2620">
        <f>P46-O46</f>
        <v>-8916.2199999999993</v>
      </c>
      <c r="R46" s="2606">
        <f>((P46/O46)-1)*100</f>
        <v>-100</v>
      </c>
      <c r="S46" s="1604">
        <f>K46</f>
        <v>8916.2199999999993</v>
      </c>
      <c r="T46" s="2607"/>
      <c r="U46" s="2620">
        <f>T46-S46</f>
        <v>-8916.2199999999993</v>
      </c>
      <c r="V46" s="2606">
        <f>((T46/S46)-1)*100</f>
        <v>-100</v>
      </c>
      <c r="W46" s="1604">
        <f>S46</f>
        <v>8916.2199999999993</v>
      </c>
      <c r="X46" s="2607"/>
      <c r="Y46" s="2620">
        <f>X46-W46</f>
        <v>-8916.2199999999993</v>
      </c>
      <c r="Z46" s="2606">
        <f>((X46/W46)-1)*100</f>
        <v>-100</v>
      </c>
      <c r="AA46" s="1604">
        <f>W46+8000</f>
        <v>16916.22</v>
      </c>
      <c r="AB46" s="2607"/>
      <c r="AC46" s="2620">
        <f>AB46-AA46</f>
        <v>-16916.22</v>
      </c>
      <c r="AD46" s="2606">
        <f>((AB46/AA46)-1)*100</f>
        <v>-100</v>
      </c>
      <c r="AE46" s="1604">
        <f>AA46</f>
        <v>16916.22</v>
      </c>
      <c r="AF46" s="2607"/>
      <c r="AG46" s="2620">
        <f>AF46-AE46</f>
        <v>-16916.22</v>
      </c>
      <c r="AH46" s="2606">
        <f>((AF46/AE46)-1)*100</f>
        <v>-100</v>
      </c>
      <c r="AI46" s="1604">
        <f>AE46</f>
        <v>16916.22</v>
      </c>
      <c r="AJ46" s="2607"/>
      <c r="AK46" s="2620">
        <f>AJ46-AI46</f>
        <v>-16916.22</v>
      </c>
      <c r="AL46" s="2606">
        <f>((AJ46/AI46)-1)*100</f>
        <v>-100</v>
      </c>
      <c r="AM46" s="1604">
        <f>AI46</f>
        <v>16916.22</v>
      </c>
      <c r="AN46" s="2607"/>
      <c r="AO46" s="2620">
        <f>AN46-AM46</f>
        <v>-16916.22</v>
      </c>
      <c r="AP46" s="2606">
        <f>((AN46/AM46)-1)*100</f>
        <v>-100</v>
      </c>
      <c r="AQ46" s="1604">
        <f>AM46</f>
        <v>16916.22</v>
      </c>
      <c r="AR46" s="2607"/>
      <c r="AS46" s="2620">
        <f>AR46-AQ46</f>
        <v>-16916.22</v>
      </c>
      <c r="AT46" s="2606">
        <f>((AR46/AQ46)-1)*100</f>
        <v>-100</v>
      </c>
      <c r="AU46" s="1604">
        <f>AQ46</f>
        <v>16916.22</v>
      </c>
      <c r="AV46" s="2607"/>
      <c r="AW46" s="2620">
        <f>AV46-AU46</f>
        <v>-16916.22</v>
      </c>
      <c r="AX46" s="2606">
        <f>((AV46/AU46)-1)*100</f>
        <v>-100</v>
      </c>
      <c r="AY46" s="2061">
        <f>C46+G46+K46+O46+S46+W46+AA46+AE46+AI46+AM46+AQ46+AU46</f>
        <v>154994.64000000001</v>
      </c>
      <c r="AZ46" s="1672">
        <f>D46+H46+L46+P46+T46+X46+AB46+AF46+AJ46+AN46+AR46+AV46</f>
        <v>26748.659999999996</v>
      </c>
      <c r="BB46" s="550"/>
    </row>
    <row r="47" spans="1:55" s="1421" customFormat="1" ht="18.75" customHeight="1" x14ac:dyDescent="0.25">
      <c r="A47" s="1422">
        <v>12258</v>
      </c>
      <c r="B47" s="331" t="s">
        <v>3859</v>
      </c>
      <c r="C47" s="2738">
        <v>75000</v>
      </c>
      <c r="D47" s="2092">
        <v>8201.7900000000009</v>
      </c>
      <c r="E47" s="2779">
        <f>D47+D48-C47</f>
        <v>200046.28999999998</v>
      </c>
      <c r="F47" s="2736">
        <f>(((D47+D48)/C47)-1)*100</f>
        <v>266.72838666666661</v>
      </c>
      <c r="G47" s="2738">
        <f>$C$47</f>
        <v>75000</v>
      </c>
      <c r="H47" s="1608">
        <f>VLOOKUP(A47,'[1]r_balancete_sc 02-2022'!$1:$1048576,9,0)</f>
        <v>31995.200000000001</v>
      </c>
      <c r="I47" s="2779">
        <f>H47+H48-G47</f>
        <v>212584.82</v>
      </c>
      <c r="J47" s="2736">
        <f>(((H47+H48)/G47)-1)*100</f>
        <v>283.44642666666664</v>
      </c>
      <c r="K47" s="2738">
        <f>C47</f>
        <v>75000</v>
      </c>
      <c r="L47" s="1629">
        <f>VLOOKUP(A47,'[2]bALANCETE ORÇAMENTO'!$1:$1048576,7,0)</f>
        <v>22351.94</v>
      </c>
      <c r="M47" s="2779">
        <f>L47+L48-K47</f>
        <v>215902.97999999998</v>
      </c>
      <c r="N47" s="2736">
        <f>(((L47+L48)/K47)-1)*100</f>
        <v>287.87063999999998</v>
      </c>
      <c r="O47" s="2738">
        <f>G47</f>
        <v>75000</v>
      </c>
      <c r="P47" s="1629"/>
      <c r="Q47" s="2779">
        <f>P47+P48-O47</f>
        <v>-75000</v>
      </c>
      <c r="R47" s="2736">
        <f>(((P47+P48)/O47)-1)*100</f>
        <v>-100</v>
      </c>
      <c r="S47" s="2738">
        <f>K47</f>
        <v>75000</v>
      </c>
      <c r="T47" s="1629"/>
      <c r="U47" s="2779">
        <f>T47+T48-S47</f>
        <v>-75000</v>
      </c>
      <c r="V47" s="2736">
        <f>(((T47+T48)/S47)-1)*100</f>
        <v>-100</v>
      </c>
      <c r="W47" s="2738">
        <f>O47</f>
        <v>75000</v>
      </c>
      <c r="X47" s="1629"/>
      <c r="Y47" s="2779">
        <f>X47+X48-W47</f>
        <v>-75000</v>
      </c>
      <c r="Z47" s="2736">
        <f>(((X47+X48)/W47)-1)*100</f>
        <v>-100</v>
      </c>
      <c r="AA47" s="2738">
        <f>S47</f>
        <v>75000</v>
      </c>
      <c r="AB47" s="1629"/>
      <c r="AC47" s="2779">
        <f>AB47+AB48-AA47</f>
        <v>-75000</v>
      </c>
      <c r="AD47" s="2736">
        <f>(((AB47+AB48)/AA47)-1)*100</f>
        <v>-100</v>
      </c>
      <c r="AE47" s="2738">
        <f>W47</f>
        <v>75000</v>
      </c>
      <c r="AF47" s="1629"/>
      <c r="AG47" s="2779">
        <f>AF47+AF48-AE47</f>
        <v>-75000</v>
      </c>
      <c r="AH47" s="2736">
        <f>(((AF47+AF48)/AE47)-1)*100</f>
        <v>-100</v>
      </c>
      <c r="AI47" s="2738">
        <f>AA47</f>
        <v>75000</v>
      </c>
      <c r="AJ47" s="1629"/>
      <c r="AK47" s="2779">
        <f>AJ47+AJ48-AI47</f>
        <v>-75000</v>
      </c>
      <c r="AL47" s="2736">
        <f>(((AJ47+AJ48)/AI47)-1)*100</f>
        <v>-100</v>
      </c>
      <c r="AM47" s="2738">
        <f>AE47</f>
        <v>75000</v>
      </c>
      <c r="AN47" s="1629"/>
      <c r="AO47" s="2779">
        <f>AN47+AN48-AM47</f>
        <v>-75000</v>
      </c>
      <c r="AP47" s="2736">
        <f>(((AN47+AN48)/AM47)-1)*100</f>
        <v>-100</v>
      </c>
      <c r="AQ47" s="2738">
        <f>AI47</f>
        <v>75000</v>
      </c>
      <c r="AR47" s="1629"/>
      <c r="AS47" s="2779">
        <f>AR47+AR48-AQ47</f>
        <v>-75000</v>
      </c>
      <c r="AT47" s="2736">
        <f>(((AR47+AR48)/AQ47)-1)*100</f>
        <v>-100</v>
      </c>
      <c r="AU47" s="2738">
        <f>AM47</f>
        <v>75000</v>
      </c>
      <c r="AV47" s="1629"/>
      <c r="AW47" s="2738">
        <f>AV47+AV48-AU47</f>
        <v>-75000</v>
      </c>
      <c r="AX47" s="2736">
        <f>(((AV47+AV48)/AU47)-1)*100</f>
        <v>-100</v>
      </c>
      <c r="AY47" s="2721">
        <f>C47+G47+K47+O47+S47+W47+AA47+AE47+AI47+AM47+AQ47+AU47</f>
        <v>900000</v>
      </c>
      <c r="AZ47" s="2189">
        <f>D47+H47+L47+P47+T47+X47+AB47+AF47+AJ47+AN47+AR47+AV47</f>
        <v>62548.930000000008</v>
      </c>
      <c r="BB47" s="550"/>
    </row>
    <row r="48" spans="1:55" s="1421" customFormat="1" ht="18.75" customHeight="1" thickBot="1" x14ac:dyDescent="0.3">
      <c r="A48" s="1422">
        <v>12474</v>
      </c>
      <c r="B48" s="384" t="s">
        <v>3858</v>
      </c>
      <c r="C48" s="2739"/>
      <c r="D48" s="2093">
        <v>266844.5</v>
      </c>
      <c r="E48" s="2780"/>
      <c r="F48" s="2737"/>
      <c r="G48" s="2739"/>
      <c r="H48" s="2070">
        <f>VLOOKUP(A48,'[1]r_balancete_sc 02-2022'!$1:$1048576,9,0)</f>
        <v>255589.62</v>
      </c>
      <c r="I48" s="2780"/>
      <c r="J48" s="2737"/>
      <c r="K48" s="2739"/>
      <c r="L48" s="1630">
        <f>VLOOKUP(A48,'[2]bALANCETE ORÇAMENTO'!$1:$1048576,7,0)</f>
        <v>268551.03999999998</v>
      </c>
      <c r="M48" s="2780"/>
      <c r="N48" s="2737"/>
      <c r="O48" s="2739"/>
      <c r="P48" s="1630"/>
      <c r="Q48" s="2780"/>
      <c r="R48" s="2737"/>
      <c r="S48" s="2739"/>
      <c r="T48" s="1630"/>
      <c r="U48" s="2780"/>
      <c r="V48" s="2737"/>
      <c r="W48" s="2739"/>
      <c r="X48" s="1630"/>
      <c r="Y48" s="2780"/>
      <c r="Z48" s="2737"/>
      <c r="AA48" s="2739"/>
      <c r="AB48" s="1630"/>
      <c r="AC48" s="2780"/>
      <c r="AD48" s="2737"/>
      <c r="AE48" s="2739"/>
      <c r="AF48" s="1630"/>
      <c r="AG48" s="2780"/>
      <c r="AH48" s="2737"/>
      <c r="AI48" s="2739"/>
      <c r="AJ48" s="1630"/>
      <c r="AK48" s="2780"/>
      <c r="AL48" s="2737"/>
      <c r="AM48" s="2739"/>
      <c r="AN48" s="1630"/>
      <c r="AO48" s="2780"/>
      <c r="AP48" s="2737"/>
      <c r="AQ48" s="2739"/>
      <c r="AR48" s="1630"/>
      <c r="AS48" s="2780"/>
      <c r="AT48" s="2737"/>
      <c r="AU48" s="2739"/>
      <c r="AV48" s="1630"/>
      <c r="AW48" s="2739"/>
      <c r="AX48" s="2737"/>
      <c r="AY48" s="2723"/>
      <c r="AZ48" s="2079">
        <v>0</v>
      </c>
      <c r="BB48" s="550"/>
    </row>
    <row r="49" spans="1:55" s="146" customFormat="1" ht="18.75" customHeight="1" thickBot="1" x14ac:dyDescent="0.3">
      <c r="A49" s="1943">
        <v>55290</v>
      </c>
      <c r="B49" s="384" t="s">
        <v>3832</v>
      </c>
      <c r="C49" s="2086">
        <v>0</v>
      </c>
      <c r="D49" s="2085">
        <v>0</v>
      </c>
      <c r="E49" s="1951">
        <f>D49-C49</f>
        <v>0</v>
      </c>
      <c r="F49" s="1951">
        <v>0</v>
      </c>
      <c r="G49" s="1600">
        <v>0</v>
      </c>
      <c r="H49" s="1669">
        <f>VLOOKUP(A49,'[1]r_balancete_sc 02-2022'!$1:$1048576,9,0)</f>
        <v>27777.78</v>
      </c>
      <c r="I49" s="1951">
        <f>H49-G49</f>
        <v>27777.78</v>
      </c>
      <c r="J49" s="1951">
        <v>0</v>
      </c>
      <c r="K49" s="1600">
        <f>C49</f>
        <v>0</v>
      </c>
      <c r="L49" s="2064">
        <f>VLOOKUP(A49,'[2]bALANCETE ORÇAMENTO'!$1:$1048576,7,0)</f>
        <v>27777.78</v>
      </c>
      <c r="M49" s="1951">
        <f>L49-K49</f>
        <v>27777.78</v>
      </c>
      <c r="N49" s="1951">
        <v>0</v>
      </c>
      <c r="O49" s="1600"/>
      <c r="P49" s="2064"/>
      <c r="Q49" s="1951">
        <f>P49-O49</f>
        <v>0</v>
      </c>
      <c r="R49" s="1951">
        <v>0</v>
      </c>
      <c r="S49" s="1600">
        <f>K49</f>
        <v>0</v>
      </c>
      <c r="T49" s="1601"/>
      <c r="U49" s="1951">
        <f>T49-S49</f>
        <v>0</v>
      </c>
      <c r="V49" s="1951">
        <v>0</v>
      </c>
      <c r="W49" s="2057"/>
      <c r="X49" s="2064"/>
      <c r="Y49" s="1951">
        <f>X49-W49</f>
        <v>0</v>
      </c>
      <c r="Z49" s="1951">
        <v>0</v>
      </c>
      <c r="AA49" s="2057">
        <f>S49</f>
        <v>0</v>
      </c>
      <c r="AB49" s="1601"/>
      <c r="AC49" s="1951">
        <f>AB49-AA49</f>
        <v>0</v>
      </c>
      <c r="AD49" s="1951">
        <v>0</v>
      </c>
      <c r="AE49" s="1600">
        <v>0</v>
      </c>
      <c r="AF49" s="2064"/>
      <c r="AG49" s="1951">
        <f>AF49-AE49</f>
        <v>0</v>
      </c>
      <c r="AH49" s="1951">
        <v>0</v>
      </c>
      <c r="AI49" s="1600">
        <f>AA49</f>
        <v>0</v>
      </c>
      <c r="AJ49" s="1601"/>
      <c r="AK49" s="1951">
        <f>AJ49-AI49</f>
        <v>0</v>
      </c>
      <c r="AL49" s="1951">
        <v>0</v>
      </c>
      <c r="AM49" s="1600">
        <f>AE49</f>
        <v>0</v>
      </c>
      <c r="AN49" s="1601"/>
      <c r="AO49" s="1951">
        <f>AN49-AM49</f>
        <v>0</v>
      </c>
      <c r="AP49" s="1951">
        <v>0</v>
      </c>
      <c r="AQ49" s="1600">
        <f>AI49</f>
        <v>0</v>
      </c>
      <c r="AR49" s="1601"/>
      <c r="AS49" s="1951">
        <f>AR49-AQ49</f>
        <v>0</v>
      </c>
      <c r="AT49" s="1951">
        <v>0</v>
      </c>
      <c r="AU49" s="2170">
        <f>AM49</f>
        <v>0</v>
      </c>
      <c r="AV49" s="1601"/>
      <c r="AW49" s="1951">
        <f>AV49-AU49</f>
        <v>0</v>
      </c>
      <c r="AX49" s="1951">
        <v>0</v>
      </c>
      <c r="AY49" s="2063">
        <f t="shared" ref="AY49:AZ52" si="56">C49+G49+K49+O49+S49+W49+AA49+AE49+AI49+AM49+AQ49+AU49</f>
        <v>0</v>
      </c>
      <c r="AZ49" s="2079">
        <f t="shared" si="56"/>
        <v>55555.56</v>
      </c>
      <c r="BB49" s="1940"/>
    </row>
    <row r="50" spans="1:55" s="1421" customFormat="1" ht="18.75" customHeight="1" x14ac:dyDescent="0.25">
      <c r="A50" s="1602">
        <v>40774</v>
      </c>
      <c r="B50" s="332" t="s">
        <v>12</v>
      </c>
      <c r="C50" s="2091">
        <v>130000</v>
      </c>
      <c r="D50" s="2014">
        <v>149058.06</v>
      </c>
      <c r="E50" s="2622">
        <f>D50-C50</f>
        <v>19058.059999999998</v>
      </c>
      <c r="F50" s="2623">
        <f>((D50/C50)-1)*100</f>
        <v>14.660046153846151</v>
      </c>
      <c r="G50" s="1631">
        <f>$C$50</f>
        <v>130000</v>
      </c>
      <c r="H50" s="1611">
        <f>VLOOKUP(A50,'[1]r_balancete_sc 02-2022'!$1:$1048576,9,0)</f>
        <v>154345.51</v>
      </c>
      <c r="I50" s="2626">
        <f>H50-G50</f>
        <v>24345.510000000009</v>
      </c>
      <c r="J50" s="2623">
        <f>((H50/G50)-1)*100</f>
        <v>18.727315384615384</v>
      </c>
      <c r="K50" s="1604">
        <f>C50</f>
        <v>130000</v>
      </c>
      <c r="L50" s="1590">
        <f>VLOOKUP(A50,'[2]bALANCETE ORÇAMENTO'!$1:$1048576,7,0)</f>
        <v>335072.77</v>
      </c>
      <c r="M50" s="2626">
        <f>L50-K50</f>
        <v>205072.77000000002</v>
      </c>
      <c r="N50" s="2623">
        <f>((L50/K50)-1)*100</f>
        <v>157.74828461538465</v>
      </c>
      <c r="O50" s="1589">
        <f>G50</f>
        <v>130000</v>
      </c>
      <c r="P50" s="1590"/>
      <c r="Q50" s="2084">
        <f>P50-O50</f>
        <v>-130000</v>
      </c>
      <c r="R50" s="2168">
        <f>((P50/O50)-1)*100</f>
        <v>-100</v>
      </c>
      <c r="S50" s="1589">
        <f>K50</f>
        <v>130000</v>
      </c>
      <c r="T50" s="1590"/>
      <c r="U50" s="2084">
        <f>T50-S50</f>
        <v>-130000</v>
      </c>
      <c r="V50" s="2168">
        <f>((T50/S50)-1)*100</f>
        <v>-100</v>
      </c>
      <c r="W50" s="1589">
        <f>O50</f>
        <v>130000</v>
      </c>
      <c r="X50" s="1590"/>
      <c r="Y50" s="2084">
        <f>X50-W50</f>
        <v>-130000</v>
      </c>
      <c r="Z50" s="2168">
        <f>((X50/W50)-1)*100</f>
        <v>-100</v>
      </c>
      <c r="AA50" s="1589">
        <f>S50</f>
        <v>130000</v>
      </c>
      <c r="AB50" s="1590"/>
      <c r="AC50" s="2084">
        <f>AB50-AA50</f>
        <v>-130000</v>
      </c>
      <c r="AD50" s="2168">
        <f>((AB50/AA50)-1)*100</f>
        <v>-100</v>
      </c>
      <c r="AE50" s="1589">
        <f>W50</f>
        <v>130000</v>
      </c>
      <c r="AF50" s="1590"/>
      <c r="AG50" s="2084">
        <f>AF50-AE50</f>
        <v>-130000</v>
      </c>
      <c r="AH50" s="2168">
        <f>((AF50/AE50)-1)*100</f>
        <v>-100</v>
      </c>
      <c r="AI50" s="1589">
        <f>AA50</f>
        <v>130000</v>
      </c>
      <c r="AJ50" s="1590"/>
      <c r="AK50" s="2084">
        <f>AJ50-AI50</f>
        <v>-130000</v>
      </c>
      <c r="AL50" s="2168">
        <f>((AJ50/AI50)-1)*100</f>
        <v>-100</v>
      </c>
      <c r="AM50" s="1589">
        <f>AE50</f>
        <v>130000</v>
      </c>
      <c r="AN50" s="1590"/>
      <c r="AO50" s="2084">
        <f>AN50-AM50</f>
        <v>-130000</v>
      </c>
      <c r="AP50" s="2168">
        <f>((AN50/AM50)-1)*100</f>
        <v>-100</v>
      </c>
      <c r="AQ50" s="1589">
        <f>AI50</f>
        <v>130000</v>
      </c>
      <c r="AR50" s="1590"/>
      <c r="AS50" s="2084">
        <f>AR50-AQ50</f>
        <v>-130000</v>
      </c>
      <c r="AT50" s="2168">
        <f>((AR50/AQ50)-1)*100</f>
        <v>-100</v>
      </c>
      <c r="AU50" s="1589">
        <f>AM50</f>
        <v>130000</v>
      </c>
      <c r="AV50" s="1590"/>
      <c r="AW50" s="2084">
        <f>AV50-AU50</f>
        <v>-130000</v>
      </c>
      <c r="AX50" s="2168">
        <f>((AV50/AU50)-1)*100</f>
        <v>-100</v>
      </c>
      <c r="AY50" s="1240">
        <f t="shared" si="56"/>
        <v>1560000</v>
      </c>
      <c r="AZ50" s="2189">
        <f t="shared" si="56"/>
        <v>638476.34000000008</v>
      </c>
      <c r="BB50" s="550"/>
      <c r="BC50" s="334"/>
    </row>
    <row r="51" spans="1:55" s="1421" customFormat="1" ht="18.75" customHeight="1" x14ac:dyDescent="0.25">
      <c r="A51" s="1430">
        <v>55246</v>
      </c>
      <c r="B51" s="1424" t="s">
        <v>3927</v>
      </c>
      <c r="C51" s="1950">
        <v>0</v>
      </c>
      <c r="D51" s="2089">
        <v>1108000</v>
      </c>
      <c r="E51" s="1593">
        <f>D51-C51</f>
        <v>1108000</v>
      </c>
      <c r="F51" s="2169">
        <v>0</v>
      </c>
      <c r="G51" s="1620">
        <v>0</v>
      </c>
      <c r="H51" s="2071">
        <f>VLOOKUP(A51,'[1]r_balancete_sc 02-2022'!$1:$1048576,9,0)</f>
        <v>0</v>
      </c>
      <c r="I51" s="1593">
        <f>H51-G51</f>
        <v>0</v>
      </c>
      <c r="J51" s="2169">
        <v>0</v>
      </c>
      <c r="K51" s="1589">
        <f>C51</f>
        <v>0</v>
      </c>
      <c r="L51" s="1590">
        <f>VLOOKUP(A51,'[2]bALANCETE ORÇAMENTO'!$1:$1048576,7,0)</f>
        <v>0</v>
      </c>
      <c r="M51" s="1593">
        <f>L51-K51</f>
        <v>0</v>
      </c>
      <c r="N51" s="2169">
        <v>0</v>
      </c>
      <c r="O51" s="1589"/>
      <c r="P51" s="1590"/>
      <c r="Q51" s="1593">
        <f>P51-O51</f>
        <v>0</v>
      </c>
      <c r="R51" s="2169">
        <v>0</v>
      </c>
      <c r="S51" s="1589">
        <f>K51</f>
        <v>0</v>
      </c>
      <c r="T51" s="1590"/>
      <c r="U51" s="1593">
        <f>T51-S51</f>
        <v>0</v>
      </c>
      <c r="V51" s="2169">
        <v>0</v>
      </c>
      <c r="W51" s="1589"/>
      <c r="X51" s="1590"/>
      <c r="Y51" s="1593">
        <f>X51-W51</f>
        <v>0</v>
      </c>
      <c r="Z51" s="2169">
        <v>0</v>
      </c>
      <c r="AA51" s="1589">
        <f>S51</f>
        <v>0</v>
      </c>
      <c r="AB51" s="1590"/>
      <c r="AC51" s="1593">
        <f>AB51-AA51</f>
        <v>0</v>
      </c>
      <c r="AD51" s="2169">
        <v>0</v>
      </c>
      <c r="AE51" s="1589">
        <v>0</v>
      </c>
      <c r="AF51" s="1590"/>
      <c r="AG51" s="1593">
        <f>AF51-AE51</f>
        <v>0</v>
      </c>
      <c r="AH51" s="2169">
        <v>0</v>
      </c>
      <c r="AI51" s="1589">
        <f>AA51</f>
        <v>0</v>
      </c>
      <c r="AJ51" s="1590"/>
      <c r="AK51" s="1593">
        <f>AJ51-AI51</f>
        <v>0</v>
      </c>
      <c r="AL51" s="2169">
        <v>0</v>
      </c>
      <c r="AM51" s="1589">
        <f>AE51</f>
        <v>0</v>
      </c>
      <c r="AN51" s="1590"/>
      <c r="AO51" s="1593">
        <f>AN51-AM51</f>
        <v>0</v>
      </c>
      <c r="AP51" s="2169">
        <v>0</v>
      </c>
      <c r="AQ51" s="1589">
        <f>AI51</f>
        <v>0</v>
      </c>
      <c r="AR51" s="1590"/>
      <c r="AS51" s="1593">
        <f>AR51-AQ51</f>
        <v>0</v>
      </c>
      <c r="AT51" s="2169">
        <v>0</v>
      </c>
      <c r="AU51" s="1589">
        <f>AM51</f>
        <v>0</v>
      </c>
      <c r="AV51" s="1590"/>
      <c r="AW51" s="1593">
        <f>AV51-AU51</f>
        <v>0</v>
      </c>
      <c r="AX51" s="2169">
        <v>0</v>
      </c>
      <c r="AY51" s="2062">
        <f t="shared" si="56"/>
        <v>0</v>
      </c>
      <c r="AZ51" s="2081">
        <f t="shared" si="56"/>
        <v>1108000</v>
      </c>
      <c r="BB51" s="550"/>
    </row>
    <row r="52" spans="1:55" s="1421" customFormat="1" ht="18.75" customHeight="1" x14ac:dyDescent="0.25">
      <c r="A52" s="1942">
        <v>55245</v>
      </c>
      <c r="B52" s="989" t="s">
        <v>3926</v>
      </c>
      <c r="C52" s="2088">
        <v>0</v>
      </c>
      <c r="D52" s="2087">
        <v>0</v>
      </c>
      <c r="E52" s="1624">
        <f>D52-C52</f>
        <v>0</v>
      </c>
      <c r="F52" s="2169">
        <v>0</v>
      </c>
      <c r="G52" s="1633">
        <v>0</v>
      </c>
      <c r="H52" s="2075">
        <f>VLOOKUP(A52,'[1]r_balancete_sc 02-2022'!$1:$1048576,9,0)</f>
        <v>-1609.63</v>
      </c>
      <c r="I52" s="1624">
        <f>H52-G52</f>
        <v>-1609.63</v>
      </c>
      <c r="J52" s="2169">
        <v>0</v>
      </c>
      <c r="K52" s="1598">
        <f>C52</f>
        <v>0</v>
      </c>
      <c r="L52" s="1590">
        <f>VLOOKUP(A52,'[2]bALANCETE ORÇAMENTO'!$1:$1048576,7,0)</f>
        <v>99490.2</v>
      </c>
      <c r="M52" s="1624">
        <f>L52-K52</f>
        <v>99490.2</v>
      </c>
      <c r="N52" s="2169">
        <v>0</v>
      </c>
      <c r="O52" s="1598"/>
      <c r="P52" s="1590"/>
      <c r="Q52" s="1624">
        <f>P52-O52</f>
        <v>0</v>
      </c>
      <c r="R52" s="2169">
        <v>0</v>
      </c>
      <c r="S52" s="1598">
        <f>K52</f>
        <v>0</v>
      </c>
      <c r="T52" s="1599"/>
      <c r="U52" s="1624">
        <f>T52-S52</f>
        <v>0</v>
      </c>
      <c r="V52" s="2169">
        <v>0</v>
      </c>
      <c r="W52" s="1597"/>
      <c r="X52" s="1590"/>
      <c r="Y52" s="1624">
        <f>X52-W52</f>
        <v>0</v>
      </c>
      <c r="Z52" s="2169">
        <v>0</v>
      </c>
      <c r="AA52" s="1597">
        <f>S52</f>
        <v>0</v>
      </c>
      <c r="AB52" s="1590"/>
      <c r="AC52" s="1624">
        <f>AB52-AA52</f>
        <v>0</v>
      </c>
      <c r="AD52" s="2169">
        <v>0</v>
      </c>
      <c r="AE52" s="1589">
        <v>0</v>
      </c>
      <c r="AF52" s="1590"/>
      <c r="AG52" s="1624">
        <f>AF52-AE52</f>
        <v>0</v>
      </c>
      <c r="AH52" s="2169">
        <v>0</v>
      </c>
      <c r="AI52" s="1634">
        <f>AA52</f>
        <v>0</v>
      </c>
      <c r="AJ52" s="1599"/>
      <c r="AK52" s="1624">
        <f>AJ52-AI52</f>
        <v>0</v>
      </c>
      <c r="AL52" s="2169">
        <v>0</v>
      </c>
      <c r="AM52" s="1589">
        <f>AE52</f>
        <v>0</v>
      </c>
      <c r="AN52" s="1635"/>
      <c r="AO52" s="1624">
        <f>AN52-AM52</f>
        <v>0</v>
      </c>
      <c r="AP52" s="2169">
        <v>0</v>
      </c>
      <c r="AQ52" s="1598">
        <f>AI52</f>
        <v>0</v>
      </c>
      <c r="AR52" s="1599"/>
      <c r="AS52" s="1624">
        <f>AR52-AQ52</f>
        <v>0</v>
      </c>
      <c r="AT52" s="2169">
        <v>0</v>
      </c>
      <c r="AU52" s="1589">
        <f>AM52</f>
        <v>0</v>
      </c>
      <c r="AV52" s="1635"/>
      <c r="AW52" s="1624">
        <f>AV52-AU52</f>
        <v>0</v>
      </c>
      <c r="AX52" s="2169">
        <v>0</v>
      </c>
      <c r="AY52" s="2062">
        <f t="shared" si="56"/>
        <v>0</v>
      </c>
      <c r="AZ52" s="2081">
        <f t="shared" si="56"/>
        <v>97880.569999999992</v>
      </c>
      <c r="BB52" s="550"/>
    </row>
    <row r="53" spans="1:55" s="11" customFormat="1" ht="18.75" customHeight="1" thickBot="1" x14ac:dyDescent="0.3">
      <c r="A53" s="1543"/>
      <c r="B53" s="185"/>
      <c r="C53" s="1960"/>
      <c r="D53" s="2017"/>
      <c r="E53" s="1539"/>
      <c r="F53" s="1960"/>
      <c r="G53" s="1960"/>
      <c r="H53" s="1961"/>
      <c r="I53" s="1539"/>
      <c r="J53" s="1960"/>
      <c r="K53" s="1960"/>
      <c r="L53" s="1961"/>
      <c r="M53" s="1539"/>
      <c r="N53" s="1960"/>
      <c r="O53" s="1960"/>
      <c r="P53" s="1961"/>
      <c r="Q53" s="1539"/>
      <c r="R53" s="1960"/>
      <c r="S53" s="1960"/>
      <c r="T53" s="1961"/>
      <c r="U53" s="1539"/>
      <c r="V53" s="1960"/>
      <c r="W53" s="1960"/>
      <c r="X53" s="1961"/>
      <c r="Y53" s="1539"/>
      <c r="Z53" s="1960"/>
      <c r="AA53" s="1960"/>
      <c r="AB53" s="1961"/>
      <c r="AC53" s="1539"/>
      <c r="AD53" s="1960"/>
      <c r="AE53" s="1960"/>
      <c r="AF53" s="1961"/>
      <c r="AG53" s="1539"/>
      <c r="AH53" s="1960"/>
      <c r="AI53" s="1960"/>
      <c r="AJ53" s="1961"/>
      <c r="AK53" s="1539"/>
      <c r="AL53" s="1960"/>
      <c r="AM53" s="1960"/>
      <c r="AN53" s="1961"/>
      <c r="AO53" s="1539"/>
      <c r="AP53" s="1960"/>
      <c r="AQ53" s="1960"/>
      <c r="AR53" s="1961"/>
      <c r="AS53" s="1539"/>
      <c r="AT53" s="1960"/>
      <c r="AU53" s="1960"/>
      <c r="AV53" s="1961"/>
      <c r="AW53" s="1539"/>
      <c r="AX53" s="1960"/>
      <c r="AY53" s="1962"/>
      <c r="AZ53" s="1962"/>
      <c r="BA53" s="132"/>
      <c r="BB53" s="1172"/>
    </row>
    <row r="54" spans="1:55" s="11" customFormat="1" ht="18.75" customHeight="1" thickBot="1" x14ac:dyDescent="0.3">
      <c r="A54" s="2702" t="s">
        <v>3932</v>
      </c>
      <c r="B54" s="2703"/>
      <c r="C54" s="1960"/>
      <c r="D54" s="2017"/>
      <c r="E54" s="1539"/>
      <c r="F54" s="1960"/>
      <c r="G54" s="1960"/>
      <c r="H54" s="1961"/>
      <c r="I54" s="1539"/>
      <c r="J54" s="1960"/>
      <c r="K54" s="1960"/>
      <c r="L54" s="1961"/>
      <c r="M54" s="1539"/>
      <c r="N54" s="1960"/>
      <c r="O54" s="1960"/>
      <c r="P54" s="1961"/>
      <c r="Q54" s="1539"/>
      <c r="R54" s="1960"/>
      <c r="S54" s="1960"/>
      <c r="T54" s="1961"/>
      <c r="U54" s="1539"/>
      <c r="V54" s="1960"/>
      <c r="W54" s="1960"/>
      <c r="X54" s="1961"/>
      <c r="Y54" s="1539"/>
      <c r="Z54" s="1960"/>
      <c r="AA54" s="1960"/>
      <c r="AB54" s="1961"/>
      <c r="AC54" s="1539"/>
      <c r="AD54" s="1960"/>
      <c r="AE54" s="1960"/>
      <c r="AF54" s="1961"/>
      <c r="AG54" s="1539"/>
      <c r="AH54" s="1960"/>
      <c r="AI54" s="1960"/>
      <c r="AJ54" s="1961"/>
      <c r="AK54" s="1539"/>
      <c r="AL54" s="1960"/>
      <c r="AM54" s="1960"/>
      <c r="AN54" s="1961"/>
      <c r="AO54" s="1539"/>
      <c r="AP54" s="1960"/>
      <c r="AQ54" s="1960"/>
      <c r="AR54" s="1961"/>
      <c r="AS54" s="1539"/>
      <c r="AT54" s="1960"/>
      <c r="AU54" s="1960"/>
      <c r="AV54" s="1961"/>
      <c r="AW54" s="1539"/>
      <c r="AX54" s="1960"/>
      <c r="AY54" s="1962"/>
      <c r="AZ54" s="1962"/>
      <c r="BA54" s="132"/>
      <c r="BB54" s="1172"/>
    </row>
    <row r="55" spans="1:55" s="1421" customFormat="1" ht="18.75" customHeight="1" thickBot="1" x14ac:dyDescent="0.3">
      <c r="A55" s="1422">
        <v>38581</v>
      </c>
      <c r="B55" s="1424" t="s">
        <v>3776</v>
      </c>
      <c r="C55" s="1626">
        <v>8500</v>
      </c>
      <c r="D55" s="2621">
        <v>8637.84</v>
      </c>
      <c r="E55" s="1627">
        <f>D55-C55</f>
        <v>137.84000000000015</v>
      </c>
      <c r="F55" s="2624">
        <f>((D55/C55)-1)*100</f>
        <v>1.6216470588235277</v>
      </c>
      <c r="G55" s="2625">
        <f>$C$55</f>
        <v>8500</v>
      </c>
      <c r="H55" s="2075">
        <f>VLOOKUP(A55,'[1]r_balancete_sc 02-2022'!$1:$1048576,9,0)</f>
        <v>8672.39</v>
      </c>
      <c r="I55" s="2627">
        <f>H55-G55</f>
        <v>172.38999999999942</v>
      </c>
      <c r="J55" s="2624">
        <f>((H55/G55)-1)*100</f>
        <v>2.0281176470588136</v>
      </c>
      <c r="K55" s="1603">
        <f>C55</f>
        <v>8500</v>
      </c>
      <c r="L55" s="1595">
        <f>VLOOKUP(A55,'[2]bALANCETE ORÇAMENTO'!$1:$1048576,7,0)</f>
        <v>8707.09</v>
      </c>
      <c r="M55" s="2627">
        <f>L55-K55</f>
        <v>207.09000000000015</v>
      </c>
      <c r="N55" s="2624">
        <f>((L55/K55)-1)*100</f>
        <v>2.4363529411764784</v>
      </c>
      <c r="O55" s="1594">
        <f>G55</f>
        <v>8500</v>
      </c>
      <c r="P55" s="1595"/>
      <c r="Q55" s="2082">
        <f>P55-O55</f>
        <v>-8500</v>
      </c>
      <c r="R55" s="1627">
        <f>((P55/O55)-1)*100</f>
        <v>-100</v>
      </c>
      <c r="S55" s="1594">
        <f>K55</f>
        <v>8500</v>
      </c>
      <c r="T55" s="1595"/>
      <c r="U55" s="2082">
        <f>T55-S55</f>
        <v>-8500</v>
      </c>
      <c r="V55" s="1627">
        <f>((T55/S55)-1)*100</f>
        <v>-100</v>
      </c>
      <c r="W55" s="1594">
        <f>O55</f>
        <v>8500</v>
      </c>
      <c r="X55" s="1595"/>
      <c r="Y55" s="2082">
        <f>X55-W55</f>
        <v>-8500</v>
      </c>
      <c r="Z55" s="1627">
        <f>((X55/W55)-1)*100</f>
        <v>-100</v>
      </c>
      <c r="AA55" s="1594">
        <f>S55</f>
        <v>8500</v>
      </c>
      <c r="AB55" s="1595"/>
      <c r="AC55" s="2082">
        <f>AB55-AA55</f>
        <v>-8500</v>
      </c>
      <c r="AD55" s="1627">
        <f>((AB55/AA55)-1)*100</f>
        <v>-100</v>
      </c>
      <c r="AE55" s="1594">
        <f>W55</f>
        <v>8500</v>
      </c>
      <c r="AF55" s="1595"/>
      <c r="AG55" s="2082">
        <f>AF55-AE55</f>
        <v>-8500</v>
      </c>
      <c r="AH55" s="1627">
        <f>((AF55/AE55)-1)*100</f>
        <v>-100</v>
      </c>
      <c r="AI55" s="1594">
        <f>AA55</f>
        <v>8500</v>
      </c>
      <c r="AJ55" s="1595"/>
      <c r="AK55" s="2082">
        <f>AJ55-AI55</f>
        <v>-8500</v>
      </c>
      <c r="AL55" s="1627">
        <f>((AJ55/AI55)-1)*100</f>
        <v>-100</v>
      </c>
      <c r="AM55" s="1594">
        <f>AE55</f>
        <v>8500</v>
      </c>
      <c r="AN55" s="1595"/>
      <c r="AO55" s="2082">
        <f>AN55-AM55</f>
        <v>-8500</v>
      </c>
      <c r="AP55" s="1627">
        <f>((AN55/AM55)-1)*100</f>
        <v>-100</v>
      </c>
      <c r="AQ55" s="1594">
        <f>AI55</f>
        <v>8500</v>
      </c>
      <c r="AR55" s="1595"/>
      <c r="AS55" s="2082">
        <f>AR55-AQ55</f>
        <v>-8500</v>
      </c>
      <c r="AT55" s="1627">
        <f>((AR55/AQ55)-1)*100</f>
        <v>-100</v>
      </c>
      <c r="AU55" s="1594">
        <f>AM55</f>
        <v>8500</v>
      </c>
      <c r="AV55" s="1595"/>
      <c r="AW55" s="2082">
        <f>AV55-AU55</f>
        <v>-8500</v>
      </c>
      <c r="AX55" s="1627">
        <f>((AV55/AU55)-1)*100</f>
        <v>-100</v>
      </c>
      <c r="AY55" s="1655">
        <f>C55+G55+K55+O55+S55+W55+AA55+AE55+AI55+AM55+AQ55+AU55</f>
        <v>102000</v>
      </c>
      <c r="AZ55" s="2079">
        <f>D55+H55+L55+P55+T55+X55+AB55+AF55+AJ55+AN55+AR55+AV55</f>
        <v>26017.32</v>
      </c>
      <c r="BB55" s="12"/>
    </row>
    <row r="56" spans="1:55" s="11" customFormat="1" ht="18.75" customHeight="1" thickBot="1" x14ac:dyDescent="0.3">
      <c r="A56" s="1543"/>
      <c r="B56" s="185"/>
      <c r="C56" s="1960"/>
      <c r="D56" s="2017"/>
      <c r="E56" s="1539"/>
      <c r="F56" s="1960"/>
      <c r="G56" s="1960"/>
      <c r="H56" s="1961"/>
      <c r="I56" s="1539"/>
      <c r="J56" s="1960"/>
      <c r="K56" s="1960"/>
      <c r="L56" s="1961"/>
      <c r="M56" s="1539"/>
      <c r="N56" s="1960"/>
      <c r="O56" s="1960"/>
      <c r="P56" s="1961"/>
      <c r="Q56" s="1539"/>
      <c r="R56" s="1960"/>
      <c r="S56" s="1960"/>
      <c r="T56" s="1961"/>
      <c r="U56" s="1539"/>
      <c r="V56" s="1960"/>
      <c r="W56" s="1960"/>
      <c r="X56" s="1961"/>
      <c r="Y56" s="1539"/>
      <c r="Z56" s="1960"/>
      <c r="AA56" s="1960"/>
      <c r="AB56" s="1961"/>
      <c r="AC56" s="1539"/>
      <c r="AD56" s="1960"/>
      <c r="AE56" s="1960"/>
      <c r="AF56" s="1961"/>
      <c r="AG56" s="1539"/>
      <c r="AH56" s="1960"/>
      <c r="AI56" s="1960"/>
      <c r="AJ56" s="1961"/>
      <c r="AK56" s="1539"/>
      <c r="AL56" s="1960"/>
      <c r="AM56" s="1960"/>
      <c r="AN56" s="1961"/>
      <c r="AO56" s="1539"/>
      <c r="AP56" s="1960"/>
      <c r="AQ56" s="1960"/>
      <c r="AR56" s="1961"/>
      <c r="AS56" s="1539"/>
      <c r="AT56" s="1960"/>
      <c r="AU56" s="1960"/>
      <c r="AV56" s="1961"/>
      <c r="AW56" s="1539"/>
      <c r="AX56" s="1960"/>
      <c r="AY56" s="1962"/>
      <c r="AZ56" s="1962"/>
      <c r="BA56" s="132"/>
      <c r="BB56" s="1172"/>
    </row>
    <row r="57" spans="1:55" s="11" customFormat="1" ht="18.75" customHeight="1" thickBot="1" x14ac:dyDescent="0.3">
      <c r="A57" s="2702" t="s">
        <v>3933</v>
      </c>
      <c r="B57" s="2703"/>
      <c r="C57" s="1960"/>
      <c r="D57" s="2017"/>
      <c r="E57" s="1539"/>
      <c r="F57" s="1960"/>
      <c r="G57" s="1960"/>
      <c r="H57" s="1961"/>
      <c r="I57" s="1539"/>
      <c r="J57" s="1960"/>
      <c r="K57" s="1960"/>
      <c r="L57" s="1961"/>
      <c r="M57" s="1539"/>
      <c r="N57" s="1960"/>
      <c r="O57" s="1960"/>
      <c r="P57" s="1961"/>
      <c r="Q57" s="1539"/>
      <c r="R57" s="1960"/>
      <c r="S57" s="1960"/>
      <c r="T57" s="1961"/>
      <c r="U57" s="1539"/>
      <c r="V57" s="1960"/>
      <c r="W57" s="1960"/>
      <c r="X57" s="1961"/>
      <c r="Y57" s="1539"/>
      <c r="Z57" s="1960"/>
      <c r="AA57" s="1960"/>
      <c r="AB57" s="1961"/>
      <c r="AC57" s="1539"/>
      <c r="AD57" s="1960"/>
      <c r="AE57" s="1960"/>
      <c r="AF57" s="1961"/>
      <c r="AG57" s="1539"/>
      <c r="AH57" s="1960"/>
      <c r="AI57" s="1960"/>
      <c r="AJ57" s="1961"/>
      <c r="AK57" s="1539"/>
      <c r="AL57" s="1960"/>
      <c r="AM57" s="1960"/>
      <c r="AN57" s="1961"/>
      <c r="AO57" s="1539"/>
      <c r="AP57" s="1960"/>
      <c r="AQ57" s="1960"/>
      <c r="AR57" s="1961"/>
      <c r="AS57" s="1539"/>
      <c r="AT57" s="1960"/>
      <c r="AU57" s="1960"/>
      <c r="AV57" s="1961"/>
      <c r="AW57" s="1539"/>
      <c r="AX57" s="1960"/>
      <c r="AY57" s="1962"/>
      <c r="AZ57" s="1962"/>
      <c r="BA57" s="132"/>
      <c r="BB57" s="1172"/>
    </row>
    <row r="58" spans="1:55" s="1421" customFormat="1" ht="18.75" customHeight="1" x14ac:dyDescent="0.25">
      <c r="A58" s="1422">
        <v>55244</v>
      </c>
      <c r="B58" s="1424" t="s">
        <v>22</v>
      </c>
      <c r="C58" s="2008">
        <v>42000</v>
      </c>
      <c r="D58" s="2014">
        <v>42744.21</v>
      </c>
      <c r="E58" s="2083">
        <f>D58-C58</f>
        <v>744.20999999999913</v>
      </c>
      <c r="F58" s="2169">
        <f>((D58/C58)-1)*100</f>
        <v>1.7719285714285604</v>
      </c>
      <c r="G58" s="1620">
        <f>$C$58</f>
        <v>42000</v>
      </c>
      <c r="H58" s="2075">
        <f>VLOOKUP(A58,'[1]r_balancete_sc 02-2022'!$1:$1048576,9,0)</f>
        <v>42744.21</v>
      </c>
      <c r="I58" s="2083">
        <f>H58-G58</f>
        <v>744.20999999999913</v>
      </c>
      <c r="J58" s="2169">
        <f>((H58/G58)-1)*100</f>
        <v>1.7719285714285604</v>
      </c>
      <c r="K58" s="1589">
        <f>C58</f>
        <v>42000</v>
      </c>
      <c r="L58" s="1590">
        <f>VLOOKUP(A58,'[2]bALANCETE ORÇAMENTO'!$1:$1048576,7,0)</f>
        <v>42727.89</v>
      </c>
      <c r="M58" s="2083">
        <f>L58-K58</f>
        <v>727.88999999999942</v>
      </c>
      <c r="N58" s="2169">
        <f>((L58/K58)-1)*100</f>
        <v>1.7330714285714199</v>
      </c>
      <c r="O58" s="1589">
        <f>G58</f>
        <v>42000</v>
      </c>
      <c r="P58" s="1590"/>
      <c r="Q58" s="2083">
        <f>P58-O58</f>
        <v>-42000</v>
      </c>
      <c r="R58" s="2169">
        <f>((P58/O58)-1)*100</f>
        <v>-100</v>
      </c>
      <c r="S58" s="1589">
        <f>K58</f>
        <v>42000</v>
      </c>
      <c r="T58" s="1590"/>
      <c r="U58" s="2083">
        <f>T58-S58</f>
        <v>-42000</v>
      </c>
      <c r="V58" s="2169">
        <f>((T58/S58)-1)*100</f>
        <v>-100</v>
      </c>
      <c r="W58" s="1589">
        <f>O58</f>
        <v>42000</v>
      </c>
      <c r="X58" s="1590"/>
      <c r="Y58" s="2083">
        <f>X58-W58</f>
        <v>-42000</v>
      </c>
      <c r="Z58" s="2169">
        <f>((X58/W58)-1)*100</f>
        <v>-100</v>
      </c>
      <c r="AA58" s="1589">
        <f>S58</f>
        <v>42000</v>
      </c>
      <c r="AB58" s="1590"/>
      <c r="AC58" s="2083">
        <f>AB58-AA58</f>
        <v>-42000</v>
      </c>
      <c r="AD58" s="2169">
        <f>((AB58/AA58)-1)*100</f>
        <v>-100</v>
      </c>
      <c r="AE58" s="1589">
        <f>W58</f>
        <v>42000</v>
      </c>
      <c r="AF58" s="1590"/>
      <c r="AG58" s="2083">
        <f>AF58-AE58</f>
        <v>-42000</v>
      </c>
      <c r="AH58" s="2169">
        <f>((AF58/AE58)-1)*100</f>
        <v>-100</v>
      </c>
      <c r="AI58" s="1589">
        <f>AA58</f>
        <v>42000</v>
      </c>
      <c r="AJ58" s="1590"/>
      <c r="AK58" s="2083">
        <f>AJ58-AI58</f>
        <v>-42000</v>
      </c>
      <c r="AL58" s="2169">
        <f>((AJ58/AI58)-1)*100</f>
        <v>-100</v>
      </c>
      <c r="AM58" s="1589">
        <f>AE58</f>
        <v>42000</v>
      </c>
      <c r="AN58" s="1590"/>
      <c r="AO58" s="2083">
        <f>AN58-AM58</f>
        <v>-42000</v>
      </c>
      <c r="AP58" s="2169">
        <f>((AN58/AM58)-1)*100</f>
        <v>-100</v>
      </c>
      <c r="AQ58" s="1589">
        <f>AI58</f>
        <v>42000</v>
      </c>
      <c r="AR58" s="1590"/>
      <c r="AS58" s="2083">
        <f>AR58-AQ58</f>
        <v>-42000</v>
      </c>
      <c r="AT58" s="2169">
        <f>((AR58/AQ58)-1)*100</f>
        <v>-100</v>
      </c>
      <c r="AU58" s="1589">
        <f>AM58</f>
        <v>42000</v>
      </c>
      <c r="AV58" s="1590"/>
      <c r="AW58" s="2083">
        <f>AV58-AU58</f>
        <v>-42000</v>
      </c>
      <c r="AX58" s="2169">
        <f>((AV58/AU58)-1)*100</f>
        <v>-100</v>
      </c>
      <c r="AY58" s="2062">
        <f>C58+G58+K58+O58+S58+W58+AA58+AE58+AI58+AM58+AQ58+AU58</f>
        <v>504000</v>
      </c>
      <c r="AZ58" s="2081">
        <f>D58+H58+L58+P58+T58+X58+AB58+AF58+AJ58+AN58+AR58+AV58</f>
        <v>128216.31</v>
      </c>
      <c r="BB58" s="12"/>
    </row>
    <row r="59" spans="1:55" s="11" customFormat="1" ht="18.75" customHeight="1" thickBot="1" x14ac:dyDescent="0.3">
      <c r="A59" s="1543"/>
      <c r="B59" s="185"/>
      <c r="C59" s="1960"/>
      <c r="D59" s="2017"/>
      <c r="E59" s="1539"/>
      <c r="F59" s="1960"/>
      <c r="G59" s="1960"/>
      <c r="H59" s="1961"/>
      <c r="I59" s="1539"/>
      <c r="J59" s="1960"/>
      <c r="K59" s="1960"/>
      <c r="L59" s="1961"/>
      <c r="M59" s="1539"/>
      <c r="N59" s="1960"/>
      <c r="O59" s="1960"/>
      <c r="P59" s="1961"/>
      <c r="Q59" s="1539"/>
      <c r="R59" s="1960"/>
      <c r="S59" s="1960"/>
      <c r="T59" s="1961"/>
      <c r="U59" s="1539"/>
      <c r="V59" s="1960"/>
      <c r="W59" s="1960"/>
      <c r="X59" s="1961"/>
      <c r="Y59" s="1539"/>
      <c r="Z59" s="1960"/>
      <c r="AA59" s="1960"/>
      <c r="AB59" s="1961"/>
      <c r="AC59" s="1539"/>
      <c r="AD59" s="1960"/>
      <c r="AE59" s="1960"/>
      <c r="AF59" s="1961"/>
      <c r="AG59" s="1539"/>
      <c r="AH59" s="1960"/>
      <c r="AI59" s="1960"/>
      <c r="AJ59" s="1961"/>
      <c r="AK59" s="1539"/>
      <c r="AL59" s="1960"/>
      <c r="AM59" s="1960"/>
      <c r="AN59" s="1961"/>
      <c r="AO59" s="1539"/>
      <c r="AP59" s="1960"/>
      <c r="AQ59" s="1960"/>
      <c r="AR59" s="1961"/>
      <c r="AS59" s="1539"/>
      <c r="AT59" s="1960"/>
      <c r="AU59" s="1960"/>
      <c r="AV59" s="1961"/>
      <c r="AW59" s="1539"/>
      <c r="AX59" s="1960"/>
      <c r="AY59" s="1962"/>
      <c r="AZ59" s="1962"/>
      <c r="BA59" s="132"/>
      <c r="BB59" s="1172"/>
    </row>
    <row r="60" spans="1:55" s="11" customFormat="1" ht="18.75" customHeight="1" thickBot="1" x14ac:dyDescent="0.3">
      <c r="A60" s="2702" t="s">
        <v>3930</v>
      </c>
      <c r="B60" s="2703"/>
      <c r="C60" s="1960"/>
      <c r="D60" s="2017"/>
      <c r="E60" s="1539"/>
      <c r="F60" s="1960"/>
      <c r="G60" s="1960"/>
      <c r="H60" s="1961"/>
      <c r="I60" s="1539"/>
      <c r="J60" s="1960"/>
      <c r="K60" s="1960"/>
      <c r="L60" s="1961"/>
      <c r="M60" s="1539"/>
      <c r="N60" s="1960"/>
      <c r="O60" s="1960"/>
      <c r="P60" s="1961"/>
      <c r="Q60" s="1539"/>
      <c r="R60" s="1960"/>
      <c r="S60" s="1960"/>
      <c r="T60" s="1961"/>
      <c r="U60" s="1539"/>
      <c r="V60" s="1960"/>
      <c r="W60" s="1960"/>
      <c r="X60" s="1961"/>
      <c r="Y60" s="1539"/>
      <c r="Z60" s="1960"/>
      <c r="AA60" s="1960"/>
      <c r="AB60" s="1961"/>
      <c r="AC60" s="1539"/>
      <c r="AD60" s="1960"/>
      <c r="AE60" s="1960"/>
      <c r="AF60" s="1961"/>
      <c r="AG60" s="1539"/>
      <c r="AH60" s="1960"/>
      <c r="AI60" s="1960"/>
      <c r="AJ60" s="1961"/>
      <c r="AK60" s="1539"/>
      <c r="AL60" s="1960"/>
      <c r="AM60" s="1960"/>
      <c r="AN60" s="1961"/>
      <c r="AO60" s="1539"/>
      <c r="AP60" s="1960"/>
      <c r="AQ60" s="1960"/>
      <c r="AR60" s="1961"/>
      <c r="AS60" s="1539"/>
      <c r="AT60" s="1960"/>
      <c r="AU60" s="1960"/>
      <c r="AV60" s="1961"/>
      <c r="AW60" s="1539"/>
      <c r="AX60" s="1960"/>
      <c r="AY60" s="1962"/>
      <c r="AZ60" s="1962"/>
      <c r="BA60" s="132"/>
      <c r="BB60" s="1172"/>
    </row>
    <row r="61" spans="1:55" s="1421" customFormat="1" ht="18.75" customHeight="1" x14ac:dyDescent="0.25">
      <c r="A61" s="1942">
        <v>5177</v>
      </c>
      <c r="B61" s="383" t="s">
        <v>23</v>
      </c>
      <c r="C61" s="2088">
        <v>0</v>
      </c>
      <c r="D61" s="2087">
        <v>0</v>
      </c>
      <c r="E61" s="1624">
        <f>D61-C61</f>
        <v>0</v>
      </c>
      <c r="F61" s="2169">
        <v>0</v>
      </c>
      <c r="G61" s="1597">
        <v>0</v>
      </c>
      <c r="H61" s="2075">
        <f>VLOOKUP(A61,'[1]r_balancete_sc 02-2022'!$1:$1048576,9,0)</f>
        <v>2660</v>
      </c>
      <c r="I61" s="1624">
        <f>H61-G61</f>
        <v>2660</v>
      </c>
      <c r="J61" s="2169">
        <v>0</v>
      </c>
      <c r="K61" s="1597">
        <f>C61</f>
        <v>0</v>
      </c>
      <c r="L61" s="1590">
        <f>VLOOKUP(A61,'[2]bALANCETE ORÇAMENTO'!$1:$1048576,7,0)</f>
        <v>0</v>
      </c>
      <c r="M61" s="1624">
        <f>L61-K61</f>
        <v>0</v>
      </c>
      <c r="N61" s="2169">
        <v>0</v>
      </c>
      <c r="O61" s="1597"/>
      <c r="P61" s="1590"/>
      <c r="Q61" s="1624">
        <f>P61-O61</f>
        <v>0</v>
      </c>
      <c r="R61" s="2169">
        <v>0</v>
      </c>
      <c r="S61" s="1597">
        <f>K61</f>
        <v>0</v>
      </c>
      <c r="T61" s="1590"/>
      <c r="U61" s="1624">
        <f>T61-S61</f>
        <v>0</v>
      </c>
      <c r="V61" s="2169">
        <v>0</v>
      </c>
      <c r="W61" s="1597"/>
      <c r="X61" s="1590"/>
      <c r="Y61" s="1624">
        <f>X61-W61</f>
        <v>0</v>
      </c>
      <c r="Z61" s="2169">
        <v>0</v>
      </c>
      <c r="AA61" s="1597">
        <f>S61</f>
        <v>0</v>
      </c>
      <c r="AB61" s="1599"/>
      <c r="AC61" s="1624">
        <f>AB61-AA61</f>
        <v>0</v>
      </c>
      <c r="AD61" s="2169">
        <v>0</v>
      </c>
      <c r="AE61" s="1589">
        <v>0</v>
      </c>
      <c r="AF61" s="1590"/>
      <c r="AG61" s="1624">
        <f>AF61-AE61</f>
        <v>0</v>
      </c>
      <c r="AH61" s="2169">
        <v>0</v>
      </c>
      <c r="AI61" s="1634">
        <f>AA61</f>
        <v>0</v>
      </c>
      <c r="AJ61" s="1590"/>
      <c r="AK61" s="1624">
        <f>AJ61-AI61</f>
        <v>0</v>
      </c>
      <c r="AL61" s="2169">
        <v>0</v>
      </c>
      <c r="AM61" s="1589">
        <f>AE61</f>
        <v>0</v>
      </c>
      <c r="AN61" s="1635"/>
      <c r="AO61" s="1624">
        <f>AN61-AM61</f>
        <v>0</v>
      </c>
      <c r="AP61" s="2169">
        <v>0</v>
      </c>
      <c r="AQ61" s="1597">
        <f>AI61</f>
        <v>0</v>
      </c>
      <c r="AR61" s="1590"/>
      <c r="AS61" s="1624">
        <f>AR61-AQ61</f>
        <v>0</v>
      </c>
      <c r="AT61" s="2169">
        <v>0</v>
      </c>
      <c r="AU61" s="1589">
        <f>AM61</f>
        <v>0</v>
      </c>
      <c r="AV61" s="1635"/>
      <c r="AW61" s="1624">
        <f>AV61-AU61</f>
        <v>0</v>
      </c>
      <c r="AX61" s="2169">
        <v>0</v>
      </c>
      <c r="AY61" s="2062">
        <f>C61+G61+K61+O61+S61+W61+AA61+AE61+AI61+AM61+AQ61+AU61</f>
        <v>0</v>
      </c>
      <c r="AZ61" s="2081">
        <f>D61+H61+L61+P61+T61+X61+AB61+AF61+AJ61+AN61+AR61+AV61</f>
        <v>2660</v>
      </c>
      <c r="BB61" s="550"/>
    </row>
    <row r="62" spans="1:55" s="11" customFormat="1" ht="18.75" customHeight="1" x14ac:dyDescent="0.25">
      <c r="A62" s="1543"/>
      <c r="B62" s="185"/>
      <c r="C62" s="1960"/>
      <c r="D62" s="2017"/>
      <c r="E62" s="1539"/>
      <c r="F62" s="1960"/>
      <c r="G62" s="1960"/>
      <c r="H62" s="1961"/>
      <c r="I62" s="1539"/>
      <c r="J62" s="1960"/>
      <c r="K62" s="1960"/>
      <c r="L62" s="1961"/>
      <c r="M62" s="1539"/>
      <c r="N62" s="1960"/>
      <c r="O62" s="1960"/>
      <c r="P62" s="1961"/>
      <c r="Q62" s="1539"/>
      <c r="R62" s="1960"/>
      <c r="S62" s="1960"/>
      <c r="T62" s="1961"/>
      <c r="U62" s="1539"/>
      <c r="V62" s="1960"/>
      <c r="W62" s="1960"/>
      <c r="X62" s="1961"/>
      <c r="Y62" s="1539"/>
      <c r="Z62" s="1960"/>
      <c r="AA62" s="1960"/>
      <c r="AB62" s="1961"/>
      <c r="AC62" s="1539"/>
      <c r="AD62" s="1960"/>
      <c r="AE62" s="1960"/>
      <c r="AF62" s="1961"/>
      <c r="AG62" s="1539"/>
      <c r="AH62" s="1960"/>
      <c r="AI62" s="1960"/>
      <c r="AJ62" s="1961"/>
      <c r="AK62" s="1539"/>
      <c r="AL62" s="1960"/>
      <c r="AM62" s="1960"/>
      <c r="AN62" s="1961"/>
      <c r="AO62" s="1539"/>
      <c r="AP62" s="1960"/>
      <c r="AQ62" s="1960"/>
      <c r="AR62" s="1961"/>
      <c r="AS62" s="1539"/>
      <c r="AT62" s="1960"/>
      <c r="AU62" s="1960"/>
      <c r="AV62" s="1961"/>
      <c r="AW62" s="1539"/>
      <c r="AX62" s="1960"/>
      <c r="AY62" s="1962"/>
      <c r="AZ62" s="1962"/>
      <c r="BA62" s="132"/>
      <c r="BB62" s="1172"/>
    </row>
    <row r="63" spans="1:55" s="11" customFormat="1" ht="18.75" customHeight="1" x14ac:dyDescent="0.25">
      <c r="A63" s="1543"/>
      <c r="B63" s="185"/>
      <c r="C63" s="1960"/>
      <c r="D63" s="2017"/>
      <c r="E63" s="1539"/>
      <c r="F63" s="1960"/>
      <c r="G63" s="1960"/>
      <c r="H63" s="1961"/>
      <c r="I63" s="1539"/>
      <c r="J63" s="1960"/>
      <c r="K63" s="1960"/>
      <c r="L63" s="1961"/>
      <c r="M63" s="1539"/>
      <c r="N63" s="1960"/>
      <c r="O63" s="1960"/>
      <c r="P63" s="1961"/>
      <c r="Q63" s="1539"/>
      <c r="R63" s="1960"/>
      <c r="S63" s="1960"/>
      <c r="T63" s="1961"/>
      <c r="U63" s="1539"/>
      <c r="V63" s="1960"/>
      <c r="W63" s="1960"/>
      <c r="X63" s="1961"/>
      <c r="Y63" s="1539"/>
      <c r="Z63" s="1960"/>
      <c r="AA63" s="1960"/>
      <c r="AB63" s="1961"/>
      <c r="AC63" s="1539"/>
      <c r="AD63" s="1960"/>
      <c r="AE63" s="1960"/>
      <c r="AF63" s="1961"/>
      <c r="AG63" s="1539"/>
      <c r="AH63" s="1960"/>
      <c r="AI63" s="1960"/>
      <c r="AJ63" s="1961"/>
      <c r="AK63" s="1539"/>
      <c r="AL63" s="1960"/>
      <c r="AM63" s="1960"/>
      <c r="AN63" s="1961"/>
      <c r="AO63" s="1539"/>
      <c r="AP63" s="1960"/>
      <c r="AQ63" s="1960"/>
      <c r="AR63" s="1961"/>
      <c r="AS63" s="1539"/>
      <c r="AT63" s="1960"/>
      <c r="AU63" s="1960"/>
      <c r="AV63" s="1961"/>
      <c r="AW63" s="1539"/>
      <c r="AX63" s="1960"/>
      <c r="AY63" s="1962"/>
      <c r="AZ63" s="1962"/>
      <c r="BA63" s="132"/>
      <c r="BB63" s="1172"/>
    </row>
    <row r="64" spans="1:55" s="11" customFormat="1" ht="18.75" customHeight="1" thickBot="1" x14ac:dyDescent="0.3">
      <c r="A64" s="161"/>
      <c r="C64" s="9"/>
      <c r="D64" s="2018"/>
      <c r="E64" s="9"/>
      <c r="F64" s="9"/>
      <c r="G64" s="9"/>
      <c r="H64" s="9"/>
      <c r="I64" s="9"/>
      <c r="J64" s="9"/>
      <c r="K64" s="8"/>
      <c r="L64" s="9"/>
      <c r="M64" s="9"/>
      <c r="N64" s="9"/>
      <c r="O64" s="8"/>
      <c r="P64" s="9"/>
      <c r="Q64" s="9"/>
      <c r="R64" s="9"/>
      <c r="S64" s="8"/>
      <c r="T64" s="9"/>
      <c r="U64" s="9"/>
      <c r="V64" s="9"/>
      <c r="W64" s="8"/>
      <c r="X64" s="9"/>
      <c r="Y64" s="9"/>
      <c r="Z64" s="9"/>
      <c r="AA64" s="8"/>
      <c r="AB64" s="9"/>
      <c r="AC64" s="9"/>
      <c r="AD64" s="9"/>
      <c r="AE64" s="8"/>
      <c r="AF64" s="9"/>
      <c r="AG64" s="9"/>
      <c r="AH64" s="9"/>
      <c r="AI64" s="8"/>
      <c r="AJ64" s="9"/>
      <c r="AK64" s="9"/>
      <c r="AL64" s="9"/>
      <c r="AM64" s="8"/>
      <c r="AN64" s="9"/>
      <c r="AO64" s="9"/>
      <c r="AP64" s="9"/>
      <c r="AQ64" s="8"/>
      <c r="AR64" s="9"/>
      <c r="AS64" s="9"/>
      <c r="AT64" s="9"/>
      <c r="AU64" s="8"/>
      <c r="AV64" s="9"/>
      <c r="AW64" s="9"/>
      <c r="AX64" s="9"/>
      <c r="AY64" s="1963"/>
      <c r="AZ64" s="1963"/>
      <c r="BA64" s="132"/>
      <c r="BB64" s="1172"/>
    </row>
    <row r="65" spans="1:57" s="8" customFormat="1" ht="18.75" customHeight="1" thickBot="1" x14ac:dyDescent="0.3">
      <c r="A65" s="2710" t="s">
        <v>24</v>
      </c>
      <c r="B65" s="2711"/>
      <c r="C65" s="1964">
        <f>C67+C91+C133+C150+C191+C214+C264+C166</f>
        <v>20150123.562400002</v>
      </c>
      <c r="D65" s="1965">
        <f>D67+D91+D133+D150+D191+D214+D264+D166</f>
        <v>20645675.420000002</v>
      </c>
      <c r="E65" s="1966">
        <f>D65-C65</f>
        <v>495551.85759999976</v>
      </c>
      <c r="F65" s="1967">
        <f>((D65/C65)-1)*100</f>
        <v>2.4592993490357262</v>
      </c>
      <c r="G65" s="1265">
        <f>G67+G91+G133+G150+G191+G214+G264+G166</f>
        <v>20150923.562400002</v>
      </c>
      <c r="H65" s="1965">
        <f>H67+H91+H133+H150+H191+H214+H264+H166</f>
        <v>22468569.259999998</v>
      </c>
      <c r="I65" s="1967">
        <f>H65-G65</f>
        <v>2317645.6975999959</v>
      </c>
      <c r="J65" s="1968">
        <f>((H65/G65)-1)*100</f>
        <v>11.501436598789617</v>
      </c>
      <c r="K65" s="1265">
        <f>K67+K91+K133+K150+K191+K214+K264+K166</f>
        <v>20301123.562400002</v>
      </c>
      <c r="L65" s="1965">
        <f>L67+L91+L133+L150+L191+L214+L264+L166</f>
        <v>22036083.020000003</v>
      </c>
      <c r="M65" s="1966">
        <f>L65-K65</f>
        <v>1734959.4576000012</v>
      </c>
      <c r="N65" s="1967">
        <f>((L65/K65)-1)*100</f>
        <v>8.5461253031992044</v>
      </c>
      <c r="O65" s="1265">
        <f>O67+O91+O133+O150+O191+O214+O264+O166</f>
        <v>20298123.562400002</v>
      </c>
      <c r="P65" s="1965">
        <f>P67+P91+P133+P150+P191+P214+P264+P166</f>
        <v>0</v>
      </c>
      <c r="Q65" s="1966">
        <f>P65-O65</f>
        <v>-20298123.562400002</v>
      </c>
      <c r="R65" s="1967">
        <f>((P65/O65)-1)*100</f>
        <v>-100</v>
      </c>
      <c r="S65" s="1252">
        <f>S67+S91+S133+S150+S191+S214+S264+S166</f>
        <v>20604083.562400002</v>
      </c>
      <c r="T65" s="1969">
        <f>T67+T91+T133+T150+T191+T214+T264+T166</f>
        <v>0</v>
      </c>
      <c r="U65" s="1968">
        <f>T65-S65</f>
        <v>-20604083.562400002</v>
      </c>
      <c r="V65" s="1968">
        <f>((T65/S65)-1)*100</f>
        <v>-100</v>
      </c>
      <c r="W65" s="1265">
        <f>W67+W91+W133+W150+W191+W214+W264+W166</f>
        <v>21154207.623199999</v>
      </c>
      <c r="X65" s="1965">
        <f>X67+X91+X133+X150+X191+X214+X264+X166</f>
        <v>0</v>
      </c>
      <c r="Y65" s="1966">
        <f>X65-W65</f>
        <v>-21154207.623199999</v>
      </c>
      <c r="Z65" s="1966">
        <f>((X65/W65)-1)*100</f>
        <v>-100</v>
      </c>
      <c r="AA65" s="1970">
        <f>AA67+AA91+AA133+AA150+AA191+AA214+AA264+AA166</f>
        <v>21153807.623199999</v>
      </c>
      <c r="AB65" s="1965">
        <f>AB67+AB91+AB133+AB150+AB191+AB214+AB264+AB166</f>
        <v>0</v>
      </c>
      <c r="AC65" s="1966">
        <f>AB65-AA65</f>
        <v>-21153807.623199999</v>
      </c>
      <c r="AD65" s="1967">
        <f>((AB65/AA65)-1)*100</f>
        <v>-100</v>
      </c>
      <c r="AE65" s="1265">
        <f>AE67+AE91+AE133+AE150+AE191+AE214+AE264+AE166</f>
        <v>21155307.623199999</v>
      </c>
      <c r="AF65" s="1965">
        <f>AF67+AF91+AF133+AF150+AF191+AF214+AF264+AF166</f>
        <v>0</v>
      </c>
      <c r="AG65" s="1966">
        <f>AF65-AE65</f>
        <v>-21155307.623199999</v>
      </c>
      <c r="AH65" s="1967">
        <f>((AF65/AE65)-1)*100</f>
        <v>-100</v>
      </c>
      <c r="AI65" s="1265">
        <f>AI67+AI91+AI133+AI150+AI191+AI214+AI264+AI166</f>
        <v>21185807.623199999</v>
      </c>
      <c r="AJ65" s="1965">
        <f>AJ67+AJ91+AJ133+AJ150+AJ191+AJ214+AJ264+AJ166</f>
        <v>0</v>
      </c>
      <c r="AK65" s="1966">
        <f>AJ65-AI65</f>
        <v>-21185807.623199999</v>
      </c>
      <c r="AL65" s="1967">
        <f>((AJ65/AI65)-1)*100</f>
        <v>-100</v>
      </c>
      <c r="AM65" s="1265">
        <f>AM67+AM91+AM133+AM150+AM191+AM214+AM264+AM166</f>
        <v>21185307.623199999</v>
      </c>
      <c r="AN65" s="1965">
        <f>AN67+AN91+AN133+AN150+AN191+AN214+AN264</f>
        <v>0</v>
      </c>
      <c r="AO65" s="1966">
        <f>AN65-AM65</f>
        <v>-21185307.623199999</v>
      </c>
      <c r="AP65" s="1967">
        <f>((AN65/AM65)-1)*100</f>
        <v>-100</v>
      </c>
      <c r="AQ65" s="1265">
        <f>AQ67+AQ91+AQ133+AQ150+AQ191+AQ214+AQ264+AQ166</f>
        <v>21305807.623199999</v>
      </c>
      <c r="AR65" s="1965">
        <f>AR67+AR91+AR133+AR150+AR191+AR214+AR264+AR166</f>
        <v>0</v>
      </c>
      <c r="AS65" s="1966">
        <f>AR65-AQ65</f>
        <v>-21305807.623199999</v>
      </c>
      <c r="AT65" s="1967">
        <f>((AR65/AQ65)-1)*100</f>
        <v>-100</v>
      </c>
      <c r="AU65" s="1265">
        <f>AU67+AU91+AU133+AU150+AU191+AU214+AU264+AU166</f>
        <v>21308007.623199999</v>
      </c>
      <c r="AV65" s="1965">
        <f>AV67+AV91+AV133+AV150+AV191+AV214+AV264+AV166</f>
        <v>0</v>
      </c>
      <c r="AW65" s="1966">
        <f>AV65-AU65</f>
        <v>-21308007.623199999</v>
      </c>
      <c r="AX65" s="1967">
        <f>((AV65/AU65)-1)*100</f>
        <v>-100</v>
      </c>
      <c r="AY65" s="1255">
        <f>C65+G65+K65+O65+S65+W65+AA65+AE65+AI65+AM65+AQ65+AU65</f>
        <v>249952631.1744</v>
      </c>
      <c r="AZ65" s="1579">
        <f>D65+H65+L65+P65+T65+X65+AB65+AF65+AJ65+AN65+AR65+AV65</f>
        <v>65150327.700000003</v>
      </c>
      <c r="BA65" s="64"/>
      <c r="BB65" s="1172"/>
      <c r="BC65" s="9"/>
      <c r="BD65" s="10"/>
    </row>
    <row r="66" spans="1:57" s="11" customFormat="1" ht="18.75" customHeight="1" thickBot="1" x14ac:dyDescent="0.3">
      <c r="A66" s="161"/>
      <c r="C66" s="1971"/>
      <c r="D66" s="1963"/>
      <c r="E66" s="1971"/>
      <c r="F66" s="1971"/>
      <c r="G66" s="8"/>
      <c r="H66" s="1971"/>
      <c r="I66" s="1971"/>
      <c r="J66" s="1971"/>
      <c r="K66" s="9"/>
      <c r="L66" s="1971"/>
      <c r="M66" s="1971"/>
      <c r="N66" s="1971"/>
      <c r="O66" s="8"/>
      <c r="P66" s="1971"/>
      <c r="Q66" s="1971"/>
      <c r="R66" s="1971"/>
      <c r="S66" s="8"/>
      <c r="T66" s="1971"/>
      <c r="U66" s="1971"/>
      <c r="V66" s="1971"/>
      <c r="W66" s="9"/>
      <c r="X66" s="1971"/>
      <c r="Y66" s="1971"/>
      <c r="Z66" s="1971"/>
      <c r="AA66" s="9"/>
      <c r="AB66" s="1971"/>
      <c r="AC66" s="1971"/>
      <c r="AD66" s="1971"/>
      <c r="AE66" s="9"/>
      <c r="AF66" s="1971"/>
      <c r="AG66" s="1971"/>
      <c r="AH66" s="1971"/>
      <c r="AI66" s="9"/>
      <c r="AJ66" s="1971"/>
      <c r="AK66" s="1971"/>
      <c r="AL66" s="1971"/>
      <c r="AM66" s="9"/>
      <c r="AN66" s="1971"/>
      <c r="AO66" s="1971"/>
      <c r="AP66" s="1971"/>
      <c r="AQ66" s="9"/>
      <c r="AR66" s="1971"/>
      <c r="AS66" s="1971"/>
      <c r="AT66" s="1971"/>
      <c r="AU66" s="9"/>
      <c r="AV66" s="1971"/>
      <c r="AW66" s="1971"/>
      <c r="AX66" s="1971"/>
      <c r="AY66" s="1972"/>
      <c r="AZ66" s="1972"/>
      <c r="BA66" s="1172"/>
      <c r="BB66" s="1172"/>
    </row>
    <row r="67" spans="1:57" s="11" customFormat="1" ht="18.75" customHeight="1" thickBot="1" x14ac:dyDescent="0.3">
      <c r="A67" s="166"/>
      <c r="B67" s="2047" t="s">
        <v>3915</v>
      </c>
      <c r="C67" s="574">
        <f>SUM(C68:C89)</f>
        <v>5705775</v>
      </c>
      <c r="D67" s="1973">
        <f>SUM(D68:D89)</f>
        <v>5948575.5700000012</v>
      </c>
      <c r="E67" s="42">
        <f>D67-C67</f>
        <v>242800.57000000123</v>
      </c>
      <c r="F67" s="79">
        <f>((D67/C67)-1)*100</f>
        <v>4.2553477836052345</v>
      </c>
      <c r="G67" s="1974">
        <f>SUM(G68:G89)</f>
        <v>5705775</v>
      </c>
      <c r="H67" s="1973">
        <f>SUM(H68:H89)</f>
        <v>6281392.5099999998</v>
      </c>
      <c r="I67" s="42">
        <f>H67-G67</f>
        <v>575617.50999999978</v>
      </c>
      <c r="J67" s="79">
        <f>((H67/G67)-1)*100</f>
        <v>10.088331734076439</v>
      </c>
      <c r="K67" s="1381">
        <f>SUM(K68:K89)</f>
        <v>5705775</v>
      </c>
      <c r="L67" s="1973">
        <f>SUM(L68:L89)</f>
        <v>6141762.2199999997</v>
      </c>
      <c r="M67" s="42">
        <f>L67-K67</f>
        <v>435987.21999999974</v>
      </c>
      <c r="N67" s="79">
        <f>((L67/K67)-1)*100</f>
        <v>7.6411568980550459</v>
      </c>
      <c r="O67" s="1381">
        <f>SUM(O68:O89)</f>
        <v>5705775</v>
      </c>
      <c r="P67" s="1973">
        <f>SUM(P68:P89)</f>
        <v>0</v>
      </c>
      <c r="Q67" s="42">
        <f>P67-O67</f>
        <v>-5705775</v>
      </c>
      <c r="R67" s="79">
        <f>((P67/O67)-1)*100</f>
        <v>-100</v>
      </c>
      <c r="S67" s="1381">
        <f>SUM(S68:S89)</f>
        <v>6037775</v>
      </c>
      <c r="T67" s="1973">
        <f>SUM(T68:T89)</f>
        <v>0</v>
      </c>
      <c r="U67" s="42">
        <f>T67-S67</f>
        <v>-6037775</v>
      </c>
      <c r="V67" s="79">
        <f>((T67/S67)-1)*100</f>
        <v>-100</v>
      </c>
      <c r="W67" s="1381">
        <f>SUM(W68:W89)</f>
        <v>6037775</v>
      </c>
      <c r="X67" s="1973">
        <f>SUM(X68:X89)</f>
        <v>0</v>
      </c>
      <c r="Y67" s="42">
        <f>X67-W67</f>
        <v>-6037775</v>
      </c>
      <c r="Z67" s="79">
        <f>((X67/W67)-1)*100</f>
        <v>-100</v>
      </c>
      <c r="AA67" s="1381">
        <f>SUM(AA68:AA89)</f>
        <v>6037775</v>
      </c>
      <c r="AB67" s="1973">
        <f>SUM(AB68:AB89)</f>
        <v>0</v>
      </c>
      <c r="AC67" s="42">
        <f>AB67-AA67</f>
        <v>-6037775</v>
      </c>
      <c r="AD67" s="79">
        <f>((AB67/AA67)-1)*100</f>
        <v>-100</v>
      </c>
      <c r="AE67" s="1381">
        <f>SUM(AE68:AE89)</f>
        <v>6037775</v>
      </c>
      <c r="AF67" s="1973">
        <f>SUM(AF68:AF89)</f>
        <v>0</v>
      </c>
      <c r="AG67" s="42">
        <f>AF67-AE67</f>
        <v>-6037775</v>
      </c>
      <c r="AH67" s="79">
        <f>((AF67/AE67)-1)*100</f>
        <v>-100</v>
      </c>
      <c r="AI67" s="1381">
        <f>SUM(AI68:AI89)</f>
        <v>6037775</v>
      </c>
      <c r="AJ67" s="1973">
        <f>SUM(AJ68:AJ89)</f>
        <v>0</v>
      </c>
      <c r="AK67" s="42">
        <f>AJ67-AI67</f>
        <v>-6037775</v>
      </c>
      <c r="AL67" s="79">
        <f>((AJ67/AI67)-1)*100</f>
        <v>-100</v>
      </c>
      <c r="AM67" s="1381">
        <f>SUM(AM68:AM89)</f>
        <v>6037775</v>
      </c>
      <c r="AN67" s="1973">
        <f>SUM(AN68:AN89)</f>
        <v>0</v>
      </c>
      <c r="AO67" s="42">
        <f>AN67-AM67</f>
        <v>-6037775</v>
      </c>
      <c r="AP67" s="79">
        <f>((AN67/AM67)-1)*100</f>
        <v>-100</v>
      </c>
      <c r="AQ67" s="1381">
        <f>SUM(AQ68:AQ89)</f>
        <v>6158775</v>
      </c>
      <c r="AR67" s="1973">
        <f>SUM(AR68:AR89)</f>
        <v>0</v>
      </c>
      <c r="AS67" s="42">
        <f>AR67-AQ67</f>
        <v>-6158775</v>
      </c>
      <c r="AT67" s="79">
        <f>((AR67/AQ67)-1)*100</f>
        <v>-100</v>
      </c>
      <c r="AU67" s="1381">
        <f>SUM(AU68:AU89)</f>
        <v>6158775</v>
      </c>
      <c r="AV67" s="1973">
        <f>SUM(AV68:AV89)</f>
        <v>0</v>
      </c>
      <c r="AW67" s="42">
        <f>AV67-AU67</f>
        <v>-6158775</v>
      </c>
      <c r="AX67" s="79">
        <f>((AV67/AU67)-1)*100</f>
        <v>-100</v>
      </c>
      <c r="AY67" s="59">
        <f t="shared" ref="AY67:AZ70" si="57">C67+G67+K67+O67+S67+W67+AA67+AE67+AI67+AM67+AQ67+AU67</f>
        <v>71367300</v>
      </c>
      <c r="AZ67" s="1975">
        <f t="shared" si="57"/>
        <v>18371730.300000001</v>
      </c>
      <c r="BA67" s="195"/>
      <c r="BB67" s="1176"/>
      <c r="BE67" s="400"/>
    </row>
    <row r="68" spans="1:57" s="1421" customFormat="1" ht="18.75" customHeight="1" x14ac:dyDescent="0.25">
      <c r="A68" s="167">
        <v>11316</v>
      </c>
      <c r="B68" s="1308" t="s">
        <v>27</v>
      </c>
      <c r="C68" s="1637">
        <v>410000</v>
      </c>
      <c r="D68" s="2019">
        <v>511340</v>
      </c>
      <c r="E68" s="2173">
        <f t="shared" ref="E68" si="58">D68-C68</f>
        <v>101340</v>
      </c>
      <c r="F68" s="1640">
        <f>((D68/C68)-1)*100</f>
        <v>24.717073170731709</v>
      </c>
      <c r="G68" s="1637">
        <f>C68</f>
        <v>410000</v>
      </c>
      <c r="H68" s="1608">
        <f>VLOOKUP(A68,'[1]r_balancete_sc 02-2022'!$1:$1048576,9,0)</f>
        <v>408706.86</v>
      </c>
      <c r="I68" s="2173">
        <f>H68-G68</f>
        <v>-1293.140000000014</v>
      </c>
      <c r="J68" s="1640">
        <f>((H68/G68)-1)*100</f>
        <v>-0.31539999999999901</v>
      </c>
      <c r="K68" s="1637">
        <f>G68</f>
        <v>410000</v>
      </c>
      <c r="L68" s="1638">
        <f>VLOOKUP(A68,'[2]bALANCETE ORÇAMENTO'!$1:$1048576,7,0)</f>
        <v>409467.57</v>
      </c>
      <c r="M68" s="2173">
        <f t="shared" ref="M68" si="59">L68-K68</f>
        <v>-532.42999999999302</v>
      </c>
      <c r="N68" s="1640">
        <f>((L68/K68)-1)*100</f>
        <v>-0.1298609756097524</v>
      </c>
      <c r="O68" s="1637">
        <f>K68</f>
        <v>410000</v>
      </c>
      <c r="P68" s="1638"/>
      <c r="Q68" s="2173">
        <f t="shared" ref="Q68" si="60">P68-O68</f>
        <v>-410000</v>
      </c>
      <c r="R68" s="1640">
        <f>((P68/O68)-1)*100</f>
        <v>-100</v>
      </c>
      <c r="S68" s="1637">
        <f>O68</f>
        <v>410000</v>
      </c>
      <c r="T68" s="1638"/>
      <c r="U68" s="2173">
        <f t="shared" ref="U68" si="61">T68-S68</f>
        <v>-410000</v>
      </c>
      <c r="V68" s="1640">
        <f>((T68/S68)-1)*100</f>
        <v>-100</v>
      </c>
      <c r="W68" s="1637">
        <f t="shared" ref="W68:W89" si="62">S68</f>
        <v>410000</v>
      </c>
      <c r="X68" s="1638"/>
      <c r="Y68" s="2173">
        <f t="shared" ref="Y68" si="63">X68-W68</f>
        <v>-410000</v>
      </c>
      <c r="Z68" s="1640">
        <f>((X68/W68)-1)*100</f>
        <v>-100</v>
      </c>
      <c r="AA68" s="1637">
        <f t="shared" ref="AA68:AA89" si="64">W68</f>
        <v>410000</v>
      </c>
      <c r="AB68" s="1638"/>
      <c r="AC68" s="2173">
        <f t="shared" ref="AC68" si="65">AB68-AA68</f>
        <v>-410000</v>
      </c>
      <c r="AD68" s="1640">
        <f>((AB68/AA68)-1)*100</f>
        <v>-100</v>
      </c>
      <c r="AE68" s="1637">
        <f t="shared" ref="AE68:AE89" si="66">AA68</f>
        <v>410000</v>
      </c>
      <c r="AF68" s="1638"/>
      <c r="AG68" s="2173">
        <f t="shared" ref="AG68" si="67">AF68-AE68</f>
        <v>-410000</v>
      </c>
      <c r="AH68" s="1640">
        <f>((AF68/AE68)-1)*100</f>
        <v>-100</v>
      </c>
      <c r="AI68" s="1637">
        <f t="shared" ref="AI68:AI89" si="68">AE68</f>
        <v>410000</v>
      </c>
      <c r="AJ68" s="1638"/>
      <c r="AK68" s="2173">
        <f t="shared" ref="AK68" si="69">AJ68-AI68</f>
        <v>-410000</v>
      </c>
      <c r="AL68" s="1640">
        <f>((AJ68/AI68)-1)*100</f>
        <v>-100</v>
      </c>
      <c r="AM68" s="1637">
        <f t="shared" ref="AM68:AM89" si="70">AI68</f>
        <v>410000</v>
      </c>
      <c r="AN68" s="1638"/>
      <c r="AO68" s="2173">
        <f t="shared" ref="AO68" si="71">AN68-AM68</f>
        <v>-410000</v>
      </c>
      <c r="AP68" s="1640">
        <f>((AN68/AM68)-1)*100</f>
        <v>-100</v>
      </c>
      <c r="AQ68" s="1637">
        <f t="shared" ref="AQ68:AQ74" si="72">AM68</f>
        <v>410000</v>
      </c>
      <c r="AR68" s="1638"/>
      <c r="AS68" s="2173">
        <f t="shared" ref="AS68" si="73">AR68-AQ68</f>
        <v>-410000</v>
      </c>
      <c r="AT68" s="1640">
        <f>((AR68/AQ68)-1)*100</f>
        <v>-100</v>
      </c>
      <c r="AU68" s="1637">
        <f t="shared" ref="AU68:AU86" si="74">AQ68</f>
        <v>410000</v>
      </c>
      <c r="AV68" s="1638"/>
      <c r="AW68" s="2173">
        <f t="shared" ref="AW68" si="75">AV68-AU68</f>
        <v>-410000</v>
      </c>
      <c r="AX68" s="1640">
        <f>((AV68/AU68)-1)*100</f>
        <v>-100</v>
      </c>
      <c r="AY68" s="1240">
        <f t="shared" si="57"/>
        <v>4920000</v>
      </c>
      <c r="AZ68" s="1561">
        <f t="shared" si="57"/>
        <v>1329514.43</v>
      </c>
      <c r="BB68" s="12"/>
    </row>
    <row r="69" spans="1:57" s="1421" customFormat="1" ht="18.75" customHeight="1" thickBot="1" x14ac:dyDescent="0.3">
      <c r="A69" s="366">
        <v>11498</v>
      </c>
      <c r="B69" s="1540" t="s">
        <v>174</v>
      </c>
      <c r="C69" s="1641">
        <v>11000</v>
      </c>
      <c r="D69" s="2020">
        <v>13241.51</v>
      </c>
      <c r="E69" s="2055">
        <f>D69-C69</f>
        <v>2241.5100000000002</v>
      </c>
      <c r="F69" s="2056">
        <f>((D69/C69)-1)*100</f>
        <v>20.377363636363643</v>
      </c>
      <c r="G69" s="1641">
        <f>C69</f>
        <v>11000</v>
      </c>
      <c r="H69" s="2070">
        <f>VLOOKUP(A69,'[1]r_balancete_sc 02-2022'!$1:$1048576,9,0)</f>
        <v>14399.78</v>
      </c>
      <c r="I69" s="2155">
        <f>H69-G69</f>
        <v>3399.7800000000007</v>
      </c>
      <c r="J69" s="2156">
        <f>((H69/G69)-1)*100</f>
        <v>30.907090909090918</v>
      </c>
      <c r="K69" s="1641">
        <f>G69</f>
        <v>11000</v>
      </c>
      <c r="L69" s="2055">
        <f>VLOOKUP(A69,'[2]bALANCETE ORÇAMENTO'!$1:$1048576,7,0)</f>
        <v>13370.73</v>
      </c>
      <c r="M69" s="2155">
        <f>L69-K69</f>
        <v>2370.7299999999996</v>
      </c>
      <c r="N69" s="2156">
        <f>((L69/K69)-1)*100</f>
        <v>21.552090909090914</v>
      </c>
      <c r="O69" s="1641">
        <f>K69</f>
        <v>11000</v>
      </c>
      <c r="P69" s="2055"/>
      <c r="Q69" s="2155">
        <f>P69-O69</f>
        <v>-11000</v>
      </c>
      <c r="R69" s="2156">
        <f>((P69/O69)-1)*100</f>
        <v>-100</v>
      </c>
      <c r="S69" s="1641">
        <v>25000</v>
      </c>
      <c r="T69" s="2055"/>
      <c r="U69" s="2155">
        <f>T69-S69</f>
        <v>-25000</v>
      </c>
      <c r="V69" s="2156">
        <f>((T69/S69)-1)*100</f>
        <v>-100</v>
      </c>
      <c r="W69" s="1641">
        <f t="shared" si="62"/>
        <v>25000</v>
      </c>
      <c r="X69" s="2055"/>
      <c r="Y69" s="2155">
        <f>X69-W69</f>
        <v>-25000</v>
      </c>
      <c r="Z69" s="2156">
        <f>((X69/W69)-1)*100</f>
        <v>-100</v>
      </c>
      <c r="AA69" s="1641">
        <f t="shared" si="64"/>
        <v>25000</v>
      </c>
      <c r="AB69" s="2055"/>
      <c r="AC69" s="2155">
        <f>AB69-AA69</f>
        <v>-25000</v>
      </c>
      <c r="AD69" s="2156">
        <f>((AB69/AA69)-1)*100</f>
        <v>-100</v>
      </c>
      <c r="AE69" s="1641">
        <f t="shared" si="66"/>
        <v>25000</v>
      </c>
      <c r="AF69" s="2055"/>
      <c r="AG69" s="2155">
        <f>AF69-AE69</f>
        <v>-25000</v>
      </c>
      <c r="AH69" s="2156">
        <f>((AF69/AE69)-1)*100</f>
        <v>-100</v>
      </c>
      <c r="AI69" s="1641">
        <f t="shared" si="68"/>
        <v>25000</v>
      </c>
      <c r="AJ69" s="2055"/>
      <c r="AK69" s="2155">
        <f>AJ69-AI69</f>
        <v>-25000</v>
      </c>
      <c r="AL69" s="2156">
        <f>((AJ69/AI69)-1)*100</f>
        <v>-100</v>
      </c>
      <c r="AM69" s="1641">
        <f t="shared" si="70"/>
        <v>25000</v>
      </c>
      <c r="AN69" s="2055"/>
      <c r="AO69" s="2155">
        <f>AN69-AM69</f>
        <v>-25000</v>
      </c>
      <c r="AP69" s="2156">
        <f>((AN69/AM69)-1)*100</f>
        <v>-100</v>
      </c>
      <c r="AQ69" s="1641">
        <f t="shared" si="72"/>
        <v>25000</v>
      </c>
      <c r="AR69" s="2055"/>
      <c r="AS69" s="2155">
        <f>AR69-AQ69</f>
        <v>-25000</v>
      </c>
      <c r="AT69" s="2156">
        <f>((AR69/AQ69)-1)*100</f>
        <v>-100</v>
      </c>
      <c r="AU69" s="1641">
        <f t="shared" si="74"/>
        <v>25000</v>
      </c>
      <c r="AV69" s="2055"/>
      <c r="AW69" s="2155">
        <f>AV69-AU69</f>
        <v>-25000</v>
      </c>
      <c r="AX69" s="2156">
        <f>((AV69/AU69)-1)*100</f>
        <v>-100</v>
      </c>
      <c r="AY69" s="2063">
        <f t="shared" si="57"/>
        <v>244000</v>
      </c>
      <c r="AZ69" s="1562">
        <f t="shared" si="57"/>
        <v>41012.020000000004</v>
      </c>
      <c r="BB69" s="12"/>
    </row>
    <row r="70" spans="1:57" s="1421" customFormat="1" ht="18.75" customHeight="1" x14ac:dyDescent="0.25">
      <c r="A70" s="167">
        <v>11470</v>
      </c>
      <c r="B70" s="1308" t="s">
        <v>3873</v>
      </c>
      <c r="C70" s="2712">
        <v>310000</v>
      </c>
      <c r="D70" s="2021">
        <v>373375.51</v>
      </c>
      <c r="E70" s="2714">
        <f>SUM(D70:D71)-C70</f>
        <v>63375.510000000009</v>
      </c>
      <c r="F70" s="2716">
        <f>((SUM(D70:D71)/C70)-1)*100</f>
        <v>20.443712903225819</v>
      </c>
      <c r="G70" s="2712">
        <f>C70</f>
        <v>310000</v>
      </c>
      <c r="H70" s="2069">
        <f>VLOOKUP(A70,'[1]r_balancete_sc 02-2022'!$1:$1048576,9,0)</f>
        <v>383373.92</v>
      </c>
      <c r="I70" s="2714">
        <f>SUM(H70:H71)-G70</f>
        <v>73373.919999999984</v>
      </c>
      <c r="J70" s="2716">
        <f>((SUM(H70:H71)/G70)-1)*100</f>
        <v>23.669006451612894</v>
      </c>
      <c r="K70" s="2712">
        <f>G70</f>
        <v>310000</v>
      </c>
      <c r="L70" s="1642">
        <f>VLOOKUP(A70,'[2]bALANCETE ORÇAMENTO'!$1:$1048576,7,0)</f>
        <v>369027.97</v>
      </c>
      <c r="M70" s="2714">
        <f>SUM(L70:L71)-K70</f>
        <v>59027.969999999972</v>
      </c>
      <c r="N70" s="2716">
        <f>((SUM(L70:L71)/K70)-1)*100</f>
        <v>19.041280645161287</v>
      </c>
      <c r="O70" s="2712">
        <f>K70</f>
        <v>310000</v>
      </c>
      <c r="P70" s="1642"/>
      <c r="Q70" s="2714">
        <f>SUM(P70:P71)-O70</f>
        <v>-310000</v>
      </c>
      <c r="R70" s="2716">
        <f>((SUM(P70:P71)/O70)-1)*100</f>
        <v>-100</v>
      </c>
      <c r="S70" s="2712">
        <v>355000</v>
      </c>
      <c r="T70" s="1642"/>
      <c r="U70" s="2714">
        <f>SUM(T70:T71)-S70</f>
        <v>-355000</v>
      </c>
      <c r="V70" s="2716">
        <f>((SUM(T70:T71)/S70)-1)*100</f>
        <v>-100</v>
      </c>
      <c r="W70" s="2712">
        <f t="shared" si="62"/>
        <v>355000</v>
      </c>
      <c r="X70" s="1642"/>
      <c r="Y70" s="2714">
        <f>SUM(X70:X71)-W70</f>
        <v>-355000</v>
      </c>
      <c r="Z70" s="2716">
        <f>((SUM(X70:X71)/W70)-1)*100</f>
        <v>-100</v>
      </c>
      <c r="AA70" s="2712">
        <f t="shared" si="64"/>
        <v>355000</v>
      </c>
      <c r="AB70" s="1642"/>
      <c r="AC70" s="2714">
        <f>SUM(AB70:AB71)-AA70</f>
        <v>-355000</v>
      </c>
      <c r="AD70" s="2716">
        <f>((SUM(AB70:AB71)/AA70)-1)*100</f>
        <v>-100</v>
      </c>
      <c r="AE70" s="2712">
        <f t="shared" si="66"/>
        <v>355000</v>
      </c>
      <c r="AF70" s="1642"/>
      <c r="AG70" s="2714">
        <f>SUM(AF70:AF71)-AE70</f>
        <v>-355000</v>
      </c>
      <c r="AH70" s="2716">
        <f>((SUM(AF70:AF71)/AE70)-1)*100</f>
        <v>-100</v>
      </c>
      <c r="AI70" s="2712">
        <f t="shared" si="68"/>
        <v>355000</v>
      </c>
      <c r="AJ70" s="1642"/>
      <c r="AK70" s="2714">
        <f>SUM(AJ70:AJ71)-AI70</f>
        <v>-355000</v>
      </c>
      <c r="AL70" s="2716">
        <f>((SUM(AJ70:AJ71)/AI70)-1)*100</f>
        <v>-100</v>
      </c>
      <c r="AM70" s="2712">
        <f t="shared" si="70"/>
        <v>355000</v>
      </c>
      <c r="AN70" s="1642"/>
      <c r="AO70" s="2714">
        <f>SUM(AN70:AN71)-AM70</f>
        <v>-355000</v>
      </c>
      <c r="AP70" s="2716">
        <f>((SUM(AN70:AN71)/AM70)-1)*100</f>
        <v>-100</v>
      </c>
      <c r="AQ70" s="2712">
        <f t="shared" si="72"/>
        <v>355000</v>
      </c>
      <c r="AR70" s="1642"/>
      <c r="AS70" s="2714">
        <f>SUM(AR70:AR71)-AQ70</f>
        <v>-355000</v>
      </c>
      <c r="AT70" s="2716">
        <f>((SUM(AR70:AR71)/AQ70)-1)*100</f>
        <v>-100</v>
      </c>
      <c r="AU70" s="2712">
        <f t="shared" si="74"/>
        <v>355000</v>
      </c>
      <c r="AV70" s="1642"/>
      <c r="AW70" s="2714">
        <f>SUM(AV70:AV71)-AU70</f>
        <v>-355000</v>
      </c>
      <c r="AX70" s="2716">
        <f>((SUM(AV70:AV71)/AU70)-1)*100</f>
        <v>-100</v>
      </c>
      <c r="AY70" s="2721">
        <f t="shared" si="57"/>
        <v>4080000</v>
      </c>
      <c r="AZ70" s="1561">
        <f t="shared" si="57"/>
        <v>1125777.3999999999</v>
      </c>
      <c r="BB70" s="12"/>
    </row>
    <row r="71" spans="1:57" s="1421" customFormat="1" ht="18.75" customHeight="1" thickBot="1" x14ac:dyDescent="0.3">
      <c r="A71" s="379">
        <v>11446</v>
      </c>
      <c r="B71" s="1544" t="s">
        <v>3874</v>
      </c>
      <c r="C71" s="2713"/>
      <c r="D71" s="2022"/>
      <c r="E71" s="2715"/>
      <c r="F71" s="2717"/>
      <c r="G71" s="2713"/>
      <c r="H71" s="1669">
        <v>0</v>
      </c>
      <c r="I71" s="2715"/>
      <c r="J71" s="2717"/>
      <c r="K71" s="2713"/>
      <c r="L71" s="2053">
        <v>0</v>
      </c>
      <c r="M71" s="2715"/>
      <c r="N71" s="2717"/>
      <c r="O71" s="2713"/>
      <c r="P71" s="2053"/>
      <c r="Q71" s="2715"/>
      <c r="R71" s="2717"/>
      <c r="S71" s="2713"/>
      <c r="T71" s="2053"/>
      <c r="U71" s="2715"/>
      <c r="V71" s="2717"/>
      <c r="W71" s="2713"/>
      <c r="X71" s="2053"/>
      <c r="Y71" s="2715"/>
      <c r="Z71" s="2717"/>
      <c r="AA71" s="2713"/>
      <c r="AB71" s="2053"/>
      <c r="AC71" s="2715"/>
      <c r="AD71" s="2717"/>
      <c r="AE71" s="2713"/>
      <c r="AF71" s="2053"/>
      <c r="AG71" s="2715"/>
      <c r="AH71" s="2717"/>
      <c r="AI71" s="2713"/>
      <c r="AJ71" s="2053"/>
      <c r="AK71" s="2715"/>
      <c r="AL71" s="2717"/>
      <c r="AM71" s="2713"/>
      <c r="AN71" s="2053"/>
      <c r="AO71" s="2715"/>
      <c r="AP71" s="2717"/>
      <c r="AQ71" s="2713"/>
      <c r="AR71" s="2053"/>
      <c r="AS71" s="2715"/>
      <c r="AT71" s="2717"/>
      <c r="AU71" s="2713"/>
      <c r="AV71" s="2053"/>
      <c r="AW71" s="2715"/>
      <c r="AX71" s="2717"/>
      <c r="AY71" s="2723"/>
      <c r="AZ71" s="1632">
        <f t="shared" ref="AZ71:AZ89" si="76">D71+H71+L71+P71+T71+X71+AB71+AF71+AJ71+AN71+AR71+AV71</f>
        <v>0</v>
      </c>
      <c r="BB71" s="12"/>
    </row>
    <row r="72" spans="1:57" s="1421" customFormat="1" ht="18.75" customHeight="1" thickBot="1" x14ac:dyDescent="0.3">
      <c r="A72" s="379">
        <v>11652</v>
      </c>
      <c r="B72" s="1540" t="s">
        <v>178</v>
      </c>
      <c r="C72" s="2430">
        <v>5000</v>
      </c>
      <c r="D72" s="2487">
        <v>0</v>
      </c>
      <c r="E72" s="2431">
        <f>D72-C72</f>
        <v>-5000</v>
      </c>
      <c r="F72" s="2491">
        <f>((D72/C72)-1)*100</f>
        <v>-100</v>
      </c>
      <c r="G72" s="2486">
        <f>C72</f>
        <v>5000</v>
      </c>
      <c r="H72" s="1608">
        <v>16769.5</v>
      </c>
      <c r="I72" s="1642">
        <f>H72-G72</f>
        <v>11769.5</v>
      </c>
      <c r="J72" s="2491">
        <f>((H72/G72)-1)*100</f>
        <v>235.39</v>
      </c>
      <c r="K72" s="2486">
        <f>G72</f>
        <v>5000</v>
      </c>
      <c r="L72" s="1642">
        <v>9000</v>
      </c>
      <c r="M72" s="1642">
        <f>L72-K72</f>
        <v>4000</v>
      </c>
      <c r="N72" s="2491">
        <f>((L72/K72)-1)*100</f>
        <v>80</v>
      </c>
      <c r="O72" s="2486">
        <f>K72</f>
        <v>5000</v>
      </c>
      <c r="P72" s="2431"/>
      <c r="Q72" s="2427">
        <f>P72-O72</f>
        <v>-5000</v>
      </c>
      <c r="R72" s="2429">
        <f>((P72/O72)-1)*100</f>
        <v>-100</v>
      </c>
      <c r="S72" s="2486">
        <v>5500</v>
      </c>
      <c r="T72" s="2431"/>
      <c r="U72" s="2427">
        <f>T72-S72</f>
        <v>-5500</v>
      </c>
      <c r="V72" s="2429">
        <f>((T72/S72)-1)*100</f>
        <v>-100</v>
      </c>
      <c r="W72" s="2430">
        <f t="shared" si="62"/>
        <v>5500</v>
      </c>
      <c r="X72" s="2427"/>
      <c r="Y72" s="1642">
        <f>X72-W72</f>
        <v>-5500</v>
      </c>
      <c r="Z72" s="2432">
        <f>((X72/W72)-1)*100</f>
        <v>-100</v>
      </c>
      <c r="AA72" s="2430">
        <f t="shared" si="64"/>
        <v>5500</v>
      </c>
      <c r="AB72" s="2431"/>
      <c r="AC72" s="2431">
        <f>AB72-AA72</f>
        <v>-5500</v>
      </c>
      <c r="AD72" s="2432">
        <f>((AB72/AA72)-1)*100</f>
        <v>-100</v>
      </c>
      <c r="AE72" s="2430">
        <f t="shared" si="66"/>
        <v>5500</v>
      </c>
      <c r="AF72" s="1642"/>
      <c r="AG72" s="1642">
        <f>AF72-AE72</f>
        <v>-5500</v>
      </c>
      <c r="AH72" s="2491">
        <f>((AF72/AE72)-1)*100</f>
        <v>-100</v>
      </c>
      <c r="AI72" s="2486">
        <f t="shared" si="68"/>
        <v>5500</v>
      </c>
      <c r="AJ72" s="2431"/>
      <c r="AK72" s="2431">
        <f>AJ72-AI72</f>
        <v>-5500</v>
      </c>
      <c r="AL72" s="2432">
        <f>((AJ72/AI72)-1)*100</f>
        <v>-100</v>
      </c>
      <c r="AM72" s="2430">
        <f t="shared" si="70"/>
        <v>5500</v>
      </c>
      <c r="AN72" s="1642"/>
      <c r="AO72" s="1642">
        <f>AN72-AM72</f>
        <v>-5500</v>
      </c>
      <c r="AP72" s="2491">
        <f>((AN72/AM72)-1)*100</f>
        <v>-100</v>
      </c>
      <c r="AQ72" s="2430">
        <f t="shared" si="72"/>
        <v>5500</v>
      </c>
      <c r="AR72" s="1642"/>
      <c r="AS72" s="2431">
        <f>AR72-AQ72</f>
        <v>-5500</v>
      </c>
      <c r="AT72" s="2432">
        <f>((AR72/AQ72)-1)*100</f>
        <v>-100</v>
      </c>
      <c r="AU72" s="2430">
        <f t="shared" si="74"/>
        <v>5500</v>
      </c>
      <c r="AV72" s="1642"/>
      <c r="AW72" s="2431">
        <f>AV72-AU72</f>
        <v>-5500</v>
      </c>
      <c r="AX72" s="2432">
        <f>((AV72/AU72)-1)*100</f>
        <v>-100</v>
      </c>
      <c r="AY72" s="2417">
        <f>C72+G72+K72+O72+S72+W72+AA72+AE72+AI72+AM72+AQ72+AU72</f>
        <v>64000</v>
      </c>
      <c r="AZ72" s="1561">
        <f t="shared" si="76"/>
        <v>25769.5</v>
      </c>
      <c r="BB72" s="12"/>
    </row>
    <row r="73" spans="1:57" s="1421" customFormat="1" ht="18.75" customHeight="1" thickBot="1" x14ac:dyDescent="0.3">
      <c r="A73" s="379">
        <v>11837</v>
      </c>
      <c r="B73" s="113" t="s">
        <v>3875</v>
      </c>
      <c r="C73" s="1327">
        <v>4000</v>
      </c>
      <c r="D73" s="2488">
        <v>0</v>
      </c>
      <c r="E73" s="1316">
        <f>SUM(D73:D73)-C73</f>
        <v>-4000</v>
      </c>
      <c r="F73" s="2490">
        <f>((SUM(D73:D73)/C73)-1)*100</f>
        <v>-100</v>
      </c>
      <c r="G73" s="2489">
        <f>C73</f>
        <v>4000</v>
      </c>
      <c r="H73" s="1664">
        <v>0</v>
      </c>
      <c r="I73" s="2492">
        <f>SUM(H73:H73)-G73</f>
        <v>-4000</v>
      </c>
      <c r="J73" s="2490">
        <f>((SUM(H73:H73)/G73)-1)*100</f>
        <v>-100</v>
      </c>
      <c r="K73" s="2489">
        <f>G73</f>
        <v>4000</v>
      </c>
      <c r="L73" s="1638">
        <v>0</v>
      </c>
      <c r="M73" s="1314">
        <f>SUM(L73:L73)-K73</f>
        <v>-4000</v>
      </c>
      <c r="N73" s="1330">
        <f>((SUM(L73:L73)/K73)-1)*100</f>
        <v>-100</v>
      </c>
      <c r="O73" s="2430">
        <v>4000</v>
      </c>
      <c r="P73" s="1948"/>
      <c r="Q73" s="2171">
        <f>P73-O73</f>
        <v>-4000</v>
      </c>
      <c r="R73" s="1949">
        <f>((P73/O73)-1)*100</f>
        <v>-100</v>
      </c>
      <c r="S73" s="1637">
        <v>4000</v>
      </c>
      <c r="T73" s="1948"/>
      <c r="U73" s="1948">
        <f>T73-S73</f>
        <v>-4000</v>
      </c>
      <c r="V73" s="1949">
        <f>((T73/S73)-1)*100</f>
        <v>-100</v>
      </c>
      <c r="W73" s="1643">
        <v>4000</v>
      </c>
      <c r="X73" s="1948"/>
      <c r="Y73" s="2431">
        <f>X73-W73</f>
        <v>-4000</v>
      </c>
      <c r="Z73" s="2432">
        <f>((X73/W73)-1)*100</f>
        <v>-100</v>
      </c>
      <c r="AA73" s="1643">
        <v>4000</v>
      </c>
      <c r="AB73" s="1948"/>
      <c r="AC73" s="2171"/>
      <c r="AD73" s="1949"/>
      <c r="AE73" s="1643">
        <v>4000</v>
      </c>
      <c r="AF73" s="2431"/>
      <c r="AG73" s="2431"/>
      <c r="AH73" s="1640"/>
      <c r="AI73" s="1637">
        <v>4000</v>
      </c>
      <c r="AJ73" s="1948"/>
      <c r="AK73" s="2171"/>
      <c r="AL73" s="1949"/>
      <c r="AM73" s="1641">
        <v>4000</v>
      </c>
      <c r="AN73" s="2431"/>
      <c r="AO73" s="2431"/>
      <c r="AP73" s="1949"/>
      <c r="AQ73" s="1643">
        <v>4000</v>
      </c>
      <c r="AR73" s="1638"/>
      <c r="AS73" s="1948"/>
      <c r="AT73" s="1949"/>
      <c r="AU73" s="1643">
        <v>4000</v>
      </c>
      <c r="AV73" s="1638"/>
      <c r="AW73" s="2171"/>
      <c r="AX73" s="2485"/>
      <c r="AY73" s="2062">
        <f>C73+G73+K73+O73+S73+W73+AA73+AE73+AI73+AM73+AQ73+AU73</f>
        <v>48000</v>
      </c>
      <c r="AZ73" s="1616">
        <f t="shared" si="76"/>
        <v>0</v>
      </c>
      <c r="BB73" s="12"/>
    </row>
    <row r="74" spans="1:57" s="1421" customFormat="1" ht="18.75" customHeight="1" thickBot="1" x14ac:dyDescent="0.3">
      <c r="A74" s="122">
        <v>12320</v>
      </c>
      <c r="B74" s="1540" t="s">
        <v>175</v>
      </c>
      <c r="C74" s="2430">
        <v>11000</v>
      </c>
      <c r="D74" s="2482">
        <v>2400</v>
      </c>
      <c r="E74" s="2076">
        <f>D74-C74</f>
        <v>-8600</v>
      </c>
      <c r="F74" s="2483">
        <f>((D74/C74)-1)*100</f>
        <v>-78.181818181818187</v>
      </c>
      <c r="G74" s="1644">
        <f>C74</f>
        <v>11000</v>
      </c>
      <c r="H74" s="2437">
        <v>5700</v>
      </c>
      <c r="I74" s="2076">
        <f>H74-G74</f>
        <v>-5300</v>
      </c>
      <c r="J74" s="2483">
        <f>((H74/G74)-1)*100</f>
        <v>-48.18181818181818</v>
      </c>
      <c r="K74" s="1644">
        <f>G74</f>
        <v>11000</v>
      </c>
      <c r="L74" s="2431">
        <v>14055</v>
      </c>
      <c r="M74" s="2431">
        <f>L74-K74</f>
        <v>3055</v>
      </c>
      <c r="N74" s="2432">
        <f>((L74/K74)-1)*100</f>
        <v>27.77272727272728</v>
      </c>
      <c r="O74" s="1644">
        <f>K74</f>
        <v>11000</v>
      </c>
      <c r="P74" s="2431"/>
      <c r="Q74" s="2076">
        <f>P74-O74</f>
        <v>-11000</v>
      </c>
      <c r="R74" s="2432">
        <f>((P74/O74)-1)*100</f>
        <v>-100</v>
      </c>
      <c r="S74" s="1644">
        <v>13000</v>
      </c>
      <c r="T74" s="2431"/>
      <c r="U74" s="2076">
        <f>T74-S74</f>
        <v>-13000</v>
      </c>
      <c r="V74" s="2432">
        <f>((T74/S74)-1)*100</f>
        <v>-100</v>
      </c>
      <c r="W74" s="1644">
        <f t="shared" si="62"/>
        <v>13000</v>
      </c>
      <c r="X74" s="2076"/>
      <c r="Y74" s="2076">
        <f>X74-W74</f>
        <v>-13000</v>
      </c>
      <c r="Z74" s="2483">
        <f>((X74/W74)-1)*100</f>
        <v>-100</v>
      </c>
      <c r="AA74" s="2430">
        <f t="shared" si="64"/>
        <v>13000</v>
      </c>
      <c r="AB74" s="2431"/>
      <c r="AC74" s="2076">
        <f>AB74-AA74</f>
        <v>-13000</v>
      </c>
      <c r="AD74" s="2432">
        <f>((AB74/AA74)-1)*100</f>
        <v>-100</v>
      </c>
      <c r="AE74" s="2430">
        <f t="shared" si="66"/>
        <v>13000</v>
      </c>
      <c r="AF74" s="2076"/>
      <c r="AG74" s="2076">
        <f>AF74-AE74</f>
        <v>-13000</v>
      </c>
      <c r="AH74" s="2432">
        <f>((AF74/AE74)-1)*100</f>
        <v>-100</v>
      </c>
      <c r="AI74" s="2430">
        <f t="shared" si="68"/>
        <v>13000</v>
      </c>
      <c r="AJ74" s="2431"/>
      <c r="AK74" s="2076">
        <f>AJ74-AI74</f>
        <v>-13000</v>
      </c>
      <c r="AL74" s="2432">
        <f>((AJ74/AI74)-1)*100</f>
        <v>-100</v>
      </c>
      <c r="AM74" s="1644">
        <f t="shared" si="70"/>
        <v>13000</v>
      </c>
      <c r="AN74" s="2076"/>
      <c r="AO74" s="2076">
        <f>AN74-AM74</f>
        <v>-13000</v>
      </c>
      <c r="AP74" s="2432">
        <f>((AN74/AM74)-1)*100</f>
        <v>-100</v>
      </c>
      <c r="AQ74" s="2430">
        <f t="shared" si="72"/>
        <v>13000</v>
      </c>
      <c r="AR74" s="2431"/>
      <c r="AS74" s="2431">
        <f>AR74-AQ74</f>
        <v>-13000</v>
      </c>
      <c r="AT74" s="2483">
        <f>((AR74/AQ74)-1)*100</f>
        <v>-100</v>
      </c>
      <c r="AU74" s="2430">
        <f t="shared" si="74"/>
        <v>13000</v>
      </c>
      <c r="AV74" s="2431"/>
      <c r="AW74" s="2076">
        <f>AV74-AU74</f>
        <v>-13000</v>
      </c>
      <c r="AX74" s="2483">
        <f>((AV74/AU74)-1)*100</f>
        <v>-100</v>
      </c>
      <c r="AY74" s="2418">
        <f>C74+G74+K74+O74+S74+W74+AA74+AE74+AI74+AM74+AQ74+AU74</f>
        <v>148000</v>
      </c>
      <c r="AZ74" s="2493">
        <f t="shared" si="76"/>
        <v>22155</v>
      </c>
      <c r="BB74" s="12"/>
    </row>
    <row r="75" spans="1:57" s="1421" customFormat="1" ht="18.75" customHeight="1" x14ac:dyDescent="0.25">
      <c r="A75" s="167">
        <v>11392</v>
      </c>
      <c r="B75" s="1308" t="s">
        <v>29</v>
      </c>
      <c r="C75" s="2712">
        <v>400000</v>
      </c>
      <c r="D75" s="2021">
        <v>353235.24</v>
      </c>
      <c r="E75" s="2714">
        <f>SUM(D75:D76)-C75</f>
        <v>-22275.5</v>
      </c>
      <c r="F75" s="2716">
        <f>((SUM(D75:D76)/C75)-1)*100</f>
        <v>-5.5688749999999949</v>
      </c>
      <c r="G75" s="2712">
        <f>C75</f>
        <v>400000</v>
      </c>
      <c r="H75" s="2069">
        <f>VLOOKUP(A75,'[1]r_balancete_sc 02-2022'!$1:$1048576,9,0)</f>
        <v>365602.8</v>
      </c>
      <c r="I75" s="2714">
        <f>SUM(H75:H76)-G75</f>
        <v>37979.579999999958</v>
      </c>
      <c r="J75" s="2716">
        <f>((SUM(H75:H76)/G75)-1)*100</f>
        <v>9.4948949999999819</v>
      </c>
      <c r="K75" s="2712">
        <f>G75</f>
        <v>400000</v>
      </c>
      <c r="L75" s="1642">
        <f>VLOOKUP(A75,'[2]bALANCETE ORÇAMENTO'!$1:$1048576,7,0)</f>
        <v>384735.75</v>
      </c>
      <c r="M75" s="2714">
        <f>SUM(L75:L76)-K75</f>
        <v>-63.39000000001397</v>
      </c>
      <c r="N75" s="2716">
        <f>((SUM(L75:L76)/K75)-1)*100</f>
        <v>-1.5847499999999126E-2</v>
      </c>
      <c r="O75" s="2712">
        <f>K75</f>
        <v>400000</v>
      </c>
      <c r="P75" s="1642"/>
      <c r="Q75" s="2714">
        <f>SUM(P75:P76)-O75</f>
        <v>-400000</v>
      </c>
      <c r="R75" s="2716">
        <f>((SUM(P75:P76)/O75)-1)*100</f>
        <v>-100</v>
      </c>
      <c r="S75" s="2712">
        <v>418000</v>
      </c>
      <c r="T75" s="1642"/>
      <c r="U75" s="2714">
        <f>SUM(T75:T76)-S75</f>
        <v>-418000</v>
      </c>
      <c r="V75" s="2716">
        <f>((SUM(T75:T76)/S75)-1)*100</f>
        <v>-100</v>
      </c>
      <c r="W75" s="2712">
        <f t="shared" si="62"/>
        <v>418000</v>
      </c>
      <c r="X75" s="1642"/>
      <c r="Y75" s="2714">
        <f>SUM(X75:X76)-W75</f>
        <v>-418000</v>
      </c>
      <c r="Z75" s="2716">
        <f>((SUM(X75:X76)/W75)-1)*100</f>
        <v>-100</v>
      </c>
      <c r="AA75" s="2712">
        <f t="shared" si="64"/>
        <v>418000</v>
      </c>
      <c r="AB75" s="1642"/>
      <c r="AC75" s="2714">
        <f>SUM(AB75:AB76)-AA75</f>
        <v>-418000</v>
      </c>
      <c r="AD75" s="2716">
        <f>((SUM(AB75:AB76)/AA75)-1)*100</f>
        <v>-100</v>
      </c>
      <c r="AE75" s="2712">
        <f t="shared" si="66"/>
        <v>418000</v>
      </c>
      <c r="AF75" s="1642"/>
      <c r="AG75" s="2714">
        <f>SUM(AF75:AF76)-AE75</f>
        <v>-418000</v>
      </c>
      <c r="AH75" s="2716">
        <f>((SUM(AF75:AF76)/AE75)-1)*100</f>
        <v>-100</v>
      </c>
      <c r="AI75" s="2712">
        <f t="shared" si="68"/>
        <v>418000</v>
      </c>
      <c r="AJ75" s="1642"/>
      <c r="AK75" s="2714">
        <f>SUM(AJ75:AJ76)-AI75</f>
        <v>-418000</v>
      </c>
      <c r="AL75" s="2716">
        <f>((SUM(AJ75:AJ76)/AI75)-1)*100</f>
        <v>-100</v>
      </c>
      <c r="AM75" s="2712">
        <f t="shared" si="70"/>
        <v>418000</v>
      </c>
      <c r="AN75" s="1642"/>
      <c r="AO75" s="2714">
        <f>SUM(AN75:AN76)-AM75</f>
        <v>-418000</v>
      </c>
      <c r="AP75" s="2716">
        <f>((SUM(AN75:AN76)/AM75)-1)*100</f>
        <v>-100</v>
      </c>
      <c r="AQ75" s="2712">
        <v>430000</v>
      </c>
      <c r="AR75" s="1642"/>
      <c r="AS75" s="2714">
        <f>SUM(AR75:AR76)-AQ75</f>
        <v>-430000</v>
      </c>
      <c r="AT75" s="2716">
        <f>((SUM(AR75:AR76)/AQ75)-1)*100</f>
        <v>-100</v>
      </c>
      <c r="AU75" s="2712">
        <f t="shared" si="74"/>
        <v>430000</v>
      </c>
      <c r="AV75" s="1642"/>
      <c r="AW75" s="2714">
        <f>SUM(AV75:AV76)-AU75</f>
        <v>-430000</v>
      </c>
      <c r="AX75" s="2716">
        <f>((SUM(AV75:AV76)/AU75)-1)*100</f>
        <v>-100</v>
      </c>
      <c r="AY75" s="2721">
        <f>C75+G75+K75+O75+S75+W75+AA75+AE75+AI75+AM75+AQ75+AU75</f>
        <v>4968000</v>
      </c>
      <c r="AZ75" s="1561">
        <f t="shared" si="76"/>
        <v>1103573.79</v>
      </c>
      <c r="BB75" s="12"/>
    </row>
    <row r="76" spans="1:57" s="1421" customFormat="1" ht="18.75" customHeight="1" thickBot="1" x14ac:dyDescent="0.3">
      <c r="A76" s="178">
        <v>36873</v>
      </c>
      <c r="B76" s="1544" t="s">
        <v>3847</v>
      </c>
      <c r="C76" s="2713"/>
      <c r="D76" s="2022">
        <v>24489.26</v>
      </c>
      <c r="E76" s="2715"/>
      <c r="F76" s="2717"/>
      <c r="G76" s="2713"/>
      <c r="H76" s="1669">
        <f>VLOOKUP(A76,'[1]r_balancete_sc 02-2022'!$1:$1048576,9,0)</f>
        <v>72376.78</v>
      </c>
      <c r="I76" s="2715"/>
      <c r="J76" s="2717"/>
      <c r="K76" s="2713"/>
      <c r="L76" s="2053">
        <f>VLOOKUP(A76,'[2]bALANCETE ORÇAMENTO'!$1:$1048576,7,0)</f>
        <v>15200.86</v>
      </c>
      <c r="M76" s="2715"/>
      <c r="N76" s="2717"/>
      <c r="O76" s="2713"/>
      <c r="P76" s="2053"/>
      <c r="Q76" s="2715"/>
      <c r="R76" s="2717"/>
      <c r="S76" s="2713"/>
      <c r="T76" s="2053"/>
      <c r="U76" s="2715"/>
      <c r="V76" s="2717"/>
      <c r="W76" s="2713"/>
      <c r="X76" s="2053"/>
      <c r="Y76" s="2715"/>
      <c r="Z76" s="2717"/>
      <c r="AA76" s="2713"/>
      <c r="AB76" s="2053"/>
      <c r="AC76" s="2715"/>
      <c r="AD76" s="2717"/>
      <c r="AE76" s="2713"/>
      <c r="AF76" s="2053"/>
      <c r="AG76" s="2715"/>
      <c r="AH76" s="2717"/>
      <c r="AI76" s="2713"/>
      <c r="AJ76" s="2053"/>
      <c r="AK76" s="2715"/>
      <c r="AL76" s="2717"/>
      <c r="AM76" s="2713"/>
      <c r="AN76" s="2053"/>
      <c r="AO76" s="2715"/>
      <c r="AP76" s="2717"/>
      <c r="AQ76" s="2713"/>
      <c r="AR76" s="2053"/>
      <c r="AS76" s="2715"/>
      <c r="AT76" s="2717"/>
      <c r="AU76" s="2713"/>
      <c r="AV76" s="2053"/>
      <c r="AW76" s="2715"/>
      <c r="AX76" s="2717"/>
      <c r="AY76" s="2723"/>
      <c r="AZ76" s="1632">
        <f t="shared" si="76"/>
        <v>112066.9</v>
      </c>
      <c r="BB76" s="12"/>
    </row>
    <row r="77" spans="1:57" s="1421" customFormat="1" ht="18.75" customHeight="1" x14ac:dyDescent="0.25">
      <c r="A77" s="170">
        <v>12276</v>
      </c>
      <c r="B77" s="1309" t="s">
        <v>34</v>
      </c>
      <c r="C77" s="1637">
        <v>12000</v>
      </c>
      <c r="D77" s="2019">
        <v>8633</v>
      </c>
      <c r="E77" s="1639">
        <f>D77-C77</f>
        <v>-3367</v>
      </c>
      <c r="F77" s="1640">
        <f t="shared" ref="F77:F81" si="77">((D77/C77)-1)*100</f>
        <v>-28.05833333333333</v>
      </c>
      <c r="G77" s="1637">
        <f t="shared" ref="G77:G82" si="78">C77</f>
        <v>12000</v>
      </c>
      <c r="H77" s="2069">
        <f>VLOOKUP(A77,'[1]r_balancete_sc 02-2022'!$1:$1048576,9,0)</f>
        <v>1937.67</v>
      </c>
      <c r="I77" s="1639">
        <f>H77-G77</f>
        <v>-10062.33</v>
      </c>
      <c r="J77" s="1640">
        <f>((H77/G77)-1)*100</f>
        <v>-83.85275</v>
      </c>
      <c r="K77" s="1637">
        <f t="shared" ref="K77:K82" si="79">G77</f>
        <v>12000</v>
      </c>
      <c r="L77" s="1638">
        <f>VLOOKUP(A77,'[2]bALANCETE ORÇAMENTO'!$1:$1048576,7,0)</f>
        <v>14048.72</v>
      </c>
      <c r="M77" s="1639">
        <f>L77-K77</f>
        <v>2048.7199999999993</v>
      </c>
      <c r="N77" s="1640">
        <f t="shared" ref="N77:N81" si="80">((L77/K77)-1)*100</f>
        <v>17.07266666666667</v>
      </c>
      <c r="O77" s="1637">
        <f t="shared" ref="O77:O82" si="81">K77</f>
        <v>12000</v>
      </c>
      <c r="P77" s="1638"/>
      <c r="Q77" s="1639">
        <f>P77-O77</f>
        <v>-12000</v>
      </c>
      <c r="R77" s="1640">
        <f t="shared" ref="R77:R81" si="82">((P77/O77)-1)*100</f>
        <v>-100</v>
      </c>
      <c r="S77" s="1637">
        <f>O77</f>
        <v>12000</v>
      </c>
      <c r="T77" s="1638"/>
      <c r="U77" s="1639">
        <f>T77-S77</f>
        <v>-12000</v>
      </c>
      <c r="V77" s="1640">
        <f t="shared" ref="V77:V81" si="83">((T77/S77)-1)*100</f>
        <v>-100</v>
      </c>
      <c r="W77" s="1637">
        <f t="shared" si="62"/>
        <v>12000</v>
      </c>
      <c r="X77" s="1638"/>
      <c r="Y77" s="1639">
        <f>X77-W77</f>
        <v>-12000</v>
      </c>
      <c r="Z77" s="1640">
        <f t="shared" ref="Z77:Z81" si="84">((X77/W77)-1)*100</f>
        <v>-100</v>
      </c>
      <c r="AA77" s="1637">
        <f t="shared" si="64"/>
        <v>12000</v>
      </c>
      <c r="AB77" s="1638"/>
      <c r="AC77" s="1639">
        <f>AB77-AA77</f>
        <v>-12000</v>
      </c>
      <c r="AD77" s="1640">
        <f t="shared" ref="AD77:AD81" si="85">((AB77/AA77)-1)*100</f>
        <v>-100</v>
      </c>
      <c r="AE77" s="1637">
        <f t="shared" si="66"/>
        <v>12000</v>
      </c>
      <c r="AF77" s="1638"/>
      <c r="AG77" s="1639">
        <f>AF77-AE77</f>
        <v>-12000</v>
      </c>
      <c r="AH77" s="1640">
        <f t="shared" ref="AH77:AH81" si="86">((AF77/AE77)-1)*100</f>
        <v>-100</v>
      </c>
      <c r="AI77" s="1637">
        <f t="shared" si="68"/>
        <v>12000</v>
      </c>
      <c r="AJ77" s="1638"/>
      <c r="AK77" s="1639">
        <f>AJ77-AI77</f>
        <v>-12000</v>
      </c>
      <c r="AL77" s="1640">
        <f t="shared" ref="AL77:AL81" si="87">((AJ77/AI77)-1)*100</f>
        <v>-100</v>
      </c>
      <c r="AM77" s="1637">
        <f t="shared" si="70"/>
        <v>12000</v>
      </c>
      <c r="AN77" s="1638"/>
      <c r="AO77" s="1639">
        <f>AN77-AM77</f>
        <v>-12000</v>
      </c>
      <c r="AP77" s="1640">
        <f t="shared" ref="AP77:AP81" si="88">((AN77/AM77)-1)*100</f>
        <v>-100</v>
      </c>
      <c r="AQ77" s="1637">
        <f>AM77</f>
        <v>12000</v>
      </c>
      <c r="AR77" s="1638"/>
      <c r="AS77" s="1639">
        <f>AR77-AQ77</f>
        <v>-12000</v>
      </c>
      <c r="AT77" s="1640">
        <f t="shared" ref="AT77:AT81" si="89">((AR77/AQ77)-1)*100</f>
        <v>-100</v>
      </c>
      <c r="AU77" s="1637">
        <f t="shared" si="74"/>
        <v>12000</v>
      </c>
      <c r="AV77" s="1638"/>
      <c r="AW77" s="1639">
        <f>AV77-AU77</f>
        <v>-12000</v>
      </c>
      <c r="AX77" s="1640">
        <f t="shared" ref="AX77:AX81" si="90">((AV77/AU77)-1)*100</f>
        <v>-100</v>
      </c>
      <c r="AY77" s="1240">
        <f t="shared" ref="AY77:AY82" si="91">C77+G77+K77+O77+S77+W77+AA77+AE77+AI77+AM77+AQ77+AU77</f>
        <v>144000</v>
      </c>
      <c r="AZ77" s="1561">
        <f t="shared" si="76"/>
        <v>24619.39</v>
      </c>
      <c r="BB77" s="12"/>
    </row>
    <row r="78" spans="1:57" s="1421" customFormat="1" ht="18.75" customHeight="1" x14ac:dyDescent="0.25">
      <c r="A78" s="170">
        <v>11322</v>
      </c>
      <c r="B78" s="1309" t="s">
        <v>28</v>
      </c>
      <c r="C78" s="1643">
        <v>468000</v>
      </c>
      <c r="D78" s="2019">
        <v>446398.57</v>
      </c>
      <c r="E78" s="1639">
        <f t="shared" ref="E78:E81" si="92">D78-C78</f>
        <v>-21601.429999999993</v>
      </c>
      <c r="F78" s="1640">
        <f t="shared" si="77"/>
        <v>-4.6156901709401676</v>
      </c>
      <c r="G78" s="1643">
        <f t="shared" si="78"/>
        <v>468000</v>
      </c>
      <c r="H78" s="2075">
        <f>VLOOKUP(A78,'[1]r_balancete_sc 02-2022'!$1:$1048576,9,0)</f>
        <v>487573.55</v>
      </c>
      <c r="I78" s="1639">
        <f>H78-G78</f>
        <v>19573.549999999988</v>
      </c>
      <c r="J78" s="1640">
        <f>((H78/G78)-1)*100</f>
        <v>4.1823824786324737</v>
      </c>
      <c r="K78" s="1643">
        <f t="shared" si="79"/>
        <v>468000</v>
      </c>
      <c r="L78" s="1638">
        <f>VLOOKUP(A78,'[2]bALANCETE ORÇAMENTO'!$1:$1048576,7,0)</f>
        <v>489151.41</v>
      </c>
      <c r="M78" s="1639">
        <f t="shared" ref="M78:M81" si="93">L78-K78</f>
        <v>21151.409999999974</v>
      </c>
      <c r="N78" s="1640">
        <f t="shared" si="80"/>
        <v>4.5195320512820381</v>
      </c>
      <c r="O78" s="1643">
        <f t="shared" si="81"/>
        <v>468000</v>
      </c>
      <c r="P78" s="1638"/>
      <c r="Q78" s="1639">
        <f t="shared" ref="Q78:Q81" si="94">P78-O78</f>
        <v>-468000</v>
      </c>
      <c r="R78" s="1640">
        <f t="shared" si="82"/>
        <v>-100</v>
      </c>
      <c r="S78" s="1643">
        <v>487000</v>
      </c>
      <c r="T78" s="1638"/>
      <c r="U78" s="1639">
        <f t="shared" ref="U78:U81" si="95">T78-S78</f>
        <v>-487000</v>
      </c>
      <c r="V78" s="1640">
        <f t="shared" si="83"/>
        <v>-100</v>
      </c>
      <c r="W78" s="1643">
        <f t="shared" si="62"/>
        <v>487000</v>
      </c>
      <c r="X78" s="1638"/>
      <c r="Y78" s="1639">
        <f t="shared" ref="Y78:Y81" si="96">X78-W78</f>
        <v>-487000</v>
      </c>
      <c r="Z78" s="1640">
        <f t="shared" si="84"/>
        <v>-100</v>
      </c>
      <c r="AA78" s="1643">
        <f t="shared" si="64"/>
        <v>487000</v>
      </c>
      <c r="AB78" s="1638"/>
      <c r="AC78" s="1639">
        <f t="shared" ref="AC78:AC81" si="97">AB78-AA78</f>
        <v>-487000</v>
      </c>
      <c r="AD78" s="1640">
        <f t="shared" si="85"/>
        <v>-100</v>
      </c>
      <c r="AE78" s="1643">
        <f t="shared" si="66"/>
        <v>487000</v>
      </c>
      <c r="AF78" s="1638"/>
      <c r="AG78" s="1639">
        <f t="shared" ref="AG78:AG81" si="98">AF78-AE78</f>
        <v>-487000</v>
      </c>
      <c r="AH78" s="1640">
        <f t="shared" si="86"/>
        <v>-100</v>
      </c>
      <c r="AI78" s="1643">
        <f t="shared" si="68"/>
        <v>487000</v>
      </c>
      <c r="AJ78" s="1638"/>
      <c r="AK78" s="1639">
        <f t="shared" ref="AK78:AK81" si="99">AJ78-AI78</f>
        <v>-487000</v>
      </c>
      <c r="AL78" s="1640">
        <f t="shared" si="87"/>
        <v>-100</v>
      </c>
      <c r="AM78" s="1643">
        <f t="shared" si="70"/>
        <v>487000</v>
      </c>
      <c r="AN78" s="1638"/>
      <c r="AO78" s="1639">
        <f t="shared" ref="AO78:AO81" si="100">AN78-AM78</f>
        <v>-487000</v>
      </c>
      <c r="AP78" s="1640">
        <f t="shared" si="88"/>
        <v>-100</v>
      </c>
      <c r="AQ78" s="1643">
        <f>AM78</f>
        <v>487000</v>
      </c>
      <c r="AR78" s="1638"/>
      <c r="AS78" s="1639">
        <f t="shared" ref="AS78:AS81" si="101">AR78-AQ78</f>
        <v>-487000</v>
      </c>
      <c r="AT78" s="1640">
        <f t="shared" si="89"/>
        <v>-100</v>
      </c>
      <c r="AU78" s="1643">
        <f t="shared" si="74"/>
        <v>487000</v>
      </c>
      <c r="AV78" s="1638"/>
      <c r="AW78" s="1639">
        <f t="shared" ref="AW78:AW81" si="102">AV78-AU78</f>
        <v>-487000</v>
      </c>
      <c r="AX78" s="1640">
        <f t="shared" si="90"/>
        <v>-100</v>
      </c>
      <c r="AY78" s="2062">
        <f t="shared" si="91"/>
        <v>5768000</v>
      </c>
      <c r="AZ78" s="1616">
        <f t="shared" si="76"/>
        <v>1423123.53</v>
      </c>
      <c r="BB78" s="12"/>
    </row>
    <row r="79" spans="1:57" s="1421" customFormat="1" ht="18.75" customHeight="1" x14ac:dyDescent="0.25">
      <c r="A79" s="170">
        <v>53469</v>
      </c>
      <c r="B79" s="1309" t="s">
        <v>333</v>
      </c>
      <c r="C79" s="1643">
        <v>12000</v>
      </c>
      <c r="D79" s="2019">
        <v>32689</v>
      </c>
      <c r="E79" s="1639">
        <f t="shared" si="92"/>
        <v>20689</v>
      </c>
      <c r="F79" s="1640">
        <f t="shared" si="77"/>
        <v>172.40833333333333</v>
      </c>
      <c r="G79" s="1643">
        <f t="shared" si="78"/>
        <v>12000</v>
      </c>
      <c r="H79" s="1611">
        <f>VLOOKUP(A79,'[1]r_balancete_sc 02-2022'!$1:$1048576,9,0)</f>
        <v>11040.65</v>
      </c>
      <c r="I79" s="1639">
        <f>H79-G79</f>
        <v>-959.35000000000036</v>
      </c>
      <c r="J79" s="1640">
        <f>((H79/G79)-1)*100</f>
        <v>-7.9945833333333383</v>
      </c>
      <c r="K79" s="1643">
        <f t="shared" si="79"/>
        <v>12000</v>
      </c>
      <c r="L79" s="1638">
        <f>VLOOKUP(A79,'[2]bALANCETE ORÇAMENTO'!$1:$1048576,7,0)</f>
        <v>15322.15</v>
      </c>
      <c r="M79" s="1639">
        <f t="shared" si="93"/>
        <v>3322.1499999999996</v>
      </c>
      <c r="N79" s="1640">
        <f t="shared" si="80"/>
        <v>27.684583333333322</v>
      </c>
      <c r="O79" s="1643">
        <f t="shared" si="81"/>
        <v>12000</v>
      </c>
      <c r="P79" s="1638"/>
      <c r="Q79" s="1639">
        <f t="shared" si="94"/>
        <v>-12000</v>
      </c>
      <c r="R79" s="1640">
        <f t="shared" si="82"/>
        <v>-100</v>
      </c>
      <c r="S79" s="1643">
        <v>15000</v>
      </c>
      <c r="T79" s="1638"/>
      <c r="U79" s="1639">
        <f t="shared" si="95"/>
        <v>-15000</v>
      </c>
      <c r="V79" s="1640">
        <f t="shared" si="83"/>
        <v>-100</v>
      </c>
      <c r="W79" s="1643">
        <f t="shared" si="62"/>
        <v>15000</v>
      </c>
      <c r="X79" s="1638"/>
      <c r="Y79" s="1639">
        <f t="shared" si="96"/>
        <v>-15000</v>
      </c>
      <c r="Z79" s="1640">
        <f t="shared" si="84"/>
        <v>-100</v>
      </c>
      <c r="AA79" s="1643">
        <f t="shared" si="64"/>
        <v>15000</v>
      </c>
      <c r="AB79" s="1638"/>
      <c r="AC79" s="1639">
        <f t="shared" si="97"/>
        <v>-15000</v>
      </c>
      <c r="AD79" s="1640">
        <f t="shared" si="85"/>
        <v>-100</v>
      </c>
      <c r="AE79" s="1643">
        <f t="shared" si="66"/>
        <v>15000</v>
      </c>
      <c r="AF79" s="1638"/>
      <c r="AG79" s="1639">
        <f t="shared" si="98"/>
        <v>-15000</v>
      </c>
      <c r="AH79" s="1640">
        <f t="shared" si="86"/>
        <v>-100</v>
      </c>
      <c r="AI79" s="1643">
        <f t="shared" si="68"/>
        <v>15000</v>
      </c>
      <c r="AJ79" s="1638"/>
      <c r="AK79" s="1639">
        <f t="shared" si="99"/>
        <v>-15000</v>
      </c>
      <c r="AL79" s="1640">
        <f t="shared" si="87"/>
        <v>-100</v>
      </c>
      <c r="AM79" s="1643">
        <f t="shared" si="70"/>
        <v>15000</v>
      </c>
      <c r="AN79" s="1638"/>
      <c r="AO79" s="1639">
        <f t="shared" si="100"/>
        <v>-15000</v>
      </c>
      <c r="AP79" s="1640">
        <f t="shared" si="88"/>
        <v>-100</v>
      </c>
      <c r="AQ79" s="1643">
        <f>AM79</f>
        <v>15000</v>
      </c>
      <c r="AR79" s="1638"/>
      <c r="AS79" s="1639">
        <f t="shared" si="101"/>
        <v>-15000</v>
      </c>
      <c r="AT79" s="1640">
        <f t="shared" si="89"/>
        <v>-100</v>
      </c>
      <c r="AU79" s="1643">
        <f t="shared" si="74"/>
        <v>15000</v>
      </c>
      <c r="AV79" s="1638"/>
      <c r="AW79" s="1639">
        <f t="shared" si="102"/>
        <v>-15000</v>
      </c>
      <c r="AX79" s="1640">
        <f t="shared" si="90"/>
        <v>-100</v>
      </c>
      <c r="AY79" s="2062">
        <f t="shared" si="91"/>
        <v>168000</v>
      </c>
      <c r="AZ79" s="1616">
        <f t="shared" si="76"/>
        <v>59051.8</v>
      </c>
      <c r="BB79" s="12"/>
    </row>
    <row r="80" spans="1:57" s="1421" customFormat="1" ht="18.75" customHeight="1" x14ac:dyDescent="0.25">
      <c r="A80" s="170">
        <v>53468</v>
      </c>
      <c r="B80" s="1309" t="s">
        <v>125</v>
      </c>
      <c r="C80" s="1643">
        <v>38000</v>
      </c>
      <c r="D80" s="2019">
        <v>350</v>
      </c>
      <c r="E80" s="1639">
        <f t="shared" si="92"/>
        <v>-37650</v>
      </c>
      <c r="F80" s="1640">
        <f t="shared" si="77"/>
        <v>-99.078947368421055</v>
      </c>
      <c r="G80" s="1643">
        <f t="shared" si="78"/>
        <v>38000</v>
      </c>
      <c r="H80" s="1611">
        <f>VLOOKUP(A80,'[1]r_balancete_sc 02-2022'!$1:$1048576,9,0)</f>
        <v>53433.34</v>
      </c>
      <c r="I80" s="1639">
        <f>H80-G80</f>
        <v>15433.339999999997</v>
      </c>
      <c r="J80" s="1640">
        <f>((H80/G80)-1)*100</f>
        <v>40.614052631578936</v>
      </c>
      <c r="K80" s="1643">
        <f t="shared" si="79"/>
        <v>38000</v>
      </c>
      <c r="L80" s="1638">
        <f>VLOOKUP(A80,'[2]bALANCETE ORÇAMENTO'!$1:$1048576,7,0)</f>
        <v>34208.33</v>
      </c>
      <c r="M80" s="1639">
        <f t="shared" si="93"/>
        <v>-3791.6699999999983</v>
      </c>
      <c r="N80" s="1640">
        <f t="shared" si="80"/>
        <v>-9.9780789473684184</v>
      </c>
      <c r="O80" s="1643">
        <f t="shared" si="81"/>
        <v>38000</v>
      </c>
      <c r="P80" s="1638"/>
      <c r="Q80" s="1639">
        <f t="shared" si="94"/>
        <v>-38000</v>
      </c>
      <c r="R80" s="1640">
        <f t="shared" si="82"/>
        <v>-100</v>
      </c>
      <c r="S80" s="1643">
        <v>80000</v>
      </c>
      <c r="T80" s="1638"/>
      <c r="U80" s="1639">
        <f t="shared" si="95"/>
        <v>-80000</v>
      </c>
      <c r="V80" s="1640">
        <f t="shared" si="83"/>
        <v>-100</v>
      </c>
      <c r="W80" s="1643">
        <f t="shared" si="62"/>
        <v>80000</v>
      </c>
      <c r="X80" s="1638"/>
      <c r="Y80" s="1639">
        <f t="shared" si="96"/>
        <v>-80000</v>
      </c>
      <c r="Z80" s="1640">
        <f t="shared" si="84"/>
        <v>-100</v>
      </c>
      <c r="AA80" s="1643">
        <f t="shared" si="64"/>
        <v>80000</v>
      </c>
      <c r="AB80" s="1638"/>
      <c r="AC80" s="1639">
        <f t="shared" si="97"/>
        <v>-80000</v>
      </c>
      <c r="AD80" s="1640">
        <f t="shared" si="85"/>
        <v>-100</v>
      </c>
      <c r="AE80" s="1643">
        <f t="shared" si="66"/>
        <v>80000</v>
      </c>
      <c r="AF80" s="1638"/>
      <c r="AG80" s="1639">
        <f t="shared" si="98"/>
        <v>-80000</v>
      </c>
      <c r="AH80" s="1640">
        <f t="shared" si="86"/>
        <v>-100</v>
      </c>
      <c r="AI80" s="1643">
        <f t="shared" si="68"/>
        <v>80000</v>
      </c>
      <c r="AJ80" s="1638"/>
      <c r="AK80" s="1639">
        <f t="shared" si="99"/>
        <v>-80000</v>
      </c>
      <c r="AL80" s="1640">
        <f t="shared" si="87"/>
        <v>-100</v>
      </c>
      <c r="AM80" s="1643">
        <f t="shared" si="70"/>
        <v>80000</v>
      </c>
      <c r="AN80" s="1638"/>
      <c r="AO80" s="1639">
        <f t="shared" si="100"/>
        <v>-80000</v>
      </c>
      <c r="AP80" s="1640">
        <f t="shared" si="88"/>
        <v>-100</v>
      </c>
      <c r="AQ80" s="1643">
        <f>AM80</f>
        <v>80000</v>
      </c>
      <c r="AR80" s="1638"/>
      <c r="AS80" s="1639">
        <f t="shared" si="101"/>
        <v>-80000</v>
      </c>
      <c r="AT80" s="1640">
        <f t="shared" si="89"/>
        <v>-100</v>
      </c>
      <c r="AU80" s="1643">
        <f t="shared" si="74"/>
        <v>80000</v>
      </c>
      <c r="AV80" s="1638"/>
      <c r="AW80" s="1639">
        <f t="shared" si="102"/>
        <v>-80000</v>
      </c>
      <c r="AX80" s="1640">
        <f t="shared" si="90"/>
        <v>-100</v>
      </c>
      <c r="AY80" s="2062">
        <f t="shared" si="91"/>
        <v>792000</v>
      </c>
      <c r="AZ80" s="1616">
        <f t="shared" si="76"/>
        <v>87991.67</v>
      </c>
      <c r="BB80" s="12"/>
    </row>
    <row r="81" spans="1:57" s="1421" customFormat="1" ht="18.75" customHeight="1" thickBot="1" x14ac:dyDescent="0.3">
      <c r="A81" s="366">
        <v>11348</v>
      </c>
      <c r="B81" s="1540" t="s">
        <v>224</v>
      </c>
      <c r="C81" s="1641">
        <v>46500</v>
      </c>
      <c r="D81" s="2020">
        <v>42394</v>
      </c>
      <c r="E81" s="1639">
        <f t="shared" si="92"/>
        <v>-4106</v>
      </c>
      <c r="F81" s="2056">
        <f t="shared" si="77"/>
        <v>-8.8301075268817257</v>
      </c>
      <c r="G81" s="1641">
        <f t="shared" si="78"/>
        <v>46500</v>
      </c>
      <c r="H81" s="2070">
        <f>VLOOKUP(A81,'[1]r_balancete_sc 02-2022'!$1:$1048576,9,0)</f>
        <v>51832.99</v>
      </c>
      <c r="I81" s="1639">
        <f>H81-G81</f>
        <v>5332.989999999998</v>
      </c>
      <c r="J81" s="2156">
        <f>((H81/G81)-1)*100</f>
        <v>11.468795698924716</v>
      </c>
      <c r="K81" s="1641">
        <f t="shared" si="79"/>
        <v>46500</v>
      </c>
      <c r="L81" s="2055">
        <f>VLOOKUP(A81,'[2]bALANCETE ORÇAMENTO'!$1:$1048576,7,0)</f>
        <v>24345.65</v>
      </c>
      <c r="M81" s="1639">
        <f t="shared" si="93"/>
        <v>-22154.35</v>
      </c>
      <c r="N81" s="2156">
        <f t="shared" si="80"/>
        <v>-47.643763440860212</v>
      </c>
      <c r="O81" s="1641">
        <f t="shared" si="81"/>
        <v>46500</v>
      </c>
      <c r="P81" s="2055"/>
      <c r="Q81" s="1639">
        <f t="shared" si="94"/>
        <v>-46500</v>
      </c>
      <c r="R81" s="2156">
        <f t="shared" si="82"/>
        <v>-100</v>
      </c>
      <c r="S81" s="1641">
        <v>60000</v>
      </c>
      <c r="T81" s="2055"/>
      <c r="U81" s="1639">
        <f t="shared" si="95"/>
        <v>-60000</v>
      </c>
      <c r="V81" s="2156">
        <f t="shared" si="83"/>
        <v>-100</v>
      </c>
      <c r="W81" s="1641">
        <f t="shared" si="62"/>
        <v>60000</v>
      </c>
      <c r="X81" s="2055"/>
      <c r="Y81" s="1639">
        <f t="shared" si="96"/>
        <v>-60000</v>
      </c>
      <c r="Z81" s="2156">
        <f t="shared" si="84"/>
        <v>-100</v>
      </c>
      <c r="AA81" s="1641">
        <f t="shared" si="64"/>
        <v>60000</v>
      </c>
      <c r="AB81" s="2055"/>
      <c r="AC81" s="1639">
        <f t="shared" si="97"/>
        <v>-60000</v>
      </c>
      <c r="AD81" s="2156">
        <f t="shared" si="85"/>
        <v>-100</v>
      </c>
      <c r="AE81" s="1641">
        <f t="shared" si="66"/>
        <v>60000</v>
      </c>
      <c r="AF81" s="2055"/>
      <c r="AG81" s="1639">
        <f t="shared" si="98"/>
        <v>-60000</v>
      </c>
      <c r="AH81" s="2156">
        <f t="shared" si="86"/>
        <v>-100</v>
      </c>
      <c r="AI81" s="1641">
        <f t="shared" si="68"/>
        <v>60000</v>
      </c>
      <c r="AJ81" s="2055"/>
      <c r="AK81" s="1639">
        <f t="shared" si="99"/>
        <v>-60000</v>
      </c>
      <c r="AL81" s="2156">
        <f t="shared" si="87"/>
        <v>-100</v>
      </c>
      <c r="AM81" s="1641">
        <f t="shared" si="70"/>
        <v>60000</v>
      </c>
      <c r="AN81" s="2055"/>
      <c r="AO81" s="1639">
        <f t="shared" si="100"/>
        <v>-60000</v>
      </c>
      <c r="AP81" s="2156">
        <f t="shared" si="88"/>
        <v>-100</v>
      </c>
      <c r="AQ81" s="1641">
        <f>AM81</f>
        <v>60000</v>
      </c>
      <c r="AR81" s="2055"/>
      <c r="AS81" s="1639">
        <f t="shared" si="101"/>
        <v>-60000</v>
      </c>
      <c r="AT81" s="2156">
        <f t="shared" si="89"/>
        <v>-100</v>
      </c>
      <c r="AU81" s="1641">
        <f t="shared" si="74"/>
        <v>60000</v>
      </c>
      <c r="AV81" s="2055"/>
      <c r="AW81" s="1639">
        <f t="shared" si="102"/>
        <v>-60000</v>
      </c>
      <c r="AX81" s="2156">
        <f t="shared" si="90"/>
        <v>-100</v>
      </c>
      <c r="AY81" s="2063">
        <f t="shared" si="91"/>
        <v>666000</v>
      </c>
      <c r="AZ81" s="1562">
        <f t="shared" si="76"/>
        <v>118572.63999999998</v>
      </c>
      <c r="BB81" s="12"/>
    </row>
    <row r="82" spans="1:57" s="1421" customFormat="1" ht="18.75" customHeight="1" x14ac:dyDescent="0.25">
      <c r="A82" s="167">
        <v>11298</v>
      </c>
      <c r="B82" s="1308" t="s">
        <v>26</v>
      </c>
      <c r="C82" s="2712">
        <v>3650000</v>
      </c>
      <c r="D82" s="2021">
        <v>3470204.98</v>
      </c>
      <c r="E82" s="2714">
        <f>D82-C82+D83</f>
        <v>193380.18</v>
      </c>
      <c r="F82" s="2716">
        <f>((SUM(D82:D83)/C82)-1)*100</f>
        <v>5.2980871232876758</v>
      </c>
      <c r="G82" s="2712">
        <f t="shared" si="78"/>
        <v>3650000</v>
      </c>
      <c r="H82" s="1608">
        <f>VLOOKUP(A82,'[1]r_balancete_sc 02-2022'!$1:$1048576,9,0)</f>
        <v>3686784.29</v>
      </c>
      <c r="I82" s="2714">
        <f>H82-G82+H83</f>
        <v>439703.25000000006</v>
      </c>
      <c r="J82" s="2716">
        <f>((SUM(H82:H83)/G82)-1)*100</f>
        <v>12.046664383561634</v>
      </c>
      <c r="K82" s="2712">
        <f t="shared" si="79"/>
        <v>3650000</v>
      </c>
      <c r="L82" s="1642">
        <f>VLOOKUP(A82,'[2]bALANCETE ORÇAMENTO'!$1:$1048576,7,0)</f>
        <v>3688203.41</v>
      </c>
      <c r="M82" s="2714">
        <f>L82-K82+L83</f>
        <v>429933.22000000015</v>
      </c>
      <c r="N82" s="2716">
        <f>((SUM(L82:L83)/K82)-1)*100</f>
        <v>11.778992328767135</v>
      </c>
      <c r="O82" s="2712">
        <f t="shared" si="81"/>
        <v>3650000</v>
      </c>
      <c r="P82" s="1642"/>
      <c r="Q82" s="2714">
        <f>P82-O82+P83</f>
        <v>-3650000</v>
      </c>
      <c r="R82" s="2716">
        <f>((SUM(P82:P83)/O82)-1)*100</f>
        <v>-100</v>
      </c>
      <c r="S82" s="2712">
        <v>3796000</v>
      </c>
      <c r="T82" s="1642"/>
      <c r="U82" s="2714">
        <f>T82-S82+T83</f>
        <v>-3796000</v>
      </c>
      <c r="V82" s="2716">
        <f>((SUM(T82:T83)/S82)-1)*100</f>
        <v>-100</v>
      </c>
      <c r="W82" s="2712">
        <f t="shared" si="62"/>
        <v>3796000</v>
      </c>
      <c r="X82" s="1642"/>
      <c r="Y82" s="2714">
        <f>X82-W82+X83</f>
        <v>-3796000</v>
      </c>
      <c r="Z82" s="2716">
        <f>((SUM(X82:X83)/W82)-1)*100</f>
        <v>-100</v>
      </c>
      <c r="AA82" s="2712">
        <f t="shared" si="64"/>
        <v>3796000</v>
      </c>
      <c r="AB82" s="1642"/>
      <c r="AC82" s="2714">
        <f>AB82-AA82+AB83</f>
        <v>-3796000</v>
      </c>
      <c r="AD82" s="2716">
        <f>((SUM(AB82:AB83)/AA82)-1)*100</f>
        <v>-100</v>
      </c>
      <c r="AE82" s="2712">
        <f t="shared" si="66"/>
        <v>3796000</v>
      </c>
      <c r="AF82" s="1642"/>
      <c r="AG82" s="2714">
        <f>AF82-AE82+AF83</f>
        <v>-3796000</v>
      </c>
      <c r="AH82" s="2716">
        <f>((SUM(AF82:AF83)/AE82)-1)*100</f>
        <v>-100</v>
      </c>
      <c r="AI82" s="2712">
        <f t="shared" si="68"/>
        <v>3796000</v>
      </c>
      <c r="AJ82" s="1642"/>
      <c r="AK82" s="2714">
        <f>AJ82-AI82+AJ83</f>
        <v>-3796000</v>
      </c>
      <c r="AL82" s="2716">
        <f>((SUM(AJ82:AJ83)/AI82)-1)*100</f>
        <v>-100</v>
      </c>
      <c r="AM82" s="2712">
        <f t="shared" si="70"/>
        <v>3796000</v>
      </c>
      <c r="AN82" s="1642"/>
      <c r="AO82" s="2714">
        <f>AN82-AM82+AN83</f>
        <v>-3796000</v>
      </c>
      <c r="AP82" s="2716">
        <f>((SUM(AN82:AN83)/AM82)-1)*100</f>
        <v>-100</v>
      </c>
      <c r="AQ82" s="2712">
        <v>3905000</v>
      </c>
      <c r="AR82" s="1642"/>
      <c r="AS82" s="2714">
        <f>AR82-AQ82+AR83</f>
        <v>-3905000</v>
      </c>
      <c r="AT82" s="2716">
        <f>((SUM(AR82:AR83)/AQ82)-1)*100</f>
        <v>-100</v>
      </c>
      <c r="AU82" s="2712">
        <f t="shared" si="74"/>
        <v>3905000</v>
      </c>
      <c r="AV82" s="1642"/>
      <c r="AW82" s="2714">
        <f>AV82-AU82+AV83</f>
        <v>-3905000</v>
      </c>
      <c r="AX82" s="2716">
        <f>((SUM(AV82:AV83)/AU82)-1)*100</f>
        <v>-100</v>
      </c>
      <c r="AY82" s="2721">
        <f t="shared" si="91"/>
        <v>45186000</v>
      </c>
      <c r="AZ82" s="1561">
        <f t="shared" si="76"/>
        <v>10845192.68</v>
      </c>
      <c r="BB82" s="12"/>
      <c r="BE82" s="401"/>
    </row>
    <row r="83" spans="1:57" s="1421" customFormat="1" ht="18.75" customHeight="1" thickBot="1" x14ac:dyDescent="0.3">
      <c r="A83" s="178">
        <v>11346</v>
      </c>
      <c r="B83" s="1544" t="s">
        <v>3866</v>
      </c>
      <c r="C83" s="2713"/>
      <c r="D83" s="2022">
        <v>373175.2</v>
      </c>
      <c r="E83" s="2715"/>
      <c r="F83" s="2717"/>
      <c r="G83" s="2713"/>
      <c r="H83" s="2070">
        <f>VLOOKUP(A83,'[1]r_balancete_sc 02-2022'!$1:$1048576,9,0)</f>
        <v>402918.96</v>
      </c>
      <c r="I83" s="2715"/>
      <c r="J83" s="2717"/>
      <c r="K83" s="2713"/>
      <c r="L83" s="2053">
        <f>VLOOKUP(A83,'[2]bALANCETE ORÇAMENTO'!$1:$1048576,7,0)</f>
        <v>391729.81</v>
      </c>
      <c r="M83" s="2715"/>
      <c r="N83" s="2717"/>
      <c r="O83" s="2713"/>
      <c r="P83" s="2053"/>
      <c r="Q83" s="2715"/>
      <c r="R83" s="2717"/>
      <c r="S83" s="2713"/>
      <c r="T83" s="2053"/>
      <c r="U83" s="2715"/>
      <c r="V83" s="2717"/>
      <c r="W83" s="2713"/>
      <c r="X83" s="2053"/>
      <c r="Y83" s="2715"/>
      <c r="Z83" s="2717"/>
      <c r="AA83" s="2713"/>
      <c r="AB83" s="2053"/>
      <c r="AC83" s="2715"/>
      <c r="AD83" s="2717"/>
      <c r="AE83" s="2713"/>
      <c r="AF83" s="2053"/>
      <c r="AG83" s="2715"/>
      <c r="AH83" s="2717"/>
      <c r="AI83" s="2713"/>
      <c r="AJ83" s="2053"/>
      <c r="AK83" s="2715"/>
      <c r="AL83" s="2717"/>
      <c r="AM83" s="2713"/>
      <c r="AN83" s="2053"/>
      <c r="AO83" s="2715"/>
      <c r="AP83" s="2717"/>
      <c r="AQ83" s="2713"/>
      <c r="AR83" s="2053"/>
      <c r="AS83" s="2715"/>
      <c r="AT83" s="2717"/>
      <c r="AU83" s="2713"/>
      <c r="AV83" s="2053"/>
      <c r="AW83" s="2715"/>
      <c r="AX83" s="2717"/>
      <c r="AY83" s="2723"/>
      <c r="AZ83" s="1632">
        <f t="shared" si="76"/>
        <v>1167823.97</v>
      </c>
      <c r="BB83" s="12"/>
      <c r="BE83" s="401"/>
    </row>
    <row r="84" spans="1:57" s="1421" customFormat="1" ht="18.75" customHeight="1" x14ac:dyDescent="0.25">
      <c r="A84" s="1947">
        <v>11540</v>
      </c>
      <c r="B84" s="331" t="s">
        <v>208</v>
      </c>
      <c r="C84" s="1977">
        <v>21775</v>
      </c>
      <c r="D84" s="2013">
        <v>3000</v>
      </c>
      <c r="E84" s="1978">
        <f>D84-C84</f>
        <v>-18775</v>
      </c>
      <c r="F84" s="1979">
        <f t="shared" ref="F84:F89" si="103">((D84/C84)-1)*100</f>
        <v>-86.222732491389209</v>
      </c>
      <c r="G84" s="2157">
        <v>21775</v>
      </c>
      <c r="H84" s="1608">
        <v>3050</v>
      </c>
      <c r="I84" s="1978">
        <f t="shared" ref="I84:I89" si="104">H84-G84</f>
        <v>-18725</v>
      </c>
      <c r="J84" s="1979">
        <f t="shared" ref="J84:J89" si="105">((H84/G84)-1)*100</f>
        <v>-85.993111366245699</v>
      </c>
      <c r="K84" s="1978">
        <v>21775</v>
      </c>
      <c r="L84" s="1978">
        <v>109.78</v>
      </c>
      <c r="M84" s="1978">
        <f>L84-K84</f>
        <v>-21665.22</v>
      </c>
      <c r="N84" s="1979">
        <f t="shared" ref="N84:N89" si="106">((L84/K84)-1)*100</f>
        <v>-99.495843857634895</v>
      </c>
      <c r="O84" s="1977">
        <v>21775</v>
      </c>
      <c r="P84" s="1978"/>
      <c r="Q84" s="1978">
        <f>P84-O84</f>
        <v>-21775</v>
      </c>
      <c r="R84" s="1979">
        <f t="shared" ref="R84:R89" si="107">((P84/O84)-1)*100</f>
        <v>-100</v>
      </c>
      <c r="S84" s="1574">
        <v>21775</v>
      </c>
      <c r="T84" s="1978"/>
      <c r="U84" s="1978">
        <f>T84-S84</f>
        <v>-21775</v>
      </c>
      <c r="V84" s="1979">
        <f t="shared" ref="V84:V89" si="108">((T84/S84)-1)*100</f>
        <v>-100</v>
      </c>
      <c r="W84" s="1978">
        <v>21775</v>
      </c>
      <c r="X84" s="1978"/>
      <c r="Y84" s="1978">
        <f>X84-W84</f>
        <v>-21775</v>
      </c>
      <c r="Z84" s="1979">
        <f t="shared" ref="Z84:Z89" si="109">((X84/W84)-1)*100</f>
        <v>-100</v>
      </c>
      <c r="AA84" s="1978">
        <v>21775</v>
      </c>
      <c r="AB84" s="1978"/>
      <c r="AC84" s="1978">
        <f>AB84-AA84</f>
        <v>-21775</v>
      </c>
      <c r="AD84" s="1979">
        <f t="shared" ref="AD84:AD89" si="110">((AB84/AA84)-1)*100</f>
        <v>-100</v>
      </c>
      <c r="AE84" s="1978">
        <v>21775</v>
      </c>
      <c r="AF84" s="1978"/>
      <c r="AG84" s="1978">
        <f>AF84-AE84</f>
        <v>-21775</v>
      </c>
      <c r="AH84" s="1979">
        <f t="shared" ref="AH84:AH89" si="111">((AF84/AE84)-1)*100</f>
        <v>-100</v>
      </c>
      <c r="AI84" s="1574">
        <v>21775</v>
      </c>
      <c r="AJ84" s="1978"/>
      <c r="AK84" s="1978">
        <f>AJ84-AI84</f>
        <v>-21775</v>
      </c>
      <c r="AL84" s="1979">
        <f t="shared" ref="AL84:AL89" si="112">((AJ84/AI84)-1)*100</f>
        <v>-100</v>
      </c>
      <c r="AM84" s="1574">
        <v>21775</v>
      </c>
      <c r="AN84" s="1978"/>
      <c r="AO84" s="1978">
        <f>AN84-AM84</f>
        <v>-21775</v>
      </c>
      <c r="AP84" s="1979">
        <f t="shared" ref="AP84:AP89" si="113">((AN84/AM84)-1)*100</f>
        <v>-100</v>
      </c>
      <c r="AQ84" s="1978">
        <v>21775</v>
      </c>
      <c r="AR84" s="1574"/>
      <c r="AS84" s="1978">
        <f>AR84-AQ84</f>
        <v>-21775</v>
      </c>
      <c r="AT84" s="1575">
        <f t="shared" ref="AT84:AT89" si="114">((AR84/AQ84)-1)*100</f>
        <v>-100</v>
      </c>
      <c r="AU84" s="2158">
        <v>21775</v>
      </c>
      <c r="AV84" s="1580"/>
      <c r="AW84" s="1978">
        <f>AV84-AU84</f>
        <v>-21775</v>
      </c>
      <c r="AX84" s="1574">
        <f t="shared" ref="AX84:AX89" si="115">((AV84/AU84)-1)*100</f>
        <v>-100</v>
      </c>
      <c r="AY84" s="1981">
        <f t="shared" ref="AY84:AY89" si="116">C84+G84+K84+O84+S84+W84+AA84+AE84+AI84+AM84+AQ84+AU84</f>
        <v>261300</v>
      </c>
      <c r="AZ84" s="2191">
        <f t="shared" si="76"/>
        <v>6159.78</v>
      </c>
      <c r="BA84" s="639"/>
      <c r="BB84" s="12"/>
    </row>
    <row r="85" spans="1:57" s="1421" customFormat="1" ht="18.75" customHeight="1" x14ac:dyDescent="0.25">
      <c r="A85" s="1123">
        <v>12267</v>
      </c>
      <c r="B85" s="332" t="s">
        <v>44</v>
      </c>
      <c r="C85" s="1944">
        <v>32000</v>
      </c>
      <c r="D85" s="2019"/>
      <c r="E85" s="1948">
        <f>D85-C85</f>
        <v>-32000</v>
      </c>
      <c r="F85" s="1949">
        <f t="shared" si="103"/>
        <v>-100</v>
      </c>
      <c r="G85" s="1637">
        <f>C85</f>
        <v>32000</v>
      </c>
      <c r="H85" s="1611"/>
      <c r="I85" s="1948">
        <f t="shared" si="104"/>
        <v>-32000</v>
      </c>
      <c r="J85" s="1949">
        <f t="shared" si="105"/>
        <v>-100</v>
      </c>
      <c r="K85" s="1643">
        <f>G85</f>
        <v>32000</v>
      </c>
      <c r="L85" s="1948"/>
      <c r="M85" s="1948">
        <f>L85-K85</f>
        <v>-32000</v>
      </c>
      <c r="N85" s="1949">
        <f t="shared" si="106"/>
        <v>-100</v>
      </c>
      <c r="O85" s="1643">
        <f>K85</f>
        <v>32000</v>
      </c>
      <c r="P85" s="1948"/>
      <c r="Q85" s="1948">
        <f>P85-O85</f>
        <v>-32000</v>
      </c>
      <c r="R85" s="1949">
        <f t="shared" si="107"/>
        <v>-100</v>
      </c>
      <c r="S85" s="1637">
        <v>35500</v>
      </c>
      <c r="T85" s="1948"/>
      <c r="U85" s="1948">
        <f>T85-S85</f>
        <v>-35500</v>
      </c>
      <c r="V85" s="1949">
        <f t="shared" si="108"/>
        <v>-100</v>
      </c>
      <c r="W85" s="1643">
        <f t="shared" si="62"/>
        <v>35500</v>
      </c>
      <c r="X85" s="1948"/>
      <c r="Y85" s="1948">
        <f>X85-W85</f>
        <v>-35500</v>
      </c>
      <c r="Z85" s="1949">
        <f t="shared" si="109"/>
        <v>-100</v>
      </c>
      <c r="AA85" s="1643">
        <f t="shared" si="64"/>
        <v>35500</v>
      </c>
      <c r="AB85" s="1948"/>
      <c r="AC85" s="1948">
        <f>AB85-AA85</f>
        <v>-35500</v>
      </c>
      <c r="AD85" s="1949">
        <f t="shared" si="110"/>
        <v>-100</v>
      </c>
      <c r="AE85" s="1643">
        <f t="shared" si="66"/>
        <v>35500</v>
      </c>
      <c r="AF85" s="1948"/>
      <c r="AG85" s="1948">
        <f>AF85-AE85</f>
        <v>-35500</v>
      </c>
      <c r="AH85" s="1949">
        <f t="shared" si="111"/>
        <v>-100</v>
      </c>
      <c r="AI85" s="1637">
        <f t="shared" si="68"/>
        <v>35500</v>
      </c>
      <c r="AJ85" s="1948"/>
      <c r="AK85" s="1948">
        <f>AJ85-AI85</f>
        <v>-35500</v>
      </c>
      <c r="AL85" s="1949">
        <f t="shared" si="112"/>
        <v>-100</v>
      </c>
      <c r="AM85" s="1637">
        <f t="shared" si="70"/>
        <v>35500</v>
      </c>
      <c r="AN85" s="1948"/>
      <c r="AO85" s="1948">
        <f>AN85-AM85</f>
        <v>-35500</v>
      </c>
      <c r="AP85" s="1949">
        <f t="shared" si="113"/>
        <v>-100</v>
      </c>
      <c r="AQ85" s="1643">
        <f>AM85</f>
        <v>35500</v>
      </c>
      <c r="AR85" s="1638"/>
      <c r="AS85" s="1948">
        <f>AR85-AQ85</f>
        <v>-35500</v>
      </c>
      <c r="AT85" s="1949">
        <f t="shared" si="114"/>
        <v>-100</v>
      </c>
      <c r="AU85" s="1643">
        <f t="shared" si="74"/>
        <v>35500</v>
      </c>
      <c r="AV85" s="1948"/>
      <c r="AW85" s="1948">
        <f>AV85-AU85</f>
        <v>-35500</v>
      </c>
      <c r="AX85" s="1948">
        <f t="shared" si="115"/>
        <v>-100</v>
      </c>
      <c r="AY85" s="1649">
        <f t="shared" si="116"/>
        <v>412000</v>
      </c>
      <c r="AZ85" s="2081">
        <f t="shared" si="76"/>
        <v>0</v>
      </c>
      <c r="BB85" s="12"/>
    </row>
    <row r="86" spans="1:57" s="1421" customFormat="1" ht="18.75" customHeight="1" x14ac:dyDescent="0.25">
      <c r="A86" s="170">
        <v>11304</v>
      </c>
      <c r="B86" s="332" t="s">
        <v>141</v>
      </c>
      <c r="C86" s="1945">
        <v>61000</v>
      </c>
      <c r="D86" s="2019">
        <v>98624</v>
      </c>
      <c r="E86" s="1948">
        <f t="shared" ref="E86:E89" si="117">D86-C86</f>
        <v>37624</v>
      </c>
      <c r="F86" s="1640">
        <f t="shared" si="103"/>
        <v>61.678688524590171</v>
      </c>
      <c r="G86" s="1643">
        <f>C86</f>
        <v>61000</v>
      </c>
      <c r="H86" s="2071">
        <f>VLOOKUP(A86,'[1]r_balancete_sc 02-2022'!$1:$1048576,9,0)</f>
        <v>88645.63</v>
      </c>
      <c r="I86" s="1948">
        <f t="shared" si="104"/>
        <v>27645.630000000005</v>
      </c>
      <c r="J86" s="1640">
        <f t="shared" si="105"/>
        <v>45.320704918032796</v>
      </c>
      <c r="K86" s="1643">
        <f>G86</f>
        <v>61000</v>
      </c>
      <c r="L86" s="1638">
        <f>VLOOKUP(A86,'[2]bALANCETE ORÇAMENTO'!$1:$1048576,7,0)</f>
        <v>52222.1</v>
      </c>
      <c r="M86" s="1948">
        <f t="shared" ref="M86:M89" si="118">L86-K86</f>
        <v>-8777.9000000000015</v>
      </c>
      <c r="N86" s="1640">
        <f t="shared" si="106"/>
        <v>-14.390000000000002</v>
      </c>
      <c r="O86" s="1643">
        <f>K86</f>
        <v>61000</v>
      </c>
      <c r="P86" s="1638"/>
      <c r="Q86" s="1948">
        <f t="shared" ref="Q86:Q89" si="119">P86-O86</f>
        <v>-61000</v>
      </c>
      <c r="R86" s="1640">
        <f t="shared" si="107"/>
        <v>-100</v>
      </c>
      <c r="S86" s="1643">
        <f>O86</f>
        <v>61000</v>
      </c>
      <c r="T86" s="1638"/>
      <c r="U86" s="1948">
        <f t="shared" ref="U86:U89" si="120">T86-S86</f>
        <v>-61000</v>
      </c>
      <c r="V86" s="1640">
        <f t="shared" si="108"/>
        <v>-100</v>
      </c>
      <c r="W86" s="1643">
        <f t="shared" si="62"/>
        <v>61000</v>
      </c>
      <c r="X86" s="1638"/>
      <c r="Y86" s="1948">
        <f t="shared" ref="Y86:Y89" si="121">X86-W86</f>
        <v>-61000</v>
      </c>
      <c r="Z86" s="1640">
        <f t="shared" si="109"/>
        <v>-100</v>
      </c>
      <c r="AA86" s="1643">
        <f t="shared" si="64"/>
        <v>61000</v>
      </c>
      <c r="AB86" s="1638"/>
      <c r="AC86" s="1948">
        <f t="shared" ref="AC86:AC89" si="122">AB86-AA86</f>
        <v>-61000</v>
      </c>
      <c r="AD86" s="1640">
        <f t="shared" si="110"/>
        <v>-100</v>
      </c>
      <c r="AE86" s="1643">
        <f t="shared" si="66"/>
        <v>61000</v>
      </c>
      <c r="AF86" s="1638"/>
      <c r="AG86" s="1948">
        <f t="shared" ref="AG86:AG89" si="123">AF86-AE86</f>
        <v>-61000</v>
      </c>
      <c r="AH86" s="1640">
        <f t="shared" si="111"/>
        <v>-100</v>
      </c>
      <c r="AI86" s="1643">
        <f t="shared" si="68"/>
        <v>61000</v>
      </c>
      <c r="AJ86" s="1638"/>
      <c r="AK86" s="1948">
        <f t="shared" ref="AK86:AK89" si="124">AJ86-AI86</f>
        <v>-61000</v>
      </c>
      <c r="AL86" s="1640">
        <f t="shared" si="112"/>
        <v>-100</v>
      </c>
      <c r="AM86" s="1643">
        <f t="shared" si="70"/>
        <v>61000</v>
      </c>
      <c r="AN86" s="1638"/>
      <c r="AO86" s="1948">
        <f t="shared" ref="AO86:AO89" si="125">AN86-AM86</f>
        <v>-61000</v>
      </c>
      <c r="AP86" s="1640">
        <f t="shared" si="113"/>
        <v>-100</v>
      </c>
      <c r="AQ86" s="1643">
        <f>AM86</f>
        <v>61000</v>
      </c>
      <c r="AR86" s="1638"/>
      <c r="AS86" s="1948">
        <f t="shared" ref="AS86:AS89" si="126">AR86-AQ86</f>
        <v>-61000</v>
      </c>
      <c r="AT86" s="1640">
        <f t="shared" si="114"/>
        <v>-100</v>
      </c>
      <c r="AU86" s="1643">
        <f t="shared" si="74"/>
        <v>61000</v>
      </c>
      <c r="AV86" s="1638"/>
      <c r="AW86" s="1948">
        <f t="shared" ref="AW86:AW89" si="127">AV86-AU86</f>
        <v>-61000</v>
      </c>
      <c r="AX86" s="1638">
        <f t="shared" si="115"/>
        <v>-100</v>
      </c>
      <c r="AY86" s="1576">
        <f t="shared" si="116"/>
        <v>732000</v>
      </c>
      <c r="AZ86" s="2081">
        <f t="shared" si="76"/>
        <v>239491.73</v>
      </c>
      <c r="BB86" s="12"/>
    </row>
    <row r="87" spans="1:57" s="1421" customFormat="1" ht="18.75" customHeight="1" x14ac:dyDescent="0.25">
      <c r="A87" s="170">
        <v>12204</v>
      </c>
      <c r="B87" s="332" t="s">
        <v>177</v>
      </c>
      <c r="C87" s="1945">
        <v>3500</v>
      </c>
      <c r="D87" s="2019">
        <v>2219.94</v>
      </c>
      <c r="E87" s="1948">
        <f t="shared" si="117"/>
        <v>-1280.06</v>
      </c>
      <c r="F87" s="1640">
        <f t="shared" si="103"/>
        <v>-36.573142857142862</v>
      </c>
      <c r="G87" s="1643">
        <f>C87</f>
        <v>3500</v>
      </c>
      <c r="H87" s="1611">
        <f>VLOOKUP(A87,'[1]r_balancete_sc 02-2022'!$1:$1048576,9,0)</f>
        <v>3168.27</v>
      </c>
      <c r="I87" s="1948">
        <f t="shared" si="104"/>
        <v>-331.73</v>
      </c>
      <c r="J87" s="1640">
        <f t="shared" si="105"/>
        <v>-9.477999999999998</v>
      </c>
      <c r="K87" s="1643">
        <f>G87</f>
        <v>3500</v>
      </c>
      <c r="L87" s="1638">
        <f>VLOOKUP(A87,'[2]bALANCETE ORÇAMENTO'!$1:$1048576,7,0)</f>
        <v>3120.83</v>
      </c>
      <c r="M87" s="1948">
        <f t="shared" si="118"/>
        <v>-379.17000000000007</v>
      </c>
      <c r="N87" s="1640">
        <f t="shared" si="106"/>
        <v>-10.833428571428572</v>
      </c>
      <c r="O87" s="1643">
        <f>K87</f>
        <v>3500</v>
      </c>
      <c r="P87" s="1638"/>
      <c r="Q87" s="1948">
        <f t="shared" si="119"/>
        <v>-3500</v>
      </c>
      <c r="R87" s="1640">
        <f t="shared" si="107"/>
        <v>-100</v>
      </c>
      <c r="S87" s="1643">
        <v>4000</v>
      </c>
      <c r="T87" s="1638"/>
      <c r="U87" s="1948">
        <f t="shared" si="120"/>
        <v>-4000</v>
      </c>
      <c r="V87" s="1640">
        <f t="shared" si="108"/>
        <v>-100</v>
      </c>
      <c r="W87" s="1643">
        <f t="shared" si="62"/>
        <v>4000</v>
      </c>
      <c r="X87" s="1638"/>
      <c r="Y87" s="1948">
        <f t="shared" si="121"/>
        <v>-4000</v>
      </c>
      <c r="Z87" s="1640">
        <f t="shared" si="109"/>
        <v>-100</v>
      </c>
      <c r="AA87" s="1643">
        <f t="shared" si="64"/>
        <v>4000</v>
      </c>
      <c r="AB87" s="1638"/>
      <c r="AC87" s="1948">
        <f t="shared" si="122"/>
        <v>-4000</v>
      </c>
      <c r="AD87" s="1640">
        <f t="shared" si="110"/>
        <v>-100</v>
      </c>
      <c r="AE87" s="1643">
        <f t="shared" si="66"/>
        <v>4000</v>
      </c>
      <c r="AF87" s="1638"/>
      <c r="AG87" s="1948">
        <f t="shared" si="123"/>
        <v>-4000</v>
      </c>
      <c r="AH87" s="1640">
        <f t="shared" si="111"/>
        <v>-100</v>
      </c>
      <c r="AI87" s="1643">
        <f t="shared" si="68"/>
        <v>4000</v>
      </c>
      <c r="AJ87" s="1638"/>
      <c r="AK87" s="1948">
        <f t="shared" si="124"/>
        <v>-4000</v>
      </c>
      <c r="AL87" s="1640">
        <f t="shared" si="112"/>
        <v>-100</v>
      </c>
      <c r="AM87" s="1643">
        <f t="shared" si="70"/>
        <v>4000</v>
      </c>
      <c r="AN87" s="1638"/>
      <c r="AO87" s="1948">
        <f t="shared" si="125"/>
        <v>-4000</v>
      </c>
      <c r="AP87" s="1640">
        <f t="shared" si="113"/>
        <v>-100</v>
      </c>
      <c r="AQ87" s="1643">
        <v>4000</v>
      </c>
      <c r="AR87" s="1638"/>
      <c r="AS87" s="1948">
        <f t="shared" si="126"/>
        <v>-4000</v>
      </c>
      <c r="AT87" s="1640">
        <f t="shared" si="114"/>
        <v>-100</v>
      </c>
      <c r="AU87" s="1643">
        <v>4000</v>
      </c>
      <c r="AV87" s="1638"/>
      <c r="AW87" s="1948">
        <f t="shared" si="127"/>
        <v>-4000</v>
      </c>
      <c r="AX87" s="1638">
        <f t="shared" si="115"/>
        <v>-100</v>
      </c>
      <c r="AY87" s="1576">
        <f t="shared" si="116"/>
        <v>46000</v>
      </c>
      <c r="AZ87" s="2081">
        <f t="shared" si="76"/>
        <v>8509.0400000000009</v>
      </c>
      <c r="BB87" s="12"/>
    </row>
    <row r="88" spans="1:57" s="1421" customFormat="1" ht="18.75" customHeight="1" x14ac:dyDescent="0.25">
      <c r="A88" s="170">
        <v>11434</v>
      </c>
      <c r="B88" s="332" t="s">
        <v>173</v>
      </c>
      <c r="C88" s="1945">
        <v>50000</v>
      </c>
      <c r="D88" s="2019">
        <v>42035.67</v>
      </c>
      <c r="E88" s="1948">
        <f t="shared" si="117"/>
        <v>-7964.3300000000017</v>
      </c>
      <c r="F88" s="1640">
        <f t="shared" si="103"/>
        <v>-15.928660000000006</v>
      </c>
      <c r="G88" s="1643">
        <f>C88</f>
        <v>50000</v>
      </c>
      <c r="H88" s="2071">
        <f>VLOOKUP(A88,'[1]r_balancete_sc 02-2022'!$1:$1048576,9,0)</f>
        <v>52090.33</v>
      </c>
      <c r="I88" s="1948">
        <f t="shared" si="104"/>
        <v>2090.3300000000017</v>
      </c>
      <c r="J88" s="1640">
        <f t="shared" si="105"/>
        <v>4.1806600000000138</v>
      </c>
      <c r="K88" s="1643">
        <f>G88</f>
        <v>50000</v>
      </c>
      <c r="L88" s="1638">
        <f>VLOOKUP(A88,'[2]bALANCETE ORÇAMENTO'!$1:$1048576,7,0)</f>
        <v>49181.94</v>
      </c>
      <c r="M88" s="1948">
        <f t="shared" si="118"/>
        <v>-818.05999999999767</v>
      </c>
      <c r="N88" s="1640">
        <f t="shared" si="106"/>
        <v>-1.6361199999999965</v>
      </c>
      <c r="O88" s="1643">
        <f>K88</f>
        <v>50000</v>
      </c>
      <c r="P88" s="1638"/>
      <c r="Q88" s="1948">
        <f t="shared" si="119"/>
        <v>-50000</v>
      </c>
      <c r="R88" s="1640">
        <f t="shared" si="107"/>
        <v>-100</v>
      </c>
      <c r="S88" s="1643">
        <f>O88</f>
        <v>50000</v>
      </c>
      <c r="T88" s="1638"/>
      <c r="U88" s="1948">
        <f t="shared" si="120"/>
        <v>-50000</v>
      </c>
      <c r="V88" s="1640">
        <f t="shared" si="108"/>
        <v>-100</v>
      </c>
      <c r="W88" s="1643">
        <f t="shared" si="62"/>
        <v>50000</v>
      </c>
      <c r="X88" s="1638"/>
      <c r="Y88" s="1948">
        <f t="shared" si="121"/>
        <v>-50000</v>
      </c>
      <c r="Z88" s="1640">
        <f t="shared" si="109"/>
        <v>-100</v>
      </c>
      <c r="AA88" s="1643">
        <f t="shared" si="64"/>
        <v>50000</v>
      </c>
      <c r="AB88" s="1638"/>
      <c r="AC88" s="1948">
        <f t="shared" si="122"/>
        <v>-50000</v>
      </c>
      <c r="AD88" s="1640">
        <f t="shared" si="110"/>
        <v>-100</v>
      </c>
      <c r="AE88" s="1643">
        <f t="shared" si="66"/>
        <v>50000</v>
      </c>
      <c r="AF88" s="1638"/>
      <c r="AG88" s="1948">
        <f t="shared" si="123"/>
        <v>-50000</v>
      </c>
      <c r="AH88" s="1640">
        <f t="shared" si="111"/>
        <v>-100</v>
      </c>
      <c r="AI88" s="1643">
        <f t="shared" si="68"/>
        <v>50000</v>
      </c>
      <c r="AJ88" s="1638"/>
      <c r="AK88" s="1948">
        <f t="shared" si="124"/>
        <v>-50000</v>
      </c>
      <c r="AL88" s="1640">
        <f t="shared" si="112"/>
        <v>-100</v>
      </c>
      <c r="AM88" s="1643">
        <f t="shared" si="70"/>
        <v>50000</v>
      </c>
      <c r="AN88" s="1638"/>
      <c r="AO88" s="1948">
        <f t="shared" si="125"/>
        <v>-50000</v>
      </c>
      <c r="AP88" s="1640">
        <f t="shared" si="113"/>
        <v>-100</v>
      </c>
      <c r="AQ88" s="1643">
        <f>AM88</f>
        <v>50000</v>
      </c>
      <c r="AR88" s="1638"/>
      <c r="AS88" s="1948">
        <f t="shared" si="126"/>
        <v>-50000</v>
      </c>
      <c r="AT88" s="1640">
        <f t="shared" si="114"/>
        <v>-100</v>
      </c>
      <c r="AU88" s="1643">
        <f>AQ88</f>
        <v>50000</v>
      </c>
      <c r="AV88" s="1638"/>
      <c r="AW88" s="1948">
        <f t="shared" si="127"/>
        <v>-50000</v>
      </c>
      <c r="AX88" s="1638">
        <f t="shared" si="115"/>
        <v>-100</v>
      </c>
      <c r="AY88" s="1576">
        <f t="shared" si="116"/>
        <v>600000</v>
      </c>
      <c r="AZ88" s="2081">
        <f t="shared" si="76"/>
        <v>143307.94</v>
      </c>
      <c r="BB88" s="12"/>
    </row>
    <row r="89" spans="1:57" s="1421" customFormat="1" ht="18.75" customHeight="1" thickBot="1" x14ac:dyDescent="0.3">
      <c r="A89" s="379">
        <v>11481</v>
      </c>
      <c r="B89" s="384" t="s">
        <v>30</v>
      </c>
      <c r="C89" s="1946">
        <v>160000</v>
      </c>
      <c r="D89" s="2022">
        <v>150769.69</v>
      </c>
      <c r="E89" s="2171">
        <f t="shared" si="117"/>
        <v>-9230.3099999999977</v>
      </c>
      <c r="F89" s="2054">
        <f t="shared" si="103"/>
        <v>-5.76894375</v>
      </c>
      <c r="G89" s="1644">
        <f>C89</f>
        <v>160000</v>
      </c>
      <c r="H89" s="2076">
        <v>171987.19</v>
      </c>
      <c r="I89" s="2171">
        <f t="shared" si="104"/>
        <v>11987.190000000002</v>
      </c>
      <c r="J89" s="2154">
        <f t="shared" si="105"/>
        <v>7.4919937500000033</v>
      </c>
      <c r="K89" s="1644">
        <f>G89</f>
        <v>160000</v>
      </c>
      <c r="L89" s="2053">
        <f>VLOOKUP(A89,'[2]bALANCETE ORÇAMENTO'!$1:$1048576,7,0)</f>
        <v>165260.21</v>
      </c>
      <c r="M89" s="2171">
        <f t="shared" si="118"/>
        <v>5260.2099999999919</v>
      </c>
      <c r="N89" s="2154">
        <f t="shared" si="106"/>
        <v>3.2876312500000004</v>
      </c>
      <c r="O89" s="1644">
        <f>K89</f>
        <v>160000</v>
      </c>
      <c r="P89" s="2053"/>
      <c r="Q89" s="2171">
        <f t="shared" si="119"/>
        <v>-160000</v>
      </c>
      <c r="R89" s="2154">
        <f t="shared" si="107"/>
        <v>-100</v>
      </c>
      <c r="S89" s="1644">
        <v>185000</v>
      </c>
      <c r="T89" s="2053"/>
      <c r="U89" s="2171">
        <f t="shared" si="120"/>
        <v>-185000</v>
      </c>
      <c r="V89" s="2154">
        <f t="shared" si="108"/>
        <v>-100</v>
      </c>
      <c r="W89" s="1644">
        <f t="shared" si="62"/>
        <v>185000</v>
      </c>
      <c r="X89" s="2053"/>
      <c r="Y89" s="2171">
        <f t="shared" si="121"/>
        <v>-185000</v>
      </c>
      <c r="Z89" s="2154">
        <f t="shared" si="109"/>
        <v>-100</v>
      </c>
      <c r="AA89" s="1644">
        <f t="shared" si="64"/>
        <v>185000</v>
      </c>
      <c r="AB89" s="2053"/>
      <c r="AC89" s="2171">
        <f t="shared" si="122"/>
        <v>-185000</v>
      </c>
      <c r="AD89" s="2154">
        <f t="shared" si="110"/>
        <v>-100</v>
      </c>
      <c r="AE89" s="1644">
        <f t="shared" si="66"/>
        <v>185000</v>
      </c>
      <c r="AF89" s="2053"/>
      <c r="AG89" s="2171">
        <f t="shared" si="123"/>
        <v>-185000</v>
      </c>
      <c r="AH89" s="2154">
        <f t="shared" si="111"/>
        <v>-100</v>
      </c>
      <c r="AI89" s="1644">
        <f t="shared" si="68"/>
        <v>185000</v>
      </c>
      <c r="AJ89" s="2053"/>
      <c r="AK89" s="2171">
        <f t="shared" si="124"/>
        <v>-185000</v>
      </c>
      <c r="AL89" s="2154">
        <f t="shared" si="112"/>
        <v>-100</v>
      </c>
      <c r="AM89" s="1644">
        <f t="shared" si="70"/>
        <v>185000</v>
      </c>
      <c r="AN89" s="2053"/>
      <c r="AO89" s="2171">
        <f t="shared" si="125"/>
        <v>-185000</v>
      </c>
      <c r="AP89" s="2154">
        <f t="shared" si="113"/>
        <v>-100</v>
      </c>
      <c r="AQ89" s="1644">
        <f>AM89</f>
        <v>185000</v>
      </c>
      <c r="AR89" s="2053"/>
      <c r="AS89" s="2171">
        <f t="shared" si="126"/>
        <v>-185000</v>
      </c>
      <c r="AT89" s="2154">
        <f t="shared" si="114"/>
        <v>-100</v>
      </c>
      <c r="AU89" s="1644">
        <f>AQ89</f>
        <v>185000</v>
      </c>
      <c r="AV89" s="2053"/>
      <c r="AW89" s="2171">
        <f t="shared" si="127"/>
        <v>-185000</v>
      </c>
      <c r="AX89" s="2076">
        <f t="shared" si="115"/>
        <v>-100</v>
      </c>
      <c r="AY89" s="1578">
        <f t="shared" si="116"/>
        <v>2120000</v>
      </c>
      <c r="AZ89" s="2079">
        <f t="shared" si="76"/>
        <v>488017.08999999997</v>
      </c>
      <c r="BB89" s="12"/>
    </row>
    <row r="90" spans="1:57" s="11" customFormat="1" ht="18.75" customHeight="1" thickBot="1" x14ac:dyDescent="0.3">
      <c r="A90" s="161"/>
      <c r="B90" s="185"/>
      <c r="C90" s="1971"/>
      <c r="D90" s="1963"/>
      <c r="E90" s="2172"/>
      <c r="F90" s="1971"/>
      <c r="G90" s="1982"/>
      <c r="H90" s="1971"/>
      <c r="I90" s="2172"/>
      <c r="J90" s="1971"/>
      <c r="K90" s="1982"/>
      <c r="L90" s="1971"/>
      <c r="M90" s="2172"/>
      <c r="N90" s="1971"/>
      <c r="O90" s="1982"/>
      <c r="P90" s="1971"/>
      <c r="Q90" s="2172"/>
      <c r="R90" s="1971"/>
      <c r="S90" s="1982"/>
      <c r="T90" s="1971"/>
      <c r="U90" s="2172"/>
      <c r="V90" s="1971"/>
      <c r="W90" s="1982"/>
      <c r="X90" s="1971"/>
      <c r="Y90" s="2172"/>
      <c r="Z90" s="1971"/>
      <c r="AA90" s="1982"/>
      <c r="AB90" s="1971"/>
      <c r="AC90" s="2172"/>
      <c r="AD90" s="1971"/>
      <c r="AE90" s="1982"/>
      <c r="AF90" s="1971"/>
      <c r="AG90" s="2172"/>
      <c r="AH90" s="1971"/>
      <c r="AI90" s="1982"/>
      <c r="AJ90" s="1971"/>
      <c r="AK90" s="2172"/>
      <c r="AL90" s="1971"/>
      <c r="AM90" s="1982"/>
      <c r="AN90" s="1971"/>
      <c r="AO90" s="2172"/>
      <c r="AP90" s="1971"/>
      <c r="AQ90" s="1982"/>
      <c r="AR90" s="1971"/>
      <c r="AS90" s="2172"/>
      <c r="AT90" s="1971"/>
      <c r="AU90" s="1982"/>
      <c r="AV90" s="1971"/>
      <c r="AW90" s="2172"/>
      <c r="AX90" s="1971"/>
      <c r="AY90" s="1983"/>
      <c r="AZ90" s="1983"/>
      <c r="BA90" s="1172"/>
      <c r="BB90" s="1172"/>
    </row>
    <row r="91" spans="1:57" s="11" customFormat="1" ht="18.75" customHeight="1" thickBot="1" x14ac:dyDescent="0.3">
      <c r="A91" s="2010"/>
      <c r="B91" s="330" t="s">
        <v>3917</v>
      </c>
      <c r="C91" s="1391">
        <f>SUM(C92:C130)</f>
        <v>6021300</v>
      </c>
      <c r="D91" s="1973">
        <f>SUM(D92:D131)</f>
        <v>6437486.9800000014</v>
      </c>
      <c r="E91" s="396">
        <f t="shared" ref="E91:E108" si="128">D91-C91</f>
        <v>416186.98000000138</v>
      </c>
      <c r="F91" s="1984">
        <f t="shared" ref="F91:F108" si="129">((D91/C91)-1)*100</f>
        <v>6.9119123777257707</v>
      </c>
      <c r="G91" s="1391">
        <f>SUM(G92:G130)</f>
        <v>6021300</v>
      </c>
      <c r="H91" s="1973">
        <f>SUM(H92:H131)</f>
        <v>5997078.9800000004</v>
      </c>
      <c r="I91" s="396">
        <f t="shared" ref="I91:I108" si="130">H91-G91</f>
        <v>-24221.019999999553</v>
      </c>
      <c r="J91" s="1984">
        <f t="shared" ref="J91:J108" si="131">((H91/G91)-1)*100</f>
        <v>-0.40225565907693328</v>
      </c>
      <c r="K91" s="1391">
        <f>SUM(K92:K130)</f>
        <v>6021300</v>
      </c>
      <c r="L91" s="1973">
        <f>SUM(L92:L131)</f>
        <v>6201018.0100000007</v>
      </c>
      <c r="M91" s="396">
        <f t="shared" ref="M91:M108" si="132">L91-K91</f>
        <v>179718.01000000071</v>
      </c>
      <c r="N91" s="1984">
        <f t="shared" ref="N91:N108" si="133">((L91/K91)-1)*100</f>
        <v>2.9847044658130484</v>
      </c>
      <c r="O91" s="1391">
        <f>SUM(O92:O130)</f>
        <v>6021300</v>
      </c>
      <c r="P91" s="1973">
        <f>SUM(P92:P130)</f>
        <v>0</v>
      </c>
      <c r="Q91" s="396">
        <f t="shared" ref="Q91:Q108" si="134">P91-O91</f>
        <v>-6021300</v>
      </c>
      <c r="R91" s="1984">
        <f t="shared" ref="R91:R108" si="135">((P91/O91)-1)*100</f>
        <v>-100</v>
      </c>
      <c r="S91" s="1391">
        <f>SUM(S92:S130)</f>
        <v>6021300</v>
      </c>
      <c r="T91" s="1973">
        <f>SUM(T94:T127)</f>
        <v>0</v>
      </c>
      <c r="U91" s="396">
        <f t="shared" ref="U91:U108" si="136">T91-S91</f>
        <v>-6021300</v>
      </c>
      <c r="V91" s="1984">
        <f t="shared" ref="V91:V108" si="137">((T91/S91)-1)*100</f>
        <v>-100</v>
      </c>
      <c r="W91" s="1391">
        <f>SUM(W92:W130)</f>
        <v>6021300</v>
      </c>
      <c r="X91" s="1973">
        <f>SUM(X94:X127)</f>
        <v>0</v>
      </c>
      <c r="Y91" s="396">
        <f t="shared" ref="Y91:Y108" si="138">X91-W91</f>
        <v>-6021300</v>
      </c>
      <c r="Z91" s="1984">
        <f t="shared" ref="Z91:Z108" si="139">((X91/W91)-1)*100</f>
        <v>-100</v>
      </c>
      <c r="AA91" s="1391">
        <f>SUM(AA92:AA130)</f>
        <v>6021300</v>
      </c>
      <c r="AB91" s="1973">
        <f>SUM(AB94:AB127)</f>
        <v>0</v>
      </c>
      <c r="AC91" s="396">
        <f t="shared" ref="AC91:AC108" si="140">AB91-AA91</f>
        <v>-6021300</v>
      </c>
      <c r="AD91" s="1984">
        <f t="shared" ref="AD91:AD108" si="141">((AB91/AA91)-1)*100</f>
        <v>-100</v>
      </c>
      <c r="AE91" s="1391">
        <f>SUM(AE92:AE130)</f>
        <v>6021300</v>
      </c>
      <c r="AF91" s="1973">
        <f>SUM(AF92:AF130)</f>
        <v>0</v>
      </c>
      <c r="AG91" s="396">
        <f t="shared" ref="AG91:AG108" si="142">AF91-AE91</f>
        <v>-6021300</v>
      </c>
      <c r="AH91" s="1984">
        <f t="shared" ref="AH91:AH108" si="143">((AF91/AE91)-1)*100</f>
        <v>-100</v>
      </c>
      <c r="AI91" s="1391">
        <f>SUM(AI92:AI130)</f>
        <v>6021300</v>
      </c>
      <c r="AJ91" s="1973">
        <f>SUM(AJ94:AJ127)</f>
        <v>0</v>
      </c>
      <c r="AK91" s="396">
        <f t="shared" ref="AK91:AK108" si="144">AJ91-AI91</f>
        <v>-6021300</v>
      </c>
      <c r="AL91" s="1984">
        <f t="shared" ref="AL91:AL108" si="145">((AJ91/AI91)-1)*100</f>
        <v>-100</v>
      </c>
      <c r="AM91" s="1391">
        <f>SUM(AM92:AM130)</f>
        <v>6021300</v>
      </c>
      <c r="AN91" s="1973">
        <f>SUM(AN94:AN127)</f>
        <v>0</v>
      </c>
      <c r="AO91" s="396">
        <f t="shared" ref="AO91:AO108" si="146">AN91-AM91</f>
        <v>-6021300</v>
      </c>
      <c r="AP91" s="1984">
        <f t="shared" ref="AP91:AP108" si="147">((AN91/AM91)-1)*100</f>
        <v>-100</v>
      </c>
      <c r="AQ91" s="1391">
        <f>SUM(AQ92:AQ130)</f>
        <v>6021300</v>
      </c>
      <c r="AR91" s="1973">
        <f>SUM(AR94:AR127)</f>
        <v>0</v>
      </c>
      <c r="AS91" s="396">
        <f t="shared" ref="AS91:AS108" si="148">AR91-AQ91</f>
        <v>-6021300</v>
      </c>
      <c r="AT91" s="1984">
        <f t="shared" ref="AT91:AT108" si="149">((AR91/AQ91)-1)*100</f>
        <v>-100</v>
      </c>
      <c r="AU91" s="1391">
        <f>SUM(AU92:AU130)</f>
        <v>6021300</v>
      </c>
      <c r="AV91" s="1973">
        <f>SUM(AV94:AV127)</f>
        <v>0</v>
      </c>
      <c r="AW91" s="396">
        <f t="shared" ref="AW91:AW108" si="150">AV91-AU91</f>
        <v>-6021300</v>
      </c>
      <c r="AX91" s="1984">
        <f t="shared" ref="AX91:AX108" si="151">((AV91/AU91)-1)*100</f>
        <v>-100</v>
      </c>
      <c r="AY91" s="397">
        <f t="shared" ref="AY91:AY108" si="152">C91+G91+K91+O91+S91+W91+AA91+AE91+AI91+AM91+AQ91+AU91</f>
        <v>72255600</v>
      </c>
      <c r="AZ91" s="1975">
        <f t="shared" ref="AZ91:AZ108" si="153">D91+H91+L91+P91+T91+X91+AB91+AF91+AJ91+AN91+AR91+AV91</f>
        <v>18635583.970000003</v>
      </c>
      <c r="BA91" s="195"/>
      <c r="BB91" s="1176"/>
    </row>
    <row r="92" spans="1:57" s="1421" customFormat="1" ht="18.75" customHeight="1" x14ac:dyDescent="0.25">
      <c r="A92" s="170">
        <v>54128</v>
      </c>
      <c r="B92" s="1424" t="s">
        <v>3778</v>
      </c>
      <c r="C92" s="1546">
        <v>1700000</v>
      </c>
      <c r="D92" s="2014">
        <v>1325370.04</v>
      </c>
      <c r="E92" s="1576">
        <f t="shared" si="128"/>
        <v>-374629.95999999996</v>
      </c>
      <c r="F92" s="1550">
        <f t="shared" si="129"/>
        <v>-22.037056470588233</v>
      </c>
      <c r="G92" s="1546">
        <v>1700000</v>
      </c>
      <c r="H92" s="2176">
        <v>1390981.31</v>
      </c>
      <c r="I92" s="1576">
        <f t="shared" si="130"/>
        <v>-309018.68999999994</v>
      </c>
      <c r="J92" s="1550">
        <f t="shared" si="131"/>
        <v>-18.177569999999999</v>
      </c>
      <c r="K92" s="1546">
        <f t="shared" ref="K92:K108" si="154">G92</f>
        <v>1700000</v>
      </c>
      <c r="L92" s="1576">
        <f>VLOOKUP(A92,'[2]bALANCETE ORÇAMENTO'!$1:$1048576,7,0)</f>
        <v>1486085.72</v>
      </c>
      <c r="M92" s="1576">
        <f t="shared" si="132"/>
        <v>-213914.28000000003</v>
      </c>
      <c r="N92" s="1550">
        <f t="shared" si="133"/>
        <v>-12.583192941176469</v>
      </c>
      <c r="O92" s="1546">
        <f t="shared" ref="O92:O108" si="155">K92</f>
        <v>1700000</v>
      </c>
      <c r="P92" s="1576"/>
      <c r="Q92" s="1576">
        <f t="shared" si="134"/>
        <v>-1700000</v>
      </c>
      <c r="R92" s="1550">
        <f t="shared" si="135"/>
        <v>-100</v>
      </c>
      <c r="S92" s="1546">
        <f t="shared" ref="S92:S108" si="156">O92</f>
        <v>1700000</v>
      </c>
      <c r="T92" s="1576"/>
      <c r="U92" s="1576">
        <f t="shared" si="136"/>
        <v>-1700000</v>
      </c>
      <c r="V92" s="1550">
        <f t="shared" si="137"/>
        <v>-100</v>
      </c>
      <c r="W92" s="1546">
        <f>S92</f>
        <v>1700000</v>
      </c>
      <c r="X92" s="1576"/>
      <c r="Y92" s="1576">
        <f t="shared" si="138"/>
        <v>-1700000</v>
      </c>
      <c r="Z92" s="1550">
        <f t="shared" si="139"/>
        <v>-100</v>
      </c>
      <c r="AA92" s="1546">
        <f>W92</f>
        <v>1700000</v>
      </c>
      <c r="AB92" s="1576"/>
      <c r="AC92" s="1576">
        <f t="shared" si="140"/>
        <v>-1700000</v>
      </c>
      <c r="AD92" s="1550">
        <f t="shared" si="141"/>
        <v>-100</v>
      </c>
      <c r="AE92" s="1546">
        <f>AA92</f>
        <v>1700000</v>
      </c>
      <c r="AF92" s="1576"/>
      <c r="AG92" s="1576">
        <f t="shared" si="142"/>
        <v>-1700000</v>
      </c>
      <c r="AH92" s="1550">
        <f t="shared" si="143"/>
        <v>-100</v>
      </c>
      <c r="AI92" s="1546">
        <f>AE92</f>
        <v>1700000</v>
      </c>
      <c r="AJ92" s="1576"/>
      <c r="AK92" s="1576">
        <f t="shared" si="144"/>
        <v>-1700000</v>
      </c>
      <c r="AL92" s="1550">
        <f t="shared" si="145"/>
        <v>-100</v>
      </c>
      <c r="AM92" s="1546">
        <f>AI92</f>
        <v>1700000</v>
      </c>
      <c r="AN92" s="1576"/>
      <c r="AO92" s="1576">
        <f t="shared" si="146"/>
        <v>-1700000</v>
      </c>
      <c r="AP92" s="1550">
        <f t="shared" si="147"/>
        <v>-100</v>
      </c>
      <c r="AQ92" s="1546">
        <f>AM92</f>
        <v>1700000</v>
      </c>
      <c r="AR92" s="1576"/>
      <c r="AS92" s="1576">
        <f t="shared" si="148"/>
        <v>-1700000</v>
      </c>
      <c r="AT92" s="1550">
        <f t="shared" si="149"/>
        <v>-100</v>
      </c>
      <c r="AU92" s="1546">
        <f>AQ92</f>
        <v>1700000</v>
      </c>
      <c r="AV92" s="1576"/>
      <c r="AW92" s="1576">
        <f t="shared" si="150"/>
        <v>-1700000</v>
      </c>
      <c r="AX92" s="1550">
        <f t="shared" si="151"/>
        <v>-100</v>
      </c>
      <c r="AY92" s="1240">
        <f t="shared" si="152"/>
        <v>20400000</v>
      </c>
      <c r="AZ92" s="1616">
        <f t="shared" si="153"/>
        <v>4202437.07</v>
      </c>
      <c r="BA92" s="12"/>
      <c r="BB92" s="12"/>
      <c r="BC92" s="12"/>
      <c r="BD92" s="12"/>
      <c r="BE92" s="12"/>
    </row>
    <row r="93" spans="1:57" s="1421" customFormat="1" ht="18.75" customHeight="1" x14ac:dyDescent="0.25">
      <c r="A93" s="170">
        <v>54169</v>
      </c>
      <c r="B93" s="1424" t="s">
        <v>3780</v>
      </c>
      <c r="C93" s="1546">
        <v>430000</v>
      </c>
      <c r="D93" s="2014">
        <v>755273.17</v>
      </c>
      <c r="E93" s="1576">
        <f t="shared" si="128"/>
        <v>325273.17000000004</v>
      </c>
      <c r="F93" s="1550">
        <f t="shared" si="129"/>
        <v>75.64492325581395</v>
      </c>
      <c r="G93" s="2178">
        <v>430000</v>
      </c>
      <c r="H93" s="2075">
        <v>339742.32</v>
      </c>
      <c r="I93" s="1576">
        <f t="shared" si="130"/>
        <v>-90257.68</v>
      </c>
      <c r="J93" s="1550">
        <f t="shared" si="131"/>
        <v>-20.990158139534888</v>
      </c>
      <c r="K93" s="1646">
        <f t="shared" si="154"/>
        <v>430000</v>
      </c>
      <c r="L93" s="1647">
        <f>VLOOKUP(A93,'[2]bALANCETE ORÇAMENTO'!$1:$1048576,7,0)</f>
        <v>258464.48</v>
      </c>
      <c r="M93" s="1576">
        <f t="shared" si="132"/>
        <v>-171535.52</v>
      </c>
      <c r="N93" s="1550">
        <f t="shared" si="133"/>
        <v>-39.891981395348829</v>
      </c>
      <c r="O93" s="2178">
        <f t="shared" si="155"/>
        <v>430000</v>
      </c>
      <c r="P93" s="1576"/>
      <c r="Q93" s="1576">
        <f t="shared" si="134"/>
        <v>-430000</v>
      </c>
      <c r="R93" s="1550">
        <f t="shared" si="135"/>
        <v>-100</v>
      </c>
      <c r="S93" s="2178">
        <f t="shared" si="156"/>
        <v>430000</v>
      </c>
      <c r="T93" s="1576"/>
      <c r="U93" s="1576">
        <f t="shared" si="136"/>
        <v>-430000</v>
      </c>
      <c r="V93" s="1550">
        <f t="shared" si="137"/>
        <v>-100</v>
      </c>
      <c r="W93" s="1646">
        <f>S93</f>
        <v>430000</v>
      </c>
      <c r="X93" s="1647"/>
      <c r="Y93" s="1576">
        <f t="shared" si="138"/>
        <v>-430000</v>
      </c>
      <c r="Z93" s="1550">
        <f t="shared" si="139"/>
        <v>-100</v>
      </c>
      <c r="AA93" s="2178">
        <f>W93</f>
        <v>430000</v>
      </c>
      <c r="AB93" s="1576"/>
      <c r="AC93" s="1576">
        <f t="shared" si="140"/>
        <v>-430000</v>
      </c>
      <c r="AD93" s="1550">
        <f t="shared" si="141"/>
        <v>-100</v>
      </c>
      <c r="AE93" s="2178">
        <f>AA93</f>
        <v>430000</v>
      </c>
      <c r="AF93" s="1647"/>
      <c r="AG93" s="1576">
        <f t="shared" si="142"/>
        <v>-430000</v>
      </c>
      <c r="AH93" s="1550">
        <f t="shared" si="143"/>
        <v>-100</v>
      </c>
      <c r="AI93" s="1646">
        <f>AE93</f>
        <v>430000</v>
      </c>
      <c r="AJ93" s="1647"/>
      <c r="AK93" s="1576">
        <f t="shared" si="144"/>
        <v>-430000</v>
      </c>
      <c r="AL93" s="1550">
        <f t="shared" si="145"/>
        <v>-100</v>
      </c>
      <c r="AM93" s="1646">
        <f>AI93</f>
        <v>430000</v>
      </c>
      <c r="AN93" s="1647"/>
      <c r="AO93" s="1576">
        <f t="shared" si="146"/>
        <v>-430000</v>
      </c>
      <c r="AP93" s="1550">
        <f t="shared" si="147"/>
        <v>-100</v>
      </c>
      <c r="AQ93" s="1646">
        <f>AM93</f>
        <v>430000</v>
      </c>
      <c r="AR93" s="1647"/>
      <c r="AS93" s="1576">
        <f t="shared" si="148"/>
        <v>-430000</v>
      </c>
      <c r="AT93" s="1550">
        <f t="shared" si="149"/>
        <v>-100</v>
      </c>
      <c r="AU93" s="2178">
        <f>AQ93</f>
        <v>430000</v>
      </c>
      <c r="AV93" s="1576"/>
      <c r="AW93" s="1576">
        <f t="shared" si="150"/>
        <v>-430000</v>
      </c>
      <c r="AX93" s="1577">
        <f t="shared" si="151"/>
        <v>-100</v>
      </c>
      <c r="AY93" s="1236">
        <f t="shared" si="152"/>
        <v>5160000</v>
      </c>
      <c r="AZ93" s="1616">
        <f t="shared" si="153"/>
        <v>1353479.97</v>
      </c>
      <c r="BA93" s="12"/>
      <c r="BB93" s="12"/>
      <c r="BC93" s="12"/>
      <c r="BD93" s="12"/>
      <c r="BE93" s="12"/>
    </row>
    <row r="94" spans="1:57" s="12" customFormat="1" ht="18.75" customHeight="1" x14ac:dyDescent="0.25">
      <c r="A94" s="1071">
        <v>12461</v>
      </c>
      <c r="B94" s="1424" t="s">
        <v>165</v>
      </c>
      <c r="C94" s="1546">
        <v>3500</v>
      </c>
      <c r="D94" s="2014">
        <v>8749</v>
      </c>
      <c r="E94" s="1576">
        <f t="shared" si="128"/>
        <v>5249</v>
      </c>
      <c r="F94" s="1550">
        <f t="shared" si="129"/>
        <v>149.97142857142856</v>
      </c>
      <c r="G94" s="2110">
        <v>3500</v>
      </c>
      <c r="H94" s="1611">
        <v>8749.02</v>
      </c>
      <c r="I94" s="1576">
        <f t="shared" si="130"/>
        <v>5249.02</v>
      </c>
      <c r="J94" s="1550">
        <f t="shared" si="131"/>
        <v>149.97199999999998</v>
      </c>
      <c r="K94" s="2178">
        <f t="shared" si="154"/>
        <v>3500</v>
      </c>
      <c r="L94" s="1576">
        <f>VLOOKUP(A94,'[2]bALANCETE ORÇAMENTO'!$1:$1048576,7,0)</f>
        <v>304.01</v>
      </c>
      <c r="M94" s="1576">
        <f t="shared" si="132"/>
        <v>-3195.99</v>
      </c>
      <c r="N94" s="1550">
        <f t="shared" si="133"/>
        <v>-91.314000000000007</v>
      </c>
      <c r="O94" s="1545">
        <f t="shared" si="155"/>
        <v>3500</v>
      </c>
      <c r="P94" s="1649"/>
      <c r="Q94" s="1576">
        <f t="shared" si="134"/>
        <v>-3500</v>
      </c>
      <c r="R94" s="1550">
        <f t="shared" si="135"/>
        <v>-100</v>
      </c>
      <c r="S94" s="1545">
        <f t="shared" si="156"/>
        <v>3500</v>
      </c>
      <c r="T94" s="1649"/>
      <c r="U94" s="1576">
        <f t="shared" si="136"/>
        <v>-3500</v>
      </c>
      <c r="V94" s="1550">
        <f t="shared" si="137"/>
        <v>-100</v>
      </c>
      <c r="W94" s="2178">
        <f t="shared" ref="W94:W130" si="157">S94</f>
        <v>3500</v>
      </c>
      <c r="X94" s="1576"/>
      <c r="Y94" s="1576">
        <f t="shared" si="138"/>
        <v>-3500</v>
      </c>
      <c r="Z94" s="1550">
        <f t="shared" si="139"/>
        <v>-100</v>
      </c>
      <c r="AA94" s="1545">
        <f t="shared" ref="AA94:AA130" si="158">W94</f>
        <v>3500</v>
      </c>
      <c r="AB94" s="1649"/>
      <c r="AC94" s="1576">
        <f t="shared" si="140"/>
        <v>-3500</v>
      </c>
      <c r="AD94" s="1550">
        <f t="shared" si="141"/>
        <v>-100</v>
      </c>
      <c r="AE94" s="1545">
        <f t="shared" ref="AE94:AE130" si="159">AA94</f>
        <v>3500</v>
      </c>
      <c r="AF94" s="1576"/>
      <c r="AG94" s="1576">
        <f t="shared" si="142"/>
        <v>-3500</v>
      </c>
      <c r="AH94" s="1550">
        <f t="shared" si="143"/>
        <v>-100</v>
      </c>
      <c r="AI94" s="2178">
        <f t="shared" ref="AI94:AI130" si="160">AE94</f>
        <v>3500</v>
      </c>
      <c r="AJ94" s="1576"/>
      <c r="AK94" s="1576">
        <f t="shared" si="144"/>
        <v>-3500</v>
      </c>
      <c r="AL94" s="1550">
        <f t="shared" si="145"/>
        <v>-100</v>
      </c>
      <c r="AM94" s="2178">
        <f t="shared" ref="AM94:AM130" si="161">AI94</f>
        <v>3500</v>
      </c>
      <c r="AN94" s="1576"/>
      <c r="AO94" s="1576">
        <f t="shared" si="146"/>
        <v>-3500</v>
      </c>
      <c r="AP94" s="1550">
        <f t="shared" si="147"/>
        <v>-100</v>
      </c>
      <c r="AQ94" s="2178">
        <f t="shared" ref="AQ94:AQ130" si="162">AM94</f>
        <v>3500</v>
      </c>
      <c r="AR94" s="1576"/>
      <c r="AS94" s="1576">
        <f t="shared" si="148"/>
        <v>-3500</v>
      </c>
      <c r="AT94" s="1550">
        <f t="shared" si="149"/>
        <v>-100</v>
      </c>
      <c r="AU94" s="1545">
        <f t="shared" ref="AU94:AU130" si="163">AQ94</f>
        <v>3500</v>
      </c>
      <c r="AV94" s="1649"/>
      <c r="AW94" s="1576">
        <f t="shared" si="150"/>
        <v>-3500</v>
      </c>
      <c r="AX94" s="1577">
        <f t="shared" si="151"/>
        <v>-100</v>
      </c>
      <c r="AY94" s="1236">
        <f t="shared" si="152"/>
        <v>42000</v>
      </c>
      <c r="AZ94" s="1616">
        <f t="shared" si="153"/>
        <v>17802.03</v>
      </c>
      <c r="BA94" s="805"/>
      <c r="BB94" s="1178"/>
      <c r="BC94" s="1421"/>
      <c r="BD94" s="1421"/>
      <c r="BE94" s="1421"/>
    </row>
    <row r="95" spans="1:57" s="12" customFormat="1" ht="18.75" customHeight="1" x14ac:dyDescent="0.25">
      <c r="A95" s="1071">
        <v>51288</v>
      </c>
      <c r="B95" s="1424" t="s">
        <v>59</v>
      </c>
      <c r="C95" s="1546">
        <v>650000</v>
      </c>
      <c r="D95" s="2014">
        <v>697593.25</v>
      </c>
      <c r="E95" s="1576">
        <f t="shared" si="128"/>
        <v>47593.25</v>
      </c>
      <c r="F95" s="1550">
        <f t="shared" si="129"/>
        <v>7.3220384615384715</v>
      </c>
      <c r="G95" s="1546">
        <v>650000</v>
      </c>
      <c r="H95" s="2075">
        <v>696916.56</v>
      </c>
      <c r="I95" s="1576">
        <f t="shared" si="130"/>
        <v>46916.560000000056</v>
      </c>
      <c r="J95" s="1550">
        <f t="shared" si="131"/>
        <v>7.2179323076923207</v>
      </c>
      <c r="K95" s="1546">
        <f t="shared" si="154"/>
        <v>650000</v>
      </c>
      <c r="L95" s="1576">
        <f>VLOOKUP(A95,'[2]bALANCETE ORÇAMENTO'!$1:$1048576,7,0)</f>
        <v>815248</v>
      </c>
      <c r="M95" s="1576">
        <f t="shared" si="132"/>
        <v>165248</v>
      </c>
      <c r="N95" s="1550">
        <f t="shared" si="133"/>
        <v>25.422769230769227</v>
      </c>
      <c r="O95" s="1546">
        <f t="shared" si="155"/>
        <v>650000</v>
      </c>
      <c r="P95" s="1576"/>
      <c r="Q95" s="1576">
        <f t="shared" si="134"/>
        <v>-650000</v>
      </c>
      <c r="R95" s="1550">
        <f t="shared" si="135"/>
        <v>-100</v>
      </c>
      <c r="S95" s="1546">
        <f t="shared" si="156"/>
        <v>650000</v>
      </c>
      <c r="T95" s="1576"/>
      <c r="U95" s="1576">
        <f t="shared" si="136"/>
        <v>-650000</v>
      </c>
      <c r="V95" s="1550">
        <f t="shared" si="137"/>
        <v>-100</v>
      </c>
      <c r="W95" s="1546">
        <f t="shared" si="157"/>
        <v>650000</v>
      </c>
      <c r="X95" s="1576"/>
      <c r="Y95" s="1576">
        <f t="shared" si="138"/>
        <v>-650000</v>
      </c>
      <c r="Z95" s="1550">
        <f t="shared" si="139"/>
        <v>-100</v>
      </c>
      <c r="AA95" s="1546">
        <f t="shared" si="158"/>
        <v>650000</v>
      </c>
      <c r="AB95" s="1576"/>
      <c r="AC95" s="1576">
        <f t="shared" si="140"/>
        <v>-650000</v>
      </c>
      <c r="AD95" s="1550">
        <f t="shared" si="141"/>
        <v>-100</v>
      </c>
      <c r="AE95" s="1546">
        <f t="shared" si="159"/>
        <v>650000</v>
      </c>
      <c r="AF95" s="1576"/>
      <c r="AG95" s="1576">
        <f t="shared" si="142"/>
        <v>-650000</v>
      </c>
      <c r="AH95" s="1550">
        <f t="shared" si="143"/>
        <v>-100</v>
      </c>
      <c r="AI95" s="1546">
        <f t="shared" si="160"/>
        <v>650000</v>
      </c>
      <c r="AJ95" s="1576"/>
      <c r="AK95" s="1576">
        <f t="shared" si="144"/>
        <v>-650000</v>
      </c>
      <c r="AL95" s="1550">
        <f t="shared" si="145"/>
        <v>-100</v>
      </c>
      <c r="AM95" s="1546">
        <f t="shared" si="161"/>
        <v>650000</v>
      </c>
      <c r="AN95" s="1576"/>
      <c r="AO95" s="1576">
        <f t="shared" si="146"/>
        <v>-650000</v>
      </c>
      <c r="AP95" s="1550">
        <f t="shared" si="147"/>
        <v>-100</v>
      </c>
      <c r="AQ95" s="1546">
        <f t="shared" si="162"/>
        <v>650000</v>
      </c>
      <c r="AR95" s="1576"/>
      <c r="AS95" s="1576">
        <f t="shared" si="148"/>
        <v>-650000</v>
      </c>
      <c r="AT95" s="1550">
        <f t="shared" si="149"/>
        <v>-100</v>
      </c>
      <c r="AU95" s="1546">
        <f t="shared" si="163"/>
        <v>650000</v>
      </c>
      <c r="AV95" s="1576"/>
      <c r="AW95" s="1576">
        <f t="shared" si="150"/>
        <v>-650000</v>
      </c>
      <c r="AX95" s="1577">
        <f t="shared" si="151"/>
        <v>-100</v>
      </c>
      <c r="AY95" s="1236">
        <f t="shared" si="152"/>
        <v>7800000</v>
      </c>
      <c r="AZ95" s="1616">
        <f t="shared" si="153"/>
        <v>2209757.81</v>
      </c>
      <c r="BA95" s="805"/>
      <c r="BB95" s="1178"/>
      <c r="BC95" s="1421"/>
      <c r="BD95" s="1421"/>
      <c r="BE95" s="1421"/>
    </row>
    <row r="96" spans="1:57" s="1421" customFormat="1" ht="18.75" customHeight="1" x14ac:dyDescent="0.25">
      <c r="A96" s="1071">
        <v>51014</v>
      </c>
      <c r="B96" s="1424" t="s">
        <v>3786</v>
      </c>
      <c r="C96" s="1546">
        <v>250000</v>
      </c>
      <c r="D96" s="2014">
        <v>228743</v>
      </c>
      <c r="E96" s="1576">
        <f t="shared" si="128"/>
        <v>-21257</v>
      </c>
      <c r="F96" s="1550">
        <f t="shared" si="129"/>
        <v>-8.5027999999999988</v>
      </c>
      <c r="G96" s="1546">
        <v>250000</v>
      </c>
      <c r="H96" s="1611">
        <v>232684.29</v>
      </c>
      <c r="I96" s="1576">
        <f t="shared" si="130"/>
        <v>-17315.709999999992</v>
      </c>
      <c r="J96" s="1550">
        <f t="shared" si="131"/>
        <v>-6.9262839999999937</v>
      </c>
      <c r="K96" s="1546">
        <f t="shared" si="154"/>
        <v>250000</v>
      </c>
      <c r="L96" s="1576">
        <f>VLOOKUP(A96,'[2]bALANCETE ORÇAMENTO'!$1:$1048576,7,0)</f>
        <v>241243.22</v>
      </c>
      <c r="M96" s="1576">
        <f t="shared" si="132"/>
        <v>-8756.7799999999988</v>
      </c>
      <c r="N96" s="1550">
        <f t="shared" si="133"/>
        <v>-3.5027119999999967</v>
      </c>
      <c r="O96" s="1546">
        <f t="shared" si="155"/>
        <v>250000</v>
      </c>
      <c r="P96" s="1576"/>
      <c r="Q96" s="1576">
        <f t="shared" si="134"/>
        <v>-250000</v>
      </c>
      <c r="R96" s="1550">
        <f t="shared" si="135"/>
        <v>-100</v>
      </c>
      <c r="S96" s="1546">
        <f t="shared" si="156"/>
        <v>250000</v>
      </c>
      <c r="T96" s="1576"/>
      <c r="U96" s="1576">
        <f t="shared" si="136"/>
        <v>-250000</v>
      </c>
      <c r="V96" s="1550">
        <f t="shared" si="137"/>
        <v>-100</v>
      </c>
      <c r="W96" s="1546">
        <f t="shared" si="157"/>
        <v>250000</v>
      </c>
      <c r="X96" s="1576"/>
      <c r="Y96" s="1576">
        <f t="shared" si="138"/>
        <v>-250000</v>
      </c>
      <c r="Z96" s="1550">
        <f t="shared" si="139"/>
        <v>-100</v>
      </c>
      <c r="AA96" s="1546">
        <f t="shared" si="158"/>
        <v>250000</v>
      </c>
      <c r="AB96" s="1576"/>
      <c r="AC96" s="1576">
        <f t="shared" si="140"/>
        <v>-250000</v>
      </c>
      <c r="AD96" s="1550">
        <f t="shared" si="141"/>
        <v>-100</v>
      </c>
      <c r="AE96" s="1546">
        <f t="shared" si="159"/>
        <v>250000</v>
      </c>
      <c r="AF96" s="1576"/>
      <c r="AG96" s="1576">
        <f t="shared" si="142"/>
        <v>-250000</v>
      </c>
      <c r="AH96" s="1550">
        <f t="shared" si="143"/>
        <v>-100</v>
      </c>
      <c r="AI96" s="1546">
        <f t="shared" si="160"/>
        <v>250000</v>
      </c>
      <c r="AJ96" s="1576"/>
      <c r="AK96" s="1576">
        <f t="shared" si="144"/>
        <v>-250000</v>
      </c>
      <c r="AL96" s="1550">
        <f t="shared" si="145"/>
        <v>-100</v>
      </c>
      <c r="AM96" s="1546">
        <f t="shared" si="161"/>
        <v>250000</v>
      </c>
      <c r="AN96" s="1576"/>
      <c r="AO96" s="1576">
        <f t="shared" si="146"/>
        <v>-250000</v>
      </c>
      <c r="AP96" s="1550">
        <f t="shared" si="147"/>
        <v>-100</v>
      </c>
      <c r="AQ96" s="1546">
        <f t="shared" si="162"/>
        <v>250000</v>
      </c>
      <c r="AR96" s="1576"/>
      <c r="AS96" s="1576">
        <f t="shared" si="148"/>
        <v>-250000</v>
      </c>
      <c r="AT96" s="1550">
        <f t="shared" si="149"/>
        <v>-100</v>
      </c>
      <c r="AU96" s="1546">
        <f t="shared" si="163"/>
        <v>250000</v>
      </c>
      <c r="AV96" s="1576"/>
      <c r="AW96" s="1576">
        <f t="shared" si="150"/>
        <v>-250000</v>
      </c>
      <c r="AX96" s="1577">
        <f t="shared" si="151"/>
        <v>-100</v>
      </c>
      <c r="AY96" s="1236">
        <f t="shared" si="152"/>
        <v>3000000</v>
      </c>
      <c r="AZ96" s="1616">
        <f t="shared" si="153"/>
        <v>702670.51</v>
      </c>
      <c r="BA96" s="805"/>
      <c r="BB96" s="1178"/>
    </row>
    <row r="97" spans="1:54" s="1421" customFormat="1" ht="18.75" customHeight="1" x14ac:dyDescent="0.25">
      <c r="A97" s="170">
        <v>51019</v>
      </c>
      <c r="B97" s="1424" t="s">
        <v>3782</v>
      </c>
      <c r="C97" s="1546">
        <v>175000</v>
      </c>
      <c r="D97" s="2014">
        <v>151550.39999999999</v>
      </c>
      <c r="E97" s="1576">
        <f t="shared" si="128"/>
        <v>-23449.600000000006</v>
      </c>
      <c r="F97" s="1550">
        <f t="shared" si="129"/>
        <v>-13.399771428571427</v>
      </c>
      <c r="G97" s="1546">
        <v>175000</v>
      </c>
      <c r="H97" s="1611">
        <v>162571.20000000001</v>
      </c>
      <c r="I97" s="1576">
        <f t="shared" si="130"/>
        <v>-12428.799999999988</v>
      </c>
      <c r="J97" s="1550">
        <f t="shared" si="131"/>
        <v>-7.1021714285714239</v>
      </c>
      <c r="K97" s="1546">
        <f t="shared" si="154"/>
        <v>175000</v>
      </c>
      <c r="L97" s="1576">
        <f>VLOOKUP(A97,'[2]bALANCETE ORÇAMENTO'!$1:$1048576,7,0)</f>
        <v>152222.39999999999</v>
      </c>
      <c r="M97" s="1576">
        <f t="shared" si="132"/>
        <v>-22777.600000000006</v>
      </c>
      <c r="N97" s="1550">
        <f t="shared" si="133"/>
        <v>-13.015771428571432</v>
      </c>
      <c r="O97" s="1546">
        <f t="shared" si="155"/>
        <v>175000</v>
      </c>
      <c r="P97" s="1576"/>
      <c r="Q97" s="1576">
        <f t="shared" si="134"/>
        <v>-175000</v>
      </c>
      <c r="R97" s="1550">
        <f t="shared" si="135"/>
        <v>-100</v>
      </c>
      <c r="S97" s="1546">
        <f t="shared" si="156"/>
        <v>175000</v>
      </c>
      <c r="T97" s="1576"/>
      <c r="U97" s="1576">
        <f t="shared" si="136"/>
        <v>-175000</v>
      </c>
      <c r="V97" s="1550">
        <f t="shared" si="137"/>
        <v>-100</v>
      </c>
      <c r="W97" s="1546">
        <f t="shared" si="157"/>
        <v>175000</v>
      </c>
      <c r="X97" s="1576"/>
      <c r="Y97" s="1576">
        <f t="shared" si="138"/>
        <v>-175000</v>
      </c>
      <c r="Z97" s="1550">
        <f t="shared" si="139"/>
        <v>-100</v>
      </c>
      <c r="AA97" s="1546">
        <f t="shared" si="158"/>
        <v>175000</v>
      </c>
      <c r="AB97" s="1576"/>
      <c r="AC97" s="1576">
        <f t="shared" si="140"/>
        <v>-175000</v>
      </c>
      <c r="AD97" s="1550">
        <f t="shared" si="141"/>
        <v>-100</v>
      </c>
      <c r="AE97" s="1546">
        <f t="shared" si="159"/>
        <v>175000</v>
      </c>
      <c r="AF97" s="1576"/>
      <c r="AG97" s="1576">
        <f t="shared" si="142"/>
        <v>-175000</v>
      </c>
      <c r="AH97" s="1550">
        <f t="shared" si="143"/>
        <v>-100</v>
      </c>
      <c r="AI97" s="1546">
        <f t="shared" si="160"/>
        <v>175000</v>
      </c>
      <c r="AJ97" s="1576"/>
      <c r="AK97" s="1576">
        <f t="shared" si="144"/>
        <v>-175000</v>
      </c>
      <c r="AL97" s="1550">
        <f t="shared" si="145"/>
        <v>-100</v>
      </c>
      <c r="AM97" s="1546">
        <f t="shared" si="161"/>
        <v>175000</v>
      </c>
      <c r="AN97" s="1576"/>
      <c r="AO97" s="1576">
        <f t="shared" si="146"/>
        <v>-175000</v>
      </c>
      <c r="AP97" s="1550">
        <f t="shared" si="147"/>
        <v>-100</v>
      </c>
      <c r="AQ97" s="1546">
        <f t="shared" si="162"/>
        <v>175000</v>
      </c>
      <c r="AR97" s="1576"/>
      <c r="AS97" s="1576">
        <f t="shared" si="148"/>
        <v>-175000</v>
      </c>
      <c r="AT97" s="1550">
        <f t="shared" si="149"/>
        <v>-100</v>
      </c>
      <c r="AU97" s="1546">
        <f t="shared" si="163"/>
        <v>175000</v>
      </c>
      <c r="AV97" s="1576"/>
      <c r="AW97" s="1576">
        <f t="shared" si="150"/>
        <v>-175000</v>
      </c>
      <c r="AX97" s="1577">
        <f t="shared" si="151"/>
        <v>-100</v>
      </c>
      <c r="AY97" s="1236">
        <f t="shared" si="152"/>
        <v>2100000</v>
      </c>
      <c r="AZ97" s="1616">
        <f t="shared" si="153"/>
        <v>466344</v>
      </c>
      <c r="BA97" s="805"/>
      <c r="BB97" s="1178"/>
    </row>
    <row r="98" spans="1:54" s="1421" customFormat="1" ht="18.75" customHeight="1" x14ac:dyDescent="0.25">
      <c r="A98" s="170">
        <v>51020</v>
      </c>
      <c r="B98" s="1424" t="s">
        <v>58</v>
      </c>
      <c r="C98" s="1546">
        <v>125000</v>
      </c>
      <c r="D98" s="2014">
        <v>129460</v>
      </c>
      <c r="E98" s="1576">
        <f t="shared" si="128"/>
        <v>4460</v>
      </c>
      <c r="F98" s="1550">
        <f t="shared" si="129"/>
        <v>3.5679999999999934</v>
      </c>
      <c r="G98" s="1546">
        <v>125000</v>
      </c>
      <c r="H98" s="1611">
        <v>157192</v>
      </c>
      <c r="I98" s="1576">
        <f t="shared" si="130"/>
        <v>32192</v>
      </c>
      <c r="J98" s="1550">
        <f t="shared" si="131"/>
        <v>25.753599999999999</v>
      </c>
      <c r="K98" s="1546">
        <f t="shared" si="154"/>
        <v>125000</v>
      </c>
      <c r="L98" s="1576">
        <f>VLOOKUP(A98,'[2]bALANCETE ORÇAMENTO'!$1:$1048576,7,0)</f>
        <v>143563</v>
      </c>
      <c r="M98" s="1576">
        <f t="shared" si="132"/>
        <v>18563</v>
      </c>
      <c r="N98" s="1550">
        <f t="shared" si="133"/>
        <v>14.850399999999997</v>
      </c>
      <c r="O98" s="1546">
        <f t="shared" si="155"/>
        <v>125000</v>
      </c>
      <c r="P98" s="1576"/>
      <c r="Q98" s="1576">
        <f t="shared" si="134"/>
        <v>-125000</v>
      </c>
      <c r="R98" s="1550">
        <f t="shared" si="135"/>
        <v>-100</v>
      </c>
      <c r="S98" s="1546">
        <f t="shared" si="156"/>
        <v>125000</v>
      </c>
      <c r="T98" s="1576"/>
      <c r="U98" s="1576">
        <f t="shared" si="136"/>
        <v>-125000</v>
      </c>
      <c r="V98" s="1550">
        <f t="shared" si="137"/>
        <v>-100</v>
      </c>
      <c r="W98" s="1546">
        <f t="shared" si="157"/>
        <v>125000</v>
      </c>
      <c r="X98" s="1576"/>
      <c r="Y98" s="1576">
        <f t="shared" si="138"/>
        <v>-125000</v>
      </c>
      <c r="Z98" s="1550">
        <f t="shared" si="139"/>
        <v>-100</v>
      </c>
      <c r="AA98" s="1546">
        <f t="shared" si="158"/>
        <v>125000</v>
      </c>
      <c r="AB98" s="1576"/>
      <c r="AC98" s="1576">
        <f t="shared" si="140"/>
        <v>-125000</v>
      </c>
      <c r="AD98" s="1550">
        <f t="shared" si="141"/>
        <v>-100</v>
      </c>
      <c r="AE98" s="1546">
        <f t="shared" si="159"/>
        <v>125000</v>
      </c>
      <c r="AF98" s="1576"/>
      <c r="AG98" s="1576">
        <f t="shared" si="142"/>
        <v>-125000</v>
      </c>
      <c r="AH98" s="1550">
        <f t="shared" si="143"/>
        <v>-100</v>
      </c>
      <c r="AI98" s="1546">
        <f t="shared" si="160"/>
        <v>125000</v>
      </c>
      <c r="AJ98" s="1576"/>
      <c r="AK98" s="1576">
        <f t="shared" si="144"/>
        <v>-125000</v>
      </c>
      <c r="AL98" s="1550">
        <f t="shared" si="145"/>
        <v>-100</v>
      </c>
      <c r="AM98" s="1546">
        <f t="shared" si="161"/>
        <v>125000</v>
      </c>
      <c r="AN98" s="1576"/>
      <c r="AO98" s="1576">
        <f t="shared" si="146"/>
        <v>-125000</v>
      </c>
      <c r="AP98" s="1550">
        <f t="shared" si="147"/>
        <v>-100</v>
      </c>
      <c r="AQ98" s="1546">
        <f t="shared" si="162"/>
        <v>125000</v>
      </c>
      <c r="AR98" s="1576"/>
      <c r="AS98" s="1576">
        <f t="shared" si="148"/>
        <v>-125000</v>
      </c>
      <c r="AT98" s="1550">
        <f t="shared" si="149"/>
        <v>-100</v>
      </c>
      <c r="AU98" s="1546">
        <f t="shared" si="163"/>
        <v>125000</v>
      </c>
      <c r="AV98" s="1576"/>
      <c r="AW98" s="1576">
        <f t="shared" si="150"/>
        <v>-125000</v>
      </c>
      <c r="AX98" s="1577">
        <f t="shared" si="151"/>
        <v>-100</v>
      </c>
      <c r="AY98" s="1236">
        <f t="shared" si="152"/>
        <v>1500000</v>
      </c>
      <c r="AZ98" s="1616">
        <f t="shared" si="153"/>
        <v>430215</v>
      </c>
      <c r="BA98" s="805"/>
      <c r="BB98" s="1178"/>
    </row>
    <row r="99" spans="1:54" s="1421" customFormat="1" ht="18.75" customHeight="1" x14ac:dyDescent="0.25">
      <c r="A99" s="170">
        <v>54956</v>
      </c>
      <c r="B99" s="1424" t="s">
        <v>3781</v>
      </c>
      <c r="C99" s="1546">
        <v>10300</v>
      </c>
      <c r="D99" s="2014">
        <v>10230</v>
      </c>
      <c r="E99" s="1576">
        <f t="shared" si="128"/>
        <v>-70</v>
      </c>
      <c r="F99" s="1550">
        <f t="shared" si="129"/>
        <v>-0.67961165048543437</v>
      </c>
      <c r="G99" s="1546">
        <v>10300</v>
      </c>
      <c r="H99" s="2071">
        <v>9240</v>
      </c>
      <c r="I99" s="1576">
        <f t="shared" si="130"/>
        <v>-1060</v>
      </c>
      <c r="J99" s="1550">
        <f t="shared" si="131"/>
        <v>-10.291262135922331</v>
      </c>
      <c r="K99" s="1546">
        <f t="shared" si="154"/>
        <v>10300</v>
      </c>
      <c r="L99" s="1576">
        <f>VLOOKUP(A99,'[2]bALANCETE ORÇAMENTO'!$1:$1048576,7,0)</f>
        <v>10230</v>
      </c>
      <c r="M99" s="1576">
        <f t="shared" si="132"/>
        <v>-70</v>
      </c>
      <c r="N99" s="1550">
        <f t="shared" si="133"/>
        <v>-0.67961165048543437</v>
      </c>
      <c r="O99" s="1546">
        <f t="shared" si="155"/>
        <v>10300</v>
      </c>
      <c r="P99" s="1576"/>
      <c r="Q99" s="1576">
        <f t="shared" si="134"/>
        <v>-10300</v>
      </c>
      <c r="R99" s="1550">
        <f t="shared" si="135"/>
        <v>-100</v>
      </c>
      <c r="S99" s="1546">
        <f t="shared" si="156"/>
        <v>10300</v>
      </c>
      <c r="T99" s="1576"/>
      <c r="U99" s="1576">
        <f t="shared" si="136"/>
        <v>-10300</v>
      </c>
      <c r="V99" s="1550">
        <f t="shared" si="137"/>
        <v>-100</v>
      </c>
      <c r="W99" s="1546">
        <f t="shared" si="157"/>
        <v>10300</v>
      </c>
      <c r="X99" s="1576"/>
      <c r="Y99" s="1576">
        <f t="shared" si="138"/>
        <v>-10300</v>
      </c>
      <c r="Z99" s="1550">
        <f t="shared" si="139"/>
        <v>-100</v>
      </c>
      <c r="AA99" s="1546">
        <f t="shared" si="158"/>
        <v>10300</v>
      </c>
      <c r="AB99" s="1576"/>
      <c r="AC99" s="1576">
        <f t="shared" si="140"/>
        <v>-10300</v>
      </c>
      <c r="AD99" s="1550">
        <f t="shared" si="141"/>
        <v>-100</v>
      </c>
      <c r="AE99" s="1546">
        <f t="shared" si="159"/>
        <v>10300</v>
      </c>
      <c r="AF99" s="1576"/>
      <c r="AG99" s="1576">
        <f t="shared" si="142"/>
        <v>-10300</v>
      </c>
      <c r="AH99" s="1550">
        <f t="shared" si="143"/>
        <v>-100</v>
      </c>
      <c r="AI99" s="1546">
        <f t="shared" si="160"/>
        <v>10300</v>
      </c>
      <c r="AJ99" s="1576"/>
      <c r="AK99" s="1576">
        <f t="shared" si="144"/>
        <v>-10300</v>
      </c>
      <c r="AL99" s="1550">
        <f t="shared" si="145"/>
        <v>-100</v>
      </c>
      <c r="AM99" s="1546">
        <f t="shared" si="161"/>
        <v>10300</v>
      </c>
      <c r="AN99" s="1576"/>
      <c r="AO99" s="1576">
        <f t="shared" si="146"/>
        <v>-10300</v>
      </c>
      <c r="AP99" s="1550">
        <f t="shared" si="147"/>
        <v>-100</v>
      </c>
      <c r="AQ99" s="1546">
        <f t="shared" si="162"/>
        <v>10300</v>
      </c>
      <c r="AR99" s="1576"/>
      <c r="AS99" s="1576">
        <f t="shared" si="148"/>
        <v>-10300</v>
      </c>
      <c r="AT99" s="1550">
        <f t="shared" si="149"/>
        <v>-100</v>
      </c>
      <c r="AU99" s="1546">
        <f t="shared" si="163"/>
        <v>10300</v>
      </c>
      <c r="AV99" s="1576"/>
      <c r="AW99" s="1576">
        <f t="shared" si="150"/>
        <v>-10300</v>
      </c>
      <c r="AX99" s="1577">
        <f t="shared" si="151"/>
        <v>-100</v>
      </c>
      <c r="AY99" s="1236">
        <f t="shared" si="152"/>
        <v>123600</v>
      </c>
      <c r="AZ99" s="1616">
        <f t="shared" si="153"/>
        <v>29700</v>
      </c>
      <c r="BA99" s="805"/>
      <c r="BB99" s="1178"/>
    </row>
    <row r="100" spans="1:54" s="1421" customFormat="1" ht="18.75" customHeight="1" x14ac:dyDescent="0.25">
      <c r="A100" s="170">
        <v>25044</v>
      </c>
      <c r="B100" s="1424" t="s">
        <v>181</v>
      </c>
      <c r="C100" s="1546">
        <v>90000</v>
      </c>
      <c r="D100" s="2014">
        <v>89452.96</v>
      </c>
      <c r="E100" s="1576">
        <f t="shared" si="128"/>
        <v>-547.0399999999936</v>
      </c>
      <c r="F100" s="1550">
        <f t="shared" si="129"/>
        <v>-0.60782222222220961</v>
      </c>
      <c r="G100" s="1546">
        <v>90000</v>
      </c>
      <c r="H100" s="2075">
        <v>79061.919999999998</v>
      </c>
      <c r="I100" s="1576">
        <f t="shared" si="130"/>
        <v>-10938.080000000002</v>
      </c>
      <c r="J100" s="1550">
        <f t="shared" si="131"/>
        <v>-12.153422222222222</v>
      </c>
      <c r="K100" s="1546">
        <f t="shared" si="154"/>
        <v>90000</v>
      </c>
      <c r="L100" s="1576">
        <f>VLOOKUP(A100,'[2]bALANCETE ORÇAMENTO'!$1:$1048576,7,0)</f>
        <v>86593.84</v>
      </c>
      <c r="M100" s="1576">
        <f t="shared" si="132"/>
        <v>-3406.1600000000035</v>
      </c>
      <c r="N100" s="1550">
        <f t="shared" si="133"/>
        <v>-3.7846222222222226</v>
      </c>
      <c r="O100" s="1546">
        <f t="shared" si="155"/>
        <v>90000</v>
      </c>
      <c r="P100" s="1576"/>
      <c r="Q100" s="1576">
        <f t="shared" si="134"/>
        <v>-90000</v>
      </c>
      <c r="R100" s="1550">
        <f t="shared" si="135"/>
        <v>-100</v>
      </c>
      <c r="S100" s="1546">
        <f t="shared" si="156"/>
        <v>90000</v>
      </c>
      <c r="T100" s="1576"/>
      <c r="U100" s="1576">
        <f t="shared" si="136"/>
        <v>-90000</v>
      </c>
      <c r="V100" s="1550">
        <f t="shared" si="137"/>
        <v>-100</v>
      </c>
      <c r="W100" s="1546">
        <f t="shared" si="157"/>
        <v>90000</v>
      </c>
      <c r="X100" s="1576"/>
      <c r="Y100" s="1576">
        <f t="shared" si="138"/>
        <v>-90000</v>
      </c>
      <c r="Z100" s="1550">
        <f t="shared" si="139"/>
        <v>-100</v>
      </c>
      <c r="AA100" s="1546">
        <f t="shared" si="158"/>
        <v>90000</v>
      </c>
      <c r="AB100" s="1576"/>
      <c r="AC100" s="1576">
        <f t="shared" si="140"/>
        <v>-90000</v>
      </c>
      <c r="AD100" s="1550">
        <f t="shared" si="141"/>
        <v>-100</v>
      </c>
      <c r="AE100" s="1546">
        <f t="shared" si="159"/>
        <v>90000</v>
      </c>
      <c r="AF100" s="1576"/>
      <c r="AG100" s="1576">
        <f t="shared" si="142"/>
        <v>-90000</v>
      </c>
      <c r="AH100" s="1550">
        <f t="shared" si="143"/>
        <v>-100</v>
      </c>
      <c r="AI100" s="1546">
        <f t="shared" si="160"/>
        <v>90000</v>
      </c>
      <c r="AJ100" s="1576"/>
      <c r="AK100" s="1576">
        <f t="shared" si="144"/>
        <v>-90000</v>
      </c>
      <c r="AL100" s="1550">
        <f t="shared" si="145"/>
        <v>-100</v>
      </c>
      <c r="AM100" s="1546">
        <f t="shared" si="161"/>
        <v>90000</v>
      </c>
      <c r="AN100" s="1576"/>
      <c r="AO100" s="1576">
        <f t="shared" si="146"/>
        <v>-90000</v>
      </c>
      <c r="AP100" s="1550">
        <f t="shared" si="147"/>
        <v>-100</v>
      </c>
      <c r="AQ100" s="1546">
        <f t="shared" si="162"/>
        <v>90000</v>
      </c>
      <c r="AR100" s="1576"/>
      <c r="AS100" s="1576">
        <f t="shared" si="148"/>
        <v>-90000</v>
      </c>
      <c r="AT100" s="1550">
        <f t="shared" si="149"/>
        <v>-100</v>
      </c>
      <c r="AU100" s="1546">
        <f t="shared" si="163"/>
        <v>90000</v>
      </c>
      <c r="AV100" s="1576"/>
      <c r="AW100" s="1576">
        <f t="shared" si="150"/>
        <v>-90000</v>
      </c>
      <c r="AX100" s="1577">
        <f t="shared" si="151"/>
        <v>-100</v>
      </c>
      <c r="AY100" s="1236">
        <f t="shared" si="152"/>
        <v>1080000</v>
      </c>
      <c r="AZ100" s="1616">
        <f t="shared" si="153"/>
        <v>255108.72</v>
      </c>
      <c r="BA100" s="805"/>
      <c r="BB100" s="1178"/>
    </row>
    <row r="101" spans="1:54" s="1421" customFormat="1" ht="18.75" customHeight="1" x14ac:dyDescent="0.25">
      <c r="A101" s="170">
        <v>51012</v>
      </c>
      <c r="B101" s="1424" t="s">
        <v>55</v>
      </c>
      <c r="C101" s="1546">
        <v>375000</v>
      </c>
      <c r="D101" s="2014">
        <v>498537.6</v>
      </c>
      <c r="E101" s="1576">
        <f t="shared" si="128"/>
        <v>123537.59999999998</v>
      </c>
      <c r="F101" s="1550">
        <f t="shared" si="129"/>
        <v>32.943359999999998</v>
      </c>
      <c r="G101" s="1546">
        <v>375000</v>
      </c>
      <c r="H101" s="1611">
        <v>389288</v>
      </c>
      <c r="I101" s="1576">
        <f t="shared" si="130"/>
        <v>14288</v>
      </c>
      <c r="J101" s="1550">
        <f t="shared" si="131"/>
        <v>3.810133333333332</v>
      </c>
      <c r="K101" s="1546">
        <f t="shared" si="154"/>
        <v>375000</v>
      </c>
      <c r="L101" s="1576">
        <f>VLOOKUP(A101,'[2]bALANCETE ORÇAMENTO'!$1:$1048576,7,0)</f>
        <v>422488</v>
      </c>
      <c r="M101" s="1576">
        <f t="shared" si="132"/>
        <v>47488</v>
      </c>
      <c r="N101" s="1550">
        <f t="shared" si="133"/>
        <v>12.663466666666668</v>
      </c>
      <c r="O101" s="1546">
        <f t="shared" si="155"/>
        <v>375000</v>
      </c>
      <c r="P101" s="1576"/>
      <c r="Q101" s="1576">
        <f t="shared" si="134"/>
        <v>-375000</v>
      </c>
      <c r="R101" s="1550">
        <f t="shared" si="135"/>
        <v>-100</v>
      </c>
      <c r="S101" s="1546">
        <f t="shared" si="156"/>
        <v>375000</v>
      </c>
      <c r="T101" s="1576"/>
      <c r="U101" s="1576">
        <f t="shared" si="136"/>
        <v>-375000</v>
      </c>
      <c r="V101" s="1550">
        <f t="shared" si="137"/>
        <v>-100</v>
      </c>
      <c r="W101" s="1546">
        <f t="shared" si="157"/>
        <v>375000</v>
      </c>
      <c r="X101" s="1576"/>
      <c r="Y101" s="1576">
        <f t="shared" si="138"/>
        <v>-375000</v>
      </c>
      <c r="Z101" s="1550">
        <f t="shared" si="139"/>
        <v>-100</v>
      </c>
      <c r="AA101" s="1546">
        <f t="shared" si="158"/>
        <v>375000</v>
      </c>
      <c r="AB101" s="1576"/>
      <c r="AC101" s="1576">
        <f t="shared" si="140"/>
        <v>-375000</v>
      </c>
      <c r="AD101" s="1550">
        <f t="shared" si="141"/>
        <v>-100</v>
      </c>
      <c r="AE101" s="1546">
        <f t="shared" si="159"/>
        <v>375000</v>
      </c>
      <c r="AF101" s="1576"/>
      <c r="AG101" s="1576">
        <f t="shared" si="142"/>
        <v>-375000</v>
      </c>
      <c r="AH101" s="1550">
        <f t="shared" si="143"/>
        <v>-100</v>
      </c>
      <c r="AI101" s="1546">
        <f t="shared" si="160"/>
        <v>375000</v>
      </c>
      <c r="AJ101" s="1576"/>
      <c r="AK101" s="1576">
        <f t="shared" si="144"/>
        <v>-375000</v>
      </c>
      <c r="AL101" s="1550">
        <f t="shared" si="145"/>
        <v>-100</v>
      </c>
      <c r="AM101" s="1546">
        <f t="shared" si="161"/>
        <v>375000</v>
      </c>
      <c r="AN101" s="1576"/>
      <c r="AO101" s="1576">
        <f t="shared" si="146"/>
        <v>-375000</v>
      </c>
      <c r="AP101" s="1550">
        <f t="shared" si="147"/>
        <v>-100</v>
      </c>
      <c r="AQ101" s="1546">
        <f t="shared" si="162"/>
        <v>375000</v>
      </c>
      <c r="AR101" s="1576"/>
      <c r="AS101" s="1576">
        <f t="shared" si="148"/>
        <v>-375000</v>
      </c>
      <c r="AT101" s="1550">
        <f t="shared" si="149"/>
        <v>-100</v>
      </c>
      <c r="AU101" s="1546">
        <f t="shared" si="163"/>
        <v>375000</v>
      </c>
      <c r="AV101" s="1576"/>
      <c r="AW101" s="1576">
        <f t="shared" si="150"/>
        <v>-375000</v>
      </c>
      <c r="AX101" s="1577">
        <f t="shared" si="151"/>
        <v>-100</v>
      </c>
      <c r="AY101" s="1236">
        <f t="shared" si="152"/>
        <v>4500000</v>
      </c>
      <c r="AZ101" s="1616">
        <f t="shared" si="153"/>
        <v>1310313.6000000001</v>
      </c>
      <c r="BA101" s="805"/>
      <c r="BB101" s="1178"/>
    </row>
    <row r="102" spans="1:54" s="1421" customFormat="1" ht="18.75" customHeight="1" x14ac:dyDescent="0.25">
      <c r="A102" s="170">
        <v>51010</v>
      </c>
      <c r="B102" s="1424" t="s">
        <v>186</v>
      </c>
      <c r="C102" s="1546">
        <v>165000</v>
      </c>
      <c r="D102" s="2014">
        <v>191990</v>
      </c>
      <c r="E102" s="1576">
        <f t="shared" si="128"/>
        <v>26990</v>
      </c>
      <c r="F102" s="1550">
        <f t="shared" si="129"/>
        <v>16.357575757575749</v>
      </c>
      <c r="G102" s="1546">
        <v>165000</v>
      </c>
      <c r="H102" s="1611">
        <v>170062</v>
      </c>
      <c r="I102" s="1576">
        <f t="shared" si="130"/>
        <v>5062</v>
      </c>
      <c r="J102" s="1550">
        <f t="shared" si="131"/>
        <v>3.0678787878787972</v>
      </c>
      <c r="K102" s="1546">
        <f t="shared" si="154"/>
        <v>165000</v>
      </c>
      <c r="L102" s="1576">
        <f>VLOOKUP(A102,'[2]bALANCETE ORÇAMENTO'!$1:$1048576,7,0)</f>
        <v>194050</v>
      </c>
      <c r="M102" s="1576">
        <f t="shared" si="132"/>
        <v>29050</v>
      </c>
      <c r="N102" s="1550">
        <f t="shared" si="133"/>
        <v>17.606060606060602</v>
      </c>
      <c r="O102" s="1546">
        <f t="shared" si="155"/>
        <v>165000</v>
      </c>
      <c r="P102" s="1576"/>
      <c r="Q102" s="1576">
        <f t="shared" si="134"/>
        <v>-165000</v>
      </c>
      <c r="R102" s="1550">
        <f t="shared" si="135"/>
        <v>-100</v>
      </c>
      <c r="S102" s="1546">
        <f t="shared" si="156"/>
        <v>165000</v>
      </c>
      <c r="T102" s="1576"/>
      <c r="U102" s="1576">
        <f t="shared" si="136"/>
        <v>-165000</v>
      </c>
      <c r="V102" s="1550">
        <f t="shared" si="137"/>
        <v>-100</v>
      </c>
      <c r="W102" s="1546">
        <f t="shared" si="157"/>
        <v>165000</v>
      </c>
      <c r="X102" s="1576"/>
      <c r="Y102" s="1576">
        <f t="shared" si="138"/>
        <v>-165000</v>
      </c>
      <c r="Z102" s="1550">
        <f t="shared" si="139"/>
        <v>-100</v>
      </c>
      <c r="AA102" s="1546">
        <f t="shared" si="158"/>
        <v>165000</v>
      </c>
      <c r="AB102" s="1576"/>
      <c r="AC102" s="1576">
        <f t="shared" si="140"/>
        <v>-165000</v>
      </c>
      <c r="AD102" s="1550">
        <f t="shared" si="141"/>
        <v>-100</v>
      </c>
      <c r="AE102" s="1546">
        <f t="shared" si="159"/>
        <v>165000</v>
      </c>
      <c r="AF102" s="1576"/>
      <c r="AG102" s="1576">
        <f t="shared" si="142"/>
        <v>-165000</v>
      </c>
      <c r="AH102" s="1550">
        <f t="shared" si="143"/>
        <v>-100</v>
      </c>
      <c r="AI102" s="1546">
        <f t="shared" si="160"/>
        <v>165000</v>
      </c>
      <c r="AJ102" s="1576"/>
      <c r="AK102" s="1576">
        <f t="shared" si="144"/>
        <v>-165000</v>
      </c>
      <c r="AL102" s="1550">
        <f t="shared" si="145"/>
        <v>-100</v>
      </c>
      <c r="AM102" s="1546">
        <f t="shared" si="161"/>
        <v>165000</v>
      </c>
      <c r="AN102" s="1576"/>
      <c r="AO102" s="1576">
        <f t="shared" si="146"/>
        <v>-165000</v>
      </c>
      <c r="AP102" s="1550">
        <f t="shared" si="147"/>
        <v>-100</v>
      </c>
      <c r="AQ102" s="1546">
        <f t="shared" si="162"/>
        <v>165000</v>
      </c>
      <c r="AR102" s="1576"/>
      <c r="AS102" s="1576">
        <f t="shared" si="148"/>
        <v>-165000</v>
      </c>
      <c r="AT102" s="1550">
        <f t="shared" si="149"/>
        <v>-100</v>
      </c>
      <c r="AU102" s="1546">
        <f t="shared" si="163"/>
        <v>165000</v>
      </c>
      <c r="AV102" s="1576"/>
      <c r="AW102" s="1576">
        <f t="shared" si="150"/>
        <v>-165000</v>
      </c>
      <c r="AX102" s="1577">
        <f t="shared" si="151"/>
        <v>-100</v>
      </c>
      <c r="AY102" s="1236">
        <f t="shared" si="152"/>
        <v>1980000</v>
      </c>
      <c r="AZ102" s="1616">
        <f t="shared" si="153"/>
        <v>556102</v>
      </c>
      <c r="BA102" s="805"/>
      <c r="BB102" s="1178"/>
    </row>
    <row r="103" spans="1:54" s="1421" customFormat="1" ht="18.75" customHeight="1" x14ac:dyDescent="0.25">
      <c r="A103" s="170">
        <v>54957</v>
      </c>
      <c r="B103" s="1424" t="s">
        <v>3790</v>
      </c>
      <c r="C103" s="1546">
        <v>2500</v>
      </c>
      <c r="D103" s="2014">
        <v>6300.01</v>
      </c>
      <c r="E103" s="1576">
        <f t="shared" si="128"/>
        <v>3800.01</v>
      </c>
      <c r="F103" s="1550">
        <f t="shared" si="129"/>
        <v>152.00040000000001</v>
      </c>
      <c r="G103" s="1546">
        <v>2500</v>
      </c>
      <c r="H103" s="1611">
        <v>15900</v>
      </c>
      <c r="I103" s="1576">
        <f t="shared" si="130"/>
        <v>13400</v>
      </c>
      <c r="J103" s="1550">
        <f t="shared" si="131"/>
        <v>536</v>
      </c>
      <c r="K103" s="1546">
        <f t="shared" si="154"/>
        <v>2500</v>
      </c>
      <c r="L103" s="1576">
        <f>VLOOKUP(A103,'[2]bALANCETE ORÇAMENTO'!$1:$1048576,7,0)</f>
        <v>2000</v>
      </c>
      <c r="M103" s="1576">
        <f t="shared" si="132"/>
        <v>-500</v>
      </c>
      <c r="N103" s="1550">
        <f t="shared" si="133"/>
        <v>-19.999999999999996</v>
      </c>
      <c r="O103" s="1546">
        <f t="shared" si="155"/>
        <v>2500</v>
      </c>
      <c r="P103" s="1576"/>
      <c r="Q103" s="1576">
        <f t="shared" si="134"/>
        <v>-2500</v>
      </c>
      <c r="R103" s="1550">
        <f t="shared" si="135"/>
        <v>-100</v>
      </c>
      <c r="S103" s="1546">
        <f t="shared" si="156"/>
        <v>2500</v>
      </c>
      <c r="T103" s="1576"/>
      <c r="U103" s="1576">
        <f t="shared" si="136"/>
        <v>-2500</v>
      </c>
      <c r="V103" s="1550">
        <f t="shared" si="137"/>
        <v>-100</v>
      </c>
      <c r="W103" s="1546">
        <f t="shared" si="157"/>
        <v>2500</v>
      </c>
      <c r="X103" s="1576"/>
      <c r="Y103" s="1576">
        <f t="shared" si="138"/>
        <v>-2500</v>
      </c>
      <c r="Z103" s="1550">
        <f t="shared" si="139"/>
        <v>-100</v>
      </c>
      <c r="AA103" s="1546">
        <f t="shared" si="158"/>
        <v>2500</v>
      </c>
      <c r="AB103" s="1576"/>
      <c r="AC103" s="1576">
        <f t="shared" si="140"/>
        <v>-2500</v>
      </c>
      <c r="AD103" s="1550">
        <f t="shared" si="141"/>
        <v>-100</v>
      </c>
      <c r="AE103" s="1546">
        <f t="shared" si="159"/>
        <v>2500</v>
      </c>
      <c r="AF103" s="1576"/>
      <c r="AG103" s="1576">
        <f t="shared" si="142"/>
        <v>-2500</v>
      </c>
      <c r="AH103" s="1550">
        <f t="shared" si="143"/>
        <v>-100</v>
      </c>
      <c r="AI103" s="1546">
        <f t="shared" si="160"/>
        <v>2500</v>
      </c>
      <c r="AJ103" s="1576"/>
      <c r="AK103" s="1576">
        <f t="shared" si="144"/>
        <v>-2500</v>
      </c>
      <c r="AL103" s="1550">
        <f t="shared" si="145"/>
        <v>-100</v>
      </c>
      <c r="AM103" s="1546">
        <f t="shared" si="161"/>
        <v>2500</v>
      </c>
      <c r="AN103" s="1576"/>
      <c r="AO103" s="1576">
        <f t="shared" si="146"/>
        <v>-2500</v>
      </c>
      <c r="AP103" s="1550">
        <f t="shared" si="147"/>
        <v>-100</v>
      </c>
      <c r="AQ103" s="1546">
        <f t="shared" si="162"/>
        <v>2500</v>
      </c>
      <c r="AR103" s="1576"/>
      <c r="AS103" s="1576">
        <f t="shared" si="148"/>
        <v>-2500</v>
      </c>
      <c r="AT103" s="1550">
        <f t="shared" si="149"/>
        <v>-100</v>
      </c>
      <c r="AU103" s="1546">
        <f t="shared" si="163"/>
        <v>2500</v>
      </c>
      <c r="AV103" s="1576"/>
      <c r="AW103" s="1576">
        <f t="shared" si="150"/>
        <v>-2500</v>
      </c>
      <c r="AX103" s="1577">
        <f t="shared" si="151"/>
        <v>-100</v>
      </c>
      <c r="AY103" s="1236">
        <f t="shared" si="152"/>
        <v>30000</v>
      </c>
      <c r="AZ103" s="1616">
        <f t="shared" si="153"/>
        <v>24200.010000000002</v>
      </c>
      <c r="BA103" s="805"/>
      <c r="BB103" s="1178"/>
    </row>
    <row r="104" spans="1:54" s="1421" customFormat="1" ht="18.75" customHeight="1" x14ac:dyDescent="0.25">
      <c r="A104" s="170">
        <v>51011</v>
      </c>
      <c r="B104" s="1424" t="s">
        <v>187</v>
      </c>
      <c r="C104" s="1546">
        <v>295000</v>
      </c>
      <c r="D104" s="2014">
        <v>297230</v>
      </c>
      <c r="E104" s="1576">
        <f t="shared" si="128"/>
        <v>2230</v>
      </c>
      <c r="F104" s="1550">
        <f t="shared" si="129"/>
        <v>0.7559322033898308</v>
      </c>
      <c r="G104" s="1546">
        <v>295000</v>
      </c>
      <c r="H104" s="2071">
        <v>291294</v>
      </c>
      <c r="I104" s="1576">
        <f t="shared" si="130"/>
        <v>-3706</v>
      </c>
      <c r="J104" s="1550">
        <f t="shared" si="131"/>
        <v>-1.2562711864406828</v>
      </c>
      <c r="K104" s="1546">
        <f t="shared" si="154"/>
        <v>295000</v>
      </c>
      <c r="L104" s="1576">
        <f>VLOOKUP(A104,'[2]bALANCETE ORÇAMENTO'!$1:$1048576,7,0)</f>
        <v>321545</v>
      </c>
      <c r="M104" s="1576">
        <f t="shared" si="132"/>
        <v>26545</v>
      </c>
      <c r="N104" s="1550">
        <f t="shared" si="133"/>
        <v>8.9983050847457733</v>
      </c>
      <c r="O104" s="1546">
        <f t="shared" si="155"/>
        <v>295000</v>
      </c>
      <c r="P104" s="1576"/>
      <c r="Q104" s="1576">
        <f t="shared" si="134"/>
        <v>-295000</v>
      </c>
      <c r="R104" s="1550">
        <f t="shared" si="135"/>
        <v>-100</v>
      </c>
      <c r="S104" s="1546">
        <f t="shared" si="156"/>
        <v>295000</v>
      </c>
      <c r="T104" s="1576"/>
      <c r="U104" s="1576">
        <f t="shared" si="136"/>
        <v>-295000</v>
      </c>
      <c r="V104" s="1550">
        <f t="shared" si="137"/>
        <v>-100</v>
      </c>
      <c r="W104" s="1546">
        <f t="shared" si="157"/>
        <v>295000</v>
      </c>
      <c r="X104" s="1576"/>
      <c r="Y104" s="1576">
        <f t="shared" si="138"/>
        <v>-295000</v>
      </c>
      <c r="Z104" s="1550">
        <f t="shared" si="139"/>
        <v>-100</v>
      </c>
      <c r="AA104" s="1546">
        <f t="shared" si="158"/>
        <v>295000</v>
      </c>
      <c r="AB104" s="1576"/>
      <c r="AC104" s="1576">
        <f t="shared" si="140"/>
        <v>-295000</v>
      </c>
      <c r="AD104" s="1550">
        <f t="shared" si="141"/>
        <v>-100</v>
      </c>
      <c r="AE104" s="1546">
        <f t="shared" si="159"/>
        <v>295000</v>
      </c>
      <c r="AF104" s="1576"/>
      <c r="AG104" s="1576">
        <f t="shared" si="142"/>
        <v>-295000</v>
      </c>
      <c r="AH104" s="1550">
        <f t="shared" si="143"/>
        <v>-100</v>
      </c>
      <c r="AI104" s="1546">
        <f t="shared" si="160"/>
        <v>295000</v>
      </c>
      <c r="AJ104" s="1576"/>
      <c r="AK104" s="1576">
        <f t="shared" si="144"/>
        <v>-295000</v>
      </c>
      <c r="AL104" s="1550">
        <f t="shared" si="145"/>
        <v>-100</v>
      </c>
      <c r="AM104" s="1546">
        <f t="shared" si="161"/>
        <v>295000</v>
      </c>
      <c r="AN104" s="1576"/>
      <c r="AO104" s="1576">
        <f t="shared" si="146"/>
        <v>-295000</v>
      </c>
      <c r="AP104" s="1550">
        <f t="shared" si="147"/>
        <v>-100</v>
      </c>
      <c r="AQ104" s="1546">
        <f t="shared" si="162"/>
        <v>295000</v>
      </c>
      <c r="AR104" s="1576"/>
      <c r="AS104" s="1576">
        <f t="shared" si="148"/>
        <v>-295000</v>
      </c>
      <c r="AT104" s="1550">
        <f t="shared" si="149"/>
        <v>-100</v>
      </c>
      <c r="AU104" s="1546">
        <f t="shared" si="163"/>
        <v>295000</v>
      </c>
      <c r="AV104" s="1576"/>
      <c r="AW104" s="1576">
        <f t="shared" si="150"/>
        <v>-295000</v>
      </c>
      <c r="AX104" s="1577">
        <f t="shared" si="151"/>
        <v>-100</v>
      </c>
      <c r="AY104" s="1236">
        <f t="shared" si="152"/>
        <v>3540000</v>
      </c>
      <c r="AZ104" s="1616">
        <f t="shared" si="153"/>
        <v>910069</v>
      </c>
      <c r="BA104" s="805"/>
      <c r="BB104" s="1178"/>
    </row>
    <row r="105" spans="1:54" s="1421" customFormat="1" ht="18.75" customHeight="1" x14ac:dyDescent="0.25">
      <c r="A105" s="170">
        <v>12229</v>
      </c>
      <c r="B105" s="1424" t="s">
        <v>3783</v>
      </c>
      <c r="C105" s="1546">
        <v>310000</v>
      </c>
      <c r="D105" s="2014">
        <v>427487.82</v>
      </c>
      <c r="E105" s="1576">
        <f t="shared" si="128"/>
        <v>117487.82</v>
      </c>
      <c r="F105" s="1550">
        <f t="shared" si="129"/>
        <v>37.899296774193544</v>
      </c>
      <c r="G105" s="1546">
        <v>310000</v>
      </c>
      <c r="H105" s="2075">
        <v>392812.23</v>
      </c>
      <c r="I105" s="1576">
        <f t="shared" si="130"/>
        <v>82812.229999999981</v>
      </c>
      <c r="J105" s="1550">
        <f t="shared" si="131"/>
        <v>26.713622580645158</v>
      </c>
      <c r="K105" s="1546">
        <f t="shared" si="154"/>
        <v>310000</v>
      </c>
      <c r="L105" s="1576">
        <f>VLOOKUP(A105,'[2]bALANCETE ORÇAMENTO'!$1:$1048576,7,0)</f>
        <v>420901.42</v>
      </c>
      <c r="M105" s="1576">
        <f t="shared" si="132"/>
        <v>110901.41999999998</v>
      </c>
      <c r="N105" s="1550">
        <f t="shared" si="133"/>
        <v>35.774651612903227</v>
      </c>
      <c r="O105" s="1546">
        <f t="shared" si="155"/>
        <v>310000</v>
      </c>
      <c r="P105" s="1576"/>
      <c r="Q105" s="1576">
        <f t="shared" si="134"/>
        <v>-310000</v>
      </c>
      <c r="R105" s="1550">
        <f t="shared" si="135"/>
        <v>-100</v>
      </c>
      <c r="S105" s="1546">
        <f t="shared" si="156"/>
        <v>310000</v>
      </c>
      <c r="T105" s="1576"/>
      <c r="U105" s="1576">
        <f t="shared" si="136"/>
        <v>-310000</v>
      </c>
      <c r="V105" s="1550">
        <f t="shared" si="137"/>
        <v>-100</v>
      </c>
      <c r="W105" s="1546">
        <f t="shared" si="157"/>
        <v>310000</v>
      </c>
      <c r="X105" s="1576"/>
      <c r="Y105" s="1576">
        <f t="shared" si="138"/>
        <v>-310000</v>
      </c>
      <c r="Z105" s="1550">
        <f t="shared" si="139"/>
        <v>-100</v>
      </c>
      <c r="AA105" s="1546">
        <f t="shared" si="158"/>
        <v>310000</v>
      </c>
      <c r="AB105" s="1576"/>
      <c r="AC105" s="1576">
        <f t="shared" si="140"/>
        <v>-310000</v>
      </c>
      <c r="AD105" s="1550">
        <f t="shared" si="141"/>
        <v>-100</v>
      </c>
      <c r="AE105" s="1546">
        <f t="shared" si="159"/>
        <v>310000</v>
      </c>
      <c r="AF105" s="1576"/>
      <c r="AG105" s="1576">
        <f t="shared" si="142"/>
        <v>-310000</v>
      </c>
      <c r="AH105" s="1550">
        <f t="shared" si="143"/>
        <v>-100</v>
      </c>
      <c r="AI105" s="1546">
        <f t="shared" si="160"/>
        <v>310000</v>
      </c>
      <c r="AJ105" s="1576"/>
      <c r="AK105" s="1576">
        <f t="shared" si="144"/>
        <v>-310000</v>
      </c>
      <c r="AL105" s="1550">
        <f t="shared" si="145"/>
        <v>-100</v>
      </c>
      <c r="AM105" s="1546">
        <f t="shared" si="161"/>
        <v>310000</v>
      </c>
      <c r="AN105" s="1576"/>
      <c r="AO105" s="1576">
        <f t="shared" si="146"/>
        <v>-310000</v>
      </c>
      <c r="AP105" s="1550">
        <f t="shared" si="147"/>
        <v>-100</v>
      </c>
      <c r="AQ105" s="1546">
        <f t="shared" si="162"/>
        <v>310000</v>
      </c>
      <c r="AR105" s="1576"/>
      <c r="AS105" s="1576">
        <f t="shared" si="148"/>
        <v>-310000</v>
      </c>
      <c r="AT105" s="1550">
        <f t="shared" si="149"/>
        <v>-100</v>
      </c>
      <c r="AU105" s="1546">
        <f t="shared" si="163"/>
        <v>310000</v>
      </c>
      <c r="AV105" s="1576"/>
      <c r="AW105" s="1576">
        <f t="shared" si="150"/>
        <v>-310000</v>
      </c>
      <c r="AX105" s="1577">
        <f t="shared" si="151"/>
        <v>-100</v>
      </c>
      <c r="AY105" s="1236">
        <f t="shared" si="152"/>
        <v>3720000</v>
      </c>
      <c r="AZ105" s="1616">
        <f t="shared" si="153"/>
        <v>1241201.47</v>
      </c>
      <c r="BA105" s="805"/>
      <c r="BB105" s="1177"/>
    </row>
    <row r="106" spans="1:54" s="1421" customFormat="1" ht="18.75" customHeight="1" x14ac:dyDescent="0.25">
      <c r="A106" s="170">
        <v>12202</v>
      </c>
      <c r="B106" s="1424" t="s">
        <v>3785</v>
      </c>
      <c r="C106" s="1546">
        <v>110000</v>
      </c>
      <c r="D106" s="2014">
        <v>116815.16</v>
      </c>
      <c r="E106" s="1576">
        <f t="shared" si="128"/>
        <v>6815.1600000000035</v>
      </c>
      <c r="F106" s="1550">
        <f t="shared" si="129"/>
        <v>6.1956000000000122</v>
      </c>
      <c r="G106" s="1546">
        <v>110000</v>
      </c>
      <c r="H106" s="2075">
        <v>104159.2</v>
      </c>
      <c r="I106" s="1576">
        <f t="shared" si="130"/>
        <v>-5840.8000000000029</v>
      </c>
      <c r="J106" s="1550">
        <f t="shared" si="131"/>
        <v>-5.3098181818181818</v>
      </c>
      <c r="K106" s="1546">
        <f t="shared" si="154"/>
        <v>110000</v>
      </c>
      <c r="L106" s="1576">
        <f>VLOOKUP(A106,'[2]bALANCETE ORÇAMENTO'!$1:$1048576,7,0)</f>
        <v>117440</v>
      </c>
      <c r="M106" s="1576">
        <f t="shared" si="132"/>
        <v>7440</v>
      </c>
      <c r="N106" s="1550">
        <f t="shared" si="133"/>
        <v>6.7636363636363717</v>
      </c>
      <c r="O106" s="1546">
        <f t="shared" si="155"/>
        <v>110000</v>
      </c>
      <c r="P106" s="1576"/>
      <c r="Q106" s="1576">
        <f t="shared" si="134"/>
        <v>-110000</v>
      </c>
      <c r="R106" s="1550">
        <f t="shared" si="135"/>
        <v>-100</v>
      </c>
      <c r="S106" s="1546">
        <f t="shared" si="156"/>
        <v>110000</v>
      </c>
      <c r="T106" s="1576"/>
      <c r="U106" s="1576">
        <f t="shared" si="136"/>
        <v>-110000</v>
      </c>
      <c r="V106" s="1550">
        <f t="shared" si="137"/>
        <v>-100</v>
      </c>
      <c r="W106" s="1546">
        <f t="shared" si="157"/>
        <v>110000</v>
      </c>
      <c r="X106" s="1576"/>
      <c r="Y106" s="1576">
        <f t="shared" si="138"/>
        <v>-110000</v>
      </c>
      <c r="Z106" s="1550">
        <f t="shared" si="139"/>
        <v>-100</v>
      </c>
      <c r="AA106" s="1546">
        <f t="shared" si="158"/>
        <v>110000</v>
      </c>
      <c r="AB106" s="1576"/>
      <c r="AC106" s="1576">
        <f t="shared" si="140"/>
        <v>-110000</v>
      </c>
      <c r="AD106" s="1550">
        <f t="shared" si="141"/>
        <v>-100</v>
      </c>
      <c r="AE106" s="1546">
        <f t="shared" si="159"/>
        <v>110000</v>
      </c>
      <c r="AF106" s="1576"/>
      <c r="AG106" s="1576">
        <f t="shared" si="142"/>
        <v>-110000</v>
      </c>
      <c r="AH106" s="1550">
        <f t="shared" si="143"/>
        <v>-100</v>
      </c>
      <c r="AI106" s="1546">
        <f t="shared" si="160"/>
        <v>110000</v>
      </c>
      <c r="AJ106" s="1576"/>
      <c r="AK106" s="1576">
        <f t="shared" si="144"/>
        <v>-110000</v>
      </c>
      <c r="AL106" s="1550">
        <f t="shared" si="145"/>
        <v>-100</v>
      </c>
      <c r="AM106" s="1546">
        <f t="shared" si="161"/>
        <v>110000</v>
      </c>
      <c r="AN106" s="1576"/>
      <c r="AO106" s="1576">
        <f t="shared" si="146"/>
        <v>-110000</v>
      </c>
      <c r="AP106" s="1550">
        <f t="shared" si="147"/>
        <v>-100</v>
      </c>
      <c r="AQ106" s="1546">
        <f t="shared" si="162"/>
        <v>110000</v>
      </c>
      <c r="AR106" s="1576"/>
      <c r="AS106" s="1576">
        <f t="shared" si="148"/>
        <v>-110000</v>
      </c>
      <c r="AT106" s="1550">
        <f t="shared" si="149"/>
        <v>-100</v>
      </c>
      <c r="AU106" s="1546">
        <f t="shared" si="163"/>
        <v>110000</v>
      </c>
      <c r="AV106" s="1576"/>
      <c r="AW106" s="1576">
        <f t="shared" si="150"/>
        <v>-110000</v>
      </c>
      <c r="AX106" s="1577">
        <f t="shared" si="151"/>
        <v>-100</v>
      </c>
      <c r="AY106" s="1236">
        <f t="shared" si="152"/>
        <v>1320000</v>
      </c>
      <c r="AZ106" s="1616">
        <f t="shared" si="153"/>
        <v>338414.36</v>
      </c>
      <c r="BA106" s="805"/>
      <c r="BB106" s="1177"/>
    </row>
    <row r="107" spans="1:54" s="1421" customFormat="1" ht="18.75" customHeight="1" x14ac:dyDescent="0.25">
      <c r="A107" s="170">
        <v>52563</v>
      </c>
      <c r="B107" s="1424" t="s">
        <v>60</v>
      </c>
      <c r="C107" s="1546">
        <v>20000</v>
      </c>
      <c r="D107" s="2014">
        <v>18126</v>
      </c>
      <c r="E107" s="1576">
        <f t="shared" si="128"/>
        <v>-1874</v>
      </c>
      <c r="F107" s="1550">
        <f t="shared" si="129"/>
        <v>-9.370000000000001</v>
      </c>
      <c r="G107" s="1546">
        <v>20000</v>
      </c>
      <c r="H107" s="2075">
        <v>17686</v>
      </c>
      <c r="I107" s="1576">
        <f t="shared" si="130"/>
        <v>-2314</v>
      </c>
      <c r="J107" s="1550">
        <f t="shared" si="131"/>
        <v>-11.570000000000002</v>
      </c>
      <c r="K107" s="1546">
        <f t="shared" si="154"/>
        <v>20000</v>
      </c>
      <c r="L107" s="1576">
        <f>VLOOKUP(A107,'[2]bALANCETE ORÇAMENTO'!$1:$1048576,7,0)</f>
        <v>18086</v>
      </c>
      <c r="M107" s="1576">
        <f t="shared" si="132"/>
        <v>-1914</v>
      </c>
      <c r="N107" s="1550">
        <f t="shared" si="133"/>
        <v>-9.57</v>
      </c>
      <c r="O107" s="1546">
        <f t="shared" si="155"/>
        <v>20000</v>
      </c>
      <c r="P107" s="1576"/>
      <c r="Q107" s="1576">
        <f t="shared" si="134"/>
        <v>-20000</v>
      </c>
      <c r="R107" s="1550">
        <f t="shared" si="135"/>
        <v>-100</v>
      </c>
      <c r="S107" s="1546">
        <f t="shared" si="156"/>
        <v>20000</v>
      </c>
      <c r="T107" s="1576"/>
      <c r="U107" s="1576">
        <f t="shared" si="136"/>
        <v>-20000</v>
      </c>
      <c r="V107" s="1550">
        <f t="shared" si="137"/>
        <v>-100</v>
      </c>
      <c r="W107" s="1546">
        <f t="shared" si="157"/>
        <v>20000</v>
      </c>
      <c r="X107" s="1576"/>
      <c r="Y107" s="1576">
        <f t="shared" si="138"/>
        <v>-20000</v>
      </c>
      <c r="Z107" s="1550">
        <f t="shared" si="139"/>
        <v>-100</v>
      </c>
      <c r="AA107" s="1546">
        <f t="shared" si="158"/>
        <v>20000</v>
      </c>
      <c r="AB107" s="1576"/>
      <c r="AC107" s="1576">
        <f t="shared" si="140"/>
        <v>-20000</v>
      </c>
      <c r="AD107" s="1550">
        <f t="shared" si="141"/>
        <v>-100</v>
      </c>
      <c r="AE107" s="1546">
        <f t="shared" si="159"/>
        <v>20000</v>
      </c>
      <c r="AF107" s="1576"/>
      <c r="AG107" s="1576">
        <f t="shared" si="142"/>
        <v>-20000</v>
      </c>
      <c r="AH107" s="1550">
        <f t="shared" si="143"/>
        <v>-100</v>
      </c>
      <c r="AI107" s="1546">
        <f t="shared" si="160"/>
        <v>20000</v>
      </c>
      <c r="AJ107" s="1576"/>
      <c r="AK107" s="1576">
        <f t="shared" si="144"/>
        <v>-20000</v>
      </c>
      <c r="AL107" s="1550">
        <f t="shared" si="145"/>
        <v>-100</v>
      </c>
      <c r="AM107" s="1546">
        <f t="shared" si="161"/>
        <v>20000</v>
      </c>
      <c r="AN107" s="1576"/>
      <c r="AO107" s="1576">
        <f t="shared" si="146"/>
        <v>-20000</v>
      </c>
      <c r="AP107" s="1550">
        <f t="shared" si="147"/>
        <v>-100</v>
      </c>
      <c r="AQ107" s="1546">
        <f t="shared" si="162"/>
        <v>20000</v>
      </c>
      <c r="AR107" s="1576"/>
      <c r="AS107" s="1576">
        <f t="shared" si="148"/>
        <v>-20000</v>
      </c>
      <c r="AT107" s="1550">
        <f t="shared" si="149"/>
        <v>-100</v>
      </c>
      <c r="AU107" s="1546">
        <f t="shared" si="163"/>
        <v>20000</v>
      </c>
      <c r="AV107" s="1576"/>
      <c r="AW107" s="1576">
        <f t="shared" si="150"/>
        <v>-20000</v>
      </c>
      <c r="AX107" s="1577">
        <f t="shared" si="151"/>
        <v>-100</v>
      </c>
      <c r="AY107" s="1236">
        <f t="shared" si="152"/>
        <v>240000</v>
      </c>
      <c r="AZ107" s="1616">
        <f t="shared" si="153"/>
        <v>53898</v>
      </c>
      <c r="BA107" s="805"/>
      <c r="BB107" s="1178"/>
    </row>
    <row r="108" spans="1:54" s="1421" customFormat="1" ht="18.75" customHeight="1" x14ac:dyDescent="0.25">
      <c r="A108" s="1123">
        <v>51819</v>
      </c>
      <c r="B108" s="1424" t="s">
        <v>189</v>
      </c>
      <c r="C108" s="1546">
        <v>700</v>
      </c>
      <c r="D108" s="2014">
        <v>343.03</v>
      </c>
      <c r="E108" s="1576">
        <f t="shared" si="128"/>
        <v>-356.97</v>
      </c>
      <c r="F108" s="1236">
        <f t="shared" si="129"/>
        <v>-50.995714285714286</v>
      </c>
      <c r="G108" s="1546">
        <v>700</v>
      </c>
      <c r="H108" s="1611">
        <v>280.2</v>
      </c>
      <c r="I108" s="1576">
        <f t="shared" si="130"/>
        <v>-419.8</v>
      </c>
      <c r="J108" s="1236">
        <f t="shared" si="131"/>
        <v>-59.971428571428575</v>
      </c>
      <c r="K108" s="1546">
        <f t="shared" si="154"/>
        <v>700</v>
      </c>
      <c r="L108" s="1576">
        <f>VLOOKUP(A108,'[2]bALANCETE ORÇAMENTO'!$1:$1048576,7,0)</f>
        <v>268.8</v>
      </c>
      <c r="M108" s="1576">
        <f t="shared" si="132"/>
        <v>-431.2</v>
      </c>
      <c r="N108" s="1236">
        <f t="shared" si="133"/>
        <v>-61.6</v>
      </c>
      <c r="O108" s="1546">
        <f t="shared" si="155"/>
        <v>700</v>
      </c>
      <c r="P108" s="1576"/>
      <c r="Q108" s="1576">
        <f t="shared" si="134"/>
        <v>-700</v>
      </c>
      <c r="R108" s="1236">
        <f t="shared" si="135"/>
        <v>-100</v>
      </c>
      <c r="S108" s="1546">
        <f t="shared" si="156"/>
        <v>700</v>
      </c>
      <c r="T108" s="1576"/>
      <c r="U108" s="1576">
        <f t="shared" si="136"/>
        <v>-700</v>
      </c>
      <c r="V108" s="1236">
        <f t="shared" si="137"/>
        <v>-100</v>
      </c>
      <c r="W108" s="1646">
        <f t="shared" si="157"/>
        <v>700</v>
      </c>
      <c r="X108" s="1647"/>
      <c r="Y108" s="1647">
        <f t="shared" si="138"/>
        <v>-700</v>
      </c>
      <c r="Z108" s="1648">
        <f t="shared" si="139"/>
        <v>-100</v>
      </c>
      <c r="AA108" s="2522">
        <f t="shared" si="158"/>
        <v>700</v>
      </c>
      <c r="AB108" s="1576"/>
      <c r="AC108" s="1576">
        <f t="shared" si="140"/>
        <v>-700</v>
      </c>
      <c r="AD108" s="2533">
        <f t="shared" si="141"/>
        <v>-100</v>
      </c>
      <c r="AE108" s="2522">
        <f t="shared" si="159"/>
        <v>700</v>
      </c>
      <c r="AF108" s="1576"/>
      <c r="AG108" s="1576">
        <f t="shared" si="142"/>
        <v>-700</v>
      </c>
      <c r="AH108" s="1236">
        <f t="shared" si="143"/>
        <v>-100</v>
      </c>
      <c r="AI108" s="1546">
        <f t="shared" si="160"/>
        <v>700</v>
      </c>
      <c r="AJ108" s="1576"/>
      <c r="AK108" s="1576">
        <f t="shared" si="144"/>
        <v>-700</v>
      </c>
      <c r="AL108" s="1236">
        <f t="shared" si="145"/>
        <v>-100</v>
      </c>
      <c r="AM108" s="1546">
        <f t="shared" si="161"/>
        <v>700</v>
      </c>
      <c r="AN108" s="1576"/>
      <c r="AO108" s="1576">
        <f t="shared" si="146"/>
        <v>-700</v>
      </c>
      <c r="AP108" s="1236">
        <f t="shared" si="147"/>
        <v>-100</v>
      </c>
      <c r="AQ108" s="1646">
        <f t="shared" si="162"/>
        <v>700</v>
      </c>
      <c r="AR108" s="1647"/>
      <c r="AS108" s="1647">
        <f t="shared" si="148"/>
        <v>-700</v>
      </c>
      <c r="AT108" s="1648">
        <f t="shared" si="149"/>
        <v>-100</v>
      </c>
      <c r="AU108" s="1546">
        <f t="shared" si="163"/>
        <v>700</v>
      </c>
      <c r="AV108" s="1576"/>
      <c r="AW108" s="1576">
        <f t="shared" si="150"/>
        <v>-700</v>
      </c>
      <c r="AX108" s="1577">
        <f t="shared" si="151"/>
        <v>-100</v>
      </c>
      <c r="AY108" s="2062">
        <f t="shared" si="152"/>
        <v>8400</v>
      </c>
      <c r="AZ108" s="1616">
        <f t="shared" si="153"/>
        <v>892.03</v>
      </c>
      <c r="BA108" s="805"/>
      <c r="BB108" s="1178"/>
    </row>
    <row r="109" spans="1:54" s="1421" customFormat="1" ht="18.75" customHeight="1" x14ac:dyDescent="0.25">
      <c r="A109" s="170">
        <v>12207</v>
      </c>
      <c r="B109" s="332" t="s">
        <v>179</v>
      </c>
      <c r="C109" s="1545">
        <v>20000</v>
      </c>
      <c r="D109" s="2024">
        <v>13263.65</v>
      </c>
      <c r="E109" s="1649">
        <f>D109-C109</f>
        <v>-6736.35</v>
      </c>
      <c r="F109" s="1549">
        <f t="shared" ref="F109:F119" si="164">((D109/C109)-1)*100</f>
        <v>-33.681750000000001</v>
      </c>
      <c r="G109" s="1545">
        <v>20000</v>
      </c>
      <c r="H109" s="2071">
        <v>11880.22</v>
      </c>
      <c r="I109" s="1649">
        <f t="shared" ref="I109:I130" si="165">H109-G109</f>
        <v>-8119.7800000000007</v>
      </c>
      <c r="J109" s="1549">
        <f t="shared" ref="J109:J119" si="166">((H109/G109)-1)*100</f>
        <v>-40.598900000000008</v>
      </c>
      <c r="K109" s="1545">
        <f t="shared" ref="K109:K130" si="167">G109</f>
        <v>20000</v>
      </c>
      <c r="L109" s="1649">
        <f>VLOOKUP(A109,'[2]bALANCETE ORÇAMENTO'!$1:$1048576,7,0)</f>
        <v>10631.02</v>
      </c>
      <c r="M109" s="1649">
        <f>L109-K109</f>
        <v>-9368.98</v>
      </c>
      <c r="N109" s="1549">
        <f t="shared" ref="N109:N119" si="168">((L109/K109)-1)*100</f>
        <v>-46.844900000000003</v>
      </c>
      <c r="O109" s="1545">
        <f t="shared" ref="O109:O130" si="169">K109</f>
        <v>20000</v>
      </c>
      <c r="P109" s="1649"/>
      <c r="Q109" s="1649">
        <f>P109-O109</f>
        <v>-20000</v>
      </c>
      <c r="R109" s="1549">
        <f t="shared" ref="R109:R119" si="170">((P109/O109)-1)*100</f>
        <v>-100</v>
      </c>
      <c r="S109" s="1545">
        <f t="shared" ref="S109:S130" si="171">O109</f>
        <v>20000</v>
      </c>
      <c r="T109" s="1649"/>
      <c r="U109" s="1649">
        <f>T109-S109</f>
        <v>-20000</v>
      </c>
      <c r="V109" s="1549">
        <f t="shared" ref="V109:V119" si="172">((T109/S109)-1)*100</f>
        <v>-100</v>
      </c>
      <c r="W109" s="2522">
        <f t="shared" si="157"/>
        <v>20000</v>
      </c>
      <c r="X109" s="1576"/>
      <c r="Y109" s="1576">
        <f>X109-W109</f>
        <v>-20000</v>
      </c>
      <c r="Z109" s="2533">
        <f t="shared" ref="Z109:Z119" si="173">((X109/W109)-1)*100</f>
        <v>-100</v>
      </c>
      <c r="AA109" s="1549">
        <f t="shared" si="158"/>
        <v>20000</v>
      </c>
      <c r="AB109" s="1649"/>
      <c r="AC109" s="1649">
        <f>AB109-AA109</f>
        <v>-20000</v>
      </c>
      <c r="AD109" s="1549">
        <f t="shared" ref="AD109:AD119" si="174">((AB109/AA109)-1)*100</f>
        <v>-100</v>
      </c>
      <c r="AE109" s="1545">
        <f t="shared" si="159"/>
        <v>20000</v>
      </c>
      <c r="AF109" s="1649"/>
      <c r="AG109" s="1649">
        <f>AF109-AE109</f>
        <v>-20000</v>
      </c>
      <c r="AH109" s="1549">
        <f t="shared" ref="AH109:AH119" si="175">((AF109/AE109)-1)*100</f>
        <v>-100</v>
      </c>
      <c r="AI109" s="1545">
        <f t="shared" si="160"/>
        <v>20000</v>
      </c>
      <c r="AJ109" s="1649"/>
      <c r="AK109" s="1649">
        <f>AJ109-AI109</f>
        <v>-20000</v>
      </c>
      <c r="AL109" s="1549">
        <f t="shared" ref="AL109:AL119" si="176">((AJ109/AI109)-1)*100</f>
        <v>-100</v>
      </c>
      <c r="AM109" s="1545">
        <f t="shared" si="161"/>
        <v>20000</v>
      </c>
      <c r="AN109" s="1649"/>
      <c r="AO109" s="1649">
        <f>AN109-AM109</f>
        <v>-20000</v>
      </c>
      <c r="AP109" s="1549">
        <f t="shared" ref="AP109:AP119" si="177">((AN109/AM109)-1)*100</f>
        <v>-100</v>
      </c>
      <c r="AQ109" s="2522">
        <f t="shared" si="162"/>
        <v>20000</v>
      </c>
      <c r="AR109" s="1576"/>
      <c r="AS109" s="1576">
        <f>AR109-AQ109</f>
        <v>-20000</v>
      </c>
      <c r="AT109" s="2533">
        <f t="shared" ref="AT109:AT119" si="178">((AR109/AQ109)-1)*100</f>
        <v>-100</v>
      </c>
      <c r="AU109" s="1549">
        <f t="shared" si="163"/>
        <v>20000</v>
      </c>
      <c r="AV109" s="1649"/>
      <c r="AW109" s="1649">
        <f>AV109-AU109</f>
        <v>-20000</v>
      </c>
      <c r="AX109" s="2192">
        <f t="shared" ref="AX109:AX119" si="179">((AV109/AU109)-1)*100</f>
        <v>-100</v>
      </c>
      <c r="AY109" s="1235">
        <f t="shared" ref="AY109:AY130" si="180">C109+G109+K109+O109+S109+W109+AA109+AE109+AI109+AM109+AQ109+AU109</f>
        <v>240000</v>
      </c>
      <c r="AZ109" s="1632">
        <f t="shared" ref="AZ109:AZ130" si="181">D109+H109+L109+P109+T109+X109+AB109+AF109+AJ109+AN109+AR109+AV109</f>
        <v>35774.89</v>
      </c>
      <c r="BA109" s="805"/>
      <c r="BB109" s="1178"/>
    </row>
    <row r="110" spans="1:54" s="1421" customFormat="1" ht="18.75" customHeight="1" x14ac:dyDescent="0.25">
      <c r="A110" s="170">
        <v>53920</v>
      </c>
      <c r="B110" s="1424" t="s">
        <v>3630</v>
      </c>
      <c r="C110" s="1546">
        <v>15000</v>
      </c>
      <c r="D110" s="2014">
        <v>11000</v>
      </c>
      <c r="E110" s="1576">
        <f>D110-C110</f>
        <v>-4000</v>
      </c>
      <c r="F110" s="1550">
        <f t="shared" si="164"/>
        <v>-26.666666666666671</v>
      </c>
      <c r="G110" s="1546">
        <v>15000</v>
      </c>
      <c r="H110" s="1611">
        <v>11000</v>
      </c>
      <c r="I110" s="1576">
        <f t="shared" si="165"/>
        <v>-4000</v>
      </c>
      <c r="J110" s="1550">
        <f t="shared" si="166"/>
        <v>-26.666666666666671</v>
      </c>
      <c r="K110" s="1546">
        <f t="shared" si="167"/>
        <v>15000</v>
      </c>
      <c r="L110" s="1576">
        <f>VLOOKUP(A110,'[2]bALANCETE ORÇAMENTO'!$1:$1048576,7,0)</f>
        <v>11000</v>
      </c>
      <c r="M110" s="1576">
        <f>L110-K110</f>
        <v>-4000</v>
      </c>
      <c r="N110" s="1550">
        <f t="shared" si="168"/>
        <v>-26.666666666666671</v>
      </c>
      <c r="O110" s="1546">
        <f t="shared" si="169"/>
        <v>15000</v>
      </c>
      <c r="P110" s="1576"/>
      <c r="Q110" s="1576">
        <f>P110-O110</f>
        <v>-15000</v>
      </c>
      <c r="R110" s="1550">
        <f t="shared" si="170"/>
        <v>-100</v>
      </c>
      <c r="S110" s="1546">
        <f t="shared" si="171"/>
        <v>15000</v>
      </c>
      <c r="T110" s="1576"/>
      <c r="U110" s="1576">
        <f>T110-S110</f>
        <v>-15000</v>
      </c>
      <c r="V110" s="1550">
        <f t="shared" si="172"/>
        <v>-100</v>
      </c>
      <c r="W110" s="1546">
        <f t="shared" si="157"/>
        <v>15000</v>
      </c>
      <c r="X110" s="1576"/>
      <c r="Y110" s="1576">
        <f>X110-W110</f>
        <v>-15000</v>
      </c>
      <c r="Z110" s="1550">
        <f t="shared" si="173"/>
        <v>-100</v>
      </c>
      <c r="AA110" s="1546">
        <f t="shared" si="158"/>
        <v>15000</v>
      </c>
      <c r="AB110" s="1576"/>
      <c r="AC110" s="1576">
        <f>AB110-AA110</f>
        <v>-15000</v>
      </c>
      <c r="AD110" s="1550">
        <f t="shared" si="174"/>
        <v>-100</v>
      </c>
      <c r="AE110" s="1546">
        <f t="shared" si="159"/>
        <v>15000</v>
      </c>
      <c r="AF110" s="1576"/>
      <c r="AG110" s="1576">
        <f>AF110-AE110</f>
        <v>-15000</v>
      </c>
      <c r="AH110" s="1550">
        <f t="shared" si="175"/>
        <v>-100</v>
      </c>
      <c r="AI110" s="1546">
        <f t="shared" si="160"/>
        <v>15000</v>
      </c>
      <c r="AJ110" s="1576"/>
      <c r="AK110" s="1576">
        <f>AJ110-AI110</f>
        <v>-15000</v>
      </c>
      <c r="AL110" s="1550">
        <f t="shared" si="176"/>
        <v>-100</v>
      </c>
      <c r="AM110" s="1546">
        <f t="shared" si="161"/>
        <v>15000</v>
      </c>
      <c r="AN110" s="1576"/>
      <c r="AO110" s="1576">
        <f>AN110-AM110</f>
        <v>-15000</v>
      </c>
      <c r="AP110" s="1550">
        <f t="shared" si="177"/>
        <v>-100</v>
      </c>
      <c r="AQ110" s="1546">
        <f t="shared" si="162"/>
        <v>15000</v>
      </c>
      <c r="AR110" s="1576"/>
      <c r="AS110" s="1576">
        <f>AR110-AQ110</f>
        <v>-15000</v>
      </c>
      <c r="AT110" s="1550">
        <f t="shared" si="178"/>
        <v>-100</v>
      </c>
      <c r="AU110" s="1546">
        <f t="shared" si="163"/>
        <v>15000</v>
      </c>
      <c r="AV110" s="1576"/>
      <c r="AW110" s="1576">
        <f>AV110-AU110</f>
        <v>-15000</v>
      </c>
      <c r="AX110" s="1577">
        <f t="shared" si="179"/>
        <v>-100</v>
      </c>
      <c r="AY110" s="1236">
        <f t="shared" si="180"/>
        <v>180000</v>
      </c>
      <c r="AZ110" s="1616">
        <f t="shared" si="181"/>
        <v>33000</v>
      </c>
      <c r="BA110" s="805"/>
      <c r="BB110" s="1178"/>
    </row>
    <row r="111" spans="1:54" s="1421" customFormat="1" ht="18.75" customHeight="1" x14ac:dyDescent="0.25">
      <c r="A111" s="170">
        <v>53921</v>
      </c>
      <c r="B111" s="1424" t="s">
        <v>3791</v>
      </c>
      <c r="C111" s="1546">
        <v>8000</v>
      </c>
      <c r="D111" s="2014">
        <v>2000</v>
      </c>
      <c r="E111" s="1576">
        <f>D111-C111</f>
        <v>-6000</v>
      </c>
      <c r="F111" s="1550">
        <f t="shared" si="164"/>
        <v>-75</v>
      </c>
      <c r="G111" s="1546">
        <v>8000</v>
      </c>
      <c r="H111" s="1611">
        <v>16014</v>
      </c>
      <c r="I111" s="1576">
        <f t="shared" si="165"/>
        <v>8014</v>
      </c>
      <c r="J111" s="1550">
        <f t="shared" si="166"/>
        <v>100.175</v>
      </c>
      <c r="K111" s="1546">
        <f t="shared" si="167"/>
        <v>8000</v>
      </c>
      <c r="L111" s="1576">
        <f>VLOOKUP(A111,'[2]bALANCETE ORÇAMENTO'!$1:$1048576,7,0)</f>
        <v>18016</v>
      </c>
      <c r="M111" s="1576">
        <f>L111-K111</f>
        <v>10016</v>
      </c>
      <c r="N111" s="1550">
        <f t="shared" si="168"/>
        <v>125.19999999999997</v>
      </c>
      <c r="O111" s="1546">
        <f t="shared" si="169"/>
        <v>8000</v>
      </c>
      <c r="P111" s="1576"/>
      <c r="Q111" s="1576">
        <f>P111-O111</f>
        <v>-8000</v>
      </c>
      <c r="R111" s="1550">
        <f t="shared" si="170"/>
        <v>-100</v>
      </c>
      <c r="S111" s="1546">
        <f t="shared" si="171"/>
        <v>8000</v>
      </c>
      <c r="T111" s="1576"/>
      <c r="U111" s="1576">
        <f>T111-S111</f>
        <v>-8000</v>
      </c>
      <c r="V111" s="1550">
        <f t="shared" si="172"/>
        <v>-100</v>
      </c>
      <c r="W111" s="1546">
        <f t="shared" si="157"/>
        <v>8000</v>
      </c>
      <c r="X111" s="1576"/>
      <c r="Y111" s="1576">
        <f>X111-W111</f>
        <v>-8000</v>
      </c>
      <c r="Z111" s="1550">
        <f t="shared" si="173"/>
        <v>-100</v>
      </c>
      <c r="AA111" s="1546">
        <f t="shared" si="158"/>
        <v>8000</v>
      </c>
      <c r="AB111" s="1576"/>
      <c r="AC111" s="1576">
        <f>AB111-AA111</f>
        <v>-8000</v>
      </c>
      <c r="AD111" s="1550">
        <f t="shared" si="174"/>
        <v>-100</v>
      </c>
      <c r="AE111" s="1546">
        <f t="shared" si="159"/>
        <v>8000</v>
      </c>
      <c r="AF111" s="1576"/>
      <c r="AG111" s="1576">
        <f>AF111-AE111</f>
        <v>-8000</v>
      </c>
      <c r="AH111" s="1550">
        <f t="shared" si="175"/>
        <v>-100</v>
      </c>
      <c r="AI111" s="1546">
        <f t="shared" si="160"/>
        <v>8000</v>
      </c>
      <c r="AJ111" s="1576"/>
      <c r="AK111" s="1576">
        <f>AJ111-AI111</f>
        <v>-8000</v>
      </c>
      <c r="AL111" s="1550">
        <f t="shared" si="176"/>
        <v>-100</v>
      </c>
      <c r="AM111" s="1546">
        <f t="shared" si="161"/>
        <v>8000</v>
      </c>
      <c r="AN111" s="1576"/>
      <c r="AO111" s="1576">
        <f>AN111-AM111</f>
        <v>-8000</v>
      </c>
      <c r="AP111" s="1550">
        <f t="shared" si="177"/>
        <v>-100</v>
      </c>
      <c r="AQ111" s="1546">
        <f t="shared" si="162"/>
        <v>8000</v>
      </c>
      <c r="AR111" s="1576"/>
      <c r="AS111" s="1576">
        <f>AR111-AQ111</f>
        <v>-8000</v>
      </c>
      <c r="AT111" s="1550">
        <f t="shared" si="178"/>
        <v>-100</v>
      </c>
      <c r="AU111" s="1546">
        <f t="shared" si="163"/>
        <v>8000</v>
      </c>
      <c r="AV111" s="1576"/>
      <c r="AW111" s="1576">
        <f>AV111-AU111</f>
        <v>-8000</v>
      </c>
      <c r="AX111" s="1577">
        <f t="shared" si="179"/>
        <v>-100</v>
      </c>
      <c r="AY111" s="1236">
        <f t="shared" si="180"/>
        <v>96000</v>
      </c>
      <c r="AZ111" s="1616">
        <f t="shared" si="181"/>
        <v>36030</v>
      </c>
      <c r="BA111" s="805"/>
      <c r="BB111" s="1178"/>
    </row>
    <row r="112" spans="1:54" s="1421" customFormat="1" ht="18.75" customHeight="1" x14ac:dyDescent="0.25">
      <c r="A112" s="170">
        <v>12899</v>
      </c>
      <c r="B112" s="1424" t="s">
        <v>180</v>
      </c>
      <c r="C112" s="1546">
        <v>850000</v>
      </c>
      <c r="D112" s="2014">
        <v>910465</v>
      </c>
      <c r="E112" s="1576">
        <f t="shared" ref="E112:E121" si="182">D112-C112</f>
        <v>60465</v>
      </c>
      <c r="F112" s="1550">
        <f t="shared" si="164"/>
        <v>7.1135294117647074</v>
      </c>
      <c r="G112" s="1546">
        <v>850000</v>
      </c>
      <c r="H112" s="1611">
        <v>901051.29</v>
      </c>
      <c r="I112" s="1576">
        <f t="shared" si="165"/>
        <v>51051.290000000037</v>
      </c>
      <c r="J112" s="1550">
        <f t="shared" si="166"/>
        <v>6.0060341176470633</v>
      </c>
      <c r="K112" s="1546">
        <f t="shared" si="167"/>
        <v>850000</v>
      </c>
      <c r="L112" s="1576">
        <f>VLOOKUP(A112,'[2]bALANCETE ORÇAMENTO'!$1:$1048576,7,0)</f>
        <v>928026.78</v>
      </c>
      <c r="M112" s="1576">
        <f t="shared" ref="M112:M121" si="183">L112-K112</f>
        <v>78026.780000000028</v>
      </c>
      <c r="N112" s="1550">
        <f t="shared" si="168"/>
        <v>9.1796211764705973</v>
      </c>
      <c r="O112" s="1546">
        <f t="shared" si="169"/>
        <v>850000</v>
      </c>
      <c r="P112" s="1576"/>
      <c r="Q112" s="1576">
        <f t="shared" ref="Q112:Q121" si="184">P112-O112</f>
        <v>-850000</v>
      </c>
      <c r="R112" s="1550">
        <f t="shared" si="170"/>
        <v>-100</v>
      </c>
      <c r="S112" s="1546">
        <f t="shared" si="171"/>
        <v>850000</v>
      </c>
      <c r="T112" s="1576"/>
      <c r="U112" s="1576">
        <f t="shared" ref="U112:U121" si="185">T112-S112</f>
        <v>-850000</v>
      </c>
      <c r="V112" s="1550">
        <f t="shared" si="172"/>
        <v>-100</v>
      </c>
      <c r="W112" s="1546">
        <f t="shared" si="157"/>
        <v>850000</v>
      </c>
      <c r="X112" s="1576"/>
      <c r="Y112" s="1576">
        <f t="shared" ref="Y112:Y121" si="186">X112-W112</f>
        <v>-850000</v>
      </c>
      <c r="Z112" s="1550">
        <f t="shared" si="173"/>
        <v>-100</v>
      </c>
      <c r="AA112" s="1546">
        <f t="shared" si="158"/>
        <v>850000</v>
      </c>
      <c r="AB112" s="1576"/>
      <c r="AC112" s="1576">
        <f t="shared" ref="AC112:AC121" si="187">AB112-AA112</f>
        <v>-850000</v>
      </c>
      <c r="AD112" s="1550">
        <f t="shared" si="174"/>
        <v>-100</v>
      </c>
      <c r="AE112" s="1546">
        <f t="shared" si="159"/>
        <v>850000</v>
      </c>
      <c r="AF112" s="1576"/>
      <c r="AG112" s="1576">
        <f t="shared" ref="AG112:AG121" si="188">AF112-AE112</f>
        <v>-850000</v>
      </c>
      <c r="AH112" s="1550">
        <f t="shared" si="175"/>
        <v>-100</v>
      </c>
      <c r="AI112" s="1546">
        <f t="shared" si="160"/>
        <v>850000</v>
      </c>
      <c r="AJ112" s="1576"/>
      <c r="AK112" s="1576">
        <f t="shared" ref="AK112:AK121" si="189">AJ112-AI112</f>
        <v>-850000</v>
      </c>
      <c r="AL112" s="1550">
        <f t="shared" si="176"/>
        <v>-100</v>
      </c>
      <c r="AM112" s="1546">
        <f t="shared" si="161"/>
        <v>850000</v>
      </c>
      <c r="AN112" s="1576"/>
      <c r="AO112" s="1576">
        <f t="shared" ref="AO112:AO121" si="190">AN112-AM112</f>
        <v>-850000</v>
      </c>
      <c r="AP112" s="1550">
        <f t="shared" si="177"/>
        <v>-100</v>
      </c>
      <c r="AQ112" s="1546">
        <f t="shared" si="162"/>
        <v>850000</v>
      </c>
      <c r="AR112" s="1576"/>
      <c r="AS112" s="1576">
        <f t="shared" ref="AS112:AS121" si="191">AR112-AQ112</f>
        <v>-850000</v>
      </c>
      <c r="AT112" s="1550">
        <f t="shared" si="178"/>
        <v>-100</v>
      </c>
      <c r="AU112" s="1546">
        <f t="shared" si="163"/>
        <v>850000</v>
      </c>
      <c r="AV112" s="1576"/>
      <c r="AW112" s="1576">
        <f t="shared" ref="AW112:AW121" si="192">AV112-AU112</f>
        <v>-850000</v>
      </c>
      <c r="AX112" s="1577">
        <f t="shared" si="179"/>
        <v>-100</v>
      </c>
      <c r="AY112" s="1236">
        <f t="shared" si="180"/>
        <v>10200000</v>
      </c>
      <c r="AZ112" s="1616">
        <f t="shared" si="181"/>
        <v>2739543.0700000003</v>
      </c>
      <c r="BA112" s="805"/>
      <c r="BB112" s="1177"/>
    </row>
    <row r="113" spans="1:95" s="1421" customFormat="1" ht="18.75" customHeight="1" x14ac:dyDescent="0.25">
      <c r="A113" s="170">
        <v>51645</v>
      </c>
      <c r="B113" s="1424" t="s">
        <v>3701</v>
      </c>
      <c r="C113" s="1546">
        <v>500</v>
      </c>
      <c r="D113" s="2014">
        <v>470</v>
      </c>
      <c r="E113" s="1576">
        <f t="shared" si="182"/>
        <v>-30</v>
      </c>
      <c r="F113" s="1550">
        <f t="shared" si="164"/>
        <v>-6.0000000000000053</v>
      </c>
      <c r="G113" s="1546">
        <v>500</v>
      </c>
      <c r="H113" s="1611">
        <v>330</v>
      </c>
      <c r="I113" s="1576">
        <f t="shared" si="165"/>
        <v>-170</v>
      </c>
      <c r="J113" s="1550">
        <f t="shared" si="166"/>
        <v>-34</v>
      </c>
      <c r="K113" s="1546">
        <f t="shared" si="167"/>
        <v>500</v>
      </c>
      <c r="L113" s="1576">
        <f>VLOOKUP(A113,'[2]bALANCETE ORÇAMENTO'!$1:$1048576,7,0)</f>
        <v>230</v>
      </c>
      <c r="M113" s="1576">
        <f t="shared" si="183"/>
        <v>-270</v>
      </c>
      <c r="N113" s="1550">
        <f t="shared" si="168"/>
        <v>-54</v>
      </c>
      <c r="O113" s="1546">
        <f t="shared" si="169"/>
        <v>500</v>
      </c>
      <c r="P113" s="1576"/>
      <c r="Q113" s="1576">
        <f t="shared" si="184"/>
        <v>-500</v>
      </c>
      <c r="R113" s="1550">
        <f t="shared" si="170"/>
        <v>-100</v>
      </c>
      <c r="S113" s="1546">
        <f t="shared" si="171"/>
        <v>500</v>
      </c>
      <c r="T113" s="1576"/>
      <c r="U113" s="1576">
        <f t="shared" si="185"/>
        <v>-500</v>
      </c>
      <c r="V113" s="1550">
        <f t="shared" si="172"/>
        <v>-100</v>
      </c>
      <c r="W113" s="1546">
        <f t="shared" si="157"/>
        <v>500</v>
      </c>
      <c r="X113" s="1576"/>
      <c r="Y113" s="1576">
        <f t="shared" si="186"/>
        <v>-500</v>
      </c>
      <c r="Z113" s="1550">
        <f t="shared" si="173"/>
        <v>-100</v>
      </c>
      <c r="AA113" s="1546">
        <f t="shared" si="158"/>
        <v>500</v>
      </c>
      <c r="AB113" s="1576"/>
      <c r="AC113" s="1576">
        <f t="shared" si="187"/>
        <v>-500</v>
      </c>
      <c r="AD113" s="1550">
        <f t="shared" si="174"/>
        <v>-100</v>
      </c>
      <c r="AE113" s="1546">
        <f t="shared" si="159"/>
        <v>500</v>
      </c>
      <c r="AF113" s="1576"/>
      <c r="AG113" s="1576">
        <f t="shared" si="188"/>
        <v>-500</v>
      </c>
      <c r="AH113" s="1550">
        <f t="shared" si="175"/>
        <v>-100</v>
      </c>
      <c r="AI113" s="1546">
        <f t="shared" si="160"/>
        <v>500</v>
      </c>
      <c r="AJ113" s="1576"/>
      <c r="AK113" s="1576">
        <f t="shared" si="189"/>
        <v>-500</v>
      </c>
      <c r="AL113" s="1550">
        <f t="shared" si="176"/>
        <v>-100</v>
      </c>
      <c r="AM113" s="1546">
        <f t="shared" si="161"/>
        <v>500</v>
      </c>
      <c r="AN113" s="1576"/>
      <c r="AO113" s="1576">
        <f t="shared" si="190"/>
        <v>-500</v>
      </c>
      <c r="AP113" s="1550">
        <f t="shared" si="177"/>
        <v>-100</v>
      </c>
      <c r="AQ113" s="1546">
        <f t="shared" si="162"/>
        <v>500</v>
      </c>
      <c r="AR113" s="1576"/>
      <c r="AS113" s="1576">
        <f t="shared" si="191"/>
        <v>-500</v>
      </c>
      <c r="AT113" s="1550">
        <f t="shared" si="178"/>
        <v>-100</v>
      </c>
      <c r="AU113" s="1546">
        <f t="shared" si="163"/>
        <v>500</v>
      </c>
      <c r="AV113" s="1576"/>
      <c r="AW113" s="1576">
        <f t="shared" si="192"/>
        <v>-500</v>
      </c>
      <c r="AX113" s="1577">
        <f t="shared" si="179"/>
        <v>-100</v>
      </c>
      <c r="AY113" s="1236">
        <f t="shared" si="180"/>
        <v>6000</v>
      </c>
      <c r="AZ113" s="1616">
        <f t="shared" si="181"/>
        <v>1030</v>
      </c>
      <c r="BA113" s="805"/>
      <c r="BB113" s="1178"/>
    </row>
    <row r="114" spans="1:95" s="1421" customFormat="1" ht="18.75" customHeight="1" x14ac:dyDescent="0.25">
      <c r="A114" s="170">
        <v>51820</v>
      </c>
      <c r="B114" s="1424" t="s">
        <v>190</v>
      </c>
      <c r="C114" s="1546">
        <v>1200</v>
      </c>
      <c r="D114" s="2014">
        <v>1033.1500000000001</v>
      </c>
      <c r="E114" s="1576">
        <f t="shared" si="182"/>
        <v>-166.84999999999991</v>
      </c>
      <c r="F114" s="1550">
        <f t="shared" si="164"/>
        <v>-13.904166666666661</v>
      </c>
      <c r="G114" s="1546">
        <v>1200</v>
      </c>
      <c r="H114" s="2075">
        <v>970.32</v>
      </c>
      <c r="I114" s="1576">
        <f t="shared" si="165"/>
        <v>-229.67999999999995</v>
      </c>
      <c r="J114" s="1550">
        <f t="shared" si="166"/>
        <v>-19.13999999999999</v>
      </c>
      <c r="K114" s="1546">
        <f t="shared" si="167"/>
        <v>1200</v>
      </c>
      <c r="L114" s="1576">
        <f>VLOOKUP(A114,'[2]bALANCETE ORÇAMENTO'!$1:$1048576,7,0)</f>
        <v>958.92</v>
      </c>
      <c r="M114" s="1576">
        <f t="shared" si="183"/>
        <v>-241.08000000000004</v>
      </c>
      <c r="N114" s="1550">
        <f t="shared" si="168"/>
        <v>-20.090000000000007</v>
      </c>
      <c r="O114" s="1546">
        <f t="shared" si="169"/>
        <v>1200</v>
      </c>
      <c r="P114" s="1576"/>
      <c r="Q114" s="1576">
        <f t="shared" si="184"/>
        <v>-1200</v>
      </c>
      <c r="R114" s="1550">
        <f t="shared" si="170"/>
        <v>-100</v>
      </c>
      <c r="S114" s="1546">
        <f t="shared" si="171"/>
        <v>1200</v>
      </c>
      <c r="T114" s="1576"/>
      <c r="U114" s="1576">
        <f t="shared" si="185"/>
        <v>-1200</v>
      </c>
      <c r="V114" s="1550">
        <f t="shared" si="172"/>
        <v>-100</v>
      </c>
      <c r="W114" s="1546">
        <f t="shared" si="157"/>
        <v>1200</v>
      </c>
      <c r="X114" s="1576"/>
      <c r="Y114" s="1576">
        <f t="shared" si="186"/>
        <v>-1200</v>
      </c>
      <c r="Z114" s="1550">
        <f t="shared" si="173"/>
        <v>-100</v>
      </c>
      <c r="AA114" s="1546">
        <f t="shared" si="158"/>
        <v>1200</v>
      </c>
      <c r="AB114" s="1576"/>
      <c r="AC114" s="1576">
        <f t="shared" si="187"/>
        <v>-1200</v>
      </c>
      <c r="AD114" s="1550">
        <f t="shared" si="174"/>
        <v>-100</v>
      </c>
      <c r="AE114" s="1546">
        <f t="shared" si="159"/>
        <v>1200</v>
      </c>
      <c r="AF114" s="1576"/>
      <c r="AG114" s="1576">
        <f t="shared" si="188"/>
        <v>-1200</v>
      </c>
      <c r="AH114" s="1550">
        <f t="shared" si="175"/>
        <v>-100</v>
      </c>
      <c r="AI114" s="1546">
        <f t="shared" si="160"/>
        <v>1200</v>
      </c>
      <c r="AJ114" s="1576"/>
      <c r="AK114" s="1576">
        <f t="shared" si="189"/>
        <v>-1200</v>
      </c>
      <c r="AL114" s="1550">
        <f t="shared" si="176"/>
        <v>-100</v>
      </c>
      <c r="AM114" s="1546">
        <f t="shared" si="161"/>
        <v>1200</v>
      </c>
      <c r="AN114" s="1576"/>
      <c r="AO114" s="1576">
        <f t="shared" si="190"/>
        <v>-1200</v>
      </c>
      <c r="AP114" s="1550">
        <f t="shared" si="177"/>
        <v>-100</v>
      </c>
      <c r="AQ114" s="1546">
        <f t="shared" si="162"/>
        <v>1200</v>
      </c>
      <c r="AR114" s="1576"/>
      <c r="AS114" s="1576">
        <f t="shared" si="191"/>
        <v>-1200</v>
      </c>
      <c r="AT114" s="1550">
        <f t="shared" si="178"/>
        <v>-100</v>
      </c>
      <c r="AU114" s="1546">
        <f t="shared" si="163"/>
        <v>1200</v>
      </c>
      <c r="AV114" s="1576"/>
      <c r="AW114" s="1576">
        <f t="shared" si="192"/>
        <v>-1200</v>
      </c>
      <c r="AX114" s="1577">
        <f t="shared" si="179"/>
        <v>-100</v>
      </c>
      <c r="AY114" s="1236">
        <f t="shared" si="180"/>
        <v>14400</v>
      </c>
      <c r="AZ114" s="1616">
        <f t="shared" si="181"/>
        <v>2962.3900000000003</v>
      </c>
      <c r="BA114" s="805"/>
      <c r="BB114" s="1178"/>
    </row>
    <row r="115" spans="1:95" s="1421" customFormat="1" ht="18.75" customHeight="1" x14ac:dyDescent="0.25">
      <c r="A115" s="1181">
        <v>54391</v>
      </c>
      <c r="B115" s="2582" t="s">
        <v>3793</v>
      </c>
      <c r="C115" s="1650">
        <v>95000</v>
      </c>
      <c r="D115" s="1651">
        <v>87956.96</v>
      </c>
      <c r="E115" s="1576">
        <f t="shared" si="182"/>
        <v>-7043.0399999999936</v>
      </c>
      <c r="F115" s="1652">
        <f t="shared" si="164"/>
        <v>-7.4137263157894706</v>
      </c>
      <c r="G115" s="1650">
        <v>95000</v>
      </c>
      <c r="H115" s="2075">
        <v>90317.119999999995</v>
      </c>
      <c r="I115" s="1576">
        <f t="shared" si="165"/>
        <v>-4682.8800000000047</v>
      </c>
      <c r="J115" s="1652">
        <f t="shared" si="166"/>
        <v>-4.9293473684210554</v>
      </c>
      <c r="K115" s="1650">
        <f t="shared" si="167"/>
        <v>95000</v>
      </c>
      <c r="L115" s="1651">
        <f>VLOOKUP(A115,'[2]bALANCETE ORÇAMENTO'!$1:$1048576,7,0)</f>
        <v>94956.160000000003</v>
      </c>
      <c r="M115" s="1576">
        <f t="shared" si="183"/>
        <v>-43.839999999996508</v>
      </c>
      <c r="N115" s="1652">
        <f t="shared" si="168"/>
        <v>-4.6147368421045609E-2</v>
      </c>
      <c r="O115" s="1650">
        <f t="shared" si="169"/>
        <v>95000</v>
      </c>
      <c r="P115" s="1651"/>
      <c r="Q115" s="1576">
        <f t="shared" si="184"/>
        <v>-95000</v>
      </c>
      <c r="R115" s="1652">
        <f t="shared" si="170"/>
        <v>-100</v>
      </c>
      <c r="S115" s="1650">
        <f t="shared" si="171"/>
        <v>95000</v>
      </c>
      <c r="T115" s="1651"/>
      <c r="U115" s="1576">
        <f t="shared" si="185"/>
        <v>-95000</v>
      </c>
      <c r="V115" s="1652">
        <f t="shared" si="172"/>
        <v>-100</v>
      </c>
      <c r="W115" s="1650">
        <f t="shared" si="157"/>
        <v>95000</v>
      </c>
      <c r="X115" s="1651"/>
      <c r="Y115" s="1576">
        <f t="shared" si="186"/>
        <v>-95000</v>
      </c>
      <c r="Z115" s="1652">
        <f t="shared" si="173"/>
        <v>-100</v>
      </c>
      <c r="AA115" s="1650">
        <f t="shared" si="158"/>
        <v>95000</v>
      </c>
      <c r="AB115" s="1651"/>
      <c r="AC115" s="1576">
        <f t="shared" si="187"/>
        <v>-95000</v>
      </c>
      <c r="AD115" s="1652">
        <f t="shared" si="174"/>
        <v>-100</v>
      </c>
      <c r="AE115" s="1650">
        <f t="shared" si="159"/>
        <v>95000</v>
      </c>
      <c r="AF115" s="1651"/>
      <c r="AG115" s="1576">
        <f t="shared" si="188"/>
        <v>-95000</v>
      </c>
      <c r="AH115" s="1652">
        <f t="shared" si="175"/>
        <v>-100</v>
      </c>
      <c r="AI115" s="1650">
        <f t="shared" si="160"/>
        <v>95000</v>
      </c>
      <c r="AJ115" s="1651"/>
      <c r="AK115" s="1576">
        <f t="shared" si="189"/>
        <v>-95000</v>
      </c>
      <c r="AL115" s="1652">
        <f t="shared" si="176"/>
        <v>-100</v>
      </c>
      <c r="AM115" s="1650">
        <f t="shared" si="161"/>
        <v>95000</v>
      </c>
      <c r="AN115" s="1651"/>
      <c r="AO115" s="1576">
        <f t="shared" si="190"/>
        <v>-95000</v>
      </c>
      <c r="AP115" s="1652">
        <f t="shared" si="177"/>
        <v>-100</v>
      </c>
      <c r="AQ115" s="1650">
        <f t="shared" si="162"/>
        <v>95000</v>
      </c>
      <c r="AR115" s="1651"/>
      <c r="AS115" s="1576">
        <f t="shared" si="191"/>
        <v>-95000</v>
      </c>
      <c r="AT115" s="1652">
        <f t="shared" si="178"/>
        <v>-100</v>
      </c>
      <c r="AU115" s="1650">
        <f t="shared" si="163"/>
        <v>95000</v>
      </c>
      <c r="AV115" s="1651"/>
      <c r="AW115" s="1576">
        <f t="shared" si="192"/>
        <v>-95000</v>
      </c>
      <c r="AX115" s="2193">
        <f t="shared" si="179"/>
        <v>-100</v>
      </c>
      <c r="AY115" s="1236">
        <f t="shared" si="180"/>
        <v>1140000</v>
      </c>
      <c r="AZ115" s="1616">
        <f t="shared" si="181"/>
        <v>273230.24</v>
      </c>
      <c r="BA115" s="146"/>
      <c r="BB115" s="232"/>
      <c r="BC115" s="146"/>
      <c r="BD115" s="146"/>
      <c r="BE115" s="146"/>
    </row>
    <row r="116" spans="1:95" s="1421" customFormat="1" ht="18.75" customHeight="1" x14ac:dyDescent="0.25">
      <c r="A116" s="170">
        <v>51822</v>
      </c>
      <c r="B116" s="1424" t="s">
        <v>192</v>
      </c>
      <c r="C116" s="1546">
        <v>95000</v>
      </c>
      <c r="D116" s="2014">
        <v>97153.46</v>
      </c>
      <c r="E116" s="1576">
        <f t="shared" si="182"/>
        <v>2153.4600000000064</v>
      </c>
      <c r="F116" s="1550">
        <f t="shared" si="164"/>
        <v>2.2668000000000132</v>
      </c>
      <c r="G116" s="1546">
        <v>95000</v>
      </c>
      <c r="H116" s="2075">
        <v>95027.47</v>
      </c>
      <c r="I116" s="1576">
        <f t="shared" si="165"/>
        <v>27.470000000001164</v>
      </c>
      <c r="J116" s="1550">
        <f t="shared" si="166"/>
        <v>2.8915789473682452E-2</v>
      </c>
      <c r="K116" s="1546">
        <f t="shared" si="167"/>
        <v>95000</v>
      </c>
      <c r="L116" s="1576">
        <f>VLOOKUP(A116,'[2]bALANCETE ORÇAMENTO'!$1:$1048576,7,0)</f>
        <v>116718.87</v>
      </c>
      <c r="M116" s="1576">
        <f t="shared" si="183"/>
        <v>21718.869999999995</v>
      </c>
      <c r="N116" s="1550">
        <f t="shared" si="168"/>
        <v>22.861968421052637</v>
      </c>
      <c r="O116" s="1546">
        <f t="shared" si="169"/>
        <v>95000</v>
      </c>
      <c r="P116" s="1576"/>
      <c r="Q116" s="1576">
        <f t="shared" si="184"/>
        <v>-95000</v>
      </c>
      <c r="R116" s="1550">
        <f t="shared" si="170"/>
        <v>-100</v>
      </c>
      <c r="S116" s="1546">
        <f t="shared" si="171"/>
        <v>95000</v>
      </c>
      <c r="T116" s="1576"/>
      <c r="U116" s="1576">
        <f t="shared" si="185"/>
        <v>-95000</v>
      </c>
      <c r="V116" s="1550">
        <f t="shared" si="172"/>
        <v>-100</v>
      </c>
      <c r="W116" s="1546">
        <f t="shared" si="157"/>
        <v>95000</v>
      </c>
      <c r="X116" s="1576"/>
      <c r="Y116" s="1576">
        <f t="shared" si="186"/>
        <v>-95000</v>
      </c>
      <c r="Z116" s="1550">
        <f t="shared" si="173"/>
        <v>-100</v>
      </c>
      <c r="AA116" s="1546">
        <f t="shared" si="158"/>
        <v>95000</v>
      </c>
      <c r="AB116" s="1576"/>
      <c r="AC116" s="1576">
        <f t="shared" si="187"/>
        <v>-95000</v>
      </c>
      <c r="AD116" s="1550">
        <f t="shared" si="174"/>
        <v>-100</v>
      </c>
      <c r="AE116" s="1546">
        <f t="shared" si="159"/>
        <v>95000</v>
      </c>
      <c r="AF116" s="1576"/>
      <c r="AG116" s="1576">
        <f t="shared" si="188"/>
        <v>-95000</v>
      </c>
      <c r="AH116" s="1550">
        <f t="shared" si="175"/>
        <v>-100</v>
      </c>
      <c r="AI116" s="1546">
        <f t="shared" si="160"/>
        <v>95000</v>
      </c>
      <c r="AJ116" s="1576"/>
      <c r="AK116" s="1576">
        <f t="shared" si="189"/>
        <v>-95000</v>
      </c>
      <c r="AL116" s="1550">
        <f t="shared" si="176"/>
        <v>-100</v>
      </c>
      <c r="AM116" s="1546">
        <f t="shared" si="161"/>
        <v>95000</v>
      </c>
      <c r="AN116" s="1576"/>
      <c r="AO116" s="1576">
        <f t="shared" si="190"/>
        <v>-95000</v>
      </c>
      <c r="AP116" s="1550">
        <f t="shared" si="177"/>
        <v>-100</v>
      </c>
      <c r="AQ116" s="1546">
        <f t="shared" si="162"/>
        <v>95000</v>
      </c>
      <c r="AR116" s="1576"/>
      <c r="AS116" s="1576">
        <f t="shared" si="191"/>
        <v>-95000</v>
      </c>
      <c r="AT116" s="1550">
        <f t="shared" si="178"/>
        <v>-100</v>
      </c>
      <c r="AU116" s="1546">
        <f t="shared" si="163"/>
        <v>95000</v>
      </c>
      <c r="AV116" s="1576"/>
      <c r="AW116" s="1576">
        <f t="shared" si="192"/>
        <v>-95000</v>
      </c>
      <c r="AX116" s="1577">
        <f t="shared" si="179"/>
        <v>-100</v>
      </c>
      <c r="AY116" s="1236">
        <f t="shared" si="180"/>
        <v>1140000</v>
      </c>
      <c r="AZ116" s="1616">
        <f t="shared" si="181"/>
        <v>308899.8</v>
      </c>
      <c r="BA116" s="805"/>
      <c r="BB116" s="1178"/>
    </row>
    <row r="117" spans="1:95" s="1421" customFormat="1" ht="18.75" customHeight="1" x14ac:dyDescent="0.25">
      <c r="A117" s="170">
        <v>52230</v>
      </c>
      <c r="B117" s="2583" t="s">
        <v>3789</v>
      </c>
      <c r="C117" s="1546">
        <v>12000</v>
      </c>
      <c r="D117" s="2014">
        <v>69226</v>
      </c>
      <c r="E117" s="1576">
        <f t="shared" si="182"/>
        <v>57226</v>
      </c>
      <c r="F117" s="1550">
        <f t="shared" si="164"/>
        <v>476.88333333333333</v>
      </c>
      <c r="G117" s="1546">
        <v>12000</v>
      </c>
      <c r="H117" s="2075">
        <v>67552</v>
      </c>
      <c r="I117" s="1576">
        <f t="shared" si="165"/>
        <v>55552</v>
      </c>
      <c r="J117" s="1550">
        <f t="shared" si="166"/>
        <v>462.93333333333334</v>
      </c>
      <c r="K117" s="1546">
        <f t="shared" si="167"/>
        <v>12000</v>
      </c>
      <c r="L117" s="1576">
        <f>VLOOKUP(A117,'[2]bALANCETE ORÇAMENTO'!$1:$1048576,7,0)</f>
        <v>13120</v>
      </c>
      <c r="M117" s="1576">
        <f t="shared" si="183"/>
        <v>1120</v>
      </c>
      <c r="N117" s="1550">
        <f t="shared" si="168"/>
        <v>9.3333333333333268</v>
      </c>
      <c r="O117" s="1546">
        <f t="shared" si="169"/>
        <v>12000</v>
      </c>
      <c r="P117" s="1576"/>
      <c r="Q117" s="1576">
        <f t="shared" si="184"/>
        <v>-12000</v>
      </c>
      <c r="R117" s="1550">
        <f t="shared" si="170"/>
        <v>-100</v>
      </c>
      <c r="S117" s="1546">
        <f t="shared" si="171"/>
        <v>12000</v>
      </c>
      <c r="T117" s="1576"/>
      <c r="U117" s="1576">
        <f t="shared" si="185"/>
        <v>-12000</v>
      </c>
      <c r="V117" s="1550">
        <f t="shared" si="172"/>
        <v>-100</v>
      </c>
      <c r="W117" s="1546">
        <f t="shared" si="157"/>
        <v>12000</v>
      </c>
      <c r="X117" s="1576"/>
      <c r="Y117" s="1576">
        <f t="shared" si="186"/>
        <v>-12000</v>
      </c>
      <c r="Z117" s="1550">
        <f t="shared" si="173"/>
        <v>-100</v>
      </c>
      <c r="AA117" s="1546">
        <f t="shared" si="158"/>
        <v>12000</v>
      </c>
      <c r="AB117" s="1576"/>
      <c r="AC117" s="1576">
        <f t="shared" si="187"/>
        <v>-12000</v>
      </c>
      <c r="AD117" s="1550">
        <f t="shared" si="174"/>
        <v>-100</v>
      </c>
      <c r="AE117" s="1546">
        <f t="shared" si="159"/>
        <v>12000</v>
      </c>
      <c r="AF117" s="1576"/>
      <c r="AG117" s="1576">
        <f t="shared" si="188"/>
        <v>-12000</v>
      </c>
      <c r="AH117" s="1550">
        <f t="shared" si="175"/>
        <v>-100</v>
      </c>
      <c r="AI117" s="1546">
        <f t="shared" si="160"/>
        <v>12000</v>
      </c>
      <c r="AJ117" s="1576"/>
      <c r="AK117" s="1576">
        <f t="shared" si="189"/>
        <v>-12000</v>
      </c>
      <c r="AL117" s="1550">
        <f t="shared" si="176"/>
        <v>-100</v>
      </c>
      <c r="AM117" s="1546">
        <f t="shared" si="161"/>
        <v>12000</v>
      </c>
      <c r="AN117" s="1576"/>
      <c r="AO117" s="1576">
        <f t="shared" si="190"/>
        <v>-12000</v>
      </c>
      <c r="AP117" s="1550">
        <f t="shared" si="177"/>
        <v>-100</v>
      </c>
      <c r="AQ117" s="1546">
        <f t="shared" si="162"/>
        <v>12000</v>
      </c>
      <c r="AR117" s="1576"/>
      <c r="AS117" s="1576">
        <f t="shared" si="191"/>
        <v>-12000</v>
      </c>
      <c r="AT117" s="1550">
        <f t="shared" si="178"/>
        <v>-100</v>
      </c>
      <c r="AU117" s="1546">
        <f t="shared" si="163"/>
        <v>12000</v>
      </c>
      <c r="AV117" s="1576"/>
      <c r="AW117" s="1576">
        <f t="shared" si="192"/>
        <v>-12000</v>
      </c>
      <c r="AX117" s="1577">
        <f t="shared" si="179"/>
        <v>-100</v>
      </c>
      <c r="AY117" s="1236">
        <f t="shared" si="180"/>
        <v>144000</v>
      </c>
      <c r="AZ117" s="1616">
        <f t="shared" si="181"/>
        <v>149898</v>
      </c>
      <c r="BA117" s="805"/>
      <c r="BB117" s="1178"/>
    </row>
    <row r="118" spans="1:95" s="1421" customFormat="1" ht="18.75" customHeight="1" x14ac:dyDescent="0.25">
      <c r="A118" s="170">
        <v>12226</v>
      </c>
      <c r="B118" s="1424" t="s">
        <v>3773</v>
      </c>
      <c r="C118" s="1546">
        <v>35000</v>
      </c>
      <c r="D118" s="2014">
        <v>22763</v>
      </c>
      <c r="E118" s="1576">
        <f t="shared" si="182"/>
        <v>-12237</v>
      </c>
      <c r="F118" s="1550">
        <f t="shared" si="164"/>
        <v>-34.962857142857139</v>
      </c>
      <c r="G118" s="1546">
        <v>35000</v>
      </c>
      <c r="H118" s="1611">
        <v>47043.44</v>
      </c>
      <c r="I118" s="1576">
        <f t="shared" si="165"/>
        <v>12043.440000000002</v>
      </c>
      <c r="J118" s="1550">
        <f t="shared" si="166"/>
        <v>34.409828571428577</v>
      </c>
      <c r="K118" s="1546">
        <f t="shared" si="167"/>
        <v>35000</v>
      </c>
      <c r="L118" s="1576">
        <f>VLOOKUP(A118,'[2]bALANCETE ORÇAMENTO'!$1:$1048576,7,0)</f>
        <v>17955.439999999999</v>
      </c>
      <c r="M118" s="1576">
        <f t="shared" si="183"/>
        <v>-17044.560000000001</v>
      </c>
      <c r="N118" s="1550">
        <f t="shared" si="168"/>
        <v>-48.698742857142861</v>
      </c>
      <c r="O118" s="1546">
        <f t="shared" si="169"/>
        <v>35000</v>
      </c>
      <c r="P118" s="1576"/>
      <c r="Q118" s="1576">
        <f t="shared" si="184"/>
        <v>-35000</v>
      </c>
      <c r="R118" s="1550">
        <f t="shared" si="170"/>
        <v>-100</v>
      </c>
      <c r="S118" s="1546">
        <f t="shared" si="171"/>
        <v>35000</v>
      </c>
      <c r="T118" s="1576"/>
      <c r="U118" s="1576">
        <f t="shared" si="185"/>
        <v>-35000</v>
      </c>
      <c r="V118" s="1550">
        <f t="shared" si="172"/>
        <v>-100</v>
      </c>
      <c r="W118" s="1546">
        <f t="shared" si="157"/>
        <v>35000</v>
      </c>
      <c r="X118" s="1576"/>
      <c r="Y118" s="1576">
        <f t="shared" si="186"/>
        <v>-35000</v>
      </c>
      <c r="Z118" s="1550">
        <f t="shared" si="173"/>
        <v>-100</v>
      </c>
      <c r="AA118" s="1546">
        <f t="shared" si="158"/>
        <v>35000</v>
      </c>
      <c r="AB118" s="1576"/>
      <c r="AC118" s="1576">
        <f t="shared" si="187"/>
        <v>-35000</v>
      </c>
      <c r="AD118" s="1550">
        <f t="shared" si="174"/>
        <v>-100</v>
      </c>
      <c r="AE118" s="1546">
        <f t="shared" si="159"/>
        <v>35000</v>
      </c>
      <c r="AF118" s="1576"/>
      <c r="AG118" s="1576">
        <f t="shared" si="188"/>
        <v>-35000</v>
      </c>
      <c r="AH118" s="1550">
        <f t="shared" si="175"/>
        <v>-100</v>
      </c>
      <c r="AI118" s="1546">
        <f t="shared" si="160"/>
        <v>35000</v>
      </c>
      <c r="AJ118" s="1576"/>
      <c r="AK118" s="1576">
        <f t="shared" si="189"/>
        <v>-35000</v>
      </c>
      <c r="AL118" s="1550">
        <f t="shared" si="176"/>
        <v>-100</v>
      </c>
      <c r="AM118" s="1546">
        <f t="shared" si="161"/>
        <v>35000</v>
      </c>
      <c r="AN118" s="1576"/>
      <c r="AO118" s="1576">
        <f t="shared" si="190"/>
        <v>-35000</v>
      </c>
      <c r="AP118" s="1550">
        <f t="shared" si="177"/>
        <v>-100</v>
      </c>
      <c r="AQ118" s="1546">
        <f t="shared" si="162"/>
        <v>35000</v>
      </c>
      <c r="AR118" s="1576"/>
      <c r="AS118" s="1576">
        <f t="shared" si="191"/>
        <v>-35000</v>
      </c>
      <c r="AT118" s="1550">
        <f t="shared" si="178"/>
        <v>-100</v>
      </c>
      <c r="AU118" s="1546">
        <f t="shared" si="163"/>
        <v>35000</v>
      </c>
      <c r="AV118" s="1576"/>
      <c r="AW118" s="1576">
        <f t="shared" si="192"/>
        <v>-35000</v>
      </c>
      <c r="AX118" s="1577">
        <f t="shared" si="179"/>
        <v>-100</v>
      </c>
      <c r="AY118" s="1236">
        <f t="shared" si="180"/>
        <v>420000</v>
      </c>
      <c r="AZ118" s="1616">
        <f t="shared" si="181"/>
        <v>87761.88</v>
      </c>
      <c r="BA118" s="805"/>
      <c r="BB118" s="1177"/>
    </row>
    <row r="119" spans="1:95" s="1421" customFormat="1" ht="18.75" customHeight="1" x14ac:dyDescent="0.25">
      <c r="A119" s="170">
        <v>51821</v>
      </c>
      <c r="B119" s="1424" t="s">
        <v>191</v>
      </c>
      <c r="C119" s="1546">
        <v>3600</v>
      </c>
      <c r="D119" s="2014">
        <v>3349.62</v>
      </c>
      <c r="E119" s="1576">
        <f t="shared" si="182"/>
        <v>-250.38000000000011</v>
      </c>
      <c r="F119" s="1550">
        <f t="shared" si="164"/>
        <v>-6.9550000000000001</v>
      </c>
      <c r="G119" s="1546">
        <v>3600</v>
      </c>
      <c r="H119" s="1611">
        <v>3286.81</v>
      </c>
      <c r="I119" s="1576">
        <f t="shared" si="165"/>
        <v>-313.19000000000005</v>
      </c>
      <c r="J119" s="1550">
        <f t="shared" si="166"/>
        <v>-8.6997222222222277</v>
      </c>
      <c r="K119" s="1546">
        <f t="shared" si="167"/>
        <v>3600</v>
      </c>
      <c r="L119" s="1576">
        <f>VLOOKUP(A119,'[2]bALANCETE ORÇAMENTO'!$1:$1048576,7,0)</f>
        <v>3275.41</v>
      </c>
      <c r="M119" s="1576">
        <f t="shared" si="183"/>
        <v>-324.59000000000015</v>
      </c>
      <c r="N119" s="1550">
        <f t="shared" si="168"/>
        <v>-9.0163888888888941</v>
      </c>
      <c r="O119" s="1546">
        <f t="shared" si="169"/>
        <v>3600</v>
      </c>
      <c r="P119" s="1576"/>
      <c r="Q119" s="1576">
        <f t="shared" si="184"/>
        <v>-3600</v>
      </c>
      <c r="R119" s="1550">
        <f t="shared" si="170"/>
        <v>-100</v>
      </c>
      <c r="S119" s="1546">
        <f t="shared" si="171"/>
        <v>3600</v>
      </c>
      <c r="T119" s="1576"/>
      <c r="U119" s="1576">
        <f t="shared" si="185"/>
        <v>-3600</v>
      </c>
      <c r="V119" s="1550">
        <f t="shared" si="172"/>
        <v>-100</v>
      </c>
      <c r="W119" s="1546">
        <f t="shared" si="157"/>
        <v>3600</v>
      </c>
      <c r="X119" s="1576"/>
      <c r="Y119" s="1576">
        <f t="shared" si="186"/>
        <v>-3600</v>
      </c>
      <c r="Z119" s="1550">
        <f t="shared" si="173"/>
        <v>-100</v>
      </c>
      <c r="AA119" s="1546">
        <f t="shared" si="158"/>
        <v>3600</v>
      </c>
      <c r="AB119" s="1576"/>
      <c r="AC119" s="1576">
        <f t="shared" si="187"/>
        <v>-3600</v>
      </c>
      <c r="AD119" s="1550">
        <f t="shared" si="174"/>
        <v>-100</v>
      </c>
      <c r="AE119" s="1546">
        <f t="shared" si="159"/>
        <v>3600</v>
      </c>
      <c r="AF119" s="1576"/>
      <c r="AG119" s="1576">
        <f t="shared" si="188"/>
        <v>-3600</v>
      </c>
      <c r="AH119" s="1550">
        <f t="shared" si="175"/>
        <v>-100</v>
      </c>
      <c r="AI119" s="1546">
        <f t="shared" si="160"/>
        <v>3600</v>
      </c>
      <c r="AJ119" s="1576"/>
      <c r="AK119" s="1576">
        <f t="shared" si="189"/>
        <v>-3600</v>
      </c>
      <c r="AL119" s="1550">
        <f t="shared" si="176"/>
        <v>-100</v>
      </c>
      <c r="AM119" s="1546">
        <f t="shared" si="161"/>
        <v>3600</v>
      </c>
      <c r="AN119" s="1576"/>
      <c r="AO119" s="1576">
        <f t="shared" si="190"/>
        <v>-3600</v>
      </c>
      <c r="AP119" s="1550">
        <f t="shared" si="177"/>
        <v>-100</v>
      </c>
      <c r="AQ119" s="1546">
        <f t="shared" si="162"/>
        <v>3600</v>
      </c>
      <c r="AR119" s="1576"/>
      <c r="AS119" s="1576">
        <f t="shared" si="191"/>
        <v>-3600</v>
      </c>
      <c r="AT119" s="1550">
        <f t="shared" si="178"/>
        <v>-100</v>
      </c>
      <c r="AU119" s="1546">
        <f t="shared" si="163"/>
        <v>3600</v>
      </c>
      <c r="AV119" s="1576"/>
      <c r="AW119" s="1576">
        <f t="shared" si="192"/>
        <v>-3600</v>
      </c>
      <c r="AX119" s="1577">
        <f t="shared" si="179"/>
        <v>-100</v>
      </c>
      <c r="AY119" s="1236">
        <f t="shared" si="180"/>
        <v>43200</v>
      </c>
      <c r="AZ119" s="1616">
        <f t="shared" si="181"/>
        <v>9911.84</v>
      </c>
      <c r="BA119" s="805"/>
      <c r="BB119" s="1178"/>
    </row>
    <row r="120" spans="1:95" s="1421" customFormat="1" ht="18.75" customHeight="1" x14ac:dyDescent="0.25">
      <c r="A120" s="170">
        <v>12889</v>
      </c>
      <c r="B120" s="989" t="s">
        <v>3899</v>
      </c>
      <c r="C120" s="1646">
        <v>0</v>
      </c>
      <c r="D120" s="2023">
        <v>900</v>
      </c>
      <c r="E120" s="1576">
        <f t="shared" si="182"/>
        <v>900</v>
      </c>
      <c r="F120" s="1550">
        <v>0</v>
      </c>
      <c r="G120" s="1646">
        <v>0</v>
      </c>
      <c r="H120" s="1611">
        <v>848.11</v>
      </c>
      <c r="I120" s="1576">
        <f t="shared" si="165"/>
        <v>848.11</v>
      </c>
      <c r="J120" s="1550">
        <v>0</v>
      </c>
      <c r="K120" s="1646">
        <f t="shared" si="167"/>
        <v>0</v>
      </c>
      <c r="L120" s="1647">
        <f>VLOOKUP(A120,'[2]bALANCETE ORÇAMENTO'!$1:$1048576,7,0)</f>
        <v>862.1</v>
      </c>
      <c r="M120" s="1576">
        <f t="shared" si="183"/>
        <v>862.1</v>
      </c>
      <c r="N120" s="1550">
        <v>0</v>
      </c>
      <c r="O120" s="1646">
        <f t="shared" si="169"/>
        <v>0</v>
      </c>
      <c r="P120" s="1647"/>
      <c r="Q120" s="1576">
        <f t="shared" si="184"/>
        <v>0</v>
      </c>
      <c r="R120" s="1550">
        <v>0</v>
      </c>
      <c r="S120" s="1646">
        <f t="shared" si="171"/>
        <v>0</v>
      </c>
      <c r="T120" s="1647"/>
      <c r="U120" s="1576">
        <f t="shared" si="185"/>
        <v>0</v>
      </c>
      <c r="V120" s="1550">
        <v>0</v>
      </c>
      <c r="W120" s="1646">
        <f t="shared" si="157"/>
        <v>0</v>
      </c>
      <c r="X120" s="1647"/>
      <c r="Y120" s="1576">
        <f t="shared" si="186"/>
        <v>0</v>
      </c>
      <c r="Z120" s="1550">
        <v>0</v>
      </c>
      <c r="AA120" s="1646">
        <f t="shared" si="158"/>
        <v>0</v>
      </c>
      <c r="AB120" s="1647"/>
      <c r="AC120" s="1576">
        <f t="shared" si="187"/>
        <v>0</v>
      </c>
      <c r="AD120" s="1550">
        <v>0</v>
      </c>
      <c r="AE120" s="1646">
        <f t="shared" si="159"/>
        <v>0</v>
      </c>
      <c r="AF120" s="1647"/>
      <c r="AG120" s="1576">
        <f t="shared" si="188"/>
        <v>0</v>
      </c>
      <c r="AH120" s="1550">
        <v>0</v>
      </c>
      <c r="AI120" s="1646">
        <f t="shared" si="160"/>
        <v>0</v>
      </c>
      <c r="AJ120" s="1647"/>
      <c r="AK120" s="1576">
        <f t="shared" si="189"/>
        <v>0</v>
      </c>
      <c r="AL120" s="1550">
        <v>0</v>
      </c>
      <c r="AM120" s="1646">
        <f t="shared" si="161"/>
        <v>0</v>
      </c>
      <c r="AN120" s="1647"/>
      <c r="AO120" s="1576">
        <f t="shared" si="190"/>
        <v>0</v>
      </c>
      <c r="AP120" s="1550">
        <v>0</v>
      </c>
      <c r="AQ120" s="1646">
        <f t="shared" si="162"/>
        <v>0</v>
      </c>
      <c r="AR120" s="1647"/>
      <c r="AS120" s="1576">
        <f t="shared" si="191"/>
        <v>0</v>
      </c>
      <c r="AT120" s="1550">
        <v>0</v>
      </c>
      <c r="AU120" s="1646">
        <f t="shared" si="163"/>
        <v>0</v>
      </c>
      <c r="AV120" s="1647"/>
      <c r="AW120" s="1576">
        <f t="shared" si="192"/>
        <v>0</v>
      </c>
      <c r="AX120" s="1577">
        <v>0</v>
      </c>
      <c r="AY120" s="1530">
        <f t="shared" si="180"/>
        <v>0</v>
      </c>
      <c r="AZ120" s="1616">
        <f t="shared" si="181"/>
        <v>2610.21</v>
      </c>
      <c r="BA120" s="805"/>
      <c r="BB120" s="1178"/>
    </row>
    <row r="121" spans="1:95" s="1421" customFormat="1" ht="18.75" customHeight="1" thickBot="1" x14ac:dyDescent="0.3">
      <c r="A121" s="366">
        <v>51641</v>
      </c>
      <c r="B121" s="989" t="s">
        <v>3787</v>
      </c>
      <c r="C121" s="2179">
        <v>65000</v>
      </c>
      <c r="D121" s="2023">
        <v>58315.74</v>
      </c>
      <c r="E121" s="1576">
        <f t="shared" si="182"/>
        <v>-6684.260000000002</v>
      </c>
      <c r="F121" s="1648">
        <f t="shared" ref="F121:F127" si="193">((D121/C121)-1)*100</f>
        <v>-10.283476923076929</v>
      </c>
      <c r="G121" s="1646">
        <v>65000</v>
      </c>
      <c r="H121" s="2177">
        <v>105659.65</v>
      </c>
      <c r="I121" s="1576">
        <f t="shared" si="165"/>
        <v>40659.649999999994</v>
      </c>
      <c r="J121" s="1648">
        <f t="shared" ref="J121:J127" si="194">((H121/G121)-1)*100</f>
        <v>62.553307692307691</v>
      </c>
      <c r="K121" s="1646">
        <f t="shared" si="167"/>
        <v>65000</v>
      </c>
      <c r="L121" s="1647">
        <f>VLOOKUP(A121,'[2]bALANCETE ORÇAMENTO'!$1:$1048576,7,0)</f>
        <v>105659.65</v>
      </c>
      <c r="M121" s="1576">
        <f t="shared" si="183"/>
        <v>40659.649999999994</v>
      </c>
      <c r="N121" s="1648">
        <f t="shared" ref="N121:N127" si="195">((L121/K121)-1)*100</f>
        <v>62.553307692307691</v>
      </c>
      <c r="O121" s="1646">
        <f t="shared" si="169"/>
        <v>65000</v>
      </c>
      <c r="P121" s="1647"/>
      <c r="Q121" s="1576">
        <f t="shared" si="184"/>
        <v>-65000</v>
      </c>
      <c r="R121" s="1648">
        <f t="shared" ref="R121:R127" si="196">((P121/O121)-1)*100</f>
        <v>-100</v>
      </c>
      <c r="S121" s="1646">
        <f t="shared" si="171"/>
        <v>65000</v>
      </c>
      <c r="T121" s="1647"/>
      <c r="U121" s="1576">
        <f t="shared" si="185"/>
        <v>-65000</v>
      </c>
      <c r="V121" s="1648">
        <f t="shared" ref="V121:V127" si="197">((T121/S121)-1)*100</f>
        <v>-100</v>
      </c>
      <c r="W121" s="1646">
        <f t="shared" si="157"/>
        <v>65000</v>
      </c>
      <c r="X121" s="1647"/>
      <c r="Y121" s="1576">
        <f t="shared" si="186"/>
        <v>-65000</v>
      </c>
      <c r="Z121" s="1648">
        <f t="shared" ref="Z121:Z127" si="198">((X121/W121)-1)*100</f>
        <v>-100</v>
      </c>
      <c r="AA121" s="1646">
        <f t="shared" si="158"/>
        <v>65000</v>
      </c>
      <c r="AB121" s="1647"/>
      <c r="AC121" s="1576">
        <f t="shared" si="187"/>
        <v>-65000</v>
      </c>
      <c r="AD121" s="1648">
        <f t="shared" ref="AD121:AD127" si="199">((AB121/AA121)-1)*100</f>
        <v>-100</v>
      </c>
      <c r="AE121" s="1646">
        <f t="shared" si="159"/>
        <v>65000</v>
      </c>
      <c r="AF121" s="1647"/>
      <c r="AG121" s="1576">
        <f t="shared" si="188"/>
        <v>-65000</v>
      </c>
      <c r="AH121" s="1648">
        <f t="shared" ref="AH121:AH127" si="200">((AF121/AE121)-1)*100</f>
        <v>-100</v>
      </c>
      <c r="AI121" s="1646">
        <f t="shared" si="160"/>
        <v>65000</v>
      </c>
      <c r="AJ121" s="1647"/>
      <c r="AK121" s="1576">
        <f t="shared" si="189"/>
        <v>-65000</v>
      </c>
      <c r="AL121" s="1648">
        <f t="shared" ref="AL121:AL127" si="201">((AJ121/AI121)-1)*100</f>
        <v>-100</v>
      </c>
      <c r="AM121" s="1646">
        <f t="shared" si="161"/>
        <v>65000</v>
      </c>
      <c r="AN121" s="1647"/>
      <c r="AO121" s="1576">
        <f t="shared" si="190"/>
        <v>-65000</v>
      </c>
      <c r="AP121" s="1648">
        <f t="shared" ref="AP121:AP127" si="202">((AN121/AM121)-1)*100</f>
        <v>-100</v>
      </c>
      <c r="AQ121" s="1646">
        <f t="shared" si="162"/>
        <v>65000</v>
      </c>
      <c r="AR121" s="1647"/>
      <c r="AS121" s="1576">
        <f t="shared" si="191"/>
        <v>-65000</v>
      </c>
      <c r="AT121" s="1648">
        <f t="shared" ref="AT121:AT127" si="203">((AR121/AQ121)-1)*100</f>
        <v>-100</v>
      </c>
      <c r="AU121" s="1646">
        <f t="shared" si="163"/>
        <v>65000</v>
      </c>
      <c r="AV121" s="1647"/>
      <c r="AW121" s="1576">
        <f t="shared" si="192"/>
        <v>-65000</v>
      </c>
      <c r="AX121" s="2194">
        <f t="shared" ref="AX121:AX127" si="204">((AV121/AU121)-1)*100</f>
        <v>-100</v>
      </c>
      <c r="AY121" s="1530">
        <f t="shared" si="180"/>
        <v>780000</v>
      </c>
      <c r="AZ121" s="1613">
        <f t="shared" si="181"/>
        <v>269635.03999999998</v>
      </c>
      <c r="BA121" s="805"/>
      <c r="BB121" s="1178"/>
    </row>
    <row r="122" spans="1:95" s="1421" customFormat="1" ht="18.75" customHeight="1" x14ac:dyDescent="0.25">
      <c r="A122" s="1548">
        <v>12870</v>
      </c>
      <c r="B122" s="331" t="s">
        <v>182</v>
      </c>
      <c r="C122" s="1545">
        <v>8000</v>
      </c>
      <c r="D122" s="2013">
        <v>0</v>
      </c>
      <c r="E122" s="1574">
        <f>D122-C122</f>
        <v>-8000</v>
      </c>
      <c r="F122" s="1575">
        <f t="shared" si="193"/>
        <v>-100</v>
      </c>
      <c r="G122" s="2174">
        <v>8000</v>
      </c>
      <c r="H122" s="2176">
        <v>0</v>
      </c>
      <c r="I122" s="1574">
        <f t="shared" si="165"/>
        <v>-8000</v>
      </c>
      <c r="J122" s="1575">
        <f t="shared" si="194"/>
        <v>-100</v>
      </c>
      <c r="K122" s="2174">
        <f t="shared" si="167"/>
        <v>8000</v>
      </c>
      <c r="L122" s="1574">
        <v>0</v>
      </c>
      <c r="M122" s="1574">
        <f>L122-K122</f>
        <v>-8000</v>
      </c>
      <c r="N122" s="1575">
        <f t="shared" si="195"/>
        <v>-100</v>
      </c>
      <c r="O122" s="2174">
        <f t="shared" si="169"/>
        <v>8000</v>
      </c>
      <c r="P122" s="1574"/>
      <c r="Q122" s="1574">
        <f>P122-O122</f>
        <v>-8000</v>
      </c>
      <c r="R122" s="1575">
        <f t="shared" si="196"/>
        <v>-100</v>
      </c>
      <c r="S122" s="2174">
        <f t="shared" si="171"/>
        <v>8000</v>
      </c>
      <c r="T122" s="1574"/>
      <c r="U122" s="1574">
        <f>T122-S122</f>
        <v>-8000</v>
      </c>
      <c r="V122" s="1575">
        <f t="shared" si="197"/>
        <v>-100</v>
      </c>
      <c r="W122" s="2174">
        <f t="shared" si="157"/>
        <v>8000</v>
      </c>
      <c r="X122" s="1574"/>
      <c r="Y122" s="1574">
        <f>X122-W122</f>
        <v>-8000</v>
      </c>
      <c r="Z122" s="1575">
        <f t="shared" si="198"/>
        <v>-100</v>
      </c>
      <c r="AA122" s="2174">
        <f t="shared" si="158"/>
        <v>8000</v>
      </c>
      <c r="AB122" s="1574"/>
      <c r="AC122" s="1574">
        <f>AB122-AA122</f>
        <v>-8000</v>
      </c>
      <c r="AD122" s="1575">
        <f t="shared" si="199"/>
        <v>-100</v>
      </c>
      <c r="AE122" s="2174">
        <f t="shared" si="159"/>
        <v>8000</v>
      </c>
      <c r="AF122" s="1574"/>
      <c r="AG122" s="1574">
        <f>AF122-AE122</f>
        <v>-8000</v>
      </c>
      <c r="AH122" s="1575">
        <f t="shared" si="200"/>
        <v>-100</v>
      </c>
      <c r="AI122" s="2174">
        <f t="shared" si="160"/>
        <v>8000</v>
      </c>
      <c r="AJ122" s="1574"/>
      <c r="AK122" s="1574">
        <f>AJ122-AI122</f>
        <v>-8000</v>
      </c>
      <c r="AL122" s="1575">
        <f t="shared" si="201"/>
        <v>-100</v>
      </c>
      <c r="AM122" s="2174">
        <f t="shared" si="161"/>
        <v>8000</v>
      </c>
      <c r="AN122" s="1574"/>
      <c r="AO122" s="1574">
        <f>AN122-AM122</f>
        <v>-8000</v>
      </c>
      <c r="AP122" s="1575">
        <f t="shared" si="202"/>
        <v>-100</v>
      </c>
      <c r="AQ122" s="2174">
        <f t="shared" si="162"/>
        <v>8000</v>
      </c>
      <c r="AR122" s="1574"/>
      <c r="AS122" s="1574">
        <f>AR122-AQ122</f>
        <v>-8000</v>
      </c>
      <c r="AT122" s="1575">
        <f t="shared" si="203"/>
        <v>-100</v>
      </c>
      <c r="AU122" s="2174">
        <f t="shared" si="163"/>
        <v>8000</v>
      </c>
      <c r="AV122" s="1574"/>
      <c r="AW122" s="1574">
        <f>AV122-AU122</f>
        <v>-8000</v>
      </c>
      <c r="AX122" s="1575">
        <f t="shared" si="204"/>
        <v>-100</v>
      </c>
      <c r="AY122" s="1615">
        <f t="shared" si="180"/>
        <v>96000</v>
      </c>
      <c r="AZ122" s="1561">
        <f t="shared" si="181"/>
        <v>0</v>
      </c>
      <c r="BA122" s="805"/>
      <c r="BB122" s="1177"/>
    </row>
    <row r="123" spans="1:95" s="423" customFormat="1" ht="18.75" customHeight="1" x14ac:dyDescent="0.25">
      <c r="A123" s="1101">
        <v>54162</v>
      </c>
      <c r="B123" s="1645" t="s">
        <v>3788</v>
      </c>
      <c r="C123" s="1546">
        <v>25000</v>
      </c>
      <c r="D123" s="2024">
        <v>14376.18</v>
      </c>
      <c r="E123" s="1649">
        <f t="shared" ref="E123:E130" si="205">D123-C123</f>
        <v>-10623.82</v>
      </c>
      <c r="F123" s="1549">
        <f t="shared" si="193"/>
        <v>-42.495280000000001</v>
      </c>
      <c r="G123" s="2178">
        <v>25000</v>
      </c>
      <c r="H123" s="2075">
        <v>25404.26</v>
      </c>
      <c r="I123" s="1649">
        <f t="shared" si="165"/>
        <v>404.2599999999984</v>
      </c>
      <c r="J123" s="1549">
        <f t="shared" si="194"/>
        <v>1.6170400000000029</v>
      </c>
      <c r="K123" s="1545">
        <f t="shared" si="167"/>
        <v>25000</v>
      </c>
      <c r="L123" s="1649">
        <f>VLOOKUP(A123,'[2]bALANCETE ORÇAMENTO'!$1:$1048576,7,0)</f>
        <v>29577.599999999999</v>
      </c>
      <c r="M123" s="1649">
        <f t="shared" ref="M123:M130" si="206">L123-K123</f>
        <v>4577.5999999999985</v>
      </c>
      <c r="N123" s="1549">
        <f t="shared" si="195"/>
        <v>18.310399999999994</v>
      </c>
      <c r="O123" s="1545">
        <f t="shared" si="169"/>
        <v>25000</v>
      </c>
      <c r="P123" s="1649"/>
      <c r="Q123" s="1649">
        <f t="shared" ref="Q123:Q130" si="207">P123-O123</f>
        <v>-25000</v>
      </c>
      <c r="R123" s="1549">
        <f t="shared" si="196"/>
        <v>-100</v>
      </c>
      <c r="S123" s="1545">
        <f t="shared" si="171"/>
        <v>25000</v>
      </c>
      <c r="T123" s="1649"/>
      <c r="U123" s="1649">
        <f t="shared" ref="U123:U130" si="208">T123-S123</f>
        <v>-25000</v>
      </c>
      <c r="V123" s="1549">
        <f t="shared" si="197"/>
        <v>-100</v>
      </c>
      <c r="W123" s="1545">
        <f t="shared" si="157"/>
        <v>25000</v>
      </c>
      <c r="X123" s="1649"/>
      <c r="Y123" s="1649">
        <f t="shared" ref="Y123:Y130" si="209">X123-W123</f>
        <v>-25000</v>
      </c>
      <c r="Z123" s="1549">
        <f t="shared" si="198"/>
        <v>-100</v>
      </c>
      <c r="AA123" s="1545">
        <f t="shared" si="158"/>
        <v>25000</v>
      </c>
      <c r="AB123" s="1649"/>
      <c r="AC123" s="1649">
        <f t="shared" ref="AC123:AC130" si="210">AB123-AA123</f>
        <v>-25000</v>
      </c>
      <c r="AD123" s="1549">
        <f t="shared" si="199"/>
        <v>-100</v>
      </c>
      <c r="AE123" s="1545">
        <f t="shared" si="159"/>
        <v>25000</v>
      </c>
      <c r="AF123" s="1649"/>
      <c r="AG123" s="1649">
        <f t="shared" ref="AG123:AG130" si="211">AF123-AE123</f>
        <v>-25000</v>
      </c>
      <c r="AH123" s="1549">
        <f t="shared" si="200"/>
        <v>-100</v>
      </c>
      <c r="AI123" s="1545">
        <f t="shared" si="160"/>
        <v>25000</v>
      </c>
      <c r="AJ123" s="1649"/>
      <c r="AK123" s="1649">
        <f t="shared" ref="AK123:AK130" si="212">AJ123-AI123</f>
        <v>-25000</v>
      </c>
      <c r="AL123" s="1549">
        <f t="shared" si="201"/>
        <v>-100</v>
      </c>
      <c r="AM123" s="1545">
        <f t="shared" si="161"/>
        <v>25000</v>
      </c>
      <c r="AN123" s="1649"/>
      <c r="AO123" s="1649">
        <f t="shared" ref="AO123:AO130" si="213">AN123-AM123</f>
        <v>-25000</v>
      </c>
      <c r="AP123" s="1549">
        <f t="shared" si="202"/>
        <v>-100</v>
      </c>
      <c r="AQ123" s="1545">
        <f t="shared" si="162"/>
        <v>25000</v>
      </c>
      <c r="AR123" s="1649"/>
      <c r="AS123" s="1649">
        <f t="shared" ref="AS123:AS130" si="214">AR123-AQ123</f>
        <v>-25000</v>
      </c>
      <c r="AT123" s="1549">
        <f t="shared" si="203"/>
        <v>-100</v>
      </c>
      <c r="AU123" s="1545">
        <f t="shared" si="163"/>
        <v>25000</v>
      </c>
      <c r="AV123" s="1649"/>
      <c r="AW123" s="1649">
        <f t="shared" ref="AW123:AW130" si="215">AV123-AU123</f>
        <v>-25000</v>
      </c>
      <c r="AX123" s="2192">
        <f t="shared" si="204"/>
        <v>-100</v>
      </c>
      <c r="AY123" s="1235">
        <f t="shared" si="180"/>
        <v>300000</v>
      </c>
      <c r="AZ123" s="1632">
        <f t="shared" si="181"/>
        <v>69358.040000000008</v>
      </c>
      <c r="BA123" s="805"/>
      <c r="BB123" s="1178"/>
      <c r="BC123" s="1421"/>
      <c r="BD123" s="1421"/>
      <c r="BE123" s="1421"/>
      <c r="BF123" s="1421"/>
      <c r="BG123" s="1421"/>
      <c r="BH123" s="1421"/>
      <c r="BI123" s="1421"/>
      <c r="BJ123" s="1421"/>
      <c r="BK123" s="1421"/>
      <c r="BL123" s="1421"/>
      <c r="BM123" s="1421"/>
      <c r="BN123" s="1421"/>
      <c r="BO123" s="1421"/>
      <c r="BP123" s="1421"/>
      <c r="BQ123" s="1421"/>
      <c r="BR123" s="1421"/>
      <c r="BS123" s="1421"/>
      <c r="BT123" s="1421"/>
      <c r="BU123" s="1421"/>
      <c r="BV123" s="1421"/>
      <c r="BW123" s="1421"/>
      <c r="BX123" s="1421"/>
      <c r="BY123" s="1421"/>
      <c r="BZ123" s="1421"/>
      <c r="CA123" s="1421"/>
      <c r="CB123" s="1421"/>
      <c r="CC123" s="1421"/>
      <c r="CD123" s="1421"/>
      <c r="CE123" s="1421"/>
      <c r="CF123" s="1421"/>
      <c r="CG123" s="1421"/>
      <c r="CH123" s="1421"/>
      <c r="CI123" s="1421"/>
      <c r="CJ123" s="1421"/>
      <c r="CK123" s="1421"/>
      <c r="CL123" s="1421"/>
      <c r="CM123" s="1421"/>
      <c r="CN123" s="1421"/>
      <c r="CO123" s="1421"/>
      <c r="CP123" s="1421"/>
      <c r="CQ123" s="1421"/>
    </row>
    <row r="124" spans="1:95" s="146" customFormat="1" ht="18.75" customHeight="1" x14ac:dyDescent="0.25">
      <c r="A124" s="1517">
        <v>12230</v>
      </c>
      <c r="B124" s="1424" t="s">
        <v>184</v>
      </c>
      <c r="C124" s="1546">
        <v>20000</v>
      </c>
      <c r="D124" s="2014">
        <v>17152.29</v>
      </c>
      <c r="E124" s="1576">
        <f t="shared" si="205"/>
        <v>-2847.7099999999991</v>
      </c>
      <c r="F124" s="1550">
        <f t="shared" si="193"/>
        <v>-14.238549999999995</v>
      </c>
      <c r="G124" s="1546">
        <v>20000</v>
      </c>
      <c r="H124" s="1611">
        <v>18407.66</v>
      </c>
      <c r="I124" s="1576">
        <f t="shared" si="165"/>
        <v>-1592.3400000000001</v>
      </c>
      <c r="J124" s="1550">
        <f t="shared" si="194"/>
        <v>-7.9617000000000049</v>
      </c>
      <c r="K124" s="1546">
        <f t="shared" si="167"/>
        <v>20000</v>
      </c>
      <c r="L124" s="1576">
        <f>VLOOKUP(A124,'[2]bALANCETE ORÇAMENTO'!$1:$1048576,7,0)</f>
        <v>17637.259999999998</v>
      </c>
      <c r="M124" s="1576">
        <f t="shared" si="206"/>
        <v>-2362.7400000000016</v>
      </c>
      <c r="N124" s="1550">
        <f t="shared" si="195"/>
        <v>-11.813700000000004</v>
      </c>
      <c r="O124" s="1546">
        <f t="shared" si="169"/>
        <v>20000</v>
      </c>
      <c r="P124" s="1576"/>
      <c r="Q124" s="1576">
        <f t="shared" si="207"/>
        <v>-20000</v>
      </c>
      <c r="R124" s="1550">
        <f t="shared" si="196"/>
        <v>-100</v>
      </c>
      <c r="S124" s="1546">
        <f t="shared" si="171"/>
        <v>20000</v>
      </c>
      <c r="T124" s="1576"/>
      <c r="U124" s="1576">
        <f t="shared" si="208"/>
        <v>-20000</v>
      </c>
      <c r="V124" s="1550">
        <f t="shared" si="197"/>
        <v>-100</v>
      </c>
      <c r="W124" s="1546">
        <f t="shared" si="157"/>
        <v>20000</v>
      </c>
      <c r="X124" s="1576"/>
      <c r="Y124" s="1576">
        <f t="shared" si="209"/>
        <v>-20000</v>
      </c>
      <c r="Z124" s="1550">
        <f t="shared" si="198"/>
        <v>-100</v>
      </c>
      <c r="AA124" s="1546">
        <f t="shared" si="158"/>
        <v>20000</v>
      </c>
      <c r="AB124" s="1576"/>
      <c r="AC124" s="1576">
        <f t="shared" si="210"/>
        <v>-20000</v>
      </c>
      <c r="AD124" s="1550">
        <f t="shared" si="199"/>
        <v>-100</v>
      </c>
      <c r="AE124" s="1546">
        <f t="shared" si="159"/>
        <v>20000</v>
      </c>
      <c r="AF124" s="1576"/>
      <c r="AG124" s="1576">
        <f t="shared" si="211"/>
        <v>-20000</v>
      </c>
      <c r="AH124" s="1550">
        <f t="shared" si="200"/>
        <v>-100</v>
      </c>
      <c r="AI124" s="1546">
        <f t="shared" si="160"/>
        <v>20000</v>
      </c>
      <c r="AJ124" s="1576"/>
      <c r="AK124" s="1576">
        <f t="shared" si="212"/>
        <v>-20000</v>
      </c>
      <c r="AL124" s="1550">
        <f t="shared" si="201"/>
        <v>-100</v>
      </c>
      <c r="AM124" s="1546">
        <f t="shared" si="161"/>
        <v>20000</v>
      </c>
      <c r="AN124" s="1576"/>
      <c r="AO124" s="1576">
        <f t="shared" si="213"/>
        <v>-20000</v>
      </c>
      <c r="AP124" s="1550">
        <f t="shared" si="202"/>
        <v>-100</v>
      </c>
      <c r="AQ124" s="1546">
        <f t="shared" si="162"/>
        <v>20000</v>
      </c>
      <c r="AR124" s="1576"/>
      <c r="AS124" s="1576">
        <f t="shared" si="214"/>
        <v>-20000</v>
      </c>
      <c r="AT124" s="1550">
        <f t="shared" si="203"/>
        <v>-100</v>
      </c>
      <c r="AU124" s="1546">
        <f t="shared" si="163"/>
        <v>20000</v>
      </c>
      <c r="AV124" s="1576"/>
      <c r="AW124" s="1576">
        <f t="shared" si="215"/>
        <v>-20000</v>
      </c>
      <c r="AX124" s="1577">
        <f t="shared" si="204"/>
        <v>-100</v>
      </c>
      <c r="AY124" s="1236">
        <f t="shared" si="180"/>
        <v>240000</v>
      </c>
      <c r="AZ124" s="1616">
        <f t="shared" si="181"/>
        <v>53197.209999999992</v>
      </c>
      <c r="BA124" s="805"/>
      <c r="BB124" s="1178"/>
      <c r="BC124" s="1421"/>
      <c r="BD124" s="1421"/>
      <c r="BE124" s="1421"/>
      <c r="BO124" s="1421"/>
      <c r="BP124" s="1421"/>
    </row>
    <row r="125" spans="1:95" s="146" customFormat="1" ht="18.75" customHeight="1" x14ac:dyDescent="0.25">
      <c r="A125" s="1517">
        <v>12231</v>
      </c>
      <c r="B125" s="1424" t="s">
        <v>185</v>
      </c>
      <c r="C125" s="1546">
        <v>40000</v>
      </c>
      <c r="D125" s="2014">
        <v>30790.04</v>
      </c>
      <c r="E125" s="1576">
        <f t="shared" si="205"/>
        <v>-9209.9599999999991</v>
      </c>
      <c r="F125" s="1550">
        <f t="shared" si="193"/>
        <v>-23.024899999999992</v>
      </c>
      <c r="G125" s="1546">
        <v>40000</v>
      </c>
      <c r="H125" s="1611">
        <v>53720.77</v>
      </c>
      <c r="I125" s="1576">
        <f t="shared" si="165"/>
        <v>13720.769999999997</v>
      </c>
      <c r="J125" s="1550">
        <f t="shared" si="194"/>
        <v>34.301924999999997</v>
      </c>
      <c r="K125" s="1546">
        <f t="shared" si="167"/>
        <v>40000</v>
      </c>
      <c r="L125" s="1576">
        <f>VLOOKUP(A125,'[2]bALANCETE ORÇAMENTO'!$1:$1048576,7,0)</f>
        <v>20085.62</v>
      </c>
      <c r="M125" s="1576">
        <f t="shared" si="206"/>
        <v>-19914.38</v>
      </c>
      <c r="N125" s="1550">
        <f t="shared" si="195"/>
        <v>-49.78595</v>
      </c>
      <c r="O125" s="1546">
        <f t="shared" si="169"/>
        <v>40000</v>
      </c>
      <c r="P125" s="1576"/>
      <c r="Q125" s="1576">
        <f t="shared" si="207"/>
        <v>-40000</v>
      </c>
      <c r="R125" s="1550">
        <f t="shared" si="196"/>
        <v>-100</v>
      </c>
      <c r="S125" s="1546">
        <f t="shared" si="171"/>
        <v>40000</v>
      </c>
      <c r="T125" s="1576"/>
      <c r="U125" s="1576">
        <f t="shared" si="208"/>
        <v>-40000</v>
      </c>
      <c r="V125" s="1550">
        <f t="shared" si="197"/>
        <v>-100</v>
      </c>
      <c r="W125" s="1546">
        <f t="shared" si="157"/>
        <v>40000</v>
      </c>
      <c r="X125" s="1576"/>
      <c r="Y125" s="1576">
        <f t="shared" si="209"/>
        <v>-40000</v>
      </c>
      <c r="Z125" s="1550">
        <f t="shared" si="198"/>
        <v>-100</v>
      </c>
      <c r="AA125" s="1546">
        <f t="shared" si="158"/>
        <v>40000</v>
      </c>
      <c r="AB125" s="1576"/>
      <c r="AC125" s="1576">
        <f t="shared" si="210"/>
        <v>-40000</v>
      </c>
      <c r="AD125" s="1550">
        <f t="shared" si="199"/>
        <v>-100</v>
      </c>
      <c r="AE125" s="1546">
        <f t="shared" si="159"/>
        <v>40000</v>
      </c>
      <c r="AF125" s="1576"/>
      <c r="AG125" s="1576">
        <f t="shared" si="211"/>
        <v>-40000</v>
      </c>
      <c r="AH125" s="1550">
        <f t="shared" si="200"/>
        <v>-100</v>
      </c>
      <c r="AI125" s="1546">
        <f t="shared" si="160"/>
        <v>40000</v>
      </c>
      <c r="AJ125" s="1576"/>
      <c r="AK125" s="1576">
        <f t="shared" si="212"/>
        <v>-40000</v>
      </c>
      <c r="AL125" s="1550">
        <f t="shared" si="201"/>
        <v>-100</v>
      </c>
      <c r="AM125" s="1546">
        <f t="shared" si="161"/>
        <v>40000</v>
      </c>
      <c r="AN125" s="1576"/>
      <c r="AO125" s="1576">
        <f t="shared" si="213"/>
        <v>-40000</v>
      </c>
      <c r="AP125" s="1550">
        <f t="shared" si="202"/>
        <v>-100</v>
      </c>
      <c r="AQ125" s="1546">
        <f t="shared" si="162"/>
        <v>40000</v>
      </c>
      <c r="AR125" s="1576"/>
      <c r="AS125" s="1576">
        <f t="shared" si="214"/>
        <v>-40000</v>
      </c>
      <c r="AT125" s="1550">
        <f t="shared" si="203"/>
        <v>-100</v>
      </c>
      <c r="AU125" s="1546">
        <f t="shared" si="163"/>
        <v>40000</v>
      </c>
      <c r="AV125" s="1576"/>
      <c r="AW125" s="1576">
        <f t="shared" si="215"/>
        <v>-40000</v>
      </c>
      <c r="AX125" s="1577">
        <f t="shared" si="204"/>
        <v>-100</v>
      </c>
      <c r="AY125" s="1236">
        <f t="shared" si="180"/>
        <v>480000</v>
      </c>
      <c r="AZ125" s="1616">
        <f t="shared" si="181"/>
        <v>104596.43</v>
      </c>
      <c r="BA125" s="805"/>
      <c r="BB125" s="1178"/>
      <c r="BC125" s="1421"/>
      <c r="BD125" s="1421"/>
      <c r="BE125" s="1421"/>
      <c r="BO125" s="1421"/>
      <c r="BP125" s="1421"/>
    </row>
    <row r="126" spans="1:95" s="146" customFormat="1" ht="18.75" customHeight="1" x14ac:dyDescent="0.25">
      <c r="A126" s="1101">
        <v>54448</v>
      </c>
      <c r="B126" s="1075" t="s">
        <v>3792</v>
      </c>
      <c r="C126" s="1546">
        <v>8000</v>
      </c>
      <c r="D126" s="2014">
        <v>5425</v>
      </c>
      <c r="E126" s="1576">
        <f t="shared" si="205"/>
        <v>-2575</v>
      </c>
      <c r="F126" s="1550">
        <f t="shared" si="193"/>
        <v>-32.1875</v>
      </c>
      <c r="G126" s="1546">
        <v>8000</v>
      </c>
      <c r="H126" s="2071">
        <v>4025</v>
      </c>
      <c r="I126" s="1576">
        <f t="shared" si="165"/>
        <v>-3975</v>
      </c>
      <c r="J126" s="1550">
        <f t="shared" si="194"/>
        <v>-49.687499999999993</v>
      </c>
      <c r="K126" s="1546">
        <f t="shared" si="167"/>
        <v>8000</v>
      </c>
      <c r="L126" s="1576">
        <f>VLOOKUP(A126,'[2]bALANCETE ORÇAMENTO'!$1:$1048576,7,0)</f>
        <v>6500</v>
      </c>
      <c r="M126" s="1576">
        <f t="shared" si="206"/>
        <v>-1500</v>
      </c>
      <c r="N126" s="1550">
        <f t="shared" si="195"/>
        <v>-18.75</v>
      </c>
      <c r="O126" s="1546">
        <f t="shared" si="169"/>
        <v>8000</v>
      </c>
      <c r="P126" s="1576"/>
      <c r="Q126" s="1576">
        <f t="shared" si="207"/>
        <v>-8000</v>
      </c>
      <c r="R126" s="1550">
        <f t="shared" si="196"/>
        <v>-100</v>
      </c>
      <c r="S126" s="1546">
        <f t="shared" si="171"/>
        <v>8000</v>
      </c>
      <c r="T126" s="1576"/>
      <c r="U126" s="1576">
        <f t="shared" si="208"/>
        <v>-8000</v>
      </c>
      <c r="V126" s="1550">
        <f t="shared" si="197"/>
        <v>-100</v>
      </c>
      <c r="W126" s="1546">
        <f t="shared" si="157"/>
        <v>8000</v>
      </c>
      <c r="X126" s="1576"/>
      <c r="Y126" s="1576">
        <f t="shared" si="209"/>
        <v>-8000</v>
      </c>
      <c r="Z126" s="1550">
        <f t="shared" si="198"/>
        <v>-100</v>
      </c>
      <c r="AA126" s="1546">
        <f t="shared" si="158"/>
        <v>8000</v>
      </c>
      <c r="AB126" s="1576"/>
      <c r="AC126" s="1576">
        <f t="shared" si="210"/>
        <v>-8000</v>
      </c>
      <c r="AD126" s="1550">
        <f t="shared" si="199"/>
        <v>-100</v>
      </c>
      <c r="AE126" s="1546">
        <f t="shared" si="159"/>
        <v>8000</v>
      </c>
      <c r="AF126" s="1576"/>
      <c r="AG126" s="1576">
        <f t="shared" si="211"/>
        <v>-8000</v>
      </c>
      <c r="AH126" s="1550">
        <f t="shared" si="200"/>
        <v>-100</v>
      </c>
      <c r="AI126" s="1546">
        <f t="shared" si="160"/>
        <v>8000</v>
      </c>
      <c r="AJ126" s="1576"/>
      <c r="AK126" s="1576">
        <f t="shared" si="212"/>
        <v>-8000</v>
      </c>
      <c r="AL126" s="1550">
        <f t="shared" si="201"/>
        <v>-100</v>
      </c>
      <c r="AM126" s="1546">
        <f t="shared" si="161"/>
        <v>8000</v>
      </c>
      <c r="AN126" s="1576"/>
      <c r="AO126" s="1576">
        <f t="shared" si="213"/>
        <v>-8000</v>
      </c>
      <c r="AP126" s="1550">
        <f t="shared" si="202"/>
        <v>-100</v>
      </c>
      <c r="AQ126" s="1546">
        <f t="shared" si="162"/>
        <v>8000</v>
      </c>
      <c r="AR126" s="1576"/>
      <c r="AS126" s="1576">
        <f t="shared" si="214"/>
        <v>-8000</v>
      </c>
      <c r="AT126" s="1550">
        <f t="shared" si="203"/>
        <v>-100</v>
      </c>
      <c r="AU126" s="1546">
        <f t="shared" si="163"/>
        <v>8000</v>
      </c>
      <c r="AV126" s="1576"/>
      <c r="AW126" s="1576">
        <f t="shared" si="215"/>
        <v>-8000</v>
      </c>
      <c r="AX126" s="1577">
        <f t="shared" si="204"/>
        <v>-100</v>
      </c>
      <c r="AY126" s="1236">
        <f t="shared" si="180"/>
        <v>96000</v>
      </c>
      <c r="AZ126" s="1616">
        <f t="shared" si="181"/>
        <v>15950</v>
      </c>
      <c r="BB126" s="232"/>
    </row>
    <row r="127" spans="1:95" s="11" customFormat="1" ht="18.75" customHeight="1" x14ac:dyDescent="0.25">
      <c r="A127" s="1519">
        <v>51013</v>
      </c>
      <c r="B127" s="989" t="s">
        <v>56</v>
      </c>
      <c r="C127" s="1646">
        <v>8000</v>
      </c>
      <c r="D127" s="2023">
        <v>7624.45</v>
      </c>
      <c r="E127" s="1647">
        <f t="shared" si="205"/>
        <v>-375.55000000000018</v>
      </c>
      <c r="F127" s="1530">
        <f t="shared" si="193"/>
        <v>-4.6943750000000062</v>
      </c>
      <c r="G127" s="1646">
        <v>8000</v>
      </c>
      <c r="H127" s="1611">
        <v>7024.45</v>
      </c>
      <c r="I127" s="1647">
        <f t="shared" si="165"/>
        <v>-975.55000000000018</v>
      </c>
      <c r="J127" s="1530">
        <f t="shared" si="194"/>
        <v>-12.194375000000001</v>
      </c>
      <c r="K127" s="1646">
        <f t="shared" si="167"/>
        <v>8000</v>
      </c>
      <c r="L127" s="1647">
        <f>VLOOKUP(A127,'[2]bALANCETE ORÇAMENTO'!$1:$1048576,7,0)</f>
        <v>7424.45</v>
      </c>
      <c r="M127" s="1647">
        <f t="shared" si="206"/>
        <v>-575.55000000000018</v>
      </c>
      <c r="N127" s="1530">
        <f t="shared" si="195"/>
        <v>-7.1943749999999973</v>
      </c>
      <c r="O127" s="1646">
        <f t="shared" si="169"/>
        <v>8000</v>
      </c>
      <c r="P127" s="1647"/>
      <c r="Q127" s="1647">
        <f t="shared" si="207"/>
        <v>-8000</v>
      </c>
      <c r="R127" s="1530">
        <f t="shared" si="196"/>
        <v>-100</v>
      </c>
      <c r="S127" s="1646">
        <f t="shared" si="171"/>
        <v>8000</v>
      </c>
      <c r="T127" s="1647"/>
      <c r="U127" s="1647">
        <f t="shared" si="208"/>
        <v>-8000</v>
      </c>
      <c r="V127" s="1530">
        <f t="shared" si="197"/>
        <v>-100</v>
      </c>
      <c r="W127" s="1646">
        <f t="shared" si="157"/>
        <v>8000</v>
      </c>
      <c r="X127" s="1647"/>
      <c r="Y127" s="1647">
        <f t="shared" si="209"/>
        <v>-8000</v>
      </c>
      <c r="Z127" s="1530">
        <f t="shared" si="198"/>
        <v>-100</v>
      </c>
      <c r="AA127" s="1646">
        <f t="shared" si="158"/>
        <v>8000</v>
      </c>
      <c r="AB127" s="1647"/>
      <c r="AC127" s="1647">
        <f t="shared" si="210"/>
        <v>-8000</v>
      </c>
      <c r="AD127" s="1530">
        <f t="shared" si="199"/>
        <v>-100</v>
      </c>
      <c r="AE127" s="1646">
        <f t="shared" si="159"/>
        <v>8000</v>
      </c>
      <c r="AF127" s="1647"/>
      <c r="AG127" s="1647">
        <f t="shared" si="211"/>
        <v>-8000</v>
      </c>
      <c r="AH127" s="1530">
        <f t="shared" si="200"/>
        <v>-100</v>
      </c>
      <c r="AI127" s="1646">
        <f t="shared" si="160"/>
        <v>8000</v>
      </c>
      <c r="AJ127" s="1647"/>
      <c r="AK127" s="1647">
        <f t="shared" si="212"/>
        <v>-8000</v>
      </c>
      <c r="AL127" s="1530">
        <f t="shared" si="201"/>
        <v>-100</v>
      </c>
      <c r="AM127" s="1646">
        <f t="shared" si="161"/>
        <v>8000</v>
      </c>
      <c r="AN127" s="1647"/>
      <c r="AO127" s="1647">
        <f t="shared" si="213"/>
        <v>-8000</v>
      </c>
      <c r="AP127" s="1530">
        <f t="shared" si="202"/>
        <v>-100</v>
      </c>
      <c r="AQ127" s="1646">
        <f t="shared" si="162"/>
        <v>8000</v>
      </c>
      <c r="AR127" s="1647"/>
      <c r="AS127" s="1647">
        <f t="shared" si="214"/>
        <v>-8000</v>
      </c>
      <c r="AT127" s="1530">
        <f t="shared" si="203"/>
        <v>-100</v>
      </c>
      <c r="AU127" s="1646">
        <f t="shared" si="163"/>
        <v>8000</v>
      </c>
      <c r="AV127" s="1647"/>
      <c r="AW127" s="1647">
        <f t="shared" si="215"/>
        <v>-8000</v>
      </c>
      <c r="AX127" s="2194">
        <f t="shared" si="204"/>
        <v>-100</v>
      </c>
      <c r="AY127" s="1530">
        <f t="shared" si="180"/>
        <v>96000</v>
      </c>
      <c r="AZ127" s="1613">
        <f t="shared" si="181"/>
        <v>22073.35</v>
      </c>
      <c r="BA127" s="805"/>
      <c r="BB127" s="1178"/>
      <c r="BC127" s="1421"/>
      <c r="BD127" s="1421"/>
      <c r="BE127" s="1421"/>
    </row>
    <row r="128" spans="1:95" s="11" customFormat="1" ht="18.75" customHeight="1" x14ac:dyDescent="0.25">
      <c r="A128" s="1519">
        <v>54493</v>
      </c>
      <c r="B128" s="989" t="s">
        <v>3801</v>
      </c>
      <c r="C128" s="1653">
        <v>0</v>
      </c>
      <c r="D128" s="2023">
        <v>109191</v>
      </c>
      <c r="E128" s="1647">
        <f t="shared" si="205"/>
        <v>109191</v>
      </c>
      <c r="F128" s="1530">
        <v>0</v>
      </c>
      <c r="G128" s="1653">
        <v>0</v>
      </c>
      <c r="H128" s="1611">
        <v>73516.160000000003</v>
      </c>
      <c r="I128" s="1647">
        <f t="shared" si="165"/>
        <v>73516.160000000003</v>
      </c>
      <c r="J128" s="1530">
        <v>0</v>
      </c>
      <c r="K128" s="1653">
        <f t="shared" si="167"/>
        <v>0</v>
      </c>
      <c r="L128" s="1647">
        <f>VLOOKUP(A128,'[2]bALANCETE ORÇAMENTO'!$1:$1048576,7,0)</f>
        <v>100815.11</v>
      </c>
      <c r="M128" s="1647">
        <f t="shared" si="206"/>
        <v>100815.11</v>
      </c>
      <c r="N128" s="1530">
        <v>0</v>
      </c>
      <c r="O128" s="1653">
        <f t="shared" si="169"/>
        <v>0</v>
      </c>
      <c r="P128" s="1647"/>
      <c r="Q128" s="1647">
        <f t="shared" si="207"/>
        <v>0</v>
      </c>
      <c r="R128" s="1530">
        <v>0</v>
      </c>
      <c r="S128" s="1653">
        <f t="shared" si="171"/>
        <v>0</v>
      </c>
      <c r="T128" s="1647"/>
      <c r="U128" s="1647">
        <f t="shared" si="208"/>
        <v>0</v>
      </c>
      <c r="V128" s="1530">
        <v>0</v>
      </c>
      <c r="W128" s="1653">
        <f t="shared" si="157"/>
        <v>0</v>
      </c>
      <c r="X128" s="1647"/>
      <c r="Y128" s="1647">
        <f t="shared" si="209"/>
        <v>0</v>
      </c>
      <c r="Z128" s="1530">
        <v>0</v>
      </c>
      <c r="AA128" s="1653">
        <f t="shared" si="158"/>
        <v>0</v>
      </c>
      <c r="AB128" s="1647"/>
      <c r="AC128" s="1647">
        <f t="shared" si="210"/>
        <v>0</v>
      </c>
      <c r="AD128" s="1530">
        <v>0</v>
      </c>
      <c r="AE128" s="1653">
        <f t="shared" si="159"/>
        <v>0</v>
      </c>
      <c r="AF128" s="1647"/>
      <c r="AG128" s="1647">
        <f t="shared" si="211"/>
        <v>0</v>
      </c>
      <c r="AH128" s="1530">
        <v>0</v>
      </c>
      <c r="AI128" s="1653">
        <f t="shared" si="160"/>
        <v>0</v>
      </c>
      <c r="AJ128" s="1647"/>
      <c r="AK128" s="1647">
        <f t="shared" si="212"/>
        <v>0</v>
      </c>
      <c r="AL128" s="1530">
        <v>0</v>
      </c>
      <c r="AM128" s="1653">
        <f t="shared" si="161"/>
        <v>0</v>
      </c>
      <c r="AN128" s="1647"/>
      <c r="AO128" s="1647">
        <f t="shared" si="213"/>
        <v>0</v>
      </c>
      <c r="AP128" s="1530">
        <v>0</v>
      </c>
      <c r="AQ128" s="1653">
        <f t="shared" si="162"/>
        <v>0</v>
      </c>
      <c r="AR128" s="1647"/>
      <c r="AS128" s="1647">
        <f t="shared" si="214"/>
        <v>0</v>
      </c>
      <c r="AT128" s="1530">
        <v>0</v>
      </c>
      <c r="AU128" s="1653">
        <f t="shared" si="163"/>
        <v>0</v>
      </c>
      <c r="AV128" s="1647"/>
      <c r="AW128" s="1647">
        <f t="shared" si="215"/>
        <v>0</v>
      </c>
      <c r="AX128" s="2194">
        <v>0</v>
      </c>
      <c r="AY128" s="1654">
        <f t="shared" si="180"/>
        <v>0</v>
      </c>
      <c r="AZ128" s="1613">
        <f t="shared" si="181"/>
        <v>283522.27</v>
      </c>
      <c r="BA128" s="805"/>
      <c r="BB128" s="1178"/>
      <c r="BC128" s="1421"/>
      <c r="BD128" s="1421"/>
      <c r="BE128" s="1421"/>
    </row>
    <row r="129" spans="1:57" s="11" customFormat="1" ht="18.75" customHeight="1" x14ac:dyDescent="0.25">
      <c r="A129" s="1519">
        <v>12193</v>
      </c>
      <c r="B129" s="989" t="s">
        <v>3834</v>
      </c>
      <c r="C129" s="1653">
        <v>0</v>
      </c>
      <c r="D129" s="2023">
        <v>0</v>
      </c>
      <c r="E129" s="1647">
        <f t="shared" si="205"/>
        <v>0</v>
      </c>
      <c r="F129" s="1530">
        <v>0</v>
      </c>
      <c r="G129" s="1653">
        <v>0</v>
      </c>
      <c r="H129" s="2071">
        <v>580</v>
      </c>
      <c r="I129" s="1647">
        <f t="shared" si="165"/>
        <v>580</v>
      </c>
      <c r="J129" s="1530">
        <v>0</v>
      </c>
      <c r="K129" s="1653">
        <f t="shared" si="167"/>
        <v>0</v>
      </c>
      <c r="L129" s="1647">
        <f>VLOOKUP(A129,'[2]bALANCETE ORÇAMENTO'!$1:$1048576,7,0)</f>
        <v>520</v>
      </c>
      <c r="M129" s="1647">
        <f t="shared" si="206"/>
        <v>520</v>
      </c>
      <c r="N129" s="1530">
        <v>0</v>
      </c>
      <c r="O129" s="1653">
        <f t="shared" si="169"/>
        <v>0</v>
      </c>
      <c r="P129" s="1647"/>
      <c r="Q129" s="1647">
        <f t="shared" si="207"/>
        <v>0</v>
      </c>
      <c r="R129" s="1530">
        <v>0</v>
      </c>
      <c r="S129" s="1653">
        <f t="shared" si="171"/>
        <v>0</v>
      </c>
      <c r="T129" s="1647"/>
      <c r="U129" s="1647">
        <f t="shared" si="208"/>
        <v>0</v>
      </c>
      <c r="V129" s="1530">
        <v>0</v>
      </c>
      <c r="W129" s="1653">
        <f t="shared" si="157"/>
        <v>0</v>
      </c>
      <c r="X129" s="1647"/>
      <c r="Y129" s="1647">
        <f t="shared" si="209"/>
        <v>0</v>
      </c>
      <c r="Z129" s="1530">
        <v>0</v>
      </c>
      <c r="AA129" s="1653">
        <f t="shared" si="158"/>
        <v>0</v>
      </c>
      <c r="AB129" s="1647"/>
      <c r="AC129" s="1647">
        <f t="shared" si="210"/>
        <v>0</v>
      </c>
      <c r="AD129" s="1530">
        <v>0</v>
      </c>
      <c r="AE129" s="1653">
        <f t="shared" si="159"/>
        <v>0</v>
      </c>
      <c r="AF129" s="1647"/>
      <c r="AG129" s="1647">
        <f t="shared" si="211"/>
        <v>0</v>
      </c>
      <c r="AH129" s="1530">
        <v>0</v>
      </c>
      <c r="AI129" s="1653">
        <f t="shared" si="160"/>
        <v>0</v>
      </c>
      <c r="AJ129" s="1647"/>
      <c r="AK129" s="1647">
        <f t="shared" si="212"/>
        <v>0</v>
      </c>
      <c r="AL129" s="1530">
        <v>0</v>
      </c>
      <c r="AM129" s="1653">
        <f t="shared" si="161"/>
        <v>0</v>
      </c>
      <c r="AN129" s="1647"/>
      <c r="AO129" s="1647">
        <f t="shared" si="213"/>
        <v>0</v>
      </c>
      <c r="AP129" s="1530">
        <v>0</v>
      </c>
      <c r="AQ129" s="1653">
        <f t="shared" si="162"/>
        <v>0</v>
      </c>
      <c r="AR129" s="1647"/>
      <c r="AS129" s="1647">
        <f t="shared" si="214"/>
        <v>0</v>
      </c>
      <c r="AT129" s="1530">
        <v>0</v>
      </c>
      <c r="AU129" s="1653">
        <f t="shared" si="163"/>
        <v>0</v>
      </c>
      <c r="AV129" s="1647"/>
      <c r="AW129" s="1647">
        <f t="shared" si="215"/>
        <v>0</v>
      </c>
      <c r="AX129" s="2194">
        <v>0</v>
      </c>
      <c r="AY129" s="1654">
        <f t="shared" si="180"/>
        <v>0</v>
      </c>
      <c r="AZ129" s="1613">
        <f t="shared" si="181"/>
        <v>1100</v>
      </c>
      <c r="BA129" s="805"/>
      <c r="BB129" s="1178"/>
      <c r="BC129" s="1421"/>
      <c r="BD129" s="1421"/>
      <c r="BE129" s="1421"/>
    </row>
    <row r="130" spans="1:57" s="11" customFormat="1" ht="18.75" customHeight="1" x14ac:dyDescent="0.25">
      <c r="A130" s="1519">
        <v>55277</v>
      </c>
      <c r="B130" s="1424" t="s">
        <v>3800</v>
      </c>
      <c r="C130" s="2507">
        <v>0</v>
      </c>
      <c r="D130" s="2023">
        <v>21780</v>
      </c>
      <c r="E130" s="1576">
        <f t="shared" si="205"/>
        <v>21780</v>
      </c>
      <c r="F130" s="1577">
        <v>0</v>
      </c>
      <c r="G130" s="1653">
        <v>0</v>
      </c>
      <c r="H130" s="2075">
        <v>4800</v>
      </c>
      <c r="I130" s="1647">
        <f t="shared" si="165"/>
        <v>4800</v>
      </c>
      <c r="J130" s="2194">
        <v>0</v>
      </c>
      <c r="K130" s="1653">
        <f t="shared" si="167"/>
        <v>0</v>
      </c>
      <c r="L130" s="1576">
        <f>VLOOKUP(A130,'[2]bALANCETE ORÇAMENTO'!$1:$1048576,7,0)</f>
        <v>6120</v>
      </c>
      <c r="M130" s="1647">
        <f t="shared" si="206"/>
        <v>6120</v>
      </c>
      <c r="N130" s="1577">
        <v>0</v>
      </c>
      <c r="O130" s="1653">
        <f t="shared" si="169"/>
        <v>0</v>
      </c>
      <c r="P130" s="1647"/>
      <c r="Q130" s="1647">
        <f t="shared" si="207"/>
        <v>0</v>
      </c>
      <c r="R130" s="2194">
        <v>0</v>
      </c>
      <c r="S130" s="1653">
        <f t="shared" si="171"/>
        <v>0</v>
      </c>
      <c r="T130" s="1576"/>
      <c r="U130" s="1647">
        <f t="shared" si="208"/>
        <v>0</v>
      </c>
      <c r="V130" s="1577">
        <v>0</v>
      </c>
      <c r="W130" s="2507">
        <f t="shared" si="157"/>
        <v>0</v>
      </c>
      <c r="X130" s="1576"/>
      <c r="Y130" s="1576">
        <f t="shared" si="209"/>
        <v>0</v>
      </c>
      <c r="Z130" s="2194">
        <v>0</v>
      </c>
      <c r="AA130" s="2507">
        <f t="shared" si="158"/>
        <v>0</v>
      </c>
      <c r="AB130" s="1576"/>
      <c r="AC130" s="1576">
        <f t="shared" si="210"/>
        <v>0</v>
      </c>
      <c r="AD130" s="1577">
        <v>0</v>
      </c>
      <c r="AE130" s="1653">
        <f t="shared" si="159"/>
        <v>0</v>
      </c>
      <c r="AF130" s="1647"/>
      <c r="AG130" s="1647">
        <f t="shared" si="211"/>
        <v>0</v>
      </c>
      <c r="AH130" s="2194">
        <v>0</v>
      </c>
      <c r="AI130" s="1653">
        <f t="shared" si="160"/>
        <v>0</v>
      </c>
      <c r="AJ130" s="1647"/>
      <c r="AK130" s="1576">
        <f t="shared" si="212"/>
        <v>0</v>
      </c>
      <c r="AL130" s="1577">
        <v>0</v>
      </c>
      <c r="AM130" s="1653">
        <f t="shared" si="161"/>
        <v>0</v>
      </c>
      <c r="AN130" s="1647"/>
      <c r="AO130" s="1576">
        <f t="shared" si="213"/>
        <v>0</v>
      </c>
      <c r="AP130" s="1577">
        <v>0</v>
      </c>
      <c r="AQ130" s="2507">
        <f t="shared" si="162"/>
        <v>0</v>
      </c>
      <c r="AR130" s="1647"/>
      <c r="AS130" s="1647">
        <f t="shared" si="214"/>
        <v>0</v>
      </c>
      <c r="AT130" s="2194">
        <v>0</v>
      </c>
      <c r="AU130" s="1653">
        <f t="shared" si="163"/>
        <v>0</v>
      </c>
      <c r="AV130" s="1647"/>
      <c r="AW130" s="1647">
        <f t="shared" si="215"/>
        <v>0</v>
      </c>
      <c r="AX130" s="2194">
        <v>0</v>
      </c>
      <c r="AY130" s="1625">
        <f t="shared" si="180"/>
        <v>0</v>
      </c>
      <c r="AZ130" s="1616">
        <f t="shared" si="181"/>
        <v>32700</v>
      </c>
      <c r="BA130" s="805"/>
      <c r="BB130" s="1178"/>
      <c r="BC130" s="1421"/>
      <c r="BD130" s="1421"/>
      <c r="BE130" s="1421"/>
    </row>
    <row r="131" spans="1:57" s="11" customFormat="1" ht="18.75" customHeight="1" thickBot="1" x14ac:dyDescent="0.3">
      <c r="A131" s="2514">
        <v>11540</v>
      </c>
      <c r="B131" s="384" t="s">
        <v>208</v>
      </c>
      <c r="C131" s="2506"/>
      <c r="D131" s="2015">
        <v>0</v>
      </c>
      <c r="E131" s="2434"/>
      <c r="F131" s="1539"/>
      <c r="G131" s="2508"/>
      <c r="H131" s="2509">
        <v>0</v>
      </c>
      <c r="I131" s="1578"/>
      <c r="J131" s="1238"/>
      <c r="K131" s="2508"/>
      <c r="L131" s="2434">
        <v>193.73</v>
      </c>
      <c r="M131" s="1578"/>
      <c r="N131" s="1539"/>
      <c r="O131" s="2508"/>
      <c r="P131" s="1578"/>
      <c r="Q131" s="1578"/>
      <c r="R131" s="1238"/>
      <c r="S131" s="2508"/>
      <c r="T131" s="2459"/>
      <c r="U131" s="1578"/>
      <c r="V131" s="1539"/>
      <c r="W131" s="2510"/>
      <c r="X131" s="1539"/>
      <c r="Y131" s="2511"/>
      <c r="Z131" s="1238"/>
      <c r="AA131" s="2512"/>
      <c r="AB131" s="2511"/>
      <c r="AC131" s="2434"/>
      <c r="AD131" s="1539"/>
      <c r="AE131" s="2508"/>
      <c r="AF131" s="1578"/>
      <c r="AG131" s="1578"/>
      <c r="AH131" s="1238"/>
      <c r="AI131" s="2508"/>
      <c r="AJ131" s="1578"/>
      <c r="AK131" s="2434"/>
      <c r="AL131" s="2469"/>
      <c r="AM131" s="2508"/>
      <c r="AN131" s="1578"/>
      <c r="AO131" s="2459"/>
      <c r="AP131" s="1238"/>
      <c r="AQ131" s="2510"/>
      <c r="AR131" s="1578"/>
      <c r="AS131" s="1578"/>
      <c r="AT131" s="1238"/>
      <c r="AU131" s="2508"/>
      <c r="AV131" s="1578"/>
      <c r="AW131" s="1578"/>
      <c r="AX131" s="1238"/>
      <c r="AY131" s="2513"/>
      <c r="AZ131" s="2493"/>
      <c r="BA131" s="805"/>
      <c r="BB131" s="1178"/>
      <c r="BC131" s="1421"/>
      <c r="BD131" s="1421"/>
      <c r="BE131" s="1421"/>
    </row>
    <row r="132" spans="1:57" s="11" customFormat="1" ht="18.75" customHeight="1" thickBot="1" x14ac:dyDescent="0.3">
      <c r="A132" s="1118"/>
      <c r="B132" s="823"/>
      <c r="C132" s="1985"/>
      <c r="D132" s="2025"/>
      <c r="E132" s="1985"/>
      <c r="F132" s="1985"/>
      <c r="G132" s="2468"/>
      <c r="H132" s="1986"/>
      <c r="I132" s="1986"/>
      <c r="J132" s="1985"/>
      <c r="K132" s="551"/>
      <c r="L132" s="1986"/>
      <c r="M132" s="1985"/>
      <c r="N132" s="1985"/>
      <c r="O132" s="2468"/>
      <c r="P132" s="1986"/>
      <c r="Q132" s="1985"/>
      <c r="R132" s="1985"/>
      <c r="S132" s="2468"/>
      <c r="T132" s="1986"/>
      <c r="U132" s="1985"/>
      <c r="V132" s="1985"/>
      <c r="W132" s="2468"/>
      <c r="X132" s="1985"/>
      <c r="Y132" s="1985"/>
      <c r="Z132" s="1985"/>
      <c r="AA132" s="551"/>
      <c r="AB132" s="1986"/>
      <c r="AC132" s="1985"/>
      <c r="AD132" s="1985"/>
      <c r="AE132" s="551"/>
      <c r="AF132" s="1985"/>
      <c r="AG132" s="1985"/>
      <c r="AH132" s="1986"/>
      <c r="AI132" s="2468"/>
      <c r="AJ132" s="1985"/>
      <c r="AK132" s="1985"/>
      <c r="AL132" s="1985"/>
      <c r="AM132" s="551"/>
      <c r="AN132" s="1986"/>
      <c r="AO132" s="1986"/>
      <c r="AP132" s="1985"/>
      <c r="AQ132" s="2468"/>
      <c r="AR132" s="1985"/>
      <c r="AS132" s="1985"/>
      <c r="AT132" s="1985"/>
      <c r="AU132" s="551"/>
      <c r="AV132" s="1985"/>
      <c r="AW132" s="1986"/>
      <c r="AX132" s="1985"/>
      <c r="AY132" s="1987"/>
      <c r="AZ132" s="1987"/>
      <c r="BA132" s="1172"/>
      <c r="BB132" s="1172"/>
    </row>
    <row r="133" spans="1:57" s="11" customFormat="1" ht="18.75" customHeight="1" thickBot="1" x14ac:dyDescent="0.3">
      <c r="A133" s="165"/>
      <c r="B133" s="330" t="s">
        <v>3916</v>
      </c>
      <c r="C133" s="1403">
        <f>SUM(C134:C145)</f>
        <v>195292.27</v>
      </c>
      <c r="D133" s="1973">
        <f>SUM(D134:D148)</f>
        <v>161120.37999999998</v>
      </c>
      <c r="E133" s="396">
        <f>D133-C133</f>
        <v>-34171.890000000014</v>
      </c>
      <c r="F133" s="397">
        <f t="shared" ref="F133:F137" si="216">((D133/C133)-1)*100</f>
        <v>-17.497820062207282</v>
      </c>
      <c r="G133" s="1391">
        <f>SUM(G134:G145)</f>
        <v>194792.27</v>
      </c>
      <c r="H133" s="1973">
        <f>SUM(H134:H148)</f>
        <v>191553.91999999998</v>
      </c>
      <c r="I133" s="396">
        <f>H133-G133</f>
        <v>-3238.3500000000058</v>
      </c>
      <c r="J133" s="397">
        <f>((H133/G133)-1)*100</f>
        <v>-1.6624633000067224</v>
      </c>
      <c r="K133" s="1391">
        <f>SUM(K134:K145)</f>
        <v>194292.27</v>
      </c>
      <c r="L133" s="1973">
        <f>SUM(L134:L148)</f>
        <v>181987.31</v>
      </c>
      <c r="M133" s="396">
        <f>L133-K133</f>
        <v>-12304.959999999992</v>
      </c>
      <c r="N133" s="397">
        <f t="shared" ref="N133:N137" si="217">((L133/K133)-1)*100</f>
        <v>-6.3332215944566395</v>
      </c>
      <c r="O133" s="1391">
        <f>SUM(O134:O145)</f>
        <v>193792.27</v>
      </c>
      <c r="P133" s="1973">
        <f>SUM(P134:P145)</f>
        <v>0</v>
      </c>
      <c r="Q133" s="396">
        <f>P133-O133</f>
        <v>-193792.27</v>
      </c>
      <c r="R133" s="397">
        <f t="shared" ref="R133:R137" si="218">((P133/O133)-1)*100</f>
        <v>-100</v>
      </c>
      <c r="S133" s="1391">
        <f>SUM(S134:S145)</f>
        <v>193292.27</v>
      </c>
      <c r="T133" s="1973">
        <f>SUM(T134:T145)</f>
        <v>0</v>
      </c>
      <c r="U133" s="396">
        <f>T133-S133</f>
        <v>-193292.27</v>
      </c>
      <c r="V133" s="397">
        <f t="shared" ref="V133:V137" si="219">((T133/S133)-1)*100</f>
        <v>-100</v>
      </c>
      <c r="W133" s="1391">
        <f>SUM(W134:W145)</f>
        <v>192792.27</v>
      </c>
      <c r="X133" s="1973">
        <f>SUM(X134:X145)</f>
        <v>0</v>
      </c>
      <c r="Y133" s="396">
        <f>X133-W133</f>
        <v>-192792.27</v>
      </c>
      <c r="Z133" s="397">
        <f t="shared" ref="Z133:Z137" si="220">((X133/W133)-1)*100</f>
        <v>-100</v>
      </c>
      <c r="AA133" s="1391">
        <f>SUM(AA134:AA145)</f>
        <v>192292.27</v>
      </c>
      <c r="AB133" s="1973">
        <f>SUM(AB134:AB145)</f>
        <v>0</v>
      </c>
      <c r="AC133" s="396">
        <f>AB133-AA133</f>
        <v>-192292.27</v>
      </c>
      <c r="AD133" s="397">
        <f t="shared" ref="AD133:AD137" si="221">((AB133/AA133)-1)*100</f>
        <v>-100</v>
      </c>
      <c r="AE133" s="1391">
        <f>SUM(AE134:AE145)</f>
        <v>191792.27</v>
      </c>
      <c r="AF133" s="1973">
        <f>SUM(AF134:AF145)</f>
        <v>0</v>
      </c>
      <c r="AG133" s="396">
        <f>AF133-AE133</f>
        <v>-191792.27</v>
      </c>
      <c r="AH133" s="397">
        <f t="shared" ref="AH133:AH137" si="222">((AF133/AE133)-1)*100</f>
        <v>-100</v>
      </c>
      <c r="AI133" s="1391">
        <f>SUM(AI134:AI145)</f>
        <v>191292.27</v>
      </c>
      <c r="AJ133" s="1973">
        <f>SUM(AJ134:AJ145)</f>
        <v>0</v>
      </c>
      <c r="AK133" s="396">
        <f>AJ133-AI133</f>
        <v>-191292.27</v>
      </c>
      <c r="AL133" s="397">
        <f t="shared" ref="AL133:AL137" si="223">((AJ133/AI133)-1)*100</f>
        <v>-100</v>
      </c>
      <c r="AM133" s="1391">
        <f>SUM(AM134:AM145)</f>
        <v>190792.27</v>
      </c>
      <c r="AN133" s="1973">
        <f>SUM(AN134:AN145)</f>
        <v>0</v>
      </c>
      <c r="AO133" s="396">
        <f>AN133-AM133</f>
        <v>-190792.27</v>
      </c>
      <c r="AP133" s="397">
        <f t="shared" ref="AP133:AP137" si="224">((AN133/AM133)-1)*100</f>
        <v>-100</v>
      </c>
      <c r="AQ133" s="1391">
        <f>SUM(AQ134:AQ145)</f>
        <v>190292.27</v>
      </c>
      <c r="AR133" s="1973">
        <f>SUM(AR134:AR145)</f>
        <v>0</v>
      </c>
      <c r="AS133" s="396">
        <f>AR133-AQ133</f>
        <v>-190292.27</v>
      </c>
      <c r="AT133" s="397">
        <f t="shared" ref="AT133:AT137" si="225">((AR133/AQ133)-1)*100</f>
        <v>-100</v>
      </c>
      <c r="AU133" s="1391">
        <f>SUM(AU134:AU145)</f>
        <v>189792.27</v>
      </c>
      <c r="AV133" s="1973">
        <f>SUM(AV134:AV145)</f>
        <v>0</v>
      </c>
      <c r="AW133" s="396">
        <f>AV133-AU133</f>
        <v>-189792.27</v>
      </c>
      <c r="AX133" s="397">
        <f t="shared" ref="AX133:AX137" si="226">((AV133/AU133)-1)*100</f>
        <v>-100</v>
      </c>
      <c r="AY133" s="395">
        <f t="shared" ref="AY133:AZ138" si="227">C133+G133+K133+O133+S133+W133+AA133+AE133+AI133+AM133+AQ133+AU133</f>
        <v>2310507.2399999998</v>
      </c>
      <c r="AZ133" s="1975">
        <f t="shared" si="227"/>
        <v>534661.60999999987</v>
      </c>
      <c r="BA133" s="195"/>
      <c r="BB133" s="1176"/>
    </row>
    <row r="134" spans="1:57" s="1421" customFormat="1" ht="18.75" customHeight="1" x14ac:dyDescent="0.25">
      <c r="A134" s="170">
        <v>11634</v>
      </c>
      <c r="B134" s="331" t="s">
        <v>40</v>
      </c>
      <c r="C134" s="1573">
        <v>10000</v>
      </c>
      <c r="D134" s="2013">
        <v>21101.7</v>
      </c>
      <c r="E134" s="2151">
        <f>D134-C134</f>
        <v>11101.7</v>
      </c>
      <c r="F134" s="1615">
        <f t="shared" si="216"/>
        <v>111.01700000000001</v>
      </c>
      <c r="G134" s="1573">
        <v>10000</v>
      </c>
      <c r="H134" s="2069">
        <f>VLOOKUP(A134,'[1]r_balancete_sc 02-2022'!$1:$1048576,9,0)</f>
        <v>21328.14</v>
      </c>
      <c r="I134" s="2151">
        <f>H134-G134</f>
        <v>11328.14</v>
      </c>
      <c r="J134" s="1615">
        <f>((H134/G134)-1)*100</f>
        <v>113.28139999999998</v>
      </c>
      <c r="K134" s="1573">
        <v>10000</v>
      </c>
      <c r="L134" s="1574">
        <f>VLOOKUP(A134,'[2]bALANCETE ORÇAMENTO'!$1:$1048576,7,0)</f>
        <v>21044.76</v>
      </c>
      <c r="M134" s="2151">
        <f>L134-K134</f>
        <v>11044.759999999998</v>
      </c>
      <c r="N134" s="1615">
        <f t="shared" si="217"/>
        <v>110.44759999999999</v>
      </c>
      <c r="O134" s="1573">
        <v>10000</v>
      </c>
      <c r="P134" s="1574"/>
      <c r="Q134" s="2151">
        <f>P134-O134</f>
        <v>-10000</v>
      </c>
      <c r="R134" s="1615">
        <f t="shared" si="218"/>
        <v>-100</v>
      </c>
      <c r="S134" s="1573">
        <v>10000</v>
      </c>
      <c r="T134" s="1574"/>
      <c r="U134" s="2151">
        <f>T134-S134</f>
        <v>-10000</v>
      </c>
      <c r="V134" s="1615">
        <f t="shared" si="219"/>
        <v>-100</v>
      </c>
      <c r="W134" s="1573">
        <v>10000</v>
      </c>
      <c r="X134" s="1574"/>
      <c r="Y134" s="2151">
        <f>X134-W134</f>
        <v>-10000</v>
      </c>
      <c r="Z134" s="1615">
        <f t="shared" si="220"/>
        <v>-100</v>
      </c>
      <c r="AA134" s="1573">
        <v>10000</v>
      </c>
      <c r="AB134" s="1574"/>
      <c r="AC134" s="2151">
        <f>AB134-AA134</f>
        <v>-10000</v>
      </c>
      <c r="AD134" s="1615">
        <f t="shared" si="221"/>
        <v>-100</v>
      </c>
      <c r="AE134" s="1573">
        <v>10000</v>
      </c>
      <c r="AF134" s="1574"/>
      <c r="AG134" s="2151">
        <f>AF134-AE134</f>
        <v>-10000</v>
      </c>
      <c r="AH134" s="1615">
        <f t="shared" si="222"/>
        <v>-100</v>
      </c>
      <c r="AI134" s="1573">
        <v>10000</v>
      </c>
      <c r="AJ134" s="1574"/>
      <c r="AK134" s="2151">
        <f>AJ134-AI134</f>
        <v>-10000</v>
      </c>
      <c r="AL134" s="1615">
        <f t="shared" si="223"/>
        <v>-100</v>
      </c>
      <c r="AM134" s="1573">
        <v>10000</v>
      </c>
      <c r="AN134" s="1574"/>
      <c r="AO134" s="2151">
        <f>AN134-AM134</f>
        <v>-10000</v>
      </c>
      <c r="AP134" s="1615">
        <f t="shared" si="224"/>
        <v>-100</v>
      </c>
      <c r="AQ134" s="1573">
        <v>10000</v>
      </c>
      <c r="AR134" s="1574"/>
      <c r="AS134" s="2151">
        <f>AR134-AQ134</f>
        <v>-10000</v>
      </c>
      <c r="AT134" s="1615">
        <f t="shared" si="225"/>
        <v>-100</v>
      </c>
      <c r="AU134" s="1573">
        <v>10000</v>
      </c>
      <c r="AV134" s="1574"/>
      <c r="AW134" s="2151">
        <f>AV134-AU134</f>
        <v>-10000</v>
      </c>
      <c r="AX134" s="1615">
        <f t="shared" si="226"/>
        <v>-100</v>
      </c>
      <c r="AY134" s="1240">
        <f t="shared" si="227"/>
        <v>120000</v>
      </c>
      <c r="AZ134" s="1616">
        <f t="shared" si="227"/>
        <v>63474.599999999991</v>
      </c>
      <c r="BB134" s="12"/>
    </row>
    <row r="135" spans="1:57" s="1421" customFormat="1" ht="18.75" customHeight="1" x14ac:dyDescent="0.25">
      <c r="A135" s="170">
        <v>12293</v>
      </c>
      <c r="B135" s="332" t="s">
        <v>195</v>
      </c>
      <c r="C135" s="1545">
        <v>32000</v>
      </c>
      <c r="D135" s="2024">
        <v>31167</v>
      </c>
      <c r="E135" s="1576">
        <f t="shared" ref="E135:E137" si="228">D135-C135</f>
        <v>-833</v>
      </c>
      <c r="F135" s="1235">
        <f t="shared" si="216"/>
        <v>-2.603124999999995</v>
      </c>
      <c r="G135" s="1545">
        <v>31500</v>
      </c>
      <c r="H135" s="2075">
        <f>VLOOKUP(A135,'[1]r_balancete_sc 02-2022'!$1:$1048576,9,0)</f>
        <v>33565.24</v>
      </c>
      <c r="I135" s="1576">
        <f>H135-G135</f>
        <v>2065.239999999998</v>
      </c>
      <c r="J135" s="1235">
        <f>((H135/G135)-1)*100</f>
        <v>6.5563174603174623</v>
      </c>
      <c r="K135" s="1545">
        <v>31000</v>
      </c>
      <c r="L135" s="1649">
        <f>VLOOKUP(A135,'[2]bALANCETE ORÇAMENTO'!$1:$1048576,7,0)</f>
        <v>31545.66</v>
      </c>
      <c r="M135" s="1576">
        <f t="shared" ref="M135:M137" si="229">L135-K135</f>
        <v>545.65999999999985</v>
      </c>
      <c r="N135" s="1235">
        <f t="shared" si="217"/>
        <v>1.7601935483871012</v>
      </c>
      <c r="O135" s="1545">
        <v>30500</v>
      </c>
      <c r="P135" s="1649"/>
      <c r="Q135" s="1576">
        <f t="shared" ref="Q135:Q137" si="230">P135-O135</f>
        <v>-30500</v>
      </c>
      <c r="R135" s="1235">
        <f t="shared" si="218"/>
        <v>-100</v>
      </c>
      <c r="S135" s="1545">
        <v>30000</v>
      </c>
      <c r="T135" s="1649"/>
      <c r="U135" s="1576">
        <f t="shared" ref="U135:U137" si="231">T135-S135</f>
        <v>-30000</v>
      </c>
      <c r="V135" s="1235">
        <f t="shared" si="219"/>
        <v>-100</v>
      </c>
      <c r="W135" s="1545">
        <v>29500</v>
      </c>
      <c r="X135" s="1649"/>
      <c r="Y135" s="1576">
        <f t="shared" ref="Y135:Y137" si="232">X135-W135</f>
        <v>-29500</v>
      </c>
      <c r="Z135" s="1235">
        <f t="shared" si="220"/>
        <v>-100</v>
      </c>
      <c r="AA135" s="1545">
        <v>29000</v>
      </c>
      <c r="AB135" s="1649"/>
      <c r="AC135" s="1576">
        <f t="shared" ref="AC135:AC137" si="233">AB135-AA135</f>
        <v>-29000</v>
      </c>
      <c r="AD135" s="1235">
        <f t="shared" si="221"/>
        <v>-100</v>
      </c>
      <c r="AE135" s="1545">
        <v>28500</v>
      </c>
      <c r="AF135" s="1649"/>
      <c r="AG135" s="1576">
        <f t="shared" ref="AG135:AG137" si="234">AF135-AE135</f>
        <v>-28500</v>
      </c>
      <c r="AH135" s="1235">
        <f t="shared" si="222"/>
        <v>-100</v>
      </c>
      <c r="AI135" s="1545">
        <v>28000</v>
      </c>
      <c r="AJ135" s="1649"/>
      <c r="AK135" s="1576">
        <f t="shared" ref="AK135:AK137" si="235">AJ135-AI135</f>
        <v>-28000</v>
      </c>
      <c r="AL135" s="1235">
        <f t="shared" si="223"/>
        <v>-100</v>
      </c>
      <c r="AM135" s="1545">
        <v>27500</v>
      </c>
      <c r="AN135" s="1649"/>
      <c r="AO135" s="1576">
        <f t="shared" ref="AO135:AO137" si="236">AN135-AM135</f>
        <v>-27500</v>
      </c>
      <c r="AP135" s="1235">
        <f t="shared" si="224"/>
        <v>-100</v>
      </c>
      <c r="AQ135" s="1545">
        <v>27000</v>
      </c>
      <c r="AR135" s="1649"/>
      <c r="AS135" s="1576">
        <f t="shared" ref="AS135:AS137" si="237">AR135-AQ135</f>
        <v>-27000</v>
      </c>
      <c r="AT135" s="1235">
        <f t="shared" si="225"/>
        <v>-100</v>
      </c>
      <c r="AU135" s="1545">
        <v>26500</v>
      </c>
      <c r="AV135" s="1649"/>
      <c r="AW135" s="1576">
        <f t="shared" ref="AW135:AW137" si="238">AV135-AU135</f>
        <v>-26500</v>
      </c>
      <c r="AX135" s="1235">
        <f t="shared" si="226"/>
        <v>-100</v>
      </c>
      <c r="AY135" s="2061">
        <f t="shared" si="227"/>
        <v>351000</v>
      </c>
      <c r="AZ135" s="1616">
        <f t="shared" si="227"/>
        <v>96277.9</v>
      </c>
      <c r="BB135" s="12"/>
    </row>
    <row r="136" spans="1:57" s="1421" customFormat="1" ht="18.75" customHeight="1" x14ac:dyDescent="0.25">
      <c r="A136" s="170">
        <v>11528</v>
      </c>
      <c r="B136" s="332" t="s">
        <v>197</v>
      </c>
      <c r="C136" s="1545">
        <v>7500</v>
      </c>
      <c r="D136" s="2024">
        <v>6153</v>
      </c>
      <c r="E136" s="2152">
        <f t="shared" si="228"/>
        <v>-1347</v>
      </c>
      <c r="F136" s="1235">
        <f t="shared" si="216"/>
        <v>-17.959999999999997</v>
      </c>
      <c r="G136" s="1545">
        <v>7500</v>
      </c>
      <c r="H136" s="1611">
        <f>VLOOKUP(A136,'[1]r_balancete_sc 02-2022'!$1:$1048576,9,0)</f>
        <v>6153</v>
      </c>
      <c r="I136" s="2152">
        <f>H136-G136</f>
        <v>-1347</v>
      </c>
      <c r="J136" s="1235">
        <f>((H136/G136)-1)*100</f>
        <v>-17.959999999999997</v>
      </c>
      <c r="K136" s="1545">
        <v>7500</v>
      </c>
      <c r="L136" s="1649">
        <f>VLOOKUP(A136,'[2]bALANCETE ORÇAMENTO'!$1:$1048576,7,0)</f>
        <v>6153</v>
      </c>
      <c r="M136" s="2152">
        <f t="shared" si="229"/>
        <v>-1347</v>
      </c>
      <c r="N136" s="1235">
        <f t="shared" si="217"/>
        <v>-17.959999999999997</v>
      </c>
      <c r="O136" s="1545">
        <v>7500</v>
      </c>
      <c r="P136" s="1649"/>
      <c r="Q136" s="2152">
        <f t="shared" si="230"/>
        <v>-7500</v>
      </c>
      <c r="R136" s="1235">
        <f t="shared" si="218"/>
        <v>-100</v>
      </c>
      <c r="S136" s="1545">
        <v>7500</v>
      </c>
      <c r="T136" s="1649"/>
      <c r="U136" s="2152">
        <f t="shared" si="231"/>
        <v>-7500</v>
      </c>
      <c r="V136" s="1235">
        <f t="shared" si="219"/>
        <v>-100</v>
      </c>
      <c r="W136" s="1545">
        <v>7500</v>
      </c>
      <c r="X136" s="1649"/>
      <c r="Y136" s="2152">
        <f t="shared" si="232"/>
        <v>-7500</v>
      </c>
      <c r="Z136" s="1235">
        <f t="shared" si="220"/>
        <v>-100</v>
      </c>
      <c r="AA136" s="1545">
        <v>7500</v>
      </c>
      <c r="AB136" s="1649"/>
      <c r="AC136" s="2152">
        <f t="shared" si="233"/>
        <v>-7500</v>
      </c>
      <c r="AD136" s="1235">
        <f t="shared" si="221"/>
        <v>-100</v>
      </c>
      <c r="AE136" s="1545">
        <v>7500</v>
      </c>
      <c r="AF136" s="1649"/>
      <c r="AG136" s="2152">
        <f t="shared" si="234"/>
        <v>-7500</v>
      </c>
      <c r="AH136" s="1235">
        <f t="shared" si="222"/>
        <v>-100</v>
      </c>
      <c r="AI136" s="1545">
        <v>7500</v>
      </c>
      <c r="AJ136" s="1649"/>
      <c r="AK136" s="2152">
        <f t="shared" si="235"/>
        <v>-7500</v>
      </c>
      <c r="AL136" s="1235">
        <f t="shared" si="223"/>
        <v>-100</v>
      </c>
      <c r="AM136" s="1545">
        <v>7500</v>
      </c>
      <c r="AN136" s="1649"/>
      <c r="AO136" s="2152">
        <f t="shared" si="236"/>
        <v>-7500</v>
      </c>
      <c r="AP136" s="1235">
        <f t="shared" si="224"/>
        <v>-100</v>
      </c>
      <c r="AQ136" s="1545">
        <v>7500</v>
      </c>
      <c r="AR136" s="1649"/>
      <c r="AS136" s="2152">
        <f t="shared" si="237"/>
        <v>-7500</v>
      </c>
      <c r="AT136" s="1235">
        <f t="shared" si="225"/>
        <v>-100</v>
      </c>
      <c r="AU136" s="1545">
        <v>7500</v>
      </c>
      <c r="AV136" s="1649"/>
      <c r="AW136" s="2152">
        <f t="shared" si="238"/>
        <v>-7500</v>
      </c>
      <c r="AX136" s="1235">
        <f t="shared" si="226"/>
        <v>-100</v>
      </c>
      <c r="AY136" s="2061">
        <f t="shared" si="227"/>
        <v>90000</v>
      </c>
      <c r="AZ136" s="1616">
        <f t="shared" si="227"/>
        <v>18459</v>
      </c>
      <c r="BB136" s="12"/>
    </row>
    <row r="137" spans="1:57" s="1421" customFormat="1" ht="18.75" customHeight="1" thickBot="1" x14ac:dyDescent="0.3">
      <c r="A137" s="366">
        <v>12303</v>
      </c>
      <c r="B137" s="383" t="s">
        <v>196</v>
      </c>
      <c r="C137" s="1656">
        <v>12000</v>
      </c>
      <c r="D137" s="2026">
        <v>4724</v>
      </c>
      <c r="E137" s="1578">
        <f t="shared" si="228"/>
        <v>-7276</v>
      </c>
      <c r="F137" s="1538">
        <f t="shared" si="216"/>
        <v>-60.63333333333334</v>
      </c>
      <c r="G137" s="1656">
        <v>12000</v>
      </c>
      <c r="H137" s="2070">
        <f>VLOOKUP(A137,'[1]r_balancete_sc 02-2022'!$1:$1048576,9,0)</f>
        <v>12017.71</v>
      </c>
      <c r="I137" s="1578">
        <f>H137-G137</f>
        <v>17.709999999999127</v>
      </c>
      <c r="J137" s="1538">
        <f>((H137/G137)-1)*100</f>
        <v>0.14758333333333429</v>
      </c>
      <c r="K137" s="1656">
        <v>12000</v>
      </c>
      <c r="L137" s="2052">
        <f>VLOOKUP(A137,'[2]bALANCETE ORÇAMENTO'!$1:$1048576,7,0)</f>
        <v>5046.1000000000004</v>
      </c>
      <c r="M137" s="1578">
        <f t="shared" si="229"/>
        <v>-6953.9</v>
      </c>
      <c r="N137" s="1538">
        <f t="shared" si="217"/>
        <v>-57.949166666666663</v>
      </c>
      <c r="O137" s="1656">
        <v>12000</v>
      </c>
      <c r="P137" s="2052"/>
      <c r="Q137" s="1578">
        <f t="shared" si="230"/>
        <v>-12000</v>
      </c>
      <c r="R137" s="1538">
        <f t="shared" si="218"/>
        <v>-100</v>
      </c>
      <c r="S137" s="1656">
        <v>12000</v>
      </c>
      <c r="T137" s="2052"/>
      <c r="U137" s="1578">
        <f t="shared" si="231"/>
        <v>-12000</v>
      </c>
      <c r="V137" s="1538">
        <f t="shared" si="219"/>
        <v>-100</v>
      </c>
      <c r="W137" s="1656">
        <v>12000</v>
      </c>
      <c r="X137" s="2052"/>
      <c r="Y137" s="1578">
        <f t="shared" si="232"/>
        <v>-12000</v>
      </c>
      <c r="Z137" s="1538">
        <f t="shared" si="220"/>
        <v>-100</v>
      </c>
      <c r="AA137" s="1656">
        <v>12000</v>
      </c>
      <c r="AB137" s="2052"/>
      <c r="AC137" s="1578">
        <f t="shared" si="233"/>
        <v>-12000</v>
      </c>
      <c r="AD137" s="1538">
        <f t="shared" si="221"/>
        <v>-100</v>
      </c>
      <c r="AE137" s="1656">
        <v>12000</v>
      </c>
      <c r="AF137" s="2052"/>
      <c r="AG137" s="1578">
        <f t="shared" si="234"/>
        <v>-12000</v>
      </c>
      <c r="AH137" s="1538">
        <f t="shared" si="222"/>
        <v>-100</v>
      </c>
      <c r="AI137" s="1656">
        <v>12000</v>
      </c>
      <c r="AJ137" s="2052"/>
      <c r="AK137" s="1578">
        <f t="shared" si="235"/>
        <v>-12000</v>
      </c>
      <c r="AL137" s="1538">
        <f t="shared" si="223"/>
        <v>-100</v>
      </c>
      <c r="AM137" s="1656">
        <v>12000</v>
      </c>
      <c r="AN137" s="2052"/>
      <c r="AO137" s="1578">
        <f t="shared" si="236"/>
        <v>-12000</v>
      </c>
      <c r="AP137" s="1538">
        <f t="shared" si="224"/>
        <v>-100</v>
      </c>
      <c r="AQ137" s="1656">
        <v>12000</v>
      </c>
      <c r="AR137" s="2052"/>
      <c r="AS137" s="1578">
        <f t="shared" si="237"/>
        <v>-12000</v>
      </c>
      <c r="AT137" s="1538">
        <f t="shared" si="225"/>
        <v>-100</v>
      </c>
      <c r="AU137" s="1656">
        <v>12000</v>
      </c>
      <c r="AV137" s="2052"/>
      <c r="AW137" s="1578">
        <f t="shared" si="238"/>
        <v>-12000</v>
      </c>
      <c r="AX137" s="1538">
        <f t="shared" si="226"/>
        <v>-100</v>
      </c>
      <c r="AY137" s="2060">
        <f t="shared" si="227"/>
        <v>144000</v>
      </c>
      <c r="AZ137" s="1613">
        <f t="shared" si="227"/>
        <v>21787.809999999998</v>
      </c>
      <c r="BB137" s="12"/>
    </row>
    <row r="138" spans="1:57" s="1421" customFormat="1" ht="18.75" customHeight="1" x14ac:dyDescent="0.25">
      <c r="A138" s="167">
        <v>51127</v>
      </c>
      <c r="B138" s="331" t="s">
        <v>3868</v>
      </c>
      <c r="C138" s="2752">
        <v>105000</v>
      </c>
      <c r="D138" s="2013">
        <v>26087.26</v>
      </c>
      <c r="E138" s="2792">
        <f>SUM(D138:D139)-C138</f>
        <v>-34150.540000000008</v>
      </c>
      <c r="F138" s="2783">
        <f>((SUM(D138:D139)/C138)-1)*100</f>
        <v>-32.524323809523814</v>
      </c>
      <c r="G138" s="2752">
        <f>C138</f>
        <v>105000</v>
      </c>
      <c r="H138" s="2069">
        <f>VLOOKUP(A138,'[1]r_balancete_sc 02-2022'!$1:$1048576,9,0)</f>
        <v>39296.75</v>
      </c>
      <c r="I138" s="2792">
        <f>SUM(H138:H139)-G138</f>
        <v>-14560.190000000002</v>
      </c>
      <c r="J138" s="2783">
        <f>((SUM(H138:H139)/G138)-1)*100</f>
        <v>-13.866847619047618</v>
      </c>
      <c r="K138" s="2752">
        <f>G138</f>
        <v>105000</v>
      </c>
      <c r="L138" s="1574">
        <f>VLOOKUP(A138,'[2]bALANCETE ORÇAMENTO'!$1:$1048576,7,0)</f>
        <v>40041.919999999998</v>
      </c>
      <c r="M138" s="2792">
        <f>SUM(L138:L139)-K138</f>
        <v>-15766.700000000012</v>
      </c>
      <c r="N138" s="2783">
        <f>((SUM(L138:L139)/K138)-1)*100</f>
        <v>-15.015904761904775</v>
      </c>
      <c r="O138" s="2752">
        <f>K138</f>
        <v>105000</v>
      </c>
      <c r="P138" s="1574"/>
      <c r="Q138" s="2792">
        <f>SUM(P138:P139)-O138</f>
        <v>-105000</v>
      </c>
      <c r="R138" s="2783">
        <f>((SUM(P138:P139)/O138)-1)*100</f>
        <v>-100</v>
      </c>
      <c r="S138" s="2752">
        <f>O138</f>
        <v>105000</v>
      </c>
      <c r="T138" s="1574"/>
      <c r="U138" s="2792">
        <f>SUM(T138:T139)-S138</f>
        <v>-105000</v>
      </c>
      <c r="V138" s="2783">
        <f>((SUM(T138:T139)/S138)-1)*100</f>
        <v>-100</v>
      </c>
      <c r="W138" s="2752">
        <f>S138</f>
        <v>105000</v>
      </c>
      <c r="X138" s="1574"/>
      <c r="Y138" s="2792">
        <f>SUM(X138:X139)-W138</f>
        <v>-105000</v>
      </c>
      <c r="Z138" s="2783">
        <f>((SUM(X138:X139)/W138)-1)*100</f>
        <v>-100</v>
      </c>
      <c r="AA138" s="2752">
        <f>W138</f>
        <v>105000</v>
      </c>
      <c r="AB138" s="1574"/>
      <c r="AC138" s="2792">
        <f>SUM(AB138:AB139)-AA138</f>
        <v>-105000</v>
      </c>
      <c r="AD138" s="2783">
        <f>((SUM(AB138:AB139)/AA138)-1)*100</f>
        <v>-100</v>
      </c>
      <c r="AE138" s="2752">
        <f>AA138</f>
        <v>105000</v>
      </c>
      <c r="AF138" s="1574"/>
      <c r="AG138" s="2792">
        <f>SUM(AF138:AF139)-AE138</f>
        <v>-105000</v>
      </c>
      <c r="AH138" s="2783">
        <f>((SUM(AF138:AF139)/AE138)-1)*100</f>
        <v>-100</v>
      </c>
      <c r="AI138" s="2752">
        <f>AE138</f>
        <v>105000</v>
      </c>
      <c r="AJ138" s="1574"/>
      <c r="AK138" s="2792">
        <f>SUM(AJ138:AJ139)-AI138</f>
        <v>-105000</v>
      </c>
      <c r="AL138" s="2783">
        <f>((SUM(AJ138:AJ139)/AI138)-1)*100</f>
        <v>-100</v>
      </c>
      <c r="AM138" s="2752">
        <f>AI138</f>
        <v>105000</v>
      </c>
      <c r="AN138" s="1574"/>
      <c r="AO138" s="2792">
        <f>SUM(AN138:AN139)-AM138</f>
        <v>-105000</v>
      </c>
      <c r="AP138" s="2783">
        <f>((SUM(AN138:AN139)/AM138)-1)*100</f>
        <v>-100</v>
      </c>
      <c r="AQ138" s="2752">
        <f>AM138</f>
        <v>105000</v>
      </c>
      <c r="AR138" s="1574"/>
      <c r="AS138" s="2792">
        <f>SUM(AR138:AR139)-AQ138</f>
        <v>-105000</v>
      </c>
      <c r="AT138" s="2783">
        <f>((SUM(AR138:AR139)/AQ138)-1)*100</f>
        <v>-100</v>
      </c>
      <c r="AU138" s="2752">
        <f>AQ138</f>
        <v>105000</v>
      </c>
      <c r="AV138" s="1574"/>
      <c r="AW138" s="2792">
        <f>SUM(AV138:AV139)-AU138</f>
        <v>-105000</v>
      </c>
      <c r="AX138" s="2783">
        <f>((SUM(AV138:AV139)/AU138)-1)*100</f>
        <v>-100</v>
      </c>
      <c r="AY138" s="2721">
        <f t="shared" si="227"/>
        <v>1260000</v>
      </c>
      <c r="AZ138" s="1561">
        <f t="shared" si="227"/>
        <v>105425.93</v>
      </c>
      <c r="BA138" s="334"/>
      <c r="BB138" s="12"/>
    </row>
    <row r="139" spans="1:57" s="1421" customFormat="1" ht="18.75" customHeight="1" thickBot="1" x14ac:dyDescent="0.3">
      <c r="A139" s="178">
        <v>53792</v>
      </c>
      <c r="B139" s="385" t="s">
        <v>3869</v>
      </c>
      <c r="C139" s="2754"/>
      <c r="D139" s="2027">
        <v>44762.2</v>
      </c>
      <c r="E139" s="2793"/>
      <c r="F139" s="2784"/>
      <c r="G139" s="2754"/>
      <c r="H139" s="1669">
        <f>VLOOKUP(A139,'[1]r_balancete_sc 02-2022'!$1:$1048576,9,0)</f>
        <v>51143.06</v>
      </c>
      <c r="I139" s="2793"/>
      <c r="J139" s="2784"/>
      <c r="K139" s="2754"/>
      <c r="L139" s="2050">
        <f>VLOOKUP(A139,'[2]bALANCETE ORÇAMENTO'!$1:$1048576,7,0)</f>
        <v>49191.38</v>
      </c>
      <c r="M139" s="2793"/>
      <c r="N139" s="2784"/>
      <c r="O139" s="2754"/>
      <c r="P139" s="2050"/>
      <c r="Q139" s="2793"/>
      <c r="R139" s="2784"/>
      <c r="S139" s="2754"/>
      <c r="T139" s="2050"/>
      <c r="U139" s="2793"/>
      <c r="V139" s="2784"/>
      <c r="W139" s="2754"/>
      <c r="X139" s="2050"/>
      <c r="Y139" s="2793"/>
      <c r="Z139" s="2784"/>
      <c r="AA139" s="2754"/>
      <c r="AB139" s="2050"/>
      <c r="AC139" s="2793"/>
      <c r="AD139" s="2784"/>
      <c r="AE139" s="2754"/>
      <c r="AF139" s="2050"/>
      <c r="AG139" s="2793"/>
      <c r="AH139" s="2784"/>
      <c r="AI139" s="2754"/>
      <c r="AJ139" s="2050"/>
      <c r="AK139" s="2793"/>
      <c r="AL139" s="2784"/>
      <c r="AM139" s="2754"/>
      <c r="AN139" s="2050"/>
      <c r="AO139" s="2793"/>
      <c r="AP139" s="2784"/>
      <c r="AQ139" s="2754"/>
      <c r="AR139" s="2050"/>
      <c r="AS139" s="2793"/>
      <c r="AT139" s="2784"/>
      <c r="AU139" s="2754"/>
      <c r="AV139" s="2050"/>
      <c r="AW139" s="2793"/>
      <c r="AX139" s="2784"/>
      <c r="AY139" s="2723"/>
      <c r="AZ139" s="1562">
        <f t="shared" ref="AZ139:AZ145" si="239">D139+H139+L139+P139+T139+X139+AB139+AF139+AJ139+AN139+AR139+AV139</f>
        <v>145096.63999999998</v>
      </c>
      <c r="BA139" s="334"/>
      <c r="BB139" s="12"/>
    </row>
    <row r="140" spans="1:57" s="1421" customFormat="1" ht="18.75" customHeight="1" thickBot="1" x14ac:dyDescent="0.3">
      <c r="A140" s="366">
        <v>51673</v>
      </c>
      <c r="B140" s="383" t="s">
        <v>198</v>
      </c>
      <c r="C140" s="1656">
        <v>4000</v>
      </c>
      <c r="D140" s="2026">
        <v>3251.4</v>
      </c>
      <c r="E140" s="2052">
        <f>D140-C140</f>
        <v>-748.59999999999991</v>
      </c>
      <c r="F140" s="1538">
        <f>((D140/C140)-1)*100</f>
        <v>-18.714999999999993</v>
      </c>
      <c r="G140" s="1656">
        <v>4000</v>
      </c>
      <c r="H140" s="1570">
        <f>VLOOKUP(A140,'[1]r_balancete_sc 02-2022'!$1:$1048576,9,0)</f>
        <v>3251.4</v>
      </c>
      <c r="I140" s="2152">
        <f>H140-G140</f>
        <v>-748.59999999999991</v>
      </c>
      <c r="J140" s="1538">
        <f>((H140/G140)-1)*100</f>
        <v>-18.714999999999993</v>
      </c>
      <c r="K140" s="1656">
        <v>4000</v>
      </c>
      <c r="L140" s="2052">
        <f>VLOOKUP(A140,'[2]bALANCETE ORÇAMENTO'!$1:$1048576,7,0)</f>
        <v>3723.07</v>
      </c>
      <c r="M140" s="2152">
        <f>L140-K140</f>
        <v>-276.92999999999984</v>
      </c>
      <c r="N140" s="1538">
        <f>((L140/K140)-1)*100</f>
        <v>-6.9232499999999924</v>
      </c>
      <c r="O140" s="1656">
        <v>4000</v>
      </c>
      <c r="P140" s="2052"/>
      <c r="Q140" s="2152">
        <f>P140-O140</f>
        <v>-4000</v>
      </c>
      <c r="R140" s="1538">
        <f>((P140/O140)-1)*100</f>
        <v>-100</v>
      </c>
      <c r="S140" s="1656">
        <v>4000</v>
      </c>
      <c r="T140" s="2052"/>
      <c r="U140" s="2152">
        <f>T140-S140</f>
        <v>-4000</v>
      </c>
      <c r="V140" s="1538">
        <f>((T140/S140)-1)*100</f>
        <v>-100</v>
      </c>
      <c r="W140" s="1656">
        <v>4000</v>
      </c>
      <c r="X140" s="2052"/>
      <c r="Y140" s="2152">
        <f>X140-W140</f>
        <v>-4000</v>
      </c>
      <c r="Z140" s="1538">
        <f>((X140/W140)-1)*100</f>
        <v>-100</v>
      </c>
      <c r="AA140" s="1656">
        <v>4000</v>
      </c>
      <c r="AB140" s="2052"/>
      <c r="AC140" s="2152">
        <f>AB140-AA140</f>
        <v>-4000</v>
      </c>
      <c r="AD140" s="1538">
        <f>((AB140/AA140)-1)*100</f>
        <v>-100</v>
      </c>
      <c r="AE140" s="1656">
        <v>4000</v>
      </c>
      <c r="AF140" s="2052"/>
      <c r="AG140" s="2152">
        <f>AF140-AE140</f>
        <v>-4000</v>
      </c>
      <c r="AH140" s="1538">
        <f>((AF140/AE140)-1)*100</f>
        <v>-100</v>
      </c>
      <c r="AI140" s="1656">
        <v>4000</v>
      </c>
      <c r="AJ140" s="2052"/>
      <c r="AK140" s="2152">
        <f>AJ140-AI140</f>
        <v>-4000</v>
      </c>
      <c r="AL140" s="1538">
        <f>((AJ140/AI140)-1)*100</f>
        <v>-100</v>
      </c>
      <c r="AM140" s="1656">
        <v>4000</v>
      </c>
      <c r="AN140" s="2052"/>
      <c r="AO140" s="2152">
        <f>AN140-AM140</f>
        <v>-4000</v>
      </c>
      <c r="AP140" s="1538">
        <f>((AN140/AM140)-1)*100</f>
        <v>-100</v>
      </c>
      <c r="AQ140" s="1656">
        <v>4000</v>
      </c>
      <c r="AR140" s="2052"/>
      <c r="AS140" s="2152">
        <f>AR140-AQ140</f>
        <v>-4000</v>
      </c>
      <c r="AT140" s="1538">
        <f>((AR140/AQ140)-1)*100</f>
        <v>-100</v>
      </c>
      <c r="AU140" s="1656">
        <v>4000</v>
      </c>
      <c r="AV140" s="2052"/>
      <c r="AW140" s="2152">
        <f>AV140-AU140</f>
        <v>-4000</v>
      </c>
      <c r="AX140" s="1538">
        <f>((AV140/AU140)-1)*100</f>
        <v>-100</v>
      </c>
      <c r="AY140" s="2060">
        <f>C140+G140+K140+O140+S140+W140+AA140+AE140+AI140+AM140+AQ140+AU140</f>
        <v>48000</v>
      </c>
      <c r="AZ140" s="1612">
        <f t="shared" si="239"/>
        <v>10225.870000000001</v>
      </c>
      <c r="BB140" s="12"/>
    </row>
    <row r="141" spans="1:57" s="1421" customFormat="1" ht="18.75" customHeight="1" x14ac:dyDescent="0.25">
      <c r="A141" s="167">
        <v>12274</v>
      </c>
      <c r="B141" s="331" t="s">
        <v>65</v>
      </c>
      <c r="C141" s="2752">
        <v>14000</v>
      </c>
      <c r="D141" s="2013">
        <v>0</v>
      </c>
      <c r="E141" s="2792">
        <f>SUM(D141:D142)-C141</f>
        <v>-2930.9400000000005</v>
      </c>
      <c r="F141" s="2783">
        <f>((SUM(D141:D142)/C141)-1)*100</f>
        <v>-20.935285714285722</v>
      </c>
      <c r="G141" s="2752">
        <v>14000</v>
      </c>
      <c r="H141" s="1608">
        <v>0</v>
      </c>
      <c r="I141" s="2792">
        <f>SUM(H141:H142)-G141</f>
        <v>-1334.6200000000008</v>
      </c>
      <c r="J141" s="2783">
        <f>((SUM(H141:H142)/G141)-1)*100</f>
        <v>-9.533000000000003</v>
      </c>
      <c r="K141" s="2752">
        <v>14000</v>
      </c>
      <c r="L141" s="1574">
        <v>0</v>
      </c>
      <c r="M141" s="2792">
        <f>SUM(L141:L142)-K141</f>
        <v>-2930.67</v>
      </c>
      <c r="N141" s="2783">
        <f>((SUM(L141:L142)/K141)-1)*100</f>
        <v>-20.933357142857144</v>
      </c>
      <c r="O141" s="2752">
        <v>14000</v>
      </c>
      <c r="P141" s="1574"/>
      <c r="Q141" s="2792">
        <f>SUM(P141:P142)-O141</f>
        <v>-14000</v>
      </c>
      <c r="R141" s="2783">
        <f>((SUM(P141:P142)/O141)-1)*100</f>
        <v>-100</v>
      </c>
      <c r="S141" s="2752">
        <v>14000</v>
      </c>
      <c r="T141" s="1574"/>
      <c r="U141" s="2792">
        <f>SUM(T141:T142)-S141</f>
        <v>-14000</v>
      </c>
      <c r="V141" s="2783">
        <f>((SUM(T141:T142)/S141)-1)*100</f>
        <v>-100</v>
      </c>
      <c r="W141" s="2752">
        <v>14000</v>
      </c>
      <c r="X141" s="1574"/>
      <c r="Y141" s="2792">
        <f>SUM(X141:X142)-W141</f>
        <v>-14000</v>
      </c>
      <c r="Z141" s="2783">
        <f>((SUM(X141:X142)/W141)-1)*100</f>
        <v>-100</v>
      </c>
      <c r="AA141" s="2752">
        <v>14000</v>
      </c>
      <c r="AB141" s="1574"/>
      <c r="AC141" s="2792">
        <f>SUM(AB141:AB142)-AA141</f>
        <v>-14000</v>
      </c>
      <c r="AD141" s="2783">
        <f>((SUM(AB141:AB142)/AA141)-1)*100</f>
        <v>-100</v>
      </c>
      <c r="AE141" s="2752">
        <v>14000</v>
      </c>
      <c r="AF141" s="1574"/>
      <c r="AG141" s="2792">
        <f>SUM(AF141:AF142)-AE141</f>
        <v>-14000</v>
      </c>
      <c r="AH141" s="2783">
        <f>((SUM(AF141:AF142)/AE141)-1)*100</f>
        <v>-100</v>
      </c>
      <c r="AI141" s="2752">
        <v>14000</v>
      </c>
      <c r="AJ141" s="1574"/>
      <c r="AK141" s="2792">
        <f>SUM(AJ141:AJ142)-AI141</f>
        <v>-14000</v>
      </c>
      <c r="AL141" s="2783">
        <f>((SUM(AJ141:AJ142)/AI141)-1)*100</f>
        <v>-100</v>
      </c>
      <c r="AM141" s="2752">
        <v>14000</v>
      </c>
      <c r="AN141" s="1574"/>
      <c r="AO141" s="2792">
        <f>SUM(AN141:AN142)-AM141</f>
        <v>-14000</v>
      </c>
      <c r="AP141" s="2783">
        <f>((SUM(AN141:AN142)/AM141)-1)*100</f>
        <v>-100</v>
      </c>
      <c r="AQ141" s="2752">
        <v>14000</v>
      </c>
      <c r="AR141" s="1574"/>
      <c r="AS141" s="2792">
        <f>SUM(AR141:AR142)-AQ141</f>
        <v>-14000</v>
      </c>
      <c r="AT141" s="2783">
        <f>((SUM(AR141:AR142)/AQ141)-1)*100</f>
        <v>-100</v>
      </c>
      <c r="AU141" s="2752">
        <v>14000</v>
      </c>
      <c r="AV141" s="1574"/>
      <c r="AW141" s="2792">
        <f>SUM(AV141:AV142)-AU141</f>
        <v>-14000</v>
      </c>
      <c r="AX141" s="2783">
        <f>((SUM(AV141:AV142)/AU141)-1)*100</f>
        <v>-100</v>
      </c>
      <c r="AY141" s="2721">
        <f>C141+G141+K141+O141+S141+W141+AA141+AE141+AI141+AM141+AQ141+AU141</f>
        <v>168000</v>
      </c>
      <c r="AZ141" s="1561">
        <f t="shared" si="239"/>
        <v>0</v>
      </c>
      <c r="BB141" s="12"/>
    </row>
    <row r="142" spans="1:57" s="1421" customFormat="1" ht="18.75" customHeight="1" thickBot="1" x14ac:dyDescent="0.3">
      <c r="A142" s="178">
        <v>12272</v>
      </c>
      <c r="B142" s="385" t="s">
        <v>3870</v>
      </c>
      <c r="C142" s="2754"/>
      <c r="D142" s="2027">
        <v>11069.06</v>
      </c>
      <c r="E142" s="2793"/>
      <c r="F142" s="2784"/>
      <c r="G142" s="2754"/>
      <c r="H142" s="2070">
        <f>VLOOKUP(A142,'[1]r_balancete_sc 02-2022'!$1:$1048576,9,0)</f>
        <v>12665.38</v>
      </c>
      <c r="I142" s="2793"/>
      <c r="J142" s="2784"/>
      <c r="K142" s="2754"/>
      <c r="L142" s="2050">
        <f>VLOOKUP(A142,'[2]bALANCETE ORÇAMENTO'!$1:$1048576,7,0)</f>
        <v>11069.33</v>
      </c>
      <c r="M142" s="2793"/>
      <c r="N142" s="2784"/>
      <c r="O142" s="2754"/>
      <c r="P142" s="2050"/>
      <c r="Q142" s="2793"/>
      <c r="R142" s="2784"/>
      <c r="S142" s="2754"/>
      <c r="T142" s="2050"/>
      <c r="U142" s="2793"/>
      <c r="V142" s="2784"/>
      <c r="W142" s="2754"/>
      <c r="X142" s="2050"/>
      <c r="Y142" s="2793"/>
      <c r="Z142" s="2784"/>
      <c r="AA142" s="2754"/>
      <c r="AB142" s="2050"/>
      <c r="AC142" s="2793"/>
      <c r="AD142" s="2784"/>
      <c r="AE142" s="2754"/>
      <c r="AF142" s="2050"/>
      <c r="AG142" s="2793"/>
      <c r="AH142" s="2784"/>
      <c r="AI142" s="2754"/>
      <c r="AJ142" s="2050"/>
      <c r="AK142" s="2793"/>
      <c r="AL142" s="2784"/>
      <c r="AM142" s="2754"/>
      <c r="AN142" s="2050"/>
      <c r="AO142" s="2793"/>
      <c r="AP142" s="2784"/>
      <c r="AQ142" s="2754"/>
      <c r="AR142" s="2050"/>
      <c r="AS142" s="2793"/>
      <c r="AT142" s="2784"/>
      <c r="AU142" s="2754"/>
      <c r="AV142" s="2050"/>
      <c r="AW142" s="2793"/>
      <c r="AX142" s="2784"/>
      <c r="AY142" s="2723"/>
      <c r="AZ142" s="1562">
        <f t="shared" si="239"/>
        <v>34803.769999999997</v>
      </c>
      <c r="BB142" s="12"/>
    </row>
    <row r="143" spans="1:57" s="1421" customFormat="1" ht="18.75" customHeight="1" x14ac:dyDescent="0.25">
      <c r="A143" s="170">
        <v>33004</v>
      </c>
      <c r="B143" s="332" t="s">
        <v>66</v>
      </c>
      <c r="C143" s="1545">
        <v>3846.43</v>
      </c>
      <c r="D143" s="2024">
        <v>1798</v>
      </c>
      <c r="E143" s="1649">
        <f>D143-C143</f>
        <v>-2048.4299999999998</v>
      </c>
      <c r="F143" s="1235">
        <f>((D143/C143)-1)*100</f>
        <v>-53.25535626542014</v>
      </c>
      <c r="G143" s="1545">
        <v>3846.43</v>
      </c>
      <c r="H143" s="1608">
        <f>VLOOKUP(A143,'[1]r_balancete_sc 02-2022'!$1:$1048576,9,0)</f>
        <v>1798</v>
      </c>
      <c r="I143" s="1649">
        <f>H143-G143</f>
        <v>-2048.4299999999998</v>
      </c>
      <c r="J143" s="1235">
        <f>((H143/G143)-1)*100</f>
        <v>-53.25535626542014</v>
      </c>
      <c r="K143" s="1545">
        <v>3846.43</v>
      </c>
      <c r="L143" s="1649">
        <f>VLOOKUP(A143,'[2]bALANCETE ORÇAMENTO'!$1:$1048576,7,0)</f>
        <v>1834.58</v>
      </c>
      <c r="M143" s="1649">
        <f>L143-K143</f>
        <v>-2011.85</v>
      </c>
      <c r="N143" s="1235">
        <f>((L143/K143)-1)*100</f>
        <v>-52.304344548061451</v>
      </c>
      <c r="O143" s="1545">
        <v>3846.43</v>
      </c>
      <c r="P143" s="1649"/>
      <c r="Q143" s="1649">
        <f>P143-O143</f>
        <v>-3846.43</v>
      </c>
      <c r="R143" s="1235">
        <f>((P143/O143)-1)*100</f>
        <v>-100</v>
      </c>
      <c r="S143" s="1545">
        <v>3846.43</v>
      </c>
      <c r="T143" s="1649"/>
      <c r="U143" s="1649">
        <f>T143-S143</f>
        <v>-3846.43</v>
      </c>
      <c r="V143" s="1235">
        <f>((T143/S143)-1)*100</f>
        <v>-100</v>
      </c>
      <c r="W143" s="1545">
        <v>3846.43</v>
      </c>
      <c r="X143" s="1649"/>
      <c r="Y143" s="1649">
        <f>X143-W143</f>
        <v>-3846.43</v>
      </c>
      <c r="Z143" s="1235">
        <f>((X143/W143)-1)*100</f>
        <v>-100</v>
      </c>
      <c r="AA143" s="1545">
        <v>3846.43</v>
      </c>
      <c r="AB143" s="1649"/>
      <c r="AC143" s="1649">
        <f>AB143-AA143</f>
        <v>-3846.43</v>
      </c>
      <c r="AD143" s="1235">
        <f>((AB143/AA143)-1)*100</f>
        <v>-100</v>
      </c>
      <c r="AE143" s="1545">
        <v>3846.43</v>
      </c>
      <c r="AF143" s="1649"/>
      <c r="AG143" s="1649">
        <f>AF143-AE143</f>
        <v>-3846.43</v>
      </c>
      <c r="AH143" s="1235">
        <f>((AF143/AE143)-1)*100</f>
        <v>-100</v>
      </c>
      <c r="AI143" s="1545">
        <v>3846.43</v>
      </c>
      <c r="AJ143" s="1649"/>
      <c r="AK143" s="1649">
        <f>AJ143-AI143</f>
        <v>-3846.43</v>
      </c>
      <c r="AL143" s="1235">
        <f>((AJ143/AI143)-1)*100</f>
        <v>-100</v>
      </c>
      <c r="AM143" s="1545">
        <v>3846.43</v>
      </c>
      <c r="AN143" s="1649"/>
      <c r="AO143" s="1649">
        <f>AN143-AM143</f>
        <v>-3846.43</v>
      </c>
      <c r="AP143" s="1235">
        <f>((AN143/AM143)-1)*100</f>
        <v>-100</v>
      </c>
      <c r="AQ143" s="1545">
        <v>3846.43</v>
      </c>
      <c r="AR143" s="1649"/>
      <c r="AS143" s="1649">
        <f>AR143-AQ143</f>
        <v>-3846.43</v>
      </c>
      <c r="AT143" s="1235">
        <f>((AR143/AQ143)-1)*100</f>
        <v>-100</v>
      </c>
      <c r="AU143" s="1545">
        <v>3846.43</v>
      </c>
      <c r="AV143" s="1649"/>
      <c r="AW143" s="1649">
        <f>AV143-AU143</f>
        <v>-3846.43</v>
      </c>
      <c r="AX143" s="1235">
        <f>((AV143/AU143)-1)*100</f>
        <v>-100</v>
      </c>
      <c r="AY143" s="2061">
        <f>C143+G143+K143+O143+S143+W143+AA143+AE143+AI143+AM143+AQ143+AU143</f>
        <v>46157.159999999996</v>
      </c>
      <c r="AZ143" s="1632">
        <f t="shared" si="239"/>
        <v>5430.58</v>
      </c>
      <c r="BB143" s="12"/>
    </row>
    <row r="144" spans="1:57" s="1421" customFormat="1" ht="18.75" customHeight="1" x14ac:dyDescent="0.25">
      <c r="A144" s="170">
        <v>12305</v>
      </c>
      <c r="B144" s="332" t="s">
        <v>67</v>
      </c>
      <c r="C144" s="1545">
        <v>4000</v>
      </c>
      <c r="D144" s="2024">
        <v>6274.76</v>
      </c>
      <c r="E144" s="1649">
        <f>D144-C144</f>
        <v>2274.7600000000002</v>
      </c>
      <c r="F144" s="1235">
        <f>((D144/C144)-1)*100</f>
        <v>56.869000000000014</v>
      </c>
      <c r="G144" s="1545">
        <v>4000</v>
      </c>
      <c r="H144" s="2071">
        <f>VLOOKUP(A144,'[1]r_balancete_sc 02-2022'!$1:$1048576,9,0)</f>
        <v>5923.37</v>
      </c>
      <c r="I144" s="1649">
        <f>H144-G144</f>
        <v>1923.37</v>
      </c>
      <c r="J144" s="1235">
        <f>((H144/G144)-1)*100</f>
        <v>48.084250000000004</v>
      </c>
      <c r="K144" s="1545">
        <v>4000</v>
      </c>
      <c r="L144" s="1649">
        <f>VLOOKUP(A144,'[2]bALANCETE ORÇAMENTO'!$1:$1048576,7,0)</f>
        <v>6256.07</v>
      </c>
      <c r="M144" s="1649">
        <f>L144-K144</f>
        <v>2256.0699999999997</v>
      </c>
      <c r="N144" s="1235">
        <f>((L144/K144)-1)*100</f>
        <v>56.401749999999986</v>
      </c>
      <c r="O144" s="1545">
        <v>4000</v>
      </c>
      <c r="P144" s="1649"/>
      <c r="Q144" s="1649">
        <f>P144-O144</f>
        <v>-4000</v>
      </c>
      <c r="R144" s="1235">
        <f>((P144/O144)-1)*100</f>
        <v>-100</v>
      </c>
      <c r="S144" s="1545">
        <v>4000</v>
      </c>
      <c r="T144" s="1649"/>
      <c r="U144" s="1649">
        <f>T144-S144</f>
        <v>-4000</v>
      </c>
      <c r="V144" s="1235">
        <f>((T144/S144)-1)*100</f>
        <v>-100</v>
      </c>
      <c r="W144" s="1545">
        <v>4000</v>
      </c>
      <c r="X144" s="1649"/>
      <c r="Y144" s="1649">
        <f>X144-W144</f>
        <v>-4000</v>
      </c>
      <c r="Z144" s="1235">
        <f>((X144/W144)-1)*100</f>
        <v>-100</v>
      </c>
      <c r="AA144" s="1545">
        <v>4000</v>
      </c>
      <c r="AB144" s="1649"/>
      <c r="AC144" s="1649">
        <f>AB144-AA144</f>
        <v>-4000</v>
      </c>
      <c r="AD144" s="1235">
        <f>((AB144/AA144)-1)*100</f>
        <v>-100</v>
      </c>
      <c r="AE144" s="1545">
        <v>4000</v>
      </c>
      <c r="AF144" s="1649"/>
      <c r="AG144" s="1649">
        <f>AF144-AE144</f>
        <v>-4000</v>
      </c>
      <c r="AH144" s="1235">
        <f>((AF144/AE144)-1)*100</f>
        <v>-100</v>
      </c>
      <c r="AI144" s="1545">
        <v>4000</v>
      </c>
      <c r="AJ144" s="1649"/>
      <c r="AK144" s="1649">
        <f>AJ144-AI144</f>
        <v>-4000</v>
      </c>
      <c r="AL144" s="1235">
        <f>((AJ144/AI144)-1)*100</f>
        <v>-100</v>
      </c>
      <c r="AM144" s="1545">
        <v>4000</v>
      </c>
      <c r="AN144" s="1649"/>
      <c r="AO144" s="1649">
        <f>AN144-AM144</f>
        <v>-4000</v>
      </c>
      <c r="AP144" s="1235">
        <f>((AN144/AM144)-1)*100</f>
        <v>-100</v>
      </c>
      <c r="AQ144" s="1545">
        <v>4000</v>
      </c>
      <c r="AR144" s="1649"/>
      <c r="AS144" s="1649">
        <f>AR144-AQ144</f>
        <v>-4000</v>
      </c>
      <c r="AT144" s="1235">
        <f>((AR144/AQ144)-1)*100</f>
        <v>-100</v>
      </c>
      <c r="AU144" s="1545">
        <v>4000</v>
      </c>
      <c r="AV144" s="1649"/>
      <c r="AW144" s="1649">
        <f>AV144-AU144</f>
        <v>-4000</v>
      </c>
      <c r="AX144" s="1235">
        <f>((AV144/AU144)-1)*100</f>
        <v>-100</v>
      </c>
      <c r="AY144" s="2061">
        <f>C144+G144+K144+O144+S144+W144+AA144+AE144+AI144+AM144+AQ144+AU144</f>
        <v>48000</v>
      </c>
      <c r="AZ144" s="1616">
        <f t="shared" si="239"/>
        <v>18454.2</v>
      </c>
      <c r="BB144" s="12"/>
    </row>
    <row r="145" spans="1:54" s="1421" customFormat="1" ht="18.75" customHeight="1" thickBot="1" x14ac:dyDescent="0.3">
      <c r="A145" s="178">
        <v>11675</v>
      </c>
      <c r="B145" s="385" t="s">
        <v>68</v>
      </c>
      <c r="C145" s="1657">
        <v>2945.84</v>
      </c>
      <c r="D145" s="2027">
        <v>2844</v>
      </c>
      <c r="E145" s="1578">
        <f>D145-C145</f>
        <v>-101.84000000000015</v>
      </c>
      <c r="F145" s="1238">
        <f>((D145/C145)-1)*100</f>
        <v>-3.4570784563995427</v>
      </c>
      <c r="G145" s="1657">
        <v>2945.84</v>
      </c>
      <c r="H145" s="1669">
        <f>VLOOKUP(A145,'[1]r_balancete_sc 02-2022'!$1:$1048576,9,0)</f>
        <v>2503.88</v>
      </c>
      <c r="I145" s="1578">
        <f>H145-G145</f>
        <v>-441.96000000000004</v>
      </c>
      <c r="J145" s="1238">
        <f>((H145/G145)-1)*100</f>
        <v>-15.002851478695378</v>
      </c>
      <c r="K145" s="1657">
        <v>2945.84</v>
      </c>
      <c r="L145" s="2050">
        <f>VLOOKUP(A145,'[2]bALANCETE ORÇAMENTO'!$1:$1048576,7,0)</f>
        <v>3095.54</v>
      </c>
      <c r="M145" s="1578">
        <f>L145-K145</f>
        <v>149.69999999999982</v>
      </c>
      <c r="N145" s="1238">
        <f>((L145/K145)-1)*100</f>
        <v>5.0817423892675739</v>
      </c>
      <c r="O145" s="1657">
        <v>2945.84</v>
      </c>
      <c r="P145" s="2050"/>
      <c r="Q145" s="1578">
        <f>P145-O145</f>
        <v>-2945.84</v>
      </c>
      <c r="R145" s="1238">
        <f>((P145/O145)-1)*100</f>
        <v>-100</v>
      </c>
      <c r="S145" s="1657">
        <v>2945.84</v>
      </c>
      <c r="T145" s="2050"/>
      <c r="U145" s="1578">
        <f>T145-S145</f>
        <v>-2945.84</v>
      </c>
      <c r="V145" s="1238">
        <f>((T145/S145)-1)*100</f>
        <v>-100</v>
      </c>
      <c r="W145" s="1657">
        <v>2945.84</v>
      </c>
      <c r="X145" s="2050"/>
      <c r="Y145" s="1578">
        <f>X145-W145</f>
        <v>-2945.84</v>
      </c>
      <c r="Z145" s="1238">
        <f>((X145/W145)-1)*100</f>
        <v>-100</v>
      </c>
      <c r="AA145" s="1657">
        <v>2945.84</v>
      </c>
      <c r="AB145" s="2050"/>
      <c r="AC145" s="1578">
        <f>AB145-AA145</f>
        <v>-2945.84</v>
      </c>
      <c r="AD145" s="1238">
        <f>((AB145/AA145)-1)*100</f>
        <v>-100</v>
      </c>
      <c r="AE145" s="1657">
        <v>2945.84</v>
      </c>
      <c r="AF145" s="2050"/>
      <c r="AG145" s="1578">
        <f>AF145-AE145</f>
        <v>-2945.84</v>
      </c>
      <c r="AH145" s="1238">
        <f>((AF145/AE145)-1)*100</f>
        <v>-100</v>
      </c>
      <c r="AI145" s="1657">
        <v>2945.84</v>
      </c>
      <c r="AJ145" s="2050"/>
      <c r="AK145" s="1578">
        <f>AJ145-AI145</f>
        <v>-2945.84</v>
      </c>
      <c r="AL145" s="1238">
        <f>((AJ145/AI145)-1)*100</f>
        <v>-100</v>
      </c>
      <c r="AM145" s="1657">
        <v>2945.84</v>
      </c>
      <c r="AN145" s="2050"/>
      <c r="AO145" s="1578">
        <f>AN145-AM145</f>
        <v>-2945.84</v>
      </c>
      <c r="AP145" s="1238">
        <f>((AN145/AM145)-1)*100</f>
        <v>-100</v>
      </c>
      <c r="AQ145" s="1657">
        <v>2945.84</v>
      </c>
      <c r="AR145" s="2050"/>
      <c r="AS145" s="1578">
        <f>AR145-AQ145</f>
        <v>-2945.84</v>
      </c>
      <c r="AT145" s="1238">
        <f>((AR145/AQ145)-1)*100</f>
        <v>-100</v>
      </c>
      <c r="AU145" s="1657">
        <v>2945.84</v>
      </c>
      <c r="AV145" s="2050"/>
      <c r="AW145" s="1578">
        <f>AV145-AU145</f>
        <v>-2945.84</v>
      </c>
      <c r="AX145" s="1238">
        <f>((AV145/AU145)-1)*100</f>
        <v>-100</v>
      </c>
      <c r="AY145" s="1076">
        <f>C145+G145+K145+O145+S145+W145+AA145+AE145+AI145+AM145+AQ145+AU145</f>
        <v>35350.080000000002</v>
      </c>
      <c r="AZ145" s="1562">
        <f t="shared" si="239"/>
        <v>8443.42</v>
      </c>
      <c r="BB145" s="12"/>
    </row>
    <row r="146" spans="1:54" s="1421" customFormat="1" ht="18.75" customHeight="1" x14ac:dyDescent="0.25">
      <c r="A146" s="1548">
        <v>12320</v>
      </c>
      <c r="B146" s="1568" t="s">
        <v>3910</v>
      </c>
      <c r="C146" s="2420"/>
      <c r="D146" s="2515"/>
      <c r="E146" s="1574"/>
      <c r="F146" s="2425"/>
      <c r="G146" s="1661"/>
      <c r="H146" s="1608"/>
      <c r="I146" s="2517"/>
      <c r="J146" s="2425"/>
      <c r="K146" s="2420"/>
      <c r="L146" s="1662">
        <v>999</v>
      </c>
      <c r="M146" s="2433"/>
      <c r="N146" s="1575"/>
      <c r="O146" s="2420"/>
      <c r="P146" s="2433"/>
      <c r="Q146" s="2433"/>
      <c r="R146" s="1574"/>
      <c r="S146" s="1574"/>
      <c r="T146" s="1574"/>
      <c r="U146" s="2433"/>
      <c r="V146" s="2433"/>
      <c r="W146" s="2433"/>
      <c r="X146" s="2433"/>
      <c r="Y146" s="2433"/>
      <c r="Z146" s="2433"/>
      <c r="AA146" s="1574"/>
      <c r="AB146" s="1574"/>
      <c r="AC146" s="2433"/>
      <c r="AD146" s="2433"/>
      <c r="AE146" s="2433"/>
      <c r="AF146" s="2433"/>
      <c r="AG146" s="2433"/>
      <c r="AH146" s="2433"/>
      <c r="AI146" s="2433"/>
      <c r="AJ146" s="1574"/>
      <c r="AK146" s="1574"/>
      <c r="AL146" s="2433"/>
      <c r="AM146" s="2433"/>
      <c r="AN146" s="1574"/>
      <c r="AO146" s="2433"/>
      <c r="AP146" s="1574"/>
      <c r="AQ146" s="2433"/>
      <c r="AR146" s="1539"/>
      <c r="AS146" s="2433"/>
      <c r="AT146" s="2433"/>
      <c r="AU146" s="2433"/>
      <c r="AV146" s="1574"/>
      <c r="AW146" s="1574"/>
      <c r="AX146" s="1575"/>
      <c r="AY146" s="410"/>
      <c r="AZ146" s="2080"/>
      <c r="BB146" s="12"/>
    </row>
    <row r="147" spans="1:54" s="1421" customFormat="1" ht="18.75" customHeight="1" x14ac:dyDescent="0.25">
      <c r="A147" s="436">
        <v>52206</v>
      </c>
      <c r="B147" s="1424" t="s">
        <v>3864</v>
      </c>
      <c r="C147" s="2421"/>
      <c r="D147" s="2014">
        <v>1888</v>
      </c>
      <c r="E147" s="2435"/>
      <c r="F147" s="1577"/>
      <c r="G147" s="2421"/>
      <c r="H147" s="2504">
        <v>1888</v>
      </c>
      <c r="I147" s="1576"/>
      <c r="J147" s="1577"/>
      <c r="K147" s="2421"/>
      <c r="L147" s="1647">
        <v>1956</v>
      </c>
      <c r="M147" s="1576"/>
      <c r="N147" s="1577"/>
      <c r="O147" s="1656"/>
      <c r="P147" s="1647"/>
      <c r="Q147" s="1576"/>
      <c r="R147" s="1576"/>
      <c r="S147" s="1576"/>
      <c r="T147" s="1649"/>
      <c r="U147" s="1576"/>
      <c r="V147" s="1576"/>
      <c r="W147" s="1647"/>
      <c r="X147" s="1576"/>
      <c r="Y147" s="1576"/>
      <c r="Z147" s="1647"/>
      <c r="AA147" s="2435"/>
      <c r="AB147" s="2435"/>
      <c r="AC147" s="1576"/>
      <c r="AD147" s="1576"/>
      <c r="AE147" s="1576"/>
      <c r="AF147" s="1576"/>
      <c r="AG147" s="1576"/>
      <c r="AH147" s="1647"/>
      <c r="AI147" s="1576"/>
      <c r="AJ147" s="2435"/>
      <c r="AK147" s="2435"/>
      <c r="AL147" s="1576"/>
      <c r="AM147" s="1576"/>
      <c r="AN147" s="1649"/>
      <c r="AO147" s="1576"/>
      <c r="AP147" s="2435"/>
      <c r="AQ147" s="1576"/>
      <c r="AR147" s="1576"/>
      <c r="AS147" s="1576"/>
      <c r="AT147" s="1647"/>
      <c r="AU147" s="1576"/>
      <c r="AV147" s="2435"/>
      <c r="AW147" s="2435"/>
      <c r="AX147" s="1577"/>
      <c r="AY147" s="2520"/>
      <c r="AZ147" s="2081"/>
      <c r="BB147" s="12"/>
    </row>
    <row r="148" spans="1:54" s="1421" customFormat="1" ht="18.75" customHeight="1" thickBot="1" x14ac:dyDescent="0.3">
      <c r="A148" s="436">
        <v>11540</v>
      </c>
      <c r="B148" s="384" t="s">
        <v>208</v>
      </c>
      <c r="C148" s="2422"/>
      <c r="D148" s="2015">
        <v>0</v>
      </c>
      <c r="E148" s="1578"/>
      <c r="F148" s="2459"/>
      <c r="G148" s="1547"/>
      <c r="H148" s="2494">
        <v>19.989999999999998</v>
      </c>
      <c r="I148" s="2494"/>
      <c r="J148" s="1238"/>
      <c r="K148" s="2459"/>
      <c r="L148" s="2494">
        <v>30.9</v>
      </c>
      <c r="M148" s="2494"/>
      <c r="N148" s="1238"/>
      <c r="O148" s="2422"/>
      <c r="P148" s="1578"/>
      <c r="Q148" s="2434"/>
      <c r="R148" s="2434"/>
      <c r="S148" s="2434"/>
      <c r="T148" s="2434"/>
      <c r="U148" s="2434"/>
      <c r="V148" s="1578"/>
      <c r="W148" s="1578"/>
      <c r="X148" s="2434"/>
      <c r="Y148" s="2434"/>
      <c r="Z148" s="1578"/>
      <c r="AA148" s="1578"/>
      <c r="AB148" s="1578"/>
      <c r="AC148" s="2434"/>
      <c r="AD148" s="1578"/>
      <c r="AE148" s="2434"/>
      <c r="AF148" s="2434"/>
      <c r="AG148" s="2434"/>
      <c r="AH148" s="1578"/>
      <c r="AI148" s="2434"/>
      <c r="AJ148" s="1578"/>
      <c r="AK148" s="1578"/>
      <c r="AL148" s="2434"/>
      <c r="AM148" s="2434"/>
      <c r="AN148" s="2434"/>
      <c r="AO148" s="2434"/>
      <c r="AP148" s="1578"/>
      <c r="AQ148" s="2434"/>
      <c r="AR148" s="2434"/>
      <c r="AS148" s="1578"/>
      <c r="AT148" s="1578"/>
      <c r="AU148" s="1578"/>
      <c r="AV148" s="1578"/>
      <c r="AW148" s="1578"/>
      <c r="AX148" s="2426"/>
      <c r="AY148" s="2521"/>
      <c r="AZ148" s="2519"/>
      <c r="BB148" s="12"/>
    </row>
    <row r="149" spans="1:54" s="11" customFormat="1" ht="18.75" customHeight="1" thickBot="1" x14ac:dyDescent="0.3">
      <c r="A149" s="1118"/>
      <c r="B149" s="823"/>
      <c r="C149" s="1985"/>
      <c r="D149" s="1989"/>
      <c r="E149" s="1985"/>
      <c r="F149" s="1985"/>
      <c r="G149" s="551"/>
      <c r="H149" s="1985"/>
      <c r="I149" s="1985"/>
      <c r="J149" s="1985"/>
      <c r="K149" s="2468"/>
      <c r="L149" s="1985"/>
      <c r="M149" s="1985"/>
      <c r="N149" s="1985"/>
      <c r="O149" s="2468"/>
      <c r="P149" s="1988"/>
      <c r="Q149" s="1988"/>
      <c r="R149" s="1988"/>
      <c r="S149" s="551"/>
      <c r="T149" s="1988"/>
      <c r="U149" s="1988"/>
      <c r="V149" s="1988"/>
      <c r="W149" s="551"/>
      <c r="X149" s="1988"/>
      <c r="Y149" s="1988"/>
      <c r="Z149" s="1988"/>
      <c r="AA149" s="551"/>
      <c r="AB149" s="1988"/>
      <c r="AC149" s="1988"/>
      <c r="AD149" s="1988"/>
      <c r="AE149" s="551"/>
      <c r="AF149" s="1988"/>
      <c r="AG149" s="1988"/>
      <c r="AH149" s="1988"/>
      <c r="AI149" s="551"/>
      <c r="AJ149" s="1988"/>
      <c r="AK149" s="1988"/>
      <c r="AL149" s="1988"/>
      <c r="AM149" s="551"/>
      <c r="AN149" s="1988"/>
      <c r="AO149" s="1988"/>
      <c r="AP149" s="1988"/>
      <c r="AQ149" s="551"/>
      <c r="AR149" s="1988"/>
      <c r="AS149" s="1988"/>
      <c r="AT149" s="1988"/>
      <c r="AU149" s="551"/>
      <c r="AV149" s="1988"/>
      <c r="AW149" s="1988"/>
      <c r="AX149" s="1988"/>
      <c r="AY149" s="1989"/>
      <c r="AZ149" s="1989"/>
      <c r="BA149" s="1172"/>
      <c r="BB149" s="1172"/>
    </row>
    <row r="150" spans="1:54" s="11" customFormat="1" ht="18.75" customHeight="1" thickBot="1" x14ac:dyDescent="0.3">
      <c r="A150" s="165"/>
      <c r="B150" s="330" t="s">
        <v>3921</v>
      </c>
      <c r="C150" s="1391">
        <f>SUM(C151:C164)</f>
        <v>5455852.037800001</v>
      </c>
      <c r="D150" s="1973">
        <f>SUM(D151:D164)</f>
        <v>5023399.88</v>
      </c>
      <c r="E150" s="396">
        <f>D150-C150</f>
        <v>-432452.15780000109</v>
      </c>
      <c r="F150" s="397">
        <f>((D150/C150)-1)*100</f>
        <v>-7.9263908699104269</v>
      </c>
      <c r="G150" s="1391">
        <f>SUM(G151:G162)</f>
        <v>5455852.037800001</v>
      </c>
      <c r="H150" s="1973">
        <f>SUM(H151:H164)</f>
        <v>7192290.21</v>
      </c>
      <c r="I150" s="396">
        <f>H150-G150</f>
        <v>1736438.172199999</v>
      </c>
      <c r="J150" s="397">
        <f>((H150/G150)-1)*100</f>
        <v>31.827075957510644</v>
      </c>
      <c r="K150" s="395">
        <f>SUM(K151:K162)</f>
        <v>5455852.037800001</v>
      </c>
      <c r="L150" s="1973">
        <f>SUM(L151:L164)</f>
        <v>5908948.79</v>
      </c>
      <c r="M150" s="396">
        <f>L150-K150</f>
        <v>453096.75219999906</v>
      </c>
      <c r="N150" s="397">
        <f>((L150/K150)-1)*100</f>
        <v>8.3047844600768315</v>
      </c>
      <c r="O150" s="395">
        <f>SUM(O151:O162)</f>
        <v>5455852.037800001</v>
      </c>
      <c r="P150" s="1973">
        <f>SUM(P151:P162)</f>
        <v>0</v>
      </c>
      <c r="Q150" s="396">
        <f>P150-O150</f>
        <v>-5455852.037800001</v>
      </c>
      <c r="R150" s="397">
        <f>((P150/O150)-1)*100</f>
        <v>-100</v>
      </c>
      <c r="S150" s="395">
        <f>SUM(S151:S162)</f>
        <v>5455852.037800001</v>
      </c>
      <c r="T150" s="1973">
        <f>SUM(T151:T162)</f>
        <v>0</v>
      </c>
      <c r="U150" s="396">
        <f>T150-S150</f>
        <v>-5455852.037800001</v>
      </c>
      <c r="V150" s="397">
        <f>((T150/S150)-1)*100</f>
        <v>-100</v>
      </c>
      <c r="W150" s="395">
        <f>SUM(W151:W162)</f>
        <v>5898721.5154000008</v>
      </c>
      <c r="X150" s="1973">
        <f>SUM(X151:X162)</f>
        <v>0</v>
      </c>
      <c r="Y150" s="396">
        <f>X150-W150</f>
        <v>-5898721.5154000008</v>
      </c>
      <c r="Z150" s="397">
        <f>((X150/W150)-1)*100</f>
        <v>-100</v>
      </c>
      <c r="AA150" s="395">
        <f>SUM(AA151:AA162)</f>
        <v>5898821.5154000008</v>
      </c>
      <c r="AB150" s="1973">
        <f>SUM(AB151:AB162)</f>
        <v>0</v>
      </c>
      <c r="AC150" s="396">
        <f>AB150-AA150</f>
        <v>-5898821.5154000008</v>
      </c>
      <c r="AD150" s="397">
        <f>((AB150/AA150)-1)*100</f>
        <v>-100</v>
      </c>
      <c r="AE150" s="395">
        <f>SUM(AE151:AE162)</f>
        <v>5898821.5154000008</v>
      </c>
      <c r="AF150" s="1973">
        <f>SUM(AF151:AF162)</f>
        <v>0</v>
      </c>
      <c r="AG150" s="396">
        <f>AF150-AE150</f>
        <v>-5898821.5154000008</v>
      </c>
      <c r="AH150" s="397">
        <f>((AF150/AE150)-1)*100</f>
        <v>-100</v>
      </c>
      <c r="AI150" s="395">
        <f>SUM(AI151:AI162)</f>
        <v>5898821.5154000008</v>
      </c>
      <c r="AJ150" s="1973">
        <f>SUM(AJ151:AJ162)</f>
        <v>0</v>
      </c>
      <c r="AK150" s="396">
        <f>AJ150-AI150</f>
        <v>-5898821.5154000008</v>
      </c>
      <c r="AL150" s="397">
        <f>((AJ150/AI150)-1)*100</f>
        <v>-100</v>
      </c>
      <c r="AM150" s="395">
        <f>SUM(AM151:AM162)</f>
        <v>5898821.5154000008</v>
      </c>
      <c r="AN150" s="1973">
        <f>SUM(AN151:AN162)</f>
        <v>0</v>
      </c>
      <c r="AO150" s="396">
        <f>AN150-AM150</f>
        <v>-5898821.5154000008</v>
      </c>
      <c r="AP150" s="397">
        <f>((AN150/AM150)-1)*100</f>
        <v>-100</v>
      </c>
      <c r="AQ150" s="395">
        <f>SUM(AQ151:AQ162)</f>
        <v>5898821.5154000008</v>
      </c>
      <c r="AR150" s="1973">
        <f>SUM(AR151:AR162)</f>
        <v>0</v>
      </c>
      <c r="AS150" s="396">
        <f>AR150-AQ150</f>
        <v>-5898821.5154000008</v>
      </c>
      <c r="AT150" s="397">
        <f>((AR150/AQ150)-1)*100</f>
        <v>-100</v>
      </c>
      <c r="AU150" s="395">
        <f>SUM(AU151:AU162)</f>
        <v>5898821.5154000008</v>
      </c>
      <c r="AV150" s="1973">
        <f>SUM(AV151:AV162)</f>
        <v>0</v>
      </c>
      <c r="AW150" s="396">
        <f>AV150-AU150</f>
        <v>-5898821.5154000008</v>
      </c>
      <c r="AX150" s="397">
        <f>((AV150/AU150)-1)*100</f>
        <v>-100</v>
      </c>
      <c r="AY150" s="1074">
        <f t="shared" ref="AY150:AZ152" si="240">C150+G150+K150+O150+S150+W150+AA150+AE150+AI150+AM150+AQ150+AU150</f>
        <v>68570910.796800002</v>
      </c>
      <c r="AZ150" s="1975">
        <f t="shared" si="240"/>
        <v>18124638.879999999</v>
      </c>
      <c r="BA150" s="195"/>
      <c r="BB150" s="1176"/>
    </row>
    <row r="151" spans="1:54" s="1421" customFormat="1" ht="18.75" customHeight="1" thickBot="1" x14ac:dyDescent="0.3">
      <c r="A151" s="170">
        <v>12328</v>
      </c>
      <c r="B151" s="332" t="s">
        <v>336</v>
      </c>
      <c r="C151" s="1545">
        <v>16550.5504</v>
      </c>
      <c r="D151" s="2024">
        <v>10518</v>
      </c>
      <c r="E151" s="1649">
        <f>D151-C151</f>
        <v>-6032.5504000000001</v>
      </c>
      <c r="F151" s="1235">
        <f>((D151/C151)-1)*100</f>
        <v>-36.44924340401392</v>
      </c>
      <c r="G151" s="1545">
        <f>C151</f>
        <v>16550.5504</v>
      </c>
      <c r="H151" s="1570">
        <f>VLOOKUP(A151,'[1]r_balancete_sc 02-2022'!$1:$1048576,9,0)</f>
        <v>3312.79</v>
      </c>
      <c r="I151" s="1649">
        <f>H151-G151</f>
        <v>-13237.760399999999</v>
      </c>
      <c r="J151" s="1235">
        <f>((H151/G151)-1)*100</f>
        <v>-79.983807668414471</v>
      </c>
      <c r="K151" s="1545">
        <f>G151</f>
        <v>16550.5504</v>
      </c>
      <c r="L151" s="1649">
        <f>VLOOKUP(A151,'[2]bALANCETE ORÇAMENTO'!$1:$1048576,7,0)</f>
        <v>6022.73</v>
      </c>
      <c r="M151" s="1649">
        <f>L151-K151</f>
        <v>-10527.820400000001</v>
      </c>
      <c r="N151" s="1235">
        <f>((L151/K151)-1)*100</f>
        <v>-63.610092387018135</v>
      </c>
      <c r="O151" s="1545">
        <f>K151</f>
        <v>16550.5504</v>
      </c>
      <c r="P151" s="1649"/>
      <c r="Q151" s="1649">
        <f>P151-O151</f>
        <v>-16550.5504</v>
      </c>
      <c r="R151" s="1235">
        <f>((P151/O151)-1)*100</f>
        <v>-100</v>
      </c>
      <c r="S151" s="1545">
        <f>O151</f>
        <v>16550.5504</v>
      </c>
      <c r="T151" s="1649"/>
      <c r="U151" s="1649">
        <f>T151-S151</f>
        <v>-16550.5504</v>
      </c>
      <c r="V151" s="1235">
        <f>((T151/S151)-1)*100</f>
        <v>-100</v>
      </c>
      <c r="W151" s="1545">
        <v>36550.5504</v>
      </c>
      <c r="X151" s="1649"/>
      <c r="Y151" s="1649">
        <f>X151-W151</f>
        <v>-36550.5504</v>
      </c>
      <c r="Z151" s="1235">
        <f>((X151/W151)-1)*100</f>
        <v>-100</v>
      </c>
      <c r="AA151" s="1545">
        <f>W151</f>
        <v>36550.5504</v>
      </c>
      <c r="AB151" s="1649"/>
      <c r="AC151" s="1649">
        <f>AB151-AA151</f>
        <v>-36550.5504</v>
      </c>
      <c r="AD151" s="1235">
        <f>((AB151/AA151)-1)*100</f>
        <v>-100</v>
      </c>
      <c r="AE151" s="1545">
        <f>AA151</f>
        <v>36550.5504</v>
      </c>
      <c r="AF151" s="1649"/>
      <c r="AG151" s="1649">
        <f>AF151-AE151</f>
        <v>-36550.5504</v>
      </c>
      <c r="AH151" s="1235">
        <f>((AF151/AE151)-1)*100</f>
        <v>-100</v>
      </c>
      <c r="AI151" s="1545">
        <f>AE151</f>
        <v>36550.5504</v>
      </c>
      <c r="AJ151" s="1649"/>
      <c r="AK151" s="1649">
        <f>AJ151-AI151</f>
        <v>-36550.5504</v>
      </c>
      <c r="AL151" s="1235">
        <f>((AJ151/AI151)-1)*100</f>
        <v>-100</v>
      </c>
      <c r="AM151" s="1545">
        <f t="shared" ref="AM151:AM162" si="241">AI151</f>
        <v>36550.5504</v>
      </c>
      <c r="AN151" s="1649"/>
      <c r="AO151" s="1649">
        <f>AN151-AM151</f>
        <v>-36550.5504</v>
      </c>
      <c r="AP151" s="1235">
        <f>((AN151/AM151)-1)*100</f>
        <v>-100</v>
      </c>
      <c r="AQ151" s="1545">
        <f t="shared" ref="AQ151:AQ162" si="242">AM151</f>
        <v>36550.5504</v>
      </c>
      <c r="AR151" s="1649"/>
      <c r="AS151" s="1649">
        <f>AR151-AQ151</f>
        <v>-36550.5504</v>
      </c>
      <c r="AT151" s="1235">
        <f>((AR151/AQ151)-1)*100</f>
        <v>-100</v>
      </c>
      <c r="AU151" s="1545">
        <f t="shared" ref="AU151:AU162" si="243">AQ151</f>
        <v>36550.5504</v>
      </c>
      <c r="AV151" s="1649"/>
      <c r="AW151" s="1649">
        <f>AV151-AU151</f>
        <v>-36550.5504</v>
      </c>
      <c r="AX151" s="1235">
        <f>((AV151/AU151)-1)*100</f>
        <v>-100</v>
      </c>
      <c r="AY151" s="1658">
        <f t="shared" si="240"/>
        <v>338606.60480000003</v>
      </c>
      <c r="AZ151" s="1616">
        <f t="shared" si="240"/>
        <v>19853.52</v>
      </c>
      <c r="BA151" s="334"/>
      <c r="BB151" s="1174"/>
    </row>
    <row r="152" spans="1:54" s="1421" customFormat="1" ht="18.75" customHeight="1" x14ac:dyDescent="0.25">
      <c r="A152" s="167">
        <v>12324</v>
      </c>
      <c r="B152" s="331" t="s">
        <v>203</v>
      </c>
      <c r="C152" s="2752">
        <v>18585.135799999996</v>
      </c>
      <c r="D152" s="2013">
        <v>0</v>
      </c>
      <c r="E152" s="2792">
        <f>SUM(D152:D154)-C152</f>
        <v>-18688.785799999998</v>
      </c>
      <c r="F152" s="2783">
        <f>((SUM(D152:D154)/C152)-1)*100</f>
        <v>-100.5577037537708</v>
      </c>
      <c r="G152" s="2752">
        <f>C152</f>
        <v>18585.135799999996</v>
      </c>
      <c r="H152" s="2069">
        <v>0</v>
      </c>
      <c r="I152" s="2792">
        <f>SUM(H152:H154)-G152</f>
        <v>-54714.725799999993</v>
      </c>
      <c r="J152" s="2783">
        <f>((SUM(H152:H154)/G152)-1)*100</f>
        <v>-294.40046276121376</v>
      </c>
      <c r="K152" s="2752">
        <f>G152</f>
        <v>18585.135799999996</v>
      </c>
      <c r="L152" s="1574">
        <v>0</v>
      </c>
      <c r="M152" s="2792">
        <f>SUM(L152:L154)-K152</f>
        <v>-54959.255799999999</v>
      </c>
      <c r="N152" s="2783">
        <f>((SUM(L152:L154)/K152)-1)*100</f>
        <v>-295.71619164601424</v>
      </c>
      <c r="O152" s="2752">
        <f>K152</f>
        <v>18585.135799999996</v>
      </c>
      <c r="P152" s="1574"/>
      <c r="Q152" s="2792">
        <f>SUM(P152:P154)-O152</f>
        <v>-18585.135799999996</v>
      </c>
      <c r="R152" s="2783">
        <f>((SUM(P152:P154)/O152)-1)*100</f>
        <v>-100</v>
      </c>
      <c r="S152" s="2752">
        <f>O152</f>
        <v>18585.135799999996</v>
      </c>
      <c r="T152" s="1574"/>
      <c r="U152" s="2792">
        <f>SUM(T152:T154)-S152</f>
        <v>-18585.135799999996</v>
      </c>
      <c r="V152" s="2783">
        <f>((SUM(T152:T154)/S152)-1)*100</f>
        <v>-100</v>
      </c>
      <c r="W152" s="2752">
        <v>28585.135799999996</v>
      </c>
      <c r="X152" s="1574"/>
      <c r="Y152" s="2792">
        <f>SUM(X152:X154)-W152</f>
        <v>-28585.135799999996</v>
      </c>
      <c r="Z152" s="2783">
        <f>((SUM(X152:X154)/W152)-1)*100</f>
        <v>-100</v>
      </c>
      <c r="AA152" s="2752">
        <f>W152</f>
        <v>28585.135799999996</v>
      </c>
      <c r="AB152" s="1574"/>
      <c r="AC152" s="2792">
        <f>SUM(AB152:AB154)-AA152</f>
        <v>-28585.135799999996</v>
      </c>
      <c r="AD152" s="2783">
        <f>((SUM(AB152:AB154)/AA152)-1)*100</f>
        <v>-100</v>
      </c>
      <c r="AE152" s="2752">
        <f>AA152</f>
        <v>28585.135799999996</v>
      </c>
      <c r="AF152" s="1574"/>
      <c r="AG152" s="2792">
        <f>SUM(AF152:AF154)-AE152</f>
        <v>-28585.135799999996</v>
      </c>
      <c r="AH152" s="2783">
        <f>((SUM(AF152:AF154)/AE152)-1)*100</f>
        <v>-100</v>
      </c>
      <c r="AI152" s="2752">
        <f>AE152</f>
        <v>28585.135799999996</v>
      </c>
      <c r="AJ152" s="1574"/>
      <c r="AK152" s="2792">
        <f>SUM(AJ152:AJ154)-AI152</f>
        <v>-28585.135799999996</v>
      </c>
      <c r="AL152" s="2783">
        <f>((SUM(AJ152:AJ154)/AI152)-1)*100</f>
        <v>-100</v>
      </c>
      <c r="AM152" s="2752">
        <f t="shared" si="241"/>
        <v>28585.135799999996</v>
      </c>
      <c r="AN152" s="1574"/>
      <c r="AO152" s="2792">
        <f>SUM(AN152:AN154)-AM152</f>
        <v>-28585.135799999996</v>
      </c>
      <c r="AP152" s="2783">
        <f>((SUM(AN152:AN154)/AM152)-1)*100</f>
        <v>-100</v>
      </c>
      <c r="AQ152" s="2752">
        <f t="shared" si="242"/>
        <v>28585.135799999996</v>
      </c>
      <c r="AR152" s="1574"/>
      <c r="AS152" s="2792">
        <f>SUM(AR152:AR154)-AQ152</f>
        <v>-28585.135799999996</v>
      </c>
      <c r="AT152" s="2783">
        <f>((SUM(AR152:AR154)/AQ152)-1)*100</f>
        <v>-100</v>
      </c>
      <c r="AU152" s="2752">
        <f t="shared" si="243"/>
        <v>28585.135799999996</v>
      </c>
      <c r="AV152" s="1574"/>
      <c r="AW152" s="2792">
        <f>SUM(AV152:AV154)-AU152</f>
        <v>-28585.135799999996</v>
      </c>
      <c r="AX152" s="2783">
        <f>((SUM(AV152:AV154)/AU152)-1)*100</f>
        <v>-100</v>
      </c>
      <c r="AY152" s="2721">
        <f t="shared" si="240"/>
        <v>293021.62959999993</v>
      </c>
      <c r="AZ152" s="1616">
        <f t="shared" si="240"/>
        <v>0</v>
      </c>
      <c r="BA152" s="334"/>
      <c r="BB152" s="1174"/>
    </row>
    <row r="153" spans="1:54" s="1421" customFormat="1" ht="18.75" customHeight="1" x14ac:dyDescent="0.25">
      <c r="A153" s="170">
        <v>12325</v>
      </c>
      <c r="B153" s="332" t="s">
        <v>3871</v>
      </c>
      <c r="C153" s="2753"/>
      <c r="D153" s="2024">
        <v>-103.65</v>
      </c>
      <c r="E153" s="2794"/>
      <c r="F153" s="2795"/>
      <c r="G153" s="2753"/>
      <c r="H153" s="2075">
        <f>VLOOKUP(A153,'[1]r_balancete_sc 02-2022'!$1:$1048576,9,0)</f>
        <v>-36129.589999999997</v>
      </c>
      <c r="I153" s="2794"/>
      <c r="J153" s="2795"/>
      <c r="K153" s="2753"/>
      <c r="L153" s="1649">
        <f>VLOOKUP(A153,'[2]bALANCETE ORÇAMENTO'!$1:$1048576,7,0)</f>
        <v>-36374.120000000003</v>
      </c>
      <c r="M153" s="2794"/>
      <c r="N153" s="2795"/>
      <c r="O153" s="2753"/>
      <c r="P153" s="1649"/>
      <c r="Q153" s="2794"/>
      <c r="R153" s="2795"/>
      <c r="S153" s="2753"/>
      <c r="T153" s="1649"/>
      <c r="U153" s="2794"/>
      <c r="V153" s="2795"/>
      <c r="W153" s="2753"/>
      <c r="X153" s="1649"/>
      <c r="Y153" s="2794"/>
      <c r="Z153" s="2795"/>
      <c r="AA153" s="2753"/>
      <c r="AB153" s="1649"/>
      <c r="AC153" s="2794"/>
      <c r="AD153" s="2795"/>
      <c r="AE153" s="2753"/>
      <c r="AF153" s="1649"/>
      <c r="AG153" s="2794"/>
      <c r="AH153" s="2795"/>
      <c r="AI153" s="2753"/>
      <c r="AJ153" s="1649"/>
      <c r="AK153" s="2794"/>
      <c r="AL153" s="2795"/>
      <c r="AM153" s="2753"/>
      <c r="AN153" s="1649"/>
      <c r="AO153" s="2794"/>
      <c r="AP153" s="2795"/>
      <c r="AQ153" s="2753"/>
      <c r="AR153" s="1649"/>
      <c r="AS153" s="2794"/>
      <c r="AT153" s="2795"/>
      <c r="AU153" s="2753"/>
      <c r="AV153" s="1649"/>
      <c r="AW153" s="2794"/>
      <c r="AX153" s="2795"/>
      <c r="AY153" s="2722"/>
      <c r="AZ153" s="1616">
        <f t="shared" ref="AZ153:AZ162" si="244">D153+H153+L153+P153+T153+X153+AB153+AF153+AJ153+AN153+AR153+AV153</f>
        <v>-72607.360000000001</v>
      </c>
      <c r="BA153" s="334"/>
      <c r="BB153" s="1174"/>
    </row>
    <row r="154" spans="1:54" s="1421" customFormat="1" ht="18.75" customHeight="1" thickBot="1" x14ac:dyDescent="0.3">
      <c r="A154" s="178">
        <v>12326</v>
      </c>
      <c r="B154" s="385" t="s">
        <v>3872</v>
      </c>
      <c r="C154" s="2754"/>
      <c r="D154" s="2027">
        <v>0</v>
      </c>
      <c r="E154" s="2793"/>
      <c r="F154" s="2784"/>
      <c r="G154" s="2754"/>
      <c r="H154" s="1669">
        <v>0</v>
      </c>
      <c r="I154" s="2793"/>
      <c r="J154" s="2784"/>
      <c r="K154" s="2754"/>
      <c r="L154" s="2050">
        <v>0</v>
      </c>
      <c r="M154" s="2793"/>
      <c r="N154" s="2784"/>
      <c r="O154" s="2754"/>
      <c r="P154" s="2050"/>
      <c r="Q154" s="2793"/>
      <c r="R154" s="2784"/>
      <c r="S154" s="2754"/>
      <c r="T154" s="2050"/>
      <c r="U154" s="2793"/>
      <c r="V154" s="2784"/>
      <c r="W154" s="2754"/>
      <c r="X154" s="2050"/>
      <c r="Y154" s="2793"/>
      <c r="Z154" s="2784"/>
      <c r="AA154" s="2754"/>
      <c r="AB154" s="2050"/>
      <c r="AC154" s="2793"/>
      <c r="AD154" s="2784"/>
      <c r="AE154" s="2754"/>
      <c r="AF154" s="2050"/>
      <c r="AG154" s="2793"/>
      <c r="AH154" s="2784"/>
      <c r="AI154" s="2754"/>
      <c r="AJ154" s="2050"/>
      <c r="AK154" s="2793"/>
      <c r="AL154" s="2784"/>
      <c r="AM154" s="2754"/>
      <c r="AN154" s="2050"/>
      <c r="AO154" s="2793"/>
      <c r="AP154" s="2784"/>
      <c r="AQ154" s="2754"/>
      <c r="AR154" s="2050"/>
      <c r="AS154" s="2793"/>
      <c r="AT154" s="2784"/>
      <c r="AU154" s="2754"/>
      <c r="AV154" s="2050"/>
      <c r="AW154" s="2793"/>
      <c r="AX154" s="2784"/>
      <c r="AY154" s="2723"/>
      <c r="AZ154" s="1613">
        <f t="shared" si="244"/>
        <v>0</v>
      </c>
      <c r="BA154" s="334"/>
      <c r="BB154" s="1174"/>
    </row>
    <row r="155" spans="1:54" s="1421" customFormat="1" ht="18.75" customHeight="1" x14ac:dyDescent="0.25">
      <c r="A155" s="170">
        <v>54554</v>
      </c>
      <c r="B155" s="332" t="s">
        <v>3707</v>
      </c>
      <c r="C155" s="1545">
        <v>300130.24420000002</v>
      </c>
      <c r="D155" s="2024">
        <v>373748</v>
      </c>
      <c r="E155" s="1649">
        <f>D155-C155</f>
        <v>73617.755799999984</v>
      </c>
      <c r="F155" s="1235">
        <f t="shared" ref="F155:F162" si="245">((D155/C155)-1)*100</f>
        <v>24.528602905791374</v>
      </c>
      <c r="G155" s="1545">
        <f t="shared" ref="G155:G162" si="246">C155</f>
        <v>300130.24420000002</v>
      </c>
      <c r="H155" s="1608">
        <f>VLOOKUP(A155,'[1]r_balancete_sc 02-2022'!$1:$1048576,9,0)</f>
        <v>554912.78</v>
      </c>
      <c r="I155" s="1649">
        <f t="shared" ref="I155:I162" si="247">H155-G155</f>
        <v>254782.53580000001</v>
      </c>
      <c r="J155" s="1235">
        <f t="shared" ref="J155:J162" si="248">((H155/G155)-1)*100</f>
        <v>84.890656881023531</v>
      </c>
      <c r="K155" s="1545">
        <f t="shared" ref="K155:K162" si="249">G155</f>
        <v>300130.24420000002</v>
      </c>
      <c r="L155" s="1649">
        <f>VLOOKUP(A155,'[2]bALANCETE ORÇAMENTO'!$1:$1048576,7,0)</f>
        <v>336807.73</v>
      </c>
      <c r="M155" s="1649">
        <f>L155-K155</f>
        <v>36677.485799999966</v>
      </c>
      <c r="N155" s="1235">
        <f t="shared" ref="N155:N162" si="250">((L155/K155)-1)*100</f>
        <v>12.220523092487445</v>
      </c>
      <c r="O155" s="1545">
        <f t="shared" ref="O155:O162" si="251">K155</f>
        <v>300130.24420000002</v>
      </c>
      <c r="P155" s="1649"/>
      <c r="Q155" s="1649">
        <f>P155-O155</f>
        <v>-300130.24420000002</v>
      </c>
      <c r="R155" s="1235">
        <f t="shared" ref="R155:R162" si="252">((P155/O155)-1)*100</f>
        <v>-100</v>
      </c>
      <c r="S155" s="1545">
        <f t="shared" ref="S155:S162" si="253">O155</f>
        <v>300130.24420000002</v>
      </c>
      <c r="T155" s="1649"/>
      <c r="U155" s="1649">
        <f>T155-S155</f>
        <v>-300130.24420000002</v>
      </c>
      <c r="V155" s="1235">
        <f t="shared" ref="V155:V162" si="254">((T155/S155)-1)*100</f>
        <v>-100</v>
      </c>
      <c r="W155" s="1545">
        <v>320130.24420000002</v>
      </c>
      <c r="X155" s="1649"/>
      <c r="Y155" s="1649">
        <f>X155-W155</f>
        <v>-320130.24420000002</v>
      </c>
      <c r="Z155" s="1235">
        <f t="shared" ref="Z155:Z162" si="255">((X155/W155)-1)*100</f>
        <v>-100</v>
      </c>
      <c r="AA155" s="1545">
        <f>W155</f>
        <v>320130.24420000002</v>
      </c>
      <c r="AB155" s="1649"/>
      <c r="AC155" s="1649">
        <f>AB155-AA155</f>
        <v>-320130.24420000002</v>
      </c>
      <c r="AD155" s="1235">
        <f t="shared" ref="AD155:AD162" si="256">((AB155/AA155)-1)*100</f>
        <v>-100</v>
      </c>
      <c r="AE155" s="1545">
        <f>AA155</f>
        <v>320130.24420000002</v>
      </c>
      <c r="AF155" s="1649"/>
      <c r="AG155" s="1649">
        <f>AF155-AE155</f>
        <v>-320130.24420000002</v>
      </c>
      <c r="AH155" s="1235">
        <f t="shared" ref="AH155:AH162" si="257">((AF155/AE155)-1)*100</f>
        <v>-100</v>
      </c>
      <c r="AI155" s="1545">
        <f>AE155</f>
        <v>320130.24420000002</v>
      </c>
      <c r="AJ155" s="1649"/>
      <c r="AK155" s="1649">
        <f>AJ155-AI155</f>
        <v>-320130.24420000002</v>
      </c>
      <c r="AL155" s="1235">
        <f t="shared" ref="AL155:AL162" si="258">((AJ155/AI155)-1)*100</f>
        <v>-100</v>
      </c>
      <c r="AM155" s="1545">
        <f t="shared" si="241"/>
        <v>320130.24420000002</v>
      </c>
      <c r="AN155" s="1649"/>
      <c r="AO155" s="1649">
        <f>AN155-AM155</f>
        <v>-320130.24420000002</v>
      </c>
      <c r="AP155" s="1235">
        <f t="shared" ref="AP155:AP162" si="259">((AN155/AM155)-1)*100</f>
        <v>-100</v>
      </c>
      <c r="AQ155" s="1545">
        <f t="shared" si="242"/>
        <v>320130.24420000002</v>
      </c>
      <c r="AR155" s="1649"/>
      <c r="AS155" s="1649">
        <f>AR155-AQ155</f>
        <v>-320130.24420000002</v>
      </c>
      <c r="AT155" s="1235">
        <f t="shared" ref="AT155:AT162" si="260">((AR155/AQ155)-1)*100</f>
        <v>-100</v>
      </c>
      <c r="AU155" s="1545">
        <f t="shared" si="243"/>
        <v>320130.24420000002</v>
      </c>
      <c r="AV155" s="1649"/>
      <c r="AW155" s="1649">
        <f>AV155-AU155</f>
        <v>-320130.24420000002</v>
      </c>
      <c r="AX155" s="1235">
        <f t="shared" ref="AX155:AX162" si="261">((AV155/AU155)-1)*100</f>
        <v>-100</v>
      </c>
      <c r="AY155" s="1658">
        <f t="shared" ref="AY155:AY162" si="262">C155+G155+K155+O155+S155+W155+AA155+AE155+AI155+AM155+AQ155+AU155</f>
        <v>3741562.9304000004</v>
      </c>
      <c r="AZ155" s="1561">
        <f t="shared" si="244"/>
        <v>1265468.51</v>
      </c>
      <c r="BA155" s="334"/>
      <c r="BB155" s="1174"/>
    </row>
    <row r="156" spans="1:54" s="1421" customFormat="1" ht="18.75" customHeight="1" x14ac:dyDescent="0.25">
      <c r="A156" s="170">
        <v>12299</v>
      </c>
      <c r="B156" s="332" t="s">
        <v>71</v>
      </c>
      <c r="C156" s="1545">
        <v>741399.55920000002</v>
      </c>
      <c r="D156" s="2024">
        <v>781019</v>
      </c>
      <c r="E156" s="1649">
        <f t="shared" ref="E156:E164" si="263">D156-C156</f>
        <v>39619.440799999982</v>
      </c>
      <c r="F156" s="1235">
        <f t="shared" si="245"/>
        <v>5.3438716422695043</v>
      </c>
      <c r="G156" s="1545">
        <f t="shared" si="246"/>
        <v>741399.55920000002</v>
      </c>
      <c r="H156" s="2071">
        <f>VLOOKUP(A156,'[1]r_balancete_sc 02-2022'!$1:$1048576,9,0)</f>
        <v>795157.13</v>
      </c>
      <c r="I156" s="1649">
        <f t="shared" si="247"/>
        <v>53757.570799999987</v>
      </c>
      <c r="J156" s="1235">
        <f t="shared" si="248"/>
        <v>7.2508231402250267</v>
      </c>
      <c r="K156" s="1545">
        <f t="shared" si="249"/>
        <v>741399.55920000002</v>
      </c>
      <c r="L156" s="1649">
        <f>VLOOKUP(A156,'[2]bALANCETE ORÇAMENTO'!$1:$1048576,7,0)</f>
        <v>902903.25</v>
      </c>
      <c r="M156" s="1649">
        <f t="shared" ref="M156:M162" si="264">L156-K156</f>
        <v>161503.69079999998</v>
      </c>
      <c r="N156" s="1235">
        <f t="shared" si="250"/>
        <v>21.783623795820574</v>
      </c>
      <c r="O156" s="1545">
        <f t="shared" si="251"/>
        <v>741399.55920000002</v>
      </c>
      <c r="P156" s="1649"/>
      <c r="Q156" s="1649">
        <f t="shared" ref="Q156:Q162" si="265">P156-O156</f>
        <v>-741399.55920000002</v>
      </c>
      <c r="R156" s="1235">
        <f t="shared" si="252"/>
        <v>-100</v>
      </c>
      <c r="S156" s="1545">
        <f t="shared" si="253"/>
        <v>741399.55920000002</v>
      </c>
      <c r="T156" s="1649"/>
      <c r="U156" s="1649">
        <f t="shared" ref="U156:U162" si="266">T156-S156</f>
        <v>-741399.55920000002</v>
      </c>
      <c r="V156" s="1235">
        <f t="shared" si="254"/>
        <v>-100</v>
      </c>
      <c r="W156" s="1545">
        <v>808200</v>
      </c>
      <c r="X156" s="1649"/>
      <c r="Y156" s="1649">
        <f t="shared" ref="Y156:Y162" si="267">X156-W156</f>
        <v>-808200</v>
      </c>
      <c r="Z156" s="1235">
        <f t="shared" si="255"/>
        <v>-100</v>
      </c>
      <c r="AA156" s="1545">
        <v>808300</v>
      </c>
      <c r="AB156" s="1649"/>
      <c r="AC156" s="1649">
        <f t="shared" ref="AC156:AC162" si="268">AB156-AA156</f>
        <v>-808300</v>
      </c>
      <c r="AD156" s="1235">
        <f t="shared" si="256"/>
        <v>-100</v>
      </c>
      <c r="AE156" s="1545">
        <v>808300</v>
      </c>
      <c r="AF156" s="1649"/>
      <c r="AG156" s="1649">
        <f t="shared" ref="AG156:AG162" si="269">AF156-AE156</f>
        <v>-808300</v>
      </c>
      <c r="AH156" s="1235">
        <f t="shared" si="257"/>
        <v>-100</v>
      </c>
      <c r="AI156" s="1545">
        <v>808300</v>
      </c>
      <c r="AJ156" s="1649"/>
      <c r="AK156" s="1649">
        <f t="shared" ref="AK156:AK162" si="270">AJ156-AI156</f>
        <v>-808300</v>
      </c>
      <c r="AL156" s="1235">
        <f t="shared" si="258"/>
        <v>-100</v>
      </c>
      <c r="AM156" s="1545">
        <f t="shared" si="241"/>
        <v>808300</v>
      </c>
      <c r="AN156" s="1649"/>
      <c r="AO156" s="1649">
        <f t="shared" ref="AO156:AO162" si="271">AN156-AM156</f>
        <v>-808300</v>
      </c>
      <c r="AP156" s="1235">
        <f t="shared" si="259"/>
        <v>-100</v>
      </c>
      <c r="AQ156" s="1545">
        <f t="shared" si="242"/>
        <v>808300</v>
      </c>
      <c r="AR156" s="1649"/>
      <c r="AS156" s="1649">
        <f t="shared" ref="AS156:AS162" si="272">AR156-AQ156</f>
        <v>-808300</v>
      </c>
      <c r="AT156" s="1235">
        <f t="shared" si="260"/>
        <v>-100</v>
      </c>
      <c r="AU156" s="1545">
        <f>AQ156</f>
        <v>808300</v>
      </c>
      <c r="AV156" s="1649"/>
      <c r="AW156" s="1649">
        <f t="shared" ref="AW156:AW162" si="273">AV156-AU156</f>
        <v>-808300</v>
      </c>
      <c r="AX156" s="1235">
        <f t="shared" si="261"/>
        <v>-100</v>
      </c>
      <c r="AY156" s="1658">
        <f t="shared" si="262"/>
        <v>9364997.7960000001</v>
      </c>
      <c r="AZ156" s="1616">
        <f t="shared" si="244"/>
        <v>2479079.38</v>
      </c>
      <c r="BA156" s="805"/>
      <c r="BB156" s="1174"/>
    </row>
    <row r="157" spans="1:54" s="1421" customFormat="1" ht="18.75" customHeight="1" x14ac:dyDescent="0.25">
      <c r="A157" s="170">
        <v>11605</v>
      </c>
      <c r="B157" s="332" t="s">
        <v>74</v>
      </c>
      <c r="C157" s="1545">
        <v>93000</v>
      </c>
      <c r="D157" s="2024">
        <v>72359</v>
      </c>
      <c r="E157" s="1649">
        <f t="shared" si="263"/>
        <v>-20641</v>
      </c>
      <c r="F157" s="1235">
        <f t="shared" si="245"/>
        <v>-22.194623655913979</v>
      </c>
      <c r="G157" s="1545">
        <f t="shared" si="246"/>
        <v>93000</v>
      </c>
      <c r="H157" s="1611">
        <f>VLOOKUP(A157,'[1]r_balancete_sc 02-2022'!$1:$1048576,9,0)</f>
        <v>101798.77</v>
      </c>
      <c r="I157" s="1649">
        <f t="shared" si="247"/>
        <v>8798.7700000000041</v>
      </c>
      <c r="J157" s="1235">
        <f t="shared" si="248"/>
        <v>9.4610430107527002</v>
      </c>
      <c r="K157" s="1545">
        <f t="shared" si="249"/>
        <v>93000</v>
      </c>
      <c r="L157" s="1649">
        <f>VLOOKUP(A157,'[2]bALANCETE ORÇAMENTO'!$1:$1048576,7,0)</f>
        <v>127369.83</v>
      </c>
      <c r="M157" s="1649">
        <f t="shared" si="264"/>
        <v>34369.83</v>
      </c>
      <c r="N157" s="1235">
        <f t="shared" si="250"/>
        <v>36.956806451612898</v>
      </c>
      <c r="O157" s="1545">
        <f t="shared" si="251"/>
        <v>93000</v>
      </c>
      <c r="P157" s="1649"/>
      <c r="Q157" s="1649">
        <f t="shared" si="265"/>
        <v>-93000</v>
      </c>
      <c r="R157" s="1235">
        <f t="shared" si="252"/>
        <v>-100</v>
      </c>
      <c r="S157" s="1545">
        <f t="shared" si="253"/>
        <v>93000</v>
      </c>
      <c r="T157" s="1649"/>
      <c r="U157" s="1649">
        <f t="shared" si="266"/>
        <v>-93000</v>
      </c>
      <c r="V157" s="1235">
        <f t="shared" si="254"/>
        <v>-100</v>
      </c>
      <c r="W157" s="1545">
        <v>93000</v>
      </c>
      <c r="X157" s="1649"/>
      <c r="Y157" s="1649">
        <f t="shared" si="267"/>
        <v>-93000</v>
      </c>
      <c r="Z157" s="1235">
        <f t="shared" si="255"/>
        <v>-100</v>
      </c>
      <c r="AA157" s="1545">
        <f t="shared" ref="AA157:AA162" si="274">W157</f>
        <v>93000</v>
      </c>
      <c r="AB157" s="1649"/>
      <c r="AC157" s="1649">
        <f t="shared" si="268"/>
        <v>-93000</v>
      </c>
      <c r="AD157" s="1235">
        <f t="shared" si="256"/>
        <v>-100</v>
      </c>
      <c r="AE157" s="1545">
        <f t="shared" ref="AE157:AE162" si="275">AA157</f>
        <v>93000</v>
      </c>
      <c r="AF157" s="1649"/>
      <c r="AG157" s="1649">
        <f t="shared" si="269"/>
        <v>-93000</v>
      </c>
      <c r="AH157" s="1235">
        <f t="shared" si="257"/>
        <v>-100</v>
      </c>
      <c r="AI157" s="1545">
        <f t="shared" ref="AI157:AI162" si="276">AE157</f>
        <v>93000</v>
      </c>
      <c r="AJ157" s="1649"/>
      <c r="AK157" s="1649">
        <f t="shared" si="270"/>
        <v>-93000</v>
      </c>
      <c r="AL157" s="1235">
        <f t="shared" si="258"/>
        <v>-100</v>
      </c>
      <c r="AM157" s="1545">
        <f t="shared" si="241"/>
        <v>93000</v>
      </c>
      <c r="AN157" s="1649"/>
      <c r="AO157" s="1649">
        <f t="shared" si="271"/>
        <v>-93000</v>
      </c>
      <c r="AP157" s="1235">
        <f t="shared" si="259"/>
        <v>-100</v>
      </c>
      <c r="AQ157" s="1545">
        <f t="shared" si="242"/>
        <v>93000</v>
      </c>
      <c r="AR157" s="1649"/>
      <c r="AS157" s="1649">
        <f t="shared" si="272"/>
        <v>-93000</v>
      </c>
      <c r="AT157" s="1235">
        <f t="shared" si="260"/>
        <v>-100</v>
      </c>
      <c r="AU157" s="1545">
        <f t="shared" si="243"/>
        <v>93000</v>
      </c>
      <c r="AV157" s="1649"/>
      <c r="AW157" s="1649">
        <f t="shared" si="273"/>
        <v>-93000</v>
      </c>
      <c r="AX157" s="1235">
        <f t="shared" si="261"/>
        <v>-100</v>
      </c>
      <c r="AY157" s="1658">
        <f t="shared" si="262"/>
        <v>1116000</v>
      </c>
      <c r="AZ157" s="1616">
        <f t="shared" si="244"/>
        <v>301527.60000000003</v>
      </c>
      <c r="BA157" s="334"/>
      <c r="BB157" s="1174"/>
    </row>
    <row r="158" spans="1:54" s="1421" customFormat="1" ht="18.75" customHeight="1" x14ac:dyDescent="0.25">
      <c r="A158" s="170">
        <v>12297</v>
      </c>
      <c r="B158" s="332" t="s">
        <v>200</v>
      </c>
      <c r="C158" s="1545">
        <v>70725.574399999998</v>
      </c>
      <c r="D158" s="2024">
        <v>58444</v>
      </c>
      <c r="E158" s="1649">
        <f t="shared" si="263"/>
        <v>-12281.574399999998</v>
      </c>
      <c r="F158" s="1235">
        <f t="shared" si="245"/>
        <v>-17.365110858682542</v>
      </c>
      <c r="G158" s="1545">
        <f t="shared" si="246"/>
        <v>70725.574399999998</v>
      </c>
      <c r="H158" s="1611">
        <f>VLOOKUP(A158,'[1]r_balancete_sc 02-2022'!$1:$1048576,9,0)</f>
        <v>54437.47</v>
      </c>
      <c r="I158" s="1649">
        <f t="shared" si="247"/>
        <v>-16288.104399999997</v>
      </c>
      <c r="J158" s="1235">
        <f t="shared" si="248"/>
        <v>-23.030006526182412</v>
      </c>
      <c r="K158" s="1545">
        <f t="shared" si="249"/>
        <v>70725.574399999998</v>
      </c>
      <c r="L158" s="1649">
        <f>VLOOKUP(A158,'[2]bALANCETE ORÇAMENTO'!$1:$1048576,7,0)</f>
        <v>65136.63</v>
      </c>
      <c r="M158" s="1649">
        <f t="shared" si="264"/>
        <v>-5588.9444000000003</v>
      </c>
      <c r="N158" s="1235">
        <f t="shared" si="250"/>
        <v>-7.9022962307676909</v>
      </c>
      <c r="O158" s="1545">
        <f t="shared" si="251"/>
        <v>70725.574399999998</v>
      </c>
      <c r="P158" s="1649"/>
      <c r="Q158" s="1649">
        <f t="shared" si="265"/>
        <v>-70725.574399999998</v>
      </c>
      <c r="R158" s="1235">
        <f t="shared" si="252"/>
        <v>-100</v>
      </c>
      <c r="S158" s="1545">
        <f t="shared" si="253"/>
        <v>70725.574399999998</v>
      </c>
      <c r="T158" s="1649"/>
      <c r="U158" s="1649">
        <f t="shared" si="266"/>
        <v>-70725.574399999998</v>
      </c>
      <c r="V158" s="1235">
        <f t="shared" si="254"/>
        <v>-100</v>
      </c>
      <c r="W158" s="1545">
        <v>70725.574399999998</v>
      </c>
      <c r="X158" s="1649"/>
      <c r="Y158" s="1649">
        <f t="shared" si="267"/>
        <v>-70725.574399999998</v>
      </c>
      <c r="Z158" s="1235">
        <f t="shared" si="255"/>
        <v>-100</v>
      </c>
      <c r="AA158" s="1545">
        <f t="shared" si="274"/>
        <v>70725.574399999998</v>
      </c>
      <c r="AB158" s="1649"/>
      <c r="AC158" s="1649">
        <f t="shared" si="268"/>
        <v>-70725.574399999998</v>
      </c>
      <c r="AD158" s="1235">
        <f t="shared" si="256"/>
        <v>-100</v>
      </c>
      <c r="AE158" s="1545">
        <f t="shared" si="275"/>
        <v>70725.574399999998</v>
      </c>
      <c r="AF158" s="1649"/>
      <c r="AG158" s="1649">
        <f t="shared" si="269"/>
        <v>-70725.574399999998</v>
      </c>
      <c r="AH158" s="1235">
        <f t="shared" si="257"/>
        <v>-100</v>
      </c>
      <c r="AI158" s="1545">
        <f t="shared" si="276"/>
        <v>70725.574399999998</v>
      </c>
      <c r="AJ158" s="1649"/>
      <c r="AK158" s="1649">
        <f t="shared" si="270"/>
        <v>-70725.574399999998</v>
      </c>
      <c r="AL158" s="1235">
        <f t="shared" si="258"/>
        <v>-100</v>
      </c>
      <c r="AM158" s="1545">
        <f t="shared" si="241"/>
        <v>70725.574399999998</v>
      </c>
      <c r="AN158" s="1649"/>
      <c r="AO158" s="1649">
        <f t="shared" si="271"/>
        <v>-70725.574399999998</v>
      </c>
      <c r="AP158" s="1235">
        <f t="shared" si="259"/>
        <v>-100</v>
      </c>
      <c r="AQ158" s="1545">
        <f t="shared" si="242"/>
        <v>70725.574399999998</v>
      </c>
      <c r="AR158" s="1649"/>
      <c r="AS158" s="1649">
        <f t="shared" si="272"/>
        <v>-70725.574399999998</v>
      </c>
      <c r="AT158" s="1235">
        <f t="shared" si="260"/>
        <v>-100</v>
      </c>
      <c r="AU158" s="1545">
        <f t="shared" si="243"/>
        <v>70725.574399999998</v>
      </c>
      <c r="AV158" s="1649"/>
      <c r="AW158" s="1649">
        <f t="shared" si="273"/>
        <v>-70725.574399999998</v>
      </c>
      <c r="AX158" s="1235">
        <f t="shared" si="261"/>
        <v>-100</v>
      </c>
      <c r="AY158" s="1658">
        <f t="shared" si="262"/>
        <v>848706.89280000015</v>
      </c>
      <c r="AZ158" s="1616">
        <f t="shared" si="244"/>
        <v>178018.1</v>
      </c>
      <c r="BA158" s="334"/>
      <c r="BB158" s="1174"/>
    </row>
    <row r="159" spans="1:54" s="1421" customFormat="1" ht="18.75" customHeight="1" x14ac:dyDescent="0.25">
      <c r="A159" s="170">
        <v>12301</v>
      </c>
      <c r="B159" s="332" t="s">
        <v>72</v>
      </c>
      <c r="C159" s="1545">
        <v>1979930.9632000001</v>
      </c>
      <c r="D159" s="2024">
        <v>2294480</v>
      </c>
      <c r="E159" s="1649">
        <f t="shared" si="263"/>
        <v>314549.03679999989</v>
      </c>
      <c r="F159" s="1235">
        <f t="shared" si="245"/>
        <v>15.886868918480879</v>
      </c>
      <c r="G159" s="1545">
        <f t="shared" si="246"/>
        <v>1979930.9632000001</v>
      </c>
      <c r="H159" s="1611">
        <f>VLOOKUP(A159,'[1]r_balancete_sc 02-2022'!$1:$1048576,9,0)</f>
        <v>2120585.52</v>
      </c>
      <c r="I159" s="1649">
        <f t="shared" si="247"/>
        <v>140654.5567999999</v>
      </c>
      <c r="J159" s="1235">
        <f t="shared" si="248"/>
        <v>7.1040131910797166</v>
      </c>
      <c r="K159" s="1545">
        <f t="shared" si="249"/>
        <v>1979930.9632000001</v>
      </c>
      <c r="L159" s="1649">
        <f>VLOOKUP(A159,'[2]bALANCETE ORÇAMENTO'!$1:$1048576,7,0)</f>
        <v>2476826.85</v>
      </c>
      <c r="M159" s="1649">
        <f t="shared" si="264"/>
        <v>496895.88679999998</v>
      </c>
      <c r="N159" s="1235">
        <f t="shared" si="250"/>
        <v>25.096626904450648</v>
      </c>
      <c r="O159" s="1545">
        <f t="shared" si="251"/>
        <v>1979930.9632000001</v>
      </c>
      <c r="P159" s="1649"/>
      <c r="Q159" s="1649">
        <f t="shared" si="265"/>
        <v>-1979930.9632000001</v>
      </c>
      <c r="R159" s="1235">
        <f t="shared" si="252"/>
        <v>-100</v>
      </c>
      <c r="S159" s="1545">
        <f t="shared" si="253"/>
        <v>1979930.9632000001</v>
      </c>
      <c r="T159" s="1649"/>
      <c r="U159" s="1649">
        <f t="shared" si="266"/>
        <v>-1979930.9632000001</v>
      </c>
      <c r="V159" s="1235">
        <f t="shared" si="254"/>
        <v>-100</v>
      </c>
      <c r="W159" s="1545">
        <v>2100000</v>
      </c>
      <c r="X159" s="1649"/>
      <c r="Y159" s="1649">
        <f t="shared" si="267"/>
        <v>-2100000</v>
      </c>
      <c r="Z159" s="1235">
        <f t="shared" si="255"/>
        <v>-100</v>
      </c>
      <c r="AA159" s="1545">
        <f t="shared" si="274"/>
        <v>2100000</v>
      </c>
      <c r="AB159" s="1649"/>
      <c r="AC159" s="1649">
        <f t="shared" si="268"/>
        <v>-2100000</v>
      </c>
      <c r="AD159" s="1235">
        <f t="shared" si="256"/>
        <v>-100</v>
      </c>
      <c r="AE159" s="1545">
        <f t="shared" si="275"/>
        <v>2100000</v>
      </c>
      <c r="AF159" s="1649"/>
      <c r="AG159" s="1649">
        <f t="shared" si="269"/>
        <v>-2100000</v>
      </c>
      <c r="AH159" s="1235">
        <f t="shared" si="257"/>
        <v>-100</v>
      </c>
      <c r="AI159" s="1545">
        <f t="shared" si="276"/>
        <v>2100000</v>
      </c>
      <c r="AJ159" s="1649"/>
      <c r="AK159" s="1649">
        <f t="shared" si="270"/>
        <v>-2100000</v>
      </c>
      <c r="AL159" s="1235">
        <f t="shared" si="258"/>
        <v>-100</v>
      </c>
      <c r="AM159" s="1545">
        <f t="shared" si="241"/>
        <v>2100000</v>
      </c>
      <c r="AN159" s="1649"/>
      <c r="AO159" s="1649">
        <f t="shared" si="271"/>
        <v>-2100000</v>
      </c>
      <c r="AP159" s="1235">
        <f t="shared" si="259"/>
        <v>-100</v>
      </c>
      <c r="AQ159" s="1545">
        <f t="shared" si="242"/>
        <v>2100000</v>
      </c>
      <c r="AR159" s="1649"/>
      <c r="AS159" s="1649">
        <f t="shared" si="272"/>
        <v>-2100000</v>
      </c>
      <c r="AT159" s="1235">
        <f t="shared" si="260"/>
        <v>-100</v>
      </c>
      <c r="AU159" s="1545">
        <f t="shared" si="243"/>
        <v>2100000</v>
      </c>
      <c r="AV159" s="1649"/>
      <c r="AW159" s="1649">
        <f t="shared" si="273"/>
        <v>-2100000</v>
      </c>
      <c r="AX159" s="1235">
        <f t="shared" si="261"/>
        <v>-100</v>
      </c>
      <c r="AY159" s="1658">
        <f t="shared" si="262"/>
        <v>24599654.816</v>
      </c>
      <c r="AZ159" s="1616">
        <f t="shared" si="244"/>
        <v>6891892.3699999992</v>
      </c>
      <c r="BA159" s="805"/>
      <c r="BB159" s="1174"/>
    </row>
    <row r="160" spans="1:54" s="1421" customFormat="1" ht="18.75" customHeight="1" x14ac:dyDescent="0.25">
      <c r="A160" s="170">
        <v>12329</v>
      </c>
      <c r="B160" s="332" t="s">
        <v>73</v>
      </c>
      <c r="C160" s="1545">
        <v>2200000</v>
      </c>
      <c r="D160" s="2024">
        <v>1382386</v>
      </c>
      <c r="E160" s="1649">
        <f t="shared" si="263"/>
        <v>-817614</v>
      </c>
      <c r="F160" s="1235">
        <f t="shared" si="245"/>
        <v>-37.164272727272731</v>
      </c>
      <c r="G160" s="1545">
        <f t="shared" si="246"/>
        <v>2200000</v>
      </c>
      <c r="H160" s="1611">
        <f>VLOOKUP(A160,'[1]r_balancete_sc 02-2022'!$1:$1048576,9,0)</f>
        <v>3544303.97</v>
      </c>
      <c r="I160" s="1649">
        <f t="shared" si="247"/>
        <v>1344303.9700000002</v>
      </c>
      <c r="J160" s="1235">
        <f t="shared" si="248"/>
        <v>61.104725909090931</v>
      </c>
      <c r="K160" s="1545">
        <f t="shared" si="249"/>
        <v>2200000</v>
      </c>
      <c r="L160" s="1649">
        <f>VLOOKUP(A160,'[2]bALANCETE ORÇAMENTO'!$1:$1048576,7,0)</f>
        <v>1956184.21</v>
      </c>
      <c r="M160" s="1649">
        <f t="shared" si="264"/>
        <v>-243815.79000000004</v>
      </c>
      <c r="N160" s="1235">
        <f t="shared" si="250"/>
        <v>-11.082535909090907</v>
      </c>
      <c r="O160" s="1545">
        <f t="shared" si="251"/>
        <v>2200000</v>
      </c>
      <c r="P160" s="1649"/>
      <c r="Q160" s="1649">
        <f t="shared" si="265"/>
        <v>-2200000</v>
      </c>
      <c r="R160" s="1235">
        <f t="shared" si="252"/>
        <v>-100</v>
      </c>
      <c r="S160" s="1545">
        <f t="shared" si="253"/>
        <v>2200000</v>
      </c>
      <c r="T160" s="1649"/>
      <c r="U160" s="1649">
        <f t="shared" si="266"/>
        <v>-2200000</v>
      </c>
      <c r="V160" s="1235">
        <f t="shared" si="254"/>
        <v>-100</v>
      </c>
      <c r="W160" s="1545">
        <v>2400000</v>
      </c>
      <c r="X160" s="1649"/>
      <c r="Y160" s="1649">
        <f t="shared" si="267"/>
        <v>-2400000</v>
      </c>
      <c r="Z160" s="1235">
        <f t="shared" si="255"/>
        <v>-100</v>
      </c>
      <c r="AA160" s="1545">
        <f t="shared" si="274"/>
        <v>2400000</v>
      </c>
      <c r="AB160" s="1649"/>
      <c r="AC160" s="1649">
        <f t="shared" si="268"/>
        <v>-2400000</v>
      </c>
      <c r="AD160" s="1235">
        <f t="shared" si="256"/>
        <v>-100</v>
      </c>
      <c r="AE160" s="1545">
        <f t="shared" si="275"/>
        <v>2400000</v>
      </c>
      <c r="AF160" s="1649"/>
      <c r="AG160" s="1649">
        <f t="shared" si="269"/>
        <v>-2400000</v>
      </c>
      <c r="AH160" s="1235">
        <f t="shared" si="257"/>
        <v>-100</v>
      </c>
      <c r="AI160" s="1545">
        <f t="shared" si="276"/>
        <v>2400000</v>
      </c>
      <c r="AJ160" s="1649"/>
      <c r="AK160" s="1649">
        <f t="shared" si="270"/>
        <v>-2400000</v>
      </c>
      <c r="AL160" s="1235">
        <f t="shared" si="258"/>
        <v>-100</v>
      </c>
      <c r="AM160" s="1545">
        <f t="shared" si="241"/>
        <v>2400000</v>
      </c>
      <c r="AN160" s="1649"/>
      <c r="AO160" s="1649">
        <f t="shared" si="271"/>
        <v>-2400000</v>
      </c>
      <c r="AP160" s="1235">
        <f t="shared" si="259"/>
        <v>-100</v>
      </c>
      <c r="AQ160" s="1545">
        <f t="shared" si="242"/>
        <v>2400000</v>
      </c>
      <c r="AR160" s="1649"/>
      <c r="AS160" s="1649">
        <f t="shared" si="272"/>
        <v>-2400000</v>
      </c>
      <c r="AT160" s="1235">
        <f t="shared" si="260"/>
        <v>-100</v>
      </c>
      <c r="AU160" s="1545">
        <f t="shared" si="243"/>
        <v>2400000</v>
      </c>
      <c r="AV160" s="1649"/>
      <c r="AW160" s="1649">
        <f t="shared" si="273"/>
        <v>-2400000</v>
      </c>
      <c r="AX160" s="1235">
        <f t="shared" si="261"/>
        <v>-100</v>
      </c>
      <c r="AY160" s="1658">
        <f t="shared" si="262"/>
        <v>27800000</v>
      </c>
      <c r="AZ160" s="1616">
        <f t="shared" si="244"/>
        <v>6882874.1800000006</v>
      </c>
      <c r="BA160" s="805"/>
      <c r="BB160" s="1174"/>
    </row>
    <row r="161" spans="1:54" s="1421" customFormat="1" ht="18.75" customHeight="1" x14ac:dyDescent="0.25">
      <c r="A161" s="170">
        <v>51649</v>
      </c>
      <c r="B161" s="332" t="s">
        <v>78</v>
      </c>
      <c r="C161" s="1545">
        <v>14994.555199999999</v>
      </c>
      <c r="D161" s="2024">
        <v>10023</v>
      </c>
      <c r="E161" s="1649">
        <f t="shared" si="263"/>
        <v>-4971.5551999999989</v>
      </c>
      <c r="F161" s="1235">
        <f t="shared" si="245"/>
        <v>-33.155736423578595</v>
      </c>
      <c r="G161" s="1545">
        <f t="shared" si="246"/>
        <v>14994.555199999999</v>
      </c>
      <c r="H161" s="1611">
        <f>VLOOKUP(A161,'[1]r_balancete_sc 02-2022'!$1:$1048576,9,0)</f>
        <v>11861.78</v>
      </c>
      <c r="I161" s="1649">
        <f t="shared" si="247"/>
        <v>-3132.7751999999982</v>
      </c>
      <c r="J161" s="1235">
        <f t="shared" si="248"/>
        <v>-20.892751790329854</v>
      </c>
      <c r="K161" s="1545">
        <f t="shared" si="249"/>
        <v>14994.555199999999</v>
      </c>
      <c r="L161" s="1649">
        <f>VLOOKUP(A161,'[2]bALANCETE ORÇAMENTO'!$1:$1048576,7,0)</f>
        <v>15198.95</v>
      </c>
      <c r="M161" s="1649">
        <f t="shared" si="264"/>
        <v>204.39480000000185</v>
      </c>
      <c r="N161" s="1235">
        <f t="shared" si="250"/>
        <v>1.3631267968522431</v>
      </c>
      <c r="O161" s="1545">
        <f t="shared" si="251"/>
        <v>14994.555199999999</v>
      </c>
      <c r="P161" s="1649"/>
      <c r="Q161" s="1649">
        <f t="shared" si="265"/>
        <v>-14994.555199999999</v>
      </c>
      <c r="R161" s="1235">
        <f t="shared" si="252"/>
        <v>-100</v>
      </c>
      <c r="S161" s="1545">
        <f t="shared" si="253"/>
        <v>14994.555199999999</v>
      </c>
      <c r="T161" s="1649"/>
      <c r="U161" s="1649">
        <f t="shared" si="266"/>
        <v>-14994.555199999999</v>
      </c>
      <c r="V161" s="1235">
        <f t="shared" si="254"/>
        <v>-100</v>
      </c>
      <c r="W161" s="1545">
        <v>15994.555199999999</v>
      </c>
      <c r="X161" s="1649"/>
      <c r="Y161" s="1649">
        <f t="shared" si="267"/>
        <v>-15994.555199999999</v>
      </c>
      <c r="Z161" s="1235">
        <f t="shared" si="255"/>
        <v>-100</v>
      </c>
      <c r="AA161" s="1545">
        <f t="shared" si="274"/>
        <v>15994.555199999999</v>
      </c>
      <c r="AB161" s="1649"/>
      <c r="AC161" s="1649">
        <f t="shared" si="268"/>
        <v>-15994.555199999999</v>
      </c>
      <c r="AD161" s="1235">
        <f t="shared" si="256"/>
        <v>-100</v>
      </c>
      <c r="AE161" s="1545">
        <f t="shared" si="275"/>
        <v>15994.555199999999</v>
      </c>
      <c r="AF161" s="1649"/>
      <c r="AG161" s="1649">
        <f t="shared" si="269"/>
        <v>-15994.555199999999</v>
      </c>
      <c r="AH161" s="1235">
        <f t="shared" si="257"/>
        <v>-100</v>
      </c>
      <c r="AI161" s="1545">
        <f t="shared" si="276"/>
        <v>15994.555199999999</v>
      </c>
      <c r="AJ161" s="1649"/>
      <c r="AK161" s="1649">
        <f t="shared" si="270"/>
        <v>-15994.555199999999</v>
      </c>
      <c r="AL161" s="1235">
        <f t="shared" si="258"/>
        <v>-100</v>
      </c>
      <c r="AM161" s="1545">
        <f t="shared" si="241"/>
        <v>15994.555199999999</v>
      </c>
      <c r="AN161" s="1649"/>
      <c r="AO161" s="1649">
        <f t="shared" si="271"/>
        <v>-15994.555199999999</v>
      </c>
      <c r="AP161" s="1235">
        <f t="shared" si="259"/>
        <v>-100</v>
      </c>
      <c r="AQ161" s="1545">
        <f t="shared" si="242"/>
        <v>15994.555199999999</v>
      </c>
      <c r="AR161" s="1649"/>
      <c r="AS161" s="1649">
        <f t="shared" si="272"/>
        <v>-15994.555199999999</v>
      </c>
      <c r="AT161" s="1235">
        <f t="shared" si="260"/>
        <v>-100</v>
      </c>
      <c r="AU161" s="1545">
        <f t="shared" si="243"/>
        <v>15994.555199999999</v>
      </c>
      <c r="AV161" s="1649"/>
      <c r="AW161" s="1649">
        <f t="shared" si="273"/>
        <v>-15994.555199999999</v>
      </c>
      <c r="AX161" s="1235">
        <f t="shared" si="261"/>
        <v>-100</v>
      </c>
      <c r="AY161" s="1658">
        <f t="shared" si="262"/>
        <v>186934.6624</v>
      </c>
      <c r="AZ161" s="1616">
        <f t="shared" si="244"/>
        <v>37083.729999999996</v>
      </c>
      <c r="BA161" s="334"/>
      <c r="BB161" s="1174"/>
    </row>
    <row r="162" spans="1:54" s="1421" customFormat="1" ht="18.75" customHeight="1" x14ac:dyDescent="0.25">
      <c r="A162" s="1123">
        <v>12316</v>
      </c>
      <c r="B162" s="1424" t="s">
        <v>3794</v>
      </c>
      <c r="C162" s="1546">
        <v>20535.455399999999</v>
      </c>
      <c r="D162" s="2014">
        <v>28906.53</v>
      </c>
      <c r="E162" s="1576">
        <f t="shared" si="263"/>
        <v>8371.0745999999999</v>
      </c>
      <c r="F162" s="1236">
        <f t="shared" si="245"/>
        <v>40.764007600240504</v>
      </c>
      <c r="G162" s="1546">
        <f t="shared" si="246"/>
        <v>20535.455399999999</v>
      </c>
      <c r="H162" s="1611">
        <f>VLOOKUP(A162,'[1]r_balancete_sc 02-2022'!$1:$1048576,9,0)</f>
        <v>41729.589999999997</v>
      </c>
      <c r="I162" s="1576">
        <f t="shared" si="247"/>
        <v>21194.134599999998</v>
      </c>
      <c r="J162" s="1236">
        <f t="shared" si="248"/>
        <v>103.20752175771082</v>
      </c>
      <c r="K162" s="1546">
        <f t="shared" si="249"/>
        <v>20535.455399999999</v>
      </c>
      <c r="L162" s="1576">
        <f>VLOOKUP(A162,'[2]bALANCETE ORÇAMENTO'!$1:$1048576,7,0)</f>
        <v>58552.73</v>
      </c>
      <c r="M162" s="1576">
        <f t="shared" si="264"/>
        <v>38017.274600000004</v>
      </c>
      <c r="N162" s="1236">
        <f t="shared" si="250"/>
        <v>185.12993191278343</v>
      </c>
      <c r="O162" s="1546">
        <f t="shared" si="251"/>
        <v>20535.455399999999</v>
      </c>
      <c r="P162" s="1576"/>
      <c r="Q162" s="1576">
        <f t="shared" si="265"/>
        <v>-20535.455399999999</v>
      </c>
      <c r="R162" s="1236">
        <f t="shared" si="252"/>
        <v>-100</v>
      </c>
      <c r="S162" s="1546">
        <f t="shared" si="253"/>
        <v>20535.455399999999</v>
      </c>
      <c r="T162" s="1576"/>
      <c r="U162" s="1576">
        <f t="shared" si="266"/>
        <v>-20535.455399999999</v>
      </c>
      <c r="V162" s="1236">
        <f t="shared" si="254"/>
        <v>-100</v>
      </c>
      <c r="W162" s="1546">
        <v>25535.455399999999</v>
      </c>
      <c r="X162" s="1576"/>
      <c r="Y162" s="1576">
        <f t="shared" si="267"/>
        <v>-25535.455399999999</v>
      </c>
      <c r="Z162" s="1236">
        <f t="shared" si="255"/>
        <v>-100</v>
      </c>
      <c r="AA162" s="1546">
        <f t="shared" si="274"/>
        <v>25535.455399999999</v>
      </c>
      <c r="AB162" s="1576"/>
      <c r="AC162" s="1576">
        <f t="shared" si="268"/>
        <v>-25535.455399999999</v>
      </c>
      <c r="AD162" s="1236">
        <f t="shared" si="256"/>
        <v>-100</v>
      </c>
      <c r="AE162" s="1546">
        <f t="shared" si="275"/>
        <v>25535.455399999999</v>
      </c>
      <c r="AF162" s="1576"/>
      <c r="AG162" s="1576">
        <f t="shared" si="269"/>
        <v>-25535.455399999999</v>
      </c>
      <c r="AH162" s="1236">
        <f t="shared" si="257"/>
        <v>-100</v>
      </c>
      <c r="AI162" s="1546">
        <f t="shared" si="276"/>
        <v>25535.455399999999</v>
      </c>
      <c r="AJ162" s="1576"/>
      <c r="AK162" s="1576">
        <f t="shared" si="270"/>
        <v>-25535.455399999999</v>
      </c>
      <c r="AL162" s="1236">
        <f t="shared" si="258"/>
        <v>-100</v>
      </c>
      <c r="AM162" s="1546">
        <f t="shared" si="241"/>
        <v>25535.455399999999</v>
      </c>
      <c r="AN162" s="1576"/>
      <c r="AO162" s="1576">
        <f t="shared" si="271"/>
        <v>-25535.455399999999</v>
      </c>
      <c r="AP162" s="1236">
        <f t="shared" si="259"/>
        <v>-100</v>
      </c>
      <c r="AQ162" s="1546">
        <f t="shared" si="242"/>
        <v>25535.455399999999</v>
      </c>
      <c r="AR162" s="1576"/>
      <c r="AS162" s="1576">
        <f t="shared" si="272"/>
        <v>-25535.455399999999</v>
      </c>
      <c r="AT162" s="1236">
        <f t="shared" si="260"/>
        <v>-100</v>
      </c>
      <c r="AU162" s="1546">
        <f t="shared" si="243"/>
        <v>25535.455399999999</v>
      </c>
      <c r="AV162" s="1576"/>
      <c r="AW162" s="1576">
        <f t="shared" si="273"/>
        <v>-25535.455399999999</v>
      </c>
      <c r="AX162" s="1236">
        <f t="shared" si="261"/>
        <v>-100</v>
      </c>
      <c r="AY162" s="2062">
        <f t="shared" si="262"/>
        <v>281425.46480000002</v>
      </c>
      <c r="AZ162" s="1616">
        <f t="shared" si="244"/>
        <v>129188.85</v>
      </c>
      <c r="BA162" s="334"/>
      <c r="BB162" s="1174"/>
    </row>
    <row r="163" spans="1:54" s="1421" customFormat="1" ht="18.75" customHeight="1" x14ac:dyDescent="0.25">
      <c r="A163" s="2585">
        <v>12267</v>
      </c>
      <c r="B163" s="1529" t="s">
        <v>3913</v>
      </c>
      <c r="C163" s="2456"/>
      <c r="D163" s="2587">
        <v>320</v>
      </c>
      <c r="E163" s="1647">
        <f t="shared" si="263"/>
        <v>320</v>
      </c>
      <c r="F163" s="1648"/>
      <c r="G163" s="2456"/>
      <c r="H163" s="2075">
        <v>320</v>
      </c>
      <c r="I163" s="1647">
        <f>H163-G163</f>
        <v>320</v>
      </c>
      <c r="J163" s="1577"/>
      <c r="K163" s="2456"/>
      <c r="L163" s="1576">
        <v>320</v>
      </c>
      <c r="M163" s="1576">
        <f>L163-K163</f>
        <v>320</v>
      </c>
      <c r="N163" s="1577"/>
      <c r="O163" s="2456"/>
      <c r="P163" s="1576"/>
      <c r="Q163" s="1647"/>
      <c r="R163" s="1577"/>
      <c r="S163" s="2456"/>
      <c r="T163" s="1647"/>
      <c r="U163" s="1647"/>
      <c r="V163" s="1530"/>
      <c r="W163" s="2456"/>
      <c r="X163" s="1576"/>
      <c r="Y163" s="1576"/>
      <c r="Z163" s="2194"/>
      <c r="AA163" s="2456"/>
      <c r="AB163" s="2588"/>
      <c r="AC163" s="1576"/>
      <c r="AD163" s="1577"/>
      <c r="AE163" s="1646"/>
      <c r="AF163" s="1576"/>
      <c r="AG163" s="1576"/>
      <c r="AH163" s="1577"/>
      <c r="AI163" s="2458"/>
      <c r="AJ163" s="1647"/>
      <c r="AK163" s="1648"/>
      <c r="AL163" s="2194"/>
      <c r="AM163" s="2456"/>
      <c r="AN163" s="1576"/>
      <c r="AO163" s="1576"/>
      <c r="AP163" s="1577"/>
      <c r="AQ163" s="2456"/>
      <c r="AR163" s="1648"/>
      <c r="AS163" s="2588"/>
      <c r="AT163" s="1577"/>
      <c r="AU163" s="2456"/>
      <c r="AV163" s="1648"/>
      <c r="AW163" s="1576"/>
      <c r="AX163" s="1530"/>
      <c r="AY163" s="1530"/>
      <c r="AZ163" s="2078"/>
      <c r="BA163" s="334"/>
      <c r="BB163" s="1174"/>
    </row>
    <row r="164" spans="1:54" s="1421" customFormat="1" ht="18.75" customHeight="1" thickBot="1" x14ac:dyDescent="0.3">
      <c r="A164" s="2586">
        <v>51761</v>
      </c>
      <c r="B164" s="384" t="s">
        <v>3837</v>
      </c>
      <c r="C164" s="2449"/>
      <c r="D164" s="2015">
        <v>11300</v>
      </c>
      <c r="E164" s="1578">
        <f t="shared" si="263"/>
        <v>11300</v>
      </c>
      <c r="F164" s="1238"/>
      <c r="G164" s="2459"/>
      <c r="H164" s="1669">
        <v>0</v>
      </c>
      <c r="I164" s="1578"/>
      <c r="J164" s="2451"/>
      <c r="K164" s="2449"/>
      <c r="L164" s="2459">
        <v>0</v>
      </c>
      <c r="M164" s="2450"/>
      <c r="N164" s="2469"/>
      <c r="O164" s="2449"/>
      <c r="P164" s="2450"/>
      <c r="Q164" s="1578"/>
      <c r="R164" s="2451"/>
      <c r="S164" s="1657"/>
      <c r="T164" s="1578"/>
      <c r="U164" s="1578"/>
      <c r="V164" s="1238"/>
      <c r="W164" s="2449"/>
      <c r="X164" s="2450"/>
      <c r="Y164" s="2459"/>
      <c r="Z164" s="1238"/>
      <c r="AA164" s="1657"/>
      <c r="AB164" s="1578"/>
      <c r="AC164" s="2450"/>
      <c r="AD164" s="2459"/>
      <c r="AE164" s="2457"/>
      <c r="AF164" s="2450"/>
      <c r="AG164" s="2459"/>
      <c r="AH164" s="2451"/>
      <c r="AI164" s="2457"/>
      <c r="AJ164" s="1578"/>
      <c r="AK164" s="1578"/>
      <c r="AL164" s="1238"/>
      <c r="AM164" s="2449"/>
      <c r="AN164" s="2459"/>
      <c r="AO164" s="2511"/>
      <c r="AP164" s="2451"/>
      <c r="AQ164" s="2449"/>
      <c r="AR164" s="1578"/>
      <c r="AS164" s="1578"/>
      <c r="AT164" s="2451"/>
      <c r="AU164" s="1657"/>
      <c r="AV164" s="1578"/>
      <c r="AW164" s="2511"/>
      <c r="AX164" s="1238"/>
      <c r="AY164" s="2063"/>
      <c r="AZ164" s="1562"/>
      <c r="BA164" s="2584"/>
      <c r="BB164" s="1174"/>
    </row>
    <row r="165" spans="1:54" s="1421" customFormat="1" ht="18.75" customHeight="1" thickBot="1" x14ac:dyDescent="0.3">
      <c r="A165" s="508"/>
      <c r="B165" s="154"/>
      <c r="C165" s="66"/>
      <c r="D165" s="2028"/>
      <c r="E165" s="66"/>
      <c r="F165" s="66"/>
      <c r="G165" s="66"/>
      <c r="H165" s="1990"/>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1172"/>
      <c r="BB165" s="1172"/>
    </row>
    <row r="166" spans="1:54" s="1421" customFormat="1" ht="18.75" customHeight="1" thickBot="1" x14ac:dyDescent="0.3">
      <c r="A166" s="166"/>
      <c r="B166" s="1659" t="s">
        <v>3922</v>
      </c>
      <c r="C166" s="1677">
        <f>SUM(C167:C183)</f>
        <v>747529.25459999987</v>
      </c>
      <c r="D166" s="1991">
        <f>SUM(D167:D189)</f>
        <v>783063.06</v>
      </c>
      <c r="E166" s="1992">
        <f>D166-C166</f>
        <v>35533.805400000187</v>
      </c>
      <c r="F166" s="531">
        <f>((D166/C166)-1)*100</f>
        <v>4.7535003053511549</v>
      </c>
      <c r="G166" s="1677">
        <f>SUM(G167:G183)</f>
        <v>747529.25459999987</v>
      </c>
      <c r="H166" s="1991">
        <f>SUM(H167:H189)</f>
        <v>762941.36</v>
      </c>
      <c r="I166" s="1992">
        <f t="shared" ref="I166:I179" si="277">H166-G166</f>
        <v>15412.105400000117</v>
      </c>
      <c r="J166" s="531">
        <f>((H166/G166)-1)*100</f>
        <v>2.0617394309533799</v>
      </c>
      <c r="K166" s="1660">
        <f>SUM(K167:K183)</f>
        <v>747529.25459999987</v>
      </c>
      <c r="L166" s="1991">
        <f>SUM(L167:L189)</f>
        <v>920889.87</v>
      </c>
      <c r="M166" s="1992">
        <f>L166-K166</f>
        <v>173360.61540000013</v>
      </c>
      <c r="N166" s="531">
        <f>((L166/K166)-1)*100</f>
        <v>23.191147949489242</v>
      </c>
      <c r="O166" s="1660">
        <f>SUM(O167:O179)</f>
        <v>745029.25459999987</v>
      </c>
      <c r="P166" s="1991">
        <f>SUM(P167:P201)</f>
        <v>0</v>
      </c>
      <c r="Q166" s="1992">
        <f>P166-O166</f>
        <v>-745029.25459999987</v>
      </c>
      <c r="R166" s="531">
        <f>((P166/O166)-1)*100</f>
        <v>-100</v>
      </c>
      <c r="S166" s="1660">
        <f>SUM(S167:S179)</f>
        <v>745029.25459999987</v>
      </c>
      <c r="T166" s="1991">
        <f>SUM(T167:T201)</f>
        <v>0</v>
      </c>
      <c r="U166" s="1992">
        <f>T166-S166</f>
        <v>-745029.25459999987</v>
      </c>
      <c r="V166" s="531">
        <f>((T166/S166)-1)*100</f>
        <v>-100</v>
      </c>
      <c r="W166" s="1660">
        <f>SUM(W167:W179)</f>
        <v>849743.83779999986</v>
      </c>
      <c r="X166" s="1991">
        <f>SUM(X167:X201)</f>
        <v>0</v>
      </c>
      <c r="Y166" s="1992">
        <f>X166-W166</f>
        <v>-849743.83779999986</v>
      </c>
      <c r="Z166" s="531">
        <f>((X166/W166)-1)*100</f>
        <v>-100</v>
      </c>
      <c r="AA166" s="1660">
        <f>SUM(AA167:AA179)</f>
        <v>849743.83779999986</v>
      </c>
      <c r="AB166" s="1991">
        <f>SUM(AB167:AB201)</f>
        <v>0</v>
      </c>
      <c r="AC166" s="1992">
        <f>AB166-AA166</f>
        <v>-849743.83779999986</v>
      </c>
      <c r="AD166" s="531">
        <f>((AB166/AA166)-1)*100</f>
        <v>-100</v>
      </c>
      <c r="AE166" s="1660">
        <f>SUM(AE167:AE179)</f>
        <v>849743.83779999986</v>
      </c>
      <c r="AF166" s="1991">
        <f>SUM(AF167:AF201)</f>
        <v>0</v>
      </c>
      <c r="AG166" s="1992">
        <f>AF166-AE166</f>
        <v>-849743.83779999986</v>
      </c>
      <c r="AH166" s="531">
        <f>((AF166/AE166)-1)*100</f>
        <v>-100</v>
      </c>
      <c r="AI166" s="1660">
        <f>SUM(AI167:AI179)</f>
        <v>849743.83779999986</v>
      </c>
      <c r="AJ166" s="1991">
        <f>SUM(AJ167:AJ201)</f>
        <v>0</v>
      </c>
      <c r="AK166" s="1992">
        <f>AJ166-AI166</f>
        <v>-849743.83779999986</v>
      </c>
      <c r="AL166" s="531">
        <f>((AJ166/AI166)-1)*100</f>
        <v>-100</v>
      </c>
      <c r="AM166" s="1660">
        <f>SUM(AM167:AM179)</f>
        <v>849743.83779999986</v>
      </c>
      <c r="AN166" s="1991">
        <f>SUM(AN167:AN201)</f>
        <v>0</v>
      </c>
      <c r="AO166" s="1992">
        <f>AN166-AM166</f>
        <v>-849743.83779999986</v>
      </c>
      <c r="AP166" s="531">
        <f>((AN166/AM166)-1)*100</f>
        <v>-100</v>
      </c>
      <c r="AQ166" s="1660">
        <f>SUM(AQ167:AQ179)</f>
        <v>849743.83779999986</v>
      </c>
      <c r="AR166" s="1991">
        <f>SUM(AR167:AR201)</f>
        <v>0</v>
      </c>
      <c r="AS166" s="1992">
        <f>AR166-AQ166</f>
        <v>-849743.83779999986</v>
      </c>
      <c r="AT166" s="531">
        <f>((AR166/AQ166)-1)*100</f>
        <v>-100</v>
      </c>
      <c r="AU166" s="1660">
        <f>SUM(AU167:AU190)</f>
        <v>852443.83779999986</v>
      </c>
      <c r="AV166" s="1991">
        <f>SUM(AV167:AV201)</f>
        <v>0</v>
      </c>
      <c r="AW166" s="1992">
        <f>AV166-AU166</f>
        <v>-852443.83779999986</v>
      </c>
      <c r="AX166" s="531">
        <f>((AV166/AU166)-1)*100</f>
        <v>-100</v>
      </c>
      <c r="AY166" s="1074">
        <f t="shared" ref="AY166:AY179" si="278">C166+G166+K166+O166+S166+W166+AA166+AE166+AI166+AM166+AQ166+AU166</f>
        <v>9683553.1375999972</v>
      </c>
      <c r="AZ166" s="1993">
        <f t="shared" ref="AZ166:AZ179" si="279">D166+H166+L166+P166+T166+X166+AB166+AF166+AJ166+AN166+AR166+AV166</f>
        <v>2466894.29</v>
      </c>
      <c r="BA166" s="1172"/>
      <c r="BB166" s="1172"/>
    </row>
    <row r="167" spans="1:54" s="1421" customFormat="1" ht="18.75" customHeight="1" x14ac:dyDescent="0.25">
      <c r="A167" s="167">
        <v>11416</v>
      </c>
      <c r="B167" s="331" t="s">
        <v>69</v>
      </c>
      <c r="C167" s="1573">
        <v>16088.355399999999</v>
      </c>
      <c r="D167" s="2013">
        <v>10917</v>
      </c>
      <c r="E167" s="1574">
        <f t="shared" ref="E167:E171" si="280">D167-C167</f>
        <v>-5171.3553999999986</v>
      </c>
      <c r="F167" s="1235">
        <f>((D167/C167)-1)*100</f>
        <v>-32.143468188177884</v>
      </c>
      <c r="G167" s="1573">
        <f>C167</f>
        <v>16088.355399999999</v>
      </c>
      <c r="H167" s="2069">
        <f>VLOOKUP(A167,'[1]r_balancete_sc 02-2022'!$1:$1048576,9,0)</f>
        <v>16905.150000000001</v>
      </c>
      <c r="I167" s="1574">
        <f t="shared" si="277"/>
        <v>816.7946000000029</v>
      </c>
      <c r="J167" s="1235">
        <f>((H167/G167)-1)*100</f>
        <v>5.0769303616950312</v>
      </c>
      <c r="K167" s="1573">
        <f>G167</f>
        <v>16088.355399999999</v>
      </c>
      <c r="L167" s="1574">
        <f>VLOOKUP(A167,'[2]bALANCETE ORÇAMENTO'!$1:$1048576,7,0)</f>
        <v>19760.490000000002</v>
      </c>
      <c r="M167" s="1574">
        <f t="shared" ref="M167:M171" si="281">L167-K167</f>
        <v>3672.134600000003</v>
      </c>
      <c r="N167" s="1235">
        <f>((L167/K167)-1)*100</f>
        <v>22.824797865914892</v>
      </c>
      <c r="O167" s="1573">
        <f>K167</f>
        <v>16088.355399999999</v>
      </c>
      <c r="P167" s="1574"/>
      <c r="Q167" s="1574">
        <f t="shared" ref="Q167:Q171" si="282">P167-O167</f>
        <v>-16088.355399999999</v>
      </c>
      <c r="R167" s="1235">
        <f>((P167/O167)-1)*100</f>
        <v>-100</v>
      </c>
      <c r="S167" s="1573">
        <f>O167</f>
        <v>16088.355399999999</v>
      </c>
      <c r="T167" s="1574"/>
      <c r="U167" s="1574">
        <f t="shared" ref="U167:U171" si="283">T167-S167</f>
        <v>-16088.355399999999</v>
      </c>
      <c r="V167" s="1235">
        <f>((T167/S167)-1)*100</f>
        <v>-100</v>
      </c>
      <c r="W167" s="1573">
        <v>16088.355399999999</v>
      </c>
      <c r="X167" s="1574"/>
      <c r="Y167" s="1574">
        <f t="shared" ref="Y167:Y171" si="284">X167-W167</f>
        <v>-16088.355399999999</v>
      </c>
      <c r="Z167" s="1235">
        <f>((X167/W167)-1)*100</f>
        <v>-100</v>
      </c>
      <c r="AA167" s="1573">
        <f>W167</f>
        <v>16088.355399999999</v>
      </c>
      <c r="AB167" s="1574"/>
      <c r="AC167" s="1574">
        <f t="shared" ref="AC167:AC171" si="285">AB167-AA167</f>
        <v>-16088.355399999999</v>
      </c>
      <c r="AD167" s="1235">
        <f>((AB167/AA167)-1)*100</f>
        <v>-100</v>
      </c>
      <c r="AE167" s="1573">
        <f>AA167</f>
        <v>16088.355399999999</v>
      </c>
      <c r="AF167" s="1574"/>
      <c r="AG167" s="1574">
        <f t="shared" ref="AG167:AG171" si="286">AF167-AE167</f>
        <v>-16088.355399999999</v>
      </c>
      <c r="AH167" s="1235">
        <f>((AF167/AE167)-1)*100</f>
        <v>-100</v>
      </c>
      <c r="AI167" s="1573">
        <f>AE167</f>
        <v>16088.355399999999</v>
      </c>
      <c r="AJ167" s="1574"/>
      <c r="AK167" s="1574">
        <f t="shared" ref="AK167:AK171" si="287">AJ167-AI167</f>
        <v>-16088.355399999999</v>
      </c>
      <c r="AL167" s="1235">
        <f>((AJ167/AI167)-1)*100</f>
        <v>-100</v>
      </c>
      <c r="AM167" s="1573">
        <f>AI167</f>
        <v>16088.355399999999</v>
      </c>
      <c r="AN167" s="1574"/>
      <c r="AO167" s="1574">
        <f t="shared" ref="AO167:AO171" si="288">AN167-AM167</f>
        <v>-16088.355399999999</v>
      </c>
      <c r="AP167" s="1235">
        <f>((AN167/AM167)-1)*100</f>
        <v>-100</v>
      </c>
      <c r="AQ167" s="1573">
        <f>AM167</f>
        <v>16088.355399999999</v>
      </c>
      <c r="AR167" s="1574"/>
      <c r="AS167" s="1574">
        <f t="shared" ref="AS167:AS171" si="289">AR167-AQ167</f>
        <v>-16088.355399999999</v>
      </c>
      <c r="AT167" s="1235">
        <f>((AR167/AQ167)-1)*100</f>
        <v>-100</v>
      </c>
      <c r="AU167" s="1573">
        <f>AQ167</f>
        <v>16088.355399999999</v>
      </c>
      <c r="AV167" s="1574"/>
      <c r="AW167" s="1574">
        <f t="shared" ref="AW167:AW171" si="290">AV167-AU167</f>
        <v>-16088.355399999999</v>
      </c>
      <c r="AX167" s="1235">
        <f>((AV167/AU167)-1)*100</f>
        <v>-100</v>
      </c>
      <c r="AY167" s="1616">
        <f t="shared" si="278"/>
        <v>193060.26479999998</v>
      </c>
      <c r="AZ167" s="1561">
        <f t="shared" si="279"/>
        <v>47582.64</v>
      </c>
      <c r="BA167" s="1172"/>
      <c r="BB167" s="1172"/>
    </row>
    <row r="168" spans="1:54" s="1421" customFormat="1" ht="18.75" customHeight="1" x14ac:dyDescent="0.25">
      <c r="A168" s="366">
        <v>11652</v>
      </c>
      <c r="B168" s="1540" t="s">
        <v>178</v>
      </c>
      <c r="C168" s="1545"/>
      <c r="D168" s="2024">
        <v>1391</v>
      </c>
      <c r="E168" s="1649"/>
      <c r="F168" s="1235"/>
      <c r="G168" s="1545"/>
      <c r="H168" s="1611">
        <v>1597.69</v>
      </c>
      <c r="I168" s="1649"/>
      <c r="J168" s="1235"/>
      <c r="K168" s="1545"/>
      <c r="L168" s="1649">
        <v>2119.0500000000002</v>
      </c>
      <c r="M168" s="1649"/>
      <c r="N168" s="1235"/>
      <c r="O168" s="1545"/>
      <c r="P168" s="1649"/>
      <c r="Q168" s="1649"/>
      <c r="R168" s="1235"/>
      <c r="S168" s="1545"/>
      <c r="T168" s="1649"/>
      <c r="U168" s="1649"/>
      <c r="V168" s="1235"/>
      <c r="W168" s="1545"/>
      <c r="X168" s="1649"/>
      <c r="Y168" s="1649"/>
      <c r="Z168" s="1235"/>
      <c r="AA168" s="1545"/>
      <c r="AB168" s="1649"/>
      <c r="AC168" s="1649"/>
      <c r="AD168" s="1235"/>
      <c r="AE168" s="1545"/>
      <c r="AF168" s="1649"/>
      <c r="AG168" s="1649"/>
      <c r="AH168" s="1235"/>
      <c r="AI168" s="1545"/>
      <c r="AJ168" s="1649"/>
      <c r="AK168" s="1649"/>
      <c r="AL168" s="1235"/>
      <c r="AM168" s="1545"/>
      <c r="AN168" s="1649"/>
      <c r="AO168" s="1649"/>
      <c r="AP168" s="1235"/>
      <c r="AQ168" s="1545"/>
      <c r="AR168" s="1649"/>
      <c r="AS168" s="1649"/>
      <c r="AT168" s="1235"/>
      <c r="AU168" s="1545"/>
      <c r="AV168" s="1649"/>
      <c r="AW168" s="1649"/>
      <c r="AX168" s="1235"/>
      <c r="AY168" s="1616"/>
      <c r="AZ168" s="1632"/>
      <c r="BA168" s="1172"/>
      <c r="BB168" s="1172"/>
    </row>
    <row r="169" spans="1:54" s="1421" customFormat="1" ht="18.75" customHeight="1" x14ac:dyDescent="0.25">
      <c r="A169" s="170">
        <v>55262</v>
      </c>
      <c r="B169" s="1424" t="s">
        <v>3802</v>
      </c>
      <c r="C169" s="1545">
        <v>0</v>
      </c>
      <c r="D169" s="2024">
        <v>7560</v>
      </c>
      <c r="E169" s="1649">
        <f t="shared" si="280"/>
        <v>7560</v>
      </c>
      <c r="F169" s="1235">
        <v>0</v>
      </c>
      <c r="G169" s="1545">
        <v>0</v>
      </c>
      <c r="H169" s="2075">
        <f>VLOOKUP(A169,'[1]r_balancete_sc 02-2022'!$1:$1048576,9,0)</f>
        <v>6642</v>
      </c>
      <c r="I169" s="1649">
        <f t="shared" si="277"/>
        <v>6642</v>
      </c>
      <c r="J169" s="1235">
        <v>0</v>
      </c>
      <c r="K169" s="1545"/>
      <c r="L169" s="1649">
        <f>VLOOKUP(A169,'[2]bALANCETE ORÇAMENTO'!$1:$1048576,7,0)</f>
        <v>7362</v>
      </c>
      <c r="M169" s="1649">
        <f t="shared" si="281"/>
        <v>7362</v>
      </c>
      <c r="N169" s="1235">
        <v>0</v>
      </c>
      <c r="O169" s="1545"/>
      <c r="P169" s="1649"/>
      <c r="Q169" s="1649">
        <f t="shared" si="282"/>
        <v>0</v>
      </c>
      <c r="R169" s="1235">
        <v>0</v>
      </c>
      <c r="S169" s="1545"/>
      <c r="T169" s="1649"/>
      <c r="U169" s="1649">
        <f t="shared" si="283"/>
        <v>0</v>
      </c>
      <c r="V169" s="1235">
        <v>0</v>
      </c>
      <c r="W169" s="1545"/>
      <c r="X169" s="1649"/>
      <c r="Y169" s="1649">
        <f t="shared" si="284"/>
        <v>0</v>
      </c>
      <c r="Z169" s="1235">
        <v>0</v>
      </c>
      <c r="AA169" s="1545"/>
      <c r="AB169" s="1649"/>
      <c r="AC169" s="1649">
        <f t="shared" si="285"/>
        <v>0</v>
      </c>
      <c r="AD169" s="1235">
        <v>0</v>
      </c>
      <c r="AE169" s="1545"/>
      <c r="AF169" s="1649"/>
      <c r="AG169" s="1649">
        <f t="shared" si="286"/>
        <v>0</v>
      </c>
      <c r="AH169" s="1235">
        <v>0</v>
      </c>
      <c r="AI169" s="1545"/>
      <c r="AJ169" s="1649"/>
      <c r="AK169" s="1649">
        <f t="shared" si="287"/>
        <v>0</v>
      </c>
      <c r="AL169" s="1235">
        <v>0</v>
      </c>
      <c r="AM169" s="1545"/>
      <c r="AN169" s="1649"/>
      <c r="AO169" s="1649">
        <f t="shared" si="288"/>
        <v>0</v>
      </c>
      <c r="AP169" s="1235">
        <v>0</v>
      </c>
      <c r="AQ169" s="1545"/>
      <c r="AR169" s="1649"/>
      <c r="AS169" s="1649">
        <f t="shared" si="289"/>
        <v>0</v>
      </c>
      <c r="AT169" s="1235">
        <v>0</v>
      </c>
      <c r="AU169" s="1545"/>
      <c r="AV169" s="1649"/>
      <c r="AW169" s="1649">
        <f t="shared" si="290"/>
        <v>0</v>
      </c>
      <c r="AX169" s="1235">
        <v>0</v>
      </c>
      <c r="AY169" s="1616">
        <f t="shared" si="278"/>
        <v>0</v>
      </c>
      <c r="AZ169" s="1616">
        <f t="shared" si="279"/>
        <v>21564</v>
      </c>
      <c r="BA169" s="1172"/>
      <c r="BB169" s="1172"/>
    </row>
    <row r="170" spans="1:54" s="1421" customFormat="1" ht="18.75" customHeight="1" x14ac:dyDescent="0.25">
      <c r="A170" s="170">
        <v>32497</v>
      </c>
      <c r="B170" s="332" t="s">
        <v>202</v>
      </c>
      <c r="C170" s="1545">
        <v>110654</v>
      </c>
      <c r="D170" s="2024">
        <v>93734.77</v>
      </c>
      <c r="E170" s="1649">
        <f t="shared" si="280"/>
        <v>-16919.229999999996</v>
      </c>
      <c r="F170" s="1235">
        <f t="shared" ref="F170:F171" si="291">((D170/C170)-1)*100</f>
        <v>-15.290210927756787</v>
      </c>
      <c r="G170" s="1545">
        <f t="shared" ref="G170:G179" si="292">C170</f>
        <v>110654</v>
      </c>
      <c r="H170" s="1611">
        <f>VLOOKUP(A170,'[1]r_balancete_sc 02-2022'!$1:$1048576,9,0)</f>
        <v>119448.66</v>
      </c>
      <c r="I170" s="1649">
        <f t="shared" si="277"/>
        <v>8794.6600000000035</v>
      </c>
      <c r="J170" s="1235">
        <f t="shared" ref="J170:J179" si="293">((H170/G170)-1)*100</f>
        <v>7.9478916261499943</v>
      </c>
      <c r="K170" s="1545">
        <f t="shared" ref="K170:K179" si="294">G170</f>
        <v>110654</v>
      </c>
      <c r="L170" s="1649">
        <f>VLOOKUP(A170,'[2]bALANCETE ORÇAMENTO'!$1:$1048576,7,0)</f>
        <v>119786.53</v>
      </c>
      <c r="M170" s="1649">
        <f t="shared" si="281"/>
        <v>9132.5299999999988</v>
      </c>
      <c r="N170" s="1235">
        <f t="shared" ref="N170:N179" si="295">((L170/K170)-1)*100</f>
        <v>8.2532307914761294</v>
      </c>
      <c r="O170" s="1545">
        <f t="shared" ref="O170:O179" si="296">K170</f>
        <v>110654</v>
      </c>
      <c r="P170" s="1649"/>
      <c r="Q170" s="1649">
        <f t="shared" si="282"/>
        <v>-110654</v>
      </c>
      <c r="R170" s="1235">
        <f t="shared" ref="R170:R179" si="297">((P170/O170)-1)*100</f>
        <v>-100</v>
      </c>
      <c r="S170" s="1545">
        <f t="shared" ref="S170:S179" si="298">O170</f>
        <v>110654</v>
      </c>
      <c r="T170" s="1649"/>
      <c r="U170" s="1649">
        <f t="shared" si="283"/>
        <v>-110654</v>
      </c>
      <c r="V170" s="1235">
        <f t="shared" ref="V170:V179" si="299">((T170/S170)-1)*100</f>
        <v>-100</v>
      </c>
      <c r="W170" s="1545">
        <v>122779.5426</v>
      </c>
      <c r="X170" s="1649"/>
      <c r="Y170" s="1649">
        <f t="shared" si="284"/>
        <v>-122779.5426</v>
      </c>
      <c r="Z170" s="1235">
        <f t="shared" ref="Z170:Z179" si="300">((X170/W170)-1)*100</f>
        <v>-100</v>
      </c>
      <c r="AA170" s="1545">
        <f t="shared" ref="AA170:AA179" si="301">W170</f>
        <v>122779.5426</v>
      </c>
      <c r="AB170" s="1649"/>
      <c r="AC170" s="1649">
        <f t="shared" si="285"/>
        <v>-122779.5426</v>
      </c>
      <c r="AD170" s="1235">
        <f t="shared" ref="AD170:AD179" si="302">((AB170/AA170)-1)*100</f>
        <v>-100</v>
      </c>
      <c r="AE170" s="1545">
        <f t="shared" ref="AE170:AE179" si="303">AA170</f>
        <v>122779.5426</v>
      </c>
      <c r="AF170" s="1649"/>
      <c r="AG170" s="1649">
        <f t="shared" si="286"/>
        <v>-122779.5426</v>
      </c>
      <c r="AH170" s="1235">
        <f t="shared" ref="AH170:AH179" si="304">((AF170/AE170)-1)*100</f>
        <v>-100</v>
      </c>
      <c r="AI170" s="1545">
        <f t="shared" ref="AI170:AI179" si="305">AE170</f>
        <v>122779.5426</v>
      </c>
      <c r="AJ170" s="1649"/>
      <c r="AK170" s="1649">
        <f t="shared" si="287"/>
        <v>-122779.5426</v>
      </c>
      <c r="AL170" s="1235">
        <f t="shared" ref="AL170:AL179" si="306">((AJ170/AI170)-1)*100</f>
        <v>-100</v>
      </c>
      <c r="AM170" s="1545">
        <f t="shared" ref="AM170:AM179" si="307">AI170</f>
        <v>122779.5426</v>
      </c>
      <c r="AN170" s="1649"/>
      <c r="AO170" s="1649">
        <f t="shared" si="288"/>
        <v>-122779.5426</v>
      </c>
      <c r="AP170" s="1235">
        <f t="shared" ref="AP170:AP179" si="308">((AN170/AM170)-1)*100</f>
        <v>-100</v>
      </c>
      <c r="AQ170" s="1545">
        <f t="shared" ref="AQ170:AQ179" si="309">AM170</f>
        <v>122779.5426</v>
      </c>
      <c r="AR170" s="1649"/>
      <c r="AS170" s="1649">
        <f t="shared" si="289"/>
        <v>-122779.5426</v>
      </c>
      <c r="AT170" s="1235">
        <f t="shared" ref="AT170:AT179" si="310">((AR170/AQ170)-1)*100</f>
        <v>-100</v>
      </c>
      <c r="AU170" s="1545">
        <f t="shared" ref="AU170:AU179" si="311">AQ170</f>
        <v>122779.5426</v>
      </c>
      <c r="AV170" s="1649"/>
      <c r="AW170" s="1649">
        <f t="shared" si="290"/>
        <v>-122779.5426</v>
      </c>
      <c r="AX170" s="1235">
        <f t="shared" ref="AX170:AX179" si="312">((AV170/AU170)-1)*100</f>
        <v>-100</v>
      </c>
      <c r="AY170" s="1616">
        <f t="shared" si="278"/>
        <v>1412726.7982000003</v>
      </c>
      <c r="AZ170" s="1616">
        <f t="shared" si="279"/>
        <v>332969.95999999996</v>
      </c>
      <c r="BA170" s="1172"/>
      <c r="BB170" s="1172"/>
    </row>
    <row r="171" spans="1:54" s="1421" customFormat="1" ht="18.75" customHeight="1" thickBot="1" x14ac:dyDescent="0.3">
      <c r="A171" s="366">
        <v>12338</v>
      </c>
      <c r="B171" s="383" t="s">
        <v>199</v>
      </c>
      <c r="C171" s="1656">
        <v>343225.34299999999</v>
      </c>
      <c r="D171" s="2026">
        <v>339228.49</v>
      </c>
      <c r="E171" s="1649">
        <f t="shared" si="280"/>
        <v>-3996.8530000000028</v>
      </c>
      <c r="F171" s="1235">
        <f t="shared" si="291"/>
        <v>-1.1644982171377771</v>
      </c>
      <c r="G171" s="1656">
        <f t="shared" si="292"/>
        <v>343225.34299999999</v>
      </c>
      <c r="H171" s="2070">
        <f>VLOOKUP(A171,'[1]r_balancete_sc 02-2022'!$1:$1048576,9,0)</f>
        <v>290219.31</v>
      </c>
      <c r="I171" s="1649">
        <f t="shared" si="277"/>
        <v>-53006.032999999996</v>
      </c>
      <c r="J171" s="1235">
        <f t="shared" si="293"/>
        <v>-15.443507911360733</v>
      </c>
      <c r="K171" s="1656">
        <f t="shared" si="294"/>
        <v>343225.34299999999</v>
      </c>
      <c r="L171" s="2052">
        <f>VLOOKUP(A171,'[2]bALANCETE ORÇAMENTO'!$1:$1048576,7,0)</f>
        <v>424628.7</v>
      </c>
      <c r="M171" s="1649">
        <f t="shared" si="281"/>
        <v>81403.357000000018</v>
      </c>
      <c r="N171" s="1235">
        <f t="shared" si="295"/>
        <v>23.717175511716214</v>
      </c>
      <c r="O171" s="1656">
        <f t="shared" si="296"/>
        <v>343225.34299999999</v>
      </c>
      <c r="P171" s="2052"/>
      <c r="Q171" s="1649">
        <f t="shared" si="282"/>
        <v>-343225.34299999999</v>
      </c>
      <c r="R171" s="1235">
        <f t="shared" si="297"/>
        <v>-100</v>
      </c>
      <c r="S171" s="1656">
        <f t="shared" si="298"/>
        <v>343225.34299999999</v>
      </c>
      <c r="T171" s="2052"/>
      <c r="U171" s="1649">
        <f t="shared" si="283"/>
        <v>-343225.34299999999</v>
      </c>
      <c r="V171" s="1235">
        <f t="shared" si="299"/>
        <v>-100</v>
      </c>
      <c r="W171" s="1656">
        <v>363225.34299999999</v>
      </c>
      <c r="X171" s="2052"/>
      <c r="Y171" s="1649">
        <f t="shared" si="284"/>
        <v>-363225.34299999999</v>
      </c>
      <c r="Z171" s="1235">
        <f t="shared" si="300"/>
        <v>-100</v>
      </c>
      <c r="AA171" s="1656">
        <f t="shared" si="301"/>
        <v>363225.34299999999</v>
      </c>
      <c r="AB171" s="2052"/>
      <c r="AC171" s="1649">
        <f t="shared" si="285"/>
        <v>-363225.34299999999</v>
      </c>
      <c r="AD171" s="1235">
        <f t="shared" si="302"/>
        <v>-100</v>
      </c>
      <c r="AE171" s="1656">
        <f t="shared" si="303"/>
        <v>363225.34299999999</v>
      </c>
      <c r="AF171" s="2052"/>
      <c r="AG171" s="1649">
        <f t="shared" si="286"/>
        <v>-363225.34299999999</v>
      </c>
      <c r="AH171" s="1235">
        <f t="shared" si="304"/>
        <v>-100</v>
      </c>
      <c r="AI171" s="1656">
        <f t="shared" si="305"/>
        <v>363225.34299999999</v>
      </c>
      <c r="AJ171" s="2052"/>
      <c r="AK171" s="1649">
        <f t="shared" si="287"/>
        <v>-363225.34299999999</v>
      </c>
      <c r="AL171" s="1235">
        <f t="shared" si="306"/>
        <v>-100</v>
      </c>
      <c r="AM171" s="1656">
        <f t="shared" si="307"/>
        <v>363225.34299999999</v>
      </c>
      <c r="AN171" s="2052"/>
      <c r="AO171" s="1649">
        <f t="shared" si="288"/>
        <v>-363225.34299999999</v>
      </c>
      <c r="AP171" s="1235">
        <f t="shared" si="308"/>
        <v>-100</v>
      </c>
      <c r="AQ171" s="1656">
        <f t="shared" si="309"/>
        <v>363225.34299999999</v>
      </c>
      <c r="AR171" s="2052"/>
      <c r="AS171" s="1649">
        <f t="shared" si="289"/>
        <v>-363225.34299999999</v>
      </c>
      <c r="AT171" s="1235">
        <f t="shared" si="310"/>
        <v>-100</v>
      </c>
      <c r="AU171" s="1656">
        <f t="shared" si="311"/>
        <v>363225.34299999999</v>
      </c>
      <c r="AV171" s="2052"/>
      <c r="AW171" s="1649">
        <f t="shared" si="290"/>
        <v>-363225.34299999999</v>
      </c>
      <c r="AX171" s="1235">
        <f t="shared" si="312"/>
        <v>-100</v>
      </c>
      <c r="AY171" s="1616">
        <f t="shared" si="278"/>
        <v>4258704.1159999995</v>
      </c>
      <c r="AZ171" s="1613">
        <f t="shared" si="279"/>
        <v>1054076.5</v>
      </c>
      <c r="BA171" s="1172"/>
      <c r="BB171" s="1172"/>
    </row>
    <row r="172" spans="1:54" s="1421" customFormat="1" ht="18.75" customHeight="1" x14ac:dyDescent="0.25">
      <c r="A172" s="167">
        <v>12881</v>
      </c>
      <c r="B172" s="331" t="s">
        <v>70</v>
      </c>
      <c r="C172" s="1574">
        <v>392.41800000000001</v>
      </c>
      <c r="D172" s="2013">
        <v>33.33</v>
      </c>
      <c r="E172" s="1574">
        <f>D172-C172</f>
        <v>-359.08800000000002</v>
      </c>
      <c r="F172" s="2051">
        <f t="shared" ref="F172:F179" si="313">((D172/C172)-1)*100</f>
        <v>-91.506505817775945</v>
      </c>
      <c r="G172" s="2157">
        <f t="shared" si="292"/>
        <v>392.41800000000001</v>
      </c>
      <c r="H172" s="1608">
        <f>VLOOKUP(A172,'[1]r_balancete_sc 02-2022'!$1:$1048576,9,0)</f>
        <v>854.6</v>
      </c>
      <c r="I172" s="1574">
        <f t="shared" si="277"/>
        <v>462.18200000000002</v>
      </c>
      <c r="J172" s="2153">
        <f t="shared" si="293"/>
        <v>117.77798164202457</v>
      </c>
      <c r="K172" s="2048">
        <f t="shared" si="294"/>
        <v>392.41800000000001</v>
      </c>
      <c r="L172" s="1574">
        <f>VLOOKUP(A172,'[2]bALANCETE ORÇAMENTO'!$1:$1048576,7,0)</f>
        <v>1312.15</v>
      </c>
      <c r="M172" s="1574">
        <f>L172-K172</f>
        <v>919.73200000000008</v>
      </c>
      <c r="N172" s="2153">
        <f t="shared" si="295"/>
        <v>234.37558929508842</v>
      </c>
      <c r="O172" s="2048">
        <f t="shared" si="296"/>
        <v>392.41800000000001</v>
      </c>
      <c r="P172" s="1574"/>
      <c r="Q172" s="1574">
        <f>P172-O172</f>
        <v>-392.41800000000001</v>
      </c>
      <c r="R172" s="2153">
        <f t="shared" si="297"/>
        <v>-100</v>
      </c>
      <c r="S172" s="2048">
        <f t="shared" si="298"/>
        <v>392.41800000000001</v>
      </c>
      <c r="T172" s="1574"/>
      <c r="U172" s="1574">
        <f>T172-S172</f>
        <v>-392.41800000000001</v>
      </c>
      <c r="V172" s="2153">
        <f t="shared" si="299"/>
        <v>-100</v>
      </c>
      <c r="W172" s="2048">
        <v>392.41800000000001</v>
      </c>
      <c r="X172" s="1574"/>
      <c r="Y172" s="1574">
        <f>X172-W172</f>
        <v>-392.41800000000001</v>
      </c>
      <c r="Z172" s="2153">
        <f t="shared" si="300"/>
        <v>-100</v>
      </c>
      <c r="AA172" s="2048">
        <f t="shared" si="301"/>
        <v>392.41800000000001</v>
      </c>
      <c r="AB172" s="1574"/>
      <c r="AC172" s="1574">
        <f>AB172-AA172</f>
        <v>-392.41800000000001</v>
      </c>
      <c r="AD172" s="2153">
        <f t="shared" si="302"/>
        <v>-100</v>
      </c>
      <c r="AE172" s="2048">
        <f t="shared" si="303"/>
        <v>392.41800000000001</v>
      </c>
      <c r="AF172" s="1574"/>
      <c r="AG172" s="1574">
        <f>AF172-AE172</f>
        <v>-392.41800000000001</v>
      </c>
      <c r="AH172" s="2153">
        <f t="shared" si="304"/>
        <v>-100</v>
      </c>
      <c r="AI172" s="2048">
        <f t="shared" si="305"/>
        <v>392.41800000000001</v>
      </c>
      <c r="AJ172" s="1574"/>
      <c r="AK172" s="1574">
        <f>AJ172-AI172</f>
        <v>-392.41800000000001</v>
      </c>
      <c r="AL172" s="2153">
        <f t="shared" si="306"/>
        <v>-100</v>
      </c>
      <c r="AM172" s="2048">
        <f t="shared" si="307"/>
        <v>392.41800000000001</v>
      </c>
      <c r="AN172" s="1574"/>
      <c r="AO172" s="1574">
        <f>AN172-AM172</f>
        <v>-392.41800000000001</v>
      </c>
      <c r="AP172" s="2153">
        <f t="shared" si="308"/>
        <v>-100</v>
      </c>
      <c r="AQ172" s="2048">
        <f t="shared" si="309"/>
        <v>392.41800000000001</v>
      </c>
      <c r="AR172" s="1574"/>
      <c r="AS172" s="1574">
        <f>AR172-AQ172</f>
        <v>-392.41800000000001</v>
      </c>
      <c r="AT172" s="2153">
        <f t="shared" si="310"/>
        <v>-100</v>
      </c>
      <c r="AU172" s="2048">
        <f t="shared" si="311"/>
        <v>392.41800000000001</v>
      </c>
      <c r="AV172" s="1574"/>
      <c r="AW172" s="1574">
        <f>AV172-AU172</f>
        <v>-392.41800000000001</v>
      </c>
      <c r="AX172" s="2153">
        <f t="shared" si="312"/>
        <v>-100</v>
      </c>
      <c r="AY172" s="2065">
        <f t="shared" si="278"/>
        <v>4709.0160000000005</v>
      </c>
      <c r="AZ172" s="1561">
        <f t="shared" si="279"/>
        <v>2200.08</v>
      </c>
      <c r="BA172" s="1172"/>
      <c r="BB172" s="1172"/>
    </row>
    <row r="173" spans="1:54" s="1421" customFormat="1" ht="18.75" customHeight="1" x14ac:dyDescent="0.25">
      <c r="A173" s="170">
        <v>54164</v>
      </c>
      <c r="B173" s="332" t="s">
        <v>3779</v>
      </c>
      <c r="C173" s="1545">
        <v>13847.548000000001</v>
      </c>
      <c r="D173" s="2024">
        <v>11895</v>
      </c>
      <c r="E173" s="1649">
        <f>D173-C173</f>
        <v>-1952.5480000000007</v>
      </c>
      <c r="F173" s="1577">
        <f t="shared" si="313"/>
        <v>-14.100315810423625</v>
      </c>
      <c r="G173" s="1545">
        <f t="shared" si="292"/>
        <v>13847.548000000001</v>
      </c>
      <c r="H173" s="1611">
        <f>VLOOKUP(A173,'[1]r_balancete_sc 02-2022'!$1:$1048576,9,0)</f>
        <v>11895</v>
      </c>
      <c r="I173" s="1649">
        <f t="shared" si="277"/>
        <v>-1952.5480000000007</v>
      </c>
      <c r="J173" s="1577">
        <f t="shared" si="293"/>
        <v>-14.100315810423625</v>
      </c>
      <c r="K173" s="1545">
        <f t="shared" si="294"/>
        <v>13847.548000000001</v>
      </c>
      <c r="L173" s="1649">
        <f>VLOOKUP(A173,'[2]bALANCETE ORÇAMENTO'!$1:$1048576,7,0)</f>
        <v>11895</v>
      </c>
      <c r="M173" s="1649">
        <f>L173-K173</f>
        <v>-1952.5480000000007</v>
      </c>
      <c r="N173" s="1577">
        <f t="shared" si="295"/>
        <v>-14.100315810423625</v>
      </c>
      <c r="O173" s="1545">
        <f t="shared" si="296"/>
        <v>13847.548000000001</v>
      </c>
      <c r="P173" s="1649"/>
      <c r="Q173" s="1649">
        <f>P173-O173</f>
        <v>-13847.548000000001</v>
      </c>
      <c r="R173" s="1577">
        <f t="shared" si="297"/>
        <v>-100</v>
      </c>
      <c r="S173" s="1545">
        <f t="shared" si="298"/>
        <v>13847.548000000001</v>
      </c>
      <c r="T173" s="1649"/>
      <c r="U173" s="1649">
        <f>T173-S173</f>
        <v>-13847.548000000001</v>
      </c>
      <c r="V173" s="1577">
        <f t="shared" si="299"/>
        <v>-100</v>
      </c>
      <c r="W173" s="1545">
        <v>13847.548000000001</v>
      </c>
      <c r="X173" s="1649"/>
      <c r="Y173" s="1649">
        <f>X173-W173</f>
        <v>-13847.548000000001</v>
      </c>
      <c r="Z173" s="1577">
        <f t="shared" si="300"/>
        <v>-100</v>
      </c>
      <c r="AA173" s="1545">
        <f t="shared" si="301"/>
        <v>13847.548000000001</v>
      </c>
      <c r="AB173" s="1649"/>
      <c r="AC173" s="1649">
        <f>AB173-AA173</f>
        <v>-13847.548000000001</v>
      </c>
      <c r="AD173" s="1577">
        <f t="shared" si="302"/>
        <v>-100</v>
      </c>
      <c r="AE173" s="1545">
        <f t="shared" si="303"/>
        <v>13847.548000000001</v>
      </c>
      <c r="AF173" s="1649"/>
      <c r="AG173" s="1649">
        <f>AF173-AE173</f>
        <v>-13847.548000000001</v>
      </c>
      <c r="AH173" s="1577">
        <f t="shared" si="304"/>
        <v>-100</v>
      </c>
      <c r="AI173" s="1545">
        <f t="shared" si="305"/>
        <v>13847.548000000001</v>
      </c>
      <c r="AJ173" s="1649"/>
      <c r="AK173" s="1649">
        <f>AJ173-AI173</f>
        <v>-13847.548000000001</v>
      </c>
      <c r="AL173" s="1577">
        <f t="shared" si="306"/>
        <v>-100</v>
      </c>
      <c r="AM173" s="1545">
        <f t="shared" si="307"/>
        <v>13847.548000000001</v>
      </c>
      <c r="AN173" s="1649"/>
      <c r="AO173" s="1649">
        <f>AN173-AM173</f>
        <v>-13847.548000000001</v>
      </c>
      <c r="AP173" s="1577">
        <f t="shared" si="308"/>
        <v>-100</v>
      </c>
      <c r="AQ173" s="1545">
        <f t="shared" si="309"/>
        <v>13847.548000000001</v>
      </c>
      <c r="AR173" s="1649"/>
      <c r="AS173" s="1649">
        <f>AR173-AQ173</f>
        <v>-13847.548000000001</v>
      </c>
      <c r="AT173" s="1577">
        <f t="shared" si="310"/>
        <v>-100</v>
      </c>
      <c r="AU173" s="1545">
        <f t="shared" si="311"/>
        <v>13847.548000000001</v>
      </c>
      <c r="AV173" s="1649"/>
      <c r="AW173" s="1649">
        <f>AV173-AU173</f>
        <v>-13847.548000000001</v>
      </c>
      <c r="AX173" s="1577">
        <f t="shared" si="312"/>
        <v>-100</v>
      </c>
      <c r="AY173" s="2060">
        <f t="shared" si="278"/>
        <v>166170.576</v>
      </c>
      <c r="AZ173" s="1632">
        <f t="shared" si="279"/>
        <v>35685</v>
      </c>
      <c r="BA173" s="1172"/>
      <c r="BB173" s="1172"/>
    </row>
    <row r="174" spans="1:54" s="1421" customFormat="1" ht="18.75" customHeight="1" x14ac:dyDescent="0.25">
      <c r="A174" s="170">
        <v>12333</v>
      </c>
      <c r="B174" s="332" t="s">
        <v>75</v>
      </c>
      <c r="C174" s="1545">
        <v>42271.244599999998</v>
      </c>
      <c r="D174" s="2024">
        <v>37481</v>
      </c>
      <c r="E174" s="1649">
        <f t="shared" ref="E174:E179" si="314">D174-C174</f>
        <v>-4790.2445999999982</v>
      </c>
      <c r="F174" s="1235">
        <f t="shared" si="313"/>
        <v>-11.332158883251807</v>
      </c>
      <c r="G174" s="1545">
        <f t="shared" si="292"/>
        <v>42271.244599999998</v>
      </c>
      <c r="H174" s="1611">
        <f>VLOOKUP(A174,'[1]r_balancete_sc 02-2022'!$1:$1048576,9,0)</f>
        <v>44306.23</v>
      </c>
      <c r="I174" s="1649">
        <f t="shared" si="277"/>
        <v>2034.985400000005</v>
      </c>
      <c r="J174" s="1235">
        <f t="shared" si="293"/>
        <v>4.8141128070783301</v>
      </c>
      <c r="K174" s="1545">
        <f t="shared" si="294"/>
        <v>42271.244599999998</v>
      </c>
      <c r="L174" s="1649">
        <f>VLOOKUP(A174,'[2]bALANCETE ORÇAMENTO'!$1:$1048576,7,0)</f>
        <v>58786.67</v>
      </c>
      <c r="M174" s="1649">
        <f t="shared" ref="M174:M179" si="315">L174-K174</f>
        <v>16515.4254</v>
      </c>
      <c r="N174" s="1235">
        <f t="shared" si="295"/>
        <v>39.070118602564172</v>
      </c>
      <c r="O174" s="1545">
        <f t="shared" si="296"/>
        <v>42271.244599999998</v>
      </c>
      <c r="P174" s="1649"/>
      <c r="Q174" s="1649">
        <f t="shared" ref="Q174:Q179" si="316">P174-O174</f>
        <v>-42271.244599999998</v>
      </c>
      <c r="R174" s="1235">
        <f t="shared" si="297"/>
        <v>-100</v>
      </c>
      <c r="S174" s="1545">
        <f t="shared" si="298"/>
        <v>42271.244599999998</v>
      </c>
      <c r="T174" s="1649"/>
      <c r="U174" s="1649">
        <f t="shared" ref="U174:U179" si="317">T174-S174</f>
        <v>-42271.244599999998</v>
      </c>
      <c r="V174" s="1235">
        <f t="shared" si="299"/>
        <v>-100</v>
      </c>
      <c r="W174" s="1545">
        <v>42271.244599999998</v>
      </c>
      <c r="X174" s="1649"/>
      <c r="Y174" s="1649">
        <f t="shared" ref="Y174:Y179" si="318">X174-W174</f>
        <v>-42271.244599999998</v>
      </c>
      <c r="Z174" s="1235">
        <f t="shared" si="300"/>
        <v>-100</v>
      </c>
      <c r="AA174" s="1545">
        <f t="shared" si="301"/>
        <v>42271.244599999998</v>
      </c>
      <c r="AB174" s="1649"/>
      <c r="AC174" s="1649">
        <f t="shared" ref="AC174:AC179" si="319">AB174-AA174</f>
        <v>-42271.244599999998</v>
      </c>
      <c r="AD174" s="1235">
        <f t="shared" si="302"/>
        <v>-100</v>
      </c>
      <c r="AE174" s="1545">
        <f t="shared" si="303"/>
        <v>42271.244599999998</v>
      </c>
      <c r="AF174" s="1649"/>
      <c r="AG174" s="1649">
        <f t="shared" ref="AG174:AG179" si="320">AF174-AE174</f>
        <v>-42271.244599999998</v>
      </c>
      <c r="AH174" s="1235">
        <f t="shared" si="304"/>
        <v>-100</v>
      </c>
      <c r="AI174" s="1545">
        <f t="shared" si="305"/>
        <v>42271.244599999998</v>
      </c>
      <c r="AJ174" s="1649"/>
      <c r="AK174" s="1649">
        <f t="shared" ref="AK174:AK179" si="321">AJ174-AI174</f>
        <v>-42271.244599999998</v>
      </c>
      <c r="AL174" s="1235">
        <f t="shared" si="306"/>
        <v>-100</v>
      </c>
      <c r="AM174" s="1545">
        <f t="shared" si="307"/>
        <v>42271.244599999998</v>
      </c>
      <c r="AN174" s="1649"/>
      <c r="AO174" s="1649">
        <f t="shared" ref="AO174:AO179" si="322">AN174-AM174</f>
        <v>-42271.244599999998</v>
      </c>
      <c r="AP174" s="1235">
        <f t="shared" si="308"/>
        <v>-100</v>
      </c>
      <c r="AQ174" s="1545">
        <f t="shared" si="309"/>
        <v>42271.244599999998</v>
      </c>
      <c r="AR174" s="1649"/>
      <c r="AS174" s="1649">
        <f t="shared" ref="AS174:AS179" si="323">AR174-AQ174</f>
        <v>-42271.244599999998</v>
      </c>
      <c r="AT174" s="1235">
        <f t="shared" si="310"/>
        <v>-100</v>
      </c>
      <c r="AU174" s="1545">
        <f t="shared" si="311"/>
        <v>42271.244599999998</v>
      </c>
      <c r="AV174" s="1649"/>
      <c r="AW174" s="1649">
        <f t="shared" ref="AW174:AW179" si="324">AV174-AU174</f>
        <v>-42271.244599999998</v>
      </c>
      <c r="AX174" s="1235">
        <f t="shared" si="312"/>
        <v>-100</v>
      </c>
      <c r="AY174" s="1658">
        <f t="shared" si="278"/>
        <v>507254.93519999989</v>
      </c>
      <c r="AZ174" s="1616">
        <f t="shared" si="279"/>
        <v>140573.90000000002</v>
      </c>
      <c r="BA174" s="1172"/>
      <c r="BB174" s="1172"/>
    </row>
    <row r="175" spans="1:54" s="1421" customFormat="1" ht="18.75" customHeight="1" x14ac:dyDescent="0.25">
      <c r="A175" s="170">
        <v>12331</v>
      </c>
      <c r="B175" s="332" t="s">
        <v>76</v>
      </c>
      <c r="C175" s="1545">
        <v>179045.315</v>
      </c>
      <c r="D175" s="2024">
        <v>165193</v>
      </c>
      <c r="E175" s="1649">
        <f t="shared" si="314"/>
        <v>-13852.315000000002</v>
      </c>
      <c r="F175" s="1235">
        <f t="shared" si="313"/>
        <v>-7.7367648519594105</v>
      </c>
      <c r="G175" s="1545">
        <f t="shared" si="292"/>
        <v>179045.315</v>
      </c>
      <c r="H175" s="2071">
        <f>VLOOKUP(A175,'[1]r_balancete_sc 02-2022'!$1:$1048576,9,0)</f>
        <v>153821.09</v>
      </c>
      <c r="I175" s="1649">
        <f t="shared" si="277"/>
        <v>-25224.225000000006</v>
      </c>
      <c r="J175" s="1235">
        <f t="shared" si="293"/>
        <v>-14.088179296956193</v>
      </c>
      <c r="K175" s="1545">
        <f t="shared" si="294"/>
        <v>179045.315</v>
      </c>
      <c r="L175" s="1649">
        <f>VLOOKUP(A175,'[2]bALANCETE ORÇAMENTO'!$1:$1048576,7,0)</f>
        <v>174158.17</v>
      </c>
      <c r="M175" s="1649">
        <f t="shared" si="315"/>
        <v>-4887.1449999999895</v>
      </c>
      <c r="N175" s="1235">
        <f t="shared" si="295"/>
        <v>-2.7295575983096731</v>
      </c>
      <c r="O175" s="1545">
        <f t="shared" si="296"/>
        <v>179045.315</v>
      </c>
      <c r="P175" s="1649"/>
      <c r="Q175" s="1649">
        <f t="shared" si="316"/>
        <v>-179045.315</v>
      </c>
      <c r="R175" s="1235">
        <f t="shared" si="297"/>
        <v>-100</v>
      </c>
      <c r="S175" s="1545">
        <f t="shared" si="298"/>
        <v>179045.315</v>
      </c>
      <c r="T175" s="1649"/>
      <c r="U175" s="1649">
        <f t="shared" si="317"/>
        <v>-179045.315</v>
      </c>
      <c r="V175" s="1235">
        <f t="shared" si="299"/>
        <v>-100</v>
      </c>
      <c r="W175" s="1545">
        <v>198045.315</v>
      </c>
      <c r="X175" s="1649"/>
      <c r="Y175" s="1649">
        <f t="shared" si="318"/>
        <v>-198045.315</v>
      </c>
      <c r="Z175" s="1235">
        <f t="shared" si="300"/>
        <v>-100</v>
      </c>
      <c r="AA175" s="1545">
        <f t="shared" si="301"/>
        <v>198045.315</v>
      </c>
      <c r="AB175" s="1649"/>
      <c r="AC175" s="1649">
        <f t="shared" si="319"/>
        <v>-198045.315</v>
      </c>
      <c r="AD175" s="1235">
        <f t="shared" si="302"/>
        <v>-100</v>
      </c>
      <c r="AE175" s="1545">
        <f t="shared" si="303"/>
        <v>198045.315</v>
      </c>
      <c r="AF175" s="1649"/>
      <c r="AG175" s="1649">
        <f t="shared" si="320"/>
        <v>-198045.315</v>
      </c>
      <c r="AH175" s="1235">
        <f t="shared" si="304"/>
        <v>-100</v>
      </c>
      <c r="AI175" s="1545">
        <f t="shared" si="305"/>
        <v>198045.315</v>
      </c>
      <c r="AJ175" s="1649"/>
      <c r="AK175" s="1649">
        <f t="shared" si="321"/>
        <v>-198045.315</v>
      </c>
      <c r="AL175" s="1235">
        <f t="shared" si="306"/>
        <v>-100</v>
      </c>
      <c r="AM175" s="1545">
        <f t="shared" si="307"/>
        <v>198045.315</v>
      </c>
      <c r="AN175" s="1649"/>
      <c r="AO175" s="1649">
        <f t="shared" si="322"/>
        <v>-198045.315</v>
      </c>
      <c r="AP175" s="1235">
        <f t="shared" si="308"/>
        <v>-100</v>
      </c>
      <c r="AQ175" s="1545">
        <f t="shared" si="309"/>
        <v>198045.315</v>
      </c>
      <c r="AR175" s="1649"/>
      <c r="AS175" s="1649">
        <f t="shared" si="323"/>
        <v>-198045.315</v>
      </c>
      <c r="AT175" s="1235">
        <f t="shared" si="310"/>
        <v>-100</v>
      </c>
      <c r="AU175" s="1545">
        <f t="shared" si="311"/>
        <v>198045.315</v>
      </c>
      <c r="AV175" s="1649"/>
      <c r="AW175" s="1649">
        <f t="shared" si="324"/>
        <v>-198045.315</v>
      </c>
      <c r="AX175" s="1235">
        <f t="shared" si="312"/>
        <v>-100</v>
      </c>
      <c r="AY175" s="1658">
        <f t="shared" si="278"/>
        <v>2281543.7799999998</v>
      </c>
      <c r="AZ175" s="1616">
        <f t="shared" si="279"/>
        <v>493172.26</v>
      </c>
      <c r="BA175" s="1172"/>
      <c r="BB175" s="1172"/>
    </row>
    <row r="176" spans="1:54" s="1421" customFormat="1" ht="18.75" customHeight="1" x14ac:dyDescent="0.25">
      <c r="A176" s="170">
        <v>37763</v>
      </c>
      <c r="B176" s="332" t="s">
        <v>80</v>
      </c>
      <c r="C176" s="1545">
        <v>6667.0460000000021</v>
      </c>
      <c r="D176" s="2024">
        <v>25562.5</v>
      </c>
      <c r="E176" s="1649">
        <f t="shared" si="314"/>
        <v>18895.453999999998</v>
      </c>
      <c r="F176" s="1235">
        <f t="shared" si="313"/>
        <v>283.4156836476003</v>
      </c>
      <c r="G176" s="1545">
        <f t="shared" si="292"/>
        <v>6667.0460000000021</v>
      </c>
      <c r="H176" s="2075">
        <f>VLOOKUP(A176,'[1]r_balancete_sc 02-2022'!$1:$1048576,9,0)</f>
        <v>28848.23</v>
      </c>
      <c r="I176" s="1649">
        <f t="shared" si="277"/>
        <v>22181.183999999997</v>
      </c>
      <c r="J176" s="1235">
        <f t="shared" si="293"/>
        <v>332.69882943660491</v>
      </c>
      <c r="K176" s="1545">
        <f t="shared" si="294"/>
        <v>6667.0460000000021</v>
      </c>
      <c r="L176" s="1649">
        <f>VLOOKUP(A176,'[2]bALANCETE ORÇAMENTO'!$1:$1048576,7,0)</f>
        <v>27637.75</v>
      </c>
      <c r="M176" s="1649">
        <f t="shared" si="315"/>
        <v>20970.703999999998</v>
      </c>
      <c r="N176" s="1235">
        <f t="shared" si="295"/>
        <v>314.54266252250233</v>
      </c>
      <c r="O176" s="1545">
        <f t="shared" si="296"/>
        <v>6667.0460000000021</v>
      </c>
      <c r="P176" s="1649"/>
      <c r="Q176" s="1649">
        <f t="shared" si="316"/>
        <v>-6667.0460000000021</v>
      </c>
      <c r="R176" s="1235">
        <f t="shared" si="297"/>
        <v>-100</v>
      </c>
      <c r="S176" s="1545">
        <f t="shared" si="298"/>
        <v>6667.0460000000021</v>
      </c>
      <c r="T176" s="1649"/>
      <c r="U176" s="1649">
        <f t="shared" si="317"/>
        <v>-6667.0460000000021</v>
      </c>
      <c r="V176" s="1235">
        <f t="shared" si="299"/>
        <v>-100</v>
      </c>
      <c r="W176" s="1545">
        <v>36667.046000000002</v>
      </c>
      <c r="X176" s="1649"/>
      <c r="Y176" s="1649">
        <f t="shared" si="318"/>
        <v>-36667.046000000002</v>
      </c>
      <c r="Z176" s="1235">
        <f t="shared" si="300"/>
        <v>-100</v>
      </c>
      <c r="AA176" s="1545">
        <f t="shared" si="301"/>
        <v>36667.046000000002</v>
      </c>
      <c r="AB176" s="1649"/>
      <c r="AC176" s="1649">
        <f t="shared" si="319"/>
        <v>-36667.046000000002</v>
      </c>
      <c r="AD176" s="1235">
        <f t="shared" si="302"/>
        <v>-100</v>
      </c>
      <c r="AE176" s="1545">
        <f t="shared" si="303"/>
        <v>36667.046000000002</v>
      </c>
      <c r="AF176" s="1649"/>
      <c r="AG176" s="1649">
        <f t="shared" si="320"/>
        <v>-36667.046000000002</v>
      </c>
      <c r="AH176" s="1235">
        <f t="shared" si="304"/>
        <v>-100</v>
      </c>
      <c r="AI176" s="1545">
        <f t="shared" si="305"/>
        <v>36667.046000000002</v>
      </c>
      <c r="AJ176" s="1649"/>
      <c r="AK176" s="1649">
        <f t="shared" si="321"/>
        <v>-36667.046000000002</v>
      </c>
      <c r="AL176" s="1235">
        <f t="shared" si="306"/>
        <v>-100</v>
      </c>
      <c r="AM176" s="1545">
        <f t="shared" si="307"/>
        <v>36667.046000000002</v>
      </c>
      <c r="AN176" s="1649"/>
      <c r="AO176" s="1649">
        <f t="shared" si="322"/>
        <v>-36667.046000000002</v>
      </c>
      <c r="AP176" s="1235">
        <f t="shared" si="308"/>
        <v>-100</v>
      </c>
      <c r="AQ176" s="1545">
        <f t="shared" si="309"/>
        <v>36667.046000000002</v>
      </c>
      <c r="AR176" s="1649"/>
      <c r="AS176" s="1649">
        <f t="shared" si="323"/>
        <v>-36667.046000000002</v>
      </c>
      <c r="AT176" s="1235">
        <f t="shared" si="310"/>
        <v>-100</v>
      </c>
      <c r="AU176" s="1545">
        <f t="shared" si="311"/>
        <v>36667.046000000002</v>
      </c>
      <c r="AV176" s="1649"/>
      <c r="AW176" s="1649">
        <f t="shared" si="324"/>
        <v>-36667.046000000002</v>
      </c>
      <c r="AX176" s="1235">
        <f t="shared" si="312"/>
        <v>-100</v>
      </c>
      <c r="AY176" s="1658">
        <f t="shared" si="278"/>
        <v>290004.55200000003</v>
      </c>
      <c r="AZ176" s="1616">
        <f t="shared" si="279"/>
        <v>82048.479999999996</v>
      </c>
      <c r="BA176" s="1172"/>
      <c r="BB176" s="1172"/>
    </row>
    <row r="177" spans="1:54" s="1421" customFormat="1" ht="18.75" customHeight="1" x14ac:dyDescent="0.25">
      <c r="A177" s="170">
        <v>37259</v>
      </c>
      <c r="B177" s="332" t="s">
        <v>204</v>
      </c>
      <c r="C177" s="1545">
        <v>6985.2640000000001</v>
      </c>
      <c r="D177" s="2024">
        <v>5448</v>
      </c>
      <c r="E177" s="1649">
        <f t="shared" si="314"/>
        <v>-1537.2640000000001</v>
      </c>
      <c r="F177" s="1235">
        <f t="shared" si="313"/>
        <v>-22.007242675437901</v>
      </c>
      <c r="G177" s="1545">
        <f t="shared" si="292"/>
        <v>6985.2640000000001</v>
      </c>
      <c r="H177" s="1611">
        <f>VLOOKUP(A177,'[1]r_balancete_sc 02-2022'!$1:$1048576,9,0)</f>
        <v>6542</v>
      </c>
      <c r="I177" s="1649">
        <f t="shared" si="277"/>
        <v>-443.26400000000012</v>
      </c>
      <c r="J177" s="1235">
        <f t="shared" si="293"/>
        <v>-6.3457014652560044</v>
      </c>
      <c r="K177" s="1545">
        <f t="shared" si="294"/>
        <v>6985.2640000000001</v>
      </c>
      <c r="L177" s="1649">
        <f>VLOOKUP(A177,'[2]bALANCETE ORÇAMENTO'!$1:$1048576,7,0)</f>
        <v>6109</v>
      </c>
      <c r="M177" s="1649">
        <f t="shared" si="315"/>
        <v>-876.26400000000012</v>
      </c>
      <c r="N177" s="1235">
        <f t="shared" si="295"/>
        <v>-12.544465033819774</v>
      </c>
      <c r="O177" s="1545">
        <f t="shared" si="296"/>
        <v>6985.2640000000001</v>
      </c>
      <c r="P177" s="1649"/>
      <c r="Q177" s="1649">
        <f t="shared" si="316"/>
        <v>-6985.2640000000001</v>
      </c>
      <c r="R177" s="1235">
        <f t="shared" si="297"/>
        <v>-100</v>
      </c>
      <c r="S177" s="1545">
        <f t="shared" si="298"/>
        <v>6985.2640000000001</v>
      </c>
      <c r="T177" s="1649"/>
      <c r="U177" s="1649">
        <f t="shared" si="317"/>
        <v>-6985.2640000000001</v>
      </c>
      <c r="V177" s="1235">
        <f t="shared" si="299"/>
        <v>-100</v>
      </c>
      <c r="W177" s="1545">
        <v>6985.2640000000001</v>
      </c>
      <c r="X177" s="1649"/>
      <c r="Y177" s="1649">
        <f t="shared" si="318"/>
        <v>-6985.2640000000001</v>
      </c>
      <c r="Z177" s="1235">
        <f t="shared" si="300"/>
        <v>-100</v>
      </c>
      <c r="AA177" s="1545">
        <f t="shared" si="301"/>
        <v>6985.2640000000001</v>
      </c>
      <c r="AB177" s="1649"/>
      <c r="AC177" s="1649">
        <f t="shared" si="319"/>
        <v>-6985.2640000000001</v>
      </c>
      <c r="AD177" s="1235">
        <f t="shared" si="302"/>
        <v>-100</v>
      </c>
      <c r="AE177" s="1545">
        <f t="shared" si="303"/>
        <v>6985.2640000000001</v>
      </c>
      <c r="AF177" s="1649"/>
      <c r="AG177" s="1649">
        <f t="shared" si="320"/>
        <v>-6985.2640000000001</v>
      </c>
      <c r="AH177" s="1235">
        <f t="shared" si="304"/>
        <v>-100</v>
      </c>
      <c r="AI177" s="1545">
        <f t="shared" si="305"/>
        <v>6985.2640000000001</v>
      </c>
      <c r="AJ177" s="1649"/>
      <c r="AK177" s="1649">
        <f t="shared" si="321"/>
        <v>-6985.2640000000001</v>
      </c>
      <c r="AL177" s="1235">
        <f t="shared" si="306"/>
        <v>-100</v>
      </c>
      <c r="AM177" s="1545">
        <f t="shared" si="307"/>
        <v>6985.2640000000001</v>
      </c>
      <c r="AN177" s="1649"/>
      <c r="AO177" s="1649">
        <f t="shared" si="322"/>
        <v>-6985.2640000000001</v>
      </c>
      <c r="AP177" s="1235">
        <f t="shared" si="308"/>
        <v>-100</v>
      </c>
      <c r="AQ177" s="1545">
        <f t="shared" si="309"/>
        <v>6985.2640000000001</v>
      </c>
      <c r="AR177" s="1649"/>
      <c r="AS177" s="1649">
        <f t="shared" si="323"/>
        <v>-6985.2640000000001</v>
      </c>
      <c r="AT177" s="1235">
        <f t="shared" si="310"/>
        <v>-100</v>
      </c>
      <c r="AU177" s="1545">
        <f t="shared" si="311"/>
        <v>6985.2640000000001</v>
      </c>
      <c r="AV177" s="1649"/>
      <c r="AW177" s="1649">
        <f t="shared" si="324"/>
        <v>-6985.2640000000001</v>
      </c>
      <c r="AX177" s="1235">
        <f t="shared" si="312"/>
        <v>-100</v>
      </c>
      <c r="AY177" s="1658">
        <f t="shared" si="278"/>
        <v>83823.168000000005</v>
      </c>
      <c r="AZ177" s="1616">
        <f t="shared" si="279"/>
        <v>18099</v>
      </c>
      <c r="BA177" s="1172"/>
      <c r="BB177" s="1172"/>
    </row>
    <row r="178" spans="1:54" s="1421" customFormat="1" ht="18.75" customHeight="1" x14ac:dyDescent="0.25">
      <c r="A178" s="170">
        <v>12332</v>
      </c>
      <c r="B178" s="332" t="s">
        <v>77</v>
      </c>
      <c r="C178" s="1545">
        <v>21949</v>
      </c>
      <c r="D178" s="2024">
        <v>24722</v>
      </c>
      <c r="E178" s="1649">
        <f t="shared" si="314"/>
        <v>2773</v>
      </c>
      <c r="F178" s="1235">
        <f t="shared" si="313"/>
        <v>12.633832976445403</v>
      </c>
      <c r="G178" s="1545">
        <f t="shared" si="292"/>
        <v>21949</v>
      </c>
      <c r="H178" s="1611">
        <f>VLOOKUP(A178,'[1]r_balancete_sc 02-2022'!$1:$1048576,9,0)</f>
        <v>24942.27</v>
      </c>
      <c r="I178" s="1649">
        <f t="shared" si="277"/>
        <v>2993.2700000000004</v>
      </c>
      <c r="J178" s="1235">
        <f t="shared" si="293"/>
        <v>13.637386669096552</v>
      </c>
      <c r="K178" s="1545">
        <f t="shared" si="294"/>
        <v>21949</v>
      </c>
      <c r="L178" s="1649">
        <f>VLOOKUP(A178,'[2]bALANCETE ORÇAMENTO'!$1:$1048576,7,0)</f>
        <v>28832.32</v>
      </c>
      <c r="M178" s="1649">
        <f t="shared" si="315"/>
        <v>6883.32</v>
      </c>
      <c r="N178" s="1235">
        <f t="shared" si="295"/>
        <v>31.360517563442514</v>
      </c>
      <c r="O178" s="1545">
        <f t="shared" si="296"/>
        <v>21949</v>
      </c>
      <c r="P178" s="1649"/>
      <c r="Q178" s="1649">
        <f t="shared" si="316"/>
        <v>-21949</v>
      </c>
      <c r="R178" s="1235">
        <f t="shared" si="297"/>
        <v>-100</v>
      </c>
      <c r="S178" s="1545">
        <f t="shared" si="298"/>
        <v>21949</v>
      </c>
      <c r="T178" s="1649"/>
      <c r="U178" s="1649">
        <f t="shared" si="317"/>
        <v>-21949</v>
      </c>
      <c r="V178" s="1235">
        <f t="shared" si="299"/>
        <v>-100</v>
      </c>
      <c r="W178" s="1545">
        <v>45538.040599999993</v>
      </c>
      <c r="X178" s="1649"/>
      <c r="Y178" s="1649">
        <f t="shared" si="318"/>
        <v>-45538.040599999993</v>
      </c>
      <c r="Z178" s="1235">
        <f t="shared" si="300"/>
        <v>-100</v>
      </c>
      <c r="AA178" s="1545">
        <f t="shared" si="301"/>
        <v>45538.040599999993</v>
      </c>
      <c r="AB178" s="1649"/>
      <c r="AC178" s="1649">
        <f t="shared" si="319"/>
        <v>-45538.040599999993</v>
      </c>
      <c r="AD178" s="1235">
        <f t="shared" si="302"/>
        <v>-100</v>
      </c>
      <c r="AE178" s="1545">
        <f t="shared" si="303"/>
        <v>45538.040599999993</v>
      </c>
      <c r="AF178" s="1649"/>
      <c r="AG178" s="1649">
        <f t="shared" si="320"/>
        <v>-45538.040599999993</v>
      </c>
      <c r="AH178" s="1235">
        <f t="shared" si="304"/>
        <v>-100</v>
      </c>
      <c r="AI178" s="1545">
        <f t="shared" si="305"/>
        <v>45538.040599999993</v>
      </c>
      <c r="AJ178" s="1649"/>
      <c r="AK178" s="1649">
        <f t="shared" si="321"/>
        <v>-45538.040599999993</v>
      </c>
      <c r="AL178" s="1235">
        <f t="shared" si="306"/>
        <v>-100</v>
      </c>
      <c r="AM178" s="1545">
        <f t="shared" si="307"/>
        <v>45538.040599999993</v>
      </c>
      <c r="AN178" s="1649"/>
      <c r="AO178" s="1649">
        <f t="shared" si="322"/>
        <v>-45538.040599999993</v>
      </c>
      <c r="AP178" s="1235">
        <f t="shared" si="308"/>
        <v>-100</v>
      </c>
      <c r="AQ178" s="1545">
        <f t="shared" si="309"/>
        <v>45538.040599999993</v>
      </c>
      <c r="AR178" s="1649"/>
      <c r="AS178" s="1649">
        <f t="shared" si="323"/>
        <v>-45538.040599999993</v>
      </c>
      <c r="AT178" s="1235">
        <f t="shared" si="310"/>
        <v>-100</v>
      </c>
      <c r="AU178" s="1545">
        <f t="shared" si="311"/>
        <v>45538.040599999993</v>
      </c>
      <c r="AV178" s="1649"/>
      <c r="AW178" s="1649">
        <f t="shared" si="324"/>
        <v>-45538.040599999993</v>
      </c>
      <c r="AX178" s="1235">
        <f t="shared" si="312"/>
        <v>-100</v>
      </c>
      <c r="AY178" s="1658">
        <f t="shared" si="278"/>
        <v>428511.28420000005</v>
      </c>
      <c r="AZ178" s="1616">
        <f t="shared" si="279"/>
        <v>78496.59</v>
      </c>
      <c r="BA178" s="334"/>
      <c r="BB178" s="1174"/>
    </row>
    <row r="179" spans="1:54" s="1421" customFormat="1" ht="18.75" customHeight="1" thickBot="1" x14ac:dyDescent="0.3">
      <c r="A179" s="379">
        <v>12865</v>
      </c>
      <c r="B179" s="384" t="s">
        <v>205</v>
      </c>
      <c r="C179" s="1547">
        <v>3903.7205999999996</v>
      </c>
      <c r="D179" s="2015">
        <v>2505</v>
      </c>
      <c r="E179" s="2152">
        <f t="shared" si="314"/>
        <v>-1398.7205999999996</v>
      </c>
      <c r="F179" s="1239">
        <f t="shared" si="313"/>
        <v>-35.83044852134141</v>
      </c>
      <c r="G179" s="1547">
        <f t="shared" si="292"/>
        <v>3903.7205999999996</v>
      </c>
      <c r="H179" s="2070">
        <f>VLOOKUP(A179,'[1]r_balancete_sc 02-2022'!$1:$1048576,9,0)</f>
        <v>2755.33</v>
      </c>
      <c r="I179" s="2152">
        <f t="shared" si="277"/>
        <v>-1148.3905999999997</v>
      </c>
      <c r="J179" s="1239">
        <f t="shared" si="293"/>
        <v>-29.417848193336372</v>
      </c>
      <c r="K179" s="1547">
        <f t="shared" si="294"/>
        <v>3903.7205999999996</v>
      </c>
      <c r="L179" s="1578">
        <f>VLOOKUP(A179,'[2]bALANCETE ORÇAMENTO'!$1:$1048576,7,0)</f>
        <v>2505.33</v>
      </c>
      <c r="M179" s="2152">
        <f t="shared" si="315"/>
        <v>-1398.3905999999997</v>
      </c>
      <c r="N179" s="1239">
        <f t="shared" si="295"/>
        <v>-35.821995047493914</v>
      </c>
      <c r="O179" s="1547">
        <f t="shared" si="296"/>
        <v>3903.7205999999996</v>
      </c>
      <c r="P179" s="1578"/>
      <c r="Q179" s="2152">
        <f t="shared" si="316"/>
        <v>-3903.7205999999996</v>
      </c>
      <c r="R179" s="1239">
        <f t="shared" si="297"/>
        <v>-100</v>
      </c>
      <c r="S179" s="1547">
        <f t="shared" si="298"/>
        <v>3903.7205999999996</v>
      </c>
      <c r="T179" s="1578"/>
      <c r="U179" s="2152">
        <f t="shared" si="317"/>
        <v>-3903.7205999999996</v>
      </c>
      <c r="V179" s="1239">
        <f t="shared" si="299"/>
        <v>-100</v>
      </c>
      <c r="W179" s="1547">
        <v>3903.7205999999996</v>
      </c>
      <c r="X179" s="1578"/>
      <c r="Y179" s="2152">
        <f t="shared" si="318"/>
        <v>-3903.7205999999996</v>
      </c>
      <c r="Z179" s="1239">
        <f t="shared" si="300"/>
        <v>-100</v>
      </c>
      <c r="AA179" s="1547">
        <f t="shared" si="301"/>
        <v>3903.7205999999996</v>
      </c>
      <c r="AB179" s="1578"/>
      <c r="AC179" s="2152">
        <f t="shared" si="319"/>
        <v>-3903.7205999999996</v>
      </c>
      <c r="AD179" s="1239">
        <f t="shared" si="302"/>
        <v>-100</v>
      </c>
      <c r="AE179" s="1547">
        <f t="shared" si="303"/>
        <v>3903.7205999999996</v>
      </c>
      <c r="AF179" s="1578"/>
      <c r="AG179" s="2152">
        <f t="shared" si="320"/>
        <v>-3903.7205999999996</v>
      </c>
      <c r="AH179" s="1239">
        <f t="shared" si="304"/>
        <v>-100</v>
      </c>
      <c r="AI179" s="1547">
        <f t="shared" si="305"/>
        <v>3903.7205999999996</v>
      </c>
      <c r="AJ179" s="1578"/>
      <c r="AK179" s="2152">
        <f t="shared" si="321"/>
        <v>-3903.7205999999996</v>
      </c>
      <c r="AL179" s="1239">
        <f t="shared" si="306"/>
        <v>-100</v>
      </c>
      <c r="AM179" s="1547">
        <f t="shared" si="307"/>
        <v>3903.7205999999996</v>
      </c>
      <c r="AN179" s="1578"/>
      <c r="AO179" s="2152">
        <f t="shared" si="322"/>
        <v>-3903.7205999999996</v>
      </c>
      <c r="AP179" s="1239">
        <f t="shared" si="308"/>
        <v>-100</v>
      </c>
      <c r="AQ179" s="1547">
        <f t="shared" si="309"/>
        <v>3903.7205999999996</v>
      </c>
      <c r="AR179" s="1578"/>
      <c r="AS179" s="2152">
        <f t="shared" si="323"/>
        <v>-3903.7205999999996</v>
      </c>
      <c r="AT179" s="1239">
        <f t="shared" si="310"/>
        <v>-100</v>
      </c>
      <c r="AU179" s="1547">
        <f t="shared" si="311"/>
        <v>3903.7205999999996</v>
      </c>
      <c r="AV179" s="1578"/>
      <c r="AW179" s="2152">
        <f t="shared" si="324"/>
        <v>-3903.7205999999996</v>
      </c>
      <c r="AX179" s="1239">
        <f t="shared" si="312"/>
        <v>-100</v>
      </c>
      <c r="AY179" s="2063">
        <f t="shared" si="278"/>
        <v>46844.647199999999</v>
      </c>
      <c r="AZ179" s="1562">
        <f t="shared" si="279"/>
        <v>7765.66</v>
      </c>
      <c r="BA179" s="1172"/>
      <c r="BB179" s="1172"/>
    </row>
    <row r="180" spans="1:54" s="1421" customFormat="1" ht="18.75" customHeight="1" x14ac:dyDescent="0.25">
      <c r="A180" s="366">
        <v>11646</v>
      </c>
      <c r="B180" s="1308" t="s">
        <v>43</v>
      </c>
      <c r="C180" s="2712">
        <v>2500</v>
      </c>
      <c r="D180" s="2021">
        <v>2526</v>
      </c>
      <c r="E180" s="2714">
        <f t="shared" ref="E180" si="325">SUM(D180:D181)-C180</f>
        <v>1139.46</v>
      </c>
      <c r="F180" s="2716">
        <f>((SUM(D180:D183)/C180)-1)*100</f>
        <v>45.578399999999995</v>
      </c>
      <c r="G180" s="2712">
        <f>C180</f>
        <v>2500</v>
      </c>
      <c r="H180" s="1608">
        <f>VLOOKUP(A180,'[1]r_balancete_sc 02-2022'!$1:$1048576,9,0)</f>
        <v>2430</v>
      </c>
      <c r="I180" s="2714">
        <f>SUM(H180:H181)-G180</f>
        <v>531.09999999999991</v>
      </c>
      <c r="J180" s="2716">
        <f>((SUM(H180:H183)/G180)-1)*100</f>
        <v>10.831199999999995</v>
      </c>
      <c r="K180" s="2712">
        <f>G180</f>
        <v>2500</v>
      </c>
      <c r="L180" s="1642">
        <f>VLOOKUP(A180,'[2]bALANCETE ORÇAMENTO'!$1:$1048576,7,0)</f>
        <v>1840.45</v>
      </c>
      <c r="M180" s="2714">
        <f t="shared" ref="M180" si="326">SUM(L180:L181)-K180</f>
        <v>-58.449999999999818</v>
      </c>
      <c r="N180" s="2716">
        <f>((SUM(L180:L183)/K180)-1)*100</f>
        <v>17.466000000000005</v>
      </c>
      <c r="O180" s="2712">
        <f>K180</f>
        <v>2500</v>
      </c>
      <c r="P180" s="1642"/>
      <c r="Q180" s="2714">
        <f t="shared" ref="Q180" si="327">SUM(P180:P181)-O180</f>
        <v>-2500</v>
      </c>
      <c r="R180" s="2716">
        <f>((SUM(P180:P183)/O180)-1)*100</f>
        <v>-100</v>
      </c>
      <c r="S180" s="2712">
        <v>2700</v>
      </c>
      <c r="T180" s="1642"/>
      <c r="U180" s="2714">
        <f t="shared" ref="U180" si="328">SUM(T180:T181)-S180</f>
        <v>-2700</v>
      </c>
      <c r="V180" s="2716">
        <f>((SUM(T180:T183)/S180)-1)*100</f>
        <v>-100</v>
      </c>
      <c r="W180" s="2712">
        <f>S180</f>
        <v>2700</v>
      </c>
      <c r="X180" s="1642"/>
      <c r="Y180" s="2714">
        <f t="shared" ref="Y180" si="329">SUM(X180:X181)-W180</f>
        <v>-2700</v>
      </c>
      <c r="Z180" s="2716">
        <f>((SUM(X180:X183)/W180)-1)*100</f>
        <v>-100</v>
      </c>
      <c r="AA180" s="2712">
        <f>W180</f>
        <v>2700</v>
      </c>
      <c r="AB180" s="1642"/>
      <c r="AC180" s="2714">
        <f t="shared" ref="AC180" si="330">SUM(AB180:AB181)-AA180</f>
        <v>-2700</v>
      </c>
      <c r="AD180" s="2716">
        <f>((SUM(AB180:AB183)/AA180)-1)*100</f>
        <v>-100</v>
      </c>
      <c r="AE180" s="2712">
        <f>AA180</f>
        <v>2700</v>
      </c>
      <c r="AF180" s="1642"/>
      <c r="AG180" s="2714">
        <f t="shared" ref="AG180" si="331">SUM(AF180:AF181)-AE180</f>
        <v>-2700</v>
      </c>
      <c r="AH180" s="2716">
        <f>((SUM(AF180:AF183)/AE180)-1)*100</f>
        <v>-100</v>
      </c>
      <c r="AI180" s="2712">
        <f>AE180</f>
        <v>2700</v>
      </c>
      <c r="AJ180" s="1642"/>
      <c r="AK180" s="2714">
        <f t="shared" ref="AK180" si="332">SUM(AJ180:AJ181)-AI180</f>
        <v>-2700</v>
      </c>
      <c r="AL180" s="2716">
        <f>((SUM(AJ180:AJ183)/AI180)-1)*100</f>
        <v>-100</v>
      </c>
      <c r="AM180" s="2712">
        <f>AI180</f>
        <v>2700</v>
      </c>
      <c r="AN180" s="1642"/>
      <c r="AO180" s="2714">
        <f t="shared" ref="AO180" si="333">SUM(AN180:AN181)-AM180</f>
        <v>-2700</v>
      </c>
      <c r="AP180" s="2716">
        <f>((SUM(AN180:AN183)/AM180)-1)*100</f>
        <v>-100</v>
      </c>
      <c r="AQ180" s="2712">
        <f>AM180</f>
        <v>2700</v>
      </c>
      <c r="AR180" s="1642"/>
      <c r="AS180" s="2714">
        <f t="shared" ref="AS180" si="334">SUM(AR180:AR181)-AQ180</f>
        <v>-2700</v>
      </c>
      <c r="AT180" s="2716">
        <f>((SUM(AR180:AR183)/AQ180)-1)*100</f>
        <v>-100</v>
      </c>
      <c r="AU180" s="2712">
        <f>AQ180</f>
        <v>2700</v>
      </c>
      <c r="AV180" s="1642"/>
      <c r="AW180" s="2714">
        <f t="shared" ref="AW180" si="335">SUM(AV180:AV181)-AU180</f>
        <v>-2700</v>
      </c>
      <c r="AX180" s="2716">
        <f>((SUM(AV180:AV183)/AU180)-1)*100</f>
        <v>-100</v>
      </c>
      <c r="AY180" s="2721">
        <f>C180+G180+K180+O180+S180+W180+AA180+AE180+AI180+AM180+AQ180+AU180</f>
        <v>31600</v>
      </c>
      <c r="AZ180" s="1561">
        <f>D180+H180+L180+P180+T180+X180+AB180+AF180+AJ180+AN180+AR180+AV180</f>
        <v>6796.45</v>
      </c>
      <c r="BB180" s="12"/>
    </row>
    <row r="181" spans="1:54" s="1421" customFormat="1" ht="18.75" customHeight="1" x14ac:dyDescent="0.25">
      <c r="A181" s="122">
        <v>11721</v>
      </c>
      <c r="B181" s="1309" t="s">
        <v>3861</v>
      </c>
      <c r="C181" s="2718"/>
      <c r="D181" s="2019">
        <v>1113.46</v>
      </c>
      <c r="E181" s="2719"/>
      <c r="F181" s="2720"/>
      <c r="G181" s="2718"/>
      <c r="H181" s="2599">
        <f>VLOOKUP(A181,'[1]r_balancete_sc 02-2022'!$1:$1048576,9,0)</f>
        <v>601.1</v>
      </c>
      <c r="I181" s="2719"/>
      <c r="J181" s="2720"/>
      <c r="K181" s="2718"/>
      <c r="L181" s="1638">
        <f>VLOOKUP(A181,'[2]bALANCETE ORÇAMENTO'!$1:$1048576,7,0)</f>
        <v>601.1</v>
      </c>
      <c r="M181" s="2719"/>
      <c r="N181" s="2720"/>
      <c r="O181" s="2718"/>
      <c r="P181" s="1638"/>
      <c r="Q181" s="2719"/>
      <c r="R181" s="2720"/>
      <c r="S181" s="2718"/>
      <c r="T181" s="1638"/>
      <c r="U181" s="2719"/>
      <c r="V181" s="2720"/>
      <c r="W181" s="2718"/>
      <c r="X181" s="1638"/>
      <c r="Y181" s="2719"/>
      <c r="Z181" s="2720"/>
      <c r="AA181" s="2718"/>
      <c r="AB181" s="1638"/>
      <c r="AC181" s="2719"/>
      <c r="AD181" s="2720"/>
      <c r="AE181" s="2718"/>
      <c r="AF181" s="1638"/>
      <c r="AG181" s="2719"/>
      <c r="AH181" s="2720"/>
      <c r="AI181" s="2718"/>
      <c r="AJ181" s="1638"/>
      <c r="AK181" s="2719"/>
      <c r="AL181" s="2720"/>
      <c r="AM181" s="2718"/>
      <c r="AN181" s="1638"/>
      <c r="AO181" s="2719"/>
      <c r="AP181" s="2720"/>
      <c r="AQ181" s="2718"/>
      <c r="AR181" s="1638"/>
      <c r="AS181" s="2719"/>
      <c r="AT181" s="2720"/>
      <c r="AU181" s="2718"/>
      <c r="AV181" s="1638"/>
      <c r="AW181" s="2719"/>
      <c r="AX181" s="2720"/>
      <c r="AY181" s="2722"/>
      <c r="AZ181" s="1616">
        <f>D181+H181+L181+P181+T181+X181+AB181+AF181+AJ181+AN181+AR181+AV181</f>
        <v>2315.66</v>
      </c>
      <c r="BB181" s="12"/>
    </row>
    <row r="182" spans="1:54" s="1421" customFormat="1" ht="18.75" customHeight="1" x14ac:dyDescent="0.25">
      <c r="A182" s="122">
        <v>12312</v>
      </c>
      <c r="B182" s="1309" t="s">
        <v>3862</v>
      </c>
      <c r="C182" s="2718"/>
      <c r="D182" s="2019"/>
      <c r="E182" s="2719">
        <f t="shared" ref="E182" si="336">SUM(D182:D183)-C182</f>
        <v>0</v>
      </c>
      <c r="F182" s="2720"/>
      <c r="G182" s="2718"/>
      <c r="H182" s="1664">
        <v>0</v>
      </c>
      <c r="I182" s="2719">
        <f>SUM(H182:H183)-G182</f>
        <v>-260.32</v>
      </c>
      <c r="J182" s="2720"/>
      <c r="K182" s="2718"/>
      <c r="L182" s="1638">
        <v>0</v>
      </c>
      <c r="M182" s="2719">
        <f t="shared" ref="M182" si="337">SUM(L182:L183)-K182</f>
        <v>495.1</v>
      </c>
      <c r="N182" s="2720"/>
      <c r="O182" s="2718"/>
      <c r="P182" s="1638"/>
      <c r="Q182" s="2719">
        <f t="shared" ref="Q182" si="338">SUM(P182:P183)-O182</f>
        <v>0</v>
      </c>
      <c r="R182" s="2720"/>
      <c r="S182" s="2718"/>
      <c r="T182" s="1638"/>
      <c r="U182" s="2719">
        <f t="shared" ref="U182" si="339">SUM(T182:T183)-S182</f>
        <v>0</v>
      </c>
      <c r="V182" s="2720"/>
      <c r="W182" s="2718"/>
      <c r="X182" s="1638"/>
      <c r="Y182" s="2719">
        <f t="shared" ref="Y182" si="340">SUM(X182:X183)-W182</f>
        <v>0</v>
      </c>
      <c r="Z182" s="2720"/>
      <c r="AA182" s="2718"/>
      <c r="AB182" s="1638"/>
      <c r="AC182" s="2719">
        <f t="shared" ref="AC182" si="341">SUM(AB182:AB183)-AA182</f>
        <v>0</v>
      </c>
      <c r="AD182" s="2720"/>
      <c r="AE182" s="2718"/>
      <c r="AF182" s="1638"/>
      <c r="AG182" s="2719">
        <f t="shared" ref="AG182" si="342">SUM(AF182:AF183)-AE182</f>
        <v>0</v>
      </c>
      <c r="AH182" s="2720"/>
      <c r="AI182" s="2718"/>
      <c r="AJ182" s="1638"/>
      <c r="AK182" s="2719">
        <f t="shared" ref="AK182" si="343">SUM(AJ182:AJ183)-AI182</f>
        <v>0</v>
      </c>
      <c r="AL182" s="2720"/>
      <c r="AM182" s="2718"/>
      <c r="AN182" s="1638"/>
      <c r="AO182" s="2719">
        <f t="shared" ref="AO182" si="344">SUM(AN182:AN183)-AM182</f>
        <v>0</v>
      </c>
      <c r="AP182" s="2720"/>
      <c r="AQ182" s="2718"/>
      <c r="AR182" s="1638"/>
      <c r="AS182" s="2719">
        <f t="shared" ref="AS182" si="345">SUM(AR182:AR183)-AQ182</f>
        <v>0</v>
      </c>
      <c r="AT182" s="2720"/>
      <c r="AU182" s="2718"/>
      <c r="AV182" s="1638"/>
      <c r="AW182" s="2719">
        <f t="shared" ref="AW182" si="346">SUM(AV182:AV183)-AU182</f>
        <v>0</v>
      </c>
      <c r="AX182" s="2720"/>
      <c r="AY182" s="2722"/>
      <c r="AZ182" s="1616">
        <f>D182+H182+L182+P182+T182+X182+AB182+AF182+AJ182+AN182+AR182+AV182</f>
        <v>0</v>
      </c>
      <c r="BB182" s="12"/>
    </row>
    <row r="183" spans="1:54" s="1421" customFormat="1" ht="18.75" customHeight="1" thickBot="1" x14ac:dyDescent="0.3">
      <c r="A183" s="379">
        <v>38302</v>
      </c>
      <c r="B183" s="1544" t="s">
        <v>3863</v>
      </c>
      <c r="C183" s="2713"/>
      <c r="D183" s="2022"/>
      <c r="E183" s="2715"/>
      <c r="F183" s="2717"/>
      <c r="G183" s="2713"/>
      <c r="H183" s="2070">
        <f>VLOOKUP(A183,'[1]r_balancete_sc 02-2022'!$1:$1048576,9,0)</f>
        <v>-260.32</v>
      </c>
      <c r="I183" s="2715"/>
      <c r="J183" s="2717"/>
      <c r="K183" s="2713"/>
      <c r="L183" s="2053">
        <f>VLOOKUP(A183,'[2]bALANCETE ORÇAMENTO'!$1:$1048576,7,0)</f>
        <v>495.1</v>
      </c>
      <c r="M183" s="2715"/>
      <c r="N183" s="2717"/>
      <c r="O183" s="2713"/>
      <c r="P183" s="2053"/>
      <c r="Q183" s="2715"/>
      <c r="R183" s="2717"/>
      <c r="S183" s="2713"/>
      <c r="T183" s="2053"/>
      <c r="U183" s="2715"/>
      <c r="V183" s="2717"/>
      <c r="W183" s="2713"/>
      <c r="X183" s="2053"/>
      <c r="Y183" s="2715"/>
      <c r="Z183" s="2717"/>
      <c r="AA183" s="2713"/>
      <c r="AB183" s="2053"/>
      <c r="AC183" s="2715"/>
      <c r="AD183" s="2717"/>
      <c r="AE183" s="2713"/>
      <c r="AF183" s="2053"/>
      <c r="AG183" s="2715"/>
      <c r="AH183" s="2717"/>
      <c r="AI183" s="2713"/>
      <c r="AJ183" s="2053"/>
      <c r="AK183" s="2715"/>
      <c r="AL183" s="2717"/>
      <c r="AM183" s="2713"/>
      <c r="AN183" s="2053"/>
      <c r="AO183" s="2715"/>
      <c r="AP183" s="2717"/>
      <c r="AQ183" s="2713"/>
      <c r="AR183" s="2053"/>
      <c r="AS183" s="2715"/>
      <c r="AT183" s="2717"/>
      <c r="AU183" s="2713"/>
      <c r="AV183" s="2053"/>
      <c r="AW183" s="2715"/>
      <c r="AX183" s="2717"/>
      <c r="AY183" s="2723"/>
      <c r="AZ183" s="1562">
        <f>D183+H183+L183+P183+T183+X183+AB183+AF183+AJ183+AN183+AR183+AV183</f>
        <v>234.78000000000003</v>
      </c>
      <c r="BB183" s="12"/>
    </row>
    <row r="184" spans="1:54" s="1421" customFormat="1" ht="18.75" customHeight="1" x14ac:dyDescent="0.25">
      <c r="A184" s="2529">
        <v>11540</v>
      </c>
      <c r="B184" s="378" t="s">
        <v>208</v>
      </c>
      <c r="C184" s="2423"/>
      <c r="D184" s="2021">
        <v>0</v>
      </c>
      <c r="E184" s="1642"/>
      <c r="F184" s="2523"/>
      <c r="G184" s="2423"/>
      <c r="H184" s="2436">
        <v>50</v>
      </c>
      <c r="I184" s="1642"/>
      <c r="J184" s="2527"/>
      <c r="K184" s="2486"/>
      <c r="L184" s="2528">
        <v>0</v>
      </c>
      <c r="M184" s="2427"/>
      <c r="N184" s="2523"/>
      <c r="O184" s="2423"/>
      <c r="P184" s="2427"/>
      <c r="Q184" s="2427"/>
      <c r="R184" s="2523"/>
      <c r="S184" s="2486"/>
      <c r="T184" s="1642"/>
      <c r="U184" s="1642"/>
      <c r="V184" s="2523"/>
      <c r="W184" s="2423"/>
      <c r="X184" s="2427"/>
      <c r="Y184" s="2427"/>
      <c r="Z184" s="2491"/>
      <c r="AA184" s="2486"/>
      <c r="AB184" s="2427"/>
      <c r="AC184" s="1642"/>
      <c r="AD184" s="2491"/>
      <c r="AE184" s="2423"/>
      <c r="AF184" s="2427"/>
      <c r="AG184" s="2427"/>
      <c r="AH184" s="2523"/>
      <c r="AI184" s="2486"/>
      <c r="AJ184" s="2427"/>
      <c r="AK184" s="2427"/>
      <c r="AL184" s="2523"/>
      <c r="AM184" s="2423"/>
      <c r="AN184" s="2427"/>
      <c r="AO184" s="2427"/>
      <c r="AP184" s="2523"/>
      <c r="AQ184" s="2486"/>
      <c r="AR184" s="2427"/>
      <c r="AS184" s="2427"/>
      <c r="AT184" s="2523"/>
      <c r="AU184" s="2486"/>
      <c r="AV184" s="1642"/>
      <c r="AW184" s="2427"/>
      <c r="AX184" s="2523"/>
      <c r="AY184" s="1240"/>
      <c r="AZ184" s="1612"/>
      <c r="BB184" s="12"/>
    </row>
    <row r="185" spans="1:54" s="1421" customFormat="1" ht="18.75" customHeight="1" thickBot="1" x14ac:dyDescent="0.3">
      <c r="A185" s="2530">
        <v>12267</v>
      </c>
      <c r="B185" s="2518" t="s">
        <v>3913</v>
      </c>
      <c r="C185" s="1644"/>
      <c r="D185" s="2022">
        <v>44893.78</v>
      </c>
      <c r="E185" s="2428"/>
      <c r="F185" s="2526"/>
      <c r="G185" s="1644"/>
      <c r="H185" s="1669">
        <v>41740.78</v>
      </c>
      <c r="I185" s="2428"/>
      <c r="J185" s="2524"/>
      <c r="K185" s="2424"/>
      <c r="L185" s="2076">
        <v>19458.72</v>
      </c>
      <c r="M185" s="2076"/>
      <c r="N185" s="2526"/>
      <c r="O185" s="1644"/>
      <c r="P185" s="2076"/>
      <c r="Q185" s="2076"/>
      <c r="R185" s="2483"/>
      <c r="S185" s="2424"/>
      <c r="T185" s="2428"/>
      <c r="U185" s="2428"/>
      <c r="V185" s="2526"/>
      <c r="W185" s="1644"/>
      <c r="X185" s="2076"/>
      <c r="Y185" s="2076"/>
      <c r="Z185" s="2524"/>
      <c r="AA185" s="2424"/>
      <c r="AB185" s="2076"/>
      <c r="AC185" s="2428"/>
      <c r="AD185" s="2524"/>
      <c r="AE185" s="1644"/>
      <c r="AF185" s="2076"/>
      <c r="AG185" s="2076"/>
      <c r="AH185" s="2526"/>
      <c r="AI185" s="2424"/>
      <c r="AJ185" s="2076"/>
      <c r="AK185" s="2076"/>
      <c r="AL185" s="2526"/>
      <c r="AM185" s="1644"/>
      <c r="AN185" s="2076"/>
      <c r="AO185" s="2076"/>
      <c r="AP185" s="2526"/>
      <c r="AQ185" s="2505"/>
      <c r="AR185" s="2076"/>
      <c r="AS185" s="2076"/>
      <c r="AT185" s="2483"/>
      <c r="AU185" s="2424"/>
      <c r="AV185" s="2428"/>
      <c r="AW185" s="2076"/>
      <c r="AX185" s="2483"/>
      <c r="AY185" s="2469"/>
      <c r="AZ185" s="1562"/>
      <c r="BB185" s="12"/>
    </row>
    <row r="186" spans="1:54" s="1421" customFormat="1" ht="18.75" customHeight="1" x14ac:dyDescent="0.25">
      <c r="A186" s="2593">
        <v>33003</v>
      </c>
      <c r="B186" s="378" t="s">
        <v>3876</v>
      </c>
      <c r="C186" s="2486"/>
      <c r="D186" s="2021">
        <v>108.32</v>
      </c>
      <c r="E186" s="1642"/>
      <c r="F186" s="2527"/>
      <c r="G186" s="2486"/>
      <c r="H186" s="1608">
        <v>105.35</v>
      </c>
      <c r="I186" s="1642"/>
      <c r="J186" s="2527"/>
      <c r="K186" s="2486"/>
      <c r="L186" s="1642">
        <v>646.52</v>
      </c>
      <c r="M186" s="1642"/>
      <c r="N186" s="2527"/>
      <c r="O186" s="2486"/>
      <c r="P186" s="1642"/>
      <c r="Q186" s="1642"/>
      <c r="R186" s="2527"/>
      <c r="S186" s="2486"/>
      <c r="T186" s="1642"/>
      <c r="U186" s="1642"/>
      <c r="V186" s="2527"/>
      <c r="W186" s="2486"/>
      <c r="X186" s="1642"/>
      <c r="Y186" s="1642"/>
      <c r="Z186" s="2527"/>
      <c r="AA186" s="2596"/>
      <c r="AB186" s="1642"/>
      <c r="AC186" s="1642"/>
      <c r="AD186" s="2527"/>
      <c r="AE186" s="2486"/>
      <c r="AF186" s="1642"/>
      <c r="AG186" s="2597"/>
      <c r="AH186" s="2491"/>
      <c r="AI186" s="2596"/>
      <c r="AJ186" s="1642"/>
      <c r="AK186" s="1642"/>
      <c r="AL186" s="2527"/>
      <c r="AM186" s="2486"/>
      <c r="AN186" s="1642"/>
      <c r="AO186" s="2597"/>
      <c r="AP186" s="2491"/>
      <c r="AQ186" s="2486"/>
      <c r="AR186" s="1642"/>
      <c r="AS186" s="1642"/>
      <c r="AT186" s="2527"/>
      <c r="AU186" s="2486"/>
      <c r="AV186" s="1642"/>
      <c r="AW186" s="1642"/>
      <c r="AX186" s="2527"/>
      <c r="AY186" s="2592"/>
      <c r="AZ186" s="1561"/>
      <c r="BB186" s="12"/>
    </row>
    <row r="187" spans="1:54" s="1421" customFormat="1" ht="18.75" customHeight="1" x14ac:dyDescent="0.25">
      <c r="A187" s="2594">
        <v>33005</v>
      </c>
      <c r="B187" s="2589" t="s">
        <v>3877</v>
      </c>
      <c r="C187" s="1643"/>
      <c r="D187" s="2488">
        <v>220.41</v>
      </c>
      <c r="E187" s="1948"/>
      <c r="F187" s="2598"/>
      <c r="G187" s="1643"/>
      <c r="H187" s="1611">
        <v>302.81</v>
      </c>
      <c r="I187" s="1948"/>
      <c r="J187" s="2598"/>
      <c r="K187" s="1643"/>
      <c r="L187" s="1948">
        <v>437.81</v>
      </c>
      <c r="M187" s="1948"/>
      <c r="N187" s="2598"/>
      <c r="O187" s="1643"/>
      <c r="P187" s="1948"/>
      <c r="Q187" s="1948"/>
      <c r="R187" s="2598"/>
      <c r="S187" s="1643"/>
      <c r="T187" s="1948"/>
      <c r="U187" s="1948"/>
      <c r="V187" s="2598"/>
      <c r="W187" s="1643"/>
      <c r="X187" s="1948"/>
      <c r="Y187" s="1948"/>
      <c r="Z187" s="2598"/>
      <c r="AA187" s="1643"/>
      <c r="AB187" s="1948"/>
      <c r="AC187" s="1948"/>
      <c r="AD187" s="2598"/>
      <c r="AE187" s="1643"/>
      <c r="AF187" s="1948"/>
      <c r="AG187" s="1948"/>
      <c r="AH187" s="2598"/>
      <c r="AI187" s="1643"/>
      <c r="AJ187" s="1948"/>
      <c r="AK187" s="1948"/>
      <c r="AL187" s="2598"/>
      <c r="AM187" s="1643"/>
      <c r="AN187" s="1948"/>
      <c r="AO187" s="1948"/>
      <c r="AP187" s="2598"/>
      <c r="AQ187" s="1643"/>
      <c r="AR187" s="1948"/>
      <c r="AS187" s="1948"/>
      <c r="AT187" s="2598"/>
      <c r="AU187" s="1643"/>
      <c r="AV187" s="1948"/>
      <c r="AW187" s="1948"/>
      <c r="AX187" s="2598"/>
      <c r="AY187" s="2062"/>
      <c r="AZ187" s="2591"/>
      <c r="BB187" s="12"/>
    </row>
    <row r="188" spans="1:54" s="1421" customFormat="1" ht="18.75" customHeight="1" x14ac:dyDescent="0.25">
      <c r="A188" s="2594">
        <v>12284</v>
      </c>
      <c r="B188" s="2589" t="s">
        <v>3918</v>
      </c>
      <c r="C188" s="1643"/>
      <c r="D188" s="2488">
        <v>7330</v>
      </c>
      <c r="E188" s="1948"/>
      <c r="F188" s="2598"/>
      <c r="G188" s="1643"/>
      <c r="H188" s="1611">
        <v>7554.08</v>
      </c>
      <c r="I188" s="1948"/>
      <c r="J188" s="2598"/>
      <c r="K188" s="1643"/>
      <c r="L188" s="1948">
        <v>8077.01</v>
      </c>
      <c r="M188" s="1948"/>
      <c r="N188" s="2598"/>
      <c r="O188" s="1643"/>
      <c r="P188" s="1948"/>
      <c r="Q188" s="1948"/>
      <c r="R188" s="2598"/>
      <c r="S188" s="1643"/>
      <c r="T188" s="1948"/>
      <c r="U188" s="1948"/>
      <c r="V188" s="2598"/>
      <c r="W188" s="1643"/>
      <c r="X188" s="1948"/>
      <c r="Y188" s="1948"/>
      <c r="Z188" s="2598"/>
      <c r="AA188" s="1643"/>
      <c r="AB188" s="1948"/>
      <c r="AC188" s="1948"/>
      <c r="AD188" s="2598"/>
      <c r="AE188" s="1643"/>
      <c r="AF188" s="1948"/>
      <c r="AG188" s="1948"/>
      <c r="AH188" s="2598"/>
      <c r="AI188" s="1643"/>
      <c r="AJ188" s="1948"/>
      <c r="AK188" s="1948"/>
      <c r="AL188" s="2598"/>
      <c r="AM188" s="1643"/>
      <c r="AN188" s="1948"/>
      <c r="AO188" s="1948"/>
      <c r="AP188" s="2598"/>
      <c r="AQ188" s="1643"/>
      <c r="AR188" s="1948"/>
      <c r="AS188" s="1948"/>
      <c r="AT188" s="2598"/>
      <c r="AU188" s="1643"/>
      <c r="AV188" s="1948"/>
      <c r="AW188" s="1948"/>
      <c r="AX188" s="2598"/>
      <c r="AY188" s="2062"/>
      <c r="AZ188" s="1616"/>
      <c r="BB188" s="12"/>
    </row>
    <row r="189" spans="1:54" s="1421" customFormat="1" ht="18.75" customHeight="1" thickBot="1" x14ac:dyDescent="0.3">
      <c r="A189" s="2595">
        <v>12280</v>
      </c>
      <c r="B189" s="2518" t="s">
        <v>3836</v>
      </c>
      <c r="C189" s="2453"/>
      <c r="D189" s="2022">
        <v>1200</v>
      </c>
      <c r="E189" s="2454"/>
      <c r="F189" s="2524"/>
      <c r="G189" s="2453"/>
      <c r="H189" s="2452">
        <v>1640</v>
      </c>
      <c r="I189" s="2454"/>
      <c r="J189" s="2524"/>
      <c r="K189" s="2453"/>
      <c r="L189" s="2454">
        <v>4440</v>
      </c>
      <c r="M189" s="2454"/>
      <c r="N189" s="2524"/>
      <c r="O189" s="1644"/>
      <c r="P189" s="2454"/>
      <c r="Q189" s="2454"/>
      <c r="R189" s="2524"/>
      <c r="S189" s="2453"/>
      <c r="T189" s="2454"/>
      <c r="U189" s="2505"/>
      <c r="V189" s="2483"/>
      <c r="W189" s="2453"/>
      <c r="X189" s="2454"/>
      <c r="Y189" s="2454"/>
      <c r="Z189" s="2524"/>
      <c r="AA189" s="2453"/>
      <c r="AB189" s="2454"/>
      <c r="AC189" s="2454"/>
      <c r="AD189" s="2524"/>
      <c r="AE189" s="2453"/>
      <c r="AF189" s="2454"/>
      <c r="AG189" s="2454"/>
      <c r="AH189" s="2524"/>
      <c r="AI189" s="2453"/>
      <c r="AJ189" s="2454"/>
      <c r="AK189" s="2454"/>
      <c r="AL189" s="2524"/>
      <c r="AM189" s="2453"/>
      <c r="AN189" s="2454"/>
      <c r="AO189" s="2454"/>
      <c r="AP189" s="2524"/>
      <c r="AQ189" s="2505"/>
      <c r="AR189" s="2076"/>
      <c r="AS189" s="2505"/>
      <c r="AT189" s="2483"/>
      <c r="AU189" s="2453"/>
      <c r="AV189" s="2454"/>
      <c r="AW189" s="2454"/>
      <c r="AX189" s="2524"/>
      <c r="AY189" s="2469"/>
      <c r="AZ189" s="2519"/>
      <c r="BB189" s="12"/>
    </row>
    <row r="190" spans="1:54" s="1421" customFormat="1" ht="18.75" customHeight="1" thickBot="1" x14ac:dyDescent="0.3">
      <c r="A190" s="2467"/>
      <c r="B190" s="154"/>
      <c r="C190" s="66"/>
      <c r="D190" s="2028"/>
      <c r="E190" s="2525"/>
      <c r="F190" s="66"/>
      <c r="G190" s="66"/>
      <c r="H190" s="1990"/>
      <c r="I190" s="2525"/>
      <c r="J190" s="66"/>
      <c r="K190" s="66"/>
      <c r="L190" s="66"/>
      <c r="M190" s="2525"/>
      <c r="N190" s="66"/>
      <c r="O190" s="66"/>
      <c r="P190" s="66"/>
      <c r="Q190" s="2525"/>
      <c r="R190" s="66"/>
      <c r="S190" s="66"/>
      <c r="T190" s="66"/>
      <c r="U190" s="2525"/>
      <c r="V190" s="66"/>
      <c r="W190" s="66"/>
      <c r="X190" s="66"/>
      <c r="Y190" s="2525"/>
      <c r="Z190" s="66"/>
      <c r="AA190" s="66"/>
      <c r="AB190" s="66"/>
      <c r="AC190" s="2525"/>
      <c r="AD190" s="66"/>
      <c r="AE190" s="66"/>
      <c r="AF190" s="66"/>
      <c r="AG190" s="2525"/>
      <c r="AH190" s="66"/>
      <c r="AI190" s="66"/>
      <c r="AJ190" s="66"/>
      <c r="AK190" s="2525"/>
      <c r="AL190" s="66"/>
      <c r="AM190" s="66"/>
      <c r="AN190" s="66"/>
      <c r="AO190" s="2525"/>
      <c r="AP190" s="66"/>
      <c r="AQ190" s="66"/>
      <c r="AR190" s="66"/>
      <c r="AS190" s="2525"/>
      <c r="AT190" s="66"/>
      <c r="AU190" s="66"/>
      <c r="AV190" s="66"/>
      <c r="AW190" s="2525"/>
      <c r="AX190" s="66"/>
      <c r="AY190" s="66"/>
      <c r="AZ190" s="66"/>
      <c r="BA190" s="1172"/>
      <c r="BB190" s="1172"/>
    </row>
    <row r="191" spans="1:54" s="11" customFormat="1" ht="18.75" customHeight="1" thickBot="1" x14ac:dyDescent="0.3">
      <c r="A191" s="165"/>
      <c r="B191" s="559" t="s">
        <v>3919</v>
      </c>
      <c r="C191" s="1391">
        <f>SUM(C192:C211)</f>
        <v>729725</v>
      </c>
      <c r="D191" s="1973">
        <f>SUM(D192:D212)</f>
        <v>689683.05999999994</v>
      </c>
      <c r="E191" s="396">
        <f>D191-C191</f>
        <v>-40041.940000000061</v>
      </c>
      <c r="F191" s="1403">
        <f>((D191/C191)-1)*100</f>
        <v>-5.4872643804172894</v>
      </c>
      <c r="G191" s="1391">
        <f>SUM(G192:G211)</f>
        <v>729725</v>
      </c>
      <c r="H191" s="1973">
        <f>SUM(H192:H212)</f>
        <v>743465.55999999994</v>
      </c>
      <c r="I191" s="396">
        <f>H191-G191</f>
        <v>13740.559999999939</v>
      </c>
      <c r="J191" s="1403">
        <f>((H191/G191)-1)*100</f>
        <v>1.8829778341155734</v>
      </c>
      <c r="K191" s="1391">
        <f>SUM(K192:K211)</f>
        <v>729725</v>
      </c>
      <c r="L191" s="1994">
        <f>SUM(L192:L212)</f>
        <v>783827.09</v>
      </c>
      <c r="M191" s="396">
        <f>L191-K191</f>
        <v>54102.089999999967</v>
      </c>
      <c r="N191" s="1403">
        <f>((L191/K191)-1)*100</f>
        <v>7.4140381650621867</v>
      </c>
      <c r="O191" s="1074">
        <f>SUM(O192:O211)</f>
        <v>729725</v>
      </c>
      <c r="P191" s="1994">
        <f>SUM(P192:P211)</f>
        <v>0</v>
      </c>
      <c r="Q191" s="396">
        <f>P191-O191</f>
        <v>-729725</v>
      </c>
      <c r="R191" s="1403">
        <f>((P191/O191)-1)*100</f>
        <v>-100</v>
      </c>
      <c r="S191" s="1391">
        <f>SUM(S192:S211)</f>
        <v>698725</v>
      </c>
      <c r="T191" s="1973">
        <f>SUM(T192:T211)</f>
        <v>0</v>
      </c>
      <c r="U191" s="396">
        <f>T191-S191</f>
        <v>-698725</v>
      </c>
      <c r="V191" s="1403">
        <f>((T191/S191)-1)*100</f>
        <v>-100</v>
      </c>
      <c r="W191" s="1391">
        <f>SUM(W192:W211)</f>
        <v>698725</v>
      </c>
      <c r="X191" s="1973">
        <f>SUM(X192:X211)</f>
        <v>0</v>
      </c>
      <c r="Y191" s="396">
        <f>X191-W191</f>
        <v>-698725</v>
      </c>
      <c r="Z191" s="1403">
        <f>((X191/W191)-1)*100</f>
        <v>-100</v>
      </c>
      <c r="AA191" s="1391">
        <f>SUM(AA192:AA211)</f>
        <v>698725</v>
      </c>
      <c r="AB191" s="1973">
        <f>SUM(AB192:AB211)</f>
        <v>0</v>
      </c>
      <c r="AC191" s="396">
        <f>AB191-AA191</f>
        <v>-698725</v>
      </c>
      <c r="AD191" s="1403">
        <f>((AB191/AA191)-1)*100</f>
        <v>-100</v>
      </c>
      <c r="AE191" s="1391">
        <f>SUM(AE192:AE211)</f>
        <v>698725</v>
      </c>
      <c r="AF191" s="1973">
        <f>SUM(AF192:AF211)</f>
        <v>0</v>
      </c>
      <c r="AG191" s="396">
        <f>AF191-AE191</f>
        <v>-698725</v>
      </c>
      <c r="AH191" s="1403">
        <f>((AF191/AE191)-1)*100</f>
        <v>-100</v>
      </c>
      <c r="AI191" s="1391">
        <f>SUM(AI192:AI211)</f>
        <v>729725</v>
      </c>
      <c r="AJ191" s="1973">
        <f>SUM(AJ192:AJ211)</f>
        <v>0</v>
      </c>
      <c r="AK191" s="396">
        <f>AJ191-AI191</f>
        <v>-729725</v>
      </c>
      <c r="AL191" s="1403">
        <f>((AJ191/AI191)-1)*100</f>
        <v>-100</v>
      </c>
      <c r="AM191" s="1391">
        <f>SUM(AM192:AM211)</f>
        <v>729725</v>
      </c>
      <c r="AN191" s="1973">
        <f>SUM(AN192:AN211)</f>
        <v>0</v>
      </c>
      <c r="AO191" s="396">
        <f>AN191-AM191</f>
        <v>-729725</v>
      </c>
      <c r="AP191" s="1403">
        <f>((AN191/AM191)-1)*100</f>
        <v>-100</v>
      </c>
      <c r="AQ191" s="1391">
        <f>SUM(AQ192:AQ211)</f>
        <v>729725</v>
      </c>
      <c r="AR191" s="1973">
        <f>SUM(AR192:AR211)</f>
        <v>0</v>
      </c>
      <c r="AS191" s="396">
        <f>AR191-AQ191</f>
        <v>-729725</v>
      </c>
      <c r="AT191" s="1403">
        <f>((AR191/AQ191)-1)*100</f>
        <v>-100</v>
      </c>
      <c r="AU191" s="1391">
        <f>SUM(AU192:AU211)</f>
        <v>729725</v>
      </c>
      <c r="AV191" s="1973">
        <f>SUM(AV192:AV211)</f>
        <v>0</v>
      </c>
      <c r="AW191" s="396">
        <f>AV191-AU191</f>
        <v>-729725</v>
      </c>
      <c r="AX191" s="1403">
        <f>((AV191/AU191)-1)*100</f>
        <v>-100</v>
      </c>
      <c r="AY191" s="1074">
        <f t="shared" ref="AY191:AZ193" si="347">C191+G191+K191+O191+S191+W191+AA191+AE191+AI191+AM191+AQ191+AU191</f>
        <v>8632700</v>
      </c>
      <c r="AZ191" s="1975">
        <f t="shared" si="347"/>
        <v>2216975.71</v>
      </c>
      <c r="BA191" s="195"/>
      <c r="BB191" s="1176"/>
    </row>
    <row r="192" spans="1:54" s="1421" customFormat="1" ht="18.75" customHeight="1" thickBot="1" x14ac:dyDescent="0.3">
      <c r="A192" s="1541">
        <v>12330</v>
      </c>
      <c r="B192" s="381" t="s">
        <v>81</v>
      </c>
      <c r="C192" s="1661">
        <v>115000</v>
      </c>
      <c r="D192" s="2029">
        <v>65700.479999999996</v>
      </c>
      <c r="E192" s="2049">
        <f>D192-C192</f>
        <v>-49299.520000000004</v>
      </c>
      <c r="F192" s="1662">
        <f>((D192/C192)-1)*100</f>
        <v>-42.869147826086959</v>
      </c>
      <c r="G192" s="1661">
        <f>C192</f>
        <v>115000</v>
      </c>
      <c r="H192" s="1570">
        <f>VLOOKUP(A192,'[1]r_balancete_sc 02-2022'!$1:$1048576,9,0)</f>
        <v>86939.7</v>
      </c>
      <c r="I192" s="2151">
        <f>H192-G192</f>
        <v>-28060.300000000003</v>
      </c>
      <c r="J192" s="1662">
        <f>((H192/G192)-1)*100</f>
        <v>-24.400260869565216</v>
      </c>
      <c r="K192" s="1661">
        <f>G192</f>
        <v>115000</v>
      </c>
      <c r="L192" s="2049">
        <f>VLOOKUP(A192,'[2]bALANCETE ORÇAMENTO'!$1:$1048576,7,0)</f>
        <v>66581.789999999994</v>
      </c>
      <c r="M192" s="2151">
        <f>L192-K192</f>
        <v>-48418.210000000006</v>
      </c>
      <c r="N192" s="1662">
        <f>((L192/K192)-1)*100</f>
        <v>-42.102791304347832</v>
      </c>
      <c r="O192" s="1661">
        <f>K192</f>
        <v>115000</v>
      </c>
      <c r="P192" s="2049"/>
      <c r="Q192" s="2151">
        <f>P192-O192</f>
        <v>-115000</v>
      </c>
      <c r="R192" s="1662">
        <f>((P192/O192)-1)*100</f>
        <v>-100</v>
      </c>
      <c r="S192" s="1661">
        <f>O192</f>
        <v>115000</v>
      </c>
      <c r="T192" s="2049"/>
      <c r="U192" s="2151">
        <f>T192-S192</f>
        <v>-115000</v>
      </c>
      <c r="V192" s="1662">
        <f>((T192/S192)-1)*100</f>
        <v>-100</v>
      </c>
      <c r="W192" s="1661">
        <f t="shared" ref="W192:W211" si="348">S192</f>
        <v>115000</v>
      </c>
      <c r="X192" s="2049"/>
      <c r="Y192" s="2151">
        <f>X192-W192</f>
        <v>-115000</v>
      </c>
      <c r="Z192" s="1662">
        <f>((X192/W192)-1)*100</f>
        <v>-100</v>
      </c>
      <c r="AA192" s="1661">
        <f t="shared" ref="AA192:AA211" si="349">W192</f>
        <v>115000</v>
      </c>
      <c r="AB192" s="2049"/>
      <c r="AC192" s="2151">
        <f>AB192-AA192</f>
        <v>-115000</v>
      </c>
      <c r="AD192" s="1662">
        <f>((AB192/AA192)-1)*100</f>
        <v>-100</v>
      </c>
      <c r="AE192" s="1661">
        <f t="shared" ref="AE192:AE211" si="350">AA192</f>
        <v>115000</v>
      </c>
      <c r="AF192" s="2049"/>
      <c r="AG192" s="2151">
        <f>AF192-AE192</f>
        <v>-115000</v>
      </c>
      <c r="AH192" s="1662">
        <f>((AF192/AE192)-1)*100</f>
        <v>-100</v>
      </c>
      <c r="AI192" s="1661">
        <f>AE192</f>
        <v>115000</v>
      </c>
      <c r="AJ192" s="2049"/>
      <c r="AK192" s="2151">
        <f>AJ192-AI192</f>
        <v>-115000</v>
      </c>
      <c r="AL192" s="1662">
        <f>((AJ192/AI192)-1)*100</f>
        <v>-100</v>
      </c>
      <c r="AM192" s="1661">
        <f t="shared" ref="AM192:AM211" si="351">AI192</f>
        <v>115000</v>
      </c>
      <c r="AN192" s="2049"/>
      <c r="AO192" s="2151">
        <f>AN192-AM192</f>
        <v>-115000</v>
      </c>
      <c r="AP192" s="1662">
        <f>((AN192/AM192)-1)*100</f>
        <v>-100</v>
      </c>
      <c r="AQ192" s="1661">
        <f t="shared" ref="AQ192:AQ211" si="352">AM192</f>
        <v>115000</v>
      </c>
      <c r="AR192" s="2049"/>
      <c r="AS192" s="2151">
        <f>AR192-AQ192</f>
        <v>-115000</v>
      </c>
      <c r="AT192" s="1662">
        <f>((AR192/AQ192)-1)*100</f>
        <v>-100</v>
      </c>
      <c r="AU192" s="1661">
        <f t="shared" ref="AU192:AU211" si="353">AQ192</f>
        <v>115000</v>
      </c>
      <c r="AV192" s="2049"/>
      <c r="AW192" s="2151">
        <f>AV192-AU192</f>
        <v>-115000</v>
      </c>
      <c r="AX192" s="1662">
        <f>((AV192/AU192)-1)*100</f>
        <v>-100</v>
      </c>
      <c r="AY192" s="1234">
        <f t="shared" si="347"/>
        <v>1380000</v>
      </c>
      <c r="AZ192" s="1613">
        <f t="shared" si="347"/>
        <v>219221.96999999997</v>
      </c>
      <c r="BA192" s="334"/>
      <c r="BB192" s="12"/>
    </row>
    <row r="193" spans="1:54" s="1421" customFormat="1" ht="18.75" customHeight="1" x14ac:dyDescent="0.25">
      <c r="A193" s="167">
        <v>11576</v>
      </c>
      <c r="B193" s="331" t="s">
        <v>213</v>
      </c>
      <c r="C193" s="2752">
        <v>60000</v>
      </c>
      <c r="D193" s="2013">
        <v>29137.200000000001</v>
      </c>
      <c r="E193" s="2792">
        <f>SUM(D193:D194)-C193</f>
        <v>-7849.1399999999994</v>
      </c>
      <c r="F193" s="2783">
        <f>((SUM(D193:D194)/C193)-1)*100</f>
        <v>-13.081900000000001</v>
      </c>
      <c r="G193" s="2752">
        <f>C193</f>
        <v>60000</v>
      </c>
      <c r="H193" s="1608">
        <f>VLOOKUP(A193,'[1]r_balancete_sc 02-2022'!$1:$1048576,9,0)</f>
        <v>41923.19</v>
      </c>
      <c r="I193" s="2792">
        <f>SUM(H193:H194)-G193</f>
        <v>7497.5599999999977</v>
      </c>
      <c r="J193" s="2783">
        <f>((SUM(H193:H194)/G193)-1)*100</f>
        <v>12.495933333333319</v>
      </c>
      <c r="K193" s="2752">
        <f>G193</f>
        <v>60000</v>
      </c>
      <c r="L193" s="1574">
        <f>VLOOKUP(A193,'[2]bALANCETE ORÇAMENTO'!$1:$1048576,7,0)</f>
        <v>107.06</v>
      </c>
      <c r="M193" s="2792">
        <f>SUM(L193:L194)-K193</f>
        <v>-34546.149999999994</v>
      </c>
      <c r="N193" s="2783">
        <f>((SUM(L193:L194)/K193)-1)*100</f>
        <v>-57.576916666666669</v>
      </c>
      <c r="O193" s="2752">
        <f>K193</f>
        <v>60000</v>
      </c>
      <c r="P193" s="1574"/>
      <c r="Q193" s="2792">
        <f>SUM(P193:P194)-O193</f>
        <v>-60000</v>
      </c>
      <c r="R193" s="2783">
        <f>((SUM(P193:P194)/O193)-1)*100</f>
        <v>-100</v>
      </c>
      <c r="S193" s="2752">
        <f>O193</f>
        <v>60000</v>
      </c>
      <c r="T193" s="1574"/>
      <c r="U193" s="2792">
        <f>SUM(T193:T194)-S193</f>
        <v>-60000</v>
      </c>
      <c r="V193" s="2783">
        <f>((SUM(T193:T194)/S193)-1)*100</f>
        <v>-100</v>
      </c>
      <c r="W193" s="2752">
        <f t="shared" si="348"/>
        <v>60000</v>
      </c>
      <c r="X193" s="1574"/>
      <c r="Y193" s="2792">
        <f>SUM(X193:X194)-W193</f>
        <v>-60000</v>
      </c>
      <c r="Z193" s="2783">
        <f>((SUM(X193:X194)/W193)-1)*100</f>
        <v>-100</v>
      </c>
      <c r="AA193" s="2752">
        <f t="shared" si="349"/>
        <v>60000</v>
      </c>
      <c r="AB193" s="1574"/>
      <c r="AC193" s="2792">
        <f>SUM(AB193:AB194)-AA193</f>
        <v>-60000</v>
      </c>
      <c r="AD193" s="2783">
        <f>((SUM(AB193:AB194)/AA193)-1)*100</f>
        <v>-100</v>
      </c>
      <c r="AE193" s="2752">
        <f t="shared" si="350"/>
        <v>60000</v>
      </c>
      <c r="AF193" s="1574"/>
      <c r="AG193" s="2792">
        <f>SUM(AF193:AF194)-AE193</f>
        <v>-60000</v>
      </c>
      <c r="AH193" s="2783">
        <f>((SUM(AF193:AF194)/AE193)-1)*100</f>
        <v>-100</v>
      </c>
      <c r="AI193" s="2752">
        <f>AE193</f>
        <v>60000</v>
      </c>
      <c r="AJ193" s="1574"/>
      <c r="AK193" s="2792">
        <f>SUM(AJ193:AJ194)-AI193</f>
        <v>-60000</v>
      </c>
      <c r="AL193" s="2783">
        <f>((SUM(AJ193:AJ194)/AI193)-1)*100</f>
        <v>-100</v>
      </c>
      <c r="AM193" s="2752">
        <f t="shared" si="351"/>
        <v>60000</v>
      </c>
      <c r="AN193" s="1574"/>
      <c r="AO193" s="2792">
        <f>SUM(AN193:AN194)-AM193</f>
        <v>-60000</v>
      </c>
      <c r="AP193" s="2783">
        <f>((SUM(AN193:AN194)/AM193)-1)*100</f>
        <v>-100</v>
      </c>
      <c r="AQ193" s="2752">
        <f t="shared" si="352"/>
        <v>60000</v>
      </c>
      <c r="AR193" s="1574"/>
      <c r="AS193" s="2792">
        <f>SUM(AR193:AR194)-AQ193</f>
        <v>-60000</v>
      </c>
      <c r="AT193" s="2783">
        <f>((SUM(AR193:AR194)/AQ193)-1)*100</f>
        <v>-100</v>
      </c>
      <c r="AU193" s="2752">
        <f t="shared" si="353"/>
        <v>60000</v>
      </c>
      <c r="AV193" s="1574"/>
      <c r="AW193" s="2792">
        <f>SUM(AV193:AV194)-AU193</f>
        <v>-60000</v>
      </c>
      <c r="AX193" s="2783">
        <f>((SUM(AV193:AV194)/AU193)-1)*100</f>
        <v>-100</v>
      </c>
      <c r="AY193" s="2721">
        <f t="shared" si="347"/>
        <v>720000</v>
      </c>
      <c r="AZ193" s="1561">
        <f t="shared" si="347"/>
        <v>71167.45</v>
      </c>
      <c r="BB193" s="12"/>
    </row>
    <row r="194" spans="1:54" s="1421" customFormat="1" ht="18.75" customHeight="1" thickBot="1" x14ac:dyDescent="0.3">
      <c r="A194" s="178">
        <v>33003</v>
      </c>
      <c r="B194" s="385" t="s">
        <v>3876</v>
      </c>
      <c r="C194" s="2754"/>
      <c r="D194" s="2027">
        <v>23013.66</v>
      </c>
      <c r="E194" s="2793"/>
      <c r="F194" s="2784"/>
      <c r="G194" s="2754"/>
      <c r="H194" s="2070">
        <v>25574.37</v>
      </c>
      <c r="I194" s="2793"/>
      <c r="J194" s="2784"/>
      <c r="K194" s="2754"/>
      <c r="L194" s="2050">
        <v>25346.79</v>
      </c>
      <c r="M194" s="2793"/>
      <c r="N194" s="2784"/>
      <c r="O194" s="2754"/>
      <c r="P194" s="2050"/>
      <c r="Q194" s="2793"/>
      <c r="R194" s="2784"/>
      <c r="S194" s="2754"/>
      <c r="T194" s="2050"/>
      <c r="U194" s="2793"/>
      <c r="V194" s="2784"/>
      <c r="W194" s="2754"/>
      <c r="X194" s="2050"/>
      <c r="Y194" s="2793"/>
      <c r="Z194" s="2784"/>
      <c r="AA194" s="2754"/>
      <c r="AB194" s="2050"/>
      <c r="AC194" s="2793"/>
      <c r="AD194" s="2784"/>
      <c r="AE194" s="2754"/>
      <c r="AF194" s="2050"/>
      <c r="AG194" s="2793"/>
      <c r="AH194" s="2784"/>
      <c r="AI194" s="2754"/>
      <c r="AJ194" s="2050"/>
      <c r="AK194" s="2793"/>
      <c r="AL194" s="2784"/>
      <c r="AM194" s="2754"/>
      <c r="AN194" s="2050"/>
      <c r="AO194" s="2793"/>
      <c r="AP194" s="2784"/>
      <c r="AQ194" s="2754"/>
      <c r="AR194" s="2050"/>
      <c r="AS194" s="2793"/>
      <c r="AT194" s="2784"/>
      <c r="AU194" s="2754"/>
      <c r="AV194" s="2050"/>
      <c r="AW194" s="2793"/>
      <c r="AX194" s="2784"/>
      <c r="AY194" s="2723"/>
      <c r="AZ194" s="1562"/>
      <c r="BB194" s="12"/>
    </row>
    <row r="195" spans="1:54" s="1421" customFormat="1" ht="18.75" customHeight="1" x14ac:dyDescent="0.25">
      <c r="A195" s="167">
        <v>33005</v>
      </c>
      <c r="B195" s="331" t="s">
        <v>3877</v>
      </c>
      <c r="C195" s="2752">
        <v>196000</v>
      </c>
      <c r="D195" s="2013">
        <v>6589.92</v>
      </c>
      <c r="E195" s="2792">
        <f>SUM(D195:D196)-C195</f>
        <v>62741.420000000013</v>
      </c>
      <c r="F195" s="2783">
        <f>((SUM(D195:D196)/C195)-1)*100</f>
        <v>32.010928571428579</v>
      </c>
      <c r="G195" s="2752">
        <f>C195</f>
        <v>196000</v>
      </c>
      <c r="H195" s="2069">
        <v>8226.3799999999992</v>
      </c>
      <c r="I195" s="2792">
        <f>SUM(H195:H196)-G195</f>
        <v>49844.160000000003</v>
      </c>
      <c r="J195" s="2783">
        <f>((SUM(H195:H196)/G195)-1)*100</f>
        <v>25.430693877551015</v>
      </c>
      <c r="K195" s="2752">
        <f>G195</f>
        <v>196000</v>
      </c>
      <c r="L195" s="1574">
        <v>10028.629999999999</v>
      </c>
      <c r="M195" s="2792">
        <f>SUM(L195:L196)-K195</f>
        <v>93840.580000000016</v>
      </c>
      <c r="N195" s="2783">
        <f>((SUM(L195:L196)/K195)-1)*100</f>
        <v>47.877846938775527</v>
      </c>
      <c r="O195" s="2752">
        <f>K195</f>
        <v>196000</v>
      </c>
      <c r="P195" s="1574"/>
      <c r="Q195" s="2792">
        <f>SUM(P195:P196)-O195</f>
        <v>-196000</v>
      </c>
      <c r="R195" s="2783">
        <f>((SUM(P195:P196)/O195)-1)*100</f>
        <v>-100</v>
      </c>
      <c r="S195" s="2752">
        <v>165000</v>
      </c>
      <c r="T195" s="1574"/>
      <c r="U195" s="2792">
        <f>SUM(T195:T196)-S195</f>
        <v>-165000</v>
      </c>
      <c r="V195" s="2783">
        <f>((SUM(T195:T196)/S195)-1)*100</f>
        <v>-100</v>
      </c>
      <c r="W195" s="2752">
        <f t="shared" si="348"/>
        <v>165000</v>
      </c>
      <c r="X195" s="1574"/>
      <c r="Y195" s="2792">
        <f>SUM(X195:X196)-W195</f>
        <v>-165000</v>
      </c>
      <c r="Z195" s="2783">
        <f>((SUM(X195:X196)/W195)-1)*100</f>
        <v>-100</v>
      </c>
      <c r="AA195" s="2752">
        <f t="shared" si="349"/>
        <v>165000</v>
      </c>
      <c r="AB195" s="1574"/>
      <c r="AC195" s="2792">
        <f>SUM(AB195:AB196)-AA195</f>
        <v>-165000</v>
      </c>
      <c r="AD195" s="2783">
        <f>((SUM(AB195:AB196)/AA195)-1)*100</f>
        <v>-100</v>
      </c>
      <c r="AE195" s="2752">
        <f t="shared" si="350"/>
        <v>165000</v>
      </c>
      <c r="AF195" s="1574"/>
      <c r="AG195" s="2792">
        <f>SUM(AF195:AF196)-AE195</f>
        <v>-165000</v>
      </c>
      <c r="AH195" s="2783">
        <f>((SUM(AF195:AF196)/AE195)-1)*100</f>
        <v>-100</v>
      </c>
      <c r="AI195" s="2752">
        <v>196000</v>
      </c>
      <c r="AJ195" s="1574"/>
      <c r="AK195" s="2792">
        <f>SUM(AJ195:AJ196)-AI195</f>
        <v>-196000</v>
      </c>
      <c r="AL195" s="2783">
        <f>((SUM(AJ195:AJ196)/AI195)-1)*100</f>
        <v>-100</v>
      </c>
      <c r="AM195" s="2752">
        <f t="shared" si="351"/>
        <v>196000</v>
      </c>
      <c r="AN195" s="1574"/>
      <c r="AO195" s="2792">
        <f>SUM(AN195:AN196)-AM195</f>
        <v>-196000</v>
      </c>
      <c r="AP195" s="2783">
        <f>((SUM(AN195:AN196)/AM195)-1)*100</f>
        <v>-100</v>
      </c>
      <c r="AQ195" s="2752">
        <f t="shared" si="352"/>
        <v>196000</v>
      </c>
      <c r="AR195" s="1574"/>
      <c r="AS195" s="2792">
        <f>SUM(AR195:AR196)-AQ195</f>
        <v>-196000</v>
      </c>
      <c r="AT195" s="2783">
        <f>((SUM(AR195:AR196)/AQ195)-1)*100</f>
        <v>-100</v>
      </c>
      <c r="AU195" s="2752">
        <f t="shared" si="353"/>
        <v>196000</v>
      </c>
      <c r="AV195" s="1574"/>
      <c r="AW195" s="2792">
        <f>SUM(AV195:AV196)-AU195</f>
        <v>-196000</v>
      </c>
      <c r="AX195" s="2783">
        <f>((SUM(AV195:AV196)/AU195)-1)*100</f>
        <v>-100</v>
      </c>
      <c r="AY195" s="2721">
        <f>C195+G195+K195+O195+S195+W195+AA195+AE195+AI195+AM195+AQ195+AU195</f>
        <v>2228000</v>
      </c>
      <c r="AZ195" s="1561">
        <f>D195+H195+L195+P195+T195+X195+AB195+AF195+AJ195+AN195+AR195+AV195</f>
        <v>24844.93</v>
      </c>
      <c r="BB195" s="12"/>
    </row>
    <row r="196" spans="1:54" s="1421" customFormat="1" ht="18.75" customHeight="1" thickBot="1" x14ac:dyDescent="0.3">
      <c r="A196" s="178">
        <v>32935</v>
      </c>
      <c r="B196" s="385" t="s">
        <v>3878</v>
      </c>
      <c r="C196" s="2754"/>
      <c r="D196" s="2027">
        <v>252151.5</v>
      </c>
      <c r="E196" s="2793"/>
      <c r="F196" s="2784"/>
      <c r="G196" s="2754"/>
      <c r="H196" s="1669">
        <f>VLOOKUP(A196,'[1]r_balancete_sc 02-2022'!$1:$1048576,9,0)</f>
        <v>237617.78</v>
      </c>
      <c r="I196" s="2793"/>
      <c r="J196" s="2784"/>
      <c r="K196" s="2754"/>
      <c r="L196" s="2050">
        <f>VLOOKUP(A196,'[2]bALANCETE ORÇAMENTO'!$1:$1048576,7,0)</f>
        <v>279811.95</v>
      </c>
      <c r="M196" s="2793"/>
      <c r="N196" s="2784"/>
      <c r="O196" s="2754"/>
      <c r="P196" s="2050"/>
      <c r="Q196" s="2793"/>
      <c r="R196" s="2784"/>
      <c r="S196" s="2754"/>
      <c r="T196" s="2050"/>
      <c r="U196" s="2793"/>
      <c r="V196" s="2784"/>
      <c r="W196" s="2754"/>
      <c r="X196" s="2050"/>
      <c r="Y196" s="2793"/>
      <c r="Z196" s="2784"/>
      <c r="AA196" s="2754"/>
      <c r="AB196" s="2050"/>
      <c r="AC196" s="2793"/>
      <c r="AD196" s="2784"/>
      <c r="AE196" s="2754"/>
      <c r="AF196" s="2050"/>
      <c r="AG196" s="2793"/>
      <c r="AH196" s="2784"/>
      <c r="AI196" s="2754"/>
      <c r="AJ196" s="2050"/>
      <c r="AK196" s="2793"/>
      <c r="AL196" s="2784"/>
      <c r="AM196" s="2754"/>
      <c r="AN196" s="2050"/>
      <c r="AO196" s="2793"/>
      <c r="AP196" s="2784"/>
      <c r="AQ196" s="2754"/>
      <c r="AR196" s="2050"/>
      <c r="AS196" s="2793"/>
      <c r="AT196" s="2784"/>
      <c r="AU196" s="2754"/>
      <c r="AV196" s="2050"/>
      <c r="AW196" s="2793"/>
      <c r="AX196" s="2784"/>
      <c r="AY196" s="2723"/>
      <c r="AZ196" s="1562"/>
      <c r="BB196" s="12"/>
    </row>
    <row r="197" spans="1:54" s="1421" customFormat="1" ht="18.75" customHeight="1" x14ac:dyDescent="0.25">
      <c r="A197" s="170">
        <v>32937</v>
      </c>
      <c r="B197" s="332" t="s">
        <v>95</v>
      </c>
      <c r="C197" s="1663">
        <v>27000</v>
      </c>
      <c r="D197" s="2030">
        <v>32239.34</v>
      </c>
      <c r="E197" s="1664">
        <f>D197-C197</f>
        <v>5239.34</v>
      </c>
      <c r="F197" s="1665">
        <f t="shared" ref="F197:F211" si="354">((D197/C197)-1)*100</f>
        <v>19.404962962962969</v>
      </c>
      <c r="G197" s="1663">
        <f t="shared" ref="G197:G211" si="355">C197</f>
        <v>27000</v>
      </c>
      <c r="H197" s="2069">
        <f>VLOOKUP(A197,'[1]r_balancete_sc 02-2022'!$1:$1048576,9,0)</f>
        <v>31951.63</v>
      </c>
      <c r="I197" s="1664">
        <f>H197-G197</f>
        <v>4951.630000000001</v>
      </c>
      <c r="J197" s="1665">
        <f t="shared" ref="J197:J209" si="356">((H197/G197)-1)*100</f>
        <v>18.339370370370368</v>
      </c>
      <c r="K197" s="1663">
        <f t="shared" ref="K197:K209" si="357">G197</f>
        <v>27000</v>
      </c>
      <c r="L197" s="1664">
        <f>VLOOKUP(A197,'[2]bALANCETE ORÇAMENTO'!$1:$1048576,7,0)</f>
        <v>30980.37</v>
      </c>
      <c r="M197" s="1664">
        <f>L197-K197</f>
        <v>3980.369999999999</v>
      </c>
      <c r="N197" s="1665">
        <f t="shared" ref="N197:N209" si="358">((L197/K197)-1)*100</f>
        <v>14.7421111111111</v>
      </c>
      <c r="O197" s="1663">
        <f t="shared" ref="O197:O209" si="359">K197</f>
        <v>27000</v>
      </c>
      <c r="P197" s="1664"/>
      <c r="Q197" s="1664">
        <f>P197-O197</f>
        <v>-27000</v>
      </c>
      <c r="R197" s="1665">
        <f t="shared" ref="R197:R209" si="360">((P197/O197)-1)*100</f>
        <v>-100</v>
      </c>
      <c r="S197" s="1663">
        <f t="shared" ref="S197:S209" si="361">O197</f>
        <v>27000</v>
      </c>
      <c r="T197" s="1664"/>
      <c r="U197" s="1664">
        <f>T197-S197</f>
        <v>-27000</v>
      </c>
      <c r="V197" s="1665">
        <f t="shared" ref="V197:V209" si="362">((T197/S197)-1)*100</f>
        <v>-100</v>
      </c>
      <c r="W197" s="1663">
        <f t="shared" si="348"/>
        <v>27000</v>
      </c>
      <c r="X197" s="1664"/>
      <c r="Y197" s="1664">
        <f>X197-W197</f>
        <v>-27000</v>
      </c>
      <c r="Z197" s="1665">
        <f t="shared" ref="Z197:Z209" si="363">((X197/W197)-1)*100</f>
        <v>-100</v>
      </c>
      <c r="AA197" s="1663">
        <f t="shared" si="349"/>
        <v>27000</v>
      </c>
      <c r="AB197" s="1664"/>
      <c r="AC197" s="1664">
        <f>AB197-AA197</f>
        <v>-27000</v>
      </c>
      <c r="AD197" s="1665">
        <f t="shared" ref="AD197:AD209" si="364">((AB197/AA197)-1)*100</f>
        <v>-100</v>
      </c>
      <c r="AE197" s="1663">
        <f t="shared" si="350"/>
        <v>27000</v>
      </c>
      <c r="AF197" s="1664"/>
      <c r="AG197" s="1664">
        <f>AF197-AE197</f>
        <v>-27000</v>
      </c>
      <c r="AH197" s="1665">
        <f t="shared" ref="AH197:AH209" si="365">((AF197/AE197)-1)*100</f>
        <v>-100</v>
      </c>
      <c r="AI197" s="1663">
        <f t="shared" ref="AI197:AI211" si="366">AE197</f>
        <v>27000</v>
      </c>
      <c r="AJ197" s="1664"/>
      <c r="AK197" s="1664">
        <f>AJ197-AI197</f>
        <v>-27000</v>
      </c>
      <c r="AL197" s="1665">
        <f t="shared" ref="AL197:AL209" si="367">((AJ197/AI197)-1)*100</f>
        <v>-100</v>
      </c>
      <c r="AM197" s="1663">
        <f t="shared" si="351"/>
        <v>27000</v>
      </c>
      <c r="AN197" s="1664"/>
      <c r="AO197" s="1664">
        <f>AN197-AM197</f>
        <v>-27000</v>
      </c>
      <c r="AP197" s="1665">
        <f t="shared" ref="AP197:AP209" si="368">((AN197/AM197)-1)*100</f>
        <v>-100</v>
      </c>
      <c r="AQ197" s="1663">
        <f t="shared" si="352"/>
        <v>27000</v>
      </c>
      <c r="AR197" s="1664"/>
      <c r="AS197" s="1664">
        <f>AR197-AQ197</f>
        <v>-27000</v>
      </c>
      <c r="AT197" s="1665">
        <f t="shared" ref="AT197:AT209" si="369">((AR197/AQ197)-1)*100</f>
        <v>-100</v>
      </c>
      <c r="AU197" s="1663">
        <f t="shared" si="353"/>
        <v>27000</v>
      </c>
      <c r="AV197" s="1664"/>
      <c r="AW197" s="1664">
        <f>AV197-AU197</f>
        <v>-27000</v>
      </c>
      <c r="AX197" s="1665">
        <f t="shared" ref="AX197:AX209" si="370">((AV197/AU197)-1)*100</f>
        <v>-100</v>
      </c>
      <c r="AY197" s="1240">
        <f t="shared" ref="AY197:AY208" si="371">C197+G197+K197+O197+S197+W197+AA197+AE197+AI197+AM197+AQ197+AU197</f>
        <v>324000</v>
      </c>
      <c r="AZ197" s="1632">
        <f t="shared" ref="AZ197:AZ208" si="372">D197+H197+L197+P197+T197+X197+AB197+AF197+AJ197+AN197+AR197+AV197</f>
        <v>95171.34</v>
      </c>
      <c r="BB197" s="12"/>
    </row>
    <row r="198" spans="1:54" s="1421" customFormat="1" ht="18.75" customHeight="1" x14ac:dyDescent="0.25">
      <c r="A198" s="170">
        <v>12869</v>
      </c>
      <c r="B198" s="332" t="s">
        <v>94</v>
      </c>
      <c r="C198" s="1545">
        <v>77000</v>
      </c>
      <c r="D198" s="2024">
        <v>82311.28</v>
      </c>
      <c r="E198" s="1649">
        <f>D198-C198</f>
        <v>5311.2799999999988</v>
      </c>
      <c r="F198" s="1549">
        <f t="shared" si="354"/>
        <v>6.8977662337662338</v>
      </c>
      <c r="G198" s="1545">
        <f t="shared" si="355"/>
        <v>77000</v>
      </c>
      <c r="H198" s="2075">
        <f>VLOOKUP(A198,'[1]r_balancete_sc 02-2022'!$1:$1048576,9,0)</f>
        <v>83083.740000000005</v>
      </c>
      <c r="I198" s="1649">
        <f>H198-G198</f>
        <v>6083.7400000000052</v>
      </c>
      <c r="J198" s="1549">
        <f t="shared" si="356"/>
        <v>7.9009610389610518</v>
      </c>
      <c r="K198" s="1545">
        <f t="shared" si="357"/>
        <v>77000</v>
      </c>
      <c r="L198" s="1649">
        <f>VLOOKUP(A198,'[2]bALANCETE ORÇAMENTO'!$1:$1048576,7,0)</f>
        <v>81577.100000000006</v>
      </c>
      <c r="M198" s="1649">
        <f>L198-K198</f>
        <v>4577.1000000000058</v>
      </c>
      <c r="N198" s="1549">
        <f t="shared" si="358"/>
        <v>5.9442857142857131</v>
      </c>
      <c r="O198" s="1545">
        <f t="shared" si="359"/>
        <v>77000</v>
      </c>
      <c r="P198" s="1649"/>
      <c r="Q198" s="1649">
        <f>P198-O198</f>
        <v>-77000</v>
      </c>
      <c r="R198" s="1549">
        <f t="shared" si="360"/>
        <v>-100</v>
      </c>
      <c r="S198" s="1545">
        <f t="shared" si="361"/>
        <v>77000</v>
      </c>
      <c r="T198" s="1649"/>
      <c r="U198" s="1649">
        <f>T198-S198</f>
        <v>-77000</v>
      </c>
      <c r="V198" s="1549">
        <f t="shared" si="362"/>
        <v>-100</v>
      </c>
      <c r="W198" s="1545">
        <f t="shared" si="348"/>
        <v>77000</v>
      </c>
      <c r="X198" s="1649"/>
      <c r="Y198" s="1649">
        <f>X198-W198</f>
        <v>-77000</v>
      </c>
      <c r="Z198" s="1549">
        <f t="shared" si="363"/>
        <v>-100</v>
      </c>
      <c r="AA198" s="1545">
        <f t="shared" si="349"/>
        <v>77000</v>
      </c>
      <c r="AB198" s="1649"/>
      <c r="AC198" s="1649">
        <f>AB198-AA198</f>
        <v>-77000</v>
      </c>
      <c r="AD198" s="1549">
        <f t="shared" si="364"/>
        <v>-100</v>
      </c>
      <c r="AE198" s="1545">
        <f t="shared" si="350"/>
        <v>77000</v>
      </c>
      <c r="AF198" s="1649"/>
      <c r="AG198" s="1649">
        <f>AF198-AE198</f>
        <v>-77000</v>
      </c>
      <c r="AH198" s="1549">
        <f t="shared" si="365"/>
        <v>-100</v>
      </c>
      <c r="AI198" s="1545">
        <f t="shared" si="366"/>
        <v>77000</v>
      </c>
      <c r="AJ198" s="1649"/>
      <c r="AK198" s="1649">
        <f>AJ198-AI198</f>
        <v>-77000</v>
      </c>
      <c r="AL198" s="1549">
        <f t="shared" si="367"/>
        <v>-100</v>
      </c>
      <c r="AM198" s="1545">
        <f t="shared" si="351"/>
        <v>77000</v>
      </c>
      <c r="AN198" s="1649"/>
      <c r="AO198" s="1649">
        <f>AN198-AM198</f>
        <v>-77000</v>
      </c>
      <c r="AP198" s="1549">
        <f t="shared" si="368"/>
        <v>-100</v>
      </c>
      <c r="AQ198" s="1545">
        <f t="shared" si="352"/>
        <v>77000</v>
      </c>
      <c r="AR198" s="1649"/>
      <c r="AS198" s="1649">
        <f>AR198-AQ198</f>
        <v>-77000</v>
      </c>
      <c r="AT198" s="1549">
        <f t="shared" si="369"/>
        <v>-100</v>
      </c>
      <c r="AU198" s="1545">
        <f t="shared" si="353"/>
        <v>77000</v>
      </c>
      <c r="AV198" s="1649"/>
      <c r="AW198" s="1649">
        <f>AV198-AU198</f>
        <v>-77000</v>
      </c>
      <c r="AX198" s="1549">
        <f t="shared" si="370"/>
        <v>-100</v>
      </c>
      <c r="AY198" s="2061">
        <f t="shared" si="371"/>
        <v>924000</v>
      </c>
      <c r="AZ198" s="1616">
        <f t="shared" si="372"/>
        <v>246972.12000000002</v>
      </c>
      <c r="BB198" s="12"/>
    </row>
    <row r="199" spans="1:54" s="1421" customFormat="1" ht="18.75" customHeight="1" x14ac:dyDescent="0.25">
      <c r="A199" s="170">
        <v>12900</v>
      </c>
      <c r="B199" s="332" t="s">
        <v>87</v>
      </c>
      <c r="C199" s="1545">
        <v>11000</v>
      </c>
      <c r="D199" s="2024">
        <v>11383</v>
      </c>
      <c r="E199" s="1649">
        <v>9</v>
      </c>
      <c r="F199" s="1549">
        <f t="shared" si="354"/>
        <v>3.4818181818181859</v>
      </c>
      <c r="G199" s="1545">
        <f t="shared" si="355"/>
        <v>11000</v>
      </c>
      <c r="H199" s="2075">
        <f>VLOOKUP(A199,'[1]r_balancete_sc 02-2022'!$1:$1048576,9,0)</f>
        <v>9649.7800000000007</v>
      </c>
      <c r="I199" s="1649">
        <v>9</v>
      </c>
      <c r="J199" s="1549">
        <f t="shared" si="356"/>
        <v>-12.27472727272727</v>
      </c>
      <c r="K199" s="1545">
        <f t="shared" si="357"/>
        <v>11000</v>
      </c>
      <c r="L199" s="1649">
        <f>VLOOKUP(A199,'[2]bALANCETE ORÇAMENTO'!$1:$1048576,7,0)</f>
        <v>8831.82</v>
      </c>
      <c r="M199" s="1649">
        <v>9</v>
      </c>
      <c r="N199" s="1549">
        <f t="shared" si="358"/>
        <v>-19.710727272727279</v>
      </c>
      <c r="O199" s="1545">
        <f t="shared" si="359"/>
        <v>11000</v>
      </c>
      <c r="P199" s="1649"/>
      <c r="Q199" s="1649">
        <v>9</v>
      </c>
      <c r="R199" s="1549">
        <f t="shared" si="360"/>
        <v>-100</v>
      </c>
      <c r="S199" s="1545">
        <f t="shared" si="361"/>
        <v>11000</v>
      </c>
      <c r="T199" s="1649"/>
      <c r="U199" s="1649">
        <v>9</v>
      </c>
      <c r="V199" s="1549">
        <f t="shared" si="362"/>
        <v>-100</v>
      </c>
      <c r="W199" s="1545">
        <f t="shared" si="348"/>
        <v>11000</v>
      </c>
      <c r="X199" s="1649"/>
      <c r="Y199" s="1649">
        <v>9</v>
      </c>
      <c r="Z199" s="1549">
        <f t="shared" si="363"/>
        <v>-100</v>
      </c>
      <c r="AA199" s="1545">
        <f t="shared" si="349"/>
        <v>11000</v>
      </c>
      <c r="AB199" s="1649"/>
      <c r="AC199" s="1649">
        <v>9</v>
      </c>
      <c r="AD199" s="1549">
        <f t="shared" si="364"/>
        <v>-100</v>
      </c>
      <c r="AE199" s="1545">
        <f t="shared" si="350"/>
        <v>11000</v>
      </c>
      <c r="AF199" s="1649"/>
      <c r="AG199" s="1649">
        <v>9</v>
      </c>
      <c r="AH199" s="1549">
        <f t="shared" si="365"/>
        <v>-100</v>
      </c>
      <c r="AI199" s="1545">
        <f t="shared" si="366"/>
        <v>11000</v>
      </c>
      <c r="AJ199" s="1649"/>
      <c r="AK199" s="1649">
        <v>9</v>
      </c>
      <c r="AL199" s="1549">
        <f t="shared" si="367"/>
        <v>-100</v>
      </c>
      <c r="AM199" s="1545">
        <f t="shared" si="351"/>
        <v>11000</v>
      </c>
      <c r="AN199" s="1649"/>
      <c r="AO199" s="1649">
        <v>9</v>
      </c>
      <c r="AP199" s="1549">
        <f t="shared" si="368"/>
        <v>-100</v>
      </c>
      <c r="AQ199" s="1545">
        <f t="shared" si="352"/>
        <v>11000</v>
      </c>
      <c r="AR199" s="1649"/>
      <c r="AS199" s="1649">
        <v>9</v>
      </c>
      <c r="AT199" s="1549">
        <f t="shared" si="369"/>
        <v>-100</v>
      </c>
      <c r="AU199" s="1545">
        <f t="shared" si="353"/>
        <v>11000</v>
      </c>
      <c r="AV199" s="1649"/>
      <c r="AW199" s="1649">
        <v>9</v>
      </c>
      <c r="AX199" s="1549">
        <f t="shared" si="370"/>
        <v>-100</v>
      </c>
      <c r="AY199" s="2061">
        <f t="shared" si="371"/>
        <v>132000</v>
      </c>
      <c r="AZ199" s="1616">
        <f t="shared" si="372"/>
        <v>29864.6</v>
      </c>
      <c r="BB199" s="12"/>
    </row>
    <row r="200" spans="1:54" s="1421" customFormat="1" ht="18.75" customHeight="1" x14ac:dyDescent="0.25">
      <c r="A200" s="170">
        <v>12334</v>
      </c>
      <c r="B200" s="332" t="s">
        <v>82</v>
      </c>
      <c r="C200" s="1545">
        <v>31000</v>
      </c>
      <c r="D200" s="2024">
        <v>32116.98</v>
      </c>
      <c r="E200" s="1649">
        <f>D200-C200</f>
        <v>1116.9799999999996</v>
      </c>
      <c r="F200" s="1549">
        <f t="shared" si="354"/>
        <v>3.6031612903225874</v>
      </c>
      <c r="G200" s="1545">
        <f t="shared" si="355"/>
        <v>31000</v>
      </c>
      <c r="H200" s="2075">
        <f>VLOOKUP(A200,'[1]r_balancete_sc 02-2022'!$1:$1048576,9,0)</f>
        <v>28512.91</v>
      </c>
      <c r="I200" s="1649">
        <f>H200-G200</f>
        <v>-2487.09</v>
      </c>
      <c r="J200" s="1549">
        <f t="shared" si="356"/>
        <v>-8.0228709677419356</v>
      </c>
      <c r="K200" s="1545">
        <f t="shared" si="357"/>
        <v>31000</v>
      </c>
      <c r="L200" s="1649">
        <f>VLOOKUP(A200,'[2]bALANCETE ORÇAMENTO'!$1:$1048576,7,0)</f>
        <v>25155.4</v>
      </c>
      <c r="M200" s="1649">
        <f>L200-K200</f>
        <v>-5844.5999999999985</v>
      </c>
      <c r="N200" s="1549">
        <f t="shared" si="358"/>
        <v>-18.853548387096776</v>
      </c>
      <c r="O200" s="1545">
        <f t="shared" si="359"/>
        <v>31000</v>
      </c>
      <c r="P200" s="1649"/>
      <c r="Q200" s="1649">
        <f>P200-O200</f>
        <v>-31000</v>
      </c>
      <c r="R200" s="1549">
        <f t="shared" si="360"/>
        <v>-100</v>
      </c>
      <c r="S200" s="1545">
        <f t="shared" si="361"/>
        <v>31000</v>
      </c>
      <c r="T200" s="1649"/>
      <c r="U200" s="1649">
        <f>T200-S200</f>
        <v>-31000</v>
      </c>
      <c r="V200" s="1549">
        <f t="shared" si="362"/>
        <v>-100</v>
      </c>
      <c r="W200" s="1545">
        <f t="shared" si="348"/>
        <v>31000</v>
      </c>
      <c r="X200" s="1649"/>
      <c r="Y200" s="1649">
        <f>X200-W200</f>
        <v>-31000</v>
      </c>
      <c r="Z200" s="1549">
        <f t="shared" si="363"/>
        <v>-100</v>
      </c>
      <c r="AA200" s="1545">
        <f t="shared" si="349"/>
        <v>31000</v>
      </c>
      <c r="AB200" s="1649"/>
      <c r="AC200" s="1649">
        <f>AB200-AA200</f>
        <v>-31000</v>
      </c>
      <c r="AD200" s="1549">
        <f t="shared" si="364"/>
        <v>-100</v>
      </c>
      <c r="AE200" s="1545">
        <f t="shared" si="350"/>
        <v>31000</v>
      </c>
      <c r="AF200" s="1649"/>
      <c r="AG200" s="1649">
        <f>AF200-AE200</f>
        <v>-31000</v>
      </c>
      <c r="AH200" s="1549">
        <f t="shared" si="365"/>
        <v>-100</v>
      </c>
      <c r="AI200" s="1545">
        <f t="shared" si="366"/>
        <v>31000</v>
      </c>
      <c r="AJ200" s="1649"/>
      <c r="AK200" s="1649">
        <f>AJ200-AI200</f>
        <v>-31000</v>
      </c>
      <c r="AL200" s="1549">
        <f t="shared" si="367"/>
        <v>-100</v>
      </c>
      <c r="AM200" s="1545">
        <f t="shared" si="351"/>
        <v>31000</v>
      </c>
      <c r="AN200" s="1649"/>
      <c r="AO200" s="1649">
        <f>AN200-AM200</f>
        <v>-31000</v>
      </c>
      <c r="AP200" s="1549">
        <f t="shared" si="368"/>
        <v>-100</v>
      </c>
      <c r="AQ200" s="1545">
        <f t="shared" si="352"/>
        <v>31000</v>
      </c>
      <c r="AR200" s="1649"/>
      <c r="AS200" s="1649">
        <f>AR200-AQ200</f>
        <v>-31000</v>
      </c>
      <c r="AT200" s="1549">
        <f t="shared" si="369"/>
        <v>-100</v>
      </c>
      <c r="AU200" s="1545">
        <f t="shared" si="353"/>
        <v>31000</v>
      </c>
      <c r="AV200" s="1649"/>
      <c r="AW200" s="1649">
        <f>AV200-AU200</f>
        <v>-31000</v>
      </c>
      <c r="AX200" s="1549">
        <f t="shared" si="370"/>
        <v>-100</v>
      </c>
      <c r="AY200" s="2061">
        <f t="shared" si="371"/>
        <v>372000</v>
      </c>
      <c r="AZ200" s="1616">
        <f t="shared" si="372"/>
        <v>85785.290000000008</v>
      </c>
      <c r="BB200" s="12"/>
    </row>
    <row r="201" spans="1:54" s="1421" customFormat="1" ht="18.75" customHeight="1" x14ac:dyDescent="0.25">
      <c r="A201" s="170">
        <v>12893</v>
      </c>
      <c r="B201" s="332" t="s">
        <v>206</v>
      </c>
      <c r="C201" s="1545">
        <v>28000</v>
      </c>
      <c r="D201" s="2024">
        <v>5588.99</v>
      </c>
      <c r="E201" s="1649">
        <f>D201-C201</f>
        <v>-22411.010000000002</v>
      </c>
      <c r="F201" s="1549">
        <f t="shared" si="354"/>
        <v>-80.039321428571427</v>
      </c>
      <c r="G201" s="1545">
        <f t="shared" si="355"/>
        <v>28000</v>
      </c>
      <c r="H201" s="2075">
        <f>VLOOKUP(A201,'[1]r_balancete_sc 02-2022'!$1:$1048576,9,0)</f>
        <v>4619.71</v>
      </c>
      <c r="I201" s="1649">
        <f>H201-G201</f>
        <v>-23380.29</v>
      </c>
      <c r="J201" s="1549">
        <f t="shared" si="356"/>
        <v>-83.501035714285706</v>
      </c>
      <c r="K201" s="1545">
        <f t="shared" si="357"/>
        <v>28000</v>
      </c>
      <c r="L201" s="1649">
        <f>VLOOKUP(A201,'[2]bALANCETE ORÇAMENTO'!$1:$1048576,7,0)</f>
        <v>6726.66</v>
      </c>
      <c r="M201" s="1649">
        <f>L201-K201</f>
        <v>-21273.34</v>
      </c>
      <c r="N201" s="1549">
        <f t="shared" si="358"/>
        <v>-75.976214285714278</v>
      </c>
      <c r="O201" s="1545">
        <f t="shared" si="359"/>
        <v>28000</v>
      </c>
      <c r="P201" s="1649"/>
      <c r="Q201" s="1649">
        <f>P201-O201</f>
        <v>-28000</v>
      </c>
      <c r="R201" s="1549">
        <f t="shared" si="360"/>
        <v>-100</v>
      </c>
      <c r="S201" s="1545">
        <f t="shared" si="361"/>
        <v>28000</v>
      </c>
      <c r="T201" s="1649"/>
      <c r="U201" s="1649">
        <f>T201-S201</f>
        <v>-28000</v>
      </c>
      <c r="V201" s="1549">
        <f t="shared" si="362"/>
        <v>-100</v>
      </c>
      <c r="W201" s="1545">
        <f t="shared" si="348"/>
        <v>28000</v>
      </c>
      <c r="X201" s="1649"/>
      <c r="Y201" s="1649">
        <f>X201-W201</f>
        <v>-28000</v>
      </c>
      <c r="Z201" s="1549">
        <f t="shared" si="363"/>
        <v>-100</v>
      </c>
      <c r="AA201" s="1545">
        <f t="shared" si="349"/>
        <v>28000</v>
      </c>
      <c r="AB201" s="1649"/>
      <c r="AC201" s="1649">
        <f>AB201-AA201</f>
        <v>-28000</v>
      </c>
      <c r="AD201" s="1549">
        <f t="shared" si="364"/>
        <v>-100</v>
      </c>
      <c r="AE201" s="1545">
        <f t="shared" si="350"/>
        <v>28000</v>
      </c>
      <c r="AF201" s="1649"/>
      <c r="AG201" s="1649">
        <f>AF201-AE201</f>
        <v>-28000</v>
      </c>
      <c r="AH201" s="1549">
        <f t="shared" si="365"/>
        <v>-100</v>
      </c>
      <c r="AI201" s="1545">
        <f t="shared" si="366"/>
        <v>28000</v>
      </c>
      <c r="AJ201" s="1649"/>
      <c r="AK201" s="1649">
        <f>AJ201-AI201</f>
        <v>-28000</v>
      </c>
      <c r="AL201" s="1549">
        <f t="shared" si="367"/>
        <v>-100</v>
      </c>
      <c r="AM201" s="1545">
        <f t="shared" si="351"/>
        <v>28000</v>
      </c>
      <c r="AN201" s="1649"/>
      <c r="AO201" s="1649">
        <f>AN201-AM201</f>
        <v>-28000</v>
      </c>
      <c r="AP201" s="1549">
        <f t="shared" si="368"/>
        <v>-100</v>
      </c>
      <c r="AQ201" s="1545">
        <f t="shared" si="352"/>
        <v>28000</v>
      </c>
      <c r="AR201" s="1649"/>
      <c r="AS201" s="1649">
        <f>AR201-AQ201</f>
        <v>-28000</v>
      </c>
      <c r="AT201" s="1549">
        <f t="shared" si="369"/>
        <v>-100</v>
      </c>
      <c r="AU201" s="1545">
        <f t="shared" si="353"/>
        <v>28000</v>
      </c>
      <c r="AV201" s="1649"/>
      <c r="AW201" s="1649">
        <f>AV201-AU201</f>
        <v>-28000</v>
      </c>
      <c r="AX201" s="1549">
        <f t="shared" si="370"/>
        <v>-100</v>
      </c>
      <c r="AY201" s="2061">
        <f t="shared" si="371"/>
        <v>336000</v>
      </c>
      <c r="AZ201" s="1616">
        <f t="shared" si="372"/>
        <v>16935.36</v>
      </c>
      <c r="BB201" s="12"/>
    </row>
    <row r="202" spans="1:54" s="1421" customFormat="1" ht="18.75" customHeight="1" x14ac:dyDescent="0.25">
      <c r="A202" s="170">
        <v>12282</v>
      </c>
      <c r="B202" s="152" t="s">
        <v>211</v>
      </c>
      <c r="C202" s="1545">
        <v>25500</v>
      </c>
      <c r="D202" s="2024">
        <v>10154</v>
      </c>
      <c r="E202" s="1649">
        <v>85</v>
      </c>
      <c r="F202" s="1549">
        <f t="shared" si="354"/>
        <v>-60.180392156862752</v>
      </c>
      <c r="G202" s="1545">
        <f t="shared" si="355"/>
        <v>25500</v>
      </c>
      <c r="H202" s="2075">
        <f>VLOOKUP(A202,'[1]r_balancete_sc 02-2022'!$1:$1048576,9,0)</f>
        <v>35073.120000000003</v>
      </c>
      <c r="I202" s="1649">
        <v>85</v>
      </c>
      <c r="J202" s="1549">
        <f t="shared" si="356"/>
        <v>37.541647058823543</v>
      </c>
      <c r="K202" s="1545">
        <f t="shared" si="357"/>
        <v>25500</v>
      </c>
      <c r="L202" s="1649">
        <f>VLOOKUP(A202,'[2]bALANCETE ORÇAMENTO'!$1:$1048576,7,0)</f>
        <v>47886.05</v>
      </c>
      <c r="M202" s="1649">
        <v>85</v>
      </c>
      <c r="N202" s="1549">
        <f t="shared" si="358"/>
        <v>87.788431372549041</v>
      </c>
      <c r="O202" s="1545">
        <f t="shared" si="359"/>
        <v>25500</v>
      </c>
      <c r="P202" s="1649"/>
      <c r="Q202" s="1649">
        <v>85</v>
      </c>
      <c r="R202" s="1549">
        <f t="shared" si="360"/>
        <v>-100</v>
      </c>
      <c r="S202" s="1545">
        <f t="shared" si="361"/>
        <v>25500</v>
      </c>
      <c r="T202" s="1649"/>
      <c r="U202" s="1649">
        <v>85</v>
      </c>
      <c r="V202" s="1549">
        <f t="shared" si="362"/>
        <v>-100</v>
      </c>
      <c r="W202" s="1545">
        <f t="shared" si="348"/>
        <v>25500</v>
      </c>
      <c r="X202" s="1649"/>
      <c r="Y202" s="1649">
        <v>85</v>
      </c>
      <c r="Z202" s="1549">
        <f t="shared" si="363"/>
        <v>-100</v>
      </c>
      <c r="AA202" s="1545">
        <f t="shared" si="349"/>
        <v>25500</v>
      </c>
      <c r="AB202" s="1649"/>
      <c r="AC202" s="1649">
        <v>85</v>
      </c>
      <c r="AD202" s="1549">
        <f t="shared" si="364"/>
        <v>-100</v>
      </c>
      <c r="AE202" s="1545">
        <f t="shared" si="350"/>
        <v>25500</v>
      </c>
      <c r="AF202" s="1649"/>
      <c r="AG202" s="1649">
        <v>85</v>
      </c>
      <c r="AH202" s="1549">
        <f t="shared" si="365"/>
        <v>-100</v>
      </c>
      <c r="AI202" s="1545">
        <f t="shared" si="366"/>
        <v>25500</v>
      </c>
      <c r="AJ202" s="1649"/>
      <c r="AK202" s="1649">
        <v>85</v>
      </c>
      <c r="AL202" s="1549">
        <f t="shared" si="367"/>
        <v>-100</v>
      </c>
      <c r="AM202" s="1545">
        <f t="shared" si="351"/>
        <v>25500</v>
      </c>
      <c r="AN202" s="1649"/>
      <c r="AO202" s="1649">
        <v>85</v>
      </c>
      <c r="AP202" s="1549">
        <f t="shared" si="368"/>
        <v>-100</v>
      </c>
      <c r="AQ202" s="1545">
        <f t="shared" si="352"/>
        <v>25500</v>
      </c>
      <c r="AR202" s="1649"/>
      <c r="AS202" s="1649">
        <v>85</v>
      </c>
      <c r="AT202" s="1549">
        <f t="shared" si="369"/>
        <v>-100</v>
      </c>
      <c r="AU202" s="1545">
        <f t="shared" si="353"/>
        <v>25500</v>
      </c>
      <c r="AV202" s="1649"/>
      <c r="AW202" s="1649">
        <v>85</v>
      </c>
      <c r="AX202" s="1549">
        <f t="shared" si="370"/>
        <v>-100</v>
      </c>
      <c r="AY202" s="2061">
        <f t="shared" si="371"/>
        <v>306000</v>
      </c>
      <c r="AZ202" s="1616">
        <f t="shared" si="372"/>
        <v>93113.170000000013</v>
      </c>
      <c r="BB202" s="12"/>
    </row>
    <row r="203" spans="1:54" s="1421" customFormat="1" ht="18.75" customHeight="1" x14ac:dyDescent="0.25">
      <c r="A203" s="170">
        <v>51665</v>
      </c>
      <c r="B203" s="152" t="s">
        <v>212</v>
      </c>
      <c r="C203" s="1545">
        <v>63000</v>
      </c>
      <c r="D203" s="2024">
        <v>65025</v>
      </c>
      <c r="E203" s="1649">
        <v>51</v>
      </c>
      <c r="F203" s="1549">
        <f t="shared" si="354"/>
        <v>3.2142857142857251</v>
      </c>
      <c r="G203" s="1545">
        <f t="shared" si="355"/>
        <v>63000</v>
      </c>
      <c r="H203" s="1611">
        <f>VLOOKUP(A203,'[1]r_balancete_sc 02-2022'!$1:$1048576,9,0)</f>
        <v>69805.11</v>
      </c>
      <c r="I203" s="1649">
        <v>51</v>
      </c>
      <c r="J203" s="1549">
        <f t="shared" si="356"/>
        <v>10.801761904761896</v>
      </c>
      <c r="K203" s="1545">
        <f t="shared" si="357"/>
        <v>63000</v>
      </c>
      <c r="L203" s="1649">
        <f>VLOOKUP(A203,'[2]bALANCETE ORÇAMENTO'!$1:$1048576,7,0)</f>
        <v>79898.52</v>
      </c>
      <c r="M203" s="1649">
        <v>51</v>
      </c>
      <c r="N203" s="1549">
        <f t="shared" si="358"/>
        <v>26.823047619047635</v>
      </c>
      <c r="O203" s="1545">
        <f t="shared" si="359"/>
        <v>63000</v>
      </c>
      <c r="P203" s="1649"/>
      <c r="Q203" s="1649">
        <v>51</v>
      </c>
      <c r="R203" s="1549">
        <f t="shared" si="360"/>
        <v>-100</v>
      </c>
      <c r="S203" s="1545">
        <f t="shared" si="361"/>
        <v>63000</v>
      </c>
      <c r="T203" s="1649"/>
      <c r="U203" s="1649">
        <v>51</v>
      </c>
      <c r="V203" s="1549">
        <f t="shared" si="362"/>
        <v>-100</v>
      </c>
      <c r="W203" s="1545">
        <f t="shared" si="348"/>
        <v>63000</v>
      </c>
      <c r="X203" s="1649"/>
      <c r="Y203" s="1649">
        <v>51</v>
      </c>
      <c r="Z203" s="1549">
        <f t="shared" si="363"/>
        <v>-100</v>
      </c>
      <c r="AA203" s="1545">
        <f t="shared" si="349"/>
        <v>63000</v>
      </c>
      <c r="AB203" s="1649"/>
      <c r="AC203" s="1649">
        <v>51</v>
      </c>
      <c r="AD203" s="1549">
        <f t="shared" si="364"/>
        <v>-100</v>
      </c>
      <c r="AE203" s="1545">
        <f t="shared" si="350"/>
        <v>63000</v>
      </c>
      <c r="AF203" s="1649"/>
      <c r="AG203" s="1649">
        <v>51</v>
      </c>
      <c r="AH203" s="1549">
        <f t="shared" si="365"/>
        <v>-100</v>
      </c>
      <c r="AI203" s="1545">
        <f t="shared" si="366"/>
        <v>63000</v>
      </c>
      <c r="AJ203" s="1649"/>
      <c r="AK203" s="1649">
        <v>51</v>
      </c>
      <c r="AL203" s="1549">
        <f t="shared" si="367"/>
        <v>-100</v>
      </c>
      <c r="AM203" s="1545">
        <f t="shared" si="351"/>
        <v>63000</v>
      </c>
      <c r="AN203" s="1649"/>
      <c r="AO203" s="1649">
        <v>51</v>
      </c>
      <c r="AP203" s="1549">
        <f t="shared" si="368"/>
        <v>-100</v>
      </c>
      <c r="AQ203" s="1545">
        <f t="shared" si="352"/>
        <v>63000</v>
      </c>
      <c r="AR203" s="1649"/>
      <c r="AS203" s="1649">
        <v>51</v>
      </c>
      <c r="AT203" s="1549">
        <f t="shared" si="369"/>
        <v>-100</v>
      </c>
      <c r="AU203" s="1545">
        <f t="shared" si="353"/>
        <v>63000</v>
      </c>
      <c r="AV203" s="1649"/>
      <c r="AW203" s="1649">
        <v>51</v>
      </c>
      <c r="AX203" s="1549">
        <f t="shared" si="370"/>
        <v>-100</v>
      </c>
      <c r="AY203" s="2061">
        <f t="shared" si="371"/>
        <v>756000</v>
      </c>
      <c r="AZ203" s="1616">
        <f t="shared" si="372"/>
        <v>214728.63</v>
      </c>
      <c r="BB203" s="12"/>
    </row>
    <row r="204" spans="1:54" s="1421" customFormat="1" ht="18.75" customHeight="1" x14ac:dyDescent="0.25">
      <c r="A204" s="170">
        <v>51667</v>
      </c>
      <c r="B204" s="152" t="s">
        <v>85</v>
      </c>
      <c r="C204" s="1545">
        <v>4000</v>
      </c>
      <c r="D204" s="2024">
        <v>2730</v>
      </c>
      <c r="E204" s="1649">
        <f t="shared" ref="E204:E211" si="373">D204-C204</f>
        <v>-1270</v>
      </c>
      <c r="F204" s="1549">
        <f t="shared" si="354"/>
        <v>-31.75</v>
      </c>
      <c r="G204" s="1545">
        <f t="shared" si="355"/>
        <v>4000</v>
      </c>
      <c r="H204" s="1611">
        <f>VLOOKUP(A204,'[1]r_balancete_sc 02-2022'!$1:$1048576,9,0)</f>
        <v>4256</v>
      </c>
      <c r="I204" s="1649">
        <f t="shared" ref="I204:I211" si="374">H204-G204</f>
        <v>256</v>
      </c>
      <c r="J204" s="1549">
        <f t="shared" si="356"/>
        <v>6.4000000000000057</v>
      </c>
      <c r="K204" s="1545">
        <f t="shared" si="357"/>
        <v>4000</v>
      </c>
      <c r="L204" s="1649">
        <f>VLOOKUP(A204,'[2]bALANCETE ORÇAMENTO'!$1:$1048576,7,0)</f>
        <v>2620</v>
      </c>
      <c r="M204" s="1649">
        <f t="shared" ref="M204:M211" si="375">L204-K204</f>
        <v>-1380</v>
      </c>
      <c r="N204" s="1549">
        <f t="shared" si="358"/>
        <v>-34.5</v>
      </c>
      <c r="O204" s="1545">
        <f t="shared" si="359"/>
        <v>4000</v>
      </c>
      <c r="P204" s="1649"/>
      <c r="Q204" s="1649">
        <f t="shared" ref="Q204:Q211" si="376">P204-O204</f>
        <v>-4000</v>
      </c>
      <c r="R204" s="1549">
        <f t="shared" si="360"/>
        <v>-100</v>
      </c>
      <c r="S204" s="1545">
        <f t="shared" si="361"/>
        <v>4000</v>
      </c>
      <c r="T204" s="1649"/>
      <c r="U204" s="1649">
        <f t="shared" ref="U204:U211" si="377">T204-S204</f>
        <v>-4000</v>
      </c>
      <c r="V204" s="1549">
        <f t="shared" si="362"/>
        <v>-100</v>
      </c>
      <c r="W204" s="1545">
        <f t="shared" si="348"/>
        <v>4000</v>
      </c>
      <c r="X204" s="1649"/>
      <c r="Y204" s="1649">
        <f t="shared" ref="Y204:Y211" si="378">X204-W204</f>
        <v>-4000</v>
      </c>
      <c r="Z204" s="1549">
        <f t="shared" si="363"/>
        <v>-100</v>
      </c>
      <c r="AA204" s="1545">
        <f t="shared" si="349"/>
        <v>4000</v>
      </c>
      <c r="AB204" s="1649"/>
      <c r="AC204" s="1649">
        <f t="shared" ref="AC204:AC211" si="379">AB204-AA204</f>
        <v>-4000</v>
      </c>
      <c r="AD204" s="1549">
        <f t="shared" si="364"/>
        <v>-100</v>
      </c>
      <c r="AE204" s="1545">
        <f t="shared" si="350"/>
        <v>4000</v>
      </c>
      <c r="AF204" s="1649"/>
      <c r="AG204" s="1649">
        <f t="shared" ref="AG204:AG211" si="380">AF204-AE204</f>
        <v>-4000</v>
      </c>
      <c r="AH204" s="1549">
        <f t="shared" si="365"/>
        <v>-100</v>
      </c>
      <c r="AI204" s="1545">
        <f t="shared" si="366"/>
        <v>4000</v>
      </c>
      <c r="AJ204" s="1649"/>
      <c r="AK204" s="1649">
        <f t="shared" ref="AK204:AK211" si="381">AJ204-AI204</f>
        <v>-4000</v>
      </c>
      <c r="AL204" s="1549">
        <f t="shared" si="367"/>
        <v>-100</v>
      </c>
      <c r="AM204" s="1545">
        <f t="shared" si="351"/>
        <v>4000</v>
      </c>
      <c r="AN204" s="1649"/>
      <c r="AO204" s="1649">
        <f t="shared" ref="AO204:AO211" si="382">AN204-AM204</f>
        <v>-4000</v>
      </c>
      <c r="AP204" s="1549">
        <f t="shared" si="368"/>
        <v>-100</v>
      </c>
      <c r="AQ204" s="1545">
        <f t="shared" si="352"/>
        <v>4000</v>
      </c>
      <c r="AR204" s="1649"/>
      <c r="AS204" s="1649">
        <f t="shared" ref="AS204:AS211" si="383">AR204-AQ204</f>
        <v>-4000</v>
      </c>
      <c r="AT204" s="1549">
        <f t="shared" si="369"/>
        <v>-100</v>
      </c>
      <c r="AU204" s="1545">
        <f t="shared" si="353"/>
        <v>4000</v>
      </c>
      <c r="AV204" s="1649"/>
      <c r="AW204" s="1649">
        <f t="shared" ref="AW204:AW211" si="384">AV204-AU204</f>
        <v>-4000</v>
      </c>
      <c r="AX204" s="1549">
        <f t="shared" si="370"/>
        <v>-100</v>
      </c>
      <c r="AY204" s="2061">
        <f t="shared" si="371"/>
        <v>48000</v>
      </c>
      <c r="AZ204" s="1616">
        <f t="shared" si="372"/>
        <v>9606</v>
      </c>
      <c r="BB204" s="12"/>
    </row>
    <row r="205" spans="1:54" s="1421" customFormat="1" ht="18.75" customHeight="1" x14ac:dyDescent="0.25">
      <c r="A205" s="170">
        <v>51666</v>
      </c>
      <c r="B205" s="152" t="s">
        <v>84</v>
      </c>
      <c r="C205" s="1545">
        <v>23000</v>
      </c>
      <c r="D205" s="2024">
        <v>11413.27</v>
      </c>
      <c r="E205" s="1649">
        <f t="shared" si="373"/>
        <v>-11586.73</v>
      </c>
      <c r="F205" s="1549">
        <f t="shared" si="354"/>
        <v>-50.377086956521744</v>
      </c>
      <c r="G205" s="1545">
        <f t="shared" si="355"/>
        <v>23000</v>
      </c>
      <c r="H205" s="2071">
        <f>VLOOKUP(A205,'[1]r_balancete_sc 02-2022'!$1:$1048576,9,0)</f>
        <v>23738.85</v>
      </c>
      <c r="I205" s="1649">
        <f t="shared" si="374"/>
        <v>738.84999999999854</v>
      </c>
      <c r="J205" s="1549">
        <f t="shared" si="356"/>
        <v>3.212391304347828</v>
      </c>
      <c r="K205" s="1545">
        <f t="shared" si="357"/>
        <v>23000</v>
      </c>
      <c r="L205" s="1649">
        <f>VLOOKUP(A205,'[2]bALANCETE ORÇAMENTO'!$1:$1048576,7,0)</f>
        <v>34800.76</v>
      </c>
      <c r="M205" s="1649">
        <f t="shared" si="375"/>
        <v>11800.760000000002</v>
      </c>
      <c r="N205" s="1549">
        <f t="shared" si="358"/>
        <v>51.307652173913041</v>
      </c>
      <c r="O205" s="1545">
        <f t="shared" si="359"/>
        <v>23000</v>
      </c>
      <c r="P205" s="1649"/>
      <c r="Q205" s="1649">
        <f t="shared" si="376"/>
        <v>-23000</v>
      </c>
      <c r="R205" s="1549">
        <f t="shared" si="360"/>
        <v>-100</v>
      </c>
      <c r="S205" s="1545">
        <f t="shared" si="361"/>
        <v>23000</v>
      </c>
      <c r="T205" s="1649"/>
      <c r="U205" s="1649">
        <f t="shared" si="377"/>
        <v>-23000</v>
      </c>
      <c r="V205" s="1549">
        <f t="shared" si="362"/>
        <v>-100</v>
      </c>
      <c r="W205" s="1545">
        <f t="shared" si="348"/>
        <v>23000</v>
      </c>
      <c r="X205" s="1649"/>
      <c r="Y205" s="1649">
        <f t="shared" si="378"/>
        <v>-23000</v>
      </c>
      <c r="Z205" s="1549">
        <f t="shared" si="363"/>
        <v>-100</v>
      </c>
      <c r="AA205" s="1545">
        <f t="shared" si="349"/>
        <v>23000</v>
      </c>
      <c r="AB205" s="1649"/>
      <c r="AC205" s="1649">
        <f t="shared" si="379"/>
        <v>-23000</v>
      </c>
      <c r="AD205" s="1549">
        <f t="shared" si="364"/>
        <v>-100</v>
      </c>
      <c r="AE205" s="1545">
        <f t="shared" si="350"/>
        <v>23000</v>
      </c>
      <c r="AF205" s="1649"/>
      <c r="AG205" s="1649">
        <f t="shared" si="380"/>
        <v>-23000</v>
      </c>
      <c r="AH205" s="1549">
        <f t="shared" si="365"/>
        <v>-100</v>
      </c>
      <c r="AI205" s="1545">
        <f t="shared" si="366"/>
        <v>23000</v>
      </c>
      <c r="AJ205" s="1649"/>
      <c r="AK205" s="1649">
        <f t="shared" si="381"/>
        <v>-23000</v>
      </c>
      <c r="AL205" s="1549">
        <f t="shared" si="367"/>
        <v>-100</v>
      </c>
      <c r="AM205" s="1545">
        <f t="shared" si="351"/>
        <v>23000</v>
      </c>
      <c r="AN205" s="1649"/>
      <c r="AO205" s="1649">
        <f t="shared" si="382"/>
        <v>-23000</v>
      </c>
      <c r="AP205" s="1549">
        <f t="shared" si="368"/>
        <v>-100</v>
      </c>
      <c r="AQ205" s="1545">
        <f t="shared" si="352"/>
        <v>23000</v>
      </c>
      <c r="AR205" s="1649"/>
      <c r="AS205" s="1649">
        <f t="shared" si="383"/>
        <v>-23000</v>
      </c>
      <c r="AT205" s="1549">
        <f t="shared" si="369"/>
        <v>-100</v>
      </c>
      <c r="AU205" s="1545">
        <f t="shared" si="353"/>
        <v>23000</v>
      </c>
      <c r="AV205" s="1649"/>
      <c r="AW205" s="1649">
        <f t="shared" si="384"/>
        <v>-23000</v>
      </c>
      <c r="AX205" s="1549">
        <f t="shared" si="370"/>
        <v>-100</v>
      </c>
      <c r="AY205" s="2061">
        <f t="shared" si="371"/>
        <v>276000</v>
      </c>
      <c r="AZ205" s="1616">
        <f t="shared" si="372"/>
        <v>69952.88</v>
      </c>
      <c r="BB205" s="12"/>
    </row>
    <row r="206" spans="1:54" s="1421" customFormat="1" ht="18.75" customHeight="1" x14ac:dyDescent="0.25">
      <c r="A206" s="170">
        <v>12284</v>
      </c>
      <c r="B206" s="152" t="s">
        <v>207</v>
      </c>
      <c r="C206" s="1545">
        <v>17000</v>
      </c>
      <c r="D206" s="2024">
        <v>560</v>
      </c>
      <c r="E206" s="1649">
        <f t="shared" si="373"/>
        <v>-16440</v>
      </c>
      <c r="F206" s="1549">
        <f t="shared" si="354"/>
        <v>-96.705882352941174</v>
      </c>
      <c r="G206" s="1545">
        <f t="shared" si="355"/>
        <v>17000</v>
      </c>
      <c r="H206" s="2075">
        <v>1620</v>
      </c>
      <c r="I206" s="1649">
        <f t="shared" si="374"/>
        <v>-15380</v>
      </c>
      <c r="J206" s="1549">
        <f t="shared" si="356"/>
        <v>-90.470588235294116</v>
      </c>
      <c r="K206" s="1545">
        <f t="shared" si="357"/>
        <v>17000</v>
      </c>
      <c r="L206" s="1649">
        <v>4760</v>
      </c>
      <c r="M206" s="1649">
        <f t="shared" si="375"/>
        <v>-12240</v>
      </c>
      <c r="N206" s="1549">
        <f t="shared" si="358"/>
        <v>-72</v>
      </c>
      <c r="O206" s="1545">
        <f t="shared" si="359"/>
        <v>17000</v>
      </c>
      <c r="P206" s="1649"/>
      <c r="Q206" s="1649">
        <f t="shared" si="376"/>
        <v>-17000</v>
      </c>
      <c r="R206" s="1549">
        <f t="shared" si="360"/>
        <v>-100</v>
      </c>
      <c r="S206" s="1545">
        <f t="shared" si="361"/>
        <v>17000</v>
      </c>
      <c r="T206" s="1649"/>
      <c r="U206" s="1649">
        <f t="shared" si="377"/>
        <v>-17000</v>
      </c>
      <c r="V206" s="1549">
        <f t="shared" si="362"/>
        <v>-100</v>
      </c>
      <c r="W206" s="1545">
        <f t="shared" si="348"/>
        <v>17000</v>
      </c>
      <c r="X206" s="1649"/>
      <c r="Y206" s="1649">
        <f t="shared" si="378"/>
        <v>-17000</v>
      </c>
      <c r="Z206" s="1549">
        <f t="shared" si="363"/>
        <v>-100</v>
      </c>
      <c r="AA206" s="1545">
        <f t="shared" si="349"/>
        <v>17000</v>
      </c>
      <c r="AB206" s="1649"/>
      <c r="AC206" s="1649">
        <f t="shared" si="379"/>
        <v>-17000</v>
      </c>
      <c r="AD206" s="1549">
        <f t="shared" si="364"/>
        <v>-100</v>
      </c>
      <c r="AE206" s="1545">
        <f t="shared" si="350"/>
        <v>17000</v>
      </c>
      <c r="AF206" s="1649"/>
      <c r="AG206" s="1649">
        <f t="shared" si="380"/>
        <v>-17000</v>
      </c>
      <c r="AH206" s="1549">
        <f t="shared" si="365"/>
        <v>-100</v>
      </c>
      <c r="AI206" s="1545">
        <f t="shared" si="366"/>
        <v>17000</v>
      </c>
      <c r="AJ206" s="1649"/>
      <c r="AK206" s="1649">
        <f t="shared" si="381"/>
        <v>-17000</v>
      </c>
      <c r="AL206" s="1549">
        <f t="shared" si="367"/>
        <v>-100</v>
      </c>
      <c r="AM206" s="1545">
        <f t="shared" si="351"/>
        <v>17000</v>
      </c>
      <c r="AN206" s="1649"/>
      <c r="AO206" s="1649">
        <f t="shared" si="382"/>
        <v>-17000</v>
      </c>
      <c r="AP206" s="1549">
        <f t="shared" si="368"/>
        <v>-100</v>
      </c>
      <c r="AQ206" s="1545">
        <f t="shared" si="352"/>
        <v>17000</v>
      </c>
      <c r="AR206" s="1649"/>
      <c r="AS206" s="1649">
        <f t="shared" si="383"/>
        <v>-17000</v>
      </c>
      <c r="AT206" s="1549">
        <f t="shared" si="369"/>
        <v>-100</v>
      </c>
      <c r="AU206" s="1545">
        <f t="shared" si="353"/>
        <v>17000</v>
      </c>
      <c r="AV206" s="1649"/>
      <c r="AW206" s="1649">
        <f t="shared" si="384"/>
        <v>-17000</v>
      </c>
      <c r="AX206" s="1549">
        <f t="shared" si="370"/>
        <v>-100</v>
      </c>
      <c r="AY206" s="2061">
        <f t="shared" si="371"/>
        <v>204000</v>
      </c>
      <c r="AZ206" s="1616">
        <f t="shared" si="372"/>
        <v>6940</v>
      </c>
      <c r="BB206" s="12"/>
    </row>
    <row r="207" spans="1:54" s="1421" customFormat="1" ht="18.75" customHeight="1" x14ac:dyDescent="0.25">
      <c r="A207" s="170">
        <v>12280</v>
      </c>
      <c r="B207" s="152" t="s">
        <v>209</v>
      </c>
      <c r="C207" s="1545">
        <v>23000</v>
      </c>
      <c r="D207" s="2024">
        <v>27227.47</v>
      </c>
      <c r="E207" s="1649">
        <f t="shared" si="373"/>
        <v>4227.4700000000012</v>
      </c>
      <c r="F207" s="1549">
        <f t="shared" si="354"/>
        <v>18.380304347826094</v>
      </c>
      <c r="G207" s="1545">
        <f t="shared" si="355"/>
        <v>23000</v>
      </c>
      <c r="H207" s="2075">
        <f>VLOOKUP(A207,'[1]r_balancete_sc 02-2022'!$1:$1048576,9,0)</f>
        <v>11528.22</v>
      </c>
      <c r="I207" s="1649">
        <f t="shared" si="374"/>
        <v>-11471.78</v>
      </c>
      <c r="J207" s="1549">
        <f t="shared" si="356"/>
        <v>-49.87730434782609</v>
      </c>
      <c r="K207" s="1545">
        <f t="shared" si="357"/>
        <v>23000</v>
      </c>
      <c r="L207" s="1649">
        <f>VLOOKUP(A207,'[2]bALANCETE ORÇAMENTO'!$1:$1048576,7,0)</f>
        <v>36936.53</v>
      </c>
      <c r="M207" s="1649">
        <f t="shared" si="375"/>
        <v>13936.529999999999</v>
      </c>
      <c r="N207" s="1549">
        <f t="shared" si="358"/>
        <v>60.593608695652179</v>
      </c>
      <c r="O207" s="1545">
        <f t="shared" si="359"/>
        <v>23000</v>
      </c>
      <c r="P207" s="1649"/>
      <c r="Q207" s="1649">
        <f t="shared" si="376"/>
        <v>-23000</v>
      </c>
      <c r="R207" s="1549">
        <f t="shared" si="360"/>
        <v>-100</v>
      </c>
      <c r="S207" s="1545">
        <f t="shared" si="361"/>
        <v>23000</v>
      </c>
      <c r="T207" s="1649"/>
      <c r="U207" s="1649">
        <f t="shared" si="377"/>
        <v>-23000</v>
      </c>
      <c r="V207" s="1549">
        <f t="shared" si="362"/>
        <v>-100</v>
      </c>
      <c r="W207" s="1545">
        <f t="shared" si="348"/>
        <v>23000</v>
      </c>
      <c r="X207" s="1649"/>
      <c r="Y207" s="1649">
        <f t="shared" si="378"/>
        <v>-23000</v>
      </c>
      <c r="Z207" s="1549">
        <f t="shared" si="363"/>
        <v>-100</v>
      </c>
      <c r="AA207" s="1545">
        <f t="shared" si="349"/>
        <v>23000</v>
      </c>
      <c r="AB207" s="1649"/>
      <c r="AC207" s="1649">
        <f t="shared" si="379"/>
        <v>-23000</v>
      </c>
      <c r="AD207" s="1549">
        <f t="shared" si="364"/>
        <v>-100</v>
      </c>
      <c r="AE207" s="1545">
        <f t="shared" si="350"/>
        <v>23000</v>
      </c>
      <c r="AF207" s="1649"/>
      <c r="AG207" s="1649">
        <f t="shared" si="380"/>
        <v>-23000</v>
      </c>
      <c r="AH207" s="1549">
        <f t="shared" si="365"/>
        <v>-100</v>
      </c>
      <c r="AI207" s="1545">
        <f t="shared" si="366"/>
        <v>23000</v>
      </c>
      <c r="AJ207" s="1649"/>
      <c r="AK207" s="1649">
        <f t="shared" si="381"/>
        <v>-23000</v>
      </c>
      <c r="AL207" s="1549">
        <f t="shared" si="367"/>
        <v>-100</v>
      </c>
      <c r="AM207" s="1545">
        <f t="shared" si="351"/>
        <v>23000</v>
      </c>
      <c r="AN207" s="1649"/>
      <c r="AO207" s="1649">
        <f t="shared" si="382"/>
        <v>-23000</v>
      </c>
      <c r="AP207" s="1549">
        <f t="shared" si="368"/>
        <v>-100</v>
      </c>
      <c r="AQ207" s="1545">
        <f t="shared" si="352"/>
        <v>23000</v>
      </c>
      <c r="AR207" s="1649"/>
      <c r="AS207" s="1649">
        <f t="shared" si="383"/>
        <v>-23000</v>
      </c>
      <c r="AT207" s="1549">
        <f t="shared" si="369"/>
        <v>-100</v>
      </c>
      <c r="AU207" s="1545">
        <f t="shared" si="353"/>
        <v>23000</v>
      </c>
      <c r="AV207" s="1649"/>
      <c r="AW207" s="1649">
        <f t="shared" si="384"/>
        <v>-23000</v>
      </c>
      <c r="AX207" s="1549">
        <f t="shared" si="370"/>
        <v>-100</v>
      </c>
      <c r="AY207" s="2061">
        <f t="shared" si="371"/>
        <v>276000</v>
      </c>
      <c r="AZ207" s="1616">
        <f t="shared" si="372"/>
        <v>75692.22</v>
      </c>
      <c r="BB207" s="12"/>
    </row>
    <row r="208" spans="1:54" s="1421" customFormat="1" ht="18.75" customHeight="1" x14ac:dyDescent="0.25">
      <c r="A208" s="170">
        <v>12888</v>
      </c>
      <c r="B208" s="152" t="s">
        <v>3836</v>
      </c>
      <c r="C208" s="1545">
        <v>8225</v>
      </c>
      <c r="D208" s="2024">
        <v>26027.47</v>
      </c>
      <c r="E208" s="1649">
        <f t="shared" si="373"/>
        <v>17802.47</v>
      </c>
      <c r="F208" s="1549">
        <f t="shared" si="354"/>
        <v>216.44340425531917</v>
      </c>
      <c r="G208" s="1545">
        <f t="shared" si="355"/>
        <v>8225</v>
      </c>
      <c r="H208" s="1611">
        <v>15321.57</v>
      </c>
      <c r="I208" s="1649">
        <f t="shared" si="374"/>
        <v>7096.57</v>
      </c>
      <c r="J208" s="1549">
        <f t="shared" si="356"/>
        <v>86.280486322188452</v>
      </c>
      <c r="K208" s="1545">
        <f t="shared" si="357"/>
        <v>8225</v>
      </c>
      <c r="L208" s="1649">
        <v>32496.53</v>
      </c>
      <c r="M208" s="1649">
        <f t="shared" si="375"/>
        <v>24271.53</v>
      </c>
      <c r="N208" s="1549">
        <f t="shared" si="358"/>
        <v>295.09458966565347</v>
      </c>
      <c r="O208" s="1545">
        <f t="shared" si="359"/>
        <v>8225</v>
      </c>
      <c r="P208" s="1649"/>
      <c r="Q208" s="1649">
        <f t="shared" si="376"/>
        <v>-8225</v>
      </c>
      <c r="R208" s="1549">
        <f t="shared" si="360"/>
        <v>-100</v>
      </c>
      <c r="S208" s="1545">
        <f t="shared" si="361"/>
        <v>8225</v>
      </c>
      <c r="T208" s="1649"/>
      <c r="U208" s="1649">
        <f t="shared" si="377"/>
        <v>-8225</v>
      </c>
      <c r="V208" s="1549">
        <f t="shared" si="362"/>
        <v>-100</v>
      </c>
      <c r="W208" s="1545">
        <f t="shared" si="348"/>
        <v>8225</v>
      </c>
      <c r="X208" s="1649"/>
      <c r="Y208" s="1649">
        <f t="shared" si="378"/>
        <v>-8225</v>
      </c>
      <c r="Z208" s="1549">
        <f t="shared" si="363"/>
        <v>-100</v>
      </c>
      <c r="AA208" s="1545">
        <f t="shared" si="349"/>
        <v>8225</v>
      </c>
      <c r="AB208" s="1649"/>
      <c r="AC208" s="1649">
        <f t="shared" si="379"/>
        <v>-8225</v>
      </c>
      <c r="AD208" s="1549">
        <f t="shared" si="364"/>
        <v>-100</v>
      </c>
      <c r="AE208" s="1545">
        <f t="shared" si="350"/>
        <v>8225</v>
      </c>
      <c r="AF208" s="1649"/>
      <c r="AG208" s="1649">
        <f t="shared" si="380"/>
        <v>-8225</v>
      </c>
      <c r="AH208" s="1549">
        <f t="shared" si="365"/>
        <v>-100</v>
      </c>
      <c r="AI208" s="1545">
        <f t="shared" si="366"/>
        <v>8225</v>
      </c>
      <c r="AJ208" s="1649"/>
      <c r="AK208" s="1649">
        <f t="shared" si="381"/>
        <v>-8225</v>
      </c>
      <c r="AL208" s="1549">
        <f t="shared" si="367"/>
        <v>-100</v>
      </c>
      <c r="AM208" s="1545">
        <f t="shared" si="351"/>
        <v>8225</v>
      </c>
      <c r="AN208" s="1649"/>
      <c r="AO208" s="1649">
        <f t="shared" si="382"/>
        <v>-8225</v>
      </c>
      <c r="AP208" s="1549">
        <f t="shared" si="368"/>
        <v>-100</v>
      </c>
      <c r="AQ208" s="1545">
        <f t="shared" si="352"/>
        <v>8225</v>
      </c>
      <c r="AR208" s="1649"/>
      <c r="AS208" s="1649">
        <f t="shared" si="383"/>
        <v>-8225</v>
      </c>
      <c r="AT208" s="1549">
        <f t="shared" si="369"/>
        <v>-100</v>
      </c>
      <c r="AU208" s="1545">
        <f t="shared" si="353"/>
        <v>8225</v>
      </c>
      <c r="AV208" s="1649"/>
      <c r="AW208" s="1649">
        <f t="shared" si="384"/>
        <v>-8225</v>
      </c>
      <c r="AX208" s="1549">
        <f t="shared" si="370"/>
        <v>-100</v>
      </c>
      <c r="AY208" s="2061">
        <f t="shared" si="371"/>
        <v>98700</v>
      </c>
      <c r="AZ208" s="1616">
        <f t="shared" si="372"/>
        <v>73845.570000000007</v>
      </c>
      <c r="BB208" s="12"/>
    </row>
    <row r="209" spans="1:54" s="1421" customFormat="1" ht="18.75" customHeight="1" x14ac:dyDescent="0.25">
      <c r="A209" s="170">
        <v>51761</v>
      </c>
      <c r="B209" s="152" t="s">
        <v>3837</v>
      </c>
      <c r="C209" s="2077">
        <v>3000</v>
      </c>
      <c r="D209" s="2026">
        <v>0</v>
      </c>
      <c r="E209" s="2052">
        <f t="shared" si="373"/>
        <v>-3000</v>
      </c>
      <c r="F209" s="1577">
        <f t="shared" si="354"/>
        <v>-100</v>
      </c>
      <c r="G209" s="2077">
        <f t="shared" si="355"/>
        <v>3000</v>
      </c>
      <c r="H209" s="1611">
        <v>0</v>
      </c>
      <c r="I209" s="1576">
        <f t="shared" si="374"/>
        <v>-3000</v>
      </c>
      <c r="J209" s="1577">
        <f t="shared" si="356"/>
        <v>-100</v>
      </c>
      <c r="K209" s="2102">
        <f t="shared" si="357"/>
        <v>3000</v>
      </c>
      <c r="L209" s="1576">
        <v>0</v>
      </c>
      <c r="M209" s="2152">
        <f t="shared" si="375"/>
        <v>-3000</v>
      </c>
      <c r="N209" s="1577">
        <f t="shared" si="358"/>
        <v>-100</v>
      </c>
      <c r="O209" s="2421">
        <f t="shared" si="359"/>
        <v>3000</v>
      </c>
      <c r="P209" s="1576"/>
      <c r="Q209" s="2152">
        <f t="shared" si="376"/>
        <v>-3000</v>
      </c>
      <c r="R209" s="1577">
        <f t="shared" si="360"/>
        <v>-100</v>
      </c>
      <c r="S209" s="1656">
        <f t="shared" si="361"/>
        <v>3000</v>
      </c>
      <c r="T209" s="1576"/>
      <c r="U209" s="2152">
        <f t="shared" si="377"/>
        <v>-3000</v>
      </c>
      <c r="V209" s="1577">
        <f t="shared" si="362"/>
        <v>-100</v>
      </c>
      <c r="W209" s="2421">
        <f t="shared" si="348"/>
        <v>3000</v>
      </c>
      <c r="X209" s="1576"/>
      <c r="Y209" s="1576">
        <f t="shared" si="378"/>
        <v>-3000</v>
      </c>
      <c r="Z209" s="1577">
        <f t="shared" si="363"/>
        <v>-100</v>
      </c>
      <c r="AA209" s="1656">
        <f t="shared" si="349"/>
        <v>3000</v>
      </c>
      <c r="AB209" s="1576"/>
      <c r="AC209" s="1576">
        <f t="shared" si="379"/>
        <v>-3000</v>
      </c>
      <c r="AD209" s="1577">
        <f t="shared" si="364"/>
        <v>-100</v>
      </c>
      <c r="AE209" s="2421">
        <f t="shared" si="350"/>
        <v>3000</v>
      </c>
      <c r="AF209" s="2052"/>
      <c r="AG209" s="1576">
        <f t="shared" si="380"/>
        <v>-3000</v>
      </c>
      <c r="AH209" s="1577">
        <f t="shared" si="365"/>
        <v>-100</v>
      </c>
      <c r="AI209" s="2421">
        <f t="shared" si="366"/>
        <v>3000</v>
      </c>
      <c r="AJ209" s="1576"/>
      <c r="AK209" s="2152">
        <f t="shared" si="381"/>
        <v>-3000</v>
      </c>
      <c r="AL209" s="1577">
        <f t="shared" si="367"/>
        <v>-100</v>
      </c>
      <c r="AM209" s="1656">
        <f t="shared" si="351"/>
        <v>3000</v>
      </c>
      <c r="AN209" s="1576"/>
      <c r="AO209" s="1576">
        <f t="shared" si="382"/>
        <v>-3000</v>
      </c>
      <c r="AP209" s="1577">
        <f t="shared" si="368"/>
        <v>-100</v>
      </c>
      <c r="AQ209" s="1656">
        <f t="shared" si="352"/>
        <v>3000</v>
      </c>
      <c r="AR209" s="1576"/>
      <c r="AS209" s="2152">
        <f t="shared" si="383"/>
        <v>-3000</v>
      </c>
      <c r="AT209" s="1577">
        <f t="shared" si="369"/>
        <v>-100</v>
      </c>
      <c r="AU209" s="1656">
        <f t="shared" si="353"/>
        <v>3000</v>
      </c>
      <c r="AV209" s="1576"/>
      <c r="AW209" s="1576">
        <f t="shared" si="384"/>
        <v>-3000</v>
      </c>
      <c r="AX209" s="2195">
        <f t="shared" si="370"/>
        <v>-100</v>
      </c>
      <c r="AY209" s="1616">
        <f>C209+G209+K209+O209+S209+W209+AA209+AE209+AI209+AM209+AQ209+AU209</f>
        <v>36000</v>
      </c>
      <c r="AZ209" s="1613"/>
      <c r="BB209" s="12"/>
    </row>
    <row r="210" spans="1:54" s="1421" customFormat="1" ht="18.75" customHeight="1" x14ac:dyDescent="0.25">
      <c r="A210" s="1123">
        <v>52238</v>
      </c>
      <c r="B210" s="1424" t="s">
        <v>3905</v>
      </c>
      <c r="C210" s="1656">
        <v>0</v>
      </c>
      <c r="D210" s="2014">
        <v>0</v>
      </c>
      <c r="E210" s="1576">
        <f t="shared" si="373"/>
        <v>0</v>
      </c>
      <c r="F210" s="1539">
        <v>0</v>
      </c>
      <c r="G210" s="1656">
        <f t="shared" si="355"/>
        <v>0</v>
      </c>
      <c r="H210" s="1611">
        <v>0</v>
      </c>
      <c r="I210" s="1576">
        <f t="shared" si="374"/>
        <v>0</v>
      </c>
      <c r="J210" s="1577">
        <v>0</v>
      </c>
      <c r="K210" s="1656">
        <v>0</v>
      </c>
      <c r="L210" s="2052">
        <f>VLOOKUP(A210,'[2]bALANCETE ORÇAMENTO'!$1:$1048576,7,0)</f>
        <v>957.44</v>
      </c>
      <c r="M210" s="1576">
        <f t="shared" si="375"/>
        <v>957.44</v>
      </c>
      <c r="N210" s="1577">
        <v>0</v>
      </c>
      <c r="O210" s="2421"/>
      <c r="P210" s="1576"/>
      <c r="Q210" s="1576">
        <f t="shared" si="376"/>
        <v>0</v>
      </c>
      <c r="R210" s="1539">
        <v>0</v>
      </c>
      <c r="S210" s="1656"/>
      <c r="T210" s="2052"/>
      <c r="U210" s="1576">
        <f t="shared" si="377"/>
        <v>0</v>
      </c>
      <c r="V210" s="1539">
        <v>0</v>
      </c>
      <c r="W210" s="2421"/>
      <c r="X210" s="1576"/>
      <c r="Y210" s="1576">
        <f t="shared" si="378"/>
        <v>0</v>
      </c>
      <c r="Z210" s="1577">
        <v>0</v>
      </c>
      <c r="AA210" s="2421"/>
      <c r="AB210" s="1576"/>
      <c r="AC210" s="1576">
        <f t="shared" si="379"/>
        <v>0</v>
      </c>
      <c r="AD210" s="1539">
        <v>0</v>
      </c>
      <c r="AE210" s="2421"/>
      <c r="AF210" s="1576"/>
      <c r="AG210" s="1576">
        <f t="shared" si="380"/>
        <v>0</v>
      </c>
      <c r="AH210" s="1577">
        <v>0</v>
      </c>
      <c r="AI210" s="1656"/>
      <c r="AJ210" s="2052"/>
      <c r="AK210" s="1576">
        <f t="shared" si="381"/>
        <v>0</v>
      </c>
      <c r="AL210" s="1577">
        <v>0</v>
      </c>
      <c r="AM210" s="2421"/>
      <c r="AN210" s="2052"/>
      <c r="AO210" s="1576">
        <f t="shared" si="382"/>
        <v>0</v>
      </c>
      <c r="AP210" s="1577">
        <v>0</v>
      </c>
      <c r="AQ210" s="2421"/>
      <c r="AR210" s="2052"/>
      <c r="AS210" s="1576">
        <f t="shared" si="383"/>
        <v>0</v>
      </c>
      <c r="AT210" s="1539">
        <v>0</v>
      </c>
      <c r="AU210" s="1546"/>
      <c r="AV210" s="2195"/>
      <c r="AW210" s="1576">
        <f t="shared" si="384"/>
        <v>0</v>
      </c>
      <c r="AX210" s="1577">
        <v>0</v>
      </c>
      <c r="AY210" s="2066"/>
      <c r="AZ210" s="1613"/>
      <c r="BB210" s="12"/>
    </row>
    <row r="211" spans="1:54" s="1421" customFormat="1" ht="18.75" customHeight="1" x14ac:dyDescent="0.25">
      <c r="A211" s="579">
        <v>51090</v>
      </c>
      <c r="B211" s="1424" t="s">
        <v>210</v>
      </c>
      <c r="C211" s="2421">
        <v>18000</v>
      </c>
      <c r="D211" s="2014">
        <v>6313.5</v>
      </c>
      <c r="E211" s="1576">
        <f t="shared" si="373"/>
        <v>-11686.5</v>
      </c>
      <c r="F211" s="1577">
        <f t="shared" si="354"/>
        <v>-64.924999999999997</v>
      </c>
      <c r="G211" s="2421">
        <f t="shared" si="355"/>
        <v>18000</v>
      </c>
      <c r="H211" s="2075">
        <f>VLOOKUP(A211,'[1]r_balancete_sc 02-2022'!$1:$1048576,9,0)</f>
        <v>24023.5</v>
      </c>
      <c r="I211" s="1647">
        <f t="shared" si="374"/>
        <v>6023.5</v>
      </c>
      <c r="J211" s="1648">
        <f>((H211/G211)-1)*100</f>
        <v>33.463888888888896</v>
      </c>
      <c r="K211" s="1646">
        <f>G211</f>
        <v>18000</v>
      </c>
      <c r="L211" s="1576">
        <f>VLOOKUP(A211,'[2]bALANCETE ORÇAMENTO'!$1:$1048576,7,0)</f>
        <v>8089.75</v>
      </c>
      <c r="M211" s="1576">
        <f t="shared" si="375"/>
        <v>-9910.25</v>
      </c>
      <c r="N211" s="1577">
        <f t="shared" ref="N211" si="385">((L211/K211)-1)*100</f>
        <v>-55.056944444444447</v>
      </c>
      <c r="O211" s="2421">
        <f>K211</f>
        <v>18000</v>
      </c>
      <c r="P211" s="1647"/>
      <c r="Q211" s="1647">
        <f t="shared" si="376"/>
        <v>-18000</v>
      </c>
      <c r="R211" s="1648">
        <f t="shared" ref="R211" si="386">((P211/O211)-1)*100</f>
        <v>-100</v>
      </c>
      <c r="S211" s="1646">
        <f>O211</f>
        <v>18000</v>
      </c>
      <c r="T211" s="1647"/>
      <c r="U211" s="1647">
        <f t="shared" si="377"/>
        <v>-18000</v>
      </c>
      <c r="V211" s="1648">
        <f t="shared" ref="V211" si="387">((T211/S211)-1)*100</f>
        <v>-100</v>
      </c>
      <c r="W211" s="1646">
        <f t="shared" si="348"/>
        <v>18000</v>
      </c>
      <c r="X211" s="1647"/>
      <c r="Y211" s="1647">
        <f t="shared" si="378"/>
        <v>-18000</v>
      </c>
      <c r="Z211" s="1648">
        <f t="shared" ref="Z211" si="388">((X211/W211)-1)*100</f>
        <v>-100</v>
      </c>
      <c r="AA211" s="2421">
        <f t="shared" si="349"/>
        <v>18000</v>
      </c>
      <c r="AB211" s="1576"/>
      <c r="AC211" s="1576">
        <f t="shared" si="379"/>
        <v>-18000</v>
      </c>
      <c r="AD211" s="1648">
        <f t="shared" ref="AD211" si="389">((AB211/AA211)-1)*100</f>
        <v>-100</v>
      </c>
      <c r="AE211" s="2421">
        <f t="shared" si="350"/>
        <v>18000</v>
      </c>
      <c r="AF211" s="1647"/>
      <c r="AG211" s="1647">
        <f t="shared" si="380"/>
        <v>-18000</v>
      </c>
      <c r="AH211" s="1648">
        <f t="shared" ref="AH211" si="390">((AF211/AE211)-1)*100</f>
        <v>-100</v>
      </c>
      <c r="AI211" s="1646">
        <f t="shared" si="366"/>
        <v>18000</v>
      </c>
      <c r="AJ211" s="1576"/>
      <c r="AK211" s="1647">
        <f t="shared" si="381"/>
        <v>-18000</v>
      </c>
      <c r="AL211" s="1648">
        <f t="shared" ref="AL211" si="391">((AJ211/AI211)-1)*100</f>
        <v>-100</v>
      </c>
      <c r="AM211" s="2421">
        <f t="shared" si="351"/>
        <v>18000</v>
      </c>
      <c r="AN211" s="1576"/>
      <c r="AO211" s="1647">
        <f t="shared" si="382"/>
        <v>-18000</v>
      </c>
      <c r="AP211" s="1648">
        <f t="shared" ref="AP211" si="392">((AN211/AM211)-1)*100</f>
        <v>-100</v>
      </c>
      <c r="AQ211" s="1646">
        <f t="shared" si="352"/>
        <v>18000</v>
      </c>
      <c r="AR211" s="1576"/>
      <c r="AS211" s="1576">
        <f t="shared" si="383"/>
        <v>-18000</v>
      </c>
      <c r="AT211" s="1577">
        <f t="shared" ref="AT211" si="393">((AR211/AQ211)-1)*100</f>
        <v>-100</v>
      </c>
      <c r="AU211" s="1646">
        <f t="shared" si="353"/>
        <v>18000</v>
      </c>
      <c r="AV211" s="1647"/>
      <c r="AW211" s="1576">
        <f t="shared" si="384"/>
        <v>-18000</v>
      </c>
      <c r="AX211" s="1648">
        <f t="shared" ref="AX211" si="394">((AV211/AU211)-1)*100</f>
        <v>-100</v>
      </c>
      <c r="AY211" s="2062">
        <f>C211+G211+K211+O211+S211+W211+AA211+AE211+AI211+AM211+AQ211+AU211</f>
        <v>216000</v>
      </c>
      <c r="AZ211" s="1613">
        <f>D211+H211+L211+P211+T211+X211+AB211+AF211+AJ211+AN211+AR211+AV211</f>
        <v>38426.75</v>
      </c>
      <c r="BA211" s="401"/>
      <c r="BB211" s="12"/>
    </row>
    <row r="212" spans="1:54" s="1421" customFormat="1" ht="18.75" customHeight="1" thickBot="1" x14ac:dyDescent="0.3">
      <c r="A212" s="506">
        <v>12336</v>
      </c>
      <c r="B212" s="1540" t="s">
        <v>47</v>
      </c>
      <c r="C212" s="1547"/>
      <c r="D212" s="2015"/>
      <c r="E212" s="1539"/>
      <c r="F212" s="1238"/>
      <c r="G212" s="1539"/>
      <c r="H212" s="1669"/>
      <c r="I212" s="1578"/>
      <c r="J212" s="1648"/>
      <c r="K212" s="1646"/>
      <c r="L212" s="2494">
        <v>233.94</v>
      </c>
      <c r="M212" s="2494"/>
      <c r="N212" s="1238"/>
      <c r="O212" s="2422"/>
      <c r="P212" s="1578"/>
      <c r="Q212" s="1551"/>
      <c r="R212" s="1238"/>
      <c r="S212" s="1547"/>
      <c r="T212" s="1578"/>
      <c r="U212" s="1551"/>
      <c r="V212" s="1238"/>
      <c r="W212" s="1547"/>
      <c r="X212" s="1578"/>
      <c r="Y212" s="1578"/>
      <c r="Z212" s="1239"/>
      <c r="AA212" s="1539"/>
      <c r="AB212" s="2494"/>
      <c r="AC212" s="2494"/>
      <c r="AD212" s="1238"/>
      <c r="AE212" s="1657"/>
      <c r="AF212" s="2494"/>
      <c r="AG212" s="1578"/>
      <c r="AH212" s="1239"/>
      <c r="AI212" s="2422"/>
      <c r="AJ212" s="2459"/>
      <c r="AK212" s="2494"/>
      <c r="AL212" s="1238"/>
      <c r="AM212" s="2422"/>
      <c r="AN212" s="1539"/>
      <c r="AO212" s="2494"/>
      <c r="AP212" s="1238"/>
      <c r="AQ212" s="2422"/>
      <c r="AR212" s="1578"/>
      <c r="AS212" s="2459"/>
      <c r="AT212" s="1238"/>
      <c r="AU212" s="1547"/>
      <c r="AV212" s="2494"/>
      <c r="AW212" s="2494"/>
      <c r="AX212" s="1238"/>
      <c r="AY212" s="2418"/>
      <c r="AZ212" s="1562"/>
      <c r="BA212" s="401"/>
      <c r="BB212" s="12"/>
    </row>
    <row r="213" spans="1:54" s="1421" customFormat="1" ht="18.75" customHeight="1" thickBot="1" x14ac:dyDescent="0.3">
      <c r="A213" s="161"/>
      <c r="B213" s="1119"/>
      <c r="C213" s="1988"/>
      <c r="D213" s="1989"/>
      <c r="E213" s="1985"/>
      <c r="F213" s="1988"/>
      <c r="G213" s="2468"/>
      <c r="H213" s="1985"/>
      <c r="I213" s="1985"/>
      <c r="J213" s="1985"/>
      <c r="K213" s="2468"/>
      <c r="L213" s="1985"/>
      <c r="M213" s="1988"/>
      <c r="N213" s="1985"/>
      <c r="O213" s="2468"/>
      <c r="P213" s="1988"/>
      <c r="Q213" s="1988"/>
      <c r="R213" s="1988"/>
      <c r="S213" s="551"/>
      <c r="T213" s="1988"/>
      <c r="U213" s="1988"/>
      <c r="V213" s="1988"/>
      <c r="W213" s="2468"/>
      <c r="X213" s="1988"/>
      <c r="Y213" s="1985"/>
      <c r="Z213" s="1985"/>
      <c r="AA213" s="2468"/>
      <c r="AB213" s="1985"/>
      <c r="AC213" s="1985"/>
      <c r="AD213" s="1988"/>
      <c r="AE213" s="551"/>
      <c r="AF213" s="1988"/>
      <c r="AG213" s="1988"/>
      <c r="AH213" s="1988"/>
      <c r="AI213" s="2468"/>
      <c r="AJ213" s="1988"/>
      <c r="AK213" s="1988"/>
      <c r="AL213" s="1985"/>
      <c r="AM213" s="551"/>
      <c r="AN213" s="1985"/>
      <c r="AO213" s="1988"/>
      <c r="AP213" s="1985"/>
      <c r="AQ213" s="551"/>
      <c r="AR213" s="1988"/>
      <c r="AS213" s="1988"/>
      <c r="AT213" s="1988"/>
      <c r="AU213" s="2468"/>
      <c r="AV213" s="1985"/>
      <c r="AW213" s="1985"/>
      <c r="AX213" s="1988"/>
      <c r="AY213" s="2025"/>
      <c r="AZ213" s="2025"/>
      <c r="BA213" s="1172"/>
      <c r="BB213" s="1172"/>
    </row>
    <row r="214" spans="1:54" s="551" customFormat="1" ht="18.75" customHeight="1" thickBot="1" x14ac:dyDescent="0.3">
      <c r="A214" s="557"/>
      <c r="B214" s="559" t="s">
        <v>3920</v>
      </c>
      <c r="C214" s="1391">
        <f>SUM(C215:C259)</f>
        <v>1246650</v>
      </c>
      <c r="D214" s="1973">
        <f>SUM(D215:D262)</f>
        <v>1487193.33</v>
      </c>
      <c r="E214" s="396">
        <f>D214-C214</f>
        <v>240543.33000000007</v>
      </c>
      <c r="F214" s="1403">
        <f>((D214/C214)-1)*100</f>
        <v>19.295177475634716</v>
      </c>
      <c r="G214" s="1391">
        <f>SUM(G215:G259)</f>
        <v>1247950</v>
      </c>
      <c r="H214" s="1973">
        <f>SUM(H215:H262)</f>
        <v>1154052.6100000001</v>
      </c>
      <c r="I214" s="396">
        <f>H214-G214</f>
        <v>-93897.389999999898</v>
      </c>
      <c r="J214" s="1403">
        <f>((H214/G214)-1)*100</f>
        <v>-7.5241307744701285</v>
      </c>
      <c r="K214" s="1391">
        <f>SUM(K215:K259)</f>
        <v>1398650</v>
      </c>
      <c r="L214" s="1973">
        <f>SUM(L215:L262)</f>
        <v>1731800.51</v>
      </c>
      <c r="M214" s="396">
        <f>L214-K214</f>
        <v>333150.51</v>
      </c>
      <c r="N214" s="1403">
        <f>((L214/K214)-1)*100</f>
        <v>23.819433739677542</v>
      </c>
      <c r="O214" s="396">
        <f>SUM(O215:O259)</f>
        <v>1398650</v>
      </c>
      <c r="P214" s="1973">
        <f>SUM(P215:P259)</f>
        <v>0</v>
      </c>
      <c r="Q214" s="396">
        <f>P214-O214</f>
        <v>-1398650</v>
      </c>
      <c r="R214" s="1403">
        <f>((P214/O214)-1)*100</f>
        <v>-100</v>
      </c>
      <c r="S214" s="1391">
        <f>SUM(S215:S259)</f>
        <v>1404110</v>
      </c>
      <c r="T214" s="1973">
        <f>SUM(T215:T259)</f>
        <v>0</v>
      </c>
      <c r="U214" s="396">
        <f>T214-S214</f>
        <v>-1404110</v>
      </c>
      <c r="V214" s="1403">
        <f>((T214/S214)-1)*100</f>
        <v>-100</v>
      </c>
      <c r="W214" s="396">
        <f>SUM(W215:W259)</f>
        <v>1407150</v>
      </c>
      <c r="X214" s="1973">
        <f>SUM(X215:X259)</f>
        <v>0</v>
      </c>
      <c r="Y214" s="396">
        <f>X214-W214</f>
        <v>-1407150</v>
      </c>
      <c r="Z214" s="1403">
        <f>((X214/W214)-1)*100</f>
        <v>-100</v>
      </c>
      <c r="AA214" s="396">
        <f>SUM(AA215:AA259)</f>
        <v>1407150</v>
      </c>
      <c r="AB214" s="1973">
        <f>SUM(AB215:AB259)</f>
        <v>0</v>
      </c>
      <c r="AC214" s="396">
        <f>AB214-AA214</f>
        <v>-1407150</v>
      </c>
      <c r="AD214" s="1403">
        <f>((AB214/AA214)-1)*100</f>
        <v>-100</v>
      </c>
      <c r="AE214" s="1391">
        <f>SUM(AE215:AE259)</f>
        <v>1409150</v>
      </c>
      <c r="AF214" s="1973">
        <f>SUM(AF215:AF259)</f>
        <v>0</v>
      </c>
      <c r="AG214" s="396">
        <f>AF214-AE214</f>
        <v>-1409150</v>
      </c>
      <c r="AH214" s="1403">
        <f>((AF214/AE214)-1)*100</f>
        <v>-100</v>
      </c>
      <c r="AI214" s="1391">
        <f>SUM(AI215:AI259)</f>
        <v>1409150</v>
      </c>
      <c r="AJ214" s="1973">
        <f>SUM(AJ215:AJ259)</f>
        <v>0</v>
      </c>
      <c r="AK214" s="396">
        <f>AJ214-AI214</f>
        <v>-1409150</v>
      </c>
      <c r="AL214" s="1403">
        <f>((AJ214/AI214)-1)*100</f>
        <v>-100</v>
      </c>
      <c r="AM214" s="1391">
        <f>SUM(AM215:AM259)</f>
        <v>1409150</v>
      </c>
      <c r="AN214" s="1973">
        <f>SUM(AN215:AN259)</f>
        <v>0</v>
      </c>
      <c r="AO214" s="396">
        <f>AN214-AM214</f>
        <v>-1409150</v>
      </c>
      <c r="AP214" s="1403">
        <f>((AN214/AM214)-1)*100</f>
        <v>-100</v>
      </c>
      <c r="AQ214" s="1391">
        <f>SUM(AQ215:AQ259)</f>
        <v>1409150</v>
      </c>
      <c r="AR214" s="1973">
        <f>SUM(AR215:AR259)</f>
        <v>0</v>
      </c>
      <c r="AS214" s="396">
        <f>AR214-AQ214</f>
        <v>-1409150</v>
      </c>
      <c r="AT214" s="1403">
        <f>((AR214/AQ214)-1)*100</f>
        <v>-100</v>
      </c>
      <c r="AU214" s="1391">
        <f>SUM(AU215:AU259)</f>
        <v>1409150</v>
      </c>
      <c r="AV214" s="1973">
        <f>SUM(AV215:AV259)</f>
        <v>0</v>
      </c>
      <c r="AW214" s="396">
        <f>AV214-AU214</f>
        <v>-1409150</v>
      </c>
      <c r="AX214" s="1403">
        <f>((AV214/AU214)-1)*100</f>
        <v>-100</v>
      </c>
      <c r="AY214" s="1074">
        <f t="shared" ref="AY214:AZ218" si="395">C214+G214+K214+O214+S214+W214+AA214+AE214+AI214+AM214+AQ214+AU214</f>
        <v>16556060</v>
      </c>
      <c r="AZ214" s="1975">
        <f t="shared" si="395"/>
        <v>4373046.45</v>
      </c>
      <c r="BA214" s="195"/>
      <c r="BB214" s="1176"/>
    </row>
    <row r="215" spans="1:54" s="1421" customFormat="1" ht="18.75" customHeight="1" x14ac:dyDescent="0.25">
      <c r="A215" s="170">
        <v>33248</v>
      </c>
      <c r="B215" s="189" t="s">
        <v>221</v>
      </c>
      <c r="C215" s="1573">
        <v>-65000</v>
      </c>
      <c r="D215" s="2013">
        <v>-80753</v>
      </c>
      <c r="E215" s="1574">
        <f t="shared" ref="E215:E217" si="396">D215-C215</f>
        <v>-15753</v>
      </c>
      <c r="F215" s="1615">
        <f>((D215/C215)-1)*100</f>
        <v>24.235384615384614</v>
      </c>
      <c r="G215" s="1573">
        <f>C215</f>
        <v>-65000</v>
      </c>
      <c r="H215" s="2069">
        <f>VLOOKUP(A215,'[1]r_balancete_sc 02-2022'!$1:$1048576,9,0)</f>
        <v>-80792.39</v>
      </c>
      <c r="I215" s="1574">
        <f>H215-G215</f>
        <v>-15792.39</v>
      </c>
      <c r="J215" s="1615">
        <f>((H215/G215)-1)*100</f>
        <v>24.295984615384626</v>
      </c>
      <c r="K215" s="1573">
        <f>G215</f>
        <v>-65000</v>
      </c>
      <c r="L215" s="1574">
        <f>VLOOKUP(A215,'[2]bALANCETE ORÇAMENTO'!$1:$1048576,7,0)</f>
        <v>-86684.56</v>
      </c>
      <c r="M215" s="1574">
        <f t="shared" ref="M215:M217" si="397">L215-K215</f>
        <v>-21684.559999999998</v>
      </c>
      <c r="N215" s="1615">
        <f>((L215/K215)-1)*100</f>
        <v>33.360861538461542</v>
      </c>
      <c r="O215" s="1573">
        <f>K215</f>
        <v>-65000</v>
      </c>
      <c r="P215" s="1574"/>
      <c r="Q215" s="1574">
        <f t="shared" ref="Q215:Q217" si="398">P215-O215</f>
        <v>65000</v>
      </c>
      <c r="R215" s="1615">
        <f>((P215/O215)-1)*100</f>
        <v>-100</v>
      </c>
      <c r="S215" s="1573">
        <f>O215</f>
        <v>-65000</v>
      </c>
      <c r="T215" s="1574"/>
      <c r="U215" s="1574">
        <f t="shared" ref="U215:U217" si="399">T215-S215</f>
        <v>65000</v>
      </c>
      <c r="V215" s="1615">
        <f>((T215/S215)-1)*100</f>
        <v>-100</v>
      </c>
      <c r="W215" s="1573">
        <f>S215</f>
        <v>-65000</v>
      </c>
      <c r="X215" s="1574"/>
      <c r="Y215" s="1574">
        <f t="shared" ref="Y215:Y217" si="400">X215-W215</f>
        <v>65000</v>
      </c>
      <c r="Z215" s="1615">
        <f>((X215/W215)-1)*100</f>
        <v>-100</v>
      </c>
      <c r="AA215" s="1573">
        <f>W215</f>
        <v>-65000</v>
      </c>
      <c r="AB215" s="1574"/>
      <c r="AC215" s="1574">
        <f t="shared" ref="AC215:AC217" si="401">AB215-AA215</f>
        <v>65000</v>
      </c>
      <c r="AD215" s="1615">
        <f>((AB215/AA215)-1)*100</f>
        <v>-100</v>
      </c>
      <c r="AE215" s="1573">
        <f>AA215</f>
        <v>-65000</v>
      </c>
      <c r="AF215" s="1574"/>
      <c r="AG215" s="1574">
        <f t="shared" ref="AG215:AG217" si="402">AF215-AE215</f>
        <v>65000</v>
      </c>
      <c r="AH215" s="1615">
        <f>((AF215/AE215)-1)*100</f>
        <v>-100</v>
      </c>
      <c r="AI215" s="1573">
        <f>AE215</f>
        <v>-65000</v>
      </c>
      <c r="AJ215" s="1574"/>
      <c r="AK215" s="1574">
        <f t="shared" ref="AK215:AK217" si="403">AJ215-AI215</f>
        <v>65000</v>
      </c>
      <c r="AL215" s="1615">
        <f>((AJ215/AI215)-1)*100</f>
        <v>-100</v>
      </c>
      <c r="AM215" s="1573">
        <f>AI215</f>
        <v>-65000</v>
      </c>
      <c r="AN215" s="1574"/>
      <c r="AO215" s="1574">
        <f t="shared" ref="AO215:AO217" si="404">AN215-AM215</f>
        <v>65000</v>
      </c>
      <c r="AP215" s="1615">
        <f>((AN215/AM215)-1)*100</f>
        <v>-100</v>
      </c>
      <c r="AQ215" s="1573">
        <f>AM215</f>
        <v>-65000</v>
      </c>
      <c r="AR215" s="1574"/>
      <c r="AS215" s="1574">
        <f t="shared" ref="AS215:AS217" si="405">AR215-AQ215</f>
        <v>65000</v>
      </c>
      <c r="AT215" s="1615">
        <f>((AR215/AQ215)-1)*100</f>
        <v>-100</v>
      </c>
      <c r="AU215" s="1573">
        <f>AQ215</f>
        <v>-65000</v>
      </c>
      <c r="AV215" s="1574"/>
      <c r="AW215" s="1574">
        <f t="shared" ref="AW215:AW217" si="406">AV215-AU215</f>
        <v>65000</v>
      </c>
      <c r="AX215" s="1615">
        <f>((AV215/AU215)-1)*100</f>
        <v>-100</v>
      </c>
      <c r="AY215" s="1235">
        <f t="shared" si="395"/>
        <v>-780000</v>
      </c>
      <c r="AZ215" s="1616">
        <f t="shared" si="395"/>
        <v>-248229.95</v>
      </c>
      <c r="BA215" s="805"/>
      <c r="BB215" s="1178"/>
    </row>
    <row r="216" spans="1:54" s="1421" customFormat="1" ht="18.75" customHeight="1" x14ac:dyDescent="0.25">
      <c r="A216" s="170">
        <v>11563</v>
      </c>
      <c r="B216" s="124" t="s">
        <v>3679</v>
      </c>
      <c r="C216" s="1546">
        <v>125000</v>
      </c>
      <c r="D216" s="2014">
        <v>132260</v>
      </c>
      <c r="E216" s="1576">
        <f t="shared" si="396"/>
        <v>7260</v>
      </c>
      <c r="F216" s="1236">
        <f>((D216/C216)-1)*100</f>
        <v>5.8079999999999909</v>
      </c>
      <c r="G216" s="1546">
        <v>126300</v>
      </c>
      <c r="H216" s="2075">
        <f>VLOOKUP(A216,'[1]r_balancete_sc 02-2022'!$1:$1048576,9,0)</f>
        <v>109328.94</v>
      </c>
      <c r="I216" s="1576">
        <f>H216-G216</f>
        <v>-16971.059999999998</v>
      </c>
      <c r="J216" s="1236">
        <f>((H216/G216)-1)*100</f>
        <v>-13.437102137767221</v>
      </c>
      <c r="K216" s="1546">
        <v>127000</v>
      </c>
      <c r="L216" s="1576">
        <f>VLOOKUP(A216,'[2]bALANCETE ORÇAMENTO'!$1:$1048576,7,0)</f>
        <v>163036.5</v>
      </c>
      <c r="M216" s="1576">
        <f t="shared" si="397"/>
        <v>36036.5</v>
      </c>
      <c r="N216" s="1236">
        <f>((L216/K216)-1)*100</f>
        <v>28.375196850393692</v>
      </c>
      <c r="O216" s="1546">
        <v>127000</v>
      </c>
      <c r="P216" s="1576"/>
      <c r="Q216" s="1576">
        <f t="shared" si="398"/>
        <v>-127000</v>
      </c>
      <c r="R216" s="1236">
        <f>((P216/O216)-1)*100</f>
        <v>-100</v>
      </c>
      <c r="S216" s="1546">
        <v>132200</v>
      </c>
      <c r="T216" s="1576"/>
      <c r="U216" s="1576">
        <f t="shared" si="399"/>
        <v>-132200</v>
      </c>
      <c r="V216" s="1236">
        <f>((T216/S216)-1)*100</f>
        <v>-100</v>
      </c>
      <c r="W216" s="1546">
        <v>135500</v>
      </c>
      <c r="X216" s="1576"/>
      <c r="Y216" s="1576">
        <f t="shared" si="400"/>
        <v>-135500</v>
      </c>
      <c r="Z216" s="1236">
        <f>((X216/W216)-1)*100</f>
        <v>-100</v>
      </c>
      <c r="AA216" s="1546">
        <v>135500</v>
      </c>
      <c r="AB216" s="1576"/>
      <c r="AC216" s="1576">
        <f t="shared" si="401"/>
        <v>-135500</v>
      </c>
      <c r="AD216" s="1236">
        <f>((AB216/AA216)-1)*100</f>
        <v>-100</v>
      </c>
      <c r="AE216" s="1546">
        <v>137500</v>
      </c>
      <c r="AF216" s="1576"/>
      <c r="AG216" s="1576">
        <f t="shared" si="402"/>
        <v>-137500</v>
      </c>
      <c r="AH216" s="1236">
        <f>((AF216/AE216)-1)*100</f>
        <v>-100</v>
      </c>
      <c r="AI216" s="1546">
        <v>137500</v>
      </c>
      <c r="AJ216" s="1576"/>
      <c r="AK216" s="1576">
        <f t="shared" si="403"/>
        <v>-137500</v>
      </c>
      <c r="AL216" s="1236">
        <f>((AJ216/AI216)-1)*100</f>
        <v>-100</v>
      </c>
      <c r="AM216" s="1546">
        <v>137500</v>
      </c>
      <c r="AN216" s="1576"/>
      <c r="AO216" s="1576">
        <f t="shared" si="404"/>
        <v>-137500</v>
      </c>
      <c r="AP216" s="1236">
        <f>((AN216/AM216)-1)*100</f>
        <v>-100</v>
      </c>
      <c r="AQ216" s="1546">
        <v>137500</v>
      </c>
      <c r="AR216" s="1576"/>
      <c r="AS216" s="1576">
        <f t="shared" si="405"/>
        <v>-137500</v>
      </c>
      <c r="AT216" s="1236">
        <f>((AR216/AQ216)-1)*100</f>
        <v>-100</v>
      </c>
      <c r="AU216" s="1546">
        <v>137500</v>
      </c>
      <c r="AV216" s="1576"/>
      <c r="AW216" s="1576">
        <f t="shared" si="406"/>
        <v>-137500</v>
      </c>
      <c r="AX216" s="1236">
        <f>((AV216/AU216)-1)*100</f>
        <v>-100</v>
      </c>
      <c r="AY216" s="1236">
        <f t="shared" si="395"/>
        <v>1596000</v>
      </c>
      <c r="AZ216" s="1616">
        <f t="shared" si="395"/>
        <v>404625.44</v>
      </c>
      <c r="BA216" s="805"/>
      <c r="BB216" s="1178"/>
    </row>
    <row r="217" spans="1:54" s="1421" customFormat="1" ht="18.75" customHeight="1" thickBot="1" x14ac:dyDescent="0.3">
      <c r="A217" s="366">
        <v>11761</v>
      </c>
      <c r="B217" s="147" t="s">
        <v>99</v>
      </c>
      <c r="C217" s="1646">
        <v>8000</v>
      </c>
      <c r="D217" s="2023">
        <v>6785.13</v>
      </c>
      <c r="E217" s="2152">
        <f t="shared" si="396"/>
        <v>-1214.8699999999999</v>
      </c>
      <c r="F217" s="1530">
        <f>((D217/C217)-1)*100</f>
        <v>-15.185874999999992</v>
      </c>
      <c r="G217" s="1646">
        <f>C217</f>
        <v>8000</v>
      </c>
      <c r="H217" s="1669">
        <f>VLOOKUP(A217,'[1]r_balancete_sc 02-2022'!$1:$1048576,9,0)</f>
        <v>6785.13</v>
      </c>
      <c r="I217" s="2152">
        <f>H217-G217</f>
        <v>-1214.8699999999999</v>
      </c>
      <c r="J217" s="1530">
        <f>((H217/G217)-1)*100</f>
        <v>-15.185874999999992</v>
      </c>
      <c r="K217" s="1646">
        <f>G217</f>
        <v>8000</v>
      </c>
      <c r="L217" s="1647">
        <f>VLOOKUP(A217,'[2]bALANCETE ORÇAMENTO'!$1:$1048576,7,0)</f>
        <v>6785.13</v>
      </c>
      <c r="M217" s="2152">
        <f t="shared" si="397"/>
        <v>-1214.8699999999999</v>
      </c>
      <c r="N217" s="1530">
        <f>((L217/K217)-1)*100</f>
        <v>-15.185874999999992</v>
      </c>
      <c r="O217" s="1646">
        <f>K217</f>
        <v>8000</v>
      </c>
      <c r="P217" s="1647"/>
      <c r="Q217" s="2152">
        <f t="shared" si="398"/>
        <v>-8000</v>
      </c>
      <c r="R217" s="1530">
        <f>((P217/O217)-1)*100</f>
        <v>-100</v>
      </c>
      <c r="S217" s="1646">
        <f>O217</f>
        <v>8000</v>
      </c>
      <c r="T217" s="1647"/>
      <c r="U217" s="2152">
        <f t="shared" si="399"/>
        <v>-8000</v>
      </c>
      <c r="V217" s="1530">
        <f>((T217/S217)-1)*100</f>
        <v>-100</v>
      </c>
      <c r="W217" s="1646">
        <f t="shared" ref="W217:W250" si="407">S217</f>
        <v>8000</v>
      </c>
      <c r="X217" s="1647"/>
      <c r="Y217" s="2152">
        <f t="shared" si="400"/>
        <v>-8000</v>
      </c>
      <c r="Z217" s="1530">
        <f>((X217/W217)-1)*100</f>
        <v>-100</v>
      </c>
      <c r="AA217" s="1646">
        <f t="shared" ref="AA217:AA250" si="408">W217</f>
        <v>8000</v>
      </c>
      <c r="AB217" s="1647"/>
      <c r="AC217" s="2152">
        <f t="shared" si="401"/>
        <v>-8000</v>
      </c>
      <c r="AD217" s="1530">
        <f>((AB217/AA217)-1)*100</f>
        <v>-100</v>
      </c>
      <c r="AE217" s="1646">
        <f t="shared" ref="AE217:AE250" si="409">AA217</f>
        <v>8000</v>
      </c>
      <c r="AF217" s="1647"/>
      <c r="AG217" s="2152">
        <f t="shared" si="402"/>
        <v>-8000</v>
      </c>
      <c r="AH217" s="1530">
        <f>((AF217/AE217)-1)*100</f>
        <v>-100</v>
      </c>
      <c r="AI217" s="1646">
        <f t="shared" ref="AI217:AI250" si="410">AE217</f>
        <v>8000</v>
      </c>
      <c r="AJ217" s="1647"/>
      <c r="AK217" s="2152">
        <f t="shared" si="403"/>
        <v>-8000</v>
      </c>
      <c r="AL217" s="1530">
        <f>((AJ217/AI217)-1)*100</f>
        <v>-100</v>
      </c>
      <c r="AM217" s="1646">
        <f t="shared" ref="AM217:AM250" si="411">AI217</f>
        <v>8000</v>
      </c>
      <c r="AN217" s="1647"/>
      <c r="AO217" s="2152">
        <f t="shared" si="404"/>
        <v>-8000</v>
      </c>
      <c r="AP217" s="1530">
        <f>((AN217/AM217)-1)*100</f>
        <v>-100</v>
      </c>
      <c r="AQ217" s="1646">
        <f t="shared" ref="AQ217:AQ250" si="412">AM217</f>
        <v>8000</v>
      </c>
      <c r="AR217" s="1647"/>
      <c r="AS217" s="2152">
        <f t="shared" si="405"/>
        <v>-8000</v>
      </c>
      <c r="AT217" s="1530">
        <f>((AR217/AQ217)-1)*100</f>
        <v>-100</v>
      </c>
      <c r="AU217" s="1646">
        <f t="shared" ref="AU217:AU250" si="413">AQ217</f>
        <v>8000</v>
      </c>
      <c r="AV217" s="1647"/>
      <c r="AW217" s="2152">
        <f t="shared" si="406"/>
        <v>-8000</v>
      </c>
      <c r="AX217" s="1530">
        <f>((AV217/AU217)-1)*100</f>
        <v>-100</v>
      </c>
      <c r="AY217" s="1530">
        <f t="shared" si="395"/>
        <v>96000</v>
      </c>
      <c r="AZ217" s="1613">
        <f t="shared" si="395"/>
        <v>20355.39</v>
      </c>
      <c r="BA217" s="805"/>
      <c r="BB217" s="1178"/>
    </row>
    <row r="218" spans="1:54" s="1421" customFormat="1" ht="18.75" customHeight="1" x14ac:dyDescent="0.25">
      <c r="A218" s="167">
        <v>11195</v>
      </c>
      <c r="B218" s="189" t="s">
        <v>3880</v>
      </c>
      <c r="C218" s="2752">
        <v>2000</v>
      </c>
      <c r="D218" s="2013">
        <v>-8.89</v>
      </c>
      <c r="E218" s="2792">
        <f>SUM(D218:D222)-C218</f>
        <v>-1122.25</v>
      </c>
      <c r="F218" s="2783">
        <f>((SUM(D218:D222)/C218)-1)*100</f>
        <v>-56.112499999999997</v>
      </c>
      <c r="G218" s="2752">
        <f>C218</f>
        <v>2000</v>
      </c>
      <c r="H218" s="1608">
        <f>VLOOKUP(A218,'[1]r_balancete_sc 02-2022'!$1:$1048576,9,0)</f>
        <v>-43.25</v>
      </c>
      <c r="I218" s="2792">
        <f>SUM(H218:H222)-G218</f>
        <v>-2922.69</v>
      </c>
      <c r="J218" s="2783">
        <f>((SUM(H218:H222)/G218)-1)*100</f>
        <v>-146.1345</v>
      </c>
      <c r="K218" s="2752">
        <f>G218</f>
        <v>2000</v>
      </c>
      <c r="L218" s="1574">
        <f>VLOOKUP(A218,'[2]bALANCETE ORÇAMENTO'!$1:$1048576,7,0)</f>
        <v>448.37</v>
      </c>
      <c r="M218" s="2792">
        <f>SUM(L218:L222)-K218</f>
        <v>9729.17</v>
      </c>
      <c r="N218" s="2783">
        <f>((SUM(L218:L222)/K218)-1)*100</f>
        <v>486.45850000000002</v>
      </c>
      <c r="O218" s="2752">
        <f>K218</f>
        <v>2000</v>
      </c>
      <c r="P218" s="1574"/>
      <c r="Q218" s="2792">
        <f>SUM(P218:P222)-O218</f>
        <v>-2000</v>
      </c>
      <c r="R218" s="2783">
        <f>((SUM(P218:P222)/O218)-1)*100</f>
        <v>-100</v>
      </c>
      <c r="S218" s="2752">
        <f>O218</f>
        <v>2000</v>
      </c>
      <c r="T218" s="1574"/>
      <c r="U218" s="2792">
        <f>SUM(T218:T222)-S218</f>
        <v>-2000</v>
      </c>
      <c r="V218" s="2783">
        <f>((SUM(T218:T222)/S218)-1)*100</f>
        <v>-100</v>
      </c>
      <c r="W218" s="2752">
        <f t="shared" si="407"/>
        <v>2000</v>
      </c>
      <c r="X218" s="1574"/>
      <c r="Y218" s="2792">
        <f>SUM(X218:X222)-W218</f>
        <v>-2000</v>
      </c>
      <c r="Z218" s="2783">
        <f>((SUM(X218:X222)/W218)-1)*100</f>
        <v>-100</v>
      </c>
      <c r="AA218" s="2752">
        <f t="shared" si="408"/>
        <v>2000</v>
      </c>
      <c r="AB218" s="1574"/>
      <c r="AC218" s="2792">
        <f>SUM(AB218:AB222)-AA218</f>
        <v>-2000</v>
      </c>
      <c r="AD218" s="2783">
        <f>((SUM(AB218:AB222)/AA218)-1)*100</f>
        <v>-100</v>
      </c>
      <c r="AE218" s="2752">
        <f t="shared" si="409"/>
        <v>2000</v>
      </c>
      <c r="AF218" s="1574"/>
      <c r="AG218" s="2792">
        <f>SUM(AF218:AF222)-AE218</f>
        <v>-2000</v>
      </c>
      <c r="AH218" s="2783">
        <f>((SUM(AF218:AF222)/AE218)-1)*100</f>
        <v>-100</v>
      </c>
      <c r="AI218" s="2752">
        <f t="shared" si="410"/>
        <v>2000</v>
      </c>
      <c r="AJ218" s="1574"/>
      <c r="AK218" s="2792">
        <f>SUM(AJ218:AJ222)-AI218</f>
        <v>-2000</v>
      </c>
      <c r="AL218" s="2783">
        <f>((SUM(AJ218:AJ222)/AI218)-1)*100</f>
        <v>-100</v>
      </c>
      <c r="AM218" s="2752">
        <f t="shared" si="411"/>
        <v>2000</v>
      </c>
      <c r="AN218" s="1574"/>
      <c r="AO218" s="2792">
        <f>SUM(AN218:AN222)-AM218</f>
        <v>-2000</v>
      </c>
      <c r="AP218" s="2783">
        <f>((SUM(AN218:AN222)/AM218)-1)*100</f>
        <v>-100</v>
      </c>
      <c r="AQ218" s="2752">
        <f t="shared" si="412"/>
        <v>2000</v>
      </c>
      <c r="AR218" s="1574"/>
      <c r="AS218" s="2792">
        <f>SUM(AR218:AR222)-AQ218</f>
        <v>-2000</v>
      </c>
      <c r="AT218" s="2783">
        <f>((SUM(AR218:AR222)/AQ218)-1)*100</f>
        <v>-100</v>
      </c>
      <c r="AU218" s="2752">
        <f t="shared" si="413"/>
        <v>2000</v>
      </c>
      <c r="AV218" s="1574"/>
      <c r="AW218" s="2792">
        <f>SUM(AV218:AV222)-AU218</f>
        <v>-2000</v>
      </c>
      <c r="AX218" s="2783">
        <f>((SUM(AV218:AV222)/AU218)-1)*100</f>
        <v>-100</v>
      </c>
      <c r="AY218" s="2721">
        <f t="shared" si="395"/>
        <v>24000</v>
      </c>
      <c r="AZ218" s="1561">
        <f t="shared" si="395"/>
        <v>396.23</v>
      </c>
      <c r="BA218" s="805"/>
      <c r="BB218" s="1178"/>
    </row>
    <row r="219" spans="1:54" s="1421" customFormat="1" ht="18.75" customHeight="1" x14ac:dyDescent="0.25">
      <c r="A219" s="170">
        <v>11196</v>
      </c>
      <c r="B219" s="124" t="s">
        <v>3881</v>
      </c>
      <c r="C219" s="2753"/>
      <c r="D219" s="2014">
        <v>303.27999999999997</v>
      </c>
      <c r="E219" s="2794"/>
      <c r="F219" s="2795"/>
      <c r="G219" s="2753"/>
      <c r="H219" s="1611">
        <f>VLOOKUP(A219,'[1]r_balancete_sc 02-2022'!$1:$1048576,9,0)</f>
        <v>-932.1</v>
      </c>
      <c r="I219" s="2794"/>
      <c r="J219" s="2795"/>
      <c r="K219" s="2753"/>
      <c r="L219" s="1576">
        <f>VLOOKUP(A219,'[2]bALANCETE ORÇAMENTO'!$1:$1048576,7,0)</f>
        <v>719.08</v>
      </c>
      <c r="M219" s="2794"/>
      <c r="N219" s="2795"/>
      <c r="O219" s="2753"/>
      <c r="P219" s="1576"/>
      <c r="Q219" s="2794"/>
      <c r="R219" s="2795"/>
      <c r="S219" s="2753"/>
      <c r="T219" s="1576"/>
      <c r="U219" s="2794"/>
      <c r="V219" s="2795"/>
      <c r="W219" s="2753"/>
      <c r="X219" s="1576"/>
      <c r="Y219" s="2794"/>
      <c r="Z219" s="2795"/>
      <c r="AA219" s="2753"/>
      <c r="AB219" s="1576"/>
      <c r="AC219" s="2794"/>
      <c r="AD219" s="2795"/>
      <c r="AE219" s="2753"/>
      <c r="AF219" s="1576"/>
      <c r="AG219" s="2794"/>
      <c r="AH219" s="2795"/>
      <c r="AI219" s="2753"/>
      <c r="AJ219" s="1576"/>
      <c r="AK219" s="2794"/>
      <c r="AL219" s="2795"/>
      <c r="AM219" s="2753"/>
      <c r="AN219" s="1576"/>
      <c r="AO219" s="2794"/>
      <c r="AP219" s="2795"/>
      <c r="AQ219" s="2753"/>
      <c r="AR219" s="1576"/>
      <c r="AS219" s="2794"/>
      <c r="AT219" s="2795"/>
      <c r="AU219" s="2753"/>
      <c r="AV219" s="1576"/>
      <c r="AW219" s="2794"/>
      <c r="AX219" s="2795"/>
      <c r="AY219" s="2722"/>
      <c r="AZ219" s="1616">
        <f t="shared" ref="AZ219:AZ230" si="414">D219+H219+L219+P219+T219+X219+AB219+AF219+AJ219+AN219+AR219+AV219</f>
        <v>90.259999999999991</v>
      </c>
      <c r="BA219" s="805"/>
      <c r="BB219" s="1178"/>
    </row>
    <row r="220" spans="1:54" s="1421" customFormat="1" ht="18.75" customHeight="1" x14ac:dyDescent="0.25">
      <c r="A220" s="170">
        <v>32896</v>
      </c>
      <c r="B220" s="124" t="s">
        <v>3879</v>
      </c>
      <c r="C220" s="2753"/>
      <c r="D220" s="2014">
        <v>460.25</v>
      </c>
      <c r="E220" s="2794"/>
      <c r="F220" s="2795"/>
      <c r="G220" s="2753"/>
      <c r="H220" s="1611">
        <f>VLOOKUP(A220,'[1]r_balancete_sc 02-2022'!$1:$1048576,9,0)</f>
        <v>48.77</v>
      </c>
      <c r="I220" s="2794"/>
      <c r="J220" s="2795"/>
      <c r="K220" s="2753"/>
      <c r="L220" s="1576">
        <f>VLOOKUP(A220,'[2]bALANCETE ORÇAMENTO'!$1:$1048576,7,0)</f>
        <v>10539.24</v>
      </c>
      <c r="M220" s="2794"/>
      <c r="N220" s="2795"/>
      <c r="O220" s="2753"/>
      <c r="P220" s="1576"/>
      <c r="Q220" s="2794"/>
      <c r="R220" s="2795"/>
      <c r="S220" s="2753"/>
      <c r="T220" s="1576"/>
      <c r="U220" s="2794"/>
      <c r="V220" s="2795"/>
      <c r="W220" s="2753"/>
      <c r="X220" s="1576"/>
      <c r="Y220" s="2794"/>
      <c r="Z220" s="2795"/>
      <c r="AA220" s="2753"/>
      <c r="AB220" s="1576"/>
      <c r="AC220" s="2794"/>
      <c r="AD220" s="2795"/>
      <c r="AE220" s="2753"/>
      <c r="AF220" s="1576"/>
      <c r="AG220" s="2794"/>
      <c r="AH220" s="2795"/>
      <c r="AI220" s="2753"/>
      <c r="AJ220" s="1576"/>
      <c r="AK220" s="2794"/>
      <c r="AL220" s="2795"/>
      <c r="AM220" s="2753"/>
      <c r="AN220" s="1576"/>
      <c r="AO220" s="2794"/>
      <c r="AP220" s="2795"/>
      <c r="AQ220" s="2753"/>
      <c r="AR220" s="1576"/>
      <c r="AS220" s="2794"/>
      <c r="AT220" s="2795"/>
      <c r="AU220" s="2753"/>
      <c r="AV220" s="1576"/>
      <c r="AW220" s="2794"/>
      <c r="AX220" s="2795"/>
      <c r="AY220" s="2722"/>
      <c r="AZ220" s="1616">
        <f t="shared" si="414"/>
        <v>11048.26</v>
      </c>
      <c r="BA220" s="805"/>
      <c r="BB220" s="1178"/>
    </row>
    <row r="221" spans="1:54" s="1421" customFormat="1" ht="18.75" customHeight="1" x14ac:dyDescent="0.25">
      <c r="A221" s="170">
        <v>32897</v>
      </c>
      <c r="B221" s="124" t="s">
        <v>3882</v>
      </c>
      <c r="C221" s="2753"/>
      <c r="D221" s="2014">
        <v>-196.06</v>
      </c>
      <c r="E221" s="2794"/>
      <c r="F221" s="2795"/>
      <c r="G221" s="2753"/>
      <c r="H221" s="1611">
        <f>VLOOKUP(A221,'[1]r_balancete_sc 02-2022'!$1:$1048576,9,0)</f>
        <v>3.89</v>
      </c>
      <c r="I221" s="2794"/>
      <c r="J221" s="2795"/>
      <c r="K221" s="2753"/>
      <c r="L221" s="1576">
        <f>VLOOKUP(A221,'[2]bALANCETE ORÇAMENTO'!$1:$1048576,7,0)</f>
        <v>22.48</v>
      </c>
      <c r="M221" s="2794"/>
      <c r="N221" s="2795"/>
      <c r="O221" s="2753"/>
      <c r="P221" s="1576"/>
      <c r="Q221" s="2794"/>
      <c r="R221" s="2795"/>
      <c r="S221" s="2753"/>
      <c r="T221" s="1576"/>
      <c r="U221" s="2794"/>
      <c r="V221" s="2795"/>
      <c r="W221" s="2753"/>
      <c r="X221" s="1576"/>
      <c r="Y221" s="2794"/>
      <c r="Z221" s="2795"/>
      <c r="AA221" s="2753"/>
      <c r="AB221" s="1576"/>
      <c r="AC221" s="2794"/>
      <c r="AD221" s="2795"/>
      <c r="AE221" s="2753"/>
      <c r="AF221" s="1576"/>
      <c r="AG221" s="2794"/>
      <c r="AH221" s="2795"/>
      <c r="AI221" s="2753"/>
      <c r="AJ221" s="1576"/>
      <c r="AK221" s="2794"/>
      <c r="AL221" s="2795"/>
      <c r="AM221" s="2753"/>
      <c r="AN221" s="1576"/>
      <c r="AO221" s="2794"/>
      <c r="AP221" s="2795"/>
      <c r="AQ221" s="2753"/>
      <c r="AR221" s="1576"/>
      <c r="AS221" s="2794"/>
      <c r="AT221" s="2795"/>
      <c r="AU221" s="2753"/>
      <c r="AV221" s="1576"/>
      <c r="AW221" s="2794"/>
      <c r="AX221" s="2795"/>
      <c r="AY221" s="2722"/>
      <c r="AZ221" s="1616">
        <f t="shared" si="414"/>
        <v>-169.69000000000003</v>
      </c>
      <c r="BA221" s="805"/>
      <c r="BB221" s="1178"/>
    </row>
    <row r="222" spans="1:54" s="1421" customFormat="1" ht="18.75" customHeight="1" thickBot="1" x14ac:dyDescent="0.3">
      <c r="A222" s="178">
        <v>11862</v>
      </c>
      <c r="B222" s="157" t="s">
        <v>3883</v>
      </c>
      <c r="C222" s="2754"/>
      <c r="D222" s="2015">
        <v>319.17</v>
      </c>
      <c r="E222" s="2793"/>
      <c r="F222" s="2784"/>
      <c r="G222" s="2754"/>
      <c r="H222" s="2070">
        <f>VLOOKUP(A222,'[1]r_balancete_sc 02-2022'!$1:$1048576,9,0)</f>
        <v>0</v>
      </c>
      <c r="I222" s="2793"/>
      <c r="J222" s="2784"/>
      <c r="K222" s="2754"/>
      <c r="L222" s="1578">
        <f>VLOOKUP(A222,'[2]bALANCETE ORÇAMENTO'!$1:$1048576,7,0)</f>
        <v>0</v>
      </c>
      <c r="M222" s="2793"/>
      <c r="N222" s="2784"/>
      <c r="O222" s="2754"/>
      <c r="P222" s="1578"/>
      <c r="Q222" s="2793"/>
      <c r="R222" s="2784"/>
      <c r="S222" s="2754"/>
      <c r="T222" s="1578"/>
      <c r="U222" s="2793"/>
      <c r="V222" s="2784"/>
      <c r="W222" s="2754"/>
      <c r="X222" s="1578"/>
      <c r="Y222" s="2793"/>
      <c r="Z222" s="2784"/>
      <c r="AA222" s="2754"/>
      <c r="AB222" s="1578"/>
      <c r="AC222" s="2793"/>
      <c r="AD222" s="2784"/>
      <c r="AE222" s="2754"/>
      <c r="AF222" s="1578"/>
      <c r="AG222" s="2793"/>
      <c r="AH222" s="2784"/>
      <c r="AI222" s="2754"/>
      <c r="AJ222" s="1578"/>
      <c r="AK222" s="2793"/>
      <c r="AL222" s="2784"/>
      <c r="AM222" s="2754"/>
      <c r="AN222" s="1578"/>
      <c r="AO222" s="2793"/>
      <c r="AP222" s="2784"/>
      <c r="AQ222" s="2754"/>
      <c r="AR222" s="1578"/>
      <c r="AS222" s="2793"/>
      <c r="AT222" s="2784"/>
      <c r="AU222" s="2754"/>
      <c r="AV222" s="1578"/>
      <c r="AW222" s="2793"/>
      <c r="AX222" s="2784"/>
      <c r="AY222" s="2723"/>
      <c r="AZ222" s="1562">
        <f t="shared" si="414"/>
        <v>319.17</v>
      </c>
      <c r="BA222" s="805"/>
      <c r="BB222" s="1178"/>
    </row>
    <row r="223" spans="1:54" s="1421" customFormat="1" ht="18.75" customHeight="1" thickBot="1" x14ac:dyDescent="0.3">
      <c r="A223" s="366">
        <v>51091</v>
      </c>
      <c r="B223" s="329" t="s">
        <v>3771</v>
      </c>
      <c r="C223" s="1656">
        <v>500</v>
      </c>
      <c r="D223" s="2026">
        <v>9.1999999999999993</v>
      </c>
      <c r="E223" s="2052">
        <f>D223-C223</f>
        <v>-490.8</v>
      </c>
      <c r="F223" s="1538">
        <f>((D223/C223)-1)*100</f>
        <v>-98.16</v>
      </c>
      <c r="G223" s="1656">
        <f>C223</f>
        <v>500</v>
      </c>
      <c r="H223" s="1570">
        <f>VLOOKUP(A223,'[1]r_balancete_sc 02-2022'!$1:$1048576,9,0)</f>
        <v>57.42</v>
      </c>
      <c r="I223" s="2152">
        <f>H223-G223</f>
        <v>-442.58</v>
      </c>
      <c r="J223" s="1538">
        <f>((H223/G223)-1)*100</f>
        <v>-88.515999999999991</v>
      </c>
      <c r="K223" s="1656">
        <f>G223</f>
        <v>500</v>
      </c>
      <c r="L223" s="2052">
        <f>VLOOKUP(A223,'[2]bALANCETE ORÇAMENTO'!$1:$1048576,7,0)</f>
        <v>30.28</v>
      </c>
      <c r="M223" s="2152">
        <f>L223-K223</f>
        <v>-469.72</v>
      </c>
      <c r="N223" s="1538">
        <f>((L223/K223)-1)*100</f>
        <v>-93.944000000000003</v>
      </c>
      <c r="O223" s="1656">
        <f>K223</f>
        <v>500</v>
      </c>
      <c r="P223" s="2052"/>
      <c r="Q223" s="2152">
        <f>P223-O223</f>
        <v>-500</v>
      </c>
      <c r="R223" s="1538">
        <f>((P223/O223)-1)*100</f>
        <v>-100</v>
      </c>
      <c r="S223" s="1656">
        <f>O223</f>
        <v>500</v>
      </c>
      <c r="T223" s="2052"/>
      <c r="U223" s="2152">
        <f>T223-S223</f>
        <v>-500</v>
      </c>
      <c r="V223" s="1538">
        <f>((T223/S223)-1)*100</f>
        <v>-100</v>
      </c>
      <c r="W223" s="1656">
        <f t="shared" si="407"/>
        <v>500</v>
      </c>
      <c r="X223" s="2052"/>
      <c r="Y223" s="2152">
        <f>X223-W223</f>
        <v>-500</v>
      </c>
      <c r="Z223" s="1538">
        <f>((X223/W223)-1)*100</f>
        <v>-100</v>
      </c>
      <c r="AA223" s="1656">
        <f t="shared" si="408"/>
        <v>500</v>
      </c>
      <c r="AB223" s="2052"/>
      <c r="AC223" s="2152">
        <f>AB223-AA223</f>
        <v>-500</v>
      </c>
      <c r="AD223" s="1538">
        <f>((AB223/AA223)-1)*100</f>
        <v>-100</v>
      </c>
      <c r="AE223" s="1656">
        <f t="shared" si="409"/>
        <v>500</v>
      </c>
      <c r="AF223" s="2052"/>
      <c r="AG223" s="2152">
        <f>AF223-AE223</f>
        <v>-500</v>
      </c>
      <c r="AH223" s="1538">
        <f>((AF223/AE223)-1)*100</f>
        <v>-100</v>
      </c>
      <c r="AI223" s="1656">
        <f t="shared" si="410"/>
        <v>500</v>
      </c>
      <c r="AJ223" s="2052"/>
      <c r="AK223" s="2152">
        <f>AJ223-AI223</f>
        <v>-500</v>
      </c>
      <c r="AL223" s="1538">
        <f>((AJ223/AI223)-1)*100</f>
        <v>-100</v>
      </c>
      <c r="AM223" s="1656">
        <f t="shared" si="411"/>
        <v>500</v>
      </c>
      <c r="AN223" s="2052"/>
      <c r="AO223" s="2152">
        <f>AN223-AM223</f>
        <v>-500</v>
      </c>
      <c r="AP223" s="1538">
        <f>((AN223/AM223)-1)*100</f>
        <v>-100</v>
      </c>
      <c r="AQ223" s="1656">
        <f t="shared" si="412"/>
        <v>500</v>
      </c>
      <c r="AR223" s="2052"/>
      <c r="AS223" s="2152">
        <f>AR223-AQ223</f>
        <v>-500</v>
      </c>
      <c r="AT223" s="1538">
        <f>((AR223/AQ223)-1)*100</f>
        <v>-100</v>
      </c>
      <c r="AU223" s="1656">
        <f t="shared" si="413"/>
        <v>500</v>
      </c>
      <c r="AV223" s="2052"/>
      <c r="AW223" s="2152">
        <f>AV223-AU223</f>
        <v>-500</v>
      </c>
      <c r="AX223" s="1538">
        <f>((AV223/AU223)-1)*100</f>
        <v>-100</v>
      </c>
      <c r="AY223" s="1234">
        <f>C223+G223+K223+O223+S223+W223+AA223+AE223+AI223+AM223+AQ223+AU223</f>
        <v>6000</v>
      </c>
      <c r="AZ223" s="1976">
        <f t="shared" si="414"/>
        <v>96.9</v>
      </c>
      <c r="BA223" s="805"/>
      <c r="BB223" s="1178"/>
    </row>
    <row r="224" spans="1:54" s="1421" customFormat="1" ht="18.75" customHeight="1" x14ac:dyDescent="0.25">
      <c r="A224" s="167">
        <v>11750</v>
      </c>
      <c r="B224" s="189" t="s">
        <v>97</v>
      </c>
      <c r="C224" s="2796">
        <v>215000</v>
      </c>
      <c r="D224" s="2031">
        <v>134097.24</v>
      </c>
      <c r="E224" s="2798">
        <f>SUM(D224:D225)-C224</f>
        <v>-38158.550000000017</v>
      </c>
      <c r="F224" s="2767">
        <f>((SUM(D224:D225)/C224)-1)*100</f>
        <v>-17.748162790697684</v>
      </c>
      <c r="G224" s="2796">
        <f>C224</f>
        <v>215000</v>
      </c>
      <c r="H224" s="2069">
        <f>VLOOKUP(A224,'[1]r_balancete_sc 02-2022'!$1:$1048576,9,0)</f>
        <v>147742.62</v>
      </c>
      <c r="I224" s="2798">
        <f>SUM(H224:H225)-G224</f>
        <v>-24513.160000000003</v>
      </c>
      <c r="J224" s="2767">
        <f>((SUM(H224:H225)/G224)-1)*100</f>
        <v>-11.401469767441863</v>
      </c>
      <c r="K224" s="2796">
        <f>G224</f>
        <v>215000</v>
      </c>
      <c r="L224" s="1608">
        <f>VLOOKUP(A224,'[2]bALANCETE ORÇAMENTO'!$1:$1048576,7,0)</f>
        <v>153893.99</v>
      </c>
      <c r="M224" s="2798">
        <f>SUM(L224:L225)-K224</f>
        <v>-18378.119999999995</v>
      </c>
      <c r="N224" s="2767">
        <f>((SUM(L224:L225)/K224)-1)*100</f>
        <v>-8.547962790697671</v>
      </c>
      <c r="O224" s="2796">
        <f>K224</f>
        <v>215000</v>
      </c>
      <c r="P224" s="1608"/>
      <c r="Q224" s="2798">
        <f>SUM(P224:P225)-O224</f>
        <v>-215000</v>
      </c>
      <c r="R224" s="2767">
        <f>((SUM(P224:P225)/O224)-1)*100</f>
        <v>-100</v>
      </c>
      <c r="S224" s="2796">
        <f>O224</f>
        <v>215000</v>
      </c>
      <c r="T224" s="1608"/>
      <c r="U224" s="2798">
        <f>SUM(T224:T225)-S224</f>
        <v>-215000</v>
      </c>
      <c r="V224" s="2767">
        <f>((SUM(T224:T225)/S224)-1)*100</f>
        <v>-100</v>
      </c>
      <c r="W224" s="2796">
        <f t="shared" si="407"/>
        <v>215000</v>
      </c>
      <c r="X224" s="1608"/>
      <c r="Y224" s="2798">
        <f>SUM(X224:X225)-W224</f>
        <v>-215000</v>
      </c>
      <c r="Z224" s="2767">
        <f>((SUM(X224:X225)/W224)-1)*100</f>
        <v>-100</v>
      </c>
      <c r="AA224" s="2796">
        <f t="shared" si="408"/>
        <v>215000</v>
      </c>
      <c r="AB224" s="1608"/>
      <c r="AC224" s="2798">
        <f>SUM(AB224:AB225)-AA224</f>
        <v>-215000</v>
      </c>
      <c r="AD224" s="2767">
        <f>((SUM(AB224:AB225)/AA224)-1)*100</f>
        <v>-100</v>
      </c>
      <c r="AE224" s="2796">
        <f t="shared" si="409"/>
        <v>215000</v>
      </c>
      <c r="AF224" s="1608"/>
      <c r="AG224" s="2798">
        <f>SUM(AF224:AF225)-AE224</f>
        <v>-215000</v>
      </c>
      <c r="AH224" s="2767">
        <f>((SUM(AF224:AF225)/AE224)-1)*100</f>
        <v>-100</v>
      </c>
      <c r="AI224" s="2796">
        <f t="shared" si="410"/>
        <v>215000</v>
      </c>
      <c r="AJ224" s="1608"/>
      <c r="AK224" s="2798">
        <f>SUM(AJ224:AJ225)-AI224</f>
        <v>-215000</v>
      </c>
      <c r="AL224" s="2767">
        <f>((SUM(AJ224:AJ225)/AI224)-1)*100</f>
        <v>-100</v>
      </c>
      <c r="AM224" s="2796">
        <f t="shared" si="411"/>
        <v>215000</v>
      </c>
      <c r="AN224" s="1608"/>
      <c r="AO224" s="2798">
        <f>SUM(AN224:AN225)-AM224</f>
        <v>-215000</v>
      </c>
      <c r="AP224" s="2767">
        <f>((SUM(AN224:AN225)/AM224)-1)*100</f>
        <v>-100</v>
      </c>
      <c r="AQ224" s="2796">
        <f t="shared" si="412"/>
        <v>215000</v>
      </c>
      <c r="AR224" s="1608"/>
      <c r="AS224" s="2798">
        <f>SUM(AR224:AR225)-AQ224</f>
        <v>-215000</v>
      </c>
      <c r="AT224" s="2767">
        <f>((SUM(AR224:AR225)/AQ224)-1)*100</f>
        <v>-100</v>
      </c>
      <c r="AU224" s="2796">
        <f t="shared" si="413"/>
        <v>215000</v>
      </c>
      <c r="AV224" s="1608"/>
      <c r="AW224" s="2798">
        <f>SUM(AV224:AV225)-AU224</f>
        <v>-215000</v>
      </c>
      <c r="AX224" s="2767">
        <f>((SUM(AV224:AV225)/AU224)-1)*100</f>
        <v>-100</v>
      </c>
      <c r="AY224" s="2721">
        <f>C224+G224+K224+O224+S224+W224+AA224+AE224+AI224+AM224+AQ224+AU224</f>
        <v>2580000</v>
      </c>
      <c r="AZ224" s="1632">
        <f t="shared" si="414"/>
        <v>435733.85</v>
      </c>
      <c r="BA224" s="805"/>
      <c r="BB224" s="1178"/>
    </row>
    <row r="225" spans="1:57" s="1421" customFormat="1" ht="18.75" customHeight="1" thickBot="1" x14ac:dyDescent="0.3">
      <c r="A225" s="178">
        <v>51430</v>
      </c>
      <c r="B225" s="157" t="s">
        <v>3884</v>
      </c>
      <c r="C225" s="2797"/>
      <c r="D225" s="2032">
        <v>42744.21</v>
      </c>
      <c r="E225" s="2799"/>
      <c r="F225" s="2769"/>
      <c r="G225" s="2797"/>
      <c r="H225" s="1669">
        <f>VLOOKUP(A225,'[1]r_balancete_sc 02-2022'!$1:$1048576,9,0)</f>
        <v>42744.22</v>
      </c>
      <c r="I225" s="2799"/>
      <c r="J225" s="2769"/>
      <c r="K225" s="2797"/>
      <c r="L225" s="1669">
        <f>VLOOKUP(A225,'[2]bALANCETE ORÇAMENTO'!$1:$1048576,7,0)</f>
        <v>42727.89</v>
      </c>
      <c r="M225" s="2799"/>
      <c r="N225" s="2769"/>
      <c r="O225" s="2797"/>
      <c r="P225" s="1669"/>
      <c r="Q225" s="2799"/>
      <c r="R225" s="2769"/>
      <c r="S225" s="2797"/>
      <c r="T225" s="1669"/>
      <c r="U225" s="2799"/>
      <c r="V225" s="2769"/>
      <c r="W225" s="2797"/>
      <c r="X225" s="1669"/>
      <c r="Y225" s="2799"/>
      <c r="Z225" s="2769"/>
      <c r="AA225" s="2797"/>
      <c r="AB225" s="1669"/>
      <c r="AC225" s="2799"/>
      <c r="AD225" s="2769"/>
      <c r="AE225" s="2797"/>
      <c r="AF225" s="1669"/>
      <c r="AG225" s="2799"/>
      <c r="AH225" s="2769"/>
      <c r="AI225" s="2797"/>
      <c r="AJ225" s="1669"/>
      <c r="AK225" s="2799"/>
      <c r="AL225" s="2769"/>
      <c r="AM225" s="2797"/>
      <c r="AN225" s="1669"/>
      <c r="AO225" s="2799"/>
      <c r="AP225" s="2769"/>
      <c r="AQ225" s="2797"/>
      <c r="AR225" s="1669"/>
      <c r="AS225" s="2799"/>
      <c r="AT225" s="2769"/>
      <c r="AU225" s="2797"/>
      <c r="AV225" s="1669"/>
      <c r="AW225" s="2799"/>
      <c r="AX225" s="2769"/>
      <c r="AY225" s="2723"/>
      <c r="AZ225" s="1613">
        <f t="shared" si="414"/>
        <v>128216.31999999999</v>
      </c>
      <c r="BA225" s="805"/>
      <c r="BB225" s="1178"/>
    </row>
    <row r="226" spans="1:57" s="1421" customFormat="1" ht="18.75" customHeight="1" x14ac:dyDescent="0.25">
      <c r="A226" s="170">
        <v>33736</v>
      </c>
      <c r="B226" s="152" t="s">
        <v>98</v>
      </c>
      <c r="C226" s="1545">
        <v>34000</v>
      </c>
      <c r="D226" s="2024">
        <v>32710</v>
      </c>
      <c r="E226" s="1576">
        <f t="shared" ref="E226:E229" si="415">D226-C226</f>
        <v>-1290</v>
      </c>
      <c r="F226" s="1235">
        <f>((D226/C226)-1)*100</f>
        <v>-3.7941176470588256</v>
      </c>
      <c r="G226" s="1545">
        <f>C226</f>
        <v>34000</v>
      </c>
      <c r="H226" s="1608">
        <f>VLOOKUP(A226,'[1]r_balancete_sc 02-2022'!$1:$1048576,9,0)</f>
        <v>32710.93</v>
      </c>
      <c r="I226" s="1576">
        <f>H226-G226</f>
        <v>-1289.0699999999997</v>
      </c>
      <c r="J226" s="1235">
        <f>((H226/G226)-1)*100</f>
        <v>-3.791382352941175</v>
      </c>
      <c r="K226" s="1545">
        <f>G226</f>
        <v>34000</v>
      </c>
      <c r="L226" s="1649">
        <f>VLOOKUP(A226,'[2]bALANCETE ORÇAMENTO'!$1:$1048576,7,0)</f>
        <v>32710.93</v>
      </c>
      <c r="M226" s="1576">
        <f t="shared" ref="M226:M229" si="416">L226-K226</f>
        <v>-1289.0699999999997</v>
      </c>
      <c r="N226" s="1235">
        <f>((L226/K226)-1)*100</f>
        <v>-3.791382352941175</v>
      </c>
      <c r="O226" s="1545">
        <f>K226</f>
        <v>34000</v>
      </c>
      <c r="P226" s="1649"/>
      <c r="Q226" s="1576">
        <f t="shared" ref="Q226:Q229" si="417">P226-O226</f>
        <v>-34000</v>
      </c>
      <c r="R226" s="1235">
        <f>((P226/O226)-1)*100</f>
        <v>-100</v>
      </c>
      <c r="S226" s="1545">
        <f>O226</f>
        <v>34000</v>
      </c>
      <c r="T226" s="1649"/>
      <c r="U226" s="1576">
        <f t="shared" ref="U226:U229" si="418">T226-S226</f>
        <v>-34000</v>
      </c>
      <c r="V226" s="1235">
        <f>((T226/S226)-1)*100</f>
        <v>-100</v>
      </c>
      <c r="W226" s="1545">
        <f t="shared" si="407"/>
        <v>34000</v>
      </c>
      <c r="X226" s="1649"/>
      <c r="Y226" s="1576">
        <f t="shared" ref="Y226:Y229" si="419">X226-W226</f>
        <v>-34000</v>
      </c>
      <c r="Z226" s="1235">
        <f>((X226/W226)-1)*100</f>
        <v>-100</v>
      </c>
      <c r="AA226" s="1545">
        <f t="shared" si="408"/>
        <v>34000</v>
      </c>
      <c r="AB226" s="1649"/>
      <c r="AC226" s="1576">
        <f t="shared" ref="AC226:AC229" si="420">AB226-AA226</f>
        <v>-34000</v>
      </c>
      <c r="AD226" s="1235">
        <f>((AB226/AA226)-1)*100</f>
        <v>-100</v>
      </c>
      <c r="AE226" s="1545">
        <f t="shared" si="409"/>
        <v>34000</v>
      </c>
      <c r="AF226" s="1649"/>
      <c r="AG226" s="1576">
        <f t="shared" ref="AG226:AG229" si="421">AF226-AE226</f>
        <v>-34000</v>
      </c>
      <c r="AH226" s="1235">
        <f>((AF226/AE226)-1)*100</f>
        <v>-100</v>
      </c>
      <c r="AI226" s="1545">
        <f t="shared" si="410"/>
        <v>34000</v>
      </c>
      <c r="AJ226" s="1649"/>
      <c r="AK226" s="1576">
        <f t="shared" ref="AK226:AK229" si="422">AJ226-AI226</f>
        <v>-34000</v>
      </c>
      <c r="AL226" s="1235">
        <f>((AJ226/AI226)-1)*100</f>
        <v>-100</v>
      </c>
      <c r="AM226" s="1545">
        <f t="shared" si="411"/>
        <v>34000</v>
      </c>
      <c r="AN226" s="1649"/>
      <c r="AO226" s="1576">
        <f t="shared" ref="AO226:AO229" si="423">AN226-AM226</f>
        <v>-34000</v>
      </c>
      <c r="AP226" s="1235">
        <f>((AN226/AM226)-1)*100</f>
        <v>-100</v>
      </c>
      <c r="AQ226" s="1545">
        <f t="shared" si="412"/>
        <v>34000</v>
      </c>
      <c r="AR226" s="1649"/>
      <c r="AS226" s="1576">
        <f t="shared" ref="AS226:AS229" si="424">AR226-AQ226</f>
        <v>-34000</v>
      </c>
      <c r="AT226" s="1235">
        <f>((AR226/AQ226)-1)*100</f>
        <v>-100</v>
      </c>
      <c r="AU226" s="1545">
        <f t="shared" si="413"/>
        <v>34000</v>
      </c>
      <c r="AV226" s="1649"/>
      <c r="AW226" s="1576">
        <f t="shared" ref="AW226:AW229" si="425">AV226-AU226</f>
        <v>-34000</v>
      </c>
      <c r="AX226" s="1235">
        <f>((AV226/AU226)-1)*100</f>
        <v>-100</v>
      </c>
      <c r="AY226" s="1240">
        <f>C226+G226+K226+O226+S226+W226+AA226+AE226+AI226+AM226+AQ226+AU226</f>
        <v>408000</v>
      </c>
      <c r="AZ226" s="1561">
        <f t="shared" si="414"/>
        <v>98131.86</v>
      </c>
      <c r="BA226" s="805"/>
      <c r="BB226" s="1178"/>
    </row>
    <row r="227" spans="1:57" s="1421" customFormat="1" ht="18.75" customHeight="1" x14ac:dyDescent="0.25">
      <c r="A227" s="170">
        <v>11972</v>
      </c>
      <c r="B227" s="124" t="s">
        <v>328</v>
      </c>
      <c r="C227" s="1546">
        <v>10000</v>
      </c>
      <c r="D227" s="2014">
        <v>8642.64</v>
      </c>
      <c r="E227" s="1576">
        <f t="shared" si="415"/>
        <v>-1357.3600000000006</v>
      </c>
      <c r="F227" s="1236">
        <f>((D227/C227)-1)*100</f>
        <v>-13.573600000000008</v>
      </c>
      <c r="G227" s="1546">
        <f>C227</f>
        <v>10000</v>
      </c>
      <c r="H227" s="1611">
        <f>VLOOKUP(A227,'[1]r_balancete_sc 02-2022'!$1:$1048576,9,0)</f>
        <v>102940.46</v>
      </c>
      <c r="I227" s="1576">
        <f>H227-G227</f>
        <v>92940.46</v>
      </c>
      <c r="J227" s="1236">
        <f>((H227/G227)-1)*100</f>
        <v>929.40459999999996</v>
      </c>
      <c r="K227" s="1546">
        <f>G227</f>
        <v>10000</v>
      </c>
      <c r="L227" s="1576">
        <f>VLOOKUP(A227,'[2]bALANCETE ORÇAMENTO'!$1:$1048576,7,0)</f>
        <v>395958.81</v>
      </c>
      <c r="M227" s="1576">
        <f t="shared" si="416"/>
        <v>385958.81</v>
      </c>
      <c r="N227" s="1236">
        <f>((L227/K227)-1)*100</f>
        <v>3859.5880999999999</v>
      </c>
      <c r="O227" s="1546">
        <f>K227</f>
        <v>10000</v>
      </c>
      <c r="P227" s="1576"/>
      <c r="Q227" s="1576">
        <f t="shared" si="417"/>
        <v>-10000</v>
      </c>
      <c r="R227" s="1236">
        <f>((P227/O227)-1)*100</f>
        <v>-100</v>
      </c>
      <c r="S227" s="1546">
        <f>O227</f>
        <v>10000</v>
      </c>
      <c r="T227" s="1576"/>
      <c r="U227" s="1576">
        <f t="shared" si="418"/>
        <v>-10000</v>
      </c>
      <c r="V227" s="1236">
        <f>((T227/S227)-1)*100</f>
        <v>-100</v>
      </c>
      <c r="W227" s="1546">
        <f t="shared" si="407"/>
        <v>10000</v>
      </c>
      <c r="X227" s="1576"/>
      <c r="Y227" s="1576">
        <f t="shared" si="419"/>
        <v>-10000</v>
      </c>
      <c r="Z227" s="1236">
        <f>((X227/W227)-1)*100</f>
        <v>-100</v>
      </c>
      <c r="AA227" s="1546">
        <f t="shared" si="408"/>
        <v>10000</v>
      </c>
      <c r="AB227" s="1576"/>
      <c r="AC227" s="1576">
        <f t="shared" si="420"/>
        <v>-10000</v>
      </c>
      <c r="AD227" s="1236">
        <f>((AB227/AA227)-1)*100</f>
        <v>-100</v>
      </c>
      <c r="AE227" s="1546">
        <f t="shared" si="409"/>
        <v>10000</v>
      </c>
      <c r="AF227" s="1576"/>
      <c r="AG227" s="1576">
        <f t="shared" si="421"/>
        <v>-10000</v>
      </c>
      <c r="AH227" s="1236">
        <f>((AF227/AE227)-1)*100</f>
        <v>-100</v>
      </c>
      <c r="AI227" s="1546">
        <f t="shared" si="410"/>
        <v>10000</v>
      </c>
      <c r="AJ227" s="1576"/>
      <c r="AK227" s="1576">
        <f t="shared" si="422"/>
        <v>-10000</v>
      </c>
      <c r="AL227" s="1236">
        <f>((AJ227/AI227)-1)*100</f>
        <v>-100</v>
      </c>
      <c r="AM227" s="1546">
        <f t="shared" si="411"/>
        <v>10000</v>
      </c>
      <c r="AN227" s="1576"/>
      <c r="AO227" s="1576">
        <f t="shared" si="423"/>
        <v>-10000</v>
      </c>
      <c r="AP227" s="1236">
        <f>((AN227/AM227)-1)*100</f>
        <v>-100</v>
      </c>
      <c r="AQ227" s="1546">
        <f t="shared" si="412"/>
        <v>10000</v>
      </c>
      <c r="AR227" s="1576"/>
      <c r="AS227" s="1576">
        <f t="shared" si="424"/>
        <v>-10000</v>
      </c>
      <c r="AT227" s="1236">
        <f>((AR227/AQ227)-1)*100</f>
        <v>-100</v>
      </c>
      <c r="AU227" s="1546">
        <f t="shared" si="413"/>
        <v>10000</v>
      </c>
      <c r="AV227" s="1576"/>
      <c r="AW227" s="1576">
        <f t="shared" si="425"/>
        <v>-10000</v>
      </c>
      <c r="AX227" s="1236">
        <f>((AV227/AU227)-1)*100</f>
        <v>-100</v>
      </c>
      <c r="AY227" s="2062">
        <f>C227+G227+K227+O227+S227+W227+AA227+AE227+AI227+AM227+AQ227+AU227</f>
        <v>120000</v>
      </c>
      <c r="AZ227" s="1616">
        <f t="shared" si="414"/>
        <v>507541.91000000003</v>
      </c>
      <c r="BA227" s="805"/>
      <c r="BB227" s="1178"/>
    </row>
    <row r="228" spans="1:57" s="1421" customFormat="1" ht="18.75" customHeight="1" x14ac:dyDescent="0.25">
      <c r="A228" s="170">
        <v>11611</v>
      </c>
      <c r="B228" s="124" t="s">
        <v>329</v>
      </c>
      <c r="C228" s="1546">
        <v>150</v>
      </c>
      <c r="D228" s="2014"/>
      <c r="E228" s="1576">
        <f t="shared" si="415"/>
        <v>-150</v>
      </c>
      <c r="F228" s="1236">
        <f>((D228/C228)-1)*100</f>
        <v>-100</v>
      </c>
      <c r="G228" s="1546">
        <f>C228</f>
        <v>150</v>
      </c>
      <c r="H228" s="1611">
        <v>0</v>
      </c>
      <c r="I228" s="1576">
        <f>H228-G228</f>
        <v>-150</v>
      </c>
      <c r="J228" s="1236">
        <f>((H228/G228)-1)*100</f>
        <v>-100</v>
      </c>
      <c r="K228" s="1546">
        <f>G228</f>
        <v>150</v>
      </c>
      <c r="L228" s="1576">
        <f>VLOOKUP(A228,'[2]bALANCETE ORÇAMENTO'!$1:$1048576,7,0)</f>
        <v>432.15</v>
      </c>
      <c r="M228" s="1576">
        <f t="shared" si="416"/>
        <v>282.14999999999998</v>
      </c>
      <c r="N228" s="1236">
        <f>((L228/K228)-1)*100</f>
        <v>188.09999999999997</v>
      </c>
      <c r="O228" s="1546">
        <f>K228</f>
        <v>150</v>
      </c>
      <c r="P228" s="1576"/>
      <c r="Q228" s="1576">
        <f t="shared" si="417"/>
        <v>-150</v>
      </c>
      <c r="R228" s="1236">
        <f>((P228/O228)-1)*100</f>
        <v>-100</v>
      </c>
      <c r="S228" s="1546">
        <f>O228</f>
        <v>150</v>
      </c>
      <c r="T228" s="1576"/>
      <c r="U228" s="1576">
        <f t="shared" si="418"/>
        <v>-150</v>
      </c>
      <c r="V228" s="1236">
        <f>((T228/S228)-1)*100</f>
        <v>-100</v>
      </c>
      <c r="W228" s="1546">
        <f t="shared" si="407"/>
        <v>150</v>
      </c>
      <c r="X228" s="1576"/>
      <c r="Y228" s="1576">
        <f t="shared" si="419"/>
        <v>-150</v>
      </c>
      <c r="Z228" s="1236">
        <f>((X228/W228)-1)*100</f>
        <v>-100</v>
      </c>
      <c r="AA228" s="1546">
        <f t="shared" si="408"/>
        <v>150</v>
      </c>
      <c r="AB228" s="1576"/>
      <c r="AC228" s="1576">
        <f t="shared" si="420"/>
        <v>-150</v>
      </c>
      <c r="AD228" s="1236">
        <f>((AB228/AA228)-1)*100</f>
        <v>-100</v>
      </c>
      <c r="AE228" s="1546">
        <f t="shared" si="409"/>
        <v>150</v>
      </c>
      <c r="AF228" s="1576"/>
      <c r="AG228" s="1576">
        <f t="shared" si="421"/>
        <v>-150</v>
      </c>
      <c r="AH228" s="1236">
        <f>((AF228/AE228)-1)*100</f>
        <v>-100</v>
      </c>
      <c r="AI228" s="1546">
        <f t="shared" si="410"/>
        <v>150</v>
      </c>
      <c r="AJ228" s="1576"/>
      <c r="AK228" s="1576">
        <f t="shared" si="422"/>
        <v>-150</v>
      </c>
      <c r="AL228" s="1236">
        <f>((AJ228/AI228)-1)*100</f>
        <v>-100</v>
      </c>
      <c r="AM228" s="1546">
        <f t="shared" si="411"/>
        <v>150</v>
      </c>
      <c r="AN228" s="1576"/>
      <c r="AO228" s="1576">
        <f t="shared" si="423"/>
        <v>-150</v>
      </c>
      <c r="AP228" s="1236">
        <f>((AN228/AM228)-1)*100</f>
        <v>-100</v>
      </c>
      <c r="AQ228" s="1546">
        <f t="shared" si="412"/>
        <v>150</v>
      </c>
      <c r="AR228" s="1576"/>
      <c r="AS228" s="1576">
        <f t="shared" si="424"/>
        <v>-150</v>
      </c>
      <c r="AT228" s="1236">
        <f>((AR228/AQ228)-1)*100</f>
        <v>-100</v>
      </c>
      <c r="AU228" s="1546">
        <f t="shared" si="413"/>
        <v>150</v>
      </c>
      <c r="AV228" s="1576"/>
      <c r="AW228" s="1576">
        <f t="shared" si="425"/>
        <v>-150</v>
      </c>
      <c r="AX228" s="1236">
        <f>((AV228/AU228)-1)*100</f>
        <v>-100</v>
      </c>
      <c r="AY228" s="2062">
        <f>C228+G228+K228+O228+S228+W228+AA228+AE228+AI228+AM228+AQ228+AU228</f>
        <v>1800</v>
      </c>
      <c r="AZ228" s="1616">
        <f t="shared" si="414"/>
        <v>432.15</v>
      </c>
      <c r="BA228" s="805"/>
      <c r="BB228" s="1178"/>
    </row>
    <row r="229" spans="1:57" s="1421" customFormat="1" ht="18.75" customHeight="1" thickBot="1" x14ac:dyDescent="0.3">
      <c r="A229" s="366">
        <v>11704</v>
      </c>
      <c r="B229" s="147" t="s">
        <v>109</v>
      </c>
      <c r="C229" s="1646">
        <v>8000</v>
      </c>
      <c r="D229" s="2023">
        <v>5856</v>
      </c>
      <c r="E229" s="1576">
        <f t="shared" si="415"/>
        <v>-2144</v>
      </c>
      <c r="F229" s="1530">
        <f>((D229/C229)-1)*100</f>
        <v>-26.8</v>
      </c>
      <c r="G229" s="1646">
        <f>C229</f>
        <v>8000</v>
      </c>
      <c r="H229" s="2070">
        <f>VLOOKUP(A229,'[1]r_balancete_sc 02-2022'!$1:$1048576,9,0)</f>
        <v>6690</v>
      </c>
      <c r="I229" s="1576">
        <f>H229-G229</f>
        <v>-1310</v>
      </c>
      <c r="J229" s="1530">
        <f>((H229/G229)-1)*100</f>
        <v>-16.374999999999996</v>
      </c>
      <c r="K229" s="1646">
        <f>G229</f>
        <v>8000</v>
      </c>
      <c r="L229" s="1647">
        <f>VLOOKUP(A229,'[2]bALANCETE ORÇAMENTO'!$1:$1048576,7,0)</f>
        <v>8157.5</v>
      </c>
      <c r="M229" s="1576">
        <f t="shared" si="416"/>
        <v>157.5</v>
      </c>
      <c r="N229" s="1530">
        <f>((L229/K229)-1)*100</f>
        <v>1.968750000000008</v>
      </c>
      <c r="O229" s="1646">
        <f>K229</f>
        <v>8000</v>
      </c>
      <c r="P229" s="1647"/>
      <c r="Q229" s="1576">
        <f t="shared" si="417"/>
        <v>-8000</v>
      </c>
      <c r="R229" s="1530">
        <f>((P229/O229)-1)*100</f>
        <v>-100</v>
      </c>
      <c r="S229" s="1646">
        <f>O229</f>
        <v>8000</v>
      </c>
      <c r="T229" s="1647"/>
      <c r="U229" s="1576">
        <f t="shared" si="418"/>
        <v>-8000</v>
      </c>
      <c r="V229" s="1530">
        <f>((T229/S229)-1)*100</f>
        <v>-100</v>
      </c>
      <c r="W229" s="1646">
        <f t="shared" si="407"/>
        <v>8000</v>
      </c>
      <c r="X229" s="1647"/>
      <c r="Y229" s="1576">
        <f t="shared" si="419"/>
        <v>-8000</v>
      </c>
      <c r="Z229" s="1530">
        <f>((X229/W229)-1)*100</f>
        <v>-100</v>
      </c>
      <c r="AA229" s="1646">
        <f t="shared" si="408"/>
        <v>8000</v>
      </c>
      <c r="AB229" s="1647"/>
      <c r="AC229" s="1576">
        <f t="shared" si="420"/>
        <v>-8000</v>
      </c>
      <c r="AD229" s="1530">
        <f>((AB229/AA229)-1)*100</f>
        <v>-100</v>
      </c>
      <c r="AE229" s="1646">
        <f t="shared" si="409"/>
        <v>8000</v>
      </c>
      <c r="AF229" s="1647"/>
      <c r="AG229" s="1576">
        <f t="shared" si="421"/>
        <v>-8000</v>
      </c>
      <c r="AH229" s="1530">
        <f>((AF229/AE229)-1)*100</f>
        <v>-100</v>
      </c>
      <c r="AI229" s="1646">
        <f t="shared" si="410"/>
        <v>8000</v>
      </c>
      <c r="AJ229" s="1647"/>
      <c r="AK229" s="1576">
        <f t="shared" si="422"/>
        <v>-8000</v>
      </c>
      <c r="AL229" s="1530">
        <f>((AJ229/AI229)-1)*100</f>
        <v>-100</v>
      </c>
      <c r="AM229" s="1646">
        <f t="shared" si="411"/>
        <v>8000</v>
      </c>
      <c r="AN229" s="1647"/>
      <c r="AO229" s="1576">
        <f t="shared" si="423"/>
        <v>-8000</v>
      </c>
      <c r="AP229" s="1530">
        <f>((AN229/AM229)-1)*100</f>
        <v>-100</v>
      </c>
      <c r="AQ229" s="1646">
        <f t="shared" si="412"/>
        <v>8000</v>
      </c>
      <c r="AR229" s="1647"/>
      <c r="AS229" s="1576">
        <f t="shared" si="424"/>
        <v>-8000</v>
      </c>
      <c r="AT229" s="1530">
        <f>((AR229/AQ229)-1)*100</f>
        <v>-100</v>
      </c>
      <c r="AU229" s="1646">
        <f t="shared" si="413"/>
        <v>8000</v>
      </c>
      <c r="AV229" s="1647"/>
      <c r="AW229" s="1576">
        <f t="shared" si="425"/>
        <v>-8000</v>
      </c>
      <c r="AX229" s="1530">
        <f>((AV229/AU229)-1)*100</f>
        <v>-100</v>
      </c>
      <c r="AY229" s="2063">
        <f>C229+G229+K229+O229+S229+W229+AA229+AE229+AI229+AM229+AQ229+AU229</f>
        <v>96000</v>
      </c>
      <c r="AZ229" s="1562">
        <f t="shared" si="414"/>
        <v>20703.5</v>
      </c>
      <c r="BA229" s="805"/>
      <c r="BB229" s="1178"/>
    </row>
    <row r="230" spans="1:57" s="1421" customFormat="1" ht="18.75" customHeight="1" x14ac:dyDescent="0.25">
      <c r="A230" s="167">
        <v>12864</v>
      </c>
      <c r="B230" s="189" t="s">
        <v>3885</v>
      </c>
      <c r="C230" s="2752">
        <v>15000</v>
      </c>
      <c r="D230" s="2013">
        <v>170</v>
      </c>
      <c r="E230" s="2792">
        <f>SUM(D230:D232)-C230</f>
        <v>-6780.5600000000013</v>
      </c>
      <c r="F230" s="2783">
        <f>((SUM(D230:D232)/C230)-1)*1003</f>
        <v>-453.39344533333337</v>
      </c>
      <c r="G230" s="2752">
        <f>C230</f>
        <v>15000</v>
      </c>
      <c r="H230" s="1608">
        <f>VLOOKUP(A230,'[1]r_balancete_sc 02-2022'!$1:$1048576,9,0)</f>
        <v>0</v>
      </c>
      <c r="I230" s="2792">
        <f>SUM(H230:H232)-G230</f>
        <v>-9408</v>
      </c>
      <c r="J230" s="2783">
        <f>((SUM(H230:H232)/G230)-1)*1003</f>
        <v>-629.08159999999998</v>
      </c>
      <c r="K230" s="2752">
        <f>G230</f>
        <v>15000</v>
      </c>
      <c r="L230" s="1574">
        <f>VLOOKUP(A230,'[2]bALANCETE ORÇAMENTO'!$1:$1048576,7,0)</f>
        <v>7664</v>
      </c>
      <c r="M230" s="2792">
        <f>SUM(L230:L232)-K230</f>
        <v>11716.5</v>
      </c>
      <c r="N230" s="2783">
        <f>((SUM(L230:L232)/K230)-1)*1003</f>
        <v>783.44329999999991</v>
      </c>
      <c r="O230" s="2752">
        <f>K230</f>
        <v>15000</v>
      </c>
      <c r="P230" s="1574"/>
      <c r="Q230" s="2792">
        <f>SUM(P230:P232)-O230</f>
        <v>-15000</v>
      </c>
      <c r="R230" s="2783">
        <f>((SUM(P230:P232)/O230)-1)*1003</f>
        <v>-1003</v>
      </c>
      <c r="S230" s="2752">
        <f>O230</f>
        <v>15000</v>
      </c>
      <c r="T230" s="1574"/>
      <c r="U230" s="2792">
        <f>SUM(T230:T232)-S230</f>
        <v>-15000</v>
      </c>
      <c r="V230" s="2783">
        <f>((SUM(T230:T232)/S230)-1)*1003</f>
        <v>-1003</v>
      </c>
      <c r="W230" s="2752">
        <f t="shared" si="407"/>
        <v>15000</v>
      </c>
      <c r="X230" s="1574"/>
      <c r="Y230" s="2792">
        <f>SUM(X230:X232)-W230</f>
        <v>-15000</v>
      </c>
      <c r="Z230" s="2783">
        <f>((SUM(X230:X232)/W230)-1)*1003</f>
        <v>-1003</v>
      </c>
      <c r="AA230" s="2752">
        <f t="shared" si="408"/>
        <v>15000</v>
      </c>
      <c r="AB230" s="1574"/>
      <c r="AC230" s="2792">
        <f>SUM(AB230:AB232)-AA230</f>
        <v>-15000</v>
      </c>
      <c r="AD230" s="2783">
        <f>((SUM(AB230:AB232)/AA230)-1)*1003</f>
        <v>-1003</v>
      </c>
      <c r="AE230" s="2752">
        <f t="shared" si="409"/>
        <v>15000</v>
      </c>
      <c r="AF230" s="1574"/>
      <c r="AG230" s="2792">
        <f>SUM(AF230:AF232)-AE230</f>
        <v>-15000</v>
      </c>
      <c r="AH230" s="2783">
        <f>((SUM(AF230:AF232)/AE230)-1)*1003</f>
        <v>-1003</v>
      </c>
      <c r="AI230" s="2752">
        <f t="shared" si="410"/>
        <v>15000</v>
      </c>
      <c r="AJ230" s="1574"/>
      <c r="AK230" s="2792">
        <f>SUM(AJ230:AJ232)-AI230</f>
        <v>-15000</v>
      </c>
      <c r="AL230" s="2783">
        <f>((SUM(AJ230:AJ232)/AI230)-1)*1003</f>
        <v>-1003</v>
      </c>
      <c r="AM230" s="2752">
        <f t="shared" si="411"/>
        <v>15000</v>
      </c>
      <c r="AN230" s="1574"/>
      <c r="AO230" s="2792">
        <f>SUM(AN230:AN232)-AM230</f>
        <v>-15000</v>
      </c>
      <c r="AP230" s="2783">
        <f>((SUM(AN230:AN232)/AM230)-1)*1003</f>
        <v>-1003</v>
      </c>
      <c r="AQ230" s="2752">
        <f t="shared" si="412"/>
        <v>15000</v>
      </c>
      <c r="AR230" s="1574"/>
      <c r="AS230" s="2792">
        <f>SUM(AR230:AR232)-AQ230</f>
        <v>-15000</v>
      </c>
      <c r="AT230" s="2783">
        <f>((SUM(AR230:AR232)/AQ230)-1)*1003</f>
        <v>-1003</v>
      </c>
      <c r="AU230" s="2752">
        <f t="shared" si="413"/>
        <v>15000</v>
      </c>
      <c r="AV230" s="1574"/>
      <c r="AW230" s="2792">
        <f>SUM(AV230:AV232)-AU230</f>
        <v>-15000</v>
      </c>
      <c r="AX230" s="2783">
        <f>((SUM(AV230:AV232)/AU230)-1)*1003</f>
        <v>-1003</v>
      </c>
      <c r="AY230" s="2721">
        <f>C230+G230+K230+O230+S230+W230+AA230+AE230+AI230+AM230+AQ230+AU230</f>
        <v>180000</v>
      </c>
      <c r="AZ230" s="1561">
        <f t="shared" si="414"/>
        <v>7834</v>
      </c>
      <c r="BA230" s="805"/>
      <c r="BB230" s="1178"/>
    </row>
    <row r="231" spans="1:57" s="1421" customFormat="1" ht="18.75" customHeight="1" x14ac:dyDescent="0.25">
      <c r="A231" s="1123">
        <v>11926</v>
      </c>
      <c r="B231" s="124" t="s">
        <v>3906</v>
      </c>
      <c r="C231" s="2753"/>
      <c r="D231" s="2026"/>
      <c r="E231" s="2794"/>
      <c r="F231" s="2795"/>
      <c r="G231" s="2753"/>
      <c r="H231" s="1611"/>
      <c r="I231" s="2794"/>
      <c r="J231" s="2795"/>
      <c r="K231" s="2753"/>
      <c r="L231" s="2175">
        <v>12915</v>
      </c>
      <c r="M231" s="2794"/>
      <c r="N231" s="2795"/>
      <c r="O231" s="2753"/>
      <c r="P231" s="2175"/>
      <c r="Q231" s="2794"/>
      <c r="R231" s="2795"/>
      <c r="S231" s="2753"/>
      <c r="T231" s="2175"/>
      <c r="U231" s="2794"/>
      <c r="V231" s="2795"/>
      <c r="W231" s="2753"/>
      <c r="X231" s="2175"/>
      <c r="Y231" s="2794"/>
      <c r="Z231" s="2795"/>
      <c r="AA231" s="2753"/>
      <c r="AB231" s="2175"/>
      <c r="AC231" s="2794"/>
      <c r="AD231" s="2795"/>
      <c r="AE231" s="2753"/>
      <c r="AF231" s="2175"/>
      <c r="AG231" s="2794"/>
      <c r="AH231" s="2795"/>
      <c r="AI231" s="2753"/>
      <c r="AJ231" s="2175"/>
      <c r="AK231" s="2794"/>
      <c r="AL231" s="2795"/>
      <c r="AM231" s="2753"/>
      <c r="AN231" s="2175"/>
      <c r="AO231" s="2794"/>
      <c r="AP231" s="2795"/>
      <c r="AQ231" s="2753"/>
      <c r="AR231" s="2175"/>
      <c r="AS231" s="2794"/>
      <c r="AT231" s="2795"/>
      <c r="AU231" s="2753"/>
      <c r="AV231" s="2175"/>
      <c r="AW231" s="2794"/>
      <c r="AX231" s="2795"/>
      <c r="AY231" s="2722"/>
      <c r="AZ231" s="1612"/>
      <c r="BA231" s="805"/>
      <c r="BB231" s="1178"/>
    </row>
    <row r="232" spans="1:57" s="1421" customFormat="1" ht="18.75" customHeight="1" thickBot="1" x14ac:dyDescent="0.3">
      <c r="A232" s="178">
        <v>11784</v>
      </c>
      <c r="B232" s="157" t="s">
        <v>3886</v>
      </c>
      <c r="C232" s="2754"/>
      <c r="D232" s="2015">
        <v>8049.44</v>
      </c>
      <c r="E232" s="2793"/>
      <c r="F232" s="2784"/>
      <c r="G232" s="2754"/>
      <c r="H232" s="2070">
        <f>VLOOKUP(A232,'[1]r_balancete_sc 02-2022'!$1:$1048576,9,0)</f>
        <v>5592</v>
      </c>
      <c r="I232" s="2793"/>
      <c r="J232" s="2784"/>
      <c r="K232" s="2754"/>
      <c r="L232" s="1578">
        <f>VLOOKUP(A232,'[2]bALANCETE ORÇAMENTO'!$1:$1048576,7,0)</f>
        <v>6137.5</v>
      </c>
      <c r="M232" s="2793"/>
      <c r="N232" s="2784"/>
      <c r="O232" s="2754"/>
      <c r="P232" s="1578"/>
      <c r="Q232" s="2793"/>
      <c r="R232" s="2784"/>
      <c r="S232" s="2754"/>
      <c r="T232" s="1578"/>
      <c r="U232" s="2793"/>
      <c r="V232" s="2784"/>
      <c r="W232" s="2754"/>
      <c r="X232" s="1578"/>
      <c r="Y232" s="2793"/>
      <c r="Z232" s="2784"/>
      <c r="AA232" s="2754"/>
      <c r="AB232" s="1578"/>
      <c r="AC232" s="2793"/>
      <c r="AD232" s="2784"/>
      <c r="AE232" s="2754"/>
      <c r="AF232" s="1578"/>
      <c r="AG232" s="2793"/>
      <c r="AH232" s="2784"/>
      <c r="AI232" s="2754"/>
      <c r="AJ232" s="1578"/>
      <c r="AK232" s="2793"/>
      <c r="AL232" s="2784"/>
      <c r="AM232" s="2754"/>
      <c r="AN232" s="1578"/>
      <c r="AO232" s="2793"/>
      <c r="AP232" s="2784"/>
      <c r="AQ232" s="2754"/>
      <c r="AR232" s="1578"/>
      <c r="AS232" s="2793"/>
      <c r="AT232" s="2784"/>
      <c r="AU232" s="2754"/>
      <c r="AV232" s="1578"/>
      <c r="AW232" s="2793"/>
      <c r="AX232" s="2784"/>
      <c r="AY232" s="2723"/>
      <c r="AZ232" s="1562"/>
      <c r="BA232" s="805"/>
      <c r="BB232" s="1178"/>
    </row>
    <row r="233" spans="1:57" s="1421" customFormat="1" ht="18.75" customHeight="1" x14ac:dyDescent="0.25">
      <c r="A233" s="170">
        <v>11534</v>
      </c>
      <c r="B233" s="152" t="s">
        <v>115</v>
      </c>
      <c r="C233" s="1545">
        <v>2600</v>
      </c>
      <c r="D233" s="2024">
        <v>2156.7399999999998</v>
      </c>
      <c r="E233" s="1649">
        <f>D233-C233</f>
        <v>-443.26000000000022</v>
      </c>
      <c r="F233" s="1235">
        <f t="shared" ref="F233:F238" si="426">((D233/C233)-1)*100</f>
        <v>-17.048461538461545</v>
      </c>
      <c r="G233" s="1545">
        <f t="shared" ref="G233:G239" si="427">C233</f>
        <v>2600</v>
      </c>
      <c r="H233" s="2069">
        <f>VLOOKUP(A233,'[1]r_balancete_sc 02-2022'!$1:$1048576,9,0)</f>
        <v>1715.27</v>
      </c>
      <c r="I233" s="1649">
        <f>H233-G233</f>
        <v>-884.73</v>
      </c>
      <c r="J233" s="1235">
        <f t="shared" ref="J233:J238" si="428">((H233/G233)-1)*100</f>
        <v>-34.028076923076924</v>
      </c>
      <c r="K233" s="1545">
        <f t="shared" ref="K233:K238" si="429">G233</f>
        <v>2600</v>
      </c>
      <c r="L233" s="1649">
        <f>VLOOKUP(A233,'[2]bALANCETE ORÇAMENTO'!$1:$1048576,7,0)</f>
        <v>2446.14</v>
      </c>
      <c r="M233" s="1649">
        <f>L233-K233</f>
        <v>-153.86000000000013</v>
      </c>
      <c r="N233" s="1235">
        <f t="shared" ref="N233:N238" si="430">((L233/K233)-1)*100</f>
        <v>-5.9176923076923131</v>
      </c>
      <c r="O233" s="1545">
        <f t="shared" ref="O233:O239" si="431">K233</f>
        <v>2600</v>
      </c>
      <c r="P233" s="1649"/>
      <c r="Q233" s="1649">
        <f>P233-O233</f>
        <v>-2600</v>
      </c>
      <c r="R233" s="1235">
        <f t="shared" ref="R233:R238" si="432">((P233/O233)-1)*100</f>
        <v>-100</v>
      </c>
      <c r="S233" s="1545">
        <f t="shared" ref="S233:S239" si="433">O233</f>
        <v>2600</v>
      </c>
      <c r="T233" s="1649"/>
      <c r="U233" s="1649">
        <f>T233-S233</f>
        <v>-2600</v>
      </c>
      <c r="V233" s="1235">
        <f t="shared" ref="V233:V238" si="434">((T233/S233)-1)*100</f>
        <v>-100</v>
      </c>
      <c r="W233" s="1545">
        <f t="shared" si="407"/>
        <v>2600</v>
      </c>
      <c r="X233" s="1649"/>
      <c r="Y233" s="1649">
        <f>X233-W233</f>
        <v>-2600</v>
      </c>
      <c r="Z233" s="1235">
        <f t="shared" ref="Z233:Z238" si="435">((X233/W233)-1)*100</f>
        <v>-100</v>
      </c>
      <c r="AA233" s="1545">
        <f t="shared" si="408"/>
        <v>2600</v>
      </c>
      <c r="AB233" s="1649"/>
      <c r="AC233" s="1649">
        <f>AB233-AA233</f>
        <v>-2600</v>
      </c>
      <c r="AD233" s="1235">
        <f t="shared" ref="AD233:AD238" si="436">((AB233/AA233)-1)*100</f>
        <v>-100</v>
      </c>
      <c r="AE233" s="1545">
        <f t="shared" si="409"/>
        <v>2600</v>
      </c>
      <c r="AF233" s="1649"/>
      <c r="AG233" s="1649">
        <f>AF233-AE233</f>
        <v>-2600</v>
      </c>
      <c r="AH233" s="1235">
        <f t="shared" ref="AH233:AH238" si="437">((AF233/AE233)-1)*100</f>
        <v>-100</v>
      </c>
      <c r="AI233" s="1545">
        <f t="shared" si="410"/>
        <v>2600</v>
      </c>
      <c r="AJ233" s="1649"/>
      <c r="AK233" s="1649">
        <f>AJ233-AI233</f>
        <v>-2600</v>
      </c>
      <c r="AL233" s="1235">
        <f t="shared" ref="AL233:AL238" si="438">((AJ233/AI233)-1)*100</f>
        <v>-100</v>
      </c>
      <c r="AM233" s="1545">
        <f t="shared" si="411"/>
        <v>2600</v>
      </c>
      <c r="AN233" s="1649"/>
      <c r="AO233" s="1649">
        <f>AN233-AM233</f>
        <v>-2600</v>
      </c>
      <c r="AP233" s="1235">
        <f t="shared" ref="AP233:AP238" si="439">((AN233/AM233)-1)*100</f>
        <v>-100</v>
      </c>
      <c r="AQ233" s="1545">
        <f t="shared" si="412"/>
        <v>2600</v>
      </c>
      <c r="AR233" s="1649"/>
      <c r="AS233" s="1649">
        <f>AR233-AQ233</f>
        <v>-2600</v>
      </c>
      <c r="AT233" s="1235">
        <f t="shared" ref="AT233:AT238" si="440">((AR233/AQ233)-1)*100</f>
        <v>-100</v>
      </c>
      <c r="AU233" s="1545">
        <f t="shared" si="413"/>
        <v>2600</v>
      </c>
      <c r="AV233" s="1649"/>
      <c r="AW233" s="1649">
        <f>AV233-AU233</f>
        <v>-2600</v>
      </c>
      <c r="AX233" s="1235">
        <f t="shared" ref="AX233:AX238" si="441">((AV233/AU233)-1)*100</f>
        <v>-100</v>
      </c>
      <c r="AY233" s="2061">
        <f t="shared" ref="AY233:AZ239" si="442">C233+G233+K233+O233+S233+W233+AA233+AE233+AI233+AM233+AQ233+AU233</f>
        <v>31200</v>
      </c>
      <c r="AZ233" s="1632">
        <f t="shared" si="442"/>
        <v>6318.15</v>
      </c>
      <c r="BA233" s="805"/>
      <c r="BB233" s="1178"/>
    </row>
    <row r="234" spans="1:57" s="552" customFormat="1" ht="18.75" customHeight="1" x14ac:dyDescent="0.25">
      <c r="A234" s="170">
        <v>11510</v>
      </c>
      <c r="B234" s="124" t="s">
        <v>105</v>
      </c>
      <c r="C234" s="1546">
        <v>12000</v>
      </c>
      <c r="D234" s="2014">
        <v>11500</v>
      </c>
      <c r="E234" s="1576">
        <v>0</v>
      </c>
      <c r="F234" s="1236">
        <f t="shared" si="426"/>
        <v>-4.1666666666666625</v>
      </c>
      <c r="G234" s="1546">
        <f t="shared" si="427"/>
        <v>12000</v>
      </c>
      <c r="H234" s="2075">
        <f>VLOOKUP(A234,'[1]r_balancete_sc 02-2022'!$1:$1048576,9,0)</f>
        <v>11699.55</v>
      </c>
      <c r="I234" s="1576">
        <v>0</v>
      </c>
      <c r="J234" s="1236">
        <f t="shared" si="428"/>
        <v>-2.5037500000000046</v>
      </c>
      <c r="K234" s="1546">
        <f t="shared" si="429"/>
        <v>12000</v>
      </c>
      <c r="L234" s="1576">
        <f>VLOOKUP(A234,'[2]bALANCETE ORÇAMENTO'!$1:$1048576,7,0)</f>
        <v>11500</v>
      </c>
      <c r="M234" s="1576">
        <v>0</v>
      </c>
      <c r="N234" s="1236">
        <f t="shared" si="430"/>
        <v>-4.1666666666666625</v>
      </c>
      <c r="O234" s="1546">
        <f t="shared" si="431"/>
        <v>12000</v>
      </c>
      <c r="P234" s="1576"/>
      <c r="Q234" s="1576">
        <v>0</v>
      </c>
      <c r="R234" s="1236">
        <f t="shared" si="432"/>
        <v>-100</v>
      </c>
      <c r="S234" s="1546">
        <f t="shared" si="433"/>
        <v>12000</v>
      </c>
      <c r="T234" s="1576"/>
      <c r="U234" s="1576">
        <v>0</v>
      </c>
      <c r="V234" s="1236">
        <f t="shared" si="434"/>
        <v>-100</v>
      </c>
      <c r="W234" s="1546">
        <f t="shared" si="407"/>
        <v>12000</v>
      </c>
      <c r="X234" s="1576"/>
      <c r="Y234" s="1576">
        <v>0</v>
      </c>
      <c r="Z234" s="1236">
        <f t="shared" si="435"/>
        <v>-100</v>
      </c>
      <c r="AA234" s="1546">
        <f t="shared" si="408"/>
        <v>12000</v>
      </c>
      <c r="AB234" s="1576"/>
      <c r="AC234" s="1576">
        <v>0</v>
      </c>
      <c r="AD234" s="1236">
        <f t="shared" si="436"/>
        <v>-100</v>
      </c>
      <c r="AE234" s="1546">
        <f t="shared" si="409"/>
        <v>12000</v>
      </c>
      <c r="AF234" s="1576"/>
      <c r="AG234" s="1576">
        <v>0</v>
      </c>
      <c r="AH234" s="1236">
        <f t="shared" si="437"/>
        <v>-100</v>
      </c>
      <c r="AI234" s="1546">
        <f t="shared" si="410"/>
        <v>12000</v>
      </c>
      <c r="AJ234" s="1576"/>
      <c r="AK234" s="1576">
        <v>0</v>
      </c>
      <c r="AL234" s="1236">
        <f t="shared" si="438"/>
        <v>-100</v>
      </c>
      <c r="AM234" s="1546">
        <f t="shared" si="411"/>
        <v>12000</v>
      </c>
      <c r="AN234" s="1576"/>
      <c r="AO234" s="1576">
        <v>0</v>
      </c>
      <c r="AP234" s="1236">
        <f t="shared" si="439"/>
        <v>-100</v>
      </c>
      <c r="AQ234" s="1546">
        <f t="shared" si="412"/>
        <v>12000</v>
      </c>
      <c r="AR234" s="1576"/>
      <c r="AS234" s="1576">
        <v>0</v>
      </c>
      <c r="AT234" s="1236">
        <f t="shared" si="440"/>
        <v>-100</v>
      </c>
      <c r="AU234" s="1546">
        <f t="shared" si="413"/>
        <v>12000</v>
      </c>
      <c r="AV234" s="1576"/>
      <c r="AW234" s="1576">
        <v>0</v>
      </c>
      <c r="AX234" s="1236">
        <f t="shared" si="441"/>
        <v>-100</v>
      </c>
      <c r="AY234" s="2062">
        <f t="shared" si="442"/>
        <v>144000</v>
      </c>
      <c r="AZ234" s="1616">
        <f t="shared" si="442"/>
        <v>34699.550000000003</v>
      </c>
      <c r="BA234" s="805"/>
      <c r="BB234" s="1178"/>
      <c r="BC234" s="1421"/>
      <c r="BD234" s="1421"/>
      <c r="BE234" s="1421"/>
    </row>
    <row r="235" spans="1:57" s="1421" customFormat="1" ht="18.75" customHeight="1" x14ac:dyDescent="0.25">
      <c r="A235" s="170">
        <v>11516</v>
      </c>
      <c r="B235" s="124" t="s">
        <v>3762</v>
      </c>
      <c r="C235" s="1546">
        <v>1500</v>
      </c>
      <c r="D235" s="2014">
        <v>1313</v>
      </c>
      <c r="E235" s="1576">
        <v>0</v>
      </c>
      <c r="F235" s="1236">
        <f t="shared" si="426"/>
        <v>-12.46666666666667</v>
      </c>
      <c r="G235" s="1546">
        <f t="shared" si="427"/>
        <v>1500</v>
      </c>
      <c r="H235" s="1611">
        <f>VLOOKUP(A235,'[1]r_balancete_sc 02-2022'!$1:$1048576,9,0)</f>
        <v>1313</v>
      </c>
      <c r="I235" s="1576">
        <v>0</v>
      </c>
      <c r="J235" s="1236">
        <f t="shared" si="428"/>
        <v>-12.46666666666667</v>
      </c>
      <c r="K235" s="1546">
        <f t="shared" si="429"/>
        <v>1500</v>
      </c>
      <c r="L235" s="1576">
        <f>VLOOKUP(A235,'[2]bALANCETE ORÇAMENTO'!$1:$1048576,7,0)</f>
        <v>1313</v>
      </c>
      <c r="M235" s="1576">
        <v>0</v>
      </c>
      <c r="N235" s="1236">
        <f t="shared" si="430"/>
        <v>-12.46666666666667</v>
      </c>
      <c r="O235" s="1546">
        <f t="shared" si="431"/>
        <v>1500</v>
      </c>
      <c r="P235" s="1576"/>
      <c r="Q235" s="1576">
        <v>0</v>
      </c>
      <c r="R235" s="1236">
        <f t="shared" si="432"/>
        <v>-100</v>
      </c>
      <c r="S235" s="1546">
        <f t="shared" si="433"/>
        <v>1500</v>
      </c>
      <c r="T235" s="1576"/>
      <c r="U235" s="1576">
        <v>0</v>
      </c>
      <c r="V235" s="1236">
        <f t="shared" si="434"/>
        <v>-100</v>
      </c>
      <c r="W235" s="1546">
        <f t="shared" si="407"/>
        <v>1500</v>
      </c>
      <c r="X235" s="1576"/>
      <c r="Y235" s="1576">
        <v>0</v>
      </c>
      <c r="Z235" s="1236">
        <f t="shared" si="435"/>
        <v>-100</v>
      </c>
      <c r="AA235" s="1546">
        <f t="shared" si="408"/>
        <v>1500</v>
      </c>
      <c r="AB235" s="1576"/>
      <c r="AC235" s="1576">
        <v>0</v>
      </c>
      <c r="AD235" s="1236">
        <f t="shared" si="436"/>
        <v>-100</v>
      </c>
      <c r="AE235" s="1546">
        <f t="shared" si="409"/>
        <v>1500</v>
      </c>
      <c r="AF235" s="1576"/>
      <c r="AG235" s="1576">
        <v>0</v>
      </c>
      <c r="AH235" s="1236">
        <f t="shared" si="437"/>
        <v>-100</v>
      </c>
      <c r="AI235" s="1546">
        <f t="shared" si="410"/>
        <v>1500</v>
      </c>
      <c r="AJ235" s="1576"/>
      <c r="AK235" s="1576">
        <v>0</v>
      </c>
      <c r="AL235" s="1236">
        <f t="shared" si="438"/>
        <v>-100</v>
      </c>
      <c r="AM235" s="1546">
        <f t="shared" si="411"/>
        <v>1500</v>
      </c>
      <c r="AN235" s="1576"/>
      <c r="AO235" s="1576">
        <v>0</v>
      </c>
      <c r="AP235" s="1236">
        <f t="shared" si="439"/>
        <v>-100</v>
      </c>
      <c r="AQ235" s="1546">
        <f t="shared" si="412"/>
        <v>1500</v>
      </c>
      <c r="AR235" s="1576"/>
      <c r="AS235" s="1576">
        <v>0</v>
      </c>
      <c r="AT235" s="1236">
        <f t="shared" si="440"/>
        <v>-100</v>
      </c>
      <c r="AU235" s="1546">
        <f t="shared" si="413"/>
        <v>1500</v>
      </c>
      <c r="AV235" s="1576"/>
      <c r="AW235" s="1576">
        <v>0</v>
      </c>
      <c r="AX235" s="1236">
        <f t="shared" si="441"/>
        <v>-100</v>
      </c>
      <c r="AY235" s="2062">
        <f t="shared" si="442"/>
        <v>18000</v>
      </c>
      <c r="AZ235" s="1616">
        <f t="shared" si="442"/>
        <v>3939</v>
      </c>
      <c r="BA235" s="805"/>
      <c r="BB235" s="1178"/>
    </row>
    <row r="236" spans="1:57" s="1421" customFormat="1" ht="18.75" customHeight="1" x14ac:dyDescent="0.25">
      <c r="A236" s="170">
        <v>11522</v>
      </c>
      <c r="B236" s="124" t="s">
        <v>111</v>
      </c>
      <c r="C236" s="1546">
        <v>95000</v>
      </c>
      <c r="D236" s="2014">
        <v>145670.20000000001</v>
      </c>
      <c r="E236" s="1576">
        <f>D236-C236</f>
        <v>50670.200000000012</v>
      </c>
      <c r="F236" s="1236">
        <f t="shared" si="426"/>
        <v>53.337052631578949</v>
      </c>
      <c r="G236" s="1546">
        <f t="shared" si="427"/>
        <v>95000</v>
      </c>
      <c r="H236" s="1611">
        <f>VLOOKUP(A236,'[1]r_balancete_sc 02-2022'!$1:$1048576,9,0)</f>
        <v>105202.97</v>
      </c>
      <c r="I236" s="1576">
        <f>H236-G236</f>
        <v>10202.970000000001</v>
      </c>
      <c r="J236" s="1236">
        <f t="shared" si="428"/>
        <v>10.739968421052627</v>
      </c>
      <c r="K236" s="1546">
        <f t="shared" si="429"/>
        <v>95000</v>
      </c>
      <c r="L236" s="1576">
        <f>VLOOKUP(A236,'[2]bALANCETE ORÇAMENTO'!$1:$1048576,7,0)</f>
        <v>87131.51</v>
      </c>
      <c r="M236" s="1576">
        <f>L236-K236</f>
        <v>-7868.4900000000052</v>
      </c>
      <c r="N236" s="1236">
        <f t="shared" si="430"/>
        <v>-8.2826210526315887</v>
      </c>
      <c r="O236" s="1546">
        <f t="shared" si="431"/>
        <v>95000</v>
      </c>
      <c r="P236" s="1576"/>
      <c r="Q236" s="1576">
        <f>P236-O236</f>
        <v>-95000</v>
      </c>
      <c r="R236" s="1236">
        <f t="shared" si="432"/>
        <v>-100</v>
      </c>
      <c r="S236" s="1546">
        <f t="shared" si="433"/>
        <v>95000</v>
      </c>
      <c r="T236" s="1576"/>
      <c r="U236" s="1576">
        <f>T236-S236</f>
        <v>-95000</v>
      </c>
      <c r="V236" s="1236">
        <f t="shared" si="434"/>
        <v>-100</v>
      </c>
      <c r="W236" s="1546">
        <f t="shared" si="407"/>
        <v>95000</v>
      </c>
      <c r="X236" s="1576"/>
      <c r="Y236" s="1576">
        <f>X236-W236</f>
        <v>-95000</v>
      </c>
      <c r="Z236" s="1236">
        <f t="shared" si="435"/>
        <v>-100</v>
      </c>
      <c r="AA236" s="1546">
        <f t="shared" si="408"/>
        <v>95000</v>
      </c>
      <c r="AB236" s="1576"/>
      <c r="AC236" s="1576">
        <f>AB236-AA236</f>
        <v>-95000</v>
      </c>
      <c r="AD236" s="1236">
        <f t="shared" si="436"/>
        <v>-100</v>
      </c>
      <c r="AE236" s="1546">
        <f t="shared" si="409"/>
        <v>95000</v>
      </c>
      <c r="AF236" s="1576"/>
      <c r="AG236" s="1576">
        <f>AF236-AE236</f>
        <v>-95000</v>
      </c>
      <c r="AH236" s="1236">
        <f t="shared" si="437"/>
        <v>-100</v>
      </c>
      <c r="AI236" s="1546">
        <f t="shared" si="410"/>
        <v>95000</v>
      </c>
      <c r="AJ236" s="1576"/>
      <c r="AK236" s="1576">
        <f>AJ236-AI236</f>
        <v>-95000</v>
      </c>
      <c r="AL236" s="1236">
        <f t="shared" si="438"/>
        <v>-100</v>
      </c>
      <c r="AM236" s="1546">
        <f t="shared" si="411"/>
        <v>95000</v>
      </c>
      <c r="AN236" s="1576"/>
      <c r="AO236" s="1576">
        <f>AN236-AM236</f>
        <v>-95000</v>
      </c>
      <c r="AP236" s="1236">
        <f t="shared" si="439"/>
        <v>-100</v>
      </c>
      <c r="AQ236" s="1546">
        <f t="shared" si="412"/>
        <v>95000</v>
      </c>
      <c r="AR236" s="1576"/>
      <c r="AS236" s="1576">
        <f>AR236-AQ236</f>
        <v>-95000</v>
      </c>
      <c r="AT236" s="1236">
        <f t="shared" si="440"/>
        <v>-100</v>
      </c>
      <c r="AU236" s="1546">
        <f t="shared" si="413"/>
        <v>95000</v>
      </c>
      <c r="AV236" s="1576"/>
      <c r="AW236" s="1576">
        <f>AV236-AU236</f>
        <v>-95000</v>
      </c>
      <c r="AX236" s="1236">
        <f t="shared" si="441"/>
        <v>-100</v>
      </c>
      <c r="AY236" s="2062">
        <f t="shared" si="442"/>
        <v>1140000</v>
      </c>
      <c r="AZ236" s="1616">
        <f t="shared" si="442"/>
        <v>338004.68</v>
      </c>
      <c r="BA236" s="805"/>
      <c r="BB236" s="1178"/>
    </row>
    <row r="237" spans="1:57" s="1421" customFormat="1" ht="18.75" customHeight="1" x14ac:dyDescent="0.25">
      <c r="A237" s="170">
        <v>11527</v>
      </c>
      <c r="B237" s="124" t="s">
        <v>112</v>
      </c>
      <c r="C237" s="1546">
        <v>2500</v>
      </c>
      <c r="D237" s="2014">
        <v>11042.6</v>
      </c>
      <c r="E237" s="1576">
        <f>D237-C237</f>
        <v>8542.6</v>
      </c>
      <c r="F237" s="1236">
        <f t="shared" si="426"/>
        <v>341.70400000000001</v>
      </c>
      <c r="G237" s="1546">
        <f t="shared" si="427"/>
        <v>2500</v>
      </c>
      <c r="H237" s="1611">
        <f>VLOOKUP(A237,'[1]r_balancete_sc 02-2022'!$1:$1048576,9,0)</f>
        <v>9643.11</v>
      </c>
      <c r="I237" s="1576">
        <f>H237-G237</f>
        <v>7143.1100000000006</v>
      </c>
      <c r="J237" s="1236">
        <f t="shared" si="428"/>
        <v>285.7244</v>
      </c>
      <c r="K237" s="1546">
        <f t="shared" si="429"/>
        <v>2500</v>
      </c>
      <c r="L237" s="1576">
        <f>VLOOKUP(A237,'[2]bALANCETE ORÇAMENTO'!$1:$1048576,7,0)</f>
        <v>10963.88</v>
      </c>
      <c r="M237" s="1576">
        <f>L237-K237</f>
        <v>8463.8799999999992</v>
      </c>
      <c r="N237" s="1236">
        <f t="shared" si="430"/>
        <v>338.55519999999996</v>
      </c>
      <c r="O237" s="1546">
        <f t="shared" si="431"/>
        <v>2500</v>
      </c>
      <c r="P237" s="1576"/>
      <c r="Q237" s="1576">
        <f>P237-O237</f>
        <v>-2500</v>
      </c>
      <c r="R237" s="1236">
        <f t="shared" si="432"/>
        <v>-100</v>
      </c>
      <c r="S237" s="1546">
        <f t="shared" si="433"/>
        <v>2500</v>
      </c>
      <c r="T237" s="1576"/>
      <c r="U237" s="1576">
        <f>T237-S237</f>
        <v>-2500</v>
      </c>
      <c r="V237" s="1236">
        <f t="shared" si="434"/>
        <v>-100</v>
      </c>
      <c r="W237" s="1546">
        <f t="shared" si="407"/>
        <v>2500</v>
      </c>
      <c r="X237" s="1576"/>
      <c r="Y237" s="1576">
        <f>X237-W237</f>
        <v>-2500</v>
      </c>
      <c r="Z237" s="1236">
        <f t="shared" si="435"/>
        <v>-100</v>
      </c>
      <c r="AA237" s="1546">
        <f t="shared" si="408"/>
        <v>2500</v>
      </c>
      <c r="AB237" s="1576"/>
      <c r="AC237" s="1576">
        <f>AB237-AA237</f>
        <v>-2500</v>
      </c>
      <c r="AD237" s="1236">
        <f t="shared" si="436"/>
        <v>-100</v>
      </c>
      <c r="AE237" s="1546">
        <f t="shared" si="409"/>
        <v>2500</v>
      </c>
      <c r="AF237" s="1576"/>
      <c r="AG237" s="1576">
        <f>AF237-AE237</f>
        <v>-2500</v>
      </c>
      <c r="AH237" s="1236">
        <f t="shared" si="437"/>
        <v>-100</v>
      </c>
      <c r="AI237" s="1546">
        <f t="shared" si="410"/>
        <v>2500</v>
      </c>
      <c r="AJ237" s="1576"/>
      <c r="AK237" s="1576">
        <f>AJ237-AI237</f>
        <v>-2500</v>
      </c>
      <c r="AL237" s="1236">
        <f t="shared" si="438"/>
        <v>-100</v>
      </c>
      <c r="AM237" s="1546">
        <f t="shared" si="411"/>
        <v>2500</v>
      </c>
      <c r="AN237" s="1576"/>
      <c r="AO237" s="1576">
        <f>AN237-AM237</f>
        <v>-2500</v>
      </c>
      <c r="AP237" s="1236">
        <f t="shared" si="439"/>
        <v>-100</v>
      </c>
      <c r="AQ237" s="1546">
        <f t="shared" si="412"/>
        <v>2500</v>
      </c>
      <c r="AR237" s="1576"/>
      <c r="AS237" s="1576">
        <f>AR237-AQ237</f>
        <v>-2500</v>
      </c>
      <c r="AT237" s="1236">
        <f t="shared" si="440"/>
        <v>-100</v>
      </c>
      <c r="AU237" s="1546">
        <f t="shared" si="413"/>
        <v>2500</v>
      </c>
      <c r="AV237" s="1576"/>
      <c r="AW237" s="1576">
        <f>AV237-AU237</f>
        <v>-2500</v>
      </c>
      <c r="AX237" s="1236">
        <f t="shared" si="441"/>
        <v>-100</v>
      </c>
      <c r="AY237" s="2062">
        <f t="shared" si="442"/>
        <v>30000</v>
      </c>
      <c r="AZ237" s="1616">
        <f t="shared" si="442"/>
        <v>31649.589999999997</v>
      </c>
      <c r="BA237" s="805"/>
      <c r="BB237" s="1178"/>
    </row>
    <row r="238" spans="1:57" s="1421" customFormat="1" ht="18.75" customHeight="1" thickBot="1" x14ac:dyDescent="0.3">
      <c r="A238" s="366">
        <v>11820</v>
      </c>
      <c r="B238" s="147" t="s">
        <v>330</v>
      </c>
      <c r="C238" s="1646">
        <v>1000</v>
      </c>
      <c r="D238" s="2023">
        <v>41371.29</v>
      </c>
      <c r="E238" s="1647">
        <f>D238-C238</f>
        <v>40371.29</v>
      </c>
      <c r="F238" s="1530">
        <f t="shared" si="426"/>
        <v>4037.1290000000004</v>
      </c>
      <c r="G238" s="1646">
        <f t="shared" si="427"/>
        <v>1000</v>
      </c>
      <c r="H238" s="2070">
        <f>VLOOKUP(A238,'[1]r_balancete_sc 02-2022'!$1:$1048576,9,0)</f>
        <v>15859.83</v>
      </c>
      <c r="I238" s="1647">
        <f>H238-G238</f>
        <v>14859.83</v>
      </c>
      <c r="J238" s="1530">
        <f t="shared" si="428"/>
        <v>1485.9829999999999</v>
      </c>
      <c r="K238" s="1646">
        <f t="shared" si="429"/>
        <v>1000</v>
      </c>
      <c r="L238" s="1576">
        <f>VLOOKUP(A238,'[2]bALANCETE ORÇAMENTO'!$1:$1048576,7,0)</f>
        <v>-452.11</v>
      </c>
      <c r="M238" s="1647">
        <f>L238-K238</f>
        <v>-1452.1100000000001</v>
      </c>
      <c r="N238" s="1530">
        <f t="shared" si="430"/>
        <v>-145.21100000000001</v>
      </c>
      <c r="O238" s="1646">
        <f t="shared" si="431"/>
        <v>1000</v>
      </c>
      <c r="P238" s="1647"/>
      <c r="Q238" s="1647">
        <f>P238-O238</f>
        <v>-1000</v>
      </c>
      <c r="R238" s="1530">
        <f t="shared" si="432"/>
        <v>-100</v>
      </c>
      <c r="S238" s="1646">
        <f t="shared" si="433"/>
        <v>1000</v>
      </c>
      <c r="T238" s="1647"/>
      <c r="U238" s="1647">
        <f>T238-S238</f>
        <v>-1000</v>
      </c>
      <c r="V238" s="1530">
        <f t="shared" si="434"/>
        <v>-100</v>
      </c>
      <c r="W238" s="1646">
        <f t="shared" si="407"/>
        <v>1000</v>
      </c>
      <c r="X238" s="1647"/>
      <c r="Y238" s="1647">
        <f>X238-W238</f>
        <v>-1000</v>
      </c>
      <c r="Z238" s="1530">
        <f t="shared" si="435"/>
        <v>-100</v>
      </c>
      <c r="AA238" s="1646">
        <f t="shared" si="408"/>
        <v>1000</v>
      </c>
      <c r="AB238" s="1647"/>
      <c r="AC238" s="1647">
        <f>AB238-AA238</f>
        <v>-1000</v>
      </c>
      <c r="AD238" s="1530">
        <f t="shared" si="436"/>
        <v>-100</v>
      </c>
      <c r="AE238" s="1646">
        <f t="shared" si="409"/>
        <v>1000</v>
      </c>
      <c r="AF238" s="1647"/>
      <c r="AG238" s="1647">
        <f>AF238-AE238</f>
        <v>-1000</v>
      </c>
      <c r="AH238" s="1530">
        <f t="shared" si="437"/>
        <v>-100</v>
      </c>
      <c r="AI238" s="1646">
        <f t="shared" si="410"/>
        <v>1000</v>
      </c>
      <c r="AJ238" s="1647"/>
      <c r="AK238" s="1647">
        <f>AJ238-AI238</f>
        <v>-1000</v>
      </c>
      <c r="AL238" s="1530">
        <f t="shared" si="438"/>
        <v>-100</v>
      </c>
      <c r="AM238" s="1646">
        <f t="shared" si="411"/>
        <v>1000</v>
      </c>
      <c r="AN238" s="1647"/>
      <c r="AO238" s="1647">
        <f>AN238-AM238</f>
        <v>-1000</v>
      </c>
      <c r="AP238" s="1530">
        <f t="shared" si="439"/>
        <v>-100</v>
      </c>
      <c r="AQ238" s="1646">
        <f t="shared" si="412"/>
        <v>1000</v>
      </c>
      <c r="AR238" s="1647"/>
      <c r="AS238" s="1647">
        <f>AR238-AQ238</f>
        <v>-1000</v>
      </c>
      <c r="AT238" s="1530">
        <f t="shared" si="440"/>
        <v>-100</v>
      </c>
      <c r="AU238" s="1646">
        <f t="shared" si="413"/>
        <v>1000</v>
      </c>
      <c r="AV238" s="1647"/>
      <c r="AW238" s="1647">
        <f>AV238-AU238</f>
        <v>-1000</v>
      </c>
      <c r="AX238" s="1530">
        <f t="shared" si="441"/>
        <v>-100</v>
      </c>
      <c r="AY238" s="2063">
        <f t="shared" si="442"/>
        <v>12000</v>
      </c>
      <c r="AZ238" s="1562">
        <f t="shared" si="442"/>
        <v>56779.01</v>
      </c>
      <c r="BA238" s="805"/>
      <c r="BB238" s="1178"/>
    </row>
    <row r="239" spans="1:57" s="1421" customFormat="1" ht="18.75" customHeight="1" x14ac:dyDescent="0.25">
      <c r="A239" s="167">
        <v>11122</v>
      </c>
      <c r="B239" s="189" t="s">
        <v>3887</v>
      </c>
      <c r="C239" s="2752">
        <v>520000</v>
      </c>
      <c r="D239" s="2013">
        <v>2789.13</v>
      </c>
      <c r="E239" s="2792">
        <f>SUM(D239:D244)-C239</f>
        <v>108597.22999999998</v>
      </c>
      <c r="F239" s="2783">
        <f>((SUM(D239:D244)/C239)-1)*100</f>
        <v>20.884082692307683</v>
      </c>
      <c r="G239" s="2752">
        <f t="shared" si="427"/>
        <v>520000</v>
      </c>
      <c r="H239" s="1608">
        <f>VLOOKUP(A239,'[1]r_balancete_sc 02-2022'!$1:$1048576,9,0)</f>
        <v>12573.88</v>
      </c>
      <c r="I239" s="2792">
        <f>SUM(H239:H244)-G239</f>
        <v>59985.390000000014</v>
      </c>
      <c r="J239" s="2783">
        <f>((SUM(H239:H244)/G239)-1)*100</f>
        <v>11.535651923076928</v>
      </c>
      <c r="K239" s="2752">
        <f>G239+150000</f>
        <v>670000</v>
      </c>
      <c r="L239" s="1574">
        <f>VLOOKUP(A239,'[2]bALANCETE ORÇAMENTO'!$1:$1048576,7,0)</f>
        <v>868.2</v>
      </c>
      <c r="M239" s="2792">
        <f>SUM(L239:L244)-K239</f>
        <v>-113206.71999999997</v>
      </c>
      <c r="N239" s="2783">
        <f>((SUM(L239:L244)/K239)-1)*100</f>
        <v>-16.89652537313432</v>
      </c>
      <c r="O239" s="2752">
        <f t="shared" si="431"/>
        <v>670000</v>
      </c>
      <c r="P239" s="1574"/>
      <c r="Q239" s="2792">
        <f>SUM(P239:P244)-O239</f>
        <v>-670000</v>
      </c>
      <c r="R239" s="2783">
        <f>((SUM(P239:P244)/O239)-1)*100</f>
        <v>-100</v>
      </c>
      <c r="S239" s="2752">
        <f t="shared" si="433"/>
        <v>670000</v>
      </c>
      <c r="T239" s="1574"/>
      <c r="U239" s="2792">
        <f>SUM(T239:T244)-S239</f>
        <v>-670000</v>
      </c>
      <c r="V239" s="2783">
        <f>((SUM(T239:T244)/S239)-1)*100</f>
        <v>-100</v>
      </c>
      <c r="W239" s="2752">
        <f t="shared" si="407"/>
        <v>670000</v>
      </c>
      <c r="X239" s="1574"/>
      <c r="Y239" s="2792">
        <f>SUM(X239:X244)-W239</f>
        <v>-670000</v>
      </c>
      <c r="Z239" s="2783">
        <f>((SUM(X239:X244)/W239)-1)*100</f>
        <v>-100</v>
      </c>
      <c r="AA239" s="2752">
        <f t="shared" si="408"/>
        <v>670000</v>
      </c>
      <c r="AB239" s="1574"/>
      <c r="AC239" s="2792">
        <f>SUM(AB239:AB244)-AA239</f>
        <v>-670000</v>
      </c>
      <c r="AD239" s="2783">
        <f>((SUM(AB239:AB244)/AA239)-1)*100</f>
        <v>-100</v>
      </c>
      <c r="AE239" s="2752">
        <f t="shared" si="409"/>
        <v>670000</v>
      </c>
      <c r="AF239" s="1574"/>
      <c r="AG239" s="2792">
        <f>SUM(AF239:AF244)-AE239</f>
        <v>-670000</v>
      </c>
      <c r="AH239" s="2783">
        <f>((SUM(AF239:AF244)/AE239)-1)*100</f>
        <v>-100</v>
      </c>
      <c r="AI239" s="2752">
        <f t="shared" si="410"/>
        <v>670000</v>
      </c>
      <c r="AJ239" s="1574"/>
      <c r="AK239" s="2792">
        <f>SUM(AJ239:AJ244)-AI239</f>
        <v>-670000</v>
      </c>
      <c r="AL239" s="2783">
        <f>((SUM(AJ239:AJ244)/AI239)-1)*100</f>
        <v>-100</v>
      </c>
      <c r="AM239" s="2752">
        <f t="shared" si="411"/>
        <v>670000</v>
      </c>
      <c r="AN239" s="1574"/>
      <c r="AO239" s="2792">
        <f>SUM(AN239:AN244)-AM239</f>
        <v>-670000</v>
      </c>
      <c r="AP239" s="2783">
        <f>((SUM(AN239:AN244)/AM239)-1)*100</f>
        <v>-100</v>
      </c>
      <c r="AQ239" s="2752">
        <f t="shared" si="412"/>
        <v>670000</v>
      </c>
      <c r="AR239" s="1574"/>
      <c r="AS239" s="2792">
        <f>SUM(AR239:AR244)-AQ239</f>
        <v>-670000</v>
      </c>
      <c r="AT239" s="2783">
        <f>((SUM(AR239:AR244)/AQ239)-1)*100</f>
        <v>-100</v>
      </c>
      <c r="AU239" s="2752">
        <f t="shared" si="413"/>
        <v>670000</v>
      </c>
      <c r="AV239" s="1574"/>
      <c r="AW239" s="2792">
        <f>SUM(AV239:AV244)-AU239</f>
        <v>-670000</v>
      </c>
      <c r="AX239" s="2783">
        <f>((SUM(AV239:AV244)/AU239)-1)*100</f>
        <v>-100</v>
      </c>
      <c r="AY239" s="2721">
        <f t="shared" si="442"/>
        <v>7740000</v>
      </c>
      <c r="AZ239" s="1561">
        <f t="shared" si="442"/>
        <v>16231.21</v>
      </c>
      <c r="BA239" s="805"/>
      <c r="BB239" s="1178"/>
    </row>
    <row r="240" spans="1:57" s="1421" customFormat="1" ht="18.75" customHeight="1" x14ac:dyDescent="0.25">
      <c r="A240" s="170">
        <v>11177</v>
      </c>
      <c r="B240" s="124" t="s">
        <v>3888</v>
      </c>
      <c r="C240" s="2753"/>
      <c r="D240" s="2014">
        <v>819.35</v>
      </c>
      <c r="E240" s="2794"/>
      <c r="F240" s="2795"/>
      <c r="G240" s="2753"/>
      <c r="H240" s="1611">
        <f>VLOOKUP(A240,'[1]r_balancete_sc 02-2022'!$1:$1048576,9,0)</f>
        <v>0</v>
      </c>
      <c r="I240" s="2794"/>
      <c r="J240" s="2795"/>
      <c r="K240" s="2753"/>
      <c r="L240" s="1576">
        <f>VLOOKUP(A240,'[2]bALANCETE ORÇAMENTO'!$1:$1048576,7,0)</f>
        <v>1638.7</v>
      </c>
      <c r="M240" s="2794"/>
      <c r="N240" s="2795"/>
      <c r="O240" s="2753"/>
      <c r="P240" s="1576"/>
      <c r="Q240" s="2794"/>
      <c r="R240" s="2795"/>
      <c r="S240" s="2753"/>
      <c r="T240" s="1576"/>
      <c r="U240" s="2794"/>
      <c r="V240" s="2795"/>
      <c r="W240" s="2753"/>
      <c r="X240" s="1576"/>
      <c r="Y240" s="2794"/>
      <c r="Z240" s="2795"/>
      <c r="AA240" s="2753"/>
      <c r="AB240" s="1576"/>
      <c r="AC240" s="2794"/>
      <c r="AD240" s="2795"/>
      <c r="AE240" s="2753"/>
      <c r="AF240" s="1576"/>
      <c r="AG240" s="2794"/>
      <c r="AH240" s="2795"/>
      <c r="AI240" s="2753"/>
      <c r="AJ240" s="1576"/>
      <c r="AK240" s="2794"/>
      <c r="AL240" s="2795"/>
      <c r="AM240" s="2753"/>
      <c r="AN240" s="1576"/>
      <c r="AO240" s="2794"/>
      <c r="AP240" s="2795"/>
      <c r="AQ240" s="2753"/>
      <c r="AR240" s="1576"/>
      <c r="AS240" s="2794"/>
      <c r="AT240" s="2795"/>
      <c r="AU240" s="2753"/>
      <c r="AV240" s="1576"/>
      <c r="AW240" s="2794"/>
      <c r="AX240" s="2795"/>
      <c r="AY240" s="2722"/>
      <c r="AZ240" s="1632">
        <f t="shared" ref="AZ240:AZ250" si="443">D240+H240+L240+P240+T240+X240+AB240+AF240+AJ240+AN240+AR240+AV240</f>
        <v>2458.0500000000002</v>
      </c>
      <c r="BA240" s="805"/>
      <c r="BB240" s="1178"/>
    </row>
    <row r="241" spans="1:57" s="1421" customFormat="1" ht="18.75" customHeight="1" x14ac:dyDescent="0.25">
      <c r="A241" s="170">
        <v>11159</v>
      </c>
      <c r="B241" s="124" t="s">
        <v>3889</v>
      </c>
      <c r="C241" s="2753"/>
      <c r="D241" s="2014">
        <v>617039.56999999995</v>
      </c>
      <c r="E241" s="2794"/>
      <c r="F241" s="2795"/>
      <c r="G241" s="2753"/>
      <c r="H241" s="1611">
        <f>VLOOKUP(A241,'[1]r_balancete_sc 02-2022'!$1:$1048576,9,0)</f>
        <v>562408.79</v>
      </c>
      <c r="I241" s="2794"/>
      <c r="J241" s="2795"/>
      <c r="K241" s="2753"/>
      <c r="L241" s="1576">
        <f>VLOOKUP(A241,'[2]bALANCETE ORÇAMENTO'!$1:$1048576,7,0)</f>
        <v>546094.04</v>
      </c>
      <c r="M241" s="2794"/>
      <c r="N241" s="2795"/>
      <c r="O241" s="2753"/>
      <c r="P241" s="1576"/>
      <c r="Q241" s="2794"/>
      <c r="R241" s="2795"/>
      <c r="S241" s="2753"/>
      <c r="T241" s="1576"/>
      <c r="U241" s="2794"/>
      <c r="V241" s="2795"/>
      <c r="W241" s="2753"/>
      <c r="X241" s="1576"/>
      <c r="Y241" s="2794"/>
      <c r="Z241" s="2795"/>
      <c r="AA241" s="2753"/>
      <c r="AB241" s="1576"/>
      <c r="AC241" s="2794"/>
      <c r="AD241" s="2795"/>
      <c r="AE241" s="2753"/>
      <c r="AF241" s="1576"/>
      <c r="AG241" s="2794"/>
      <c r="AH241" s="2795"/>
      <c r="AI241" s="2753"/>
      <c r="AJ241" s="1576"/>
      <c r="AK241" s="2794"/>
      <c r="AL241" s="2795"/>
      <c r="AM241" s="2753"/>
      <c r="AN241" s="1576"/>
      <c r="AO241" s="2794"/>
      <c r="AP241" s="2795"/>
      <c r="AQ241" s="2753"/>
      <c r="AR241" s="1576"/>
      <c r="AS241" s="2794"/>
      <c r="AT241" s="2795"/>
      <c r="AU241" s="2753"/>
      <c r="AV241" s="1576"/>
      <c r="AW241" s="2794"/>
      <c r="AX241" s="2795"/>
      <c r="AY241" s="2722"/>
      <c r="AZ241" s="1632">
        <f t="shared" si="443"/>
        <v>1725542.3999999999</v>
      </c>
      <c r="BA241" s="805"/>
      <c r="BB241" s="1178"/>
    </row>
    <row r="242" spans="1:57" s="1421" customFormat="1" ht="18.75" customHeight="1" x14ac:dyDescent="0.25">
      <c r="A242" s="170">
        <v>11231</v>
      </c>
      <c r="B242" s="124" t="s">
        <v>3890</v>
      </c>
      <c r="C242" s="2753"/>
      <c r="D242" s="2014">
        <v>7949.18</v>
      </c>
      <c r="E242" s="2794"/>
      <c r="F242" s="2795"/>
      <c r="G242" s="2753"/>
      <c r="H242" s="1611">
        <f>VLOOKUP(A242,'[1]r_balancete_sc 02-2022'!$1:$1048576,9,0)</f>
        <v>5002.72</v>
      </c>
      <c r="I242" s="2794"/>
      <c r="J242" s="2795"/>
      <c r="K242" s="2753"/>
      <c r="L242" s="1576">
        <f>VLOOKUP(A242,'[2]bALANCETE ORÇAMENTO'!$1:$1048576,7,0)</f>
        <v>8192.34</v>
      </c>
      <c r="M242" s="2794"/>
      <c r="N242" s="2795"/>
      <c r="O242" s="2753"/>
      <c r="P242" s="1576"/>
      <c r="Q242" s="2794"/>
      <c r="R242" s="2795"/>
      <c r="S242" s="2753"/>
      <c r="T242" s="1576"/>
      <c r="U242" s="2794"/>
      <c r="V242" s="2795"/>
      <c r="W242" s="2753"/>
      <c r="X242" s="1576"/>
      <c r="Y242" s="2794"/>
      <c r="Z242" s="2795"/>
      <c r="AA242" s="2753"/>
      <c r="AB242" s="1576"/>
      <c r="AC242" s="2794"/>
      <c r="AD242" s="2795"/>
      <c r="AE242" s="2753"/>
      <c r="AF242" s="1576"/>
      <c r="AG242" s="2794"/>
      <c r="AH242" s="2795"/>
      <c r="AI242" s="2753"/>
      <c r="AJ242" s="1576"/>
      <c r="AK242" s="2794"/>
      <c r="AL242" s="2795"/>
      <c r="AM242" s="2753"/>
      <c r="AN242" s="1576"/>
      <c r="AO242" s="2794"/>
      <c r="AP242" s="2795"/>
      <c r="AQ242" s="2753"/>
      <c r="AR242" s="1576"/>
      <c r="AS242" s="2794"/>
      <c r="AT242" s="2795"/>
      <c r="AU242" s="2753"/>
      <c r="AV242" s="1576"/>
      <c r="AW242" s="2794"/>
      <c r="AX242" s="2795"/>
      <c r="AY242" s="2722"/>
      <c r="AZ242" s="1612">
        <f t="shared" si="443"/>
        <v>21144.240000000002</v>
      </c>
      <c r="BA242" s="805"/>
      <c r="BB242" s="1178"/>
    </row>
    <row r="243" spans="1:57" s="1421" customFormat="1" ht="18.75" customHeight="1" x14ac:dyDescent="0.25">
      <c r="A243" s="170">
        <v>11136</v>
      </c>
      <c r="B243" s="124" t="s">
        <v>3891</v>
      </c>
      <c r="C243" s="2753"/>
      <c r="D243" s="2014"/>
      <c r="E243" s="2794"/>
      <c r="F243" s="2795"/>
      <c r="G243" s="2753"/>
      <c r="H243" s="2071">
        <v>0</v>
      </c>
      <c r="I243" s="2794"/>
      <c r="J243" s="2795"/>
      <c r="K243" s="2753"/>
      <c r="L243" s="1576">
        <v>0</v>
      </c>
      <c r="M243" s="2794"/>
      <c r="N243" s="2795"/>
      <c r="O243" s="2753"/>
      <c r="P243" s="1576"/>
      <c r="Q243" s="2794"/>
      <c r="R243" s="2795"/>
      <c r="S243" s="2753"/>
      <c r="T243" s="1576"/>
      <c r="U243" s="2794"/>
      <c r="V243" s="2795"/>
      <c r="W243" s="2753"/>
      <c r="X243" s="1576"/>
      <c r="Y243" s="2794"/>
      <c r="Z243" s="2795"/>
      <c r="AA243" s="2753"/>
      <c r="AB243" s="1576"/>
      <c r="AC243" s="2794"/>
      <c r="AD243" s="2795"/>
      <c r="AE243" s="2753"/>
      <c r="AF243" s="1576"/>
      <c r="AG243" s="2794"/>
      <c r="AH243" s="2795"/>
      <c r="AI243" s="2753"/>
      <c r="AJ243" s="1576"/>
      <c r="AK243" s="2794"/>
      <c r="AL243" s="2795"/>
      <c r="AM243" s="2753"/>
      <c r="AN243" s="1576"/>
      <c r="AO243" s="2794"/>
      <c r="AP243" s="2795"/>
      <c r="AQ243" s="2753"/>
      <c r="AR243" s="1576"/>
      <c r="AS243" s="2794"/>
      <c r="AT243" s="2795"/>
      <c r="AU243" s="2753"/>
      <c r="AV243" s="1576"/>
      <c r="AW243" s="2794"/>
      <c r="AX243" s="2795"/>
      <c r="AY243" s="2722"/>
      <c r="AZ243" s="1616">
        <f t="shared" si="443"/>
        <v>0</v>
      </c>
      <c r="BA243" s="805"/>
      <c r="BB243" s="1178"/>
    </row>
    <row r="244" spans="1:57" s="1421" customFormat="1" ht="18.75" customHeight="1" thickBot="1" x14ac:dyDescent="0.3">
      <c r="A244" s="178">
        <v>11232</v>
      </c>
      <c r="B244" s="157" t="s">
        <v>3892</v>
      </c>
      <c r="C244" s="2754"/>
      <c r="D244" s="2015"/>
      <c r="E244" s="2793"/>
      <c r="F244" s="2784"/>
      <c r="G244" s="2754"/>
      <c r="H244" s="1669">
        <v>0</v>
      </c>
      <c r="I244" s="2793"/>
      <c r="J244" s="2784"/>
      <c r="K244" s="2754"/>
      <c r="L244" s="1578">
        <v>0</v>
      </c>
      <c r="M244" s="2793"/>
      <c r="N244" s="2784"/>
      <c r="O244" s="2754"/>
      <c r="P244" s="1578"/>
      <c r="Q244" s="2793"/>
      <c r="R244" s="2784"/>
      <c r="S244" s="2754"/>
      <c r="T244" s="1578"/>
      <c r="U244" s="2793"/>
      <c r="V244" s="2784"/>
      <c r="W244" s="2754"/>
      <c r="X244" s="1578"/>
      <c r="Y244" s="2793"/>
      <c r="Z244" s="2784"/>
      <c r="AA244" s="2754"/>
      <c r="AB244" s="1578"/>
      <c r="AC244" s="2793"/>
      <c r="AD244" s="2784"/>
      <c r="AE244" s="2754"/>
      <c r="AF244" s="1578"/>
      <c r="AG244" s="2793"/>
      <c r="AH244" s="2784"/>
      <c r="AI244" s="2754"/>
      <c r="AJ244" s="1578"/>
      <c r="AK244" s="2793"/>
      <c r="AL244" s="2784"/>
      <c r="AM244" s="2754"/>
      <c r="AN244" s="1578"/>
      <c r="AO244" s="2793"/>
      <c r="AP244" s="2784"/>
      <c r="AQ244" s="2754"/>
      <c r="AR244" s="1578"/>
      <c r="AS244" s="2793"/>
      <c r="AT244" s="2784"/>
      <c r="AU244" s="2754"/>
      <c r="AV244" s="1578"/>
      <c r="AW244" s="2793"/>
      <c r="AX244" s="2784"/>
      <c r="AY244" s="2723"/>
      <c r="AZ244" s="1562">
        <f t="shared" si="443"/>
        <v>0</v>
      </c>
      <c r="BA244" s="805"/>
      <c r="BB244" s="1178"/>
    </row>
    <row r="245" spans="1:57" s="1421" customFormat="1" ht="18.75" customHeight="1" x14ac:dyDescent="0.25">
      <c r="A245" s="170">
        <v>11983</v>
      </c>
      <c r="B245" s="152" t="s">
        <v>218</v>
      </c>
      <c r="C245" s="1545">
        <v>2000</v>
      </c>
      <c r="D245" s="2024">
        <v>2111.36</v>
      </c>
      <c r="E245" s="1649">
        <f>D245-C245</f>
        <v>111.36000000000013</v>
      </c>
      <c r="F245" s="1235">
        <f>((D245/C245)-1)*100</f>
        <v>5.5680000000000174</v>
      </c>
      <c r="G245" s="1545">
        <f>C245</f>
        <v>2000</v>
      </c>
      <c r="H245" s="1608">
        <f>VLOOKUP(A245,'[1]r_balancete_sc 02-2022'!$1:$1048576,9,0)</f>
        <v>3616.36</v>
      </c>
      <c r="I245" s="1649">
        <f>H245-G245</f>
        <v>1616.3600000000001</v>
      </c>
      <c r="J245" s="1235">
        <f>((H245/G245)-1)*100</f>
        <v>80.818000000000012</v>
      </c>
      <c r="K245" s="1545">
        <f>G245</f>
        <v>2000</v>
      </c>
      <c r="L245" s="1649">
        <f>VLOOKUP(A245,'[2]bALANCETE ORÇAMENTO'!$1:$1048576,7,0)</f>
        <v>2086.36</v>
      </c>
      <c r="M245" s="1649">
        <f>L245-K245</f>
        <v>86.360000000000127</v>
      </c>
      <c r="N245" s="1235">
        <f>((L245/K245)-1)*100</f>
        <v>4.3179999999999996</v>
      </c>
      <c r="O245" s="1545">
        <f>K245</f>
        <v>2000</v>
      </c>
      <c r="P245" s="1649"/>
      <c r="Q245" s="1649">
        <f>P245-O245</f>
        <v>-2000</v>
      </c>
      <c r="R245" s="1235">
        <f>((P245/O245)-1)*100</f>
        <v>-100</v>
      </c>
      <c r="S245" s="1545">
        <f>O245</f>
        <v>2000</v>
      </c>
      <c r="T245" s="1649"/>
      <c r="U245" s="1649">
        <f>T245-S245</f>
        <v>-2000</v>
      </c>
      <c r="V245" s="1235">
        <f>((T245/S245)-1)*100</f>
        <v>-100</v>
      </c>
      <c r="W245" s="1545">
        <f t="shared" si="407"/>
        <v>2000</v>
      </c>
      <c r="X245" s="1649"/>
      <c r="Y245" s="1649">
        <f>X245-W245</f>
        <v>-2000</v>
      </c>
      <c r="Z245" s="1235">
        <f>((X245/W245)-1)*100</f>
        <v>-100</v>
      </c>
      <c r="AA245" s="1545">
        <f t="shared" si="408"/>
        <v>2000</v>
      </c>
      <c r="AB245" s="1649"/>
      <c r="AC245" s="1649">
        <f>AB245-AA245</f>
        <v>-2000</v>
      </c>
      <c r="AD245" s="1235">
        <f>((AB245/AA245)-1)*100</f>
        <v>-100</v>
      </c>
      <c r="AE245" s="1545">
        <f t="shared" si="409"/>
        <v>2000</v>
      </c>
      <c r="AF245" s="1649"/>
      <c r="AG245" s="1649">
        <f>AF245-AE245</f>
        <v>-2000</v>
      </c>
      <c r="AH245" s="1235">
        <f>((AF245/AE245)-1)*100</f>
        <v>-100</v>
      </c>
      <c r="AI245" s="1545">
        <f t="shared" si="410"/>
        <v>2000</v>
      </c>
      <c r="AJ245" s="1649"/>
      <c r="AK245" s="1649">
        <f>AJ245-AI245</f>
        <v>-2000</v>
      </c>
      <c r="AL245" s="1235">
        <f>((AJ245/AI245)-1)*100</f>
        <v>-100</v>
      </c>
      <c r="AM245" s="1545">
        <f t="shared" si="411"/>
        <v>2000</v>
      </c>
      <c r="AN245" s="1649"/>
      <c r="AO245" s="1649">
        <f>AN245-AM245</f>
        <v>-2000</v>
      </c>
      <c r="AP245" s="1235">
        <f>((AN245/AM245)-1)*100</f>
        <v>-100</v>
      </c>
      <c r="AQ245" s="1545">
        <f t="shared" si="412"/>
        <v>2000</v>
      </c>
      <c r="AR245" s="1649"/>
      <c r="AS245" s="1649">
        <f>AR245-AQ245</f>
        <v>-2000</v>
      </c>
      <c r="AT245" s="1235">
        <f>((AR245/AQ245)-1)*100</f>
        <v>-100</v>
      </c>
      <c r="AU245" s="1545">
        <f t="shared" si="413"/>
        <v>2000</v>
      </c>
      <c r="AV245" s="1649"/>
      <c r="AW245" s="1649">
        <f>AV245-AU245</f>
        <v>-2000</v>
      </c>
      <c r="AX245" s="1235">
        <f>((AV245/AU245)-1)*100</f>
        <v>-100</v>
      </c>
      <c r="AY245" s="1240">
        <f>C245+G245+K245+O245+S245+W245+AA245+AE245+AI245+AM245+AQ245+AU245</f>
        <v>24000</v>
      </c>
      <c r="AZ245" s="1561">
        <f t="shared" si="443"/>
        <v>7814.08</v>
      </c>
      <c r="BA245" s="805"/>
      <c r="BB245" s="1178"/>
    </row>
    <row r="246" spans="1:57" s="1421" customFormat="1" ht="18.75" customHeight="1" thickBot="1" x14ac:dyDescent="0.3">
      <c r="A246" s="366">
        <v>11669</v>
      </c>
      <c r="B246" s="147" t="s">
        <v>334</v>
      </c>
      <c r="C246" s="1646">
        <v>2200</v>
      </c>
      <c r="D246" s="2023">
        <v>2043.4</v>
      </c>
      <c r="E246" s="1647">
        <f>D246-C246</f>
        <v>-156.59999999999991</v>
      </c>
      <c r="F246" s="1530">
        <f>((D246/C246)-1)*100</f>
        <v>-7.1181818181818119</v>
      </c>
      <c r="G246" s="1646">
        <f>C246</f>
        <v>2200</v>
      </c>
      <c r="H246" s="2070">
        <f>VLOOKUP(A246,'[1]r_balancete_sc 02-2022'!$1:$1048576,9,0)</f>
        <v>2125.4</v>
      </c>
      <c r="I246" s="1647">
        <f>H246-G246</f>
        <v>-74.599999999999909</v>
      </c>
      <c r="J246" s="1530">
        <f>((H246/G246)-1)*100</f>
        <v>-3.3909090909090889</v>
      </c>
      <c r="K246" s="1646">
        <f>G246</f>
        <v>2200</v>
      </c>
      <c r="L246" s="1647">
        <f>VLOOKUP(A246,'[2]bALANCETE ORÇAMENTO'!$1:$1048576,7,0)</f>
        <v>2000</v>
      </c>
      <c r="M246" s="1647">
        <f>L246-K246</f>
        <v>-200</v>
      </c>
      <c r="N246" s="1530">
        <f>((L246/K246)-1)*100</f>
        <v>-9.0909090909090935</v>
      </c>
      <c r="O246" s="1646">
        <f>K246</f>
        <v>2200</v>
      </c>
      <c r="P246" s="1647"/>
      <c r="Q246" s="1647">
        <f>P246-O246</f>
        <v>-2200</v>
      </c>
      <c r="R246" s="1530">
        <f>((P246/O246)-1)*100</f>
        <v>-100</v>
      </c>
      <c r="S246" s="1646">
        <f>O246</f>
        <v>2200</v>
      </c>
      <c r="T246" s="1647"/>
      <c r="U246" s="1647">
        <f>T246-S246</f>
        <v>-2200</v>
      </c>
      <c r="V246" s="1530">
        <f>((T246/S246)-1)*100</f>
        <v>-100</v>
      </c>
      <c r="W246" s="1646">
        <f t="shared" si="407"/>
        <v>2200</v>
      </c>
      <c r="X246" s="1647"/>
      <c r="Y246" s="1647">
        <f>X246-W246</f>
        <v>-2200</v>
      </c>
      <c r="Z246" s="1530">
        <f>((X246/W246)-1)*100</f>
        <v>-100</v>
      </c>
      <c r="AA246" s="1646">
        <f t="shared" si="408"/>
        <v>2200</v>
      </c>
      <c r="AB246" s="1647"/>
      <c r="AC246" s="1647">
        <f>AB246-AA246</f>
        <v>-2200</v>
      </c>
      <c r="AD246" s="1530">
        <f>((AB246/AA246)-1)*100</f>
        <v>-100</v>
      </c>
      <c r="AE246" s="1646">
        <f t="shared" si="409"/>
        <v>2200</v>
      </c>
      <c r="AF246" s="1647"/>
      <c r="AG246" s="1647">
        <f>AF246-AE246</f>
        <v>-2200</v>
      </c>
      <c r="AH246" s="1530">
        <f>((AF246/AE246)-1)*100</f>
        <v>-100</v>
      </c>
      <c r="AI246" s="1646">
        <f t="shared" si="410"/>
        <v>2200</v>
      </c>
      <c r="AJ246" s="1647"/>
      <c r="AK246" s="1647">
        <f>AJ246-AI246</f>
        <v>-2200</v>
      </c>
      <c r="AL246" s="1530">
        <f>((AJ246/AI246)-1)*100</f>
        <v>-100</v>
      </c>
      <c r="AM246" s="1646">
        <f t="shared" si="411"/>
        <v>2200</v>
      </c>
      <c r="AN246" s="1647"/>
      <c r="AO246" s="1647">
        <f>AN246-AM246</f>
        <v>-2200</v>
      </c>
      <c r="AP246" s="1530">
        <f>((AN246/AM246)-1)*100</f>
        <v>-100</v>
      </c>
      <c r="AQ246" s="1646">
        <f t="shared" si="412"/>
        <v>2200</v>
      </c>
      <c r="AR246" s="1647"/>
      <c r="AS246" s="1647">
        <f>AR246-AQ246</f>
        <v>-2200</v>
      </c>
      <c r="AT246" s="1530">
        <f>((AR246/AQ246)-1)*100</f>
        <v>-100</v>
      </c>
      <c r="AU246" s="1646">
        <f t="shared" si="413"/>
        <v>2200</v>
      </c>
      <c r="AV246" s="1647"/>
      <c r="AW246" s="1647">
        <f>AV246-AU246</f>
        <v>-2200</v>
      </c>
      <c r="AX246" s="1530">
        <f>((AV246/AU246)-1)*100</f>
        <v>-100</v>
      </c>
      <c r="AY246" s="2063">
        <f>C246+G246+K246+O246+S246+W246+AA246+AE246+AI246+AM246+AQ246+AU246</f>
        <v>26400</v>
      </c>
      <c r="AZ246" s="1562">
        <f t="shared" si="443"/>
        <v>6168.8</v>
      </c>
      <c r="BA246" s="805"/>
      <c r="BB246" s="1178"/>
    </row>
    <row r="247" spans="1:57" s="1421" customFormat="1" ht="18.75" customHeight="1" x14ac:dyDescent="0.25">
      <c r="A247" s="167">
        <v>51514</v>
      </c>
      <c r="B247" s="189" t="s">
        <v>108</v>
      </c>
      <c r="C247" s="2752">
        <v>20000</v>
      </c>
      <c r="D247" s="2013">
        <v>9575.6200000000008</v>
      </c>
      <c r="E247" s="2792">
        <f>SUM(D247:D248)-C247</f>
        <v>-4621.8499999999985</v>
      </c>
      <c r="F247" s="2783">
        <f>((SUM(D247:D248)/C247)-1)*100</f>
        <v>-23.109249999999992</v>
      </c>
      <c r="G247" s="2752">
        <f>C247</f>
        <v>20000</v>
      </c>
      <c r="H247" s="1608">
        <f>VLOOKUP(A247,'[1]r_balancete_sc 02-2022'!$1:$1048576,9,0)</f>
        <v>6969.53</v>
      </c>
      <c r="I247" s="2792">
        <f>SUM(H247:H248)-G247</f>
        <v>-7189.2400000000016</v>
      </c>
      <c r="J247" s="2783">
        <f>((SUM(H247:H248)/G247)-1)*100</f>
        <v>-35.946200000000005</v>
      </c>
      <c r="K247" s="2752">
        <f>G247</f>
        <v>20000</v>
      </c>
      <c r="L247" s="1574">
        <f>VLOOKUP(A247,'[2]bALANCETE ORÇAMENTO'!$1:$1048576,7,0)</f>
        <v>8241.2099999999991</v>
      </c>
      <c r="M247" s="2792">
        <f>SUM(L247:L248)-K247</f>
        <v>-5877.27</v>
      </c>
      <c r="N247" s="2783">
        <f>((SUM(L247:L248)/K247)-1)*100</f>
        <v>-29.386350000000007</v>
      </c>
      <c r="O247" s="2752">
        <f>K247</f>
        <v>20000</v>
      </c>
      <c r="P247" s="1574"/>
      <c r="Q247" s="2792">
        <f>SUM(P247:P248)-O247</f>
        <v>-20000</v>
      </c>
      <c r="R247" s="2783">
        <f>((SUM(P247:P248)/O247)-1)*100</f>
        <v>-100</v>
      </c>
      <c r="S247" s="2752">
        <f>O247</f>
        <v>20000</v>
      </c>
      <c r="T247" s="1574"/>
      <c r="U247" s="2792">
        <f>SUM(T247:T248)-S247</f>
        <v>-20000</v>
      </c>
      <c r="V247" s="2783">
        <f>((SUM(T247:T248)/S247)-1)*100</f>
        <v>-100</v>
      </c>
      <c r="W247" s="2752">
        <f t="shared" si="407"/>
        <v>20000</v>
      </c>
      <c r="X247" s="1574"/>
      <c r="Y247" s="2792">
        <f>SUM(X247:X248)-W247</f>
        <v>-20000</v>
      </c>
      <c r="Z247" s="2783">
        <f>((SUM(X247:X248)/W247)-1)*100</f>
        <v>-100</v>
      </c>
      <c r="AA247" s="2752">
        <f t="shared" si="408"/>
        <v>20000</v>
      </c>
      <c r="AB247" s="1574"/>
      <c r="AC247" s="2792">
        <f>SUM(AB247:AB248)-AA247</f>
        <v>-20000</v>
      </c>
      <c r="AD247" s="2783">
        <f>((SUM(AB247:AB248)/AA247)-1)*100</f>
        <v>-100</v>
      </c>
      <c r="AE247" s="2752">
        <f t="shared" si="409"/>
        <v>20000</v>
      </c>
      <c r="AF247" s="1574"/>
      <c r="AG247" s="2792">
        <f>SUM(AF247:AF248)-AE247</f>
        <v>-20000</v>
      </c>
      <c r="AH247" s="2783">
        <f>((SUM(AF247:AF248)/AE247)-1)*100</f>
        <v>-100</v>
      </c>
      <c r="AI247" s="2752">
        <f t="shared" si="410"/>
        <v>20000</v>
      </c>
      <c r="AJ247" s="1574"/>
      <c r="AK247" s="2792">
        <f>SUM(AJ247:AJ248)-AI247</f>
        <v>-20000</v>
      </c>
      <c r="AL247" s="2783">
        <f>((SUM(AJ247:AJ248)/AI247)-1)*100</f>
        <v>-100</v>
      </c>
      <c r="AM247" s="2752">
        <f t="shared" si="411"/>
        <v>20000</v>
      </c>
      <c r="AN247" s="1574"/>
      <c r="AO247" s="2792">
        <f>SUM(AN247:AN248)-AM247</f>
        <v>-20000</v>
      </c>
      <c r="AP247" s="2783">
        <f>((SUM(AN247:AN248)/AM247)-1)*100</f>
        <v>-100</v>
      </c>
      <c r="AQ247" s="2752">
        <f t="shared" si="412"/>
        <v>20000</v>
      </c>
      <c r="AR247" s="1574"/>
      <c r="AS247" s="2792">
        <f>SUM(AR247:AR248)-AQ247</f>
        <v>-20000</v>
      </c>
      <c r="AT247" s="2783">
        <f>((SUM(AR247:AR248)/AQ247)-1)*100</f>
        <v>-100</v>
      </c>
      <c r="AU247" s="2752">
        <f t="shared" si="413"/>
        <v>20000</v>
      </c>
      <c r="AV247" s="1574"/>
      <c r="AW247" s="2792">
        <f>SUM(AV247:AV248)-AU247</f>
        <v>-20000</v>
      </c>
      <c r="AX247" s="2783">
        <f>((SUM(AV247:AV248)/AU247)-1)*100</f>
        <v>-100</v>
      </c>
      <c r="AY247" s="2721">
        <f>C247+G247+K247+O247+S247+W247+AA247+AE247+AI247+AM247+AQ247+AU247</f>
        <v>240000</v>
      </c>
      <c r="AZ247" s="2196">
        <f t="shared" si="443"/>
        <v>24786.36</v>
      </c>
      <c r="BA247" s="828"/>
      <c r="BB247" s="1178"/>
      <c r="BC247" s="552"/>
      <c r="BD247" s="552"/>
      <c r="BE247" s="552"/>
    </row>
    <row r="248" spans="1:57" s="1421" customFormat="1" ht="18.75" customHeight="1" thickBot="1" x14ac:dyDescent="0.3">
      <c r="A248" s="178">
        <v>52148</v>
      </c>
      <c r="B248" s="509" t="s">
        <v>3893</v>
      </c>
      <c r="C248" s="2754"/>
      <c r="D248" s="2015">
        <v>5802.53</v>
      </c>
      <c r="E248" s="2793"/>
      <c r="F248" s="2784"/>
      <c r="G248" s="2754"/>
      <c r="H248" s="2070">
        <f>VLOOKUP(A248,'[1]r_balancete_sc 02-2022'!$1:$1048576,9,0)</f>
        <v>5841.23</v>
      </c>
      <c r="I248" s="2793"/>
      <c r="J248" s="2784"/>
      <c r="K248" s="2754"/>
      <c r="L248" s="1578">
        <f>VLOOKUP(A248,'[2]bALANCETE ORÇAMENTO'!$1:$1048576,7,0)</f>
        <v>5881.52</v>
      </c>
      <c r="M248" s="2793"/>
      <c r="N248" s="2784"/>
      <c r="O248" s="2754"/>
      <c r="P248" s="1578"/>
      <c r="Q248" s="2793"/>
      <c r="R248" s="2784"/>
      <c r="S248" s="2754"/>
      <c r="T248" s="1578"/>
      <c r="U248" s="2793"/>
      <c r="V248" s="2784"/>
      <c r="W248" s="2754"/>
      <c r="X248" s="1578"/>
      <c r="Y248" s="2793"/>
      <c r="Z248" s="2784"/>
      <c r="AA248" s="2754"/>
      <c r="AB248" s="1578"/>
      <c r="AC248" s="2793"/>
      <c r="AD248" s="2784"/>
      <c r="AE248" s="2754"/>
      <c r="AF248" s="1578"/>
      <c r="AG248" s="2793"/>
      <c r="AH248" s="2784"/>
      <c r="AI248" s="2754"/>
      <c r="AJ248" s="1578"/>
      <c r="AK248" s="2793"/>
      <c r="AL248" s="2784"/>
      <c r="AM248" s="2754"/>
      <c r="AN248" s="1578"/>
      <c r="AO248" s="2793"/>
      <c r="AP248" s="2784"/>
      <c r="AQ248" s="2754"/>
      <c r="AR248" s="1578"/>
      <c r="AS248" s="2793"/>
      <c r="AT248" s="2784"/>
      <c r="AU248" s="2754"/>
      <c r="AV248" s="1578"/>
      <c r="AW248" s="2793"/>
      <c r="AX248" s="2784"/>
      <c r="AY248" s="2723"/>
      <c r="AZ248" s="1613">
        <f t="shared" si="443"/>
        <v>17525.28</v>
      </c>
      <c r="BA248" s="828"/>
      <c r="BB248" s="1178"/>
      <c r="BC248" s="552"/>
      <c r="BD248" s="552"/>
      <c r="BE248" s="552"/>
    </row>
    <row r="249" spans="1:57" s="1421" customFormat="1" ht="18.75" customHeight="1" thickBot="1" x14ac:dyDescent="0.3">
      <c r="A249" s="1666">
        <v>33263</v>
      </c>
      <c r="B249" s="1667" t="s">
        <v>3761</v>
      </c>
      <c r="C249" s="1646">
        <v>200000</v>
      </c>
      <c r="D249" s="2023">
        <v>250000</v>
      </c>
      <c r="E249" s="1576">
        <f>D249-C249</f>
        <v>50000</v>
      </c>
      <c r="F249" s="1648">
        <f>((D249/C249)-1)*100</f>
        <v>25</v>
      </c>
      <c r="G249" s="1646">
        <f>C249</f>
        <v>200000</v>
      </c>
      <c r="H249" s="1570">
        <f>VLOOKUP(A249,'[1]r_balancete_sc 02-2022'!$1:$1048576,9,0)</f>
        <v>0</v>
      </c>
      <c r="I249" s="1576">
        <f>H249-G249</f>
        <v>-200000</v>
      </c>
      <c r="J249" s="1648">
        <f>((H249/G249)-1)*100</f>
        <v>-100</v>
      </c>
      <c r="K249" s="1646">
        <f>G249</f>
        <v>200000</v>
      </c>
      <c r="L249" s="1647">
        <f>VLOOKUP(A249,'[2]bALANCETE ORÇAMENTO'!$1:$1048576,7,0)</f>
        <v>250000</v>
      </c>
      <c r="M249" s="1576">
        <f>L249-K249</f>
        <v>50000</v>
      </c>
      <c r="N249" s="1648">
        <f>((L249/K249)-1)*100</f>
        <v>25</v>
      </c>
      <c r="O249" s="1646">
        <f>K249</f>
        <v>200000</v>
      </c>
      <c r="P249" s="1647"/>
      <c r="Q249" s="1576">
        <f>P249-O249</f>
        <v>-200000</v>
      </c>
      <c r="R249" s="1648">
        <f>((P249/O249)-1)*100</f>
        <v>-100</v>
      </c>
      <c r="S249" s="1646">
        <f>O249</f>
        <v>200000</v>
      </c>
      <c r="T249" s="1647"/>
      <c r="U249" s="1576">
        <f>T249-S249</f>
        <v>-200000</v>
      </c>
      <c r="V249" s="1648">
        <f>((T249/S249)-1)*100</f>
        <v>-100</v>
      </c>
      <c r="W249" s="1646">
        <f t="shared" si="407"/>
        <v>200000</v>
      </c>
      <c r="X249" s="1647"/>
      <c r="Y249" s="1576">
        <f>X249-W249</f>
        <v>-200000</v>
      </c>
      <c r="Z249" s="1648">
        <f>((X249/W249)-1)*100</f>
        <v>-100</v>
      </c>
      <c r="AA249" s="1646">
        <f t="shared" si="408"/>
        <v>200000</v>
      </c>
      <c r="AB249" s="1647"/>
      <c r="AC249" s="1576">
        <f>AB249-AA249</f>
        <v>-200000</v>
      </c>
      <c r="AD249" s="1648">
        <f>((AB249/AA249)-1)*100</f>
        <v>-100</v>
      </c>
      <c r="AE249" s="1646">
        <f t="shared" si="409"/>
        <v>200000</v>
      </c>
      <c r="AF249" s="1647"/>
      <c r="AG249" s="1576">
        <f>AF249-AE249</f>
        <v>-200000</v>
      </c>
      <c r="AH249" s="1648">
        <f>((AF249/AE249)-1)*100</f>
        <v>-100</v>
      </c>
      <c r="AI249" s="1646">
        <f t="shared" si="410"/>
        <v>200000</v>
      </c>
      <c r="AJ249" s="1647"/>
      <c r="AK249" s="1576">
        <f>AJ249-AI249</f>
        <v>-200000</v>
      </c>
      <c r="AL249" s="1648">
        <f>((AJ249/AI249)-1)*100</f>
        <v>-100</v>
      </c>
      <c r="AM249" s="1646">
        <f t="shared" si="411"/>
        <v>200000</v>
      </c>
      <c r="AN249" s="1647"/>
      <c r="AO249" s="1576">
        <f>AN249-AM249</f>
        <v>-200000</v>
      </c>
      <c r="AP249" s="1648">
        <f>((AN249/AM249)-1)*100</f>
        <v>-100</v>
      </c>
      <c r="AQ249" s="1646">
        <f t="shared" si="412"/>
        <v>200000</v>
      </c>
      <c r="AR249" s="1647"/>
      <c r="AS249" s="1576">
        <f>AR249-AQ249</f>
        <v>-200000</v>
      </c>
      <c r="AT249" s="1648">
        <f>((AR249/AQ249)-1)*100</f>
        <v>-100</v>
      </c>
      <c r="AU249" s="1646">
        <f t="shared" si="413"/>
        <v>200000</v>
      </c>
      <c r="AV249" s="1647"/>
      <c r="AW249" s="1576">
        <f>AV249-AU249</f>
        <v>-200000</v>
      </c>
      <c r="AX249" s="1648">
        <f>((AV249/AU249)-1)*100</f>
        <v>-100</v>
      </c>
      <c r="AY249" s="1234">
        <f>C249+G249+K249+O249+S249+W249+AA249+AE249+AI249+AM249+AQ249+AU249</f>
        <v>2400000</v>
      </c>
      <c r="AZ249" s="1976">
        <f t="shared" si="443"/>
        <v>500000</v>
      </c>
      <c r="BA249" s="146"/>
      <c r="BB249" s="232"/>
      <c r="BC249" s="146"/>
      <c r="BD249" s="146"/>
      <c r="BE249" s="146"/>
    </row>
    <row r="250" spans="1:57" s="1421" customFormat="1" ht="18.75" customHeight="1" x14ac:dyDescent="0.25">
      <c r="A250" s="167">
        <v>12443</v>
      </c>
      <c r="B250" s="189" t="s">
        <v>3894</v>
      </c>
      <c r="C250" s="2752">
        <v>1200</v>
      </c>
      <c r="D250" s="2013">
        <v>0</v>
      </c>
      <c r="E250" s="2792">
        <f>SUM(D250:D251)-C250</f>
        <v>170</v>
      </c>
      <c r="F250" s="2783">
        <f>((SUM(D250:D251)/C250)-1)*100</f>
        <v>14.166666666666661</v>
      </c>
      <c r="G250" s="2752">
        <f>C250</f>
        <v>1200</v>
      </c>
      <c r="H250" s="1608">
        <v>0</v>
      </c>
      <c r="I250" s="2792">
        <f>SUM(H250:H251)-G250</f>
        <v>800</v>
      </c>
      <c r="J250" s="2783">
        <f>((SUM(H250:H251)/G250)-1)*100</f>
        <v>66.666666666666671</v>
      </c>
      <c r="K250" s="2752">
        <f>G250</f>
        <v>1200</v>
      </c>
      <c r="L250" s="1574">
        <v>0</v>
      </c>
      <c r="M250" s="2792">
        <f>SUM(L250:L251)-K250</f>
        <v>-200</v>
      </c>
      <c r="N250" s="2783">
        <f>((SUM(L250:L251)/K250)-1)*100</f>
        <v>-16.666666666666664</v>
      </c>
      <c r="O250" s="2752">
        <f>K250</f>
        <v>1200</v>
      </c>
      <c r="P250" s="1574"/>
      <c r="Q250" s="2792">
        <f>SUM(P250:P251)-O250</f>
        <v>-1200</v>
      </c>
      <c r="R250" s="2783">
        <f>((SUM(P250:P251)/O250)-1)*100</f>
        <v>-100</v>
      </c>
      <c r="S250" s="2752">
        <f>O250</f>
        <v>1200</v>
      </c>
      <c r="T250" s="1574"/>
      <c r="U250" s="2792">
        <f>SUM(T250:T251)-S250</f>
        <v>-1200</v>
      </c>
      <c r="V250" s="2783">
        <f>((SUM(T250:T251)/S250)-1)*100</f>
        <v>-100</v>
      </c>
      <c r="W250" s="2752">
        <f t="shared" si="407"/>
        <v>1200</v>
      </c>
      <c r="X250" s="1574"/>
      <c r="Y250" s="2792">
        <f>SUM(X250:X251)-W250</f>
        <v>-1200</v>
      </c>
      <c r="Z250" s="2783">
        <f>((SUM(X250:X251)/W250)-1)*100</f>
        <v>-100</v>
      </c>
      <c r="AA250" s="2752">
        <f t="shared" si="408"/>
        <v>1200</v>
      </c>
      <c r="AB250" s="1574"/>
      <c r="AC250" s="2792">
        <f>SUM(AB250:AB251)-AA250</f>
        <v>-1200</v>
      </c>
      <c r="AD250" s="2783">
        <f>((SUM(AB250:AB251)/AA250)-1)*100</f>
        <v>-100</v>
      </c>
      <c r="AE250" s="2752">
        <f t="shared" si="409"/>
        <v>1200</v>
      </c>
      <c r="AF250" s="1574"/>
      <c r="AG250" s="2792">
        <f>SUM(AF250:AF251)-AE250</f>
        <v>-1200</v>
      </c>
      <c r="AH250" s="2783">
        <f>((SUM(AF250:AF251)/AE250)-1)*100</f>
        <v>-100</v>
      </c>
      <c r="AI250" s="2752">
        <f t="shared" si="410"/>
        <v>1200</v>
      </c>
      <c r="AJ250" s="1574"/>
      <c r="AK250" s="2792">
        <f>SUM(AJ250:AJ251)-AI250</f>
        <v>-1200</v>
      </c>
      <c r="AL250" s="2783">
        <f>((SUM(AJ250:AJ251)/AI250)-1)*100</f>
        <v>-100</v>
      </c>
      <c r="AM250" s="2752">
        <f t="shared" si="411"/>
        <v>1200</v>
      </c>
      <c r="AN250" s="1574"/>
      <c r="AO250" s="2792">
        <f>SUM(AN250:AN251)-AM250</f>
        <v>-1200</v>
      </c>
      <c r="AP250" s="2783">
        <f>((SUM(AN250:AN251)/AM250)-1)*100</f>
        <v>-100</v>
      </c>
      <c r="AQ250" s="2752">
        <f t="shared" si="412"/>
        <v>1200</v>
      </c>
      <c r="AR250" s="1574"/>
      <c r="AS250" s="2792">
        <f>SUM(AR250:AR251)-AQ250</f>
        <v>-1200</v>
      </c>
      <c r="AT250" s="2783">
        <f>((SUM(AR250:AR251)/AQ250)-1)*100</f>
        <v>-100</v>
      </c>
      <c r="AU250" s="2752">
        <f t="shared" si="413"/>
        <v>1200</v>
      </c>
      <c r="AV250" s="1574"/>
      <c r="AW250" s="2792">
        <f>SUM(AV250:AV251)-AU250</f>
        <v>-1200</v>
      </c>
      <c r="AX250" s="2783">
        <f>((SUM(AV250:AV251)/AU250)-1)*100</f>
        <v>-100</v>
      </c>
      <c r="AY250" s="2721">
        <f>C250+G250+K250+O250+S250+W250+AA250+AE250+AI250+AM250+AQ250+AU250</f>
        <v>14400</v>
      </c>
      <c r="AZ250" s="1561">
        <f t="shared" si="443"/>
        <v>0</v>
      </c>
      <c r="BA250" s="805"/>
      <c r="BB250" s="1178"/>
    </row>
    <row r="251" spans="1:57" s="1421" customFormat="1" ht="18.75" customHeight="1" thickBot="1" x14ac:dyDescent="0.3">
      <c r="A251" s="178">
        <v>33097</v>
      </c>
      <c r="B251" s="157" t="s">
        <v>3895</v>
      </c>
      <c r="C251" s="2754"/>
      <c r="D251" s="2015">
        <v>1370</v>
      </c>
      <c r="E251" s="2793"/>
      <c r="F251" s="2784"/>
      <c r="G251" s="2754"/>
      <c r="H251" s="2070">
        <f>VLOOKUP(A251,'[1]r_balancete_sc 02-2022'!$1:$1048576,9,0)</f>
        <v>2000</v>
      </c>
      <c r="I251" s="2793"/>
      <c r="J251" s="2784"/>
      <c r="K251" s="2754"/>
      <c r="L251" s="1578">
        <f>VLOOKUP(A251,'[2]bALANCETE ORÇAMENTO'!$1:$1048576,7,0)</f>
        <v>1000</v>
      </c>
      <c r="M251" s="2793"/>
      <c r="N251" s="2784"/>
      <c r="O251" s="2754"/>
      <c r="P251" s="1578"/>
      <c r="Q251" s="2793"/>
      <c r="R251" s="2784"/>
      <c r="S251" s="2754"/>
      <c r="T251" s="1578"/>
      <c r="U251" s="2793"/>
      <c r="V251" s="2784"/>
      <c r="W251" s="2754"/>
      <c r="X251" s="1578"/>
      <c r="Y251" s="2793"/>
      <c r="Z251" s="2784"/>
      <c r="AA251" s="2754"/>
      <c r="AB251" s="1578"/>
      <c r="AC251" s="2793"/>
      <c r="AD251" s="2784"/>
      <c r="AE251" s="2754"/>
      <c r="AF251" s="1578"/>
      <c r="AG251" s="2793"/>
      <c r="AH251" s="2784"/>
      <c r="AI251" s="2754"/>
      <c r="AJ251" s="1578"/>
      <c r="AK251" s="2793"/>
      <c r="AL251" s="2784"/>
      <c r="AM251" s="2754"/>
      <c r="AN251" s="1578"/>
      <c r="AO251" s="2793"/>
      <c r="AP251" s="2784"/>
      <c r="AQ251" s="2754"/>
      <c r="AR251" s="1578"/>
      <c r="AS251" s="2793"/>
      <c r="AT251" s="2784"/>
      <c r="AU251" s="2754"/>
      <c r="AV251" s="1578"/>
      <c r="AW251" s="2793"/>
      <c r="AX251" s="2784"/>
      <c r="AY251" s="2723"/>
      <c r="AZ251" s="1562"/>
      <c r="BA251" s="805"/>
      <c r="BB251" s="1178"/>
    </row>
    <row r="252" spans="1:57" s="1421" customFormat="1" ht="18.75" customHeight="1" x14ac:dyDescent="0.25">
      <c r="A252" s="170">
        <v>37992</v>
      </c>
      <c r="B252" s="152" t="s">
        <v>222</v>
      </c>
      <c r="C252" s="1670">
        <v>0</v>
      </c>
      <c r="D252" s="1671">
        <v>0</v>
      </c>
      <c r="E252" s="1671">
        <f t="shared" ref="E252:E257" si="444">D252-C252</f>
        <v>0</v>
      </c>
      <c r="F252" s="1672">
        <v>0</v>
      </c>
      <c r="G252" s="1670">
        <f>C252</f>
        <v>0</v>
      </c>
      <c r="H252" s="1608">
        <v>0</v>
      </c>
      <c r="I252" s="1671">
        <f t="shared" ref="I252:I257" si="445">H252-G252</f>
        <v>0</v>
      </c>
      <c r="J252" s="1672">
        <v>0</v>
      </c>
      <c r="K252" s="1670">
        <f>G252</f>
        <v>0</v>
      </c>
      <c r="L252" s="1671">
        <f>VLOOKUP(A252,'[2]bALANCETE ORÇAMENTO'!$1:$1048576,7,0)</f>
        <v>499.8</v>
      </c>
      <c r="M252" s="1671">
        <f t="shared" ref="M252:M255" si="446">L252-K252</f>
        <v>499.8</v>
      </c>
      <c r="N252" s="1672">
        <v>0</v>
      </c>
      <c r="O252" s="1670">
        <f>K252</f>
        <v>0</v>
      </c>
      <c r="P252" s="1671"/>
      <c r="Q252" s="1671">
        <f t="shared" ref="Q252:Q255" si="447">P252-O252</f>
        <v>0</v>
      </c>
      <c r="R252" s="1672">
        <v>0</v>
      </c>
      <c r="S252" s="1670">
        <v>260</v>
      </c>
      <c r="T252" s="1671"/>
      <c r="U252" s="1671">
        <f t="shared" ref="U252:U255" si="448">T252-S252</f>
        <v>-260</v>
      </c>
      <c r="V252" s="1672">
        <v>0</v>
      </c>
      <c r="W252" s="1670">
        <v>0</v>
      </c>
      <c r="X252" s="1671"/>
      <c r="Y252" s="1671">
        <f t="shared" ref="Y252:Y255" si="449">X252-W252</f>
        <v>0</v>
      </c>
      <c r="Z252" s="1672">
        <v>0</v>
      </c>
      <c r="AA252" s="1670">
        <v>0</v>
      </c>
      <c r="AB252" s="1671"/>
      <c r="AC252" s="1671">
        <f t="shared" ref="AC252:AC255" si="450">AB252-AA252</f>
        <v>0</v>
      </c>
      <c r="AD252" s="1672">
        <v>0</v>
      </c>
      <c r="AE252" s="1670">
        <v>0</v>
      </c>
      <c r="AF252" s="1671"/>
      <c r="AG252" s="1671">
        <f t="shared" ref="AG252:AG255" si="451">AF252-AE252</f>
        <v>0</v>
      </c>
      <c r="AH252" s="1672">
        <v>0</v>
      </c>
      <c r="AI252" s="1670">
        <v>0</v>
      </c>
      <c r="AJ252" s="1671"/>
      <c r="AK252" s="1671">
        <f t="shared" ref="AK252:AK255" si="452">AJ252-AI252</f>
        <v>0</v>
      </c>
      <c r="AL252" s="1672">
        <v>0</v>
      </c>
      <c r="AM252" s="1670">
        <v>0</v>
      </c>
      <c r="AN252" s="1671"/>
      <c r="AO252" s="1671">
        <f t="shared" ref="AO252:AO255" si="453">AN252-AM252</f>
        <v>0</v>
      </c>
      <c r="AP252" s="1672">
        <v>0</v>
      </c>
      <c r="AQ252" s="1670">
        <v>0</v>
      </c>
      <c r="AR252" s="1671"/>
      <c r="AS252" s="1671">
        <f t="shared" ref="AS252:AS255" si="454">AR252-AQ252</f>
        <v>0</v>
      </c>
      <c r="AT252" s="1672">
        <v>0</v>
      </c>
      <c r="AU252" s="1670">
        <f>AQ252</f>
        <v>0</v>
      </c>
      <c r="AV252" s="1671"/>
      <c r="AW252" s="1671">
        <f t="shared" ref="AW252:AW255" si="455">AV252-AU252</f>
        <v>0</v>
      </c>
      <c r="AX252" s="1672">
        <v>0</v>
      </c>
      <c r="AY252" s="1240">
        <f t="shared" ref="AY252:AZ257" si="456">C252+G252+K252+O252+S252+W252+AA252+AE252+AI252+AM252+AQ252+AU252</f>
        <v>260</v>
      </c>
      <c r="AZ252" s="1561">
        <f t="shared" si="456"/>
        <v>499.8</v>
      </c>
      <c r="BA252" s="805"/>
      <c r="BB252" s="1178"/>
    </row>
    <row r="253" spans="1:57" s="1421" customFormat="1" ht="18.75" customHeight="1" x14ac:dyDescent="0.25">
      <c r="A253" s="170">
        <v>12867</v>
      </c>
      <c r="B253" s="124" t="s">
        <v>3711</v>
      </c>
      <c r="C253" s="1546">
        <v>20000</v>
      </c>
      <c r="D253" s="2014">
        <v>19033.009999999998</v>
      </c>
      <c r="E253" s="1576">
        <f t="shared" si="444"/>
        <v>-966.9900000000016</v>
      </c>
      <c r="F253" s="1236">
        <f>((D253/C253)-1)*100</f>
        <v>-4.8349500000000045</v>
      </c>
      <c r="G253" s="1546">
        <f>C253</f>
        <v>20000</v>
      </c>
      <c r="H253" s="2071">
        <f>VLOOKUP(A253,'[1]r_balancete_sc 02-2022'!$1:$1048576,9,0)</f>
        <v>19374.09</v>
      </c>
      <c r="I253" s="1576">
        <f t="shared" si="445"/>
        <v>-625.90999999999985</v>
      </c>
      <c r="J253" s="1236">
        <f>((H253/G253)-1)*100</f>
        <v>-3.1295500000000032</v>
      </c>
      <c r="K253" s="1546">
        <f>G253</f>
        <v>20000</v>
      </c>
      <c r="L253" s="1576">
        <f>VLOOKUP(A253,'[2]bALANCETE ORÇAMENTO'!$1:$1048576,7,0)</f>
        <v>23984.86</v>
      </c>
      <c r="M253" s="1576">
        <f t="shared" si="446"/>
        <v>3984.8600000000006</v>
      </c>
      <c r="N253" s="1236">
        <f>((L253/K253)-1)*100</f>
        <v>19.924300000000006</v>
      </c>
      <c r="O253" s="1546">
        <f>K253</f>
        <v>20000</v>
      </c>
      <c r="P253" s="1576"/>
      <c r="Q253" s="1576">
        <f t="shared" si="447"/>
        <v>-20000</v>
      </c>
      <c r="R253" s="1236">
        <f>((P253/O253)-1)*100</f>
        <v>-100</v>
      </c>
      <c r="S253" s="1546">
        <f>O253</f>
        <v>20000</v>
      </c>
      <c r="T253" s="1576"/>
      <c r="U253" s="1576">
        <f t="shared" si="448"/>
        <v>-20000</v>
      </c>
      <c r="V253" s="1236">
        <f>((T253/S253)-1)*100</f>
        <v>-100</v>
      </c>
      <c r="W253" s="1546">
        <f>S253</f>
        <v>20000</v>
      </c>
      <c r="X253" s="1576"/>
      <c r="Y253" s="1576">
        <f t="shared" si="449"/>
        <v>-20000</v>
      </c>
      <c r="Z253" s="1236">
        <f>((X253/W253)-1)*100</f>
        <v>-100</v>
      </c>
      <c r="AA253" s="1546">
        <f>W253</f>
        <v>20000</v>
      </c>
      <c r="AB253" s="1576"/>
      <c r="AC253" s="1576">
        <f t="shared" si="450"/>
        <v>-20000</v>
      </c>
      <c r="AD253" s="1236">
        <f>((AB253/AA253)-1)*100</f>
        <v>-100</v>
      </c>
      <c r="AE253" s="1546">
        <f>AA253</f>
        <v>20000</v>
      </c>
      <c r="AF253" s="1576"/>
      <c r="AG253" s="1576">
        <f t="shared" si="451"/>
        <v>-20000</v>
      </c>
      <c r="AH253" s="1236">
        <f>((AF253/AE253)-1)*100</f>
        <v>-100</v>
      </c>
      <c r="AI253" s="1546">
        <f>AE253</f>
        <v>20000</v>
      </c>
      <c r="AJ253" s="1576"/>
      <c r="AK253" s="1576">
        <f t="shared" si="452"/>
        <v>-20000</v>
      </c>
      <c r="AL253" s="1236">
        <f>((AJ253/AI253)-1)*100</f>
        <v>-100</v>
      </c>
      <c r="AM253" s="1546">
        <f>AI253</f>
        <v>20000</v>
      </c>
      <c r="AN253" s="1576"/>
      <c r="AO253" s="1576">
        <f t="shared" si="453"/>
        <v>-20000</v>
      </c>
      <c r="AP253" s="1236">
        <f>((AN253/AM253)-1)*100</f>
        <v>-100</v>
      </c>
      <c r="AQ253" s="1546">
        <f t="shared" ref="AQ253:AQ259" si="457">AM253</f>
        <v>20000</v>
      </c>
      <c r="AR253" s="1576"/>
      <c r="AS253" s="1576">
        <f t="shared" si="454"/>
        <v>-20000</v>
      </c>
      <c r="AT253" s="1236">
        <f>((AR253/AQ253)-1)*100</f>
        <v>-100</v>
      </c>
      <c r="AU253" s="1546">
        <f>AQ253</f>
        <v>20000</v>
      </c>
      <c r="AV253" s="1576"/>
      <c r="AW253" s="1576">
        <f t="shared" si="455"/>
        <v>-20000</v>
      </c>
      <c r="AX253" s="1236">
        <f>((AV253/AU253)-1)*100</f>
        <v>-100</v>
      </c>
      <c r="AY253" s="2062">
        <f t="shared" si="456"/>
        <v>240000</v>
      </c>
      <c r="AZ253" s="1616">
        <f t="shared" si="456"/>
        <v>62391.96</v>
      </c>
      <c r="BA253" s="805"/>
      <c r="BB253" s="1178"/>
    </row>
    <row r="254" spans="1:57" s="1421" customFormat="1" ht="18.75" customHeight="1" x14ac:dyDescent="0.25">
      <c r="A254" s="170">
        <v>11259</v>
      </c>
      <c r="B254" s="124" t="s">
        <v>3902</v>
      </c>
      <c r="C254" s="1546">
        <v>0</v>
      </c>
      <c r="D254" s="2014">
        <v>0</v>
      </c>
      <c r="E254" s="1576">
        <f t="shared" si="444"/>
        <v>0</v>
      </c>
      <c r="F254" s="1236">
        <v>0</v>
      </c>
      <c r="G254" s="1546">
        <v>0</v>
      </c>
      <c r="H254" s="1611">
        <f>VLOOKUP(A254,'[1]r_balancete_sc 02-2022'!$1:$1048576,9,0)</f>
        <v>0.19</v>
      </c>
      <c r="I254" s="1576">
        <f t="shared" si="445"/>
        <v>0.19</v>
      </c>
      <c r="J254" s="1236">
        <v>0</v>
      </c>
      <c r="K254" s="1546"/>
      <c r="L254" s="1576">
        <f>VLOOKUP(A254,'[2]bALANCETE ORÇAMENTO'!$1:$1048576,7,0)</f>
        <v>220.41</v>
      </c>
      <c r="M254" s="1576">
        <f t="shared" si="446"/>
        <v>220.41</v>
      </c>
      <c r="N254" s="1236">
        <v>0</v>
      </c>
      <c r="O254" s="1546"/>
      <c r="P254" s="1576"/>
      <c r="Q254" s="1576">
        <f t="shared" si="447"/>
        <v>0</v>
      </c>
      <c r="R254" s="1236">
        <v>0</v>
      </c>
      <c r="S254" s="1546"/>
      <c r="T254" s="1576"/>
      <c r="U254" s="1576">
        <f t="shared" si="448"/>
        <v>0</v>
      </c>
      <c r="V254" s="1236">
        <v>0</v>
      </c>
      <c r="W254" s="1546"/>
      <c r="X254" s="1576"/>
      <c r="Y254" s="1576">
        <f t="shared" si="449"/>
        <v>0</v>
      </c>
      <c r="Z254" s="1236">
        <v>0</v>
      </c>
      <c r="AA254" s="1546"/>
      <c r="AB254" s="1576"/>
      <c r="AC254" s="1576">
        <f t="shared" si="450"/>
        <v>0</v>
      </c>
      <c r="AD254" s="1236">
        <v>0</v>
      </c>
      <c r="AE254" s="1546"/>
      <c r="AF254" s="1576"/>
      <c r="AG254" s="1576">
        <f t="shared" si="451"/>
        <v>0</v>
      </c>
      <c r="AH254" s="1236">
        <v>0</v>
      </c>
      <c r="AI254" s="1546"/>
      <c r="AJ254" s="1576"/>
      <c r="AK254" s="1576">
        <f t="shared" si="452"/>
        <v>0</v>
      </c>
      <c r="AL254" s="1236">
        <v>0</v>
      </c>
      <c r="AM254" s="1546"/>
      <c r="AN254" s="1576"/>
      <c r="AO254" s="1576">
        <f t="shared" si="453"/>
        <v>0</v>
      </c>
      <c r="AP254" s="1236">
        <v>0</v>
      </c>
      <c r="AQ254" s="1546"/>
      <c r="AR254" s="1576"/>
      <c r="AS254" s="1576">
        <f t="shared" si="454"/>
        <v>0</v>
      </c>
      <c r="AT254" s="1236">
        <v>0</v>
      </c>
      <c r="AU254" s="1546"/>
      <c r="AV254" s="1576"/>
      <c r="AW254" s="1576">
        <f t="shared" si="455"/>
        <v>0</v>
      </c>
      <c r="AX254" s="1236">
        <v>0</v>
      </c>
      <c r="AY254" s="2062">
        <f t="shared" si="456"/>
        <v>0</v>
      </c>
      <c r="AZ254" s="1616">
        <f t="shared" si="456"/>
        <v>220.6</v>
      </c>
      <c r="BA254" s="805"/>
      <c r="BB254" s="1178"/>
    </row>
    <row r="255" spans="1:57" s="1421" customFormat="1" ht="18.75" customHeight="1" x14ac:dyDescent="0.25">
      <c r="A255" s="170">
        <v>11161</v>
      </c>
      <c r="B255" s="124" t="s">
        <v>3766</v>
      </c>
      <c r="C255" s="1673">
        <v>2000</v>
      </c>
      <c r="D255" s="1595">
        <v>2438.0500000000002</v>
      </c>
      <c r="E255" s="1596">
        <f t="shared" si="444"/>
        <v>438.05000000000018</v>
      </c>
      <c r="F255" s="1628">
        <f>((D255/C255)-1)*100</f>
        <v>21.902500000000003</v>
      </c>
      <c r="G255" s="1673">
        <f>C255</f>
        <v>2000</v>
      </c>
      <c r="H255" s="2071">
        <f>VLOOKUP(A255,'[1]r_balancete_sc 02-2022'!$1:$1048576,9,0)</f>
        <v>1610.66</v>
      </c>
      <c r="I255" s="1596">
        <f t="shared" si="445"/>
        <v>-389.33999999999992</v>
      </c>
      <c r="J255" s="1628">
        <f>((H255/G255)-1)*100</f>
        <v>-19.467000000000002</v>
      </c>
      <c r="K255" s="1673">
        <f>G255</f>
        <v>2000</v>
      </c>
      <c r="L255" s="1595">
        <f>VLOOKUP(A255,'[2]bALANCETE ORÇAMENTO'!$1:$1048576,7,0)</f>
        <v>2107.88</v>
      </c>
      <c r="M255" s="1596">
        <f t="shared" si="446"/>
        <v>107.88000000000011</v>
      </c>
      <c r="N255" s="1628">
        <f>((L255/K255)-1)*100</f>
        <v>5.3940000000000099</v>
      </c>
      <c r="O255" s="1673">
        <f>K255</f>
        <v>2000</v>
      </c>
      <c r="P255" s="1595"/>
      <c r="Q255" s="1596">
        <f t="shared" si="447"/>
        <v>-2000</v>
      </c>
      <c r="R255" s="1628">
        <f>((P255/O255)-1)*100</f>
        <v>-100</v>
      </c>
      <c r="S255" s="1673">
        <f>O255</f>
        <v>2000</v>
      </c>
      <c r="T255" s="1595"/>
      <c r="U255" s="1596">
        <f t="shared" si="448"/>
        <v>-2000</v>
      </c>
      <c r="V255" s="1628">
        <f>((T255/S255)-1)*100</f>
        <v>-100</v>
      </c>
      <c r="W255" s="1673">
        <f>S255</f>
        <v>2000</v>
      </c>
      <c r="X255" s="1595"/>
      <c r="Y255" s="1596">
        <f t="shared" si="449"/>
        <v>-2000</v>
      </c>
      <c r="Z255" s="1628">
        <f>((X255/W255)-1)*100</f>
        <v>-100</v>
      </c>
      <c r="AA255" s="1673">
        <f>W255</f>
        <v>2000</v>
      </c>
      <c r="AB255" s="1595"/>
      <c r="AC255" s="1596">
        <f t="shared" si="450"/>
        <v>-2000</v>
      </c>
      <c r="AD255" s="1628">
        <f>((AB255/AA255)-1)*100</f>
        <v>-100</v>
      </c>
      <c r="AE255" s="1673">
        <f>AA255</f>
        <v>2000</v>
      </c>
      <c r="AF255" s="1595"/>
      <c r="AG255" s="1596">
        <f t="shared" si="451"/>
        <v>-2000</v>
      </c>
      <c r="AH255" s="1628">
        <f>((AF255/AE255)-1)*100</f>
        <v>-100</v>
      </c>
      <c r="AI255" s="1673">
        <f>AE255</f>
        <v>2000</v>
      </c>
      <c r="AJ255" s="1595"/>
      <c r="AK255" s="1596">
        <f t="shared" si="452"/>
        <v>-2000</v>
      </c>
      <c r="AL255" s="1628">
        <f>((AJ255/AI255)-1)*100</f>
        <v>-100</v>
      </c>
      <c r="AM255" s="1673">
        <f>AI255</f>
        <v>2000</v>
      </c>
      <c r="AN255" s="1595"/>
      <c r="AO255" s="1596">
        <f t="shared" si="453"/>
        <v>-2000</v>
      </c>
      <c r="AP255" s="1628">
        <f>((AN255/AM255)-1)*100</f>
        <v>-100</v>
      </c>
      <c r="AQ255" s="1673">
        <f t="shared" si="457"/>
        <v>2000</v>
      </c>
      <c r="AR255" s="1595"/>
      <c r="AS255" s="1596">
        <f t="shared" si="454"/>
        <v>-2000</v>
      </c>
      <c r="AT255" s="1628">
        <f>((AR255/AQ255)-1)*100</f>
        <v>-100</v>
      </c>
      <c r="AU255" s="1673">
        <f>AQ255</f>
        <v>2000</v>
      </c>
      <c r="AV255" s="1595"/>
      <c r="AW255" s="1596">
        <f t="shared" si="455"/>
        <v>-2000</v>
      </c>
      <c r="AX255" s="1628">
        <f>((AV255/AU255)-1)*100</f>
        <v>-100</v>
      </c>
      <c r="AY255" s="2062">
        <f t="shared" si="456"/>
        <v>24000</v>
      </c>
      <c r="AZ255" s="1616">
        <f t="shared" si="456"/>
        <v>6156.59</v>
      </c>
      <c r="BA255" s="805"/>
      <c r="BB255" s="1178"/>
    </row>
    <row r="256" spans="1:57" s="1421" customFormat="1" ht="18.75" customHeight="1" x14ac:dyDescent="0.25">
      <c r="A256" s="1123">
        <v>12314</v>
      </c>
      <c r="B256" s="124" t="s">
        <v>325</v>
      </c>
      <c r="C256" s="1646">
        <v>3000</v>
      </c>
      <c r="D256" s="2023">
        <v>37908.36</v>
      </c>
      <c r="E256" s="1647">
        <f>D256-C256</f>
        <v>34908.36</v>
      </c>
      <c r="F256" s="1530">
        <f>((D256/C256)-1)*100</f>
        <v>1163.6120000000001</v>
      </c>
      <c r="G256" s="1646">
        <f>C256</f>
        <v>3000</v>
      </c>
      <c r="H256" s="1611">
        <f>VLOOKUP(A256,'[1]r_balancete_sc 02-2022'!$1:$1048576,9,0)</f>
        <v>8148.82</v>
      </c>
      <c r="I256" s="1647">
        <f t="shared" si="445"/>
        <v>5148.82</v>
      </c>
      <c r="J256" s="1530">
        <f>((H256/G256)-1)*100</f>
        <v>171.6273333333333</v>
      </c>
      <c r="K256" s="1646">
        <f>G256</f>
        <v>3000</v>
      </c>
      <c r="L256" s="1647">
        <f>VLOOKUP(A256,'[2]bALANCETE ORÇAMENTO'!$1:$1048576,7,0)</f>
        <v>2916.54</v>
      </c>
      <c r="M256" s="1647">
        <f>L256-K256</f>
        <v>-83.460000000000036</v>
      </c>
      <c r="N256" s="1530">
        <f>((L256/K256)-1)*100</f>
        <v>-2.7820000000000067</v>
      </c>
      <c r="O256" s="1646">
        <f>K256</f>
        <v>3000</v>
      </c>
      <c r="P256" s="1647"/>
      <c r="Q256" s="1647">
        <f>P256-O256</f>
        <v>-3000</v>
      </c>
      <c r="R256" s="1530">
        <f>((P256/O256)-1)*100</f>
        <v>-100</v>
      </c>
      <c r="S256" s="1646">
        <f>O256</f>
        <v>3000</v>
      </c>
      <c r="T256" s="1647"/>
      <c r="U256" s="1647">
        <f>T256-S256</f>
        <v>-3000</v>
      </c>
      <c r="V256" s="1530">
        <f>((T256/S256)-1)*100</f>
        <v>-100</v>
      </c>
      <c r="W256" s="1646">
        <f>S256</f>
        <v>3000</v>
      </c>
      <c r="X256" s="1647"/>
      <c r="Y256" s="1647">
        <f>X256-W256</f>
        <v>-3000</v>
      </c>
      <c r="Z256" s="1530">
        <f>((X256/W256)-1)*100</f>
        <v>-100</v>
      </c>
      <c r="AA256" s="1646">
        <f>W256</f>
        <v>3000</v>
      </c>
      <c r="AB256" s="1647"/>
      <c r="AC256" s="1647">
        <f>AB256-AA256</f>
        <v>-3000</v>
      </c>
      <c r="AD256" s="1530">
        <f>((AB256/AA256)-1)*100</f>
        <v>-100</v>
      </c>
      <c r="AE256" s="1646">
        <f>AA256</f>
        <v>3000</v>
      </c>
      <c r="AF256" s="1647"/>
      <c r="AG256" s="1647">
        <f>AF256-AE256</f>
        <v>-3000</v>
      </c>
      <c r="AH256" s="1530">
        <f>((AF256/AE256)-1)*100</f>
        <v>-100</v>
      </c>
      <c r="AI256" s="1646">
        <f>AE256</f>
        <v>3000</v>
      </c>
      <c r="AJ256" s="1647"/>
      <c r="AK256" s="1647">
        <f>AJ256-AI256</f>
        <v>-3000</v>
      </c>
      <c r="AL256" s="1530">
        <f>((AJ256/AI256)-1)*100</f>
        <v>-100</v>
      </c>
      <c r="AM256" s="1646">
        <f>AI256</f>
        <v>3000</v>
      </c>
      <c r="AN256" s="1647"/>
      <c r="AO256" s="1647">
        <f>AN256-AM256</f>
        <v>-3000</v>
      </c>
      <c r="AP256" s="1530">
        <f>((AN256/AM256)-1)*100</f>
        <v>-100</v>
      </c>
      <c r="AQ256" s="1646">
        <f t="shared" si="457"/>
        <v>3000</v>
      </c>
      <c r="AR256" s="1647"/>
      <c r="AS256" s="1647">
        <f>AR256-AQ256</f>
        <v>-3000</v>
      </c>
      <c r="AT256" s="1530">
        <f>((AR256/AQ256)-1)*100</f>
        <v>-100</v>
      </c>
      <c r="AU256" s="1646">
        <f>AQ256</f>
        <v>3000</v>
      </c>
      <c r="AV256" s="1647"/>
      <c r="AW256" s="1647">
        <f>AV256-AU256</f>
        <v>-3000</v>
      </c>
      <c r="AX256" s="1530">
        <f>((AV256/AU256)-1)*100</f>
        <v>-100</v>
      </c>
      <c r="AY256" s="2062">
        <f t="shared" si="456"/>
        <v>36000</v>
      </c>
      <c r="AZ256" s="1616">
        <f t="shared" si="456"/>
        <v>48973.72</v>
      </c>
      <c r="BA256" s="805"/>
      <c r="BB256" s="1178"/>
    </row>
    <row r="257" spans="1:57" s="1421" customFormat="1" ht="18.75" customHeight="1" thickBot="1" x14ac:dyDescent="0.3">
      <c r="A257" s="436">
        <v>12291</v>
      </c>
      <c r="B257" s="1529" t="s">
        <v>3835</v>
      </c>
      <c r="C257" s="1646">
        <v>0</v>
      </c>
      <c r="D257" s="2023">
        <v>0</v>
      </c>
      <c r="E257" s="1647">
        <f t="shared" si="444"/>
        <v>0</v>
      </c>
      <c r="F257" s="1530">
        <v>0</v>
      </c>
      <c r="G257" s="1646">
        <v>0</v>
      </c>
      <c r="H257" s="2070">
        <f>VLOOKUP(A257,'[1]r_balancete_sc 02-2022'!$1:$1048576,9,0)</f>
        <v>-95.48</v>
      </c>
      <c r="I257" s="1647">
        <f t="shared" si="445"/>
        <v>-95.48</v>
      </c>
      <c r="J257" s="1530">
        <v>0</v>
      </c>
      <c r="K257" s="1646"/>
      <c r="L257" s="1647">
        <f>VLOOKUP(A257,'[2]bALANCETE ORÇAMENTO'!$1:$1048576,7,0)</f>
        <v>95.48</v>
      </c>
      <c r="M257" s="1647">
        <f t="shared" ref="M257" si="458">L257-K257</f>
        <v>95.48</v>
      </c>
      <c r="N257" s="1530">
        <v>0</v>
      </c>
      <c r="O257" s="1646"/>
      <c r="P257" s="1647"/>
      <c r="Q257" s="1647">
        <f t="shared" ref="Q257" si="459">P257-O257</f>
        <v>0</v>
      </c>
      <c r="R257" s="1530">
        <v>0</v>
      </c>
      <c r="S257" s="1646"/>
      <c r="T257" s="1647"/>
      <c r="U257" s="1647">
        <f t="shared" ref="U257" si="460">T257-S257</f>
        <v>0</v>
      </c>
      <c r="V257" s="1530">
        <v>0</v>
      </c>
      <c r="W257" s="1646"/>
      <c r="X257" s="1647"/>
      <c r="Y257" s="1647">
        <f t="shared" ref="Y257" si="461">X257-W257</f>
        <v>0</v>
      </c>
      <c r="Z257" s="1530">
        <v>0</v>
      </c>
      <c r="AA257" s="1646"/>
      <c r="AB257" s="1647"/>
      <c r="AC257" s="1647">
        <f t="shared" ref="AC257" si="462">AB257-AA257</f>
        <v>0</v>
      </c>
      <c r="AD257" s="1530">
        <v>0</v>
      </c>
      <c r="AE257" s="1646"/>
      <c r="AF257" s="1647"/>
      <c r="AG257" s="1647">
        <f t="shared" ref="AG257" si="463">AF257-AE257</f>
        <v>0</v>
      </c>
      <c r="AH257" s="1530">
        <v>0</v>
      </c>
      <c r="AI257" s="1646"/>
      <c r="AJ257" s="1647"/>
      <c r="AK257" s="1647">
        <f t="shared" ref="AK257" si="464">AJ257-AI257</f>
        <v>0</v>
      </c>
      <c r="AL257" s="1530">
        <v>0</v>
      </c>
      <c r="AM257" s="1646"/>
      <c r="AN257" s="1647"/>
      <c r="AO257" s="1647">
        <f t="shared" ref="AO257" si="465">AN257-AM257</f>
        <v>0</v>
      </c>
      <c r="AP257" s="1530">
        <v>0</v>
      </c>
      <c r="AQ257" s="1646"/>
      <c r="AR257" s="1647"/>
      <c r="AS257" s="1647">
        <f t="shared" ref="AS257" si="466">AR257-AQ257</f>
        <v>0</v>
      </c>
      <c r="AT257" s="1530">
        <v>0</v>
      </c>
      <c r="AU257" s="1646"/>
      <c r="AV257" s="1647"/>
      <c r="AW257" s="1647">
        <f t="shared" ref="AW257" si="467">AV257-AU257</f>
        <v>0</v>
      </c>
      <c r="AX257" s="1530">
        <v>0</v>
      </c>
      <c r="AY257" s="2062">
        <f t="shared" si="456"/>
        <v>0</v>
      </c>
      <c r="AZ257" s="1562">
        <f t="shared" si="456"/>
        <v>0</v>
      </c>
      <c r="BA257" s="805"/>
      <c r="BB257" s="1178"/>
    </row>
    <row r="258" spans="1:57" s="1421" customFormat="1" ht="18.75" customHeight="1" x14ac:dyDescent="0.25">
      <c r="A258" s="1548">
        <v>11698</v>
      </c>
      <c r="B258" s="1568" t="s">
        <v>3896</v>
      </c>
      <c r="C258" s="2752">
        <v>9000</v>
      </c>
      <c r="D258" s="2029">
        <v>81.11</v>
      </c>
      <c r="E258" s="2792">
        <f>SUM(D258:D259)-C258</f>
        <v>-5894.2999999999993</v>
      </c>
      <c r="F258" s="2783">
        <f>((SUM(D258:D259)/C258)-1)*100</f>
        <v>-65.492222222222225</v>
      </c>
      <c r="G258" s="2752">
        <f>C258</f>
        <v>9000</v>
      </c>
      <c r="H258" s="1608">
        <f>VLOOKUP(A258,'[1]r_balancete_sc 02-2022'!$1:$1048576,9,0)</f>
        <v>0</v>
      </c>
      <c r="I258" s="2792">
        <f>SUM(H258:H259)</f>
        <v>3600.07</v>
      </c>
      <c r="J258" s="2783">
        <f t="shared" ref="J258:J259" si="468">((H258/G258)-1)*100</f>
        <v>-100</v>
      </c>
      <c r="K258" s="2752">
        <v>9000</v>
      </c>
      <c r="L258" s="2049">
        <f>VLOOKUP(A258,'[2]bALANCETE ORÇAMENTO'!$1:$1048576,7,0)</f>
        <v>0</v>
      </c>
      <c r="M258" s="2792">
        <f>SUM(L258:L259)-K258</f>
        <v>-5360.49</v>
      </c>
      <c r="N258" s="2783">
        <f>((SUM(L258:L259)/K258)-1)*100</f>
        <v>-59.561</v>
      </c>
      <c r="O258" s="2752">
        <v>9000</v>
      </c>
      <c r="P258" s="2049"/>
      <c r="Q258" s="2792">
        <f>SUM(P258:P259)-O258</f>
        <v>-9000</v>
      </c>
      <c r="R258" s="2783">
        <f>((SUM(P258:P259)/O258)-1)*100</f>
        <v>-100</v>
      </c>
      <c r="S258" s="2752">
        <v>9000</v>
      </c>
      <c r="T258" s="2049"/>
      <c r="U258" s="2792">
        <f>SUM(T258:T259)-S258</f>
        <v>-9000</v>
      </c>
      <c r="V258" s="2783">
        <f>((SUM(T258:T259)/S258)-1)*100</f>
        <v>-100</v>
      </c>
      <c r="W258" s="2752">
        <v>9000</v>
      </c>
      <c r="X258" s="2049"/>
      <c r="Y258" s="2792">
        <f>SUM(X258:X259)-W258</f>
        <v>-9000</v>
      </c>
      <c r="Z258" s="2783">
        <f>((SUM(X258:X259)/W258)-1)*100</f>
        <v>-100</v>
      </c>
      <c r="AA258" s="2752">
        <v>9000</v>
      </c>
      <c r="AB258" s="2049"/>
      <c r="AC258" s="2792">
        <f>SUM(AB258:AB259)-AA258</f>
        <v>-9000</v>
      </c>
      <c r="AD258" s="2783">
        <f>((SUM(AB258:AB259)/AA258)-1)*100</f>
        <v>-100</v>
      </c>
      <c r="AE258" s="2752">
        <v>9000</v>
      </c>
      <c r="AF258" s="1574"/>
      <c r="AG258" s="2792">
        <f>SUM(AF258:AF259)-AE258</f>
        <v>-9000</v>
      </c>
      <c r="AH258" s="2783">
        <f>((SUM(AF258:AF259)/AE258)-1)*100</f>
        <v>-100</v>
      </c>
      <c r="AI258" s="2752">
        <v>9000</v>
      </c>
      <c r="AJ258" s="1574"/>
      <c r="AK258" s="2792">
        <f>SUM(AJ258:AJ259)-AI258</f>
        <v>-9000</v>
      </c>
      <c r="AL258" s="2783">
        <f>((SUM(AJ258:AJ259)/AI258)-1)*100</f>
        <v>-100</v>
      </c>
      <c r="AM258" s="2752">
        <v>9000</v>
      </c>
      <c r="AN258" s="2049"/>
      <c r="AO258" s="2792">
        <f>SUM(AN258:AN259)-AM258</f>
        <v>-9000</v>
      </c>
      <c r="AP258" s="2783">
        <f>((SUM(AN258:AN259)/AM258)-1)*100</f>
        <v>-100</v>
      </c>
      <c r="AQ258" s="2752">
        <v>9000</v>
      </c>
      <c r="AR258" s="2049"/>
      <c r="AS258" s="2792">
        <f>SUM(AR258:AR259)-AQ258</f>
        <v>-9000</v>
      </c>
      <c r="AT258" s="2783">
        <f>((SUM(AR258:AR259)/AQ258)-1)*100</f>
        <v>-100</v>
      </c>
      <c r="AU258" s="2752">
        <v>9000</v>
      </c>
      <c r="AV258" s="1574"/>
      <c r="AW258" s="2792">
        <f>SUM(AV258:AV259)-AU258</f>
        <v>-9000</v>
      </c>
      <c r="AX258" s="2783">
        <f>((SUM(AV258:AV259)/AU258)-1)*100</f>
        <v>-100</v>
      </c>
      <c r="AY258" s="2721">
        <f>C258+K258+O258+S258+W258+AA258+AE258+AI258+AM258+AQ258+AU258</f>
        <v>99000</v>
      </c>
      <c r="AZ258" s="1561">
        <f>D258+H258+L258+P258+T258+X258+AB258+AF258+AJ258+AN258+AR258+AV258</f>
        <v>81.11</v>
      </c>
      <c r="BA258" s="805"/>
      <c r="BB258" s="1178"/>
    </row>
    <row r="259" spans="1:57" s="1421" customFormat="1" ht="18.75" customHeight="1" thickBot="1" x14ac:dyDescent="0.3">
      <c r="A259" s="1668">
        <v>11692</v>
      </c>
      <c r="B259" s="384" t="s">
        <v>217</v>
      </c>
      <c r="C259" s="2754"/>
      <c r="D259" s="2015">
        <v>3024.59</v>
      </c>
      <c r="E259" s="2793"/>
      <c r="F259" s="2784"/>
      <c r="G259" s="2754"/>
      <c r="H259" s="1669">
        <f>VLOOKUP(A259,'[1]r_balancete_sc 02-2022'!$1:$1048576,9,0)</f>
        <v>3600.07</v>
      </c>
      <c r="I259" s="2793"/>
      <c r="J259" s="2784" t="e">
        <f t="shared" si="468"/>
        <v>#DIV/0!</v>
      </c>
      <c r="K259" s="2754"/>
      <c r="L259" s="1578">
        <f>VLOOKUP(A259,'[2]bALANCETE ORÇAMENTO'!$1:$1048576,7,0)</f>
        <v>3639.51</v>
      </c>
      <c r="M259" s="2793"/>
      <c r="N259" s="2784"/>
      <c r="O259" s="2754"/>
      <c r="P259" s="1578"/>
      <c r="Q259" s="2793"/>
      <c r="R259" s="2784"/>
      <c r="S259" s="2754"/>
      <c r="T259" s="1578"/>
      <c r="U259" s="2793"/>
      <c r="V259" s="2784"/>
      <c r="W259" s="2754"/>
      <c r="X259" s="1578"/>
      <c r="Y259" s="2793"/>
      <c r="Z259" s="2784"/>
      <c r="AA259" s="2754"/>
      <c r="AB259" s="1578"/>
      <c r="AC259" s="2793"/>
      <c r="AD259" s="2784"/>
      <c r="AE259" s="2754"/>
      <c r="AF259" s="1578"/>
      <c r="AG259" s="2793"/>
      <c r="AH259" s="2784"/>
      <c r="AI259" s="2754"/>
      <c r="AJ259" s="1578"/>
      <c r="AK259" s="2793"/>
      <c r="AL259" s="2784"/>
      <c r="AM259" s="2754"/>
      <c r="AN259" s="1578"/>
      <c r="AO259" s="2793"/>
      <c r="AP259" s="2784"/>
      <c r="AQ259" s="2754">
        <f t="shared" si="457"/>
        <v>0</v>
      </c>
      <c r="AR259" s="1578"/>
      <c r="AS259" s="2793"/>
      <c r="AT259" s="2784"/>
      <c r="AU259" s="2754">
        <f>AQ259</f>
        <v>0</v>
      </c>
      <c r="AV259" s="1578"/>
      <c r="AW259" s="2793"/>
      <c r="AX259" s="2784"/>
      <c r="AY259" s="2723"/>
      <c r="AZ259" s="1562">
        <f>D259+H259+L259+P259+T259+X259+AB259+AF259+AJ259+AN259+AR259+AV259</f>
        <v>10264.17</v>
      </c>
      <c r="BA259" s="805"/>
      <c r="BB259" s="1178"/>
    </row>
    <row r="260" spans="1:57" s="1421" customFormat="1" ht="18.75" customHeight="1" x14ac:dyDescent="0.25">
      <c r="A260" s="170">
        <v>12320</v>
      </c>
      <c r="B260" s="381" t="s">
        <v>175</v>
      </c>
      <c r="C260" s="1539"/>
      <c r="D260" s="2013">
        <v>938.66</v>
      </c>
      <c r="E260" s="2433"/>
      <c r="F260" s="1575"/>
      <c r="G260" s="2420"/>
      <c r="H260" s="2516">
        <v>938.66</v>
      </c>
      <c r="I260" s="2517"/>
      <c r="J260" s="2425"/>
      <c r="K260" s="2420"/>
      <c r="L260" s="1574">
        <v>938.66</v>
      </c>
      <c r="M260" s="2532"/>
      <c r="N260" s="1575"/>
      <c r="O260" s="2420"/>
      <c r="P260" s="1574"/>
      <c r="Q260" s="1574"/>
      <c r="R260" s="1615"/>
      <c r="S260" s="2420"/>
      <c r="T260" s="1574"/>
      <c r="U260" s="1574"/>
      <c r="V260" s="1615"/>
      <c r="W260" s="2420"/>
      <c r="X260" s="1574"/>
      <c r="Y260" s="1574"/>
      <c r="Z260" s="1615"/>
      <c r="AA260" s="2420"/>
      <c r="AB260" s="1580"/>
      <c r="AC260" s="1574"/>
      <c r="AD260" s="1615"/>
      <c r="AE260" s="2420"/>
      <c r="AF260" s="1574"/>
      <c r="AG260" s="1574"/>
      <c r="AH260" s="1615"/>
      <c r="AI260" s="2420"/>
      <c r="AJ260" s="1574"/>
      <c r="AK260" s="1574"/>
      <c r="AL260" s="1615"/>
      <c r="AM260" s="2420"/>
      <c r="AN260" s="1574"/>
      <c r="AO260" s="2532"/>
      <c r="AP260" s="1575"/>
      <c r="AQ260" s="2420"/>
      <c r="AR260" s="1574"/>
      <c r="AS260" s="1574"/>
      <c r="AT260" s="1615"/>
      <c r="AU260" s="1573"/>
      <c r="AV260" s="1574"/>
      <c r="AW260" s="1574"/>
      <c r="AX260" s="1615"/>
      <c r="AY260" s="1661"/>
      <c r="AZ260" s="2196"/>
      <c r="BA260" s="805"/>
      <c r="BB260" s="1178"/>
    </row>
    <row r="261" spans="1:57" s="1421" customFormat="1" ht="18.75" customHeight="1" x14ac:dyDescent="0.25">
      <c r="A261" s="1123">
        <v>11540</v>
      </c>
      <c r="B261" s="1424" t="s">
        <v>208</v>
      </c>
      <c r="C261" s="2458"/>
      <c r="D261" s="2023">
        <v>18881.16</v>
      </c>
      <c r="E261" s="1647"/>
      <c r="F261" s="1236"/>
      <c r="G261" s="2458"/>
      <c r="H261" s="1611">
        <v>741.51</v>
      </c>
      <c r="I261" s="1576"/>
      <c r="J261" s="1236"/>
      <c r="K261" s="2421"/>
      <c r="L261" s="1576">
        <v>2112.48</v>
      </c>
      <c r="M261" s="1576"/>
      <c r="N261" s="1236"/>
      <c r="O261" s="2421"/>
      <c r="P261" s="1576"/>
      <c r="Q261" s="1576"/>
      <c r="R261" s="1236"/>
      <c r="S261" s="2110"/>
      <c r="T261" s="1649"/>
      <c r="U261" s="1649"/>
      <c r="V261" s="1235"/>
      <c r="W261" s="2421"/>
      <c r="X261" s="1576"/>
      <c r="Y261" s="1576"/>
      <c r="Z261" s="1236"/>
      <c r="AA261" s="2421"/>
      <c r="AB261" s="1581"/>
      <c r="AC261" s="1576"/>
      <c r="AD261" s="1236"/>
      <c r="AE261" s="2421"/>
      <c r="AF261" s="1576"/>
      <c r="AG261" s="1576"/>
      <c r="AH261" s="1236"/>
      <c r="AI261" s="2421"/>
      <c r="AJ261" s="1576"/>
      <c r="AK261" s="1576"/>
      <c r="AL261" s="1236"/>
      <c r="AM261" s="2421"/>
      <c r="AN261" s="1576"/>
      <c r="AO261" s="1576"/>
      <c r="AP261" s="1236"/>
      <c r="AQ261" s="2421"/>
      <c r="AR261" s="1576"/>
      <c r="AS261" s="1576"/>
      <c r="AT261" s="1236"/>
      <c r="AU261" s="2421"/>
      <c r="AV261" s="1576"/>
      <c r="AW261" s="1576"/>
      <c r="AX261" s="1236"/>
      <c r="AY261" s="2062"/>
      <c r="AZ261" s="2081"/>
      <c r="BA261" s="805"/>
      <c r="BB261" s="1178"/>
    </row>
    <row r="262" spans="1:57" s="1421" customFormat="1" ht="18.75" customHeight="1" thickBot="1" x14ac:dyDescent="0.3">
      <c r="A262" s="2531">
        <v>12267</v>
      </c>
      <c r="B262" s="384" t="s">
        <v>3913</v>
      </c>
      <c r="C262" s="2422"/>
      <c r="D262" s="2015">
        <v>885.81</v>
      </c>
      <c r="E262" s="1578"/>
      <c r="F262" s="2469"/>
      <c r="G262" s="2422"/>
      <c r="H262" s="2437">
        <v>885.81</v>
      </c>
      <c r="I262" s="2434"/>
      <c r="J262" s="2469"/>
      <c r="K262" s="2419"/>
      <c r="L262" s="2434">
        <v>885.81</v>
      </c>
      <c r="M262" s="2434"/>
      <c r="N262" s="2469"/>
      <c r="O262" s="2419"/>
      <c r="P262" s="2434"/>
      <c r="Q262" s="2434"/>
      <c r="R262" s="2469"/>
      <c r="S262" s="2419"/>
      <c r="T262" s="2434"/>
      <c r="U262" s="2459"/>
      <c r="V262" s="1238"/>
      <c r="W262" s="2419"/>
      <c r="X262" s="2434"/>
      <c r="Y262" s="1578"/>
      <c r="Z262" s="2469"/>
      <c r="AA262" s="2459"/>
      <c r="AB262" s="1578"/>
      <c r="AC262" s="2434"/>
      <c r="AD262" s="2469"/>
      <c r="AE262" s="2419"/>
      <c r="AF262" s="2434"/>
      <c r="AG262" s="2434"/>
      <c r="AH262" s="2469"/>
      <c r="AI262" s="2459"/>
      <c r="AJ262" s="1578"/>
      <c r="AK262" s="2434"/>
      <c r="AL262" s="2469"/>
      <c r="AM262" s="2419"/>
      <c r="AN262" s="2434"/>
      <c r="AO262" s="2434"/>
      <c r="AP262" s="2469"/>
      <c r="AQ262" s="2419"/>
      <c r="AR262" s="2434"/>
      <c r="AS262" s="2434"/>
      <c r="AT262" s="2469"/>
      <c r="AU262" s="2419"/>
      <c r="AV262" s="2434"/>
      <c r="AW262" s="2434"/>
      <c r="AX262" s="2469"/>
      <c r="AY262" s="2418"/>
      <c r="AZ262" s="2519"/>
      <c r="BA262" s="805"/>
      <c r="BB262" s="1178"/>
    </row>
    <row r="263" spans="1:57" s="1421" customFormat="1" ht="18.75" customHeight="1" thickBot="1" x14ac:dyDescent="0.3">
      <c r="A263" s="2461"/>
      <c r="B263" s="2460"/>
      <c r="C263" s="1011"/>
      <c r="D263" s="2462"/>
      <c r="E263" s="1011"/>
      <c r="F263" s="1995"/>
      <c r="G263" s="1011"/>
      <c r="H263" s="1996"/>
      <c r="I263" s="1995"/>
      <c r="J263" s="1995"/>
      <c r="K263" s="1011"/>
      <c r="L263" s="1995"/>
      <c r="M263" s="1995"/>
      <c r="N263" s="1995"/>
      <c r="O263" s="1011"/>
      <c r="P263" s="1995"/>
      <c r="Q263" s="1011"/>
      <c r="R263" s="1995"/>
      <c r="S263" s="1011"/>
      <c r="T263" s="1995"/>
      <c r="U263" s="1995"/>
      <c r="V263" s="1995"/>
      <c r="W263" s="1011"/>
      <c r="X263" s="1011"/>
      <c r="Y263" s="1995"/>
      <c r="Z263" s="1995"/>
      <c r="AA263" s="1995"/>
      <c r="AB263" s="1011"/>
      <c r="AC263" s="1995"/>
      <c r="AD263" s="1995"/>
      <c r="AE263" s="1997"/>
      <c r="AF263" s="1011"/>
      <c r="AG263" s="1995"/>
      <c r="AH263" s="1995"/>
      <c r="AI263" s="1995"/>
      <c r="AJ263" s="1011"/>
      <c r="AK263" s="1011"/>
      <c r="AL263" s="1011"/>
      <c r="AM263" s="1011"/>
      <c r="AN263" s="1011"/>
      <c r="AO263" s="1011"/>
      <c r="AP263" s="1011"/>
      <c r="AQ263" s="1011"/>
      <c r="AR263" s="1995"/>
      <c r="AS263" s="1995"/>
      <c r="AT263" s="1995"/>
      <c r="AU263" s="1011"/>
      <c r="AV263" s="1995"/>
      <c r="AW263" s="1995"/>
      <c r="AX263" s="1011"/>
      <c r="AY263" s="925"/>
      <c r="AZ263" s="925"/>
      <c r="BA263" s="805"/>
      <c r="BB263" s="1178"/>
    </row>
    <row r="264" spans="1:57" ht="18.75" customHeight="1" thickBot="1" x14ac:dyDescent="0.3">
      <c r="A264" s="1674"/>
      <c r="B264" s="1675" t="s">
        <v>671</v>
      </c>
      <c r="C264" s="1677">
        <f>SUM(C265)</f>
        <v>48000</v>
      </c>
      <c r="D264" s="1991">
        <f>SUM(D265:D267)</f>
        <v>115153.16</v>
      </c>
      <c r="E264" s="1992">
        <f>D264-C264</f>
        <v>67153.16</v>
      </c>
      <c r="F264" s="1660">
        <f>((D264/C264)-1)*100</f>
        <v>139.90241666666668</v>
      </c>
      <c r="G264" s="1677">
        <f>SUM(G265)</f>
        <v>48000</v>
      </c>
      <c r="H264" s="1991">
        <f>SUM(H265:H267)</f>
        <v>145794.10999999999</v>
      </c>
      <c r="I264" s="1992">
        <f>H264-G264</f>
        <v>97794.109999999986</v>
      </c>
      <c r="J264" s="1660">
        <f>((H264/G264)-1)*100</f>
        <v>203.73772916666667</v>
      </c>
      <c r="K264" s="1677">
        <f>SUM(K265)</f>
        <v>48000</v>
      </c>
      <c r="L264" s="1991">
        <f>SUM(L265:L267)</f>
        <v>165849.22</v>
      </c>
      <c r="M264" s="1992">
        <f>L264-K264</f>
        <v>117849.22</v>
      </c>
      <c r="N264" s="1660">
        <f>((L264/K264)-1)*100</f>
        <v>245.51920833333332</v>
      </c>
      <c r="O264" s="1677">
        <f>SUM(O265)</f>
        <v>48000</v>
      </c>
      <c r="P264" s="1991">
        <f>SUM(P265)</f>
        <v>0</v>
      </c>
      <c r="Q264" s="1992">
        <f>P264-O264</f>
        <v>-48000</v>
      </c>
      <c r="R264" s="1660">
        <f>((P264/O264)-1)*100</f>
        <v>-100</v>
      </c>
      <c r="S264" s="1677">
        <f>SUM(S265)</f>
        <v>48000</v>
      </c>
      <c r="T264" s="1991">
        <f>SUM(T265)</f>
        <v>0</v>
      </c>
      <c r="U264" s="1992">
        <f>T264-S264</f>
        <v>-48000</v>
      </c>
      <c r="V264" s="1660">
        <f>((T264/S264)-1)*100</f>
        <v>-100</v>
      </c>
      <c r="W264" s="1677">
        <f>SUM(W265)</f>
        <v>48000</v>
      </c>
      <c r="X264" s="1991">
        <f>SUM(X265)</f>
        <v>0</v>
      </c>
      <c r="Y264" s="1992">
        <f>X264-W264</f>
        <v>-48000</v>
      </c>
      <c r="Z264" s="1660">
        <f>((X264/W264)-1)*100</f>
        <v>-100</v>
      </c>
      <c r="AA264" s="1677">
        <f>SUM(AA265)</f>
        <v>48000</v>
      </c>
      <c r="AB264" s="1991">
        <f>SUM(AB265)</f>
        <v>0</v>
      </c>
      <c r="AC264" s="1992">
        <f>AB264-AA264</f>
        <v>-48000</v>
      </c>
      <c r="AD264" s="1660">
        <f>((AB264/AA264)-1)*100</f>
        <v>-100</v>
      </c>
      <c r="AE264" s="1677">
        <f>SUM(AE265)</f>
        <v>48000</v>
      </c>
      <c r="AF264" s="1991">
        <f>SUM(AF265)</f>
        <v>0</v>
      </c>
      <c r="AG264" s="1992">
        <f>AF264-AE264</f>
        <v>-48000</v>
      </c>
      <c r="AH264" s="1660">
        <f>((AF264/AE264)-1)*100</f>
        <v>-100</v>
      </c>
      <c r="AI264" s="1676">
        <f>SUM(AI265)</f>
        <v>48000</v>
      </c>
      <c r="AJ264" s="1991">
        <f>SUM(AJ265)</f>
        <v>0</v>
      </c>
      <c r="AK264" s="1992">
        <f>AJ264-AI264</f>
        <v>-48000</v>
      </c>
      <c r="AL264" s="1660">
        <f>((AJ264/AI264)-1)*100</f>
        <v>-100</v>
      </c>
      <c r="AM264" s="1677">
        <f>SUM(AM265)</f>
        <v>48000</v>
      </c>
      <c r="AN264" s="1991">
        <f>SUM(AN265)</f>
        <v>0</v>
      </c>
      <c r="AO264" s="1992">
        <f>AN264-AM264</f>
        <v>-48000</v>
      </c>
      <c r="AP264" s="1660">
        <f>((AN264/AM264)-1)*100</f>
        <v>-100</v>
      </c>
      <c r="AQ264" s="1676">
        <f>SUM(AQ265)</f>
        <v>48000</v>
      </c>
      <c r="AR264" s="1991">
        <f>SUM(AR265)</f>
        <v>0</v>
      </c>
      <c r="AS264" s="1992">
        <f>AR264-AQ264</f>
        <v>-48000</v>
      </c>
      <c r="AT264" s="1660">
        <f>((AR264/AQ264)-1)*100</f>
        <v>-100</v>
      </c>
      <c r="AU264" s="1677">
        <f>SUM(AU265)</f>
        <v>48000</v>
      </c>
      <c r="AV264" s="1991">
        <f>SUM(AV265)</f>
        <v>0</v>
      </c>
      <c r="AW264" s="1992">
        <f>AV264-AU264</f>
        <v>-48000</v>
      </c>
      <c r="AX264" s="1660">
        <f>((AV264/AU264)-1)*100</f>
        <v>-100</v>
      </c>
      <c r="AY264" s="1542">
        <f>C264+G264+K264+O264+S264+W264+AA264+AE264+AI264+AM264+AQ264+AU264</f>
        <v>576000</v>
      </c>
      <c r="AZ264" s="1993">
        <f>D264+H264+L264+P264+T264+X264+AB264+AF264+AJ264+AN264+AR264+AV264</f>
        <v>426796.49</v>
      </c>
    </row>
    <row r="265" spans="1:57" s="1421" customFormat="1" ht="18.75" customHeight="1" x14ac:dyDescent="0.25">
      <c r="A265" s="1548">
        <v>53803</v>
      </c>
      <c r="B265" s="331" t="s">
        <v>3625</v>
      </c>
      <c r="C265" s="2800">
        <v>48000</v>
      </c>
      <c r="D265" s="2034">
        <v>47399.44</v>
      </c>
      <c r="E265" s="2802">
        <f>SUM(D265:D266)-C265</f>
        <v>19633.160000000003</v>
      </c>
      <c r="F265" s="2804">
        <f>((SUM(D265:D266)/C265)-1)*100</f>
        <v>40.902416666666674</v>
      </c>
      <c r="G265" s="2806">
        <f>$C$265</f>
        <v>48000</v>
      </c>
      <c r="H265" s="2069">
        <f>VLOOKUP(A265,'[1]r_balancete_sc 02-2022'!$1:$1048576,9,0)</f>
        <v>34488.230000000003</v>
      </c>
      <c r="I265" s="2802">
        <f>SUM(H265:H266)-G265</f>
        <v>5394.1100000000006</v>
      </c>
      <c r="J265" s="2804">
        <f>((SUM(H265:H266)/G265)-1)*100</f>
        <v>11.237729166666677</v>
      </c>
      <c r="K265" s="2806">
        <f>$C$265</f>
        <v>48000</v>
      </c>
      <c r="L265" s="1980">
        <f>VLOOKUP(A265,'[2]bALANCETE ORÇAMENTO'!$1:$1048576,7,0)</f>
        <v>40023.339999999997</v>
      </c>
      <c r="M265" s="2802">
        <f>SUM(L265:L266)-K265</f>
        <v>10929.220000000001</v>
      </c>
      <c r="N265" s="2804">
        <f>((SUM(L265:L266)/K265)-1)*100</f>
        <v>22.769208333333335</v>
      </c>
      <c r="O265" s="2806">
        <f>$C$265</f>
        <v>48000</v>
      </c>
      <c r="P265" s="1980"/>
      <c r="Q265" s="2802">
        <f>SUM(P265:P266)-O265</f>
        <v>-48000</v>
      </c>
      <c r="R265" s="2804">
        <f>((SUM(P265:P266)/O265)-1)*100</f>
        <v>-100</v>
      </c>
      <c r="S265" s="2806">
        <f>$C$265</f>
        <v>48000</v>
      </c>
      <c r="T265" s="1980"/>
      <c r="U265" s="2802">
        <f>SUM(T265:T266)-S265</f>
        <v>-48000</v>
      </c>
      <c r="V265" s="2804">
        <f>((SUM(T265:T266)/S265)-1)*100</f>
        <v>-100</v>
      </c>
      <c r="W265" s="2806">
        <f>$C$265</f>
        <v>48000</v>
      </c>
      <c r="X265" s="1980"/>
      <c r="Y265" s="2802">
        <f>SUM(X265:X266)-W265</f>
        <v>-48000</v>
      </c>
      <c r="Z265" s="2804">
        <f>((SUM(X265:X266)/W265)-1)*100</f>
        <v>-100</v>
      </c>
      <c r="AA265" s="2806">
        <f>$C$265</f>
        <v>48000</v>
      </c>
      <c r="AB265" s="1980"/>
      <c r="AC265" s="2802">
        <f>SUM(AB265:AB266)-AA265</f>
        <v>-48000</v>
      </c>
      <c r="AD265" s="2804">
        <f>((SUM(AB265:AB266)/AA265)-1)*100</f>
        <v>-100</v>
      </c>
      <c r="AE265" s="2806">
        <f>$C$265</f>
        <v>48000</v>
      </c>
      <c r="AF265" s="1980"/>
      <c r="AG265" s="2802">
        <f>SUM(AF265:AF266)-AE265</f>
        <v>-48000</v>
      </c>
      <c r="AH265" s="2804">
        <f>((SUM(AF265:AF266)/AE265)-1)*100</f>
        <v>-100</v>
      </c>
      <c r="AI265" s="2806">
        <f>$C$265</f>
        <v>48000</v>
      </c>
      <c r="AJ265" s="1980"/>
      <c r="AK265" s="2802">
        <f>SUM(AJ265:AJ266)-AI265</f>
        <v>-48000</v>
      </c>
      <c r="AL265" s="2804">
        <f>((SUM(AJ265:AJ266)/AI265)-1)*100</f>
        <v>-100</v>
      </c>
      <c r="AM265" s="2806">
        <f>$C$265</f>
        <v>48000</v>
      </c>
      <c r="AN265" s="1980"/>
      <c r="AO265" s="2802">
        <f>SUM(AN265:AN266)-AM265</f>
        <v>-48000</v>
      </c>
      <c r="AP265" s="2804">
        <f>((SUM(AN265:AN266)/AM265)-1)*100</f>
        <v>-100</v>
      </c>
      <c r="AQ265" s="2806">
        <f>$C$265</f>
        <v>48000</v>
      </c>
      <c r="AR265" s="1980"/>
      <c r="AS265" s="2802">
        <f>SUM(AR265:AR266)-AQ265</f>
        <v>-48000</v>
      </c>
      <c r="AT265" s="2804">
        <f>((SUM(AR265:AR266)/AQ265)-1)*100</f>
        <v>-100</v>
      </c>
      <c r="AU265" s="2806">
        <f>$C$265</f>
        <v>48000</v>
      </c>
      <c r="AV265" s="1980"/>
      <c r="AW265" s="2802">
        <f>SUM(AV265:AV266)-AU265</f>
        <v>-48000</v>
      </c>
      <c r="AX265" s="2804">
        <f>((SUM(AV265:AV266)/AU265)-1)*100</f>
        <v>-100</v>
      </c>
      <c r="AY265" s="2721">
        <f>C265+G265+K265+O265+S265+W265+AA265+AE265+AI265+AM265+AQ265+AU265</f>
        <v>576000</v>
      </c>
      <c r="AZ265" s="2080">
        <f>D265+H265+L265+P265+T265+X265+AB265+AF265+AJ265+AN265+AR265+AV265</f>
        <v>121911.01000000001</v>
      </c>
      <c r="BA265" s="805"/>
      <c r="BB265" s="1178"/>
    </row>
    <row r="266" spans="1:57" ht="18.75" customHeight="1" thickBot="1" x14ac:dyDescent="0.3">
      <c r="A266" s="1678">
        <v>53791</v>
      </c>
      <c r="B266" s="1679" t="s">
        <v>3897</v>
      </c>
      <c r="C266" s="2801"/>
      <c r="D266" s="2035">
        <v>20233.72</v>
      </c>
      <c r="E266" s="2803"/>
      <c r="F266" s="2805"/>
      <c r="G266" s="2807"/>
      <c r="H266" s="1669">
        <f>VLOOKUP(A266,'[1]r_balancete_sc 02-2022'!$1:$1048576,9,0)</f>
        <v>18905.88</v>
      </c>
      <c r="I266" s="2803"/>
      <c r="J266" s="2805"/>
      <c r="K266" s="2807"/>
      <c r="L266" s="2344">
        <f>VLOOKUP(A266,'[2]bALANCETE ORÇAMENTO'!$1:$1048576,7,0)</f>
        <v>18905.88</v>
      </c>
      <c r="M266" s="2803"/>
      <c r="N266" s="2805"/>
      <c r="O266" s="2807"/>
      <c r="P266" s="1998"/>
      <c r="Q266" s="2803"/>
      <c r="R266" s="2805"/>
      <c r="S266" s="2807"/>
      <c r="T266" s="1998"/>
      <c r="U266" s="2803"/>
      <c r="V266" s="2805"/>
      <c r="W266" s="2807"/>
      <c r="X266" s="1998"/>
      <c r="Y266" s="2803"/>
      <c r="Z266" s="2805"/>
      <c r="AA266" s="2807"/>
      <c r="AB266" s="1998"/>
      <c r="AC266" s="2803"/>
      <c r="AD266" s="2805"/>
      <c r="AE266" s="2807"/>
      <c r="AF266" s="1998"/>
      <c r="AG266" s="2803"/>
      <c r="AH266" s="2805"/>
      <c r="AI266" s="2807"/>
      <c r="AJ266" s="1998"/>
      <c r="AK266" s="2803"/>
      <c r="AL266" s="2805"/>
      <c r="AM266" s="2807"/>
      <c r="AN266" s="1998"/>
      <c r="AO266" s="2803"/>
      <c r="AP266" s="2805"/>
      <c r="AQ266" s="2807"/>
      <c r="AR266" s="1998"/>
      <c r="AS266" s="2803"/>
      <c r="AT266" s="2805"/>
      <c r="AU266" s="2807"/>
      <c r="AV266" s="1998"/>
      <c r="AW266" s="2803"/>
      <c r="AX266" s="2805"/>
      <c r="AY266" s="2723"/>
      <c r="AZ266" s="1562">
        <f>D266+H266+L266+P266+T266+X266+AB266+AF266+AJ266+AN266+AR266+AV266</f>
        <v>58045.48000000001</v>
      </c>
    </row>
    <row r="267" spans="1:57" s="1421" customFormat="1" ht="18.75" customHeight="1" thickBot="1" x14ac:dyDescent="0.3">
      <c r="A267" s="2580">
        <v>55229</v>
      </c>
      <c r="B267" s="2581" t="s">
        <v>3710</v>
      </c>
      <c r="C267" s="2465">
        <v>45000</v>
      </c>
      <c r="D267" s="2470">
        <v>47520</v>
      </c>
      <c r="E267" s="2463">
        <f>D267-C267</f>
        <v>2520</v>
      </c>
      <c r="F267" s="2187">
        <f>((D267/C267)-1)*100</f>
        <v>5.600000000000005</v>
      </c>
      <c r="G267" s="2465">
        <v>45000</v>
      </c>
      <c r="H267" s="1570">
        <v>92400</v>
      </c>
      <c r="I267" s="2463">
        <f>H267-G267</f>
        <v>47400</v>
      </c>
      <c r="J267" s="2187">
        <f>((H267/G267)-1)*100</f>
        <v>105.33333333333333</v>
      </c>
      <c r="K267" s="2465">
        <f>G267</f>
        <v>45000</v>
      </c>
      <c r="L267" s="2463">
        <f>VLOOKUP(A267,'[2]bALANCETE ORÇAMENTO'!$1:$1048576,7,0)</f>
        <v>106920</v>
      </c>
      <c r="M267" s="2463">
        <f>L267-K267</f>
        <v>61920</v>
      </c>
      <c r="N267" s="2466">
        <f>((L267/K267)-1)*100</f>
        <v>137.6</v>
      </c>
      <c r="O267" s="2465">
        <f>K267</f>
        <v>45000</v>
      </c>
      <c r="P267" s="2463"/>
      <c r="Q267" s="2463">
        <f>P267-O267</f>
        <v>-45000</v>
      </c>
      <c r="R267" s="2187">
        <f>((P267/O267)-1)*100</f>
        <v>-100</v>
      </c>
      <c r="S267" s="2465">
        <f>O267</f>
        <v>45000</v>
      </c>
      <c r="T267" s="2463"/>
      <c r="U267" s="2463">
        <f>T267-S267</f>
        <v>-45000</v>
      </c>
      <c r="V267" s="2187">
        <f>((T267/S267)-1)*100</f>
        <v>-100</v>
      </c>
      <c r="W267" s="2465">
        <f>S267</f>
        <v>45000</v>
      </c>
      <c r="X267" s="2463"/>
      <c r="Y267" s="2463">
        <f>X267-W267</f>
        <v>-45000</v>
      </c>
      <c r="Z267" s="2187">
        <f>((X267/W267)-1)*100</f>
        <v>-100</v>
      </c>
      <c r="AA267" s="2465">
        <f>W267</f>
        <v>45000</v>
      </c>
      <c r="AB267" s="2463"/>
      <c r="AC267" s="2463">
        <f>AB267-AA267</f>
        <v>-45000</v>
      </c>
      <c r="AD267" s="2187">
        <f>((AB267/AA267)-1)*100</f>
        <v>-100</v>
      </c>
      <c r="AE267" s="2465">
        <f>AA267</f>
        <v>45000</v>
      </c>
      <c r="AF267" s="2463"/>
      <c r="AG267" s="2463">
        <f>AF267-AE267</f>
        <v>-45000</v>
      </c>
      <c r="AH267" s="2187">
        <f>((AF267/AE267)-1)*100</f>
        <v>-100</v>
      </c>
      <c r="AI267" s="2465">
        <f>AE267</f>
        <v>45000</v>
      </c>
      <c r="AJ267" s="2463"/>
      <c r="AK267" s="2463">
        <f>AJ267-AI267</f>
        <v>-45000</v>
      </c>
      <c r="AL267" s="2187">
        <f>((AJ267/AI267)-1)*100</f>
        <v>-100</v>
      </c>
      <c r="AM267" s="2465">
        <f>AI267</f>
        <v>45000</v>
      </c>
      <c r="AN267" s="2463"/>
      <c r="AO267" s="2463">
        <f>AN267-AM267</f>
        <v>-45000</v>
      </c>
      <c r="AP267" s="2187">
        <f>((AN267/AM267)-1)*100</f>
        <v>-100</v>
      </c>
      <c r="AQ267" s="2465">
        <f>AM267</f>
        <v>45000</v>
      </c>
      <c r="AR267" s="2463"/>
      <c r="AS267" s="2463">
        <f>AR267-AQ267</f>
        <v>-45000</v>
      </c>
      <c r="AT267" s="2187">
        <f>((AR267/AQ267)-1)*100</f>
        <v>-100</v>
      </c>
      <c r="AU267" s="2465">
        <f>AQ267</f>
        <v>45000</v>
      </c>
      <c r="AV267" s="2463"/>
      <c r="AW267" s="2463">
        <f>AV267-AU267</f>
        <v>-45000</v>
      </c>
      <c r="AX267" s="2464">
        <f>((AV267/AU267)-1)*100</f>
        <v>-100</v>
      </c>
      <c r="AY267" s="2466">
        <f>C267+G267+K267+O267+S267+W267+AA267+AE267+AI267+AM267+AQ267+AU267</f>
        <v>540000</v>
      </c>
      <c r="AZ267" s="1976">
        <f>D267+H267+L267+P267+T267+X267+AB267+AF267+AJ267+AN267+AR267+AV267</f>
        <v>246840</v>
      </c>
      <c r="BA267" s="11"/>
      <c r="BB267" s="1172"/>
      <c r="BC267" s="11"/>
      <c r="BD267" s="11"/>
      <c r="BE267" s="11"/>
    </row>
    <row r="268" spans="1:57" ht="18.75" customHeight="1" thickBot="1" x14ac:dyDescent="0.3">
      <c r="C268" s="1995"/>
      <c r="D268" s="2033"/>
      <c r="E268" s="1995"/>
      <c r="F268" s="1995"/>
      <c r="G268" s="1999"/>
      <c r="H268" s="1996"/>
      <c r="I268" s="1995"/>
      <c r="J268" s="1995"/>
      <c r="K268" s="1995"/>
      <c r="L268" s="1995"/>
      <c r="M268" s="1995"/>
      <c r="N268" s="1995"/>
      <c r="O268" s="1999"/>
      <c r="P268" s="1995"/>
      <c r="Q268" s="1995"/>
      <c r="R268" s="1995"/>
      <c r="S268" s="1999"/>
      <c r="T268" s="1995"/>
      <c r="U268" s="1995"/>
      <c r="V268" s="1995"/>
      <c r="W268" s="1999"/>
      <c r="X268" s="1995"/>
      <c r="Y268" s="1995"/>
      <c r="Z268" s="1995"/>
      <c r="AA268" s="1999"/>
      <c r="AB268" s="1995"/>
      <c r="AC268" s="1995"/>
      <c r="AD268" s="1995"/>
      <c r="AE268" s="1999"/>
      <c r="AF268" s="1995"/>
      <c r="AG268" s="1995"/>
      <c r="AH268" s="1995"/>
      <c r="AI268" s="1999"/>
      <c r="AJ268" s="1995"/>
      <c r="AK268" s="1995"/>
      <c r="AL268" s="1995"/>
      <c r="AM268" s="1999"/>
      <c r="AN268" s="1995"/>
      <c r="AO268" s="1995"/>
      <c r="AP268" s="1995"/>
      <c r="AQ268" s="1999"/>
      <c r="AR268" s="1995"/>
      <c r="AS268" s="1995"/>
      <c r="AT268" s="1995"/>
      <c r="AU268" s="1999"/>
      <c r="AV268" s="1995"/>
      <c r="AW268" s="1995"/>
      <c r="AX268" s="1995"/>
      <c r="AY268" s="2000"/>
      <c r="AZ268" s="2000"/>
    </row>
    <row r="269" spans="1:57" ht="18.75" customHeight="1" thickBot="1" x14ac:dyDescent="0.3">
      <c r="A269" s="1674"/>
      <c r="B269" s="1675" t="s">
        <v>3911</v>
      </c>
      <c r="C269" s="487">
        <f>SUM(C270)</f>
        <v>0</v>
      </c>
      <c r="D269" s="1991">
        <f>SUM(D270:D273)</f>
        <v>6143.15</v>
      </c>
      <c r="E269" s="396">
        <f>D269-C269</f>
        <v>6143.15</v>
      </c>
      <c r="F269" s="1660" t="e">
        <f>((D269/C269)-1)*100</f>
        <v>#DIV/0!</v>
      </c>
      <c r="G269" s="487">
        <f>SUM(G270)</f>
        <v>0</v>
      </c>
      <c r="H269" s="1991">
        <f>SUM(H270:H273)</f>
        <v>75437.73000000001</v>
      </c>
      <c r="I269" s="1992">
        <f>H269-G269</f>
        <v>75437.73000000001</v>
      </c>
      <c r="J269" s="1660" t="e">
        <f>((H269/G269)-1)*100</f>
        <v>#DIV/0!</v>
      </c>
      <c r="K269" s="1677">
        <f>SUM(K270)</f>
        <v>0</v>
      </c>
      <c r="L269" s="1991">
        <f>SUM(L270:L273)</f>
        <v>15594.11</v>
      </c>
      <c r="M269" s="1992">
        <f>L269-K269</f>
        <v>15594.11</v>
      </c>
      <c r="N269" s="1660" t="e">
        <f>((L269/K269)-1)*100</f>
        <v>#DIV/0!</v>
      </c>
      <c r="O269" s="1677">
        <f>SUM(O270)</f>
        <v>0</v>
      </c>
      <c r="P269" s="1991">
        <f>SUM(P270)</f>
        <v>0</v>
      </c>
      <c r="Q269" s="1992">
        <f>P269-O269</f>
        <v>0</v>
      </c>
      <c r="R269" s="1660" t="e">
        <f>((P269/O269)-1)*100</f>
        <v>#DIV/0!</v>
      </c>
      <c r="S269" s="1677">
        <f>SUM(S270)</f>
        <v>0</v>
      </c>
      <c r="T269" s="1991">
        <f>SUM(T270)</f>
        <v>0</v>
      </c>
      <c r="U269" s="1992">
        <f>T269-S269</f>
        <v>0</v>
      </c>
      <c r="V269" s="1660" t="e">
        <f>((T269/S269)-1)*100</f>
        <v>#DIV/0!</v>
      </c>
      <c r="W269" s="1677">
        <f>SUM(W270)</f>
        <v>0</v>
      </c>
      <c r="X269" s="1991">
        <f>SUM(X270)</f>
        <v>0</v>
      </c>
      <c r="Y269" s="1992">
        <f>X269-W269</f>
        <v>0</v>
      </c>
      <c r="Z269" s="1660" t="e">
        <f>((X269/W269)-1)*100</f>
        <v>#DIV/0!</v>
      </c>
      <c r="AA269" s="1677">
        <f>SUM(AA270)</f>
        <v>0</v>
      </c>
      <c r="AB269" s="1991">
        <f>SUM(AB270)</f>
        <v>0</v>
      </c>
      <c r="AC269" s="1992">
        <f>AB269-AA269</f>
        <v>0</v>
      </c>
      <c r="AD269" s="1660" t="e">
        <f>((AB269/AA269)-1)*100</f>
        <v>#DIV/0!</v>
      </c>
      <c r="AE269" s="1677">
        <f>SUM(AE270)</f>
        <v>0</v>
      </c>
      <c r="AF269" s="1991">
        <f>SUM(AF270)</f>
        <v>0</v>
      </c>
      <c r="AG269" s="1992">
        <f>AF269-AE269</f>
        <v>0</v>
      </c>
      <c r="AH269" s="2545" t="e">
        <f>((AF269/AE269)-1)*100</f>
        <v>#DIV/0!</v>
      </c>
      <c r="AI269" s="1676">
        <f>SUM(AI270)</f>
        <v>0</v>
      </c>
      <c r="AJ269" s="1991">
        <f>SUM(AJ270)</f>
        <v>0</v>
      </c>
      <c r="AK269" s="1992">
        <f>AJ269-AI269</f>
        <v>0</v>
      </c>
      <c r="AL269" s="1660" t="e">
        <f>((AJ269/AI269)-1)*100</f>
        <v>#DIV/0!</v>
      </c>
      <c r="AM269" s="1677">
        <f>SUM(AM270)</f>
        <v>0</v>
      </c>
      <c r="AN269" s="1991">
        <f>SUM(AN270)</f>
        <v>0</v>
      </c>
      <c r="AO269" s="1992">
        <f>AN269-AM269</f>
        <v>0</v>
      </c>
      <c r="AP269" s="2545" t="e">
        <f>((AN269/AM269)-1)*100</f>
        <v>#DIV/0!</v>
      </c>
      <c r="AQ269" s="1676">
        <f>SUM(AQ270)</f>
        <v>0</v>
      </c>
      <c r="AR269" s="1991">
        <f>SUM(AR270)</f>
        <v>0</v>
      </c>
      <c r="AS269" s="1992">
        <f>AR269-AQ269</f>
        <v>0</v>
      </c>
      <c r="AT269" s="1660" t="e">
        <f>((AR269/AQ269)-1)*100</f>
        <v>#DIV/0!</v>
      </c>
      <c r="AU269" s="1677">
        <f>SUM(AU270)</f>
        <v>0</v>
      </c>
      <c r="AV269" s="1991">
        <f>SUM(AV270)</f>
        <v>0</v>
      </c>
      <c r="AW269" s="1992">
        <f>AV269-AU269</f>
        <v>0</v>
      </c>
      <c r="AX269" s="1660" t="e">
        <f>((AV269/AU269)-1)*100</f>
        <v>#DIV/0!</v>
      </c>
      <c r="AY269" s="1542">
        <f>C269+G269+K269+O269+S269+W269+AA269+AE269+AI269+AM269+AQ269+AU269</f>
        <v>0</v>
      </c>
      <c r="AZ269" s="1993">
        <f>D269+H269+L269+P269+T269+X269+AB269+AF269+AJ269+AN269+AR269+AV269</f>
        <v>97174.99</v>
      </c>
    </row>
    <row r="270" spans="1:57" ht="18.75" customHeight="1" x14ac:dyDescent="0.25">
      <c r="A270" s="1548">
        <v>12320</v>
      </c>
      <c r="B270" s="2534" t="s">
        <v>3912</v>
      </c>
      <c r="C270" s="2472"/>
      <c r="D270" s="2031">
        <v>1225</v>
      </c>
      <c r="E270" s="2472"/>
      <c r="F270" s="2473"/>
      <c r="G270" s="2475"/>
      <c r="H270" s="2495">
        <v>2450</v>
      </c>
      <c r="I270" s="45"/>
      <c r="J270" s="2477"/>
      <c r="K270" s="2478"/>
      <c r="L270" s="2436">
        <v>0</v>
      </c>
      <c r="M270" s="2479"/>
      <c r="N270" s="2473"/>
      <c r="O270" s="2471"/>
      <c r="P270" s="45"/>
      <c r="Q270" s="45"/>
      <c r="R270" s="2477"/>
      <c r="S270" s="2500"/>
      <c r="T270" s="2501"/>
      <c r="U270" s="2501"/>
      <c r="V270" s="2502"/>
      <c r="W270" s="2498"/>
      <c r="X270" s="2501"/>
      <c r="Y270" s="46"/>
      <c r="Z270" s="111"/>
      <c r="AA270" s="2475"/>
      <c r="AB270" s="457"/>
      <c r="AC270" s="457"/>
      <c r="AD270" s="111"/>
      <c r="AE270" s="2475"/>
      <c r="AF270" s="457"/>
      <c r="AG270" s="457"/>
      <c r="AH270" s="111"/>
      <c r="AI270" s="2503"/>
      <c r="AJ270" s="457"/>
      <c r="AK270" s="457"/>
      <c r="AL270" s="111"/>
      <c r="AM270" s="2475"/>
      <c r="AN270" s="457"/>
      <c r="AO270" s="46"/>
      <c r="AP270" s="2497"/>
      <c r="AQ270" s="2503"/>
      <c r="AR270" s="46"/>
      <c r="AS270" s="46"/>
      <c r="AT270" s="111"/>
      <c r="AU270" s="2503"/>
      <c r="AV270" s="46"/>
      <c r="AW270" s="457"/>
      <c r="AX270" s="2497"/>
      <c r="AY270" s="2000"/>
      <c r="AZ270" s="2499"/>
    </row>
    <row r="271" spans="1:57" ht="18.75" customHeight="1" x14ac:dyDescent="0.25">
      <c r="A271" s="2543">
        <v>12336</v>
      </c>
      <c r="B271" s="1424" t="s">
        <v>47</v>
      </c>
      <c r="C271" s="2535"/>
      <c r="D271" s="2536">
        <v>2916.06</v>
      </c>
      <c r="E271" s="47"/>
      <c r="F271" s="2537"/>
      <c r="G271" s="2538"/>
      <c r="H271" s="2539">
        <v>46182.98</v>
      </c>
      <c r="I271" s="47"/>
      <c r="J271" s="2535"/>
      <c r="K271" s="2540"/>
      <c r="L271" s="2541">
        <v>13342.28</v>
      </c>
      <c r="M271" s="47"/>
      <c r="N271" s="2537"/>
      <c r="O271" s="2538"/>
      <c r="P271" s="587"/>
      <c r="Q271" s="2542"/>
      <c r="R271" s="2553"/>
      <c r="S271" s="2555"/>
      <c r="T271" s="2542"/>
      <c r="U271" s="2556"/>
      <c r="V271" s="2554"/>
      <c r="W271" s="2480"/>
      <c r="X271" s="587"/>
      <c r="Y271" s="47"/>
      <c r="Z271" s="1995"/>
      <c r="AA271" s="2538"/>
      <c r="AB271" s="47"/>
      <c r="AC271" s="47"/>
      <c r="AD271" s="2497"/>
      <c r="AE271" s="2555"/>
      <c r="AF271" s="587"/>
      <c r="AG271" s="47"/>
      <c r="AH271" s="2497"/>
      <c r="AI271" s="2538"/>
      <c r="AJ271" s="47"/>
      <c r="AK271" s="47"/>
      <c r="AL271" s="2554"/>
      <c r="AM271" s="2555"/>
      <c r="AN271" s="47"/>
      <c r="AO271" s="47"/>
      <c r="AP271" s="2546"/>
      <c r="AQ271" s="2538"/>
      <c r="AR271" s="47"/>
      <c r="AS271" s="47"/>
      <c r="AT271" s="2554"/>
      <c r="AU271" s="2475"/>
      <c r="AV271" s="47"/>
      <c r="AW271" s="47"/>
      <c r="AX271" s="2554"/>
      <c r="AY271" s="2557"/>
      <c r="AZ271" s="2559"/>
    </row>
    <row r="272" spans="1:57" ht="18.75" customHeight="1" x14ac:dyDescent="0.25">
      <c r="A272" s="2562">
        <v>11540</v>
      </c>
      <c r="B272" s="2560" t="s">
        <v>208</v>
      </c>
      <c r="C272" s="2547"/>
      <c r="D272" s="2550">
        <v>400.43</v>
      </c>
      <c r="E272" s="2549"/>
      <c r="F272" s="2546"/>
      <c r="G272" s="2538"/>
      <c r="H272" s="2539">
        <v>25203.09</v>
      </c>
      <c r="I272" s="47"/>
      <c r="J272" s="2537"/>
      <c r="K272" s="2551"/>
      <c r="L272" s="1611">
        <v>650.16999999999996</v>
      </c>
      <c r="M272" s="2547"/>
      <c r="N272" s="2537"/>
      <c r="O272" s="2538"/>
      <c r="P272" s="47"/>
      <c r="Q272" s="47"/>
      <c r="R272" s="2554"/>
      <c r="S272" s="2538"/>
      <c r="T272" s="47"/>
      <c r="U272" s="47"/>
      <c r="V272" s="111"/>
      <c r="W272" s="2538"/>
      <c r="X272" s="47"/>
      <c r="Y272" s="46"/>
      <c r="Z272" s="2554"/>
      <c r="AA272" s="2503"/>
      <c r="AB272" s="46"/>
      <c r="AC272" s="46"/>
      <c r="AD272" s="2554"/>
      <c r="AE272" s="2538"/>
      <c r="AF272" s="47"/>
      <c r="AG272" s="46"/>
      <c r="AH272" s="2554"/>
      <c r="AI272" s="2503"/>
      <c r="AJ272" s="46"/>
      <c r="AK272" s="46"/>
      <c r="AL272" s="111"/>
      <c r="AM272" s="2538"/>
      <c r="AN272" s="46"/>
      <c r="AO272" s="46"/>
      <c r="AP272" s="2554"/>
      <c r="AQ272" s="2503"/>
      <c r="AR272" s="46"/>
      <c r="AS272" s="46"/>
      <c r="AT272" s="111"/>
      <c r="AU272" s="2538"/>
      <c r="AV272" s="46"/>
      <c r="AW272" s="46"/>
      <c r="AX272" s="111"/>
      <c r="AY272" s="2558"/>
      <c r="AZ272" s="2558"/>
    </row>
    <row r="273" spans="1:54" ht="18.75" customHeight="1" thickBot="1" x14ac:dyDescent="0.3">
      <c r="A273" s="2563">
        <v>12267</v>
      </c>
      <c r="B273" s="2561" t="s">
        <v>3913</v>
      </c>
      <c r="C273" s="2548"/>
      <c r="D273" s="2032">
        <v>1601.66</v>
      </c>
      <c r="E273" s="2548"/>
      <c r="F273" s="2474"/>
      <c r="G273" s="2476"/>
      <c r="H273" s="2496">
        <v>1601.66</v>
      </c>
      <c r="I273" s="1156"/>
      <c r="J273" s="2474"/>
      <c r="K273" s="2552"/>
      <c r="L273" s="1669">
        <v>1601.66</v>
      </c>
      <c r="M273" s="2548"/>
      <c r="N273" s="2474"/>
      <c r="O273" s="2476"/>
      <c r="P273" s="1156"/>
      <c r="Q273" s="1156"/>
      <c r="R273" s="2474"/>
      <c r="S273" s="2476"/>
      <c r="T273" s="1156"/>
      <c r="U273" s="1156"/>
      <c r="V273" s="2474"/>
      <c r="W273" s="2476"/>
      <c r="X273" s="1156"/>
      <c r="Y273" s="1156"/>
      <c r="Z273" s="2474"/>
      <c r="AA273" s="2476"/>
      <c r="AB273" s="1156"/>
      <c r="AC273" s="1156"/>
      <c r="AD273" s="2474"/>
      <c r="AE273" s="2476"/>
      <c r="AF273" s="1156"/>
      <c r="AG273" s="1156"/>
      <c r="AH273" s="2474"/>
      <c r="AI273" s="2476"/>
      <c r="AJ273" s="1156"/>
      <c r="AK273" s="1156"/>
      <c r="AL273" s="2474"/>
      <c r="AM273" s="2476"/>
      <c r="AN273" s="1156"/>
      <c r="AO273" s="1156"/>
      <c r="AP273" s="2474"/>
      <c r="AQ273" s="2476"/>
      <c r="AR273" s="1156"/>
      <c r="AS273" s="1156"/>
      <c r="AT273" s="2474"/>
      <c r="AU273" s="2476"/>
      <c r="AV273" s="1156"/>
      <c r="AW273" s="1156"/>
      <c r="AX273" s="2474"/>
      <c r="AY273" s="2544"/>
      <c r="AZ273" s="2544"/>
    </row>
    <row r="274" spans="1:54" s="1421" customFormat="1" ht="18.75" customHeight="1" x14ac:dyDescent="0.25">
      <c r="A274" s="167">
        <v>12222</v>
      </c>
      <c r="B274" s="331" t="s">
        <v>50</v>
      </c>
      <c r="C274" s="2708">
        <v>3200</v>
      </c>
      <c r="D274" s="2013">
        <v>5085.51</v>
      </c>
      <c r="E274" s="2706">
        <f>D274-C274+D275</f>
        <v>2285.5100000000002</v>
      </c>
      <c r="F274" s="2704">
        <f>((D274:D275/C274)-1)*100</f>
        <v>58.9221875</v>
      </c>
      <c r="G274" s="2708">
        <v>3200</v>
      </c>
      <c r="H274" s="1608">
        <v>1643.9</v>
      </c>
      <c r="I274" s="2706">
        <f>H274-G274+H275</f>
        <v>-1556.1</v>
      </c>
      <c r="J274" s="2704">
        <f>((H274:H275/G274)-1)*100</f>
        <v>-48.628124999999997</v>
      </c>
      <c r="K274" s="2708">
        <f>G274</f>
        <v>3200</v>
      </c>
      <c r="L274" s="1574">
        <f>VLOOKUP(A274,'[2]bALANCETE ORÇAMENTO'!$1:$1048576,7,0)</f>
        <v>0</v>
      </c>
      <c r="M274" s="2706">
        <f>L274-K274+L275</f>
        <v>-3200</v>
      </c>
      <c r="N274" s="2704">
        <f>((L274:L275/K274)-1)*100</f>
        <v>-100</v>
      </c>
      <c r="O274" s="2345">
        <f>K274</f>
        <v>3200</v>
      </c>
      <c r="P274" s="1574"/>
      <c r="Q274" s="2368">
        <f>P274-O274+P275</f>
        <v>-3200</v>
      </c>
      <c r="R274" s="2369">
        <f>((P274:P275/O274)-1)*100</f>
        <v>-100</v>
      </c>
      <c r="S274" s="2345">
        <f>O274</f>
        <v>3200</v>
      </c>
      <c r="T274" s="1574"/>
      <c r="U274" s="2368">
        <f>T274-S274+T275</f>
        <v>-3200</v>
      </c>
      <c r="V274" s="2369">
        <f>((T274:T275/S274)-1)*100</f>
        <v>-100</v>
      </c>
      <c r="W274" s="2345">
        <f>S274</f>
        <v>3200</v>
      </c>
      <c r="X274" s="1574"/>
      <c r="Y274" s="2368">
        <f>X274-W274+X275</f>
        <v>-3200</v>
      </c>
      <c r="Z274" s="2369">
        <f>((X274:X275/W274)-1)*100</f>
        <v>-100</v>
      </c>
      <c r="AA274" s="2345">
        <f>W274</f>
        <v>3200</v>
      </c>
      <c r="AB274" s="1574"/>
      <c r="AC274" s="2368">
        <f>AB274-AA274+AB275</f>
        <v>-3200</v>
      </c>
      <c r="AD274" s="2369">
        <f>((AB274:AB275/AA274)-1)*100</f>
        <v>-100</v>
      </c>
      <c r="AE274" s="2345">
        <f>AA274</f>
        <v>3200</v>
      </c>
      <c r="AF274" s="1574"/>
      <c r="AG274" s="2368">
        <f>AF274-AE274+AF275</f>
        <v>-3200</v>
      </c>
      <c r="AH274" s="2369">
        <f>((AF274:AF275/AE274)-1)*100</f>
        <v>-100</v>
      </c>
      <c r="AI274" s="2345">
        <f>AE274</f>
        <v>3200</v>
      </c>
      <c r="AJ274" s="1574"/>
      <c r="AK274" s="2368">
        <f>AJ274-AI274+AJ275</f>
        <v>-3200</v>
      </c>
      <c r="AL274" s="2369">
        <f>((AJ274:AJ275/AI274)-1)*100</f>
        <v>-100</v>
      </c>
      <c r="AM274" s="2345">
        <f>AI274</f>
        <v>3200</v>
      </c>
      <c r="AN274" s="1574"/>
      <c r="AO274" s="2368">
        <f>AN274-AM274+AN275</f>
        <v>-3200</v>
      </c>
      <c r="AP274" s="2369">
        <f>((AN274:AN275/AM274)-1)*100</f>
        <v>-100</v>
      </c>
      <c r="AQ274" s="2345">
        <f>AM274</f>
        <v>3200</v>
      </c>
      <c r="AR274" s="1574"/>
      <c r="AS274" s="2368">
        <f>AR274-AQ274+AR275</f>
        <v>-3200</v>
      </c>
      <c r="AT274" s="2369">
        <f>((AR274:AR275/AQ274)-1)*100</f>
        <v>-100</v>
      </c>
      <c r="AU274" s="2345">
        <f>AQ274</f>
        <v>3200</v>
      </c>
      <c r="AV274" s="1574"/>
      <c r="AW274" s="2368">
        <f>AV274-AU274+AV275</f>
        <v>-3200</v>
      </c>
      <c r="AX274" s="2369">
        <f>((AV274:AV275/AU274)-1)*100</f>
        <v>-100</v>
      </c>
      <c r="AY274" s="2371">
        <f>C274+G274+K274+O274+S274+W274+AA274+AE274+AI274+AM274+AQ274+AU274</f>
        <v>38400</v>
      </c>
      <c r="AZ274" s="1632">
        <f>D274+H274+L274+P274+T274+X274+AB274+AF274+AJ274+AN274+AR274+AV274</f>
        <v>6729.41</v>
      </c>
      <c r="BA274" s="805"/>
      <c r="BB274" s="1177"/>
    </row>
    <row r="275" spans="1:54" s="1421" customFormat="1" ht="18.75" customHeight="1" thickBot="1" x14ac:dyDescent="0.3">
      <c r="A275" s="178">
        <v>33765</v>
      </c>
      <c r="B275" s="384" t="s">
        <v>3867</v>
      </c>
      <c r="C275" s="2709"/>
      <c r="D275" s="2015">
        <v>400</v>
      </c>
      <c r="E275" s="2707"/>
      <c r="F275" s="2705"/>
      <c r="G275" s="2709"/>
      <c r="H275" s="2177">
        <v>0</v>
      </c>
      <c r="I275" s="2707"/>
      <c r="J275" s="2705"/>
      <c r="K275" s="2709"/>
      <c r="L275" s="1578">
        <f>VLOOKUP(A275,'[2]bALANCETE ORÇAMENTO'!$1:$1048576,7,0)</f>
        <v>0</v>
      </c>
      <c r="M275" s="2707"/>
      <c r="N275" s="2705"/>
      <c r="O275" s="2346"/>
      <c r="P275" s="1578"/>
      <c r="Q275" s="1337"/>
      <c r="R275" s="2370"/>
      <c r="S275" s="2346"/>
      <c r="T275" s="1578"/>
      <c r="U275" s="1337"/>
      <c r="V275" s="2370"/>
      <c r="W275" s="2346"/>
      <c r="X275" s="1578"/>
      <c r="Y275" s="1337"/>
      <c r="Z275" s="2370"/>
      <c r="AA275" s="2346"/>
      <c r="AB275" s="1578"/>
      <c r="AC275" s="1337"/>
      <c r="AD275" s="2370"/>
      <c r="AE275" s="2346"/>
      <c r="AF275" s="1578"/>
      <c r="AG275" s="1337"/>
      <c r="AH275" s="2370"/>
      <c r="AI275" s="2346"/>
      <c r="AJ275" s="1578"/>
      <c r="AK275" s="1337"/>
      <c r="AL275" s="2370"/>
      <c r="AM275" s="2346"/>
      <c r="AN275" s="1578"/>
      <c r="AO275" s="1337"/>
      <c r="AP275" s="2370"/>
      <c r="AQ275" s="2346"/>
      <c r="AR275" s="1578"/>
      <c r="AS275" s="1337"/>
      <c r="AT275" s="2370"/>
      <c r="AU275" s="2346"/>
      <c r="AV275" s="1578"/>
      <c r="AW275" s="1337"/>
      <c r="AX275" s="2370"/>
      <c r="AY275" s="1221"/>
      <c r="AZ275" s="1562">
        <f>D275+H275+L275+P275+T275+X275+AB275+AF275+AJ275+AN275+AR275+AV275</f>
        <v>400</v>
      </c>
      <c r="BA275" s="805"/>
      <c r="BB275" s="1177"/>
    </row>
    <row r="276" spans="1:54" s="1421" customFormat="1" ht="18.75" customHeight="1" thickBot="1" x14ac:dyDescent="0.3">
      <c r="A276" s="2578">
        <v>12878</v>
      </c>
      <c r="B276" s="113" t="s">
        <v>194</v>
      </c>
      <c r="C276" s="2465">
        <v>1000</v>
      </c>
      <c r="D276" s="2470">
        <v>782</v>
      </c>
      <c r="E276" s="2463">
        <f>D276-C276</f>
        <v>-218</v>
      </c>
      <c r="F276" s="2187">
        <f>((D276/C276)-1)*100</f>
        <v>-21.799999999999997</v>
      </c>
      <c r="G276" s="2465">
        <v>1000</v>
      </c>
      <c r="H276" s="1570">
        <v>338.84</v>
      </c>
      <c r="I276" s="2463">
        <f>H276-G276</f>
        <v>-661.16000000000008</v>
      </c>
      <c r="J276" s="2187">
        <f>((H276/G276)-1)*100</f>
        <v>-66.116</v>
      </c>
      <c r="K276" s="2465">
        <f>G276</f>
        <v>1000</v>
      </c>
      <c r="L276" s="2463">
        <f>VLOOKUP(A276,'[2]bALANCETE ORÇAMENTO'!$1:$1048576,7,0)</f>
        <v>800.7</v>
      </c>
      <c r="M276" s="2463">
        <f>L276-K276</f>
        <v>-199.29999999999995</v>
      </c>
      <c r="N276" s="2466">
        <f>((L276/K276)-1)*100</f>
        <v>-19.929999999999993</v>
      </c>
      <c r="O276" s="2465">
        <f>K276</f>
        <v>1000</v>
      </c>
      <c r="P276" s="2463"/>
      <c r="Q276" s="2463">
        <f>P276-O276</f>
        <v>-1000</v>
      </c>
      <c r="R276" s="2187">
        <f>((P276/O276)-1)*100</f>
        <v>-100</v>
      </c>
      <c r="S276" s="2465">
        <f>O276</f>
        <v>1000</v>
      </c>
      <c r="T276" s="2463"/>
      <c r="U276" s="2463">
        <f>T276-S276</f>
        <v>-1000</v>
      </c>
      <c r="V276" s="2187">
        <f>((T276/S276)-1)*100</f>
        <v>-100</v>
      </c>
      <c r="W276" s="2465">
        <f>S276</f>
        <v>1000</v>
      </c>
      <c r="X276" s="2463"/>
      <c r="Y276" s="2463">
        <f>X276-W276</f>
        <v>-1000</v>
      </c>
      <c r="Z276" s="2187">
        <f>((X276/W276)-1)*100</f>
        <v>-100</v>
      </c>
      <c r="AA276" s="2465">
        <f>W276</f>
        <v>1000</v>
      </c>
      <c r="AB276" s="2463"/>
      <c r="AC276" s="2463">
        <f>AB276-AA276</f>
        <v>-1000</v>
      </c>
      <c r="AD276" s="2187">
        <f>((AB276/AA276)-1)*100</f>
        <v>-100</v>
      </c>
      <c r="AE276" s="2465">
        <f>AA276</f>
        <v>1000</v>
      </c>
      <c r="AF276" s="2463"/>
      <c r="AG276" s="2463">
        <f>AF276-AE276</f>
        <v>-1000</v>
      </c>
      <c r="AH276" s="2187">
        <f>((AF276/AE276)-1)*100</f>
        <v>-100</v>
      </c>
      <c r="AI276" s="2465">
        <f>AE276</f>
        <v>1000</v>
      </c>
      <c r="AJ276" s="2463"/>
      <c r="AK276" s="2463">
        <f>AJ276-AI276</f>
        <v>-1000</v>
      </c>
      <c r="AL276" s="2187">
        <f>((AJ276/AI276)-1)*100</f>
        <v>-100</v>
      </c>
      <c r="AM276" s="2465">
        <f>AI276</f>
        <v>1000</v>
      </c>
      <c r="AN276" s="2463"/>
      <c r="AO276" s="2463">
        <f>AN276-AM276</f>
        <v>-1000</v>
      </c>
      <c r="AP276" s="2187">
        <f>((AN276/AM276)-1)*100</f>
        <v>-100</v>
      </c>
      <c r="AQ276" s="2465">
        <f>AM276</f>
        <v>1000</v>
      </c>
      <c r="AR276" s="2463"/>
      <c r="AS276" s="2463">
        <f>AR276-AQ276</f>
        <v>-1000</v>
      </c>
      <c r="AT276" s="2187">
        <f>((AR276/AQ276)-1)*100</f>
        <v>-100</v>
      </c>
      <c r="AU276" s="2465">
        <f>AQ276</f>
        <v>1000</v>
      </c>
      <c r="AV276" s="2463"/>
      <c r="AW276" s="2463">
        <f>AV276-AU276</f>
        <v>-1000</v>
      </c>
      <c r="AX276" s="2464">
        <f>((AV276/AU276)-1)*100</f>
        <v>-100</v>
      </c>
      <c r="AY276" s="2466">
        <f>C276+G276+K276+O276+S276+W276+AA276+AE276+AI276+AM276+AQ276+AU276</f>
        <v>12000</v>
      </c>
      <c r="AZ276" s="1976">
        <f>D276+H276+L276+P276+T276+X276+AB276+AF276+AJ276+AN276+AR276+AV276</f>
        <v>1921.54</v>
      </c>
      <c r="BA276" s="805"/>
      <c r="BB276" s="1178"/>
    </row>
    <row r="277" spans="1:54" s="1421" customFormat="1" ht="18.75" customHeight="1" x14ac:dyDescent="0.25">
      <c r="A277" s="2529">
        <v>33003</v>
      </c>
      <c r="B277" s="331" t="s">
        <v>3876</v>
      </c>
      <c r="C277" s="2455"/>
      <c r="D277" s="2013">
        <v>1624.85</v>
      </c>
      <c r="E277" s="1580"/>
      <c r="F277" s="1615"/>
      <c r="G277" s="2455"/>
      <c r="H277" s="1608">
        <v>5619.93</v>
      </c>
      <c r="I277" s="1574"/>
      <c r="J277" s="1615"/>
      <c r="K277" s="2455"/>
      <c r="L277" s="1574">
        <v>4513.28</v>
      </c>
      <c r="M277" s="1574"/>
      <c r="N277" s="1615"/>
      <c r="O277" s="2455"/>
      <c r="P277" s="1574"/>
      <c r="Q277" s="1574"/>
      <c r="R277" s="1615"/>
      <c r="S277" s="2455"/>
      <c r="T277" s="1574"/>
      <c r="U277" s="1574"/>
      <c r="V277" s="1615"/>
      <c r="W277" s="2455"/>
      <c r="X277" s="2532"/>
      <c r="Y277" s="1574"/>
      <c r="Z277" s="1615"/>
      <c r="AA277" s="2455"/>
      <c r="AB277" s="1574"/>
      <c r="AC277" s="2532"/>
      <c r="AD277" s="1575"/>
      <c r="AE277" s="2455"/>
      <c r="AF277" s="1574"/>
      <c r="AG277" s="1574"/>
      <c r="AH277" s="1615"/>
      <c r="AI277" s="2455"/>
      <c r="AJ277" s="2532"/>
      <c r="AK277" s="1574"/>
      <c r="AL277" s="1615"/>
      <c r="AM277" s="2455"/>
      <c r="AN277" s="1574"/>
      <c r="AO277" s="1574"/>
      <c r="AP277" s="1615"/>
      <c r="AQ277" s="2455"/>
      <c r="AR277" s="1574"/>
      <c r="AS277" s="1574"/>
      <c r="AT277" s="1615"/>
      <c r="AU277" s="2455"/>
      <c r="AV277" s="1574"/>
      <c r="AW277" s="1574"/>
      <c r="AX277" s="1615"/>
      <c r="AY277" s="2592"/>
      <c r="AZ277" s="2080"/>
      <c r="BA277" s="805"/>
      <c r="BB277" s="1178"/>
    </row>
    <row r="278" spans="1:54" s="1421" customFormat="1" ht="18.75" customHeight="1" x14ac:dyDescent="0.25">
      <c r="A278" s="2601">
        <v>33005</v>
      </c>
      <c r="B278" s="383" t="s">
        <v>3877</v>
      </c>
      <c r="C278" s="2456"/>
      <c r="D278" s="2014">
        <v>23140.65</v>
      </c>
      <c r="E278" s="1581"/>
      <c r="F278" s="1236"/>
      <c r="G278" s="2456"/>
      <c r="H278" s="1611">
        <v>41886.559999999998</v>
      </c>
      <c r="I278" s="1576"/>
      <c r="J278" s="1236"/>
      <c r="K278" s="2456"/>
      <c r="L278" s="1576">
        <v>39526.629999999997</v>
      </c>
      <c r="M278" s="1576"/>
      <c r="N278" s="1236"/>
      <c r="O278" s="2456"/>
      <c r="P278" s="1576"/>
      <c r="Q278" s="1576"/>
      <c r="R278" s="1236"/>
      <c r="S278" s="2456"/>
      <c r="T278" s="1576"/>
      <c r="U278" s="1576"/>
      <c r="V278" s="1236"/>
      <c r="W278" s="2456"/>
      <c r="X278" s="1576"/>
      <c r="Y278" s="1576"/>
      <c r="Z278" s="1236"/>
      <c r="AA278" s="2456"/>
      <c r="AB278" s="1576"/>
      <c r="AC278" s="1576"/>
      <c r="AD278" s="1236"/>
      <c r="AE278" s="2456"/>
      <c r="AF278" s="1576"/>
      <c r="AG278" s="1576"/>
      <c r="AH278" s="1236"/>
      <c r="AI278" s="2456"/>
      <c r="AJ278" s="1576"/>
      <c r="AK278" s="1576"/>
      <c r="AL278" s="1236"/>
      <c r="AM278" s="2456"/>
      <c r="AN278" s="1576"/>
      <c r="AO278" s="1576"/>
      <c r="AP278" s="1236"/>
      <c r="AQ278" s="2456"/>
      <c r="AR278" s="1576"/>
      <c r="AS278" s="1576"/>
      <c r="AT278" s="1236"/>
      <c r="AU278" s="2456"/>
      <c r="AV278" s="1576"/>
      <c r="AW278" s="1576"/>
      <c r="AX278" s="1236"/>
      <c r="AY278" s="1658"/>
      <c r="AZ278" s="1613"/>
      <c r="BA278" s="805"/>
      <c r="BB278" s="1178"/>
    </row>
    <row r="279" spans="1:54" s="1421" customFormat="1" ht="18.75" customHeight="1" x14ac:dyDescent="0.25">
      <c r="A279" s="2594">
        <v>12284</v>
      </c>
      <c r="B279" s="1424" t="s">
        <v>3918</v>
      </c>
      <c r="C279" s="2456"/>
      <c r="D279" s="2014">
        <v>252</v>
      </c>
      <c r="E279" s="1581"/>
      <c r="F279" s="1236"/>
      <c r="G279" s="2456"/>
      <c r="H279" s="1611">
        <v>458.02</v>
      </c>
      <c r="I279" s="1576"/>
      <c r="J279" s="1236"/>
      <c r="K279" s="2456"/>
      <c r="L279" s="2603">
        <v>0</v>
      </c>
      <c r="M279" s="1576"/>
      <c r="N279" s="1236"/>
      <c r="O279" s="2456"/>
      <c r="P279" s="1576"/>
      <c r="Q279" s="1576"/>
      <c r="R279" s="1236"/>
      <c r="S279" s="2456"/>
      <c r="T279" s="1576"/>
      <c r="U279" s="1576"/>
      <c r="V279" s="1236"/>
      <c r="W279" s="2456"/>
      <c r="X279" s="1576"/>
      <c r="Y279" s="1576"/>
      <c r="Z279" s="1236"/>
      <c r="AA279" s="2456"/>
      <c r="AB279" s="1576"/>
      <c r="AC279" s="1576"/>
      <c r="AD279" s="1236"/>
      <c r="AE279" s="2456"/>
      <c r="AF279" s="1576"/>
      <c r="AG279" s="1576"/>
      <c r="AH279" s="1236"/>
      <c r="AI279" s="2456"/>
      <c r="AJ279" s="1576"/>
      <c r="AK279" s="1576"/>
      <c r="AL279" s="1236"/>
      <c r="AM279" s="2456"/>
      <c r="AN279" s="1576"/>
      <c r="AO279" s="1576"/>
      <c r="AP279" s="1236"/>
      <c r="AQ279" s="2456"/>
      <c r="AR279" s="1576"/>
      <c r="AS279" s="1576"/>
      <c r="AT279" s="1236"/>
      <c r="AU279" s="2456"/>
      <c r="AV279" s="1576"/>
      <c r="AW279" s="1576"/>
      <c r="AX279" s="1236"/>
      <c r="AY279" s="2062"/>
      <c r="AZ279" s="1616"/>
      <c r="BA279" s="805"/>
      <c r="BB279" s="1178"/>
    </row>
    <row r="280" spans="1:54" s="1421" customFormat="1" ht="18.75" customHeight="1" thickBot="1" x14ac:dyDescent="0.3">
      <c r="A280" s="2595">
        <v>51761</v>
      </c>
      <c r="B280" s="385" t="s">
        <v>3837</v>
      </c>
      <c r="C280" s="2449"/>
      <c r="D280" s="2027">
        <v>7928</v>
      </c>
      <c r="E280" s="2602"/>
      <c r="F280" s="2469"/>
      <c r="G280" s="2449"/>
      <c r="H280" s="2452">
        <v>8176</v>
      </c>
      <c r="I280" s="2450"/>
      <c r="J280" s="2469"/>
      <c r="K280" s="2449"/>
      <c r="L280" s="2450">
        <v>9302</v>
      </c>
      <c r="M280" s="2450"/>
      <c r="N280" s="2469"/>
      <c r="O280" s="2449"/>
      <c r="P280" s="2450"/>
      <c r="Q280" s="2450"/>
      <c r="R280" s="2469"/>
      <c r="S280" s="2449"/>
      <c r="T280" s="2450"/>
      <c r="U280" s="2450"/>
      <c r="V280" s="2469"/>
      <c r="W280" s="2449"/>
      <c r="X280" s="2450"/>
      <c r="Y280" s="2450"/>
      <c r="Z280" s="2469"/>
      <c r="AA280" s="2449"/>
      <c r="AB280" s="2450"/>
      <c r="AC280" s="2450"/>
      <c r="AD280" s="2469"/>
      <c r="AE280" s="2449"/>
      <c r="AF280" s="2450"/>
      <c r="AG280" s="2450"/>
      <c r="AH280" s="2469"/>
      <c r="AI280" s="2449"/>
      <c r="AJ280" s="2450"/>
      <c r="AK280" s="2450"/>
      <c r="AL280" s="2469"/>
      <c r="AM280" s="2449"/>
      <c r="AN280" s="2450"/>
      <c r="AO280" s="2450"/>
      <c r="AP280" s="2469"/>
      <c r="AQ280" s="2449"/>
      <c r="AR280" s="2450"/>
      <c r="AS280" s="2450"/>
      <c r="AT280" s="2469"/>
      <c r="AU280" s="2449"/>
      <c r="AV280" s="2450"/>
      <c r="AW280" s="2450"/>
      <c r="AX280" s="2469"/>
      <c r="AY280" s="2469"/>
      <c r="AZ280" s="2590"/>
      <c r="BA280" s="2600"/>
      <c r="BB280" s="1178"/>
    </row>
    <row r="281" spans="1:54" ht="18.75" customHeight="1" thickBot="1" x14ac:dyDescent="0.3">
      <c r="C281" s="1995"/>
      <c r="D281" s="2033"/>
      <c r="E281" s="1995"/>
      <c r="F281" s="1995"/>
      <c r="G281" s="1999"/>
      <c r="H281" s="1996"/>
      <c r="I281" s="1995"/>
      <c r="J281" s="1995"/>
      <c r="K281" s="1995"/>
      <c r="L281" s="1995"/>
      <c r="M281" s="1995"/>
      <c r="N281" s="1995"/>
      <c r="O281" s="1999"/>
      <c r="P281" s="1995"/>
      <c r="Q281" s="1995"/>
      <c r="R281" s="1995"/>
      <c r="S281" s="1999"/>
      <c r="T281" s="1995"/>
      <c r="U281" s="1995"/>
      <c r="V281" s="1995"/>
      <c r="W281" s="1999"/>
      <c r="X281" s="1995"/>
      <c r="Y281" s="1995"/>
      <c r="Z281" s="1995"/>
      <c r="AA281" s="1999"/>
      <c r="AB281" s="1995"/>
      <c r="AC281" s="1995"/>
      <c r="AD281" s="1995"/>
      <c r="AE281" s="1999"/>
      <c r="AF281" s="1995"/>
      <c r="AG281" s="1995"/>
      <c r="AH281" s="1995"/>
      <c r="AI281" s="1999"/>
      <c r="AJ281" s="1995"/>
      <c r="AK281" s="1995"/>
      <c r="AL281" s="1995"/>
      <c r="AM281" s="1999"/>
      <c r="AN281" s="1995"/>
      <c r="AO281" s="1995"/>
      <c r="AP281" s="1995"/>
      <c r="AQ281" s="1999"/>
      <c r="AR281" s="1995"/>
      <c r="AS281" s="1995"/>
      <c r="AT281" s="1995"/>
      <c r="AU281" s="1999"/>
      <c r="AV281" s="1995"/>
      <c r="AW281" s="1995"/>
      <c r="AX281" s="1995"/>
      <c r="AY281" s="2000"/>
      <c r="AZ281" s="2000"/>
    </row>
    <row r="282" spans="1:54" ht="18.75" customHeight="1" thickBot="1" x14ac:dyDescent="0.3">
      <c r="A282" s="2564"/>
      <c r="B282" s="2565" t="s">
        <v>3914</v>
      </c>
      <c r="C282" s="2566">
        <f>SUM(C283:C285)</f>
        <v>7600</v>
      </c>
      <c r="D282" s="2571">
        <f>SUM(D283:D285)</f>
        <v>4974.82</v>
      </c>
      <c r="E282" s="2567">
        <f>D282-C282</f>
        <v>-2625.1800000000003</v>
      </c>
      <c r="F282" s="2568">
        <f>((D282/C282)-1)*100</f>
        <v>-34.541842105263164</v>
      </c>
      <c r="G282" s="2577">
        <f>SUM(G283:G285)</f>
        <v>7600</v>
      </c>
      <c r="H282" s="2566">
        <f>SUM(H283:H285)</f>
        <v>5229.0600000000004</v>
      </c>
      <c r="I282" s="2573">
        <f>H282-G282</f>
        <v>-2370.9399999999996</v>
      </c>
      <c r="J282" s="2568">
        <f>((H282/G282)-1)*100</f>
        <v>-31.196578947368415</v>
      </c>
      <c r="K282" s="2574">
        <f>SUM(K283:K285)</f>
        <v>7600</v>
      </c>
      <c r="L282" s="2567">
        <f>SUM(L283:L285)</f>
        <v>4613.54</v>
      </c>
      <c r="M282" s="2566">
        <f>((L282/K282)-1)*100</f>
        <v>-39.295526315789473</v>
      </c>
      <c r="N282" s="2568"/>
      <c r="O282" s="2577">
        <f>SUM(O283:O285)</f>
        <v>7600</v>
      </c>
      <c r="P282" s="2566">
        <f>SUM(P283:P285)</f>
        <v>0</v>
      </c>
      <c r="Q282" s="2567"/>
      <c r="R282" s="2566"/>
      <c r="S282" s="2572"/>
      <c r="T282" s="2567"/>
      <c r="U282" s="2566"/>
      <c r="V282" s="2568"/>
      <c r="W282" s="2569"/>
      <c r="X282" s="2567"/>
      <c r="Y282" s="2566"/>
      <c r="Z282" s="2568"/>
      <c r="AA282" s="2575"/>
      <c r="AB282" s="2566"/>
      <c r="AC282" s="2573"/>
      <c r="AD282" s="2573"/>
      <c r="AE282" s="2572"/>
      <c r="AF282" s="2566"/>
      <c r="AG282" s="2567"/>
      <c r="AH282" s="2566"/>
      <c r="AI282" s="2572"/>
      <c r="AJ282" s="2573"/>
      <c r="AK282" s="2573"/>
      <c r="AL282" s="2568"/>
      <c r="AM282" s="2569"/>
      <c r="AN282" s="2573"/>
      <c r="AO282" s="2573"/>
      <c r="AP282" s="2573"/>
      <c r="AQ282" s="2572"/>
      <c r="AR282" s="2566"/>
      <c r="AS282" s="2573"/>
      <c r="AT282" s="2568"/>
      <c r="AU282" s="2575"/>
      <c r="AV282" s="2566"/>
      <c r="AW282" s="2573"/>
      <c r="AX282" s="2568"/>
      <c r="AY282" s="2570"/>
      <c r="AZ282" s="2576"/>
    </row>
    <row r="283" spans="1:54" s="1421" customFormat="1" ht="18.75" customHeight="1" x14ac:dyDescent="0.25">
      <c r="A283" s="366">
        <v>11623</v>
      </c>
      <c r="B283" s="1540" t="s">
        <v>3865</v>
      </c>
      <c r="C283" s="2481">
        <v>4600</v>
      </c>
      <c r="D283" s="2021">
        <v>475.2</v>
      </c>
      <c r="E283" s="1642">
        <f>D283-C283</f>
        <v>-4124.8</v>
      </c>
      <c r="F283" s="2491">
        <f>((D283/C283)-1)*100</f>
        <v>-89.669565217391295</v>
      </c>
      <c r="G283" s="2481">
        <f>C283</f>
        <v>4600</v>
      </c>
      <c r="H283" s="2075">
        <f>VLOOKUP(A283,'[1]r_balancete_sc 02-2022'!$1:$1048576,9,0)</f>
        <v>2180.5500000000002</v>
      </c>
      <c r="I283" s="1642">
        <f>H283-G283</f>
        <v>-2419.4499999999998</v>
      </c>
      <c r="J283" s="2432">
        <f>((H283/G283)-1)*100</f>
        <v>-52.596739130434777</v>
      </c>
      <c r="K283" s="2481">
        <f>G283</f>
        <v>4600</v>
      </c>
      <c r="L283" s="1642">
        <f>VLOOKUP(A283,'[2]bALANCETE ORÇAMENTO'!$1:$1048576,7,0)</f>
        <v>475.2</v>
      </c>
      <c r="M283" s="1642">
        <f>((L283/K283)-1)*100</f>
        <v>-89.669565217391295</v>
      </c>
      <c r="N283" s="2432"/>
      <c r="O283" s="2481">
        <f>K283</f>
        <v>4600</v>
      </c>
      <c r="P283" s="2431"/>
      <c r="Q283" s="2431"/>
      <c r="R283" s="2432"/>
      <c r="S283" s="2484">
        <v>4830</v>
      </c>
      <c r="T283" s="2431"/>
      <c r="U283" s="2431"/>
      <c r="V283" s="2432"/>
      <c r="W283" s="2481">
        <f>S283</f>
        <v>4830</v>
      </c>
      <c r="X283" s="1642"/>
      <c r="Y283" s="1642"/>
      <c r="Z283" s="2432"/>
      <c r="AA283" s="2481">
        <f>W283</f>
        <v>4830</v>
      </c>
      <c r="AB283" s="1642"/>
      <c r="AC283" s="2431"/>
      <c r="AD283" s="2432"/>
      <c r="AE283" s="2481">
        <f>AA283</f>
        <v>4830</v>
      </c>
      <c r="AF283" s="2431"/>
      <c r="AG283" s="2431"/>
      <c r="AH283" s="2432"/>
      <c r="AI283" s="2481">
        <f>AE283</f>
        <v>4830</v>
      </c>
      <c r="AJ283" s="2431"/>
      <c r="AK283" s="2431"/>
      <c r="AL283" s="2432"/>
      <c r="AM283" s="2481">
        <f>AI283</f>
        <v>4830</v>
      </c>
      <c r="AN283" s="2431"/>
      <c r="AO283" s="1642"/>
      <c r="AP283" s="2432"/>
      <c r="AQ283" s="2481">
        <f>AM283</f>
        <v>4830</v>
      </c>
      <c r="AR283" s="2431"/>
      <c r="AS283" s="1642"/>
      <c r="AT283" s="2491"/>
      <c r="AU283" s="2481">
        <f>AQ283</f>
        <v>4830</v>
      </c>
      <c r="AV283" s="2431"/>
      <c r="AW283" s="1642"/>
      <c r="AX283" s="2432"/>
      <c r="AY283" s="1192">
        <f>C283+G283+K283+O283+S283+W283+AA283+AE283+AI283+AM283+AQ283+AU283</f>
        <v>57040</v>
      </c>
      <c r="AZ283" s="1561">
        <f>D283+H283+L283+P283+T283+X283+AB283+AF283+AJ283+AN283+AR283+AV283</f>
        <v>3130.95</v>
      </c>
      <c r="BB283" s="12"/>
    </row>
    <row r="284" spans="1:54" s="1421" customFormat="1" ht="18.75" customHeight="1" x14ac:dyDescent="0.25">
      <c r="A284" s="1123">
        <v>11715</v>
      </c>
      <c r="B284" s="1424" t="s">
        <v>3849</v>
      </c>
      <c r="C284" s="2789">
        <v>3000</v>
      </c>
      <c r="D284" s="2019">
        <v>4360.21</v>
      </c>
      <c r="E284" s="2719">
        <f>SUM(D284:D285)-C284</f>
        <v>1499.62</v>
      </c>
      <c r="F284" s="2720">
        <f>((SUM(D284:D285)/C284)-1)*100</f>
        <v>49.987333333333339</v>
      </c>
      <c r="G284" s="2789">
        <f>C284</f>
        <v>3000</v>
      </c>
      <c r="H284" s="1611">
        <f>VLOOKUP(A284,'[1]r_balancete_sc 02-2022'!$1:$1048576,9,0)</f>
        <v>2950.41</v>
      </c>
      <c r="I284" s="2719">
        <f>SUM(H284:H285)-G284</f>
        <v>48.509999999999764</v>
      </c>
      <c r="J284" s="2791">
        <f>((SUM(H284:H285)/G284)-1)*100</f>
        <v>1.6170000000000018</v>
      </c>
      <c r="K284" s="2789">
        <f>G284</f>
        <v>3000</v>
      </c>
      <c r="L284" s="1638">
        <f>VLOOKUP(A284,'[2]bALANCETE ORÇAMENTO'!$1:$1048576,7,0)</f>
        <v>3957.52</v>
      </c>
      <c r="M284" s="2719">
        <f>SUM(L284:L285)-K284</f>
        <v>1138.3400000000001</v>
      </c>
      <c r="N284" s="2791">
        <f>((SUM(L284:L285)/K284)-1)*100</f>
        <v>37.94466666666667</v>
      </c>
      <c r="O284" s="2789">
        <f>K284</f>
        <v>3000</v>
      </c>
      <c r="P284" s="1948"/>
      <c r="Q284" s="2790">
        <f>SUM(P284:P285)-O284</f>
        <v>-3000</v>
      </c>
      <c r="R284" s="2791">
        <f>((SUM(P284:P285)/O284)-1)*100</f>
        <v>-100</v>
      </c>
      <c r="S284" s="2718">
        <v>3045</v>
      </c>
      <c r="T284" s="1948"/>
      <c r="U284" s="2790">
        <f>SUM(T284:T285)-S284</f>
        <v>-3045</v>
      </c>
      <c r="V284" s="2791">
        <f>((SUM(T284:T285)/S284)-1)*100</f>
        <v>-100</v>
      </c>
      <c r="W284" s="2789">
        <f>S284</f>
        <v>3045</v>
      </c>
      <c r="X284" s="1638"/>
      <c r="Y284" s="2719">
        <f>SUM(X284:X285)-W284</f>
        <v>-3045</v>
      </c>
      <c r="Z284" s="2791">
        <f>((SUM(X284:X285)/W284)-1)*100</f>
        <v>-100</v>
      </c>
      <c r="AA284" s="2789">
        <f>W284</f>
        <v>3045</v>
      </c>
      <c r="AB284" s="1638"/>
      <c r="AC284" s="2790">
        <f>SUM(AB284:AB285)-AA284</f>
        <v>-3045</v>
      </c>
      <c r="AD284" s="2791">
        <f>((SUM(AB284:AB285)/AA284)-1)*100</f>
        <v>-100</v>
      </c>
      <c r="AE284" s="2789">
        <f>AA284</f>
        <v>3045</v>
      </c>
      <c r="AF284" s="1948"/>
      <c r="AG284" s="2790">
        <f>SUM(AF284:AF285)-AE284</f>
        <v>-3045</v>
      </c>
      <c r="AH284" s="2791">
        <f>((SUM(AF284:AF285)/AE284)-1)*100</f>
        <v>-100</v>
      </c>
      <c r="AI284" s="2789">
        <f>AE284</f>
        <v>3045</v>
      </c>
      <c r="AJ284" s="1948"/>
      <c r="AK284" s="2790">
        <f>SUM(AJ284:AJ285)-AI284</f>
        <v>-3045</v>
      </c>
      <c r="AL284" s="2791">
        <f>((SUM(AJ284:AJ285)/AI284)-1)*100</f>
        <v>-100</v>
      </c>
      <c r="AM284" s="2789">
        <f>AI284</f>
        <v>3045</v>
      </c>
      <c r="AN284" s="1948"/>
      <c r="AO284" s="2719">
        <f>SUM(AN284:AN285)-AM284</f>
        <v>-3045</v>
      </c>
      <c r="AP284" s="2791">
        <f>((SUM(AN284:AN285)/AM284)-1)*100</f>
        <v>-100</v>
      </c>
      <c r="AQ284" s="2789">
        <f>AM284</f>
        <v>3045</v>
      </c>
      <c r="AR284" s="1948"/>
      <c r="AS284" s="2719">
        <f>SUM(AR284:AR285)-AQ284</f>
        <v>-3045</v>
      </c>
      <c r="AT284" s="2720">
        <f>((SUM(AR284:AR285)/AQ284)-1)*100</f>
        <v>-100</v>
      </c>
      <c r="AU284" s="2789">
        <f>AQ284</f>
        <v>3045</v>
      </c>
      <c r="AV284" s="1948"/>
      <c r="AW284" s="2719">
        <f>SUM(AV284:AV285)-AU284</f>
        <v>-3045</v>
      </c>
      <c r="AX284" s="2791">
        <f>((SUM(AV284:AV285)/AU284)-1)*100</f>
        <v>-100</v>
      </c>
      <c r="AY284" s="2722">
        <f>C284+G284+K284+O284+S284+W284+AA284+AE284+AI284+AM284+AQ284+AU284</f>
        <v>36360</v>
      </c>
      <c r="AZ284" s="1632">
        <f>D284+H284+L284+P284+T284+X284+AB284+AF284+AJ284+AN284+AR284+AV284</f>
        <v>11268.14</v>
      </c>
      <c r="BB284" s="12"/>
    </row>
    <row r="285" spans="1:54" s="1421" customFormat="1" ht="18.75" customHeight="1" thickBot="1" x14ac:dyDescent="0.3">
      <c r="A285" s="178">
        <v>11422</v>
      </c>
      <c r="B285" s="1544" t="s">
        <v>39</v>
      </c>
      <c r="C285" s="2713"/>
      <c r="D285" s="2022">
        <v>139.41</v>
      </c>
      <c r="E285" s="2715"/>
      <c r="F285" s="2717"/>
      <c r="G285" s="2713"/>
      <c r="H285" s="1669">
        <f>VLOOKUP(A285,'[1]r_balancete_sc 02-2022'!$1:$1048576,9,0)</f>
        <v>98.1</v>
      </c>
      <c r="I285" s="2715"/>
      <c r="J285" s="2717"/>
      <c r="K285" s="2713"/>
      <c r="L285" s="2053">
        <f>VLOOKUP(A285,'[2]bALANCETE ORÇAMENTO'!$1:$1048576,7,0)</f>
        <v>180.82</v>
      </c>
      <c r="M285" s="2715"/>
      <c r="N285" s="2717"/>
      <c r="O285" s="2713"/>
      <c r="P285" s="2053"/>
      <c r="Q285" s="2715"/>
      <c r="R285" s="2717"/>
      <c r="S285" s="2713"/>
      <c r="T285" s="2053"/>
      <c r="U285" s="2715"/>
      <c r="V285" s="2717"/>
      <c r="W285" s="2713"/>
      <c r="X285" s="2053"/>
      <c r="Y285" s="2715"/>
      <c r="Z285" s="2717"/>
      <c r="AA285" s="2713"/>
      <c r="AB285" s="2053"/>
      <c r="AC285" s="2715"/>
      <c r="AD285" s="2717"/>
      <c r="AE285" s="2713"/>
      <c r="AF285" s="2053"/>
      <c r="AG285" s="2715"/>
      <c r="AH285" s="2717"/>
      <c r="AI285" s="2713"/>
      <c r="AJ285" s="2053"/>
      <c r="AK285" s="2715"/>
      <c r="AL285" s="2717"/>
      <c r="AM285" s="2713"/>
      <c r="AN285" s="2053"/>
      <c r="AO285" s="2715"/>
      <c r="AP285" s="2717"/>
      <c r="AQ285" s="2713"/>
      <c r="AR285" s="2053"/>
      <c r="AS285" s="2715"/>
      <c r="AT285" s="2717"/>
      <c r="AU285" s="2713"/>
      <c r="AV285" s="2053"/>
      <c r="AW285" s="2715"/>
      <c r="AX285" s="2717"/>
      <c r="AY285" s="2723"/>
      <c r="AZ285" s="1562">
        <f>D285+H285+L285+P285+T285+X285+AB285+AF285+AJ285+AN285+AR285+AV285</f>
        <v>418.33</v>
      </c>
      <c r="BB285" s="12"/>
    </row>
    <row r="286" spans="1:54" ht="18.75" customHeight="1" x14ac:dyDescent="0.25">
      <c r="C286" s="1995"/>
      <c r="D286" s="2033"/>
      <c r="E286" s="1995"/>
      <c r="F286" s="1995"/>
      <c r="G286" s="1999"/>
      <c r="H286" s="1996"/>
      <c r="I286" s="1995"/>
      <c r="J286" s="1995"/>
      <c r="K286" s="1995"/>
      <c r="L286" s="1995"/>
      <c r="M286" s="1995"/>
      <c r="N286" s="1995"/>
      <c r="O286" s="1999"/>
      <c r="P286" s="1995"/>
      <c r="Q286" s="1995"/>
      <c r="R286" s="1995"/>
      <c r="S286" s="1999"/>
      <c r="T286" s="1995"/>
      <c r="U286" s="1995"/>
      <c r="V286" s="1995"/>
      <c r="W286" s="1999"/>
      <c r="X286" s="1995"/>
      <c r="Y286" s="1995"/>
      <c r="Z286" s="1995"/>
      <c r="AA286" s="1999"/>
      <c r="AB286" s="1995"/>
      <c r="AC286" s="1995"/>
      <c r="AD286" s="1995"/>
      <c r="AE286" s="1999"/>
      <c r="AF286" s="1995"/>
      <c r="AG286" s="1995"/>
      <c r="AH286" s="1995"/>
      <c r="AI286" s="1999"/>
      <c r="AJ286" s="1995"/>
      <c r="AK286" s="1995"/>
      <c r="AL286" s="1995"/>
      <c r="AM286" s="1999"/>
      <c r="AN286" s="1995"/>
      <c r="AO286" s="1995"/>
      <c r="AP286" s="1995"/>
      <c r="AQ286" s="1999"/>
      <c r="AR286" s="1995"/>
      <c r="AS286" s="1995"/>
      <c r="AT286" s="1995"/>
      <c r="AU286" s="1999"/>
      <c r="AV286" s="1995"/>
      <c r="AW286" s="1995"/>
      <c r="AX286" s="1995"/>
      <c r="AY286" s="2000"/>
      <c r="AZ286" s="2000"/>
    </row>
    <row r="287" spans="1:54" ht="18.75" customHeight="1" x14ac:dyDescent="0.25">
      <c r="C287" s="1995"/>
      <c r="D287" s="2033"/>
      <c r="E287" s="1995"/>
      <c r="F287" s="1995"/>
      <c r="G287" s="1999"/>
      <c r="H287" s="1996"/>
      <c r="I287" s="1995"/>
      <c r="J287" s="1995"/>
      <c r="K287" s="1995"/>
      <c r="L287" s="1995"/>
      <c r="M287" s="1995"/>
      <c r="N287" s="1995"/>
      <c r="O287" s="1999"/>
      <c r="P287" s="1995"/>
      <c r="Q287" s="1995"/>
      <c r="R287" s="1995"/>
      <c r="S287" s="1999"/>
      <c r="T287" s="1995"/>
      <c r="U287" s="1995"/>
      <c r="V287" s="1995"/>
      <c r="W287" s="1999"/>
      <c r="X287" s="1995"/>
      <c r="Y287" s="1995"/>
      <c r="Z287" s="1995"/>
      <c r="AA287" s="1999"/>
      <c r="AB287" s="1995"/>
      <c r="AC287" s="1995"/>
      <c r="AD287" s="1995"/>
      <c r="AE287" s="1999"/>
      <c r="AF287" s="1995"/>
      <c r="AG287" s="1995"/>
      <c r="AH287" s="1995"/>
      <c r="AI287" s="1999"/>
      <c r="AJ287" s="1995"/>
      <c r="AK287" s="1995"/>
      <c r="AL287" s="1995"/>
      <c r="AM287" s="1999"/>
      <c r="AN287" s="1995"/>
      <c r="AO287" s="1995"/>
      <c r="AP287" s="1995"/>
      <c r="AQ287" s="1999"/>
      <c r="AR287" s="1995"/>
      <c r="AS287" s="1995"/>
      <c r="AT287" s="1995"/>
      <c r="AU287" s="1999"/>
      <c r="AV287" s="1995"/>
      <c r="AW287" s="1995"/>
      <c r="AX287" s="1995"/>
      <c r="AY287" s="2000"/>
      <c r="AZ287" s="2000"/>
    </row>
    <row r="288" spans="1:54" ht="18.75" customHeight="1" thickBot="1" x14ac:dyDescent="0.3">
      <c r="C288" s="1011"/>
      <c r="D288" s="2033"/>
      <c r="E288" s="1995"/>
      <c r="F288" s="1995"/>
      <c r="G288" s="1999"/>
      <c r="H288" s="1996"/>
      <c r="I288" s="1995"/>
      <c r="J288" s="1995"/>
      <c r="K288" s="1995"/>
      <c r="L288" s="1995"/>
      <c r="M288" s="1995"/>
      <c r="N288" s="1995"/>
      <c r="O288" s="1999"/>
      <c r="P288" s="1995"/>
      <c r="Q288" s="1995"/>
      <c r="R288" s="1995"/>
      <c r="S288" s="1999"/>
      <c r="T288" s="1995"/>
      <c r="U288" s="1995"/>
      <c r="V288" s="1995"/>
      <c r="W288" s="1999"/>
      <c r="X288" s="1995"/>
      <c r="Y288" s="1995"/>
      <c r="Z288" s="1995"/>
      <c r="AA288" s="1999"/>
      <c r="AB288" s="1995"/>
      <c r="AC288" s="1995"/>
      <c r="AD288" s="1995"/>
      <c r="AE288" s="1999"/>
      <c r="AF288" s="1995"/>
      <c r="AG288" s="1995"/>
      <c r="AH288" s="1995"/>
      <c r="AI288" s="1999"/>
      <c r="AJ288" s="1995"/>
      <c r="AK288" s="1995"/>
      <c r="AL288" s="1995"/>
      <c r="AM288" s="1999"/>
      <c r="AN288" s="1995"/>
      <c r="AO288" s="1995"/>
      <c r="AP288" s="1995"/>
      <c r="AQ288" s="1999"/>
      <c r="AR288" s="1995"/>
      <c r="AS288" s="1995"/>
      <c r="AT288" s="1995"/>
      <c r="AU288" s="1999"/>
      <c r="AV288" s="1995"/>
      <c r="AW288" s="1995"/>
      <c r="AX288" s="1995"/>
      <c r="AY288" s="2000"/>
      <c r="AZ288" s="2000"/>
    </row>
    <row r="289" spans="1:57" s="8" customFormat="1" ht="18.75" customHeight="1" thickBot="1" x14ac:dyDescent="0.3">
      <c r="A289" s="315"/>
      <c r="B289" s="1256" t="s">
        <v>3774</v>
      </c>
      <c r="C289" s="1265">
        <f>C8-C65</f>
        <v>757224.71379332989</v>
      </c>
      <c r="D289" s="1965">
        <f>D8-D65</f>
        <v>783156.27000000328</v>
      </c>
      <c r="E289" s="1965">
        <f>D289-C289</f>
        <v>25931.556206673384</v>
      </c>
      <c r="F289" s="1965">
        <f>((D289/C289)-1)*100</f>
        <v>3.4245522807580864</v>
      </c>
      <c r="G289" s="1265">
        <f>G8-G65</f>
        <v>541508.49379333109</v>
      </c>
      <c r="H289" s="2116">
        <f>H8-H65</f>
        <v>-1321854.6999999918</v>
      </c>
      <c r="I289" s="1265">
        <f>H289+G289</f>
        <v>-780346.20620666072</v>
      </c>
      <c r="J289" s="1265">
        <f>((H289/G289)-1)*100</f>
        <v>-344.10599559394592</v>
      </c>
      <c r="K289" s="1265">
        <f>K8-K65</f>
        <v>391308.49379333109</v>
      </c>
      <c r="L289" s="1265">
        <f>L8-L65</f>
        <v>1042716.5299999975</v>
      </c>
      <c r="M289" s="1265">
        <f>L289-K289</f>
        <v>651408.03620666638</v>
      </c>
      <c r="N289" s="1265">
        <f>((L289/K289)-1)*100</f>
        <v>166.46917880364396</v>
      </c>
      <c r="O289" s="1265">
        <f>O8-O65</f>
        <v>397896.09674333036</v>
      </c>
      <c r="P289" s="1965">
        <f>P8-P65</f>
        <v>0</v>
      </c>
      <c r="Q289" s="1265">
        <f>P289-O289</f>
        <v>-397896.09674333036</v>
      </c>
      <c r="R289" s="1265">
        <f>((P289/O289)-1)*100</f>
        <v>-100</v>
      </c>
      <c r="S289" s="1265">
        <f>S8-S65</f>
        <v>829157.96428333223</v>
      </c>
      <c r="T289" s="1965">
        <f>T8-T65</f>
        <v>0</v>
      </c>
      <c r="U289" s="1265">
        <f>T289-S289</f>
        <v>-829157.96428333223</v>
      </c>
      <c r="V289" s="1265">
        <f>((T289/S289)-1)*100</f>
        <v>-100</v>
      </c>
      <c r="W289" s="1265">
        <f>W8-W65</f>
        <v>584255.24466333538</v>
      </c>
      <c r="X289" s="1965">
        <f>X8-X65</f>
        <v>0</v>
      </c>
      <c r="Y289" s="1265">
        <f>X289-W289</f>
        <v>-584255.24466333538</v>
      </c>
      <c r="Z289" s="1265">
        <f>((X289/W289)-1)*100</f>
        <v>-100</v>
      </c>
      <c r="AA289" s="1265">
        <f>AA8-AA65</f>
        <v>581731.00252333283</v>
      </c>
      <c r="AB289" s="1965">
        <f>AB8-AB65</f>
        <v>0</v>
      </c>
      <c r="AC289" s="1265">
        <f>AB289-AA289</f>
        <v>-581731.00252333283</v>
      </c>
      <c r="AD289" s="1265">
        <f>((AB289/AA289)-1)*100</f>
        <v>-100</v>
      </c>
      <c r="AE289" s="1265">
        <f>AE8-AE65</f>
        <v>675241.6943433322</v>
      </c>
      <c r="AF289" s="1965">
        <f>AF8-AF65</f>
        <v>0</v>
      </c>
      <c r="AG289" s="1265">
        <f>AF289-AE289</f>
        <v>-675241.6943433322</v>
      </c>
      <c r="AH289" s="1265">
        <f>((AF289/AE289)-1)*100</f>
        <v>-100</v>
      </c>
      <c r="AI289" s="1265">
        <f>AI8-AI65</f>
        <v>705746.28805333376</v>
      </c>
      <c r="AJ289" s="1965">
        <f>AJ8-AJ65</f>
        <v>0</v>
      </c>
      <c r="AK289" s="1265">
        <f>AJ289-AI289</f>
        <v>-705746.28805333376</v>
      </c>
      <c r="AL289" s="1265">
        <f>((AJ289/AI289)-1)*100</f>
        <v>-100</v>
      </c>
      <c r="AM289" s="1265">
        <f>AM8-AM65</f>
        <v>207692.5340533331</v>
      </c>
      <c r="AN289" s="1965">
        <f>AN8-AN65</f>
        <v>0</v>
      </c>
      <c r="AO289" s="1265">
        <f>AN289-AM289</f>
        <v>-207692.5340533331</v>
      </c>
      <c r="AP289" s="1265">
        <f>((AN289/AM289)-1)*100</f>
        <v>-100</v>
      </c>
      <c r="AQ289" s="1265">
        <f>AQ8-AQ65</f>
        <v>320162.30191333219</v>
      </c>
      <c r="AR289" s="1965">
        <f>AR8-AR65</f>
        <v>0</v>
      </c>
      <c r="AS289" s="1265">
        <f>AR289-AQ289</f>
        <v>-320162.30191333219</v>
      </c>
      <c r="AT289" s="1265">
        <f>((AR289/AQ289)-1)*100</f>
        <v>-100</v>
      </c>
      <c r="AU289" s="1265">
        <f>AU8-AU65</f>
        <v>147002.30194333196</v>
      </c>
      <c r="AV289" s="1965">
        <f>AV8-AV65</f>
        <v>0</v>
      </c>
      <c r="AW289" s="1265">
        <f>AV289-AU289</f>
        <v>-147002.30194333196</v>
      </c>
      <c r="AX289" s="1265">
        <f>((AV289/AU289)-1)*100</f>
        <v>-100</v>
      </c>
      <c r="AY289" s="1255">
        <f>C289+G289+K289+O289+S289+W289+AA289+AE289+AI289+AM289+AQ289+AU289</f>
        <v>6138927.1298999861</v>
      </c>
      <c r="AZ289" s="1255">
        <f>D289+H289+L289+P289+T289+X289+AB289+AF289+AJ289+AN289+AR289+AV289</f>
        <v>504018.10000000894</v>
      </c>
      <c r="BA289" s="132"/>
      <c r="BB289" s="195"/>
      <c r="BC289" s="9"/>
      <c r="BE289" s="9"/>
    </row>
    <row r="290" spans="1:57" ht="18.75" customHeight="1" thickBot="1" x14ac:dyDescent="0.3">
      <c r="A290" s="52"/>
      <c r="C290" s="2001"/>
      <c r="D290" s="2036"/>
      <c r="E290" s="2001"/>
      <c r="F290" s="2001"/>
      <c r="G290" s="1999"/>
      <c r="H290" s="2001"/>
      <c r="I290" s="2001"/>
      <c r="J290" s="2001"/>
      <c r="K290" s="1999"/>
      <c r="L290" s="2001"/>
      <c r="M290" s="2001"/>
      <c r="N290" s="2001"/>
      <c r="O290" s="1999"/>
      <c r="P290" s="2001"/>
      <c r="Q290" s="2001"/>
      <c r="R290" s="2001"/>
      <c r="S290" s="1999"/>
      <c r="T290" s="2001"/>
      <c r="U290" s="2001"/>
      <c r="V290" s="2001"/>
      <c r="W290" s="1999"/>
      <c r="X290" s="2001"/>
      <c r="Y290" s="2001"/>
      <c r="Z290" s="2001"/>
      <c r="AA290" s="1999"/>
      <c r="AB290" s="2001"/>
      <c r="AC290" s="2001"/>
      <c r="AD290" s="2001"/>
      <c r="AE290" s="1999"/>
      <c r="AF290" s="2001"/>
      <c r="AG290" s="2001"/>
      <c r="AH290" s="2001"/>
      <c r="AI290" s="1999"/>
      <c r="AJ290" s="2001"/>
      <c r="AK290" s="2001"/>
      <c r="AL290" s="2001"/>
      <c r="AM290" s="1999"/>
      <c r="AN290" s="2001"/>
      <c r="AO290" s="2001"/>
      <c r="AP290" s="2001"/>
      <c r="AQ290" s="1999"/>
      <c r="AR290" s="2001"/>
      <c r="AS290" s="2001"/>
      <c r="AT290" s="2001"/>
      <c r="AU290" s="1999"/>
      <c r="AV290" s="2001"/>
      <c r="AW290" s="2001"/>
      <c r="AX290" s="2001"/>
      <c r="AY290" s="2000"/>
      <c r="AZ290" s="2000"/>
    </row>
    <row r="291" spans="1:57" ht="18.75" customHeight="1" thickBot="1" x14ac:dyDescent="0.3">
      <c r="A291" s="52"/>
      <c r="B291" s="1244" t="s">
        <v>116</v>
      </c>
      <c r="C291" s="1404">
        <f>C295</f>
        <v>874391.85</v>
      </c>
      <c r="D291" s="2037">
        <f>D289</f>
        <v>783156.27000000328</v>
      </c>
      <c r="E291" s="1408">
        <f>D291-C291</f>
        <v>-91235.579999996698</v>
      </c>
      <c r="F291" s="1406">
        <f>((D291/C291)-1)*100</f>
        <v>-10.434175478648012</v>
      </c>
      <c r="G291" s="1404">
        <f>G295</f>
        <v>874391.66</v>
      </c>
      <c r="H291" s="1408">
        <f>H289</f>
        <v>-1321854.6999999918</v>
      </c>
      <c r="I291" s="1408">
        <f>H291-G291</f>
        <v>-2196246.359999992</v>
      </c>
      <c r="J291" s="1406">
        <f>((H291/G291)-1)*100</f>
        <v>-251.17421179428811</v>
      </c>
      <c r="K291" s="1404">
        <f>K295</f>
        <v>851797.62</v>
      </c>
      <c r="L291" s="1404">
        <f>L289</f>
        <v>1042716.5299999975</v>
      </c>
      <c r="M291" s="1408">
        <f>L291-K291</f>
        <v>190918.90999999747</v>
      </c>
      <c r="N291" s="1406">
        <f>((L291/K291)-1)*100</f>
        <v>22.413646800280731</v>
      </c>
      <c r="O291" s="1245">
        <f>O295</f>
        <v>851797.62</v>
      </c>
      <c r="P291" s="1245">
        <f>P289</f>
        <v>0</v>
      </c>
      <c r="Q291" s="1245">
        <f>P291-O291</f>
        <v>-851797.62</v>
      </c>
      <c r="R291" s="1245">
        <f>((P291/O291)-1)*100</f>
        <v>-100</v>
      </c>
      <c r="S291" s="1404">
        <f>S295</f>
        <v>851797.62</v>
      </c>
      <c r="T291" s="1408">
        <f>T289</f>
        <v>0</v>
      </c>
      <c r="U291" s="1408">
        <f>T291-S291</f>
        <v>-851797.62</v>
      </c>
      <c r="V291" s="1406">
        <f>((T291/S291)-1)*100</f>
        <v>-100</v>
      </c>
      <c r="W291" s="1404">
        <f>W295</f>
        <v>851797.62</v>
      </c>
      <c r="X291" s="1408">
        <f>X289</f>
        <v>0</v>
      </c>
      <c r="Y291" s="1408">
        <f>X291-W291</f>
        <v>-851797.62</v>
      </c>
      <c r="Z291" s="1406">
        <f>((X291/W291)-1)*100</f>
        <v>-100</v>
      </c>
      <c r="AA291" s="1404">
        <f>AA295</f>
        <v>826474.64</v>
      </c>
      <c r="AB291" s="1408">
        <f>AB289</f>
        <v>0</v>
      </c>
      <c r="AC291" s="1408">
        <f>AB291-AA291</f>
        <v>-826474.64</v>
      </c>
      <c r="AD291" s="1406">
        <f>((AB291/AA291)-1)*100</f>
        <v>-100</v>
      </c>
      <c r="AE291" s="1404">
        <f>AE295</f>
        <v>805289.64</v>
      </c>
      <c r="AF291" s="1408">
        <f>AF289</f>
        <v>0</v>
      </c>
      <c r="AG291" s="1408">
        <f>AF291-AE291</f>
        <v>-805289.64</v>
      </c>
      <c r="AH291" s="1406">
        <f>((AF291/AE291)-1)*100</f>
        <v>-100</v>
      </c>
      <c r="AI291" s="1404">
        <f>AI295</f>
        <v>805289.64</v>
      </c>
      <c r="AJ291" s="1408">
        <f>AJ289</f>
        <v>0</v>
      </c>
      <c r="AK291" s="1408">
        <f>AJ291-AI291</f>
        <v>-805289.64</v>
      </c>
      <c r="AL291" s="1406">
        <f>((AJ291/AI291)-1)*100</f>
        <v>-100</v>
      </c>
      <c r="AM291" s="1404">
        <f>AM295</f>
        <v>805289.64</v>
      </c>
      <c r="AN291" s="1408">
        <f>AN289</f>
        <v>0</v>
      </c>
      <c r="AO291" s="1408">
        <f>AN291-AM291</f>
        <v>-805289.64</v>
      </c>
      <c r="AP291" s="1406">
        <f>((AN291/AM291)-1)*100</f>
        <v>-100</v>
      </c>
      <c r="AQ291" s="1404">
        <f>AQ295</f>
        <v>805289.64</v>
      </c>
      <c r="AR291" s="1408">
        <f>AR289</f>
        <v>0</v>
      </c>
      <c r="AS291" s="1408">
        <f>AR291-AQ291</f>
        <v>-805289.64</v>
      </c>
      <c r="AT291" s="1409">
        <f>((AR291/AQ291)-1)*100</f>
        <v>-100</v>
      </c>
      <c r="AU291" s="1408">
        <f>AU295</f>
        <v>805289.64</v>
      </c>
      <c r="AV291" s="1408">
        <f>AV289</f>
        <v>0</v>
      </c>
      <c r="AW291" s="1408">
        <f>AV291-AU291</f>
        <v>-805289.64</v>
      </c>
      <c r="AX291" s="1406">
        <f>((AV291/AU291)-1)*100</f>
        <v>-100</v>
      </c>
      <c r="AY291" s="1246">
        <f>C291+G291+K291+O291+S291+W291+AA291+AE291+AI291+AM291+AQ291+AU291</f>
        <v>10008896.83</v>
      </c>
      <c r="AZ291" s="1975">
        <f>D291+H291+L291+P291+T291+X291+AB291+AF291+AJ291+AN291+AR291+AV291</f>
        <v>504018.10000000894</v>
      </c>
      <c r="BA291" s="132"/>
    </row>
    <row r="292" spans="1:57" s="23" customFormat="1" ht="18.75" customHeight="1" thickBot="1" x14ac:dyDescent="0.3">
      <c r="A292" s="53"/>
      <c r="B292" s="19" t="s">
        <v>117</v>
      </c>
      <c r="C292" s="1405">
        <f>C289-C291</f>
        <v>-117167.13620667008</v>
      </c>
      <c r="D292" s="2038">
        <f>D289-D291</f>
        <v>0</v>
      </c>
      <c r="E292" s="21">
        <f>E289-E291</f>
        <v>117167.13620667008</v>
      </c>
      <c r="F292" s="1407"/>
      <c r="G292" s="1405">
        <f>G289-G291</f>
        <v>-332883.16620666895</v>
      </c>
      <c r="H292" s="2038">
        <f>H289-H291</f>
        <v>0</v>
      </c>
      <c r="I292" s="21">
        <f>I289-I291</f>
        <v>1415900.1537933312</v>
      </c>
      <c r="J292" s="1407"/>
      <c r="K292" s="1405">
        <f>K289-K291</f>
        <v>-460489.12620666891</v>
      </c>
      <c r="L292" s="1405">
        <f>L289-L291</f>
        <v>0</v>
      </c>
      <c r="M292" s="21">
        <f>M289-M291</f>
        <v>460489.12620666891</v>
      </c>
      <c r="N292" s="1407"/>
      <c r="O292" s="1173">
        <f>O289-O291</f>
        <v>-453901.52325666964</v>
      </c>
      <c r="P292" s="1173"/>
      <c r="Q292" s="1173">
        <f>Q289-Q291</f>
        <v>453901.52325666964</v>
      </c>
      <c r="R292" s="1173"/>
      <c r="S292" s="1405">
        <f>S289-S291</f>
        <v>-22639.655716667767</v>
      </c>
      <c r="T292" s="21"/>
      <c r="U292" s="21">
        <f>U289-U291</f>
        <v>22639.655716667767</v>
      </c>
      <c r="V292" s="1407"/>
      <c r="W292" s="1405">
        <f>W289-W291</f>
        <v>-267542.37533666461</v>
      </c>
      <c r="X292" s="21"/>
      <c r="Y292" s="21">
        <f>Y289-Y291</f>
        <v>267542.37533666461</v>
      </c>
      <c r="Z292" s="1407"/>
      <c r="AA292" s="1405">
        <f>AA289-AA291</f>
        <v>-244743.63747666718</v>
      </c>
      <c r="AB292" s="21"/>
      <c r="AC292" s="21">
        <f>AC289-AC291</f>
        <v>244743.63747666718</v>
      </c>
      <c r="AD292" s="1407"/>
      <c r="AE292" s="1405">
        <f>AE289-AE291</f>
        <v>-130047.94565666781</v>
      </c>
      <c r="AF292" s="21"/>
      <c r="AG292" s="21">
        <f>AG289-AG291</f>
        <v>130047.94565666781</v>
      </c>
      <c r="AH292" s="1407"/>
      <c r="AI292" s="1405">
        <f>AI289-AI291</f>
        <v>-99543.351946666255</v>
      </c>
      <c r="AJ292" s="21"/>
      <c r="AK292" s="21">
        <f>AK289-AK291</f>
        <v>99543.351946666255</v>
      </c>
      <c r="AL292" s="1407"/>
      <c r="AM292" s="1405">
        <f>AM289-AM291</f>
        <v>-597597.10594666691</v>
      </c>
      <c r="AN292" s="21"/>
      <c r="AO292" s="21">
        <f>AO289-AO291</f>
        <v>597597.10594666691</v>
      </c>
      <c r="AP292" s="1407"/>
      <c r="AQ292" s="1405">
        <f>AQ289-AQ291</f>
        <v>-485127.33808666782</v>
      </c>
      <c r="AR292" s="21"/>
      <c r="AS292" s="21">
        <f>AS289-AS291</f>
        <v>485127.33808666782</v>
      </c>
      <c r="AT292" s="1410"/>
      <c r="AU292" s="21">
        <f>AU289-AU291</f>
        <v>-658287.33805666806</v>
      </c>
      <c r="AV292" s="21"/>
      <c r="AW292" s="21">
        <f>AW289-AW291</f>
        <v>658287.33805666806</v>
      </c>
      <c r="AX292" s="1407"/>
      <c r="AY292" s="1173">
        <f>AY289-AY291</f>
        <v>-3869969.700100014</v>
      </c>
      <c r="AZ292" s="1976">
        <f>D292+H292+L292+P292+T292+X292+AB292+AF292+AJ292+AN292+AR292+AV292</f>
        <v>0</v>
      </c>
      <c r="BA292" s="105"/>
      <c r="BB292" s="1179"/>
    </row>
    <row r="293" spans="1:57" s="23" customFormat="1" ht="18.75" customHeight="1" x14ac:dyDescent="0.25">
      <c r="A293" s="53"/>
      <c r="B293" s="54"/>
      <c r="C293" s="22"/>
      <c r="D293" s="2039"/>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B293" s="1179"/>
    </row>
    <row r="294" spans="1:57" ht="18.75" customHeight="1" x14ac:dyDescent="0.25">
      <c r="A294" s="52"/>
      <c r="C294" s="16"/>
      <c r="D294" s="2040"/>
      <c r="E294" s="16"/>
      <c r="F294" s="16"/>
      <c r="H294" s="16"/>
      <c r="I294" s="16"/>
      <c r="J294" s="16"/>
      <c r="L294" s="16"/>
      <c r="M294" s="16"/>
      <c r="N294" s="16"/>
      <c r="P294" s="16"/>
      <c r="Q294" s="16"/>
      <c r="R294" s="16"/>
      <c r="T294" s="16"/>
      <c r="U294" s="16"/>
      <c r="V294" s="16"/>
      <c r="X294" s="16"/>
      <c r="Y294" s="16"/>
      <c r="Z294" s="16"/>
      <c r="AB294" s="16"/>
      <c r="AC294" s="16"/>
      <c r="AD294" s="16"/>
      <c r="AF294" s="16"/>
      <c r="AG294" s="16"/>
      <c r="AH294" s="16"/>
      <c r="AJ294" s="16"/>
      <c r="AK294" s="16"/>
      <c r="AL294" s="16"/>
      <c r="AN294" s="16"/>
      <c r="AO294" s="16"/>
      <c r="AP294" s="16"/>
      <c r="AR294" s="16"/>
      <c r="AS294" s="16"/>
      <c r="AT294" s="16"/>
      <c r="AV294" s="16"/>
      <c r="AW294" s="16"/>
      <c r="AX294" s="16"/>
    </row>
    <row r="295" spans="1:57" s="1172" customFormat="1" ht="18.75" hidden="1" customHeight="1" x14ac:dyDescent="0.25">
      <c r="A295" s="161"/>
      <c r="B295" s="1169" t="s">
        <v>118</v>
      </c>
      <c r="C295" s="1170">
        <f>C296+C297</f>
        <v>874391.85</v>
      </c>
      <c r="D295" s="1170"/>
      <c r="E295" s="1170"/>
      <c r="F295" s="1170"/>
      <c r="G295" s="1170">
        <f>G296+G297</f>
        <v>874391.66</v>
      </c>
      <c r="H295" s="1170"/>
      <c r="I295" s="1170"/>
      <c r="J295" s="1170"/>
      <c r="K295" s="1170">
        <f>K296+K297</f>
        <v>851797.62</v>
      </c>
      <c r="L295" s="1170"/>
      <c r="M295" s="1170"/>
      <c r="N295" s="1170"/>
      <c r="O295" s="1170">
        <f>O296+O297</f>
        <v>851797.62</v>
      </c>
      <c r="P295" s="1170"/>
      <c r="Q295" s="1170"/>
      <c r="R295" s="1170"/>
      <c r="S295" s="1170">
        <f>S296+S297</f>
        <v>851797.62</v>
      </c>
      <c r="T295" s="1170"/>
      <c r="U295" s="1170"/>
      <c r="V295" s="1170"/>
      <c r="W295" s="1170">
        <f>W296+W297</f>
        <v>851797.62</v>
      </c>
      <c r="X295" s="1170"/>
      <c r="Y295" s="1170"/>
      <c r="Z295" s="1170"/>
      <c r="AA295" s="1170">
        <f>AA296+AA297</f>
        <v>826474.64</v>
      </c>
      <c r="AB295" s="1170"/>
      <c r="AC295" s="1170"/>
      <c r="AD295" s="1170"/>
      <c r="AE295" s="1170">
        <f>AE296+AE297</f>
        <v>805289.64</v>
      </c>
      <c r="AF295" s="1170"/>
      <c r="AG295" s="1170"/>
      <c r="AH295" s="1170"/>
      <c r="AI295" s="1170">
        <f>AI296+AI297</f>
        <v>805289.64</v>
      </c>
      <c r="AJ295" s="1170"/>
      <c r="AK295" s="1170"/>
      <c r="AL295" s="1170"/>
      <c r="AM295" s="1170">
        <f>AM296+AM297</f>
        <v>805289.64</v>
      </c>
      <c r="AN295" s="1170"/>
      <c r="AO295" s="1170"/>
      <c r="AP295" s="1170"/>
      <c r="AQ295" s="1170">
        <f>AQ296+AQ297</f>
        <v>805289.64</v>
      </c>
      <c r="AR295" s="1170"/>
      <c r="AS295" s="1170"/>
      <c r="AT295" s="1170"/>
      <c r="AU295" s="1170">
        <f>AU296+AU297</f>
        <v>805289.64</v>
      </c>
      <c r="AV295" s="1170"/>
      <c r="AW295" s="1170"/>
      <c r="AX295" s="1170"/>
      <c r="AY295" s="1171">
        <f>C295+G295+K295+O295+S295+W295+AA295+AE295+AI295+AM295+AQ295+AU295</f>
        <v>10008896.83</v>
      </c>
      <c r="AZ295" s="1171">
        <f>D295+K295+O295+S295+W295+AA295+AE295+AI295+AM295+AQ295+AU295+AY295</f>
        <v>18269010.149999999</v>
      </c>
    </row>
    <row r="296" spans="1:57" s="25" customFormat="1" ht="18.75" hidden="1" customHeight="1" x14ac:dyDescent="0.25">
      <c r="A296" s="24"/>
      <c r="B296" s="1165" t="s">
        <v>119</v>
      </c>
      <c r="C296" s="1229">
        <f>569526.39+130000</f>
        <v>699526.39</v>
      </c>
      <c r="D296" s="1229"/>
      <c r="E296" s="1229"/>
      <c r="F296" s="1229"/>
      <c r="G296" s="1229">
        <f>C296</f>
        <v>699526.39</v>
      </c>
      <c r="H296" s="1229"/>
      <c r="I296" s="1229"/>
      <c r="J296" s="1229"/>
      <c r="K296" s="1229">
        <f>G296</f>
        <v>699526.39</v>
      </c>
      <c r="L296" s="1229"/>
      <c r="M296" s="1229"/>
      <c r="N296" s="1229"/>
      <c r="O296" s="1229">
        <f>K296</f>
        <v>699526.39</v>
      </c>
      <c r="P296" s="1229"/>
      <c r="Q296" s="1229"/>
      <c r="R296" s="1229"/>
      <c r="S296" s="1229">
        <f>O296</f>
        <v>699526.39</v>
      </c>
      <c r="T296" s="1229"/>
      <c r="U296" s="1229"/>
      <c r="V296" s="1229"/>
      <c r="W296" s="1229">
        <f>S296</f>
        <v>699526.39</v>
      </c>
      <c r="X296" s="1229"/>
      <c r="Y296" s="1229"/>
      <c r="Z296" s="1229"/>
      <c r="AA296" s="1229">
        <f>W296</f>
        <v>699526.39</v>
      </c>
      <c r="AB296" s="1229"/>
      <c r="AC296" s="1229"/>
      <c r="AD296" s="1229"/>
      <c r="AE296" s="1229">
        <f>AA296</f>
        <v>699526.39</v>
      </c>
      <c r="AF296" s="1229"/>
      <c r="AG296" s="1229"/>
      <c r="AH296" s="1229"/>
      <c r="AI296" s="1229">
        <f>AE296</f>
        <v>699526.39</v>
      </c>
      <c r="AJ296" s="1229"/>
      <c r="AK296" s="1229"/>
      <c r="AL296" s="1229"/>
      <c r="AM296" s="1229">
        <f>AI296</f>
        <v>699526.39</v>
      </c>
      <c r="AN296" s="1229"/>
      <c r="AO296" s="1229"/>
      <c r="AP296" s="1229"/>
      <c r="AQ296" s="1229">
        <f>AM296</f>
        <v>699526.39</v>
      </c>
      <c r="AR296" s="1229"/>
      <c r="AS296" s="1229"/>
      <c r="AT296" s="1229"/>
      <c r="AU296" s="1229">
        <f>AQ296</f>
        <v>699526.39</v>
      </c>
      <c r="AV296" s="1229"/>
      <c r="AW296" s="1229"/>
      <c r="AX296" s="1229"/>
      <c r="AY296" s="1232">
        <f>C296+G296+K296+O296+S296+W296+AA296+AE296+AI296+AM296+AQ296+AU296</f>
        <v>8394316.6799999978</v>
      </c>
      <c r="AZ296" s="1232">
        <f>D296+K296+O296+S296+W296+AA296+AE296+AI296+AM296+AQ296+AU296+AY296</f>
        <v>15389580.579999996</v>
      </c>
      <c r="BB296" s="71"/>
    </row>
    <row r="297" spans="1:57" s="34" customFormat="1" ht="18.75" hidden="1" customHeight="1" x14ac:dyDescent="0.25">
      <c r="A297" s="33"/>
      <c r="B297" s="1166" t="s">
        <v>3777</v>
      </c>
      <c r="C297" s="1230">
        <v>174865.46</v>
      </c>
      <c r="D297" s="1230"/>
      <c r="E297" s="1230"/>
      <c r="F297" s="1230"/>
      <c r="G297" s="1230">
        <v>174865.27</v>
      </c>
      <c r="H297" s="1230"/>
      <c r="I297" s="1230"/>
      <c r="J297" s="1230"/>
      <c r="K297" s="1230">
        <v>152271.22999999998</v>
      </c>
      <c r="L297" s="1230"/>
      <c r="M297" s="1230"/>
      <c r="N297" s="1230"/>
      <c r="O297" s="1230">
        <v>152271.22999999998</v>
      </c>
      <c r="P297" s="1230"/>
      <c r="Q297" s="1230"/>
      <c r="R297" s="1230"/>
      <c r="S297" s="1230">
        <v>152271.22999999998</v>
      </c>
      <c r="T297" s="1230"/>
      <c r="U297" s="1230"/>
      <c r="V297" s="1230"/>
      <c r="W297" s="1230">
        <v>152271.22999999998</v>
      </c>
      <c r="X297" s="1230"/>
      <c r="Y297" s="1230"/>
      <c r="Z297" s="1230"/>
      <c r="AA297" s="1230">
        <v>126948.25</v>
      </c>
      <c r="AB297" s="1230"/>
      <c r="AC297" s="1230"/>
      <c r="AD297" s="1230"/>
      <c r="AE297" s="1230">
        <v>105763.25</v>
      </c>
      <c r="AF297" s="1230"/>
      <c r="AG297" s="1230"/>
      <c r="AH297" s="1230"/>
      <c r="AI297" s="1230">
        <v>105763.25</v>
      </c>
      <c r="AJ297" s="1230"/>
      <c r="AK297" s="1230"/>
      <c r="AL297" s="1230"/>
      <c r="AM297" s="1230">
        <v>105763.25</v>
      </c>
      <c r="AN297" s="1230"/>
      <c r="AO297" s="1230"/>
      <c r="AP297" s="1230"/>
      <c r="AQ297" s="1230">
        <v>105763.25</v>
      </c>
      <c r="AR297" s="1230"/>
      <c r="AS297" s="1230"/>
      <c r="AT297" s="1230"/>
      <c r="AU297" s="1230">
        <v>105763.25</v>
      </c>
      <c r="AV297" s="1230"/>
      <c r="AW297" s="1230"/>
      <c r="AX297" s="1230"/>
      <c r="AY297" s="1233">
        <f>C297+G297+K297+O297+S297+W297+AA297+AE297+AI297+AM297+AQ297+AU297</f>
        <v>1614580.15</v>
      </c>
      <c r="AZ297" s="1233">
        <f>D297+K297+O297+S297+W297+AA297+AE297+AI297+AM297+AQ297+AU297+AY297</f>
        <v>2879429.57</v>
      </c>
      <c r="BB297" s="1180"/>
    </row>
    <row r="298" spans="1:57" ht="18.75" customHeight="1" x14ac:dyDescent="0.25">
      <c r="C298" s="55"/>
      <c r="D298" s="2041"/>
      <c r="E298" s="55"/>
      <c r="F298" s="55"/>
      <c r="G298" s="55"/>
      <c r="H298" s="55"/>
      <c r="I298" s="55"/>
      <c r="J298" s="55"/>
      <c r="K298" s="55"/>
      <c r="L298" s="55"/>
      <c r="M298" s="55"/>
      <c r="N298" s="55"/>
      <c r="O298" s="55"/>
      <c r="P298" s="55"/>
      <c r="Q298" s="55"/>
      <c r="R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row>
    <row r="299" spans="1:57" ht="18.75" customHeight="1" x14ac:dyDescent="0.25">
      <c r="C299" s="56"/>
      <c r="D299" s="2042"/>
      <c r="E299" s="56"/>
      <c r="F299" s="56"/>
      <c r="G299" s="1497"/>
      <c r="H299" s="56"/>
      <c r="I299" s="56"/>
      <c r="J299" s="56"/>
      <c r="K299" s="57"/>
      <c r="L299" s="56"/>
      <c r="M299" s="56"/>
      <c r="N299" s="56"/>
      <c r="O299" s="57"/>
      <c r="P299" s="56"/>
      <c r="Q299" s="56"/>
      <c r="R299" s="56"/>
      <c r="T299" s="56"/>
      <c r="U299" s="56"/>
      <c r="V299" s="56"/>
      <c r="W299" s="57"/>
      <c r="X299" s="56"/>
      <c r="Y299" s="56"/>
      <c r="Z299" s="56"/>
      <c r="AA299" s="57"/>
      <c r="AB299" s="56"/>
      <c r="AC299" s="56"/>
      <c r="AD299" s="56"/>
      <c r="AE299" s="57"/>
      <c r="AF299" s="56"/>
      <c r="AG299" s="56"/>
      <c r="AH299" s="56"/>
      <c r="AI299" s="57"/>
      <c r="AJ299" s="56"/>
      <c r="AK299" s="56"/>
      <c r="AL299" s="56"/>
      <c r="AM299" s="57"/>
      <c r="AN299" s="56"/>
      <c r="AO299" s="56"/>
      <c r="AP299" s="56"/>
      <c r="AQ299" s="57"/>
      <c r="AR299" s="56"/>
      <c r="AS299" s="56"/>
      <c r="AT299" s="56"/>
      <c r="AU299" s="57"/>
      <c r="AV299" s="56"/>
      <c r="AW299" s="56"/>
      <c r="AX299" s="56"/>
      <c r="AY299" s="57"/>
      <c r="AZ299" s="57"/>
    </row>
    <row r="300" spans="1:57" ht="18.75" customHeight="1" x14ac:dyDescent="0.25">
      <c r="C300" s="55"/>
      <c r="D300" s="2041"/>
      <c r="E300" s="55"/>
      <c r="F300" s="55"/>
      <c r="G300" s="55"/>
      <c r="H300" s="55"/>
      <c r="I300" s="55"/>
      <c r="J300" s="55"/>
      <c r="K300" s="55"/>
      <c r="L300" s="55"/>
      <c r="M300" s="55"/>
      <c r="N300" s="55"/>
      <c r="O300" s="55"/>
      <c r="P300" s="55"/>
      <c r="Q300" s="55"/>
      <c r="R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row>
    <row r="301" spans="1:57" ht="18.75" customHeight="1" x14ac:dyDescent="0.25">
      <c r="C301" s="13"/>
      <c r="D301" s="2043"/>
      <c r="E301" s="13"/>
      <c r="F301" s="13"/>
      <c r="H301" s="13"/>
      <c r="I301" s="13"/>
      <c r="J301" s="13"/>
      <c r="L301" s="13"/>
      <c r="M301" s="13"/>
      <c r="N301" s="13"/>
      <c r="P301" s="13"/>
      <c r="Q301" s="13"/>
      <c r="R301" s="13"/>
      <c r="T301" s="13"/>
      <c r="U301" s="13"/>
      <c r="V301" s="13"/>
      <c r="X301" s="13"/>
      <c r="Y301" s="13"/>
      <c r="Z301" s="13"/>
      <c r="AA301" s="109"/>
      <c r="AB301" s="13"/>
      <c r="AC301" s="13"/>
      <c r="AD301" s="13"/>
      <c r="AF301" s="13"/>
      <c r="AG301" s="13"/>
      <c r="AH301" s="13"/>
      <c r="AJ301" s="13"/>
      <c r="AK301" s="13"/>
      <c r="AL301" s="13"/>
      <c r="AN301" s="13"/>
      <c r="AO301" s="13"/>
      <c r="AP301" s="13"/>
      <c r="AR301" s="13"/>
      <c r="AS301" s="13"/>
      <c r="AT301" s="13"/>
      <c r="AV301" s="13"/>
      <c r="AW301" s="13"/>
      <c r="AX301" s="13"/>
      <c r="AY301" s="43"/>
      <c r="AZ301" s="43"/>
    </row>
    <row r="302" spans="1:57" ht="18.75" customHeight="1" x14ac:dyDescent="0.25">
      <c r="C302" s="317"/>
      <c r="D302" s="2044"/>
      <c r="E302" s="317"/>
      <c r="F302" s="317"/>
      <c r="H302" s="317"/>
      <c r="I302" s="317"/>
      <c r="J302" s="317"/>
      <c r="L302" s="317"/>
      <c r="M302" s="317"/>
      <c r="N302" s="317"/>
      <c r="P302" s="317"/>
      <c r="Q302" s="317"/>
      <c r="R302" s="317"/>
      <c r="T302" s="317"/>
      <c r="U302" s="317"/>
      <c r="V302" s="317"/>
      <c r="X302" s="317"/>
      <c r="Y302" s="317"/>
      <c r="Z302" s="317"/>
      <c r="AB302" s="317"/>
      <c r="AC302" s="317"/>
      <c r="AD302" s="317"/>
      <c r="AF302" s="317"/>
      <c r="AG302" s="317"/>
      <c r="AH302" s="317"/>
      <c r="AJ302" s="317"/>
      <c r="AK302" s="317"/>
      <c r="AL302" s="317"/>
      <c r="AN302" s="317"/>
      <c r="AO302" s="317"/>
      <c r="AP302" s="317"/>
      <c r="AR302" s="317"/>
      <c r="AS302" s="317"/>
      <c r="AT302" s="317"/>
      <c r="AV302" s="317"/>
      <c r="AW302" s="317"/>
      <c r="AX302" s="317"/>
      <c r="AY302" s="109"/>
      <c r="AZ302" s="109"/>
    </row>
    <row r="303" spans="1:57" ht="18.75" customHeight="1" x14ac:dyDescent="0.25">
      <c r="C303" s="317"/>
      <c r="D303" s="2044"/>
      <c r="E303" s="317"/>
      <c r="F303" s="317"/>
      <c r="H303" s="317"/>
      <c r="I303" s="317"/>
      <c r="J303" s="317"/>
      <c r="L303" s="317"/>
      <c r="M303" s="317"/>
      <c r="N303" s="317"/>
      <c r="P303" s="317"/>
      <c r="Q303" s="317"/>
      <c r="R303" s="317"/>
      <c r="T303" s="317"/>
      <c r="U303" s="317"/>
      <c r="V303" s="317"/>
      <c r="X303" s="317"/>
      <c r="Y303" s="317"/>
      <c r="Z303" s="317"/>
      <c r="AB303" s="317"/>
      <c r="AC303" s="317"/>
      <c r="AD303" s="317"/>
      <c r="AF303" s="317"/>
      <c r="AG303" s="317"/>
      <c r="AH303" s="317"/>
      <c r="AJ303" s="317"/>
      <c r="AK303" s="317"/>
      <c r="AL303" s="317"/>
      <c r="AN303" s="317"/>
      <c r="AO303" s="317"/>
      <c r="AP303" s="317"/>
      <c r="AR303" s="317"/>
      <c r="AS303" s="317"/>
      <c r="AT303" s="317"/>
      <c r="AV303" s="317"/>
      <c r="AW303" s="317"/>
      <c r="AX303" s="317"/>
      <c r="AY303" s="109"/>
      <c r="AZ303" s="109"/>
    </row>
    <row r="304" spans="1:57" ht="18.75" customHeight="1" x14ac:dyDescent="0.25">
      <c r="A304" s="13"/>
      <c r="C304" s="317"/>
      <c r="D304" s="2044"/>
      <c r="E304" s="317"/>
      <c r="F304" s="317"/>
      <c r="G304" s="109"/>
      <c r="H304" s="317"/>
      <c r="I304" s="317"/>
      <c r="J304" s="317"/>
      <c r="L304" s="317"/>
      <c r="M304" s="317"/>
      <c r="N304" s="317"/>
      <c r="P304" s="317"/>
      <c r="Q304" s="317"/>
      <c r="R304" s="317"/>
      <c r="T304" s="317"/>
      <c r="U304" s="317"/>
      <c r="V304" s="317"/>
      <c r="X304" s="317"/>
      <c r="Y304" s="317"/>
      <c r="Z304" s="317"/>
      <c r="AB304" s="317"/>
      <c r="AC304" s="317"/>
      <c r="AD304" s="317"/>
      <c r="AF304" s="317"/>
      <c r="AG304" s="317"/>
      <c r="AH304" s="317"/>
      <c r="AJ304" s="317"/>
      <c r="AK304" s="317"/>
      <c r="AL304" s="317"/>
      <c r="AN304" s="317"/>
      <c r="AO304" s="317"/>
      <c r="AP304" s="317"/>
      <c r="AR304" s="317"/>
      <c r="AS304" s="317"/>
      <c r="AT304" s="317"/>
      <c r="AV304" s="317"/>
      <c r="AW304" s="317"/>
      <c r="AX304" s="317"/>
      <c r="AY304" s="43"/>
      <c r="AZ304" s="43"/>
    </row>
    <row r="305" spans="1:54" ht="18.75" customHeight="1" x14ac:dyDescent="0.25">
      <c r="A305" s="13"/>
      <c r="C305" s="402"/>
      <c r="E305" s="402"/>
      <c r="F305" s="402"/>
      <c r="G305" s="109"/>
      <c r="H305" s="402"/>
      <c r="I305" s="402"/>
      <c r="J305" s="402"/>
      <c r="L305" s="402"/>
      <c r="M305" s="402"/>
      <c r="N305" s="402"/>
      <c r="P305" s="402"/>
      <c r="Q305" s="402"/>
      <c r="R305" s="402"/>
      <c r="T305" s="402"/>
      <c r="U305" s="402"/>
      <c r="V305" s="402"/>
      <c r="X305" s="402"/>
      <c r="Y305" s="402"/>
      <c r="Z305" s="402"/>
      <c r="AB305" s="402"/>
      <c r="AC305" s="402"/>
      <c r="AD305" s="402"/>
      <c r="AF305" s="402"/>
      <c r="AG305" s="402"/>
      <c r="AH305" s="402"/>
      <c r="AJ305" s="402"/>
      <c r="AK305" s="402"/>
      <c r="AL305" s="402"/>
      <c r="AN305" s="402"/>
      <c r="AO305" s="402"/>
      <c r="AP305" s="402"/>
      <c r="AR305" s="402"/>
      <c r="AS305" s="402"/>
      <c r="AT305" s="402"/>
      <c r="AV305" s="402"/>
      <c r="AW305" s="402"/>
      <c r="AX305" s="402"/>
      <c r="AY305" s="43"/>
      <c r="AZ305" s="43"/>
    </row>
    <row r="306" spans="1:54" ht="18.75" customHeight="1" x14ac:dyDescent="0.25">
      <c r="A306" s="13"/>
      <c r="G306" s="109"/>
      <c r="AA306" s="43"/>
      <c r="AY306" s="43"/>
      <c r="AZ306" s="43"/>
    </row>
    <row r="307" spans="1:54" ht="18.75" customHeight="1" x14ac:dyDescent="0.25">
      <c r="A307" s="13"/>
      <c r="G307" s="109"/>
      <c r="AA307" s="109"/>
      <c r="AY307" s="109"/>
      <c r="AZ307" s="109"/>
    </row>
    <row r="308" spans="1:54" ht="18.75" customHeight="1" x14ac:dyDescent="0.25">
      <c r="A308" s="13"/>
      <c r="C308" s="402"/>
      <c r="E308" s="402"/>
      <c r="F308" s="402"/>
      <c r="G308" s="109"/>
      <c r="H308" s="402"/>
      <c r="I308" s="402"/>
      <c r="J308" s="402"/>
      <c r="L308" s="402"/>
      <c r="M308" s="402"/>
      <c r="N308" s="402"/>
      <c r="P308" s="402"/>
      <c r="Q308" s="402"/>
      <c r="R308" s="402"/>
      <c r="T308" s="402"/>
      <c r="U308" s="402"/>
      <c r="V308" s="402"/>
      <c r="X308" s="402"/>
      <c r="Y308" s="402"/>
      <c r="Z308" s="402"/>
      <c r="AB308" s="402"/>
      <c r="AC308" s="402"/>
      <c r="AD308" s="402"/>
      <c r="AF308" s="402"/>
      <c r="AG308" s="402"/>
      <c r="AH308" s="402"/>
      <c r="AJ308" s="402"/>
      <c r="AK308" s="402"/>
      <c r="AL308" s="402"/>
      <c r="AN308" s="402"/>
      <c r="AO308" s="402"/>
      <c r="AP308" s="402"/>
      <c r="AR308" s="402"/>
      <c r="AS308" s="402"/>
      <c r="AT308" s="402"/>
      <c r="AV308" s="402"/>
      <c r="AW308" s="402"/>
      <c r="AX308" s="402"/>
      <c r="AY308" s="109"/>
      <c r="AZ308" s="109"/>
    </row>
    <row r="309" spans="1:54" ht="18.75" customHeight="1" x14ac:dyDescent="0.25">
      <c r="A309" s="13"/>
      <c r="B309" s="109"/>
      <c r="C309" s="109"/>
      <c r="D309" s="1185"/>
      <c r="E309" s="109"/>
      <c r="F309" s="109"/>
      <c r="G309" s="109"/>
      <c r="H309" s="109"/>
      <c r="I309" s="109"/>
      <c r="J309" s="109"/>
      <c r="L309" s="109"/>
      <c r="M309" s="109"/>
      <c r="N309" s="109"/>
      <c r="P309" s="109"/>
      <c r="Q309" s="109"/>
      <c r="R309" s="109"/>
      <c r="T309" s="109"/>
      <c r="U309" s="109"/>
      <c r="V309" s="109"/>
      <c r="X309" s="109"/>
      <c r="Y309" s="109"/>
      <c r="Z309" s="109"/>
      <c r="AB309" s="109"/>
      <c r="AC309" s="109"/>
      <c r="AD309" s="109"/>
      <c r="AF309" s="109"/>
      <c r="AG309" s="109"/>
      <c r="AH309" s="109"/>
      <c r="AJ309" s="109"/>
      <c r="AK309" s="109"/>
      <c r="AL309" s="109"/>
      <c r="AN309" s="109"/>
      <c r="AO309" s="109"/>
      <c r="AP309" s="109"/>
      <c r="AR309" s="109"/>
      <c r="AS309" s="109"/>
      <c r="AT309" s="109"/>
      <c r="AV309" s="109"/>
      <c r="AW309" s="109"/>
      <c r="AX309" s="109"/>
      <c r="AY309" s="43"/>
      <c r="AZ309" s="43"/>
    </row>
    <row r="310" spans="1:54" ht="18.75" customHeight="1" x14ac:dyDescent="0.25">
      <c r="A310" s="13"/>
      <c r="B310" s="109"/>
      <c r="C310" s="402"/>
      <c r="E310" s="402"/>
      <c r="F310" s="402"/>
      <c r="G310" s="109"/>
      <c r="H310" s="402"/>
      <c r="I310" s="402"/>
      <c r="J310" s="402"/>
      <c r="L310" s="402"/>
      <c r="M310" s="402"/>
      <c r="N310" s="402"/>
      <c r="P310" s="402"/>
      <c r="Q310" s="402"/>
      <c r="R310" s="402"/>
      <c r="T310" s="402"/>
      <c r="U310" s="402"/>
      <c r="V310" s="402"/>
      <c r="X310" s="402"/>
      <c r="Y310" s="402"/>
      <c r="Z310" s="402"/>
      <c r="AB310" s="402"/>
      <c r="AC310" s="402"/>
      <c r="AD310" s="402"/>
      <c r="AF310" s="402"/>
      <c r="AG310" s="402"/>
      <c r="AH310" s="402"/>
      <c r="AJ310" s="402"/>
      <c r="AK310" s="402"/>
      <c r="AL310" s="402"/>
      <c r="AN310" s="402"/>
      <c r="AO310" s="402"/>
      <c r="AP310" s="402"/>
      <c r="AR310" s="402"/>
      <c r="AS310" s="402"/>
      <c r="AT310" s="402"/>
      <c r="AV310" s="402"/>
      <c r="AW310" s="402"/>
      <c r="AX310" s="402"/>
      <c r="AY310" s="109"/>
      <c r="AZ310" s="109"/>
    </row>
    <row r="311" spans="1:54" ht="18.75" customHeight="1" x14ac:dyDescent="0.25">
      <c r="A311" s="13"/>
      <c r="B311" s="109"/>
      <c r="G311" s="109"/>
      <c r="AY311" s="110"/>
      <c r="AZ311" s="110"/>
    </row>
    <row r="312" spans="1:54" ht="18.75" customHeight="1" x14ac:dyDescent="0.25">
      <c r="A312" s="13"/>
      <c r="B312" s="109"/>
      <c r="G312" s="109"/>
    </row>
    <row r="313" spans="1:54" ht="18.75" customHeight="1" x14ac:dyDescent="0.25">
      <c r="A313" s="13"/>
      <c r="B313" s="110"/>
      <c r="G313" s="109"/>
      <c r="K313" s="110"/>
      <c r="BB313" s="13"/>
    </row>
    <row r="314" spans="1:54" ht="18.75" customHeight="1" x14ac:dyDescent="0.25">
      <c r="A314" s="13"/>
      <c r="G314" s="109"/>
      <c r="BB314" s="13"/>
    </row>
    <row r="315" spans="1:54" ht="18.75" customHeight="1" x14ac:dyDescent="0.25">
      <c r="A315" s="13"/>
      <c r="B315" s="110"/>
      <c r="G315" s="110"/>
      <c r="BB315" s="13"/>
    </row>
    <row r="317" spans="1:54" ht="18.75" customHeight="1" x14ac:dyDescent="0.25">
      <c r="A317" s="13"/>
      <c r="G317" s="110"/>
      <c r="BB317" s="13"/>
    </row>
  </sheetData>
  <mergeCells count="885">
    <mergeCell ref="A57:B57"/>
    <mergeCell ref="A60:B60"/>
    <mergeCell ref="Y19:Y22"/>
    <mergeCell ref="AA19:AA22"/>
    <mergeCell ref="AC19:AC22"/>
    <mergeCell ref="AE19:AE22"/>
    <mergeCell ref="AG19:AG22"/>
    <mergeCell ref="AI19:AI22"/>
    <mergeCell ref="AP19:AP22"/>
    <mergeCell ref="AG36:AG37"/>
    <mergeCell ref="R36:R37"/>
    <mergeCell ref="S36:S37"/>
    <mergeCell ref="U36:U37"/>
    <mergeCell ref="V36:V37"/>
    <mergeCell ref="W36:W37"/>
    <mergeCell ref="Y36:Y37"/>
    <mergeCell ref="Z36:Z37"/>
    <mergeCell ref="AA36:AA37"/>
    <mergeCell ref="AD47:AD48"/>
    <mergeCell ref="AE47:AE48"/>
    <mergeCell ref="AG47:AG48"/>
    <mergeCell ref="V47:V48"/>
    <mergeCell ref="W47:W48"/>
    <mergeCell ref="Y47:Y48"/>
    <mergeCell ref="AT19:AT22"/>
    <mergeCell ref="AW19:AW22"/>
    <mergeCell ref="AK19:AK22"/>
    <mergeCell ref="AM19:AM22"/>
    <mergeCell ref="AO19:AO22"/>
    <mergeCell ref="AQ19:AQ22"/>
    <mergeCell ref="AS19:AS22"/>
    <mergeCell ref="AU19:AU22"/>
    <mergeCell ref="AQ265:AQ266"/>
    <mergeCell ref="AS265:AS266"/>
    <mergeCell ref="AT265:AT266"/>
    <mergeCell ref="AU265:AU266"/>
    <mergeCell ref="AW265:AW266"/>
    <mergeCell ref="AU258:AU259"/>
    <mergeCell ref="AW258:AW259"/>
    <mergeCell ref="AU247:AU248"/>
    <mergeCell ref="AW247:AW248"/>
    <mergeCell ref="AU230:AU232"/>
    <mergeCell ref="AW230:AW232"/>
    <mergeCell ref="AU218:AU222"/>
    <mergeCell ref="AW218:AW222"/>
    <mergeCell ref="AU193:AU194"/>
    <mergeCell ref="AW193:AW194"/>
    <mergeCell ref="AU141:AU142"/>
    <mergeCell ref="AX265:AX266"/>
    <mergeCell ref="AI265:AI266"/>
    <mergeCell ref="AK265:AK266"/>
    <mergeCell ref="AL265:AL266"/>
    <mergeCell ref="AM265:AM266"/>
    <mergeCell ref="AO265:AO266"/>
    <mergeCell ref="AP265:AP266"/>
    <mergeCell ref="AA265:AA266"/>
    <mergeCell ref="AC265:AC266"/>
    <mergeCell ref="AD265:AD266"/>
    <mergeCell ref="AE265:AE266"/>
    <mergeCell ref="AG265:AG266"/>
    <mergeCell ref="AH265:AH266"/>
    <mergeCell ref="S265:S266"/>
    <mergeCell ref="U265:U266"/>
    <mergeCell ref="V265:V266"/>
    <mergeCell ref="W265:W266"/>
    <mergeCell ref="Y265:Y266"/>
    <mergeCell ref="Z265:Z266"/>
    <mergeCell ref="K265:K266"/>
    <mergeCell ref="M265:M266"/>
    <mergeCell ref="N265:N266"/>
    <mergeCell ref="O265:O266"/>
    <mergeCell ref="Q265:Q266"/>
    <mergeCell ref="R265:R266"/>
    <mergeCell ref="C265:C266"/>
    <mergeCell ref="E265:E266"/>
    <mergeCell ref="F265:F266"/>
    <mergeCell ref="G265:G266"/>
    <mergeCell ref="I265:I266"/>
    <mergeCell ref="J265:J266"/>
    <mergeCell ref="AQ258:AQ259"/>
    <mergeCell ref="AS258:AS259"/>
    <mergeCell ref="AT258:AT259"/>
    <mergeCell ref="S258:S259"/>
    <mergeCell ref="U258:U259"/>
    <mergeCell ref="V258:V259"/>
    <mergeCell ref="W258:W259"/>
    <mergeCell ref="Y258:Y259"/>
    <mergeCell ref="Z258:Z259"/>
    <mergeCell ref="K258:K259"/>
    <mergeCell ref="M258:M259"/>
    <mergeCell ref="N258:N259"/>
    <mergeCell ref="O258:O259"/>
    <mergeCell ref="Q258:Q259"/>
    <mergeCell ref="R258:R259"/>
    <mergeCell ref="C258:C259"/>
    <mergeCell ref="E258:E259"/>
    <mergeCell ref="F258:F259"/>
    <mergeCell ref="AX258:AX259"/>
    <mergeCell ref="AI258:AI259"/>
    <mergeCell ref="AK258:AK259"/>
    <mergeCell ref="AL258:AL259"/>
    <mergeCell ref="AM258:AM259"/>
    <mergeCell ref="AO258:AO259"/>
    <mergeCell ref="AP258:AP259"/>
    <mergeCell ref="AA258:AA259"/>
    <mergeCell ref="AC258:AC259"/>
    <mergeCell ref="AD258:AD259"/>
    <mergeCell ref="AE258:AE259"/>
    <mergeCell ref="AG258:AG259"/>
    <mergeCell ref="AH258:AH259"/>
    <mergeCell ref="G258:G259"/>
    <mergeCell ref="I258:I259"/>
    <mergeCell ref="J258:J259"/>
    <mergeCell ref="AQ250:AQ251"/>
    <mergeCell ref="AS250:AS251"/>
    <mergeCell ref="AT250:AT251"/>
    <mergeCell ref="AU250:AU251"/>
    <mergeCell ref="AW250:AW251"/>
    <mergeCell ref="AX250:AX251"/>
    <mergeCell ref="AI250:AI251"/>
    <mergeCell ref="AK250:AK251"/>
    <mergeCell ref="AL250:AL251"/>
    <mergeCell ref="AM250:AM251"/>
    <mergeCell ref="AO250:AO251"/>
    <mergeCell ref="AP250:AP251"/>
    <mergeCell ref="AA250:AA251"/>
    <mergeCell ref="AC250:AC251"/>
    <mergeCell ref="AD250:AD251"/>
    <mergeCell ref="AE250:AE251"/>
    <mergeCell ref="AG250:AG251"/>
    <mergeCell ref="AH250:AH251"/>
    <mergeCell ref="S250:S251"/>
    <mergeCell ref="U250:U251"/>
    <mergeCell ref="V250:V251"/>
    <mergeCell ref="W250:W251"/>
    <mergeCell ref="Y250:Y251"/>
    <mergeCell ref="Z250:Z251"/>
    <mergeCell ref="K250:K251"/>
    <mergeCell ref="M250:M251"/>
    <mergeCell ref="N250:N251"/>
    <mergeCell ref="O250:O251"/>
    <mergeCell ref="Q250:Q251"/>
    <mergeCell ref="R250:R251"/>
    <mergeCell ref="C250:C251"/>
    <mergeCell ref="E250:E251"/>
    <mergeCell ref="F250:F251"/>
    <mergeCell ref="G250:G251"/>
    <mergeCell ref="I250:I251"/>
    <mergeCell ref="J250:J251"/>
    <mergeCell ref="AQ247:AQ248"/>
    <mergeCell ref="AS247:AS248"/>
    <mergeCell ref="AT247:AT248"/>
    <mergeCell ref="S247:S248"/>
    <mergeCell ref="U247:U248"/>
    <mergeCell ref="V247:V248"/>
    <mergeCell ref="W247:W248"/>
    <mergeCell ref="Y247:Y248"/>
    <mergeCell ref="Z247:Z248"/>
    <mergeCell ref="K247:K248"/>
    <mergeCell ref="M247:M248"/>
    <mergeCell ref="N247:N248"/>
    <mergeCell ref="O247:O248"/>
    <mergeCell ref="Q247:Q248"/>
    <mergeCell ref="R247:R248"/>
    <mergeCell ref="C247:C248"/>
    <mergeCell ref="E247:E248"/>
    <mergeCell ref="F247:F248"/>
    <mergeCell ref="AX247:AX248"/>
    <mergeCell ref="AI247:AI248"/>
    <mergeCell ref="AK247:AK248"/>
    <mergeCell ref="AL247:AL248"/>
    <mergeCell ref="AM247:AM248"/>
    <mergeCell ref="AO247:AO248"/>
    <mergeCell ref="AP247:AP248"/>
    <mergeCell ref="AA247:AA248"/>
    <mergeCell ref="AC247:AC248"/>
    <mergeCell ref="AD247:AD248"/>
    <mergeCell ref="AE247:AE248"/>
    <mergeCell ref="AG247:AG248"/>
    <mergeCell ref="AH247:AH248"/>
    <mergeCell ref="G247:G248"/>
    <mergeCell ref="I247:I248"/>
    <mergeCell ref="J247:J248"/>
    <mergeCell ref="AQ239:AQ244"/>
    <mergeCell ref="AS239:AS244"/>
    <mergeCell ref="AT239:AT244"/>
    <mergeCell ref="AU239:AU244"/>
    <mergeCell ref="AW239:AW244"/>
    <mergeCell ref="AX239:AX244"/>
    <mergeCell ref="AI239:AI244"/>
    <mergeCell ref="AK239:AK244"/>
    <mergeCell ref="AL239:AL244"/>
    <mergeCell ref="AM239:AM244"/>
    <mergeCell ref="AO239:AO244"/>
    <mergeCell ref="AP239:AP244"/>
    <mergeCell ref="AA239:AA244"/>
    <mergeCell ref="AC239:AC244"/>
    <mergeCell ref="AD239:AD244"/>
    <mergeCell ref="AE239:AE244"/>
    <mergeCell ref="AG239:AG244"/>
    <mergeCell ref="AH239:AH244"/>
    <mergeCell ref="S239:S244"/>
    <mergeCell ref="U239:U244"/>
    <mergeCell ref="V239:V244"/>
    <mergeCell ref="W239:W244"/>
    <mergeCell ref="Y239:Y244"/>
    <mergeCell ref="Z239:Z244"/>
    <mergeCell ref="K239:K244"/>
    <mergeCell ref="M239:M244"/>
    <mergeCell ref="N239:N244"/>
    <mergeCell ref="O239:O244"/>
    <mergeCell ref="Q239:Q244"/>
    <mergeCell ref="R239:R244"/>
    <mergeCell ref="C239:C244"/>
    <mergeCell ref="E239:E244"/>
    <mergeCell ref="F239:F244"/>
    <mergeCell ref="G239:G244"/>
    <mergeCell ref="I239:I244"/>
    <mergeCell ref="J239:J244"/>
    <mergeCell ref="AQ230:AQ232"/>
    <mergeCell ref="AS230:AS232"/>
    <mergeCell ref="AT230:AT232"/>
    <mergeCell ref="S230:S232"/>
    <mergeCell ref="U230:U232"/>
    <mergeCell ref="V230:V232"/>
    <mergeCell ref="W230:W232"/>
    <mergeCell ref="Y230:Y232"/>
    <mergeCell ref="Z230:Z232"/>
    <mergeCell ref="K230:K232"/>
    <mergeCell ref="M230:M232"/>
    <mergeCell ref="N230:N232"/>
    <mergeCell ref="O230:O232"/>
    <mergeCell ref="Q230:Q232"/>
    <mergeCell ref="R230:R232"/>
    <mergeCell ref="C230:C232"/>
    <mergeCell ref="E230:E232"/>
    <mergeCell ref="F230:F232"/>
    <mergeCell ref="AX230:AX232"/>
    <mergeCell ref="AI230:AI232"/>
    <mergeCell ref="AK230:AK232"/>
    <mergeCell ref="AL230:AL232"/>
    <mergeCell ref="AM230:AM232"/>
    <mergeCell ref="AO230:AO232"/>
    <mergeCell ref="AP230:AP232"/>
    <mergeCell ref="AA230:AA232"/>
    <mergeCell ref="AC230:AC232"/>
    <mergeCell ref="AD230:AD232"/>
    <mergeCell ref="AE230:AE232"/>
    <mergeCell ref="AG230:AG232"/>
    <mergeCell ref="AH230:AH232"/>
    <mergeCell ref="G230:G232"/>
    <mergeCell ref="I230:I232"/>
    <mergeCell ref="J230:J232"/>
    <mergeCell ref="AQ224:AQ225"/>
    <mergeCell ref="AS224:AS225"/>
    <mergeCell ref="AT224:AT225"/>
    <mergeCell ref="AU224:AU225"/>
    <mergeCell ref="AW224:AW225"/>
    <mergeCell ref="AX224:AX225"/>
    <mergeCell ref="AI224:AI225"/>
    <mergeCell ref="AK224:AK225"/>
    <mergeCell ref="AL224:AL225"/>
    <mergeCell ref="AM224:AM225"/>
    <mergeCell ref="AO224:AO225"/>
    <mergeCell ref="AP224:AP225"/>
    <mergeCell ref="AA224:AA225"/>
    <mergeCell ref="AC224:AC225"/>
    <mergeCell ref="AD224:AD225"/>
    <mergeCell ref="AE224:AE225"/>
    <mergeCell ref="AG224:AG225"/>
    <mergeCell ref="AH224:AH225"/>
    <mergeCell ref="S224:S225"/>
    <mergeCell ref="U224:U225"/>
    <mergeCell ref="V224:V225"/>
    <mergeCell ref="W224:W225"/>
    <mergeCell ref="Y224:Y225"/>
    <mergeCell ref="Z224:Z225"/>
    <mergeCell ref="K224:K225"/>
    <mergeCell ref="M224:M225"/>
    <mergeCell ref="N224:N225"/>
    <mergeCell ref="O224:O225"/>
    <mergeCell ref="Q224:Q225"/>
    <mergeCell ref="R224:R225"/>
    <mergeCell ref="C224:C225"/>
    <mergeCell ref="E224:E225"/>
    <mergeCell ref="F224:F225"/>
    <mergeCell ref="G224:G225"/>
    <mergeCell ref="I224:I225"/>
    <mergeCell ref="J224:J225"/>
    <mergeCell ref="AQ218:AQ222"/>
    <mergeCell ref="AS218:AS222"/>
    <mergeCell ref="AT218:AT222"/>
    <mergeCell ref="S218:S222"/>
    <mergeCell ref="U218:U222"/>
    <mergeCell ref="V218:V222"/>
    <mergeCell ref="W218:W222"/>
    <mergeCell ref="Y218:Y222"/>
    <mergeCell ref="Z218:Z222"/>
    <mergeCell ref="K218:K222"/>
    <mergeCell ref="M218:M222"/>
    <mergeCell ref="N218:N222"/>
    <mergeCell ref="O218:O222"/>
    <mergeCell ref="Q218:Q222"/>
    <mergeCell ref="R218:R222"/>
    <mergeCell ref="C218:C222"/>
    <mergeCell ref="E218:E222"/>
    <mergeCell ref="F218:F222"/>
    <mergeCell ref="AX218:AX222"/>
    <mergeCell ref="AI218:AI222"/>
    <mergeCell ref="AK218:AK222"/>
    <mergeCell ref="AL218:AL222"/>
    <mergeCell ref="AM218:AM222"/>
    <mergeCell ref="AO218:AO222"/>
    <mergeCell ref="AP218:AP222"/>
    <mergeCell ref="AA218:AA222"/>
    <mergeCell ref="AC218:AC222"/>
    <mergeCell ref="AD218:AD222"/>
    <mergeCell ref="AE218:AE222"/>
    <mergeCell ref="AG218:AG222"/>
    <mergeCell ref="AH218:AH222"/>
    <mergeCell ref="G218:G222"/>
    <mergeCell ref="I218:I222"/>
    <mergeCell ref="J218:J222"/>
    <mergeCell ref="AQ195:AQ196"/>
    <mergeCell ref="AS195:AS196"/>
    <mergeCell ref="AT195:AT196"/>
    <mergeCell ref="AU195:AU196"/>
    <mergeCell ref="AW195:AW196"/>
    <mergeCell ref="AX195:AX196"/>
    <mergeCell ref="AI195:AI196"/>
    <mergeCell ref="AK195:AK196"/>
    <mergeCell ref="AL195:AL196"/>
    <mergeCell ref="AM195:AM196"/>
    <mergeCell ref="AO195:AO196"/>
    <mergeCell ref="AP195:AP196"/>
    <mergeCell ref="AA195:AA196"/>
    <mergeCell ref="AC195:AC196"/>
    <mergeCell ref="AD195:AD196"/>
    <mergeCell ref="AE195:AE196"/>
    <mergeCell ref="AG195:AG196"/>
    <mergeCell ref="AH195:AH196"/>
    <mergeCell ref="S195:S196"/>
    <mergeCell ref="U195:U196"/>
    <mergeCell ref="V195:V196"/>
    <mergeCell ref="W195:W196"/>
    <mergeCell ref="Y195:Y196"/>
    <mergeCell ref="Z195:Z196"/>
    <mergeCell ref="K195:K196"/>
    <mergeCell ref="M195:M196"/>
    <mergeCell ref="N195:N196"/>
    <mergeCell ref="O195:O196"/>
    <mergeCell ref="Q195:Q196"/>
    <mergeCell ref="R195:R196"/>
    <mergeCell ref="C195:C196"/>
    <mergeCell ref="E195:E196"/>
    <mergeCell ref="F195:F196"/>
    <mergeCell ref="G195:G196"/>
    <mergeCell ref="I195:I196"/>
    <mergeCell ref="J195:J196"/>
    <mergeCell ref="AQ193:AQ194"/>
    <mergeCell ref="AS193:AS194"/>
    <mergeCell ref="AT193:AT194"/>
    <mergeCell ref="S193:S194"/>
    <mergeCell ref="U193:U194"/>
    <mergeCell ref="V193:V194"/>
    <mergeCell ref="W193:W194"/>
    <mergeCell ref="Y193:Y194"/>
    <mergeCell ref="Z193:Z194"/>
    <mergeCell ref="K193:K194"/>
    <mergeCell ref="M193:M194"/>
    <mergeCell ref="N193:N194"/>
    <mergeCell ref="O193:O194"/>
    <mergeCell ref="Q193:Q194"/>
    <mergeCell ref="R193:R194"/>
    <mergeCell ref="C193:C194"/>
    <mergeCell ref="E193:E194"/>
    <mergeCell ref="F193:F194"/>
    <mergeCell ref="AX193:AX194"/>
    <mergeCell ref="AI193:AI194"/>
    <mergeCell ref="AK193:AK194"/>
    <mergeCell ref="AL193:AL194"/>
    <mergeCell ref="AM193:AM194"/>
    <mergeCell ref="AO193:AO194"/>
    <mergeCell ref="AP193:AP194"/>
    <mergeCell ref="AA193:AA194"/>
    <mergeCell ref="AC193:AC194"/>
    <mergeCell ref="AD193:AD194"/>
    <mergeCell ref="AE193:AE194"/>
    <mergeCell ref="AG193:AG194"/>
    <mergeCell ref="AH193:AH194"/>
    <mergeCell ref="G193:G194"/>
    <mergeCell ref="I193:I194"/>
    <mergeCell ref="J193:J194"/>
    <mergeCell ref="AQ152:AQ154"/>
    <mergeCell ref="AS152:AS154"/>
    <mergeCell ref="AT152:AT154"/>
    <mergeCell ref="AU152:AU154"/>
    <mergeCell ref="AW152:AW154"/>
    <mergeCell ref="AX152:AX154"/>
    <mergeCell ref="AI152:AI154"/>
    <mergeCell ref="AK152:AK154"/>
    <mergeCell ref="AL152:AL154"/>
    <mergeCell ref="AM152:AM154"/>
    <mergeCell ref="AO152:AO154"/>
    <mergeCell ref="AP152:AP154"/>
    <mergeCell ref="AA152:AA154"/>
    <mergeCell ref="AC152:AC154"/>
    <mergeCell ref="AD152:AD154"/>
    <mergeCell ref="AE152:AE154"/>
    <mergeCell ref="AG152:AG154"/>
    <mergeCell ref="AH152:AH154"/>
    <mergeCell ref="S152:S154"/>
    <mergeCell ref="U152:U154"/>
    <mergeCell ref="V152:V154"/>
    <mergeCell ref="W152:W154"/>
    <mergeCell ref="Y152:Y154"/>
    <mergeCell ref="Z152:Z154"/>
    <mergeCell ref="K152:K154"/>
    <mergeCell ref="M152:M154"/>
    <mergeCell ref="N152:N154"/>
    <mergeCell ref="O152:O154"/>
    <mergeCell ref="Q152:Q154"/>
    <mergeCell ref="R152:R154"/>
    <mergeCell ref="C152:C154"/>
    <mergeCell ref="E152:E154"/>
    <mergeCell ref="F152:F154"/>
    <mergeCell ref="G152:G154"/>
    <mergeCell ref="I152:I154"/>
    <mergeCell ref="J152:J154"/>
    <mergeCell ref="AQ141:AQ142"/>
    <mergeCell ref="AS141:AS142"/>
    <mergeCell ref="AT141:AT142"/>
    <mergeCell ref="S141:S142"/>
    <mergeCell ref="U141:U142"/>
    <mergeCell ref="V141:V142"/>
    <mergeCell ref="W141:W142"/>
    <mergeCell ref="Y141:Y142"/>
    <mergeCell ref="Z141:Z142"/>
    <mergeCell ref="K141:K142"/>
    <mergeCell ref="M141:M142"/>
    <mergeCell ref="N141:N142"/>
    <mergeCell ref="O141:O142"/>
    <mergeCell ref="Q141:Q142"/>
    <mergeCell ref="R141:R142"/>
    <mergeCell ref="C141:C142"/>
    <mergeCell ref="E141:E142"/>
    <mergeCell ref="F141:F142"/>
    <mergeCell ref="AW141:AW142"/>
    <mergeCell ref="AX141:AX142"/>
    <mergeCell ref="AI141:AI142"/>
    <mergeCell ref="AK141:AK142"/>
    <mergeCell ref="AL141:AL142"/>
    <mergeCell ref="AM141:AM142"/>
    <mergeCell ref="AO141:AO142"/>
    <mergeCell ref="AP141:AP142"/>
    <mergeCell ref="AA141:AA142"/>
    <mergeCell ref="AC141:AC142"/>
    <mergeCell ref="AD141:AD142"/>
    <mergeCell ref="AE141:AE142"/>
    <mergeCell ref="AG141:AG142"/>
    <mergeCell ref="AH141:AH142"/>
    <mergeCell ref="G141:G142"/>
    <mergeCell ref="I141:I142"/>
    <mergeCell ref="J141:J142"/>
    <mergeCell ref="AQ138:AQ139"/>
    <mergeCell ref="AS138:AS139"/>
    <mergeCell ref="AT138:AT139"/>
    <mergeCell ref="AU138:AU139"/>
    <mergeCell ref="AW138:AW139"/>
    <mergeCell ref="AX138:AX139"/>
    <mergeCell ref="AI138:AI139"/>
    <mergeCell ref="AK138:AK139"/>
    <mergeCell ref="AL138:AL139"/>
    <mergeCell ref="AM138:AM139"/>
    <mergeCell ref="AO138:AO139"/>
    <mergeCell ref="AP138:AP139"/>
    <mergeCell ref="AA138:AA139"/>
    <mergeCell ref="AC138:AC139"/>
    <mergeCell ref="AD138:AD139"/>
    <mergeCell ref="AE138:AE139"/>
    <mergeCell ref="AG138:AG139"/>
    <mergeCell ref="AH138:AH139"/>
    <mergeCell ref="S138:S139"/>
    <mergeCell ref="U138:U139"/>
    <mergeCell ref="V138:V139"/>
    <mergeCell ref="W138:W139"/>
    <mergeCell ref="Y138:Y139"/>
    <mergeCell ref="Z138:Z139"/>
    <mergeCell ref="K138:K139"/>
    <mergeCell ref="M138:M139"/>
    <mergeCell ref="N138:N139"/>
    <mergeCell ref="O138:O139"/>
    <mergeCell ref="Q138:Q139"/>
    <mergeCell ref="R138:R139"/>
    <mergeCell ref="C138:C139"/>
    <mergeCell ref="E138:E139"/>
    <mergeCell ref="F138:F139"/>
    <mergeCell ref="G138:G139"/>
    <mergeCell ref="I138:I139"/>
    <mergeCell ref="J138:J139"/>
    <mergeCell ref="AQ284:AQ285"/>
    <mergeCell ref="AS284:AS285"/>
    <mergeCell ref="AT284:AT285"/>
    <mergeCell ref="AA284:AA285"/>
    <mergeCell ref="AC284:AC285"/>
    <mergeCell ref="AD284:AD285"/>
    <mergeCell ref="AE284:AE285"/>
    <mergeCell ref="AG284:AG285"/>
    <mergeCell ref="AH284:AH285"/>
    <mergeCell ref="S284:S285"/>
    <mergeCell ref="U284:U285"/>
    <mergeCell ref="V284:V285"/>
    <mergeCell ref="W284:W285"/>
    <mergeCell ref="Y284:Y285"/>
    <mergeCell ref="Z284:Z285"/>
    <mergeCell ref="K284:K285"/>
    <mergeCell ref="M284:M285"/>
    <mergeCell ref="N284:N285"/>
    <mergeCell ref="AU284:AU285"/>
    <mergeCell ref="AW284:AW285"/>
    <mergeCell ref="AX284:AX285"/>
    <mergeCell ref="AI284:AI285"/>
    <mergeCell ref="AK284:AK285"/>
    <mergeCell ref="AL284:AL285"/>
    <mergeCell ref="AM284:AM285"/>
    <mergeCell ref="AO284:AO285"/>
    <mergeCell ref="AP284:AP285"/>
    <mergeCell ref="O284:O285"/>
    <mergeCell ref="Q284:Q285"/>
    <mergeCell ref="R284:R285"/>
    <mergeCell ref="C284:C285"/>
    <mergeCell ref="E284:E285"/>
    <mergeCell ref="F284:F285"/>
    <mergeCell ref="G284:G285"/>
    <mergeCell ref="I284:I285"/>
    <mergeCell ref="J284:J285"/>
    <mergeCell ref="AQ82:AQ83"/>
    <mergeCell ref="AS82:AS83"/>
    <mergeCell ref="AT82:AT83"/>
    <mergeCell ref="AU82:AU83"/>
    <mergeCell ref="AW82:AW83"/>
    <mergeCell ref="AX82:AX83"/>
    <mergeCell ref="AI82:AI83"/>
    <mergeCell ref="AK82:AK83"/>
    <mergeCell ref="AL82:AL83"/>
    <mergeCell ref="AM82:AM83"/>
    <mergeCell ref="AO82:AO83"/>
    <mergeCell ref="AP82:AP83"/>
    <mergeCell ref="C82:C83"/>
    <mergeCell ref="E82:E83"/>
    <mergeCell ref="F82:F83"/>
    <mergeCell ref="G82:G83"/>
    <mergeCell ref="I82:I83"/>
    <mergeCell ref="J82:J83"/>
    <mergeCell ref="AA82:AA83"/>
    <mergeCell ref="AC82:AC83"/>
    <mergeCell ref="AD82:AD83"/>
    <mergeCell ref="S82:S83"/>
    <mergeCell ref="U82:U83"/>
    <mergeCell ref="V82:V83"/>
    <mergeCell ref="W82:W83"/>
    <mergeCell ref="Y82:Y83"/>
    <mergeCell ref="Z82:Z83"/>
    <mergeCell ref="AQ75:AQ76"/>
    <mergeCell ref="AS75:AS76"/>
    <mergeCell ref="AT75:AT76"/>
    <mergeCell ref="AU75:AU76"/>
    <mergeCell ref="AW75:AW76"/>
    <mergeCell ref="AX75:AX76"/>
    <mergeCell ref="AI75:AI76"/>
    <mergeCell ref="AK75:AK76"/>
    <mergeCell ref="AL75:AL76"/>
    <mergeCell ref="AM75:AM76"/>
    <mergeCell ref="AO75:AO76"/>
    <mergeCell ref="AP75:AP76"/>
    <mergeCell ref="F75:F76"/>
    <mergeCell ref="G75:G76"/>
    <mergeCell ref="I75:I76"/>
    <mergeCell ref="J75:J76"/>
    <mergeCell ref="AA75:AA76"/>
    <mergeCell ref="AC75:AC76"/>
    <mergeCell ref="AD75:AD76"/>
    <mergeCell ref="S75:S76"/>
    <mergeCell ref="U75:U76"/>
    <mergeCell ref="V75:V76"/>
    <mergeCell ref="W75:W76"/>
    <mergeCell ref="Y75:Y76"/>
    <mergeCell ref="Z75:Z76"/>
    <mergeCell ref="AI180:AI183"/>
    <mergeCell ref="AK180:AK183"/>
    <mergeCell ref="AL180:AL183"/>
    <mergeCell ref="AM180:AM183"/>
    <mergeCell ref="AO180:AO183"/>
    <mergeCell ref="AP180:AP183"/>
    <mergeCell ref="K75:K76"/>
    <mergeCell ref="M75:M76"/>
    <mergeCell ref="N75:N76"/>
    <mergeCell ref="O75:O76"/>
    <mergeCell ref="Q75:Q76"/>
    <mergeCell ref="R75:R76"/>
    <mergeCell ref="AE75:AE76"/>
    <mergeCell ref="AG75:AG76"/>
    <mergeCell ref="AH75:AH76"/>
    <mergeCell ref="K82:K83"/>
    <mergeCell ref="M82:M83"/>
    <mergeCell ref="N82:N83"/>
    <mergeCell ref="O82:O83"/>
    <mergeCell ref="Q82:Q83"/>
    <mergeCell ref="R82:R83"/>
    <mergeCell ref="AE82:AE83"/>
    <mergeCell ref="AG82:AG83"/>
    <mergeCell ref="AH82:AH83"/>
    <mergeCell ref="AA180:AA183"/>
    <mergeCell ref="AC180:AC183"/>
    <mergeCell ref="AD180:AD183"/>
    <mergeCell ref="AE180:AE183"/>
    <mergeCell ref="AG180:AG183"/>
    <mergeCell ref="AH180:AH183"/>
    <mergeCell ref="S180:S183"/>
    <mergeCell ref="U180:U183"/>
    <mergeCell ref="V180:V183"/>
    <mergeCell ref="W180:W183"/>
    <mergeCell ref="Y180:Y183"/>
    <mergeCell ref="Z180:Z183"/>
    <mergeCell ref="O180:O183"/>
    <mergeCell ref="Q180:Q183"/>
    <mergeCell ref="R180:R183"/>
    <mergeCell ref="C180:C183"/>
    <mergeCell ref="E180:E183"/>
    <mergeCell ref="F180:F183"/>
    <mergeCell ref="G180:G183"/>
    <mergeCell ref="I180:I183"/>
    <mergeCell ref="J180:J183"/>
    <mergeCell ref="V70:V71"/>
    <mergeCell ref="W70:W71"/>
    <mergeCell ref="Y70:Y71"/>
    <mergeCell ref="AT70:AT71"/>
    <mergeCell ref="AU70:AU71"/>
    <mergeCell ref="AW70:AW71"/>
    <mergeCell ref="AC70:AC71"/>
    <mergeCell ref="N70:N71"/>
    <mergeCell ref="O70:O71"/>
    <mergeCell ref="Q70:Q71"/>
    <mergeCell ref="R70:R71"/>
    <mergeCell ref="S70:S71"/>
    <mergeCell ref="U70:U71"/>
    <mergeCell ref="Z70:Z71"/>
    <mergeCell ref="AA70:AA71"/>
    <mergeCell ref="AL70:AL71"/>
    <mergeCell ref="AM70:AM71"/>
    <mergeCell ref="AO70:AO71"/>
    <mergeCell ref="AP70:AP71"/>
    <mergeCell ref="AQ70:AQ71"/>
    <mergeCell ref="AS70:AS71"/>
    <mergeCell ref="AD70:AD71"/>
    <mergeCell ref="AE70:AE71"/>
    <mergeCell ref="AG70:AG71"/>
    <mergeCell ref="AH70:AH71"/>
    <mergeCell ref="AI70:AI71"/>
    <mergeCell ref="AK70:AK71"/>
    <mergeCell ref="AP36:AP37"/>
    <mergeCell ref="AQ36:AQ37"/>
    <mergeCell ref="AS36:AS37"/>
    <mergeCell ref="AT36:AT37"/>
    <mergeCell ref="AU36:AU37"/>
    <mergeCell ref="AW36:AW37"/>
    <mergeCell ref="AH36:AH37"/>
    <mergeCell ref="AI36:AI37"/>
    <mergeCell ref="AK36:AK37"/>
    <mergeCell ref="AL36:AL37"/>
    <mergeCell ref="AM36:AM37"/>
    <mergeCell ref="AO36:AO37"/>
    <mergeCell ref="AP47:AP48"/>
    <mergeCell ref="AQ47:AQ48"/>
    <mergeCell ref="AS47:AS48"/>
    <mergeCell ref="AH47:AH48"/>
    <mergeCell ref="AI47:AI48"/>
    <mergeCell ref="AK47:AK48"/>
    <mergeCell ref="AL47:AL48"/>
    <mergeCell ref="AM47:AM48"/>
    <mergeCell ref="AO47:AO48"/>
    <mergeCell ref="N36:N37"/>
    <mergeCell ref="O36:O37"/>
    <mergeCell ref="Q36:Q37"/>
    <mergeCell ref="AC47:AC48"/>
    <mergeCell ref="N47:N48"/>
    <mergeCell ref="O47:O48"/>
    <mergeCell ref="Q47:Q48"/>
    <mergeCell ref="R47:R48"/>
    <mergeCell ref="S47:S48"/>
    <mergeCell ref="U47:U48"/>
    <mergeCell ref="AC36:AC37"/>
    <mergeCell ref="AD36:AD37"/>
    <mergeCell ref="AE36:AE37"/>
    <mergeCell ref="A23:B23"/>
    <mergeCell ref="C47:C48"/>
    <mergeCell ref="E47:E48"/>
    <mergeCell ref="F47:F48"/>
    <mergeCell ref="G47:G48"/>
    <mergeCell ref="I47:I48"/>
    <mergeCell ref="J47:J48"/>
    <mergeCell ref="K47:K48"/>
    <mergeCell ref="M47:M48"/>
    <mergeCell ref="A35:B35"/>
    <mergeCell ref="C36:C37"/>
    <mergeCell ref="E36:E37"/>
    <mergeCell ref="F36:F37"/>
    <mergeCell ref="G36:G37"/>
    <mergeCell ref="I36:I37"/>
    <mergeCell ref="A41:B41"/>
    <mergeCell ref="A45:B45"/>
    <mergeCell ref="Z47:Z48"/>
    <mergeCell ref="AA47:AA48"/>
    <mergeCell ref="J36:J37"/>
    <mergeCell ref="K36:K37"/>
    <mergeCell ref="M36:M37"/>
    <mergeCell ref="M19:M22"/>
    <mergeCell ref="O19:O22"/>
    <mergeCell ref="Q19:Q22"/>
    <mergeCell ref="S19:S22"/>
    <mergeCell ref="U19:U22"/>
    <mergeCell ref="W19:W22"/>
    <mergeCell ref="AU14:AU18"/>
    <mergeCell ref="AW14:AW18"/>
    <mergeCell ref="AX14:AX18"/>
    <mergeCell ref="AP14:AP18"/>
    <mergeCell ref="AQ14:AQ18"/>
    <mergeCell ref="AS14:AS18"/>
    <mergeCell ref="AT14:AT18"/>
    <mergeCell ref="S14:S18"/>
    <mergeCell ref="U14:U18"/>
    <mergeCell ref="V14:V18"/>
    <mergeCell ref="AX19:AX22"/>
    <mergeCell ref="N19:N22"/>
    <mergeCell ref="R19:R22"/>
    <mergeCell ref="V19:V22"/>
    <mergeCell ref="Z19:Z22"/>
    <mergeCell ref="AD19:AD22"/>
    <mergeCell ref="AH19:AH22"/>
    <mergeCell ref="AL19:AL22"/>
    <mergeCell ref="C19:C22"/>
    <mergeCell ref="E19:E22"/>
    <mergeCell ref="F19:F22"/>
    <mergeCell ref="G19:G22"/>
    <mergeCell ref="I19:I22"/>
    <mergeCell ref="J19:J22"/>
    <mergeCell ref="K19:K22"/>
    <mergeCell ref="AM14:AM18"/>
    <mergeCell ref="AO14:AO18"/>
    <mergeCell ref="AE14:AE18"/>
    <mergeCell ref="AG14:AG18"/>
    <mergeCell ref="AH14:AH18"/>
    <mergeCell ref="AI14:AI18"/>
    <mergeCell ref="AK14:AK18"/>
    <mergeCell ref="AL14:AL18"/>
    <mergeCell ref="W14:W18"/>
    <mergeCell ref="Y14:Y18"/>
    <mergeCell ref="Z14:Z18"/>
    <mergeCell ref="AA14:AA18"/>
    <mergeCell ref="AC14:AC18"/>
    <mergeCell ref="AD14:AD18"/>
    <mergeCell ref="O14:O18"/>
    <mergeCell ref="Q14:Q18"/>
    <mergeCell ref="R14:R18"/>
    <mergeCell ref="AP11:AP12"/>
    <mergeCell ref="AQ11:AQ12"/>
    <mergeCell ref="AS11:AS12"/>
    <mergeCell ref="AT11:AT12"/>
    <mergeCell ref="AU11:AU12"/>
    <mergeCell ref="AW11:AW12"/>
    <mergeCell ref="AH11:AH12"/>
    <mergeCell ref="AI11:AI12"/>
    <mergeCell ref="AK11:AK12"/>
    <mergeCell ref="AL11:AL12"/>
    <mergeCell ref="AM11:AM12"/>
    <mergeCell ref="AO11:AO12"/>
    <mergeCell ref="C14:C18"/>
    <mergeCell ref="E14:E18"/>
    <mergeCell ref="F14:F18"/>
    <mergeCell ref="G14:G18"/>
    <mergeCell ref="I14:I18"/>
    <mergeCell ref="J14:J18"/>
    <mergeCell ref="K14:K18"/>
    <mergeCell ref="M14:M18"/>
    <mergeCell ref="N14:N18"/>
    <mergeCell ref="AC11:AC12"/>
    <mergeCell ref="AD11:AD12"/>
    <mergeCell ref="AE11:AE12"/>
    <mergeCell ref="AG11:AG12"/>
    <mergeCell ref="R11:R12"/>
    <mergeCell ref="S11:S12"/>
    <mergeCell ref="U11:U12"/>
    <mergeCell ref="V11:V12"/>
    <mergeCell ref="W11:W12"/>
    <mergeCell ref="Y11:Y12"/>
    <mergeCell ref="Z11:Z12"/>
    <mergeCell ref="AA11:AA12"/>
    <mergeCell ref="J11:J12"/>
    <mergeCell ref="K11:K12"/>
    <mergeCell ref="M11:M12"/>
    <mergeCell ref="N11:N12"/>
    <mergeCell ref="O11:O12"/>
    <mergeCell ref="Q11:Q12"/>
    <mergeCell ref="A9:B9"/>
    <mergeCell ref="C11:C12"/>
    <mergeCell ref="E11:E12"/>
    <mergeCell ref="F11:F12"/>
    <mergeCell ref="G11:G12"/>
    <mergeCell ref="I11:I12"/>
    <mergeCell ref="AZ5:AZ7"/>
    <mergeCell ref="A7:B7"/>
    <mergeCell ref="A8:B8"/>
    <mergeCell ref="S5:V6"/>
    <mergeCell ref="W5:Z6"/>
    <mergeCell ref="AA5:AD6"/>
    <mergeCell ref="AE5:AH6"/>
    <mergeCell ref="AI5:AL6"/>
    <mergeCell ref="AM5:AP6"/>
    <mergeCell ref="A5:A6"/>
    <mergeCell ref="B5:B6"/>
    <mergeCell ref="C5:F6"/>
    <mergeCell ref="G5:J6"/>
    <mergeCell ref="K5:N6"/>
    <mergeCell ref="O5:R6"/>
    <mergeCell ref="AY19:AY22"/>
    <mergeCell ref="AY14:AY18"/>
    <mergeCell ref="AY47:AY48"/>
    <mergeCell ref="AY70:AY71"/>
    <mergeCell ref="AY180:AY183"/>
    <mergeCell ref="AY75:AY76"/>
    <mergeCell ref="AY82:AY83"/>
    <mergeCell ref="AY284:AY285"/>
    <mergeCell ref="AQ5:AT6"/>
    <mergeCell ref="AU5:AX6"/>
    <mergeCell ref="AY5:AY7"/>
    <mergeCell ref="AX11:AX12"/>
    <mergeCell ref="AX47:AX48"/>
    <mergeCell ref="AT47:AT48"/>
    <mergeCell ref="AU47:AU48"/>
    <mergeCell ref="AW47:AW48"/>
    <mergeCell ref="AX36:AX37"/>
    <mergeCell ref="AX70:AX71"/>
    <mergeCell ref="AQ180:AQ183"/>
    <mergeCell ref="AS180:AS183"/>
    <mergeCell ref="AT180:AT183"/>
    <mergeCell ref="AU180:AU183"/>
    <mergeCell ref="AW180:AW183"/>
    <mergeCell ref="AX180:AX183"/>
    <mergeCell ref="AY239:AY244"/>
    <mergeCell ref="AY247:AY248"/>
    <mergeCell ref="AY250:AY251"/>
    <mergeCell ref="AY258:AY259"/>
    <mergeCell ref="AY265:AY266"/>
    <mergeCell ref="AY138:AY139"/>
    <mergeCell ref="AY141:AY142"/>
    <mergeCell ref="AY152:AY154"/>
    <mergeCell ref="AY193:AY194"/>
    <mergeCell ref="AY195:AY196"/>
    <mergeCell ref="AY218:AY222"/>
    <mergeCell ref="AY224:AY225"/>
    <mergeCell ref="AY230:AY232"/>
    <mergeCell ref="A54:B54"/>
    <mergeCell ref="N274:N275"/>
    <mergeCell ref="F274:F275"/>
    <mergeCell ref="M274:M275"/>
    <mergeCell ref="I274:I275"/>
    <mergeCell ref="E274:E275"/>
    <mergeCell ref="J274:J275"/>
    <mergeCell ref="C274:C275"/>
    <mergeCell ref="G274:G275"/>
    <mergeCell ref="K274:K275"/>
    <mergeCell ref="A65:B65"/>
    <mergeCell ref="C70:C71"/>
    <mergeCell ref="E70:E71"/>
    <mergeCell ref="F70:F71"/>
    <mergeCell ref="G70:G71"/>
    <mergeCell ref="I70:I71"/>
    <mergeCell ref="J70:J71"/>
    <mergeCell ref="K70:K71"/>
    <mergeCell ref="M70:M71"/>
    <mergeCell ref="K180:K183"/>
    <mergeCell ref="M180:M183"/>
    <mergeCell ref="N180:N183"/>
    <mergeCell ref="C75:C76"/>
    <mergeCell ref="E75:E76"/>
  </mergeCells>
  <conditionalFormatting sqref="A231">
    <cfRule type="duplicateValues" dxfId="12" priority="1"/>
  </conditionalFormatting>
  <conditionalFormatting sqref="A232:A1048576 A1:A32 A34:A40 A46:A53 A55:A56 A58:A59 A61:A230 A42:A44">
    <cfRule type="duplicateValues" dxfId="11" priority="11"/>
  </conditionalFormatting>
  <pageMargins left="0.511811024" right="0.511811024" top="0.78740157499999996" bottom="0.78740157499999996" header="0.31496062000000002" footer="0.31496062000000002"/>
  <pageSetup paperSize="9" orientation="portrait" horizontalDpi="300" verticalDpi="300" r:id="rId1"/>
  <ignoredErrors>
    <ignoredError sqref="E20:E22" formulaRange="1"/>
  </ignoredErrors>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2:CB70"/>
  <sheetViews>
    <sheetView showGridLines="0" topLeftCell="A46" zoomScale="85" zoomScaleNormal="85" workbookViewId="0">
      <pane xSplit="2" topLeftCell="C1" activePane="topRight" state="frozen"/>
      <selection activeCell="B39" sqref="B39"/>
      <selection pane="topRight" activeCell="B10" sqref="B10"/>
    </sheetView>
  </sheetViews>
  <sheetFormatPr defaultColWidth="20.140625" defaultRowHeight="18" customHeight="1" x14ac:dyDescent="0.25"/>
  <cols>
    <col min="1" max="1" width="14.140625" style="1699" bestFit="1" customWidth="1"/>
    <col min="2" max="2" width="45.42578125" style="1700" customWidth="1"/>
    <col min="3" max="3" width="11.85546875" style="1876" bestFit="1" customWidth="1"/>
    <col min="4" max="4" width="12.7109375" style="1876" bestFit="1" customWidth="1"/>
    <col min="5" max="5" width="11.140625" style="1876" bestFit="1" customWidth="1"/>
    <col min="6" max="6" width="11.7109375" style="1876" customWidth="1"/>
    <col min="7" max="7" width="10.7109375" style="1876" customWidth="1"/>
    <col min="8" max="8" width="6" style="1870" customWidth="1"/>
    <col min="9" max="9" width="11.85546875" style="1700" bestFit="1" customWidth="1"/>
    <col min="10" max="10" width="12.7109375" style="1876" bestFit="1" customWidth="1"/>
    <col min="11" max="11" width="11.42578125" style="1876" bestFit="1" customWidth="1"/>
    <col min="12" max="12" width="5.7109375" style="1876" bestFit="1" customWidth="1"/>
    <col min="13" max="13" width="10.42578125" style="1876" bestFit="1" customWidth="1"/>
    <col min="14" max="14" width="4.5703125" style="1870" customWidth="1"/>
    <col min="15" max="15" width="11.85546875" style="1700" bestFit="1" customWidth="1"/>
    <col min="16" max="16" width="12" style="1876" bestFit="1" customWidth="1"/>
    <col min="17" max="17" width="12.5703125" style="1876" bestFit="1" customWidth="1"/>
    <col min="18" max="18" width="8.140625" style="1876" bestFit="1" customWidth="1"/>
    <col min="19" max="19" width="10.42578125" style="1876" bestFit="1" customWidth="1"/>
    <col min="20" max="20" width="4.85546875" style="1870" customWidth="1"/>
    <col min="21" max="21" width="11.85546875" style="1700" bestFit="1" customWidth="1"/>
    <col min="22" max="22" width="12" style="1876" bestFit="1" customWidth="1"/>
    <col min="23" max="23" width="12.5703125" style="1876" bestFit="1" customWidth="1"/>
    <col min="24" max="24" width="5.7109375" style="1876" bestFit="1" customWidth="1"/>
    <col min="25" max="25" width="10.42578125" style="1876" bestFit="1" customWidth="1"/>
    <col min="26" max="26" width="4.7109375" style="1870" customWidth="1"/>
    <col min="27" max="27" width="12.7109375" style="1700" bestFit="1" customWidth="1"/>
    <col min="28" max="28" width="12" style="1876" bestFit="1" customWidth="1"/>
    <col min="29" max="29" width="12.7109375" style="1876" bestFit="1" customWidth="1"/>
    <col min="30" max="30" width="5.7109375" style="1876" bestFit="1" customWidth="1"/>
    <col min="31" max="31" width="10.42578125" style="1876" bestFit="1" customWidth="1"/>
    <col min="32" max="32" width="4" style="1870" customWidth="1"/>
    <col min="33" max="33" width="11.85546875" style="1700" bestFit="1" customWidth="1"/>
    <col min="34" max="34" width="12" style="1876" bestFit="1" customWidth="1"/>
    <col min="35" max="35" width="12.5703125" style="1876" bestFit="1" customWidth="1"/>
    <col min="36" max="36" width="5.7109375" style="1876" bestFit="1" customWidth="1"/>
    <col min="37" max="37" width="10.42578125" style="1876" bestFit="1" customWidth="1"/>
    <col min="38" max="38" width="4.85546875" style="1870" customWidth="1"/>
    <col min="39" max="39" width="11.85546875" style="1700" bestFit="1" customWidth="1"/>
    <col min="40" max="40" width="12" style="1876" bestFit="1" customWidth="1"/>
    <col min="41" max="41" width="12.5703125" style="1876" bestFit="1" customWidth="1"/>
    <col min="42" max="42" width="5.7109375" style="1876" bestFit="1" customWidth="1"/>
    <col min="43" max="43" width="10.42578125" style="1876" bestFit="1" customWidth="1"/>
    <col min="44" max="44" width="5.85546875" style="1870" customWidth="1"/>
    <col min="45" max="45" width="11.85546875" style="1700" bestFit="1" customWidth="1"/>
    <col min="46" max="46" width="12" style="1876" bestFit="1" customWidth="1"/>
    <col min="47" max="47" width="12.5703125" style="1876" bestFit="1" customWidth="1"/>
    <col min="48" max="48" width="5.7109375" style="1876" bestFit="1" customWidth="1"/>
    <col min="49" max="49" width="10.42578125" style="1876" bestFit="1" customWidth="1"/>
    <col min="50" max="50" width="6.140625" style="1870" customWidth="1"/>
    <col min="51" max="51" width="11.85546875" style="1700" bestFit="1" customWidth="1"/>
    <col min="52" max="52" width="12" style="1876" bestFit="1" customWidth="1"/>
    <col min="53" max="53" width="12.5703125" style="1876" bestFit="1" customWidth="1"/>
    <col min="54" max="54" width="5.7109375" style="1876" bestFit="1" customWidth="1"/>
    <col min="55" max="55" width="10.42578125" style="1876" bestFit="1" customWidth="1"/>
    <col min="56" max="56" width="5.42578125" style="1870" customWidth="1"/>
    <col min="57" max="57" width="11.85546875" style="1700" bestFit="1" customWidth="1"/>
    <col min="58" max="58" width="12" style="1876" bestFit="1" customWidth="1"/>
    <col min="59" max="59" width="12.5703125" style="1876" bestFit="1" customWidth="1"/>
    <col min="60" max="60" width="5.7109375" style="1876" bestFit="1" customWidth="1"/>
    <col min="61" max="61" width="10.42578125" style="1876" bestFit="1" customWidth="1"/>
    <col min="62" max="62" width="5.5703125" style="1870" customWidth="1"/>
    <col min="63" max="63" width="12.7109375" style="1700" bestFit="1" customWidth="1"/>
    <col min="64" max="64" width="12" style="1876" bestFit="1" customWidth="1"/>
    <col min="65" max="65" width="12.7109375" style="1876" bestFit="1" customWidth="1"/>
    <col min="66" max="66" width="5.7109375" style="1876" bestFit="1" customWidth="1"/>
    <col min="67" max="67" width="10.42578125" style="1876" bestFit="1" customWidth="1"/>
    <col min="68" max="68" width="5.28515625" style="1870" customWidth="1"/>
    <col min="69" max="69" width="11.85546875" style="1700" bestFit="1" customWidth="1"/>
    <col min="70" max="70" width="12" style="1876" bestFit="1" customWidth="1"/>
    <col min="71" max="71" width="12.5703125" style="1876" bestFit="1" customWidth="1"/>
    <col min="72" max="72" width="5.7109375" style="1876" bestFit="1" customWidth="1"/>
    <col min="73" max="73" width="10.42578125" style="1876" bestFit="1" customWidth="1"/>
    <col min="74" max="74" width="3.5703125" style="1870" customWidth="1"/>
    <col min="75" max="75" width="16.42578125" style="1700" bestFit="1" customWidth="1"/>
    <col min="76" max="76" width="19.140625" style="1700" bestFit="1" customWidth="1"/>
    <col min="77" max="77" width="20.140625" style="1700"/>
    <col min="78" max="78" width="20.140625" style="1702"/>
    <col min="79" max="16384" width="20.140625" style="1700"/>
  </cols>
  <sheetData>
    <row r="2" spans="1:80" ht="18" customHeight="1" x14ac:dyDescent="0.25">
      <c r="C2" s="321"/>
      <c r="D2" s="321"/>
      <c r="E2" s="321"/>
      <c r="F2" s="321"/>
      <c r="G2" s="321"/>
      <c r="H2" s="1701"/>
      <c r="J2" s="321"/>
      <c r="K2" s="321"/>
      <c r="L2" s="321"/>
      <c r="M2" s="321"/>
      <c r="N2" s="1701"/>
      <c r="P2" s="321"/>
      <c r="Q2" s="321"/>
      <c r="R2" s="321"/>
      <c r="S2" s="321"/>
      <c r="T2" s="1701"/>
      <c r="V2" s="321"/>
      <c r="W2" s="321"/>
      <c r="X2" s="321"/>
      <c r="Y2" s="321"/>
      <c r="Z2" s="1701"/>
      <c r="AB2" s="321"/>
      <c r="AC2" s="321"/>
      <c r="AD2" s="321"/>
      <c r="AE2" s="321"/>
      <c r="AF2" s="1701"/>
      <c r="AH2" s="321"/>
      <c r="AI2" s="321"/>
      <c r="AJ2" s="321"/>
      <c r="AK2" s="321"/>
      <c r="AL2" s="1701"/>
      <c r="AM2" s="321"/>
      <c r="AN2" s="321"/>
      <c r="AO2" s="321"/>
      <c r="AP2" s="321"/>
      <c r="AQ2" s="321"/>
      <c r="AR2" s="1701"/>
      <c r="AT2" s="321"/>
      <c r="AU2" s="321"/>
      <c r="AV2" s="321"/>
      <c r="AW2" s="321"/>
      <c r="AX2" s="1701"/>
      <c r="AZ2" s="321"/>
      <c r="BA2" s="321"/>
      <c r="BB2" s="321"/>
      <c r="BC2" s="321"/>
      <c r="BD2" s="1701"/>
      <c r="BF2" s="321"/>
      <c r="BG2" s="321"/>
      <c r="BH2" s="321"/>
      <c r="BI2" s="321"/>
      <c r="BJ2" s="1701"/>
      <c r="BL2" s="321"/>
      <c r="BM2" s="321"/>
      <c r="BN2" s="321"/>
      <c r="BO2" s="321"/>
      <c r="BP2" s="1701"/>
      <c r="BR2" s="321"/>
      <c r="BS2" s="321"/>
      <c r="BT2" s="321"/>
      <c r="BU2" s="321"/>
      <c r="BV2" s="1701"/>
      <c r="BW2" s="321"/>
      <c r="BX2" s="321"/>
      <c r="BY2" s="321"/>
    </row>
    <row r="3" spans="1:80" ht="18" customHeight="1" x14ac:dyDescent="0.25">
      <c r="C3" s="321"/>
      <c r="D3" s="321"/>
      <c r="E3" s="321"/>
      <c r="F3" s="321"/>
      <c r="G3" s="321"/>
      <c r="H3" s="1701"/>
      <c r="I3" s="1703"/>
      <c r="J3" s="321"/>
      <c r="K3" s="321"/>
      <c r="L3" s="321"/>
      <c r="M3" s="321"/>
      <c r="N3" s="1701"/>
      <c r="P3" s="321"/>
      <c r="Q3" s="321"/>
      <c r="R3" s="321"/>
      <c r="S3" s="321"/>
      <c r="T3" s="1701"/>
      <c r="V3" s="321"/>
      <c r="W3" s="321"/>
      <c r="X3" s="321"/>
      <c r="Y3" s="321"/>
      <c r="Z3" s="1701"/>
      <c r="AB3" s="321"/>
      <c r="AC3" s="321"/>
      <c r="AD3" s="321"/>
      <c r="AE3" s="321"/>
      <c r="AF3" s="1701"/>
      <c r="AH3" s="321"/>
      <c r="AI3" s="321"/>
      <c r="AJ3" s="321"/>
      <c r="AK3" s="321"/>
      <c r="AL3" s="1701"/>
      <c r="AN3" s="321"/>
      <c r="AO3" s="321"/>
      <c r="AP3" s="321"/>
      <c r="AQ3" s="321"/>
      <c r="AR3" s="1701"/>
      <c r="AS3" s="1704"/>
      <c r="AT3" s="321"/>
      <c r="AU3" s="321"/>
      <c r="AV3" s="321"/>
      <c r="AW3" s="321"/>
      <c r="AX3" s="1701"/>
      <c r="AZ3" s="321"/>
      <c r="BA3" s="321"/>
      <c r="BB3" s="321"/>
      <c r="BC3" s="321"/>
      <c r="BD3" s="1701"/>
      <c r="BF3" s="321"/>
      <c r="BG3" s="321"/>
      <c r="BH3" s="321"/>
      <c r="BI3" s="321"/>
      <c r="BJ3" s="1701"/>
      <c r="BL3" s="321"/>
      <c r="BM3" s="321"/>
      <c r="BN3" s="321"/>
      <c r="BO3" s="321"/>
      <c r="BP3" s="1701"/>
      <c r="BR3" s="321"/>
      <c r="BS3" s="321"/>
      <c r="BT3" s="321"/>
      <c r="BU3" s="321"/>
      <c r="BV3" s="1701"/>
      <c r="BW3" s="321"/>
      <c r="BX3" s="321"/>
    </row>
    <row r="4" spans="1:80" ht="18" customHeight="1" thickBot="1" x14ac:dyDescent="0.3">
      <c r="C4" s="321"/>
      <c r="D4" s="321"/>
      <c r="E4" s="321"/>
      <c r="F4" s="321"/>
      <c r="G4" s="321"/>
      <c r="H4" s="1701"/>
      <c r="J4" s="321"/>
      <c r="K4" s="321"/>
      <c r="L4" s="321"/>
      <c r="M4" s="321"/>
      <c r="N4" s="1701"/>
      <c r="P4" s="321"/>
      <c r="Q4" s="321"/>
      <c r="R4" s="321"/>
      <c r="S4" s="321"/>
      <c r="T4" s="1701"/>
      <c r="V4" s="321"/>
      <c r="W4" s="321"/>
      <c r="X4" s="321"/>
      <c r="Y4" s="321"/>
      <c r="Z4" s="1701"/>
      <c r="AB4" s="321"/>
      <c r="AC4" s="321"/>
      <c r="AD4" s="321"/>
      <c r="AE4" s="321"/>
      <c r="AF4" s="1701"/>
      <c r="AH4" s="321"/>
      <c r="AI4" s="321"/>
      <c r="AJ4" s="321"/>
      <c r="AK4" s="321"/>
      <c r="AL4" s="1701"/>
      <c r="AM4" s="1704"/>
      <c r="AN4" s="321"/>
      <c r="AO4" s="321"/>
      <c r="AP4" s="321"/>
      <c r="AQ4" s="321"/>
      <c r="AR4" s="1701"/>
      <c r="AT4" s="321"/>
      <c r="AU4" s="321"/>
      <c r="AV4" s="321"/>
      <c r="AW4" s="321"/>
      <c r="AX4" s="1701"/>
      <c r="AZ4" s="321"/>
      <c r="BA4" s="321"/>
      <c r="BB4" s="321"/>
      <c r="BC4" s="321"/>
      <c r="BD4" s="1701"/>
      <c r="BF4" s="321"/>
      <c r="BG4" s="321"/>
      <c r="BH4" s="321"/>
      <c r="BI4" s="321"/>
      <c r="BJ4" s="1701"/>
      <c r="BL4" s="321"/>
      <c r="BM4" s="321"/>
      <c r="BN4" s="321"/>
      <c r="BO4" s="321"/>
      <c r="BP4" s="1701"/>
      <c r="BR4" s="321"/>
      <c r="BS4" s="321"/>
      <c r="BT4" s="321"/>
      <c r="BU4" s="321"/>
      <c r="BV4" s="1701"/>
      <c r="BW4" s="1705"/>
      <c r="BX4" s="1705"/>
    </row>
    <row r="5" spans="1:80" s="1708" customFormat="1" ht="18" customHeight="1" thickBot="1" x14ac:dyDescent="0.3">
      <c r="A5" s="2864" t="s">
        <v>0</v>
      </c>
      <c r="B5" s="2866" t="s">
        <v>145</v>
      </c>
      <c r="C5" s="2861" t="s">
        <v>3716</v>
      </c>
      <c r="D5" s="2862"/>
      <c r="E5" s="2862"/>
      <c r="F5" s="2862"/>
      <c r="G5" s="2856" t="s">
        <v>3838</v>
      </c>
      <c r="H5" s="1706"/>
      <c r="I5" s="2861" t="s">
        <v>3717</v>
      </c>
      <c r="J5" s="2862"/>
      <c r="K5" s="2862"/>
      <c r="L5" s="2863"/>
      <c r="M5" s="2856" t="s">
        <v>3838</v>
      </c>
      <c r="N5" s="1706"/>
      <c r="O5" s="2861" t="s">
        <v>3718</v>
      </c>
      <c r="P5" s="2862"/>
      <c r="Q5" s="2862"/>
      <c r="R5" s="2863"/>
      <c r="S5" s="2856" t="s">
        <v>3838</v>
      </c>
      <c r="T5" s="1706"/>
      <c r="U5" s="2861" t="s">
        <v>3719</v>
      </c>
      <c r="V5" s="2862"/>
      <c r="W5" s="2862"/>
      <c r="X5" s="2863"/>
      <c r="Y5" s="2856" t="s">
        <v>3838</v>
      </c>
      <c r="Z5" s="1706"/>
      <c r="AA5" s="2861" t="s">
        <v>3720</v>
      </c>
      <c r="AB5" s="2862"/>
      <c r="AC5" s="2862"/>
      <c r="AD5" s="2863"/>
      <c r="AE5" s="2856" t="s">
        <v>3838</v>
      </c>
      <c r="AF5" s="1706"/>
      <c r="AG5" s="2861" t="s">
        <v>3721</v>
      </c>
      <c r="AH5" s="2862"/>
      <c r="AI5" s="2862"/>
      <c r="AJ5" s="2863"/>
      <c r="AK5" s="2856" t="s">
        <v>3838</v>
      </c>
      <c r="AL5" s="1706"/>
      <c r="AM5" s="2861" t="s">
        <v>3722</v>
      </c>
      <c r="AN5" s="2862"/>
      <c r="AO5" s="2862"/>
      <c r="AP5" s="2863"/>
      <c r="AQ5" s="2856" t="s">
        <v>3838</v>
      </c>
      <c r="AR5" s="1706"/>
      <c r="AS5" s="2861" t="s">
        <v>3723</v>
      </c>
      <c r="AT5" s="2862"/>
      <c r="AU5" s="2862"/>
      <c r="AV5" s="2863"/>
      <c r="AW5" s="2856" t="s">
        <v>3838</v>
      </c>
      <c r="AX5" s="1706"/>
      <c r="AY5" s="2861" t="s">
        <v>3724</v>
      </c>
      <c r="AZ5" s="2862"/>
      <c r="BA5" s="2862"/>
      <c r="BB5" s="2863"/>
      <c r="BC5" s="2856" t="s">
        <v>3838</v>
      </c>
      <c r="BD5" s="1706"/>
      <c r="BE5" s="2861" t="s">
        <v>3725</v>
      </c>
      <c r="BF5" s="2862"/>
      <c r="BG5" s="2862"/>
      <c r="BH5" s="2863"/>
      <c r="BI5" s="2856" t="s">
        <v>3838</v>
      </c>
      <c r="BJ5" s="1706"/>
      <c r="BK5" s="2861" t="s">
        <v>3726</v>
      </c>
      <c r="BL5" s="2862"/>
      <c r="BM5" s="2862"/>
      <c r="BN5" s="2863"/>
      <c r="BO5" s="2856" t="s">
        <v>3838</v>
      </c>
      <c r="BP5" s="1706"/>
      <c r="BQ5" s="2861" t="s">
        <v>3727</v>
      </c>
      <c r="BR5" s="2862"/>
      <c r="BS5" s="2862"/>
      <c r="BT5" s="2863"/>
      <c r="BU5" s="2856" t="s">
        <v>3838</v>
      </c>
      <c r="BV5" s="1706"/>
      <c r="BW5" s="2852" t="s">
        <v>162</v>
      </c>
      <c r="BX5" s="2859" t="s">
        <v>163</v>
      </c>
      <c r="BY5" s="1707"/>
      <c r="BZ5" s="1707"/>
    </row>
    <row r="6" spans="1:80" s="1708" customFormat="1" ht="15.75" thickBot="1" x14ac:dyDescent="0.3">
      <c r="A6" s="2865"/>
      <c r="B6" s="2867"/>
      <c r="C6" s="1681" t="s">
        <v>3728</v>
      </c>
      <c r="D6" s="1682" t="s">
        <v>3796</v>
      </c>
      <c r="E6" s="1682" t="s">
        <v>3797</v>
      </c>
      <c r="F6" s="1681" t="s">
        <v>158</v>
      </c>
      <c r="G6" s="2857"/>
      <c r="H6" s="1709"/>
      <c r="I6" s="1710" t="s">
        <v>3728</v>
      </c>
      <c r="J6" s="1683" t="s">
        <v>3796</v>
      </c>
      <c r="K6" s="1682" t="s">
        <v>3797</v>
      </c>
      <c r="L6" s="1681" t="s">
        <v>158</v>
      </c>
      <c r="M6" s="2857"/>
      <c r="N6" s="1709"/>
      <c r="O6" s="1710" t="s">
        <v>3728</v>
      </c>
      <c r="P6" s="1683" t="s">
        <v>3796</v>
      </c>
      <c r="Q6" s="1682" t="s">
        <v>3797</v>
      </c>
      <c r="R6" s="1681" t="s">
        <v>158</v>
      </c>
      <c r="S6" s="2857"/>
      <c r="T6" s="1709"/>
      <c r="U6" s="1710" t="s">
        <v>3728</v>
      </c>
      <c r="V6" s="1683" t="s">
        <v>3796</v>
      </c>
      <c r="W6" s="1682" t="s">
        <v>3797</v>
      </c>
      <c r="X6" s="1681" t="s">
        <v>158</v>
      </c>
      <c r="Y6" s="2857"/>
      <c r="Z6" s="1709"/>
      <c r="AA6" s="1710" t="s">
        <v>3728</v>
      </c>
      <c r="AB6" s="1683" t="s">
        <v>3796</v>
      </c>
      <c r="AC6" s="1682" t="s">
        <v>3797</v>
      </c>
      <c r="AD6" s="1681" t="s">
        <v>158</v>
      </c>
      <c r="AE6" s="2857"/>
      <c r="AF6" s="1709"/>
      <c r="AG6" s="1710" t="s">
        <v>3728</v>
      </c>
      <c r="AH6" s="1683" t="s">
        <v>3796</v>
      </c>
      <c r="AI6" s="1682" t="s">
        <v>3797</v>
      </c>
      <c r="AJ6" s="1681" t="s">
        <v>158</v>
      </c>
      <c r="AK6" s="2857"/>
      <c r="AL6" s="1709"/>
      <c r="AM6" s="1710" t="s">
        <v>3728</v>
      </c>
      <c r="AN6" s="1683" t="s">
        <v>3796</v>
      </c>
      <c r="AO6" s="1682" t="s">
        <v>3797</v>
      </c>
      <c r="AP6" s="1681" t="s">
        <v>158</v>
      </c>
      <c r="AQ6" s="2857"/>
      <c r="AR6" s="1709"/>
      <c r="AS6" s="1710" t="s">
        <v>3728</v>
      </c>
      <c r="AT6" s="1683" t="s">
        <v>3796</v>
      </c>
      <c r="AU6" s="1682" t="s">
        <v>3797</v>
      </c>
      <c r="AV6" s="1681" t="s">
        <v>158</v>
      </c>
      <c r="AW6" s="2857"/>
      <c r="AX6" s="1709"/>
      <c r="AY6" s="1710" t="s">
        <v>3728</v>
      </c>
      <c r="AZ6" s="1683" t="s">
        <v>3796</v>
      </c>
      <c r="BA6" s="1682" t="s">
        <v>3797</v>
      </c>
      <c r="BB6" s="1681" t="s">
        <v>158</v>
      </c>
      <c r="BC6" s="2857"/>
      <c r="BD6" s="1709"/>
      <c r="BE6" s="1710" t="s">
        <v>3728</v>
      </c>
      <c r="BF6" s="1683" t="s">
        <v>3796</v>
      </c>
      <c r="BG6" s="1682" t="s">
        <v>3797</v>
      </c>
      <c r="BH6" s="1681" t="s">
        <v>158</v>
      </c>
      <c r="BI6" s="2857"/>
      <c r="BJ6" s="1709"/>
      <c r="BK6" s="1710" t="s">
        <v>3728</v>
      </c>
      <c r="BL6" s="1683" t="s">
        <v>3796</v>
      </c>
      <c r="BM6" s="1682" t="s">
        <v>3797</v>
      </c>
      <c r="BN6" s="1681" t="s">
        <v>158</v>
      </c>
      <c r="BO6" s="2857"/>
      <c r="BP6" s="1709"/>
      <c r="BQ6" s="1710" t="s">
        <v>3728</v>
      </c>
      <c r="BR6" s="1683" t="s">
        <v>3796</v>
      </c>
      <c r="BS6" s="1682" t="s">
        <v>3797</v>
      </c>
      <c r="BT6" s="1681" t="s">
        <v>158</v>
      </c>
      <c r="BU6" s="2857"/>
      <c r="BV6" s="1709"/>
      <c r="BW6" s="2853"/>
      <c r="BX6" s="2860"/>
      <c r="BY6" s="1711"/>
      <c r="BZ6" s="1707"/>
    </row>
    <row r="7" spans="1:80" s="1720" customFormat="1" ht="18" customHeight="1" thickBot="1" x14ac:dyDescent="0.3">
      <c r="A7" s="2828" t="s">
        <v>3715</v>
      </c>
      <c r="B7" s="2829"/>
      <c r="C7" s="1692">
        <f>SUM(C8+C22+C26)</f>
        <v>20902848.276193332</v>
      </c>
      <c r="D7" s="1712">
        <f>SUM(D8+D22+D26)</f>
        <v>22893019.450000003</v>
      </c>
      <c r="E7" s="1713">
        <f>D7-C7</f>
        <v>1990171.1738066711</v>
      </c>
      <c r="F7" s="1714">
        <f>((D7/C7)-1)*100</f>
        <v>9.5210525738414162</v>
      </c>
      <c r="G7" s="2858"/>
      <c r="H7" s="1715"/>
      <c r="I7" s="1692">
        <f>SUM(I8+I22+I26)</f>
        <v>20902848.276193332</v>
      </c>
      <c r="J7" s="2198">
        <f>SUM(J8+J22+J26)</f>
        <v>21541999.820000008</v>
      </c>
      <c r="K7" s="1713">
        <f>J7-I7</f>
        <v>639151.54380667582</v>
      </c>
      <c r="L7" s="1714">
        <f>((J7/I7)-1)*100</f>
        <v>3.0577246476721553</v>
      </c>
      <c r="M7" s="2858"/>
      <c r="N7" s="1715"/>
      <c r="O7" s="1693">
        <f>SUM(O8+O22+O26)</f>
        <v>20902848.276193332</v>
      </c>
      <c r="P7" s="2199">
        <f>SUM(P8+P22+P26)</f>
        <v>23753748.300000001</v>
      </c>
      <c r="Q7" s="1713">
        <f>P7-O7</f>
        <v>2850900.0238066688</v>
      </c>
      <c r="R7" s="1714">
        <f>((P7/O7)-1)*100</f>
        <v>13.638811257380734</v>
      </c>
      <c r="S7" s="2858"/>
      <c r="T7" s="1715"/>
      <c r="U7" s="1692">
        <f>SUM(U8+U22+U26)</f>
        <v>20906435.879143331</v>
      </c>
      <c r="V7" s="1712">
        <f>SUM(V8+V22+V26)</f>
        <v>0</v>
      </c>
      <c r="W7" s="1713">
        <f>V7-U7</f>
        <v>-20906435.879143331</v>
      </c>
      <c r="X7" s="1714">
        <f>((V7/U7)-1)*100</f>
        <v>-100</v>
      </c>
      <c r="Y7" s="2858"/>
      <c r="Z7" s="1715"/>
      <c r="AA7" s="1692">
        <f>SUM(AA8+AA22+AA26)</f>
        <v>21643657.746683333</v>
      </c>
      <c r="AB7" s="1712">
        <f>SUM(AB8+AB22+AB26)</f>
        <v>0</v>
      </c>
      <c r="AC7" s="1713">
        <f>AB7-AA7</f>
        <v>-21643657.746683333</v>
      </c>
      <c r="AD7" s="1714">
        <f>((AB7/AA7)-1)*100</f>
        <v>-100</v>
      </c>
      <c r="AE7" s="2858"/>
      <c r="AF7" s="1715"/>
      <c r="AG7" s="1692">
        <f>SUM(AG8+AG22+AG26)</f>
        <v>21948879.087863334</v>
      </c>
      <c r="AH7" s="1712">
        <f>SUM(AH8+AH22+AH26)</f>
        <v>0</v>
      </c>
      <c r="AI7" s="1713">
        <f>AH7-AG7</f>
        <v>-21948879.087863334</v>
      </c>
      <c r="AJ7" s="1714">
        <f>((AH7/AG7)-1)*100</f>
        <v>-100</v>
      </c>
      <c r="AK7" s="2858"/>
      <c r="AL7" s="1715"/>
      <c r="AM7" s="1692">
        <f>SUM(AM8+AM22+AM26)</f>
        <v>21983954.845723331</v>
      </c>
      <c r="AN7" s="1712">
        <f>SUM(AN8+AN22+AN26)</f>
        <v>0</v>
      </c>
      <c r="AO7" s="1713">
        <f>AN7-AM7</f>
        <v>-21983954.845723331</v>
      </c>
      <c r="AP7" s="1714">
        <f>((AN7/AM7)-1)*100</f>
        <v>-100</v>
      </c>
      <c r="AQ7" s="2858"/>
      <c r="AR7" s="1715"/>
      <c r="AS7" s="1692">
        <f>SUM(AS8+AS22+AS26)</f>
        <v>22078965.53754333</v>
      </c>
      <c r="AT7" s="1712">
        <f>SUM(AT8+AT22+AT26)</f>
        <v>0</v>
      </c>
      <c r="AU7" s="1713">
        <f>AT7-AS7</f>
        <v>-22078965.53754333</v>
      </c>
      <c r="AV7" s="1714">
        <f>((AT7/AS7)-1)*100</f>
        <v>-100</v>
      </c>
      <c r="AW7" s="2858"/>
      <c r="AX7" s="1715"/>
      <c r="AY7" s="1692">
        <f>SUM(AY8+AY22+AY26)</f>
        <v>22139970.131253332</v>
      </c>
      <c r="AZ7" s="1712">
        <f>SUM(AZ8+AZ22+AZ26)</f>
        <v>0</v>
      </c>
      <c r="BA7" s="1713">
        <f>AZ7-AY7</f>
        <v>-22139970.131253332</v>
      </c>
      <c r="BB7" s="1714">
        <f>((AZ7/AY7)-1)*100</f>
        <v>-100</v>
      </c>
      <c r="BC7" s="2858"/>
      <c r="BD7" s="1715"/>
      <c r="BE7" s="1692">
        <f>SUM(BE8+BE22+BE26)</f>
        <v>21641416.377253331</v>
      </c>
      <c r="BF7" s="1712">
        <f>SUM(BF8+BF22+BF26)</f>
        <v>0</v>
      </c>
      <c r="BG7" s="1713">
        <f>BF7-BE7</f>
        <v>-21641416.377253331</v>
      </c>
      <c r="BH7" s="1714">
        <f>((BF7/BE7)-1)*100</f>
        <v>-100</v>
      </c>
      <c r="BI7" s="2858"/>
      <c r="BJ7" s="1715"/>
      <c r="BK7" s="1692">
        <f>SUM(BK8+BK22+BK26)</f>
        <v>21874386.14511333</v>
      </c>
      <c r="BL7" s="1712">
        <f>SUM(BL8+BL22+BL26)</f>
        <v>0</v>
      </c>
      <c r="BM7" s="1713">
        <f>BL7-BK7</f>
        <v>-21874386.14511333</v>
      </c>
      <c r="BN7" s="1714">
        <f>((BL7/BK7)-1)*100</f>
        <v>-100</v>
      </c>
      <c r="BO7" s="2858"/>
      <c r="BP7" s="1715"/>
      <c r="BQ7" s="1692">
        <f>SUM(BQ8+BQ22+BQ26)</f>
        <v>21703426.14514333</v>
      </c>
      <c r="BR7" s="1712">
        <f>SUM(BR8+BR22+BR26)</f>
        <v>0</v>
      </c>
      <c r="BS7" s="1713">
        <f>BR7-BQ7</f>
        <v>-21703426.14514333</v>
      </c>
      <c r="BT7" s="1714">
        <f>((BR7/BQ7)-1)*100</f>
        <v>-100</v>
      </c>
      <c r="BU7" s="2858"/>
      <c r="BV7" s="1715"/>
      <c r="BW7" s="1693">
        <f>C7+I7+O7+U7+AA7+AG7+AM7+AS7+AY7+BE7+BK7+BQ7</f>
        <v>258629636.72429994</v>
      </c>
      <c r="BX7" s="1716">
        <f>D7+J7+P7+V7+AB7+AH7+AN7+AT7+AZ7+BF7+BL7+BR7</f>
        <v>68188767.570000008</v>
      </c>
      <c r="BY7" s="1717"/>
      <c r="BZ7" s="1718"/>
      <c r="CA7" s="1719"/>
      <c r="CB7" s="1719"/>
    </row>
    <row r="8" spans="1:80" s="1708" customFormat="1" ht="18" customHeight="1" thickBot="1" x14ac:dyDescent="0.3">
      <c r="A8" s="2833" t="s">
        <v>161</v>
      </c>
      <c r="B8" s="2834"/>
      <c r="C8" s="1754">
        <f>SUM(C9:C18)</f>
        <v>19823201.632860001</v>
      </c>
      <c r="D8" s="2200">
        <f>SUM(D9:D21)</f>
        <v>20449487.930000003</v>
      </c>
      <c r="E8" s="1722">
        <f>D8-C8</f>
        <v>626286.29714000225</v>
      </c>
      <c r="F8" s="1723">
        <f>((D8/C8)-1)*100</f>
        <v>3.1593599698942487</v>
      </c>
      <c r="G8" s="1723"/>
      <c r="H8" s="1724"/>
      <c r="I8" s="1725">
        <f>SUM(I9:I18)</f>
        <v>19823201.632860001</v>
      </c>
      <c r="J8" s="1721">
        <f>SUM(J9:J21)</f>
        <v>20115797.170000006</v>
      </c>
      <c r="K8" s="1722">
        <f>J8-I8</f>
        <v>292595.53714000434</v>
      </c>
      <c r="L8" s="1723">
        <f>((J8/I8)-1)*100</f>
        <v>1.4760256317777776</v>
      </c>
      <c r="M8" s="1723"/>
      <c r="N8" s="1724"/>
      <c r="O8" s="1725">
        <f>SUM(O9:O18)</f>
        <v>19823201.632860001</v>
      </c>
      <c r="P8" s="1721">
        <f>SUM(P9:P21)</f>
        <v>22050351.109999999</v>
      </c>
      <c r="Q8" s="1722">
        <f>P8-O8</f>
        <v>2227149.4771399982</v>
      </c>
      <c r="R8" s="1723">
        <f>((P8/O8)-1)*100</f>
        <v>11.235064438068143</v>
      </c>
      <c r="S8" s="1723"/>
      <c r="T8" s="1724"/>
      <c r="U8" s="1725">
        <f>SUM(U9:U18)</f>
        <v>19826789.23581</v>
      </c>
      <c r="V8" s="1721">
        <f>SUM(V9:V18)</f>
        <v>0</v>
      </c>
      <c r="W8" s="1722">
        <f>V8-U8</f>
        <v>-19826789.23581</v>
      </c>
      <c r="X8" s="1723">
        <f>((V8/U8)-1)*100</f>
        <v>-100</v>
      </c>
      <c r="Y8" s="1723"/>
      <c r="Z8" s="1724"/>
      <c r="AA8" s="1725">
        <f>SUM(AA9:AA18)</f>
        <v>20364011.103350002</v>
      </c>
      <c r="AB8" s="1721">
        <f>SUM(AB9:AB18)</f>
        <v>0</v>
      </c>
      <c r="AC8" s="1722">
        <f>AB8-AA8</f>
        <v>-20364011.103350002</v>
      </c>
      <c r="AD8" s="1723">
        <f>((AB8/AA8)-1)*100</f>
        <v>-100</v>
      </c>
      <c r="AE8" s="1723"/>
      <c r="AF8" s="1724"/>
      <c r="AG8" s="1725">
        <f>SUM(AG9:AG18)</f>
        <v>20869232.444530003</v>
      </c>
      <c r="AH8" s="1721">
        <f>SUM(AH9:AH18)</f>
        <v>0</v>
      </c>
      <c r="AI8" s="1722">
        <f>AH8-AG8</f>
        <v>-20869232.444530003</v>
      </c>
      <c r="AJ8" s="1723">
        <f>((AH8/AG8)-1)*100</f>
        <v>-100</v>
      </c>
      <c r="AK8" s="1723"/>
      <c r="AL8" s="1724"/>
      <c r="AM8" s="1725">
        <f>SUM(AM9:AM18)</f>
        <v>20896308.20239</v>
      </c>
      <c r="AN8" s="1721">
        <f>SUM(AN9:AN18)</f>
        <v>0</v>
      </c>
      <c r="AO8" s="1722">
        <f>AN8-AM8</f>
        <v>-20896308.20239</v>
      </c>
      <c r="AP8" s="1723">
        <f>((AN8/AM8)-1)*100</f>
        <v>-100</v>
      </c>
      <c r="AQ8" s="1723"/>
      <c r="AR8" s="1724"/>
      <c r="AS8" s="1725">
        <f>SUM(AS9:AS18)</f>
        <v>20991318.89421</v>
      </c>
      <c r="AT8" s="1721">
        <f>SUM(AT9:AT18)</f>
        <v>0</v>
      </c>
      <c r="AU8" s="1722">
        <f>AT8-AS8</f>
        <v>-20991318.89421</v>
      </c>
      <c r="AV8" s="1723">
        <f>((AT8/AS8)-1)*100</f>
        <v>-100</v>
      </c>
      <c r="AW8" s="1723"/>
      <c r="AX8" s="1724"/>
      <c r="AY8" s="1725">
        <f>SUM(AY9:AY18)</f>
        <v>21052323.487920001</v>
      </c>
      <c r="AZ8" s="1721">
        <f>SUM(AZ9:AZ18)</f>
        <v>0</v>
      </c>
      <c r="BA8" s="1722">
        <f>AZ8-AY8</f>
        <v>-21052323.487920001</v>
      </c>
      <c r="BB8" s="1723">
        <f>((AZ8/AY8)-1)*100</f>
        <v>-100</v>
      </c>
      <c r="BC8" s="1723"/>
      <c r="BD8" s="1724"/>
      <c r="BE8" s="1725">
        <f>SUM(BE9:BE18)</f>
        <v>20553769.73392</v>
      </c>
      <c r="BF8" s="1721">
        <f>SUM(BF9:BF18)</f>
        <v>0</v>
      </c>
      <c r="BG8" s="1722">
        <f>BF8-BE8</f>
        <v>-20553769.73392</v>
      </c>
      <c r="BH8" s="1723">
        <f>((BF8/BE8)-1)*100</f>
        <v>-100</v>
      </c>
      <c r="BI8" s="1723"/>
      <c r="BJ8" s="1724"/>
      <c r="BK8" s="1725">
        <f>SUM(BK9:BK18)</f>
        <v>20586739.50178</v>
      </c>
      <c r="BL8" s="1721">
        <f>SUM(BL9:BL18)</f>
        <v>0</v>
      </c>
      <c r="BM8" s="1722">
        <f>BL8-BK8</f>
        <v>-20586739.50178</v>
      </c>
      <c r="BN8" s="1723">
        <f>((BL8/BK8)-1)*100</f>
        <v>-100</v>
      </c>
      <c r="BO8" s="1723"/>
      <c r="BP8" s="1724"/>
      <c r="BQ8" s="1725">
        <f>SUM(BQ9:BQ18)</f>
        <v>20615779.501809999</v>
      </c>
      <c r="BR8" s="1721">
        <f>SUM(BR9:BR18)</f>
        <v>0</v>
      </c>
      <c r="BS8" s="1722">
        <f>BR8-BQ8</f>
        <v>-20615779.501809999</v>
      </c>
      <c r="BT8" s="1723">
        <f>((BR8/BQ8)-1)*100</f>
        <v>-100</v>
      </c>
      <c r="BU8" s="1723"/>
      <c r="BV8" s="1724"/>
      <c r="BW8" s="1725">
        <f t="shared" ref="BW8:BX10" si="0">C8+I8+O8+U8+AA8+AG8+AM8+AS8+AY8+BE8+BK8+BQ8</f>
        <v>245225877.00430006</v>
      </c>
      <c r="BX8" s="1726">
        <f t="shared" si="0"/>
        <v>62615636.210000008</v>
      </c>
      <c r="BZ8" s="1727"/>
    </row>
    <row r="9" spans="1:80" s="1708" customFormat="1" ht="18" customHeight="1" thickBot="1" x14ac:dyDescent="0.3">
      <c r="A9" s="2119">
        <v>51150</v>
      </c>
      <c r="B9" s="2201" t="s">
        <v>3674</v>
      </c>
      <c r="C9" s="1728">
        <v>12000000</v>
      </c>
      <c r="D9" s="2202">
        <v>12487098.99</v>
      </c>
      <c r="E9" s="1732">
        <f>D9-C9</f>
        <v>487098.99000000022</v>
      </c>
      <c r="F9" s="1733">
        <f>((D9/C9)-1)*100</f>
        <v>4.0591582500000056</v>
      </c>
      <c r="G9" s="1729"/>
      <c r="H9" s="1730"/>
      <c r="I9" s="1731">
        <v>12000000</v>
      </c>
      <c r="J9" s="1732">
        <v>11933744.789999999</v>
      </c>
      <c r="K9" s="1732">
        <f>J9-I9</f>
        <v>-66255.210000000894</v>
      </c>
      <c r="L9" s="1733">
        <f>((J9/I9)-1)*100</f>
        <v>-0.55212675000000377</v>
      </c>
      <c r="M9" s="1729"/>
      <c r="N9" s="1730"/>
      <c r="O9" s="1731">
        <v>12000000</v>
      </c>
      <c r="P9" s="2203">
        <v>13828879.210000001</v>
      </c>
      <c r="Q9" s="1732">
        <f>P9-O9</f>
        <v>1828879.2100000009</v>
      </c>
      <c r="R9" s="1733">
        <f>((P9/O9)-1)*100</f>
        <v>15.240660083333335</v>
      </c>
      <c r="S9" s="1729"/>
      <c r="T9" s="1730"/>
      <c r="U9" s="1734">
        <v>12000000</v>
      </c>
      <c r="V9" s="1735"/>
      <c r="W9" s="1732">
        <f>V9-U9</f>
        <v>-12000000</v>
      </c>
      <c r="X9" s="1733">
        <f>((V9/U9)-1)*100</f>
        <v>-100</v>
      </c>
      <c r="Y9" s="1729"/>
      <c r="Z9" s="1730"/>
      <c r="AA9" s="1736">
        <v>12500000</v>
      </c>
      <c r="AB9" s="1735"/>
      <c r="AC9" s="1732">
        <f>AB9-AA9</f>
        <v>-12500000</v>
      </c>
      <c r="AD9" s="1733">
        <f>((AB9/AA9)-1)*100</f>
        <v>-100</v>
      </c>
      <c r="AE9" s="1729"/>
      <c r="AF9" s="1730"/>
      <c r="AG9" s="1736">
        <v>13000000</v>
      </c>
      <c r="AH9" s="1735"/>
      <c r="AI9" s="1732">
        <f>AH9-AG9</f>
        <v>-13000000</v>
      </c>
      <c r="AJ9" s="1733">
        <f>((AH9/AG9)-1)*100</f>
        <v>-100</v>
      </c>
      <c r="AK9" s="1729"/>
      <c r="AL9" s="1730"/>
      <c r="AM9" s="1736">
        <v>13000000</v>
      </c>
      <c r="AN9" s="1735"/>
      <c r="AO9" s="1732">
        <f>AN9-AM9</f>
        <v>-13000000</v>
      </c>
      <c r="AP9" s="1733">
        <f>((AN9/AM9)-1)*100</f>
        <v>-100</v>
      </c>
      <c r="AQ9" s="1729"/>
      <c r="AR9" s="1730"/>
      <c r="AS9" s="1736">
        <v>13000000</v>
      </c>
      <c r="AT9" s="1735"/>
      <c r="AU9" s="1732">
        <f>AT9-AS9</f>
        <v>-13000000</v>
      </c>
      <c r="AV9" s="1733">
        <f>((AT9/AS9)-1)*100</f>
        <v>-100</v>
      </c>
      <c r="AW9" s="1729"/>
      <c r="AX9" s="1730"/>
      <c r="AY9" s="1736">
        <v>13000000</v>
      </c>
      <c r="AZ9" s="1735"/>
      <c r="BA9" s="1732">
        <f>AZ9-AY9</f>
        <v>-13000000</v>
      </c>
      <c r="BB9" s="1733">
        <f>((AZ9/AY9)-1)*100</f>
        <v>-100</v>
      </c>
      <c r="BC9" s="1729"/>
      <c r="BD9" s="1730"/>
      <c r="BE9" s="1736">
        <v>12500000</v>
      </c>
      <c r="BF9" s="1735"/>
      <c r="BG9" s="1732">
        <f>BF9-BE9</f>
        <v>-12500000</v>
      </c>
      <c r="BH9" s="1733">
        <f>((BF9/BE9)-1)*100</f>
        <v>-100</v>
      </c>
      <c r="BI9" s="1729"/>
      <c r="BJ9" s="1730"/>
      <c r="BK9" s="1736">
        <v>12500000</v>
      </c>
      <c r="BL9" s="1735"/>
      <c r="BM9" s="1732">
        <f>BL9-BK9</f>
        <v>-12500000</v>
      </c>
      <c r="BN9" s="1733">
        <f>((BL9/BK9)-1)*100</f>
        <v>-100</v>
      </c>
      <c r="BO9" s="1729"/>
      <c r="BP9" s="1730"/>
      <c r="BQ9" s="1736">
        <v>12500000</v>
      </c>
      <c r="BR9" s="1735"/>
      <c r="BS9" s="1732">
        <f>BR9-BQ9</f>
        <v>-12500000</v>
      </c>
      <c r="BT9" s="1733">
        <f>((BR9/BQ9)-1)*100</f>
        <v>-100</v>
      </c>
      <c r="BU9" s="1729"/>
      <c r="BV9" s="1730"/>
      <c r="BW9" s="1748">
        <f t="shared" si="0"/>
        <v>150000000</v>
      </c>
      <c r="BX9" s="2204">
        <f t="shared" si="0"/>
        <v>38249722.990000002</v>
      </c>
      <c r="BZ9" s="1707"/>
    </row>
    <row r="10" spans="1:80" s="1708" customFormat="1" ht="18" customHeight="1" x14ac:dyDescent="0.25">
      <c r="A10" s="2205">
        <v>4862</v>
      </c>
      <c r="B10" s="2206" t="s">
        <v>338</v>
      </c>
      <c r="C10" s="2850">
        <v>4281052.10286</v>
      </c>
      <c r="D10" s="2207">
        <v>4715768.8100000005</v>
      </c>
      <c r="E10" s="2846">
        <f>D10+D11-C10</f>
        <v>537933.4871400008</v>
      </c>
      <c r="F10" s="2848">
        <f>((SUM(D10:D11)/C10)-1)*100</f>
        <v>12.56545059988008</v>
      </c>
      <c r="G10" s="1738"/>
      <c r="H10" s="2167"/>
      <c r="I10" s="2850">
        <v>4281052.10286</v>
      </c>
      <c r="J10" s="1739">
        <v>4561237.2600000016</v>
      </c>
      <c r="K10" s="2846">
        <f>J10+J11-I10</f>
        <v>475597.90714000165</v>
      </c>
      <c r="L10" s="2848">
        <f>((SUM(J10:J11)/I10)-1)*100</f>
        <v>11.109369746335807</v>
      </c>
      <c r="M10" s="2165"/>
      <c r="N10" s="2167"/>
      <c r="O10" s="2850">
        <v>4281052.10286</v>
      </c>
      <c r="P10" s="2208">
        <v>4835515.1400000006</v>
      </c>
      <c r="Q10" s="2846">
        <f>P10+P11-O10</f>
        <v>664126.92714000028</v>
      </c>
      <c r="R10" s="2848">
        <f>((SUM(P10:P11)/O10)-1)*100</f>
        <v>15.513170855741819</v>
      </c>
      <c r="S10" s="2165"/>
      <c r="T10" s="2167"/>
      <c r="U10" s="2850">
        <v>4284639.7058100002</v>
      </c>
      <c r="V10" s="2209"/>
      <c r="W10" s="2846">
        <f>V10+V11-U10</f>
        <v>-4284639.7058100002</v>
      </c>
      <c r="X10" s="2848">
        <f>((SUM(V10:V11)/U10)-1)*100</f>
        <v>-100</v>
      </c>
      <c r="Y10" s="2165"/>
      <c r="Z10" s="2167"/>
      <c r="AA10" s="2850">
        <v>4321861.5733500002</v>
      </c>
      <c r="AB10" s="1739"/>
      <c r="AC10" s="2846">
        <f>AB10+AB11-AA10</f>
        <v>-4321861.5733500002</v>
      </c>
      <c r="AD10" s="2848">
        <f>((SUM(AB10:AB11)/AA10)-1)*100</f>
        <v>-100</v>
      </c>
      <c r="AE10" s="2165"/>
      <c r="AF10" s="2167"/>
      <c r="AG10" s="2854">
        <v>4327082.9145299997</v>
      </c>
      <c r="AH10" s="1739"/>
      <c r="AI10" s="2846">
        <f>AH10+AH11-AG10</f>
        <v>-4327082.9145299997</v>
      </c>
      <c r="AJ10" s="2848">
        <f>((SUM(AH10:AH11)/AG10)-1)*100</f>
        <v>-100</v>
      </c>
      <c r="AK10" s="2165"/>
      <c r="AL10" s="2167"/>
      <c r="AM10" s="2850">
        <v>4354158.672389999</v>
      </c>
      <c r="AN10" s="2209"/>
      <c r="AO10" s="2846">
        <f>AN10+AN11-AM10</f>
        <v>-4354158.672389999</v>
      </c>
      <c r="AP10" s="2848">
        <f>((SUM(AN10:AN11)/AM10)-1)*100</f>
        <v>-100</v>
      </c>
      <c r="AQ10" s="2165"/>
      <c r="AR10" s="2167"/>
      <c r="AS10" s="2850">
        <v>4449169.3642099993</v>
      </c>
      <c r="AT10" s="2209"/>
      <c r="AU10" s="2846">
        <f>AT10+AT11-AS10</f>
        <v>-4449169.3642099993</v>
      </c>
      <c r="AV10" s="2848">
        <f>((SUM(AT10:AT11)/AS10)-1)*100</f>
        <v>-100</v>
      </c>
      <c r="AW10" s="2165"/>
      <c r="AX10" s="2167"/>
      <c r="AY10" s="2850">
        <v>4510173.957919999</v>
      </c>
      <c r="AZ10" s="2209"/>
      <c r="BA10" s="2846">
        <f>AZ10+AZ11-AY10</f>
        <v>-4510173.957919999</v>
      </c>
      <c r="BB10" s="2848">
        <f>((SUM(AZ10:AZ11)/AY10)-1)*100</f>
        <v>-100</v>
      </c>
      <c r="BC10" s="2165"/>
      <c r="BD10" s="2167"/>
      <c r="BE10" s="2850">
        <v>4511620.2039199993</v>
      </c>
      <c r="BF10" s="2209"/>
      <c r="BG10" s="2846">
        <f>BF10+BF11-BE10</f>
        <v>-4511620.2039199993</v>
      </c>
      <c r="BH10" s="2848">
        <f>((SUM(BF10:BF11)/BE10)-1)*100</f>
        <v>-100</v>
      </c>
      <c r="BI10" s="2165"/>
      <c r="BJ10" s="2167"/>
      <c r="BK10" s="2850">
        <v>4544589.9717799993</v>
      </c>
      <c r="BL10" s="2209"/>
      <c r="BM10" s="2846">
        <f>BL10+BL11-BK10</f>
        <v>-4544589.9717799993</v>
      </c>
      <c r="BN10" s="2848">
        <f>((SUM(BL10:BL11)/BK10)-1)*100</f>
        <v>-100</v>
      </c>
      <c r="BO10" s="2165"/>
      <c r="BP10" s="2167"/>
      <c r="BQ10" s="2850">
        <v>4573629.9718099991</v>
      </c>
      <c r="BR10" s="2209"/>
      <c r="BS10" s="2846">
        <f>BR10+BR11-BQ10</f>
        <v>-4573629.9718099991</v>
      </c>
      <c r="BT10" s="2848">
        <f>((SUM(BR10:BR11)/BQ10)-1)*100</f>
        <v>-100</v>
      </c>
      <c r="BU10" s="2165"/>
      <c r="BV10" s="2167"/>
      <c r="BW10" s="2813">
        <f t="shared" si="0"/>
        <v>52720082.644299999</v>
      </c>
      <c r="BX10" s="2814">
        <f>D10+J10+P10+V10+AB10+AH10+AN10+AT10+AZ10+BF10+BL10+BR10++D11+J11+P11+V11+AB11+AH11+AN11+AT11+AZ11+BF11+BL11+BR11</f>
        <v>14520814.630000003</v>
      </c>
      <c r="BZ10" s="1717"/>
      <c r="CA10" s="1740"/>
    </row>
    <row r="11" spans="1:80" s="1708" customFormat="1" ht="18" customHeight="1" thickBot="1" x14ac:dyDescent="0.3">
      <c r="A11" s="2120">
        <v>4904</v>
      </c>
      <c r="B11" s="2211" t="s">
        <v>3850</v>
      </c>
      <c r="C11" s="2851"/>
      <c r="D11" s="2212">
        <v>103216.78</v>
      </c>
      <c r="E11" s="2847"/>
      <c r="F11" s="2849"/>
      <c r="G11" s="1742"/>
      <c r="H11" s="2167"/>
      <c r="I11" s="2851"/>
      <c r="J11" s="1743">
        <v>195412.75</v>
      </c>
      <c r="K11" s="2847"/>
      <c r="L11" s="2849"/>
      <c r="M11" s="2166"/>
      <c r="N11" s="2167"/>
      <c r="O11" s="2851"/>
      <c r="P11" s="2213">
        <v>109663.89</v>
      </c>
      <c r="Q11" s="2847"/>
      <c r="R11" s="2849"/>
      <c r="S11" s="2166"/>
      <c r="T11" s="2167"/>
      <c r="U11" s="2851"/>
      <c r="V11" s="2212"/>
      <c r="W11" s="2847"/>
      <c r="X11" s="2849"/>
      <c r="Y11" s="2166"/>
      <c r="Z11" s="2167"/>
      <c r="AA11" s="2851"/>
      <c r="AB11" s="2212"/>
      <c r="AC11" s="2847"/>
      <c r="AD11" s="2849"/>
      <c r="AE11" s="2166"/>
      <c r="AF11" s="2167"/>
      <c r="AG11" s="2855"/>
      <c r="AH11" s="1743"/>
      <c r="AI11" s="2847"/>
      <c r="AJ11" s="2849"/>
      <c r="AK11" s="2166"/>
      <c r="AL11" s="2167"/>
      <c r="AM11" s="2851"/>
      <c r="AN11" s="2212"/>
      <c r="AO11" s="2847"/>
      <c r="AP11" s="2849"/>
      <c r="AQ11" s="2166"/>
      <c r="AR11" s="2167"/>
      <c r="AS11" s="2851"/>
      <c r="AT11" s="2212"/>
      <c r="AU11" s="2847"/>
      <c r="AV11" s="2849"/>
      <c r="AW11" s="2166"/>
      <c r="AX11" s="2167"/>
      <c r="AY11" s="2851"/>
      <c r="AZ11" s="2212"/>
      <c r="BA11" s="2847"/>
      <c r="BB11" s="2849"/>
      <c r="BC11" s="2166"/>
      <c r="BD11" s="2167"/>
      <c r="BE11" s="2851"/>
      <c r="BF11" s="2212"/>
      <c r="BG11" s="2847"/>
      <c r="BH11" s="2849"/>
      <c r="BI11" s="2166"/>
      <c r="BJ11" s="2167"/>
      <c r="BK11" s="2851"/>
      <c r="BL11" s="2212"/>
      <c r="BM11" s="2847"/>
      <c r="BN11" s="2849"/>
      <c r="BO11" s="2166"/>
      <c r="BP11" s="2167"/>
      <c r="BQ11" s="2851"/>
      <c r="BR11" s="2212"/>
      <c r="BS11" s="2847"/>
      <c r="BT11" s="2849"/>
      <c r="BU11" s="2166"/>
      <c r="BV11" s="2167"/>
      <c r="BW11" s="2813"/>
      <c r="BX11" s="2813"/>
      <c r="BZ11" s="1717"/>
      <c r="CA11" s="1740"/>
    </row>
    <row r="12" spans="1:80" s="1708" customFormat="1" ht="18" customHeight="1" thickBot="1" x14ac:dyDescent="0.3">
      <c r="A12" s="2121">
        <v>4882</v>
      </c>
      <c r="B12" s="2214" t="s">
        <v>8</v>
      </c>
      <c r="C12" s="1728">
        <v>850000</v>
      </c>
      <c r="D12" s="2215">
        <v>937561.31</v>
      </c>
      <c r="E12" s="1744">
        <f t="shared" ref="E12:E43" si="1">D12-C12</f>
        <v>87561.310000000056</v>
      </c>
      <c r="F12" s="1733">
        <f>((D12/C12)-1)*100</f>
        <v>10.301330588235302</v>
      </c>
      <c r="G12" s="2163"/>
      <c r="H12" s="1730"/>
      <c r="I12" s="1731">
        <f>C12</f>
        <v>850000</v>
      </c>
      <c r="J12" s="1732">
        <v>873248.6</v>
      </c>
      <c r="K12" s="1744">
        <f t="shared" ref="K12" si="2">J12-I12</f>
        <v>23248.599999999977</v>
      </c>
      <c r="L12" s="1733">
        <f>((J12/I12)-1)*100</f>
        <v>2.7351294117647029</v>
      </c>
      <c r="M12" s="1729"/>
      <c r="N12" s="1730"/>
      <c r="O12" s="1728">
        <f>I12</f>
        <v>850000</v>
      </c>
      <c r="P12" s="1732">
        <v>993366.22</v>
      </c>
      <c r="Q12" s="1744">
        <f t="shared" ref="Q12" si="3">P12-O12</f>
        <v>143366.21999999997</v>
      </c>
      <c r="R12" s="1733">
        <f>((P12/O12)-1)*100</f>
        <v>16.86661411764705</v>
      </c>
      <c r="S12" s="1729"/>
      <c r="T12" s="1730"/>
      <c r="U12" s="1745">
        <f>O12</f>
        <v>850000</v>
      </c>
      <c r="V12" s="1746"/>
      <c r="W12" s="1744">
        <f t="shared" ref="W12" si="4">V12-U12</f>
        <v>-850000</v>
      </c>
      <c r="X12" s="1733">
        <f>((V12/U12)-1)*100</f>
        <v>-100</v>
      </c>
      <c r="Y12" s="1729"/>
      <c r="Z12" s="1730"/>
      <c r="AA12" s="1745">
        <f>U12</f>
        <v>850000</v>
      </c>
      <c r="AB12" s="1746"/>
      <c r="AC12" s="1744">
        <f t="shared" ref="AC12" si="5">AB12-AA12</f>
        <v>-850000</v>
      </c>
      <c r="AD12" s="1733">
        <f>((AB12/AA12)-1)*100</f>
        <v>-100</v>
      </c>
      <c r="AE12" s="1729"/>
      <c r="AF12" s="1730"/>
      <c r="AG12" s="1745">
        <f>AA12</f>
        <v>850000</v>
      </c>
      <c r="AH12" s="1746"/>
      <c r="AI12" s="1744">
        <f t="shared" ref="AI12" si="6">AH12-AG12</f>
        <v>-850000</v>
      </c>
      <c r="AJ12" s="1733">
        <f>((AH12/AG12)-1)*100</f>
        <v>-100</v>
      </c>
      <c r="AK12" s="1729"/>
      <c r="AL12" s="1730"/>
      <c r="AM12" s="1745">
        <f>AG12</f>
        <v>850000</v>
      </c>
      <c r="AN12" s="1746"/>
      <c r="AO12" s="1744">
        <f t="shared" ref="AO12" si="7">AN12-AM12</f>
        <v>-850000</v>
      </c>
      <c r="AP12" s="1733">
        <f>((AN12/AM12)-1)*100</f>
        <v>-100</v>
      </c>
      <c r="AQ12" s="1729"/>
      <c r="AR12" s="1730"/>
      <c r="AS12" s="1745">
        <f>AM12</f>
        <v>850000</v>
      </c>
      <c r="AT12" s="1746"/>
      <c r="AU12" s="1744">
        <f t="shared" ref="AU12" si="8">AT12-AS12</f>
        <v>-850000</v>
      </c>
      <c r="AV12" s="1733">
        <f>((AT12/AS12)-1)*100</f>
        <v>-100</v>
      </c>
      <c r="AW12" s="1729"/>
      <c r="AX12" s="1730"/>
      <c r="AY12" s="1745">
        <f>AS12</f>
        <v>850000</v>
      </c>
      <c r="AZ12" s="1746"/>
      <c r="BA12" s="1744">
        <f t="shared" ref="BA12" si="9">AZ12-AY12</f>
        <v>-850000</v>
      </c>
      <c r="BB12" s="1733">
        <f>((AZ12/AY12)-1)*100</f>
        <v>-100</v>
      </c>
      <c r="BC12" s="1729"/>
      <c r="BD12" s="1730"/>
      <c r="BE12" s="1745">
        <f>AY12</f>
        <v>850000</v>
      </c>
      <c r="BF12" s="1746"/>
      <c r="BG12" s="1744">
        <f t="shared" ref="BG12" si="10">BF12-BE12</f>
        <v>-850000</v>
      </c>
      <c r="BH12" s="1733">
        <f>((BF12/BE12)-1)*100</f>
        <v>-100</v>
      </c>
      <c r="BI12" s="1729"/>
      <c r="BJ12" s="1730"/>
      <c r="BK12" s="1745">
        <f>BE12</f>
        <v>850000</v>
      </c>
      <c r="BL12" s="1746"/>
      <c r="BM12" s="1744">
        <f t="shared" ref="BM12" si="11">BL12-BK12</f>
        <v>-850000</v>
      </c>
      <c r="BN12" s="1733">
        <f>((BL12/BK12)-1)*100</f>
        <v>-100</v>
      </c>
      <c r="BO12" s="1729"/>
      <c r="BP12" s="1730"/>
      <c r="BQ12" s="1745">
        <f t="shared" ref="BQ12:BQ18" si="12">BK12</f>
        <v>850000</v>
      </c>
      <c r="BR12" s="1746"/>
      <c r="BS12" s="1744">
        <f t="shared" ref="BS12" si="13">BR12-BQ12</f>
        <v>-850000</v>
      </c>
      <c r="BT12" s="1733">
        <f>((BR12/BQ12)-1)*100</f>
        <v>-100</v>
      </c>
      <c r="BU12" s="1729"/>
      <c r="BV12" s="1730"/>
      <c r="BW12" s="2216">
        <f t="shared" ref="BW12:BX18" si="14">C12+I12+O12+U12+AA12+AG12+AM12+AS12+AY12+BE12+BK12+BQ12</f>
        <v>10200000</v>
      </c>
      <c r="BX12" s="2217">
        <f t="shared" si="14"/>
        <v>2804176.13</v>
      </c>
      <c r="BZ12" s="1707"/>
    </row>
    <row r="13" spans="1:80" s="1708" customFormat="1" ht="15" x14ac:dyDescent="0.25">
      <c r="A13" s="2122">
        <v>4887</v>
      </c>
      <c r="B13" s="2206" t="s">
        <v>337</v>
      </c>
      <c r="C13" s="2837">
        <v>2292149.5299999998</v>
      </c>
      <c r="D13" s="2218">
        <v>1673663.12</v>
      </c>
      <c r="E13" s="2840">
        <f>D13+D14+D15+D16+D17-C13</f>
        <v>-268859.56999999983</v>
      </c>
      <c r="F13" s="2843">
        <f>((SUM(D13:D17)/C13)-1)*100</f>
        <v>-11.729582493686607</v>
      </c>
      <c r="G13" s="1738"/>
      <c r="H13" s="1730"/>
      <c r="I13" s="2837">
        <f>C13</f>
        <v>2292149.5299999998</v>
      </c>
      <c r="J13" s="2218">
        <v>1032726.78</v>
      </c>
      <c r="K13" s="2840">
        <f>J13+J14+J15+J16+J17-I13</f>
        <v>-48109.519999999553</v>
      </c>
      <c r="L13" s="2843">
        <f>((SUM(J13:J17)/I13)-1)*100</f>
        <v>-2.0988822662018736</v>
      </c>
      <c r="M13" s="2162"/>
      <c r="N13" s="1730"/>
      <c r="O13" s="2837">
        <f>I13</f>
        <v>2292149.5299999998</v>
      </c>
      <c r="P13" s="2218">
        <v>1118482.3899999999</v>
      </c>
      <c r="Q13" s="2840">
        <f>P13+P14+P15+P16+P17-O13</f>
        <v>-505974.26</v>
      </c>
      <c r="R13" s="2843">
        <f>((SUM(P13:P17)/O13)-1)*100</f>
        <v>-22.074225672353933</v>
      </c>
      <c r="S13" s="2162"/>
      <c r="T13" s="1730"/>
      <c r="U13" s="2837">
        <f>O13</f>
        <v>2292149.5299999998</v>
      </c>
      <c r="V13" s="2218"/>
      <c r="W13" s="2840">
        <f>V13+V14+V15+V16+V17-U13</f>
        <v>-2292149.5299999998</v>
      </c>
      <c r="X13" s="2843">
        <f>((SUM(V13:V17)/U13)-1)*100</f>
        <v>-100</v>
      </c>
      <c r="Y13" s="2162"/>
      <c r="Z13" s="1730"/>
      <c r="AA13" s="2837">
        <f>U13</f>
        <v>2292149.5299999998</v>
      </c>
      <c r="AB13" s="2218"/>
      <c r="AC13" s="2840">
        <f>AB13+AB14+AB15+AB16+AB17-AA13</f>
        <v>-2292149.5299999998</v>
      </c>
      <c r="AD13" s="2843">
        <f>((SUM(AB13:AB17)/AA13)-1)*100</f>
        <v>-100</v>
      </c>
      <c r="AE13" s="2162"/>
      <c r="AF13" s="1730"/>
      <c r="AG13" s="2837">
        <f>AA13</f>
        <v>2292149.5299999998</v>
      </c>
      <c r="AH13" s="2218"/>
      <c r="AI13" s="2840">
        <f>AH13+AH14+AH15+AH16+AH17-AG13</f>
        <v>-2292149.5299999998</v>
      </c>
      <c r="AJ13" s="2843">
        <f>((SUM(AH13:AH17)/AG13)-1)*100</f>
        <v>-100</v>
      </c>
      <c r="AK13" s="2162"/>
      <c r="AL13" s="1730"/>
      <c r="AM13" s="2837">
        <f>AG13</f>
        <v>2292149.5299999998</v>
      </c>
      <c r="AN13" s="2218"/>
      <c r="AO13" s="2840">
        <f>AN13+AN14+AN15+AN16+AN17-AM13</f>
        <v>-2292149.5299999998</v>
      </c>
      <c r="AP13" s="2843">
        <f>((SUM(AN13:AN17)/AM13)-1)*100</f>
        <v>-100</v>
      </c>
      <c r="AQ13" s="2162"/>
      <c r="AR13" s="1730"/>
      <c r="AS13" s="2837">
        <f>AM13</f>
        <v>2292149.5299999998</v>
      </c>
      <c r="AT13" s="2218"/>
      <c r="AU13" s="2840">
        <f>AT13+AT14+AT15+AT16+AT17-AS13</f>
        <v>-2292149.5299999998</v>
      </c>
      <c r="AV13" s="2843">
        <f>((SUM(AT13:AT17)/AS13)-1)*100</f>
        <v>-100</v>
      </c>
      <c r="AW13" s="2162"/>
      <c r="AX13" s="1730"/>
      <c r="AY13" s="2837">
        <f>AS13</f>
        <v>2292149.5299999998</v>
      </c>
      <c r="AZ13" s="2218"/>
      <c r="BA13" s="2840">
        <f>AZ13+AZ14+AZ15+AZ16+AZ17-AY13</f>
        <v>-2292149.5299999998</v>
      </c>
      <c r="BB13" s="2843">
        <f>((SUM(AZ13:AZ17)/AY13)-1)*100</f>
        <v>-100</v>
      </c>
      <c r="BC13" s="2162"/>
      <c r="BD13" s="1730"/>
      <c r="BE13" s="2837">
        <f>AY13</f>
        <v>2292149.5299999998</v>
      </c>
      <c r="BF13" s="2218"/>
      <c r="BG13" s="2840">
        <f>BF13+BF14+BF15+BF16+BF17-BE13</f>
        <v>-2292149.5299999998</v>
      </c>
      <c r="BH13" s="2843">
        <f>((SUM(BF13:BF17)/BE13)-1)*100</f>
        <v>-100</v>
      </c>
      <c r="BI13" s="2162"/>
      <c r="BJ13" s="1730"/>
      <c r="BK13" s="2837">
        <f>BE13</f>
        <v>2292149.5299999998</v>
      </c>
      <c r="BL13" s="2218"/>
      <c r="BM13" s="2840">
        <f>BL13+BL14+BL15+BL16+BL17-BK13</f>
        <v>-2292149.5299999998</v>
      </c>
      <c r="BN13" s="2843">
        <f>((SUM(BL13:BL17)/BK13)-1)*100</f>
        <v>-100</v>
      </c>
      <c r="BO13" s="2162"/>
      <c r="BP13" s="1730"/>
      <c r="BQ13" s="2837">
        <f t="shared" si="12"/>
        <v>2292149.5299999998</v>
      </c>
      <c r="BR13" s="2218"/>
      <c r="BS13" s="2840">
        <f>BR13+BR14+BR15+BR16+BR17-BQ13</f>
        <v>-2292149.5299999998</v>
      </c>
      <c r="BT13" s="2843">
        <f>((SUM(BR13:BR17)/BQ13)-1)*100</f>
        <v>-100</v>
      </c>
      <c r="BU13" s="2162"/>
      <c r="BV13" s="1730"/>
      <c r="BW13" s="2814">
        <f t="shared" si="14"/>
        <v>27505794.360000003</v>
      </c>
      <c r="BX13" s="2814">
        <f>D13+J13+P13+V13+AB13+AH13+AN13+AT13+AZ13+BF13+BL13+BR13+D14+D15+D16+D17+J14+J15+J16+J17+P14+P15+P16+P17+V14+V15+V16+V17+AB14+AB15+AB16+AB17+AH14+AH15+AH16+AH17+AN15+AN14+AN16+AN17+AT14+AT15+AT16+AT17+AZ14+AZ15+AZ16+AZ17+BF14+BF15+BF16+BF17+BL14+BL15+BL16+BL17+BR14+BR15+BR16+BR17</f>
        <v>6053505.2400000012</v>
      </c>
      <c r="BZ13" s="1727"/>
    </row>
    <row r="14" spans="1:80" s="1708" customFormat="1" ht="15" x14ac:dyDescent="0.25">
      <c r="A14" s="2123">
        <v>4888</v>
      </c>
      <c r="B14" s="2219" t="s">
        <v>3852</v>
      </c>
      <c r="C14" s="2838"/>
      <c r="D14" s="2220">
        <v>944410.15</v>
      </c>
      <c r="E14" s="2841"/>
      <c r="F14" s="2844" t="e">
        <f t="shared" ref="F14:F17" si="15">((SUM(D14:D15)/C14)-1)*100</f>
        <v>#DIV/0!</v>
      </c>
      <c r="G14" s="1742"/>
      <c r="H14" s="1730"/>
      <c r="I14" s="2838"/>
      <c r="J14" s="2220">
        <v>977746.4</v>
      </c>
      <c r="K14" s="2841"/>
      <c r="L14" s="2844" t="e">
        <f t="shared" ref="L14:L17" si="16">((SUM(J14:J15)/I14)-1)*100</f>
        <v>#DIV/0!</v>
      </c>
      <c r="M14" s="2163"/>
      <c r="N14" s="1730"/>
      <c r="O14" s="2838"/>
      <c r="P14" s="2220">
        <v>958084.36</v>
      </c>
      <c r="Q14" s="2841"/>
      <c r="R14" s="2844" t="e">
        <f t="shared" ref="R14:R17" si="17">((SUM(P14:P15)/O14)-1)*100</f>
        <v>#DIV/0!</v>
      </c>
      <c r="S14" s="2163"/>
      <c r="T14" s="1730"/>
      <c r="U14" s="2838"/>
      <c r="V14" s="2220"/>
      <c r="W14" s="2841"/>
      <c r="X14" s="2844" t="e">
        <f t="shared" ref="X14:X17" si="18">((SUM(V14:V15)/U14)-1)*100</f>
        <v>#DIV/0!</v>
      </c>
      <c r="Y14" s="2163"/>
      <c r="Z14" s="1730"/>
      <c r="AA14" s="2838"/>
      <c r="AB14" s="2220"/>
      <c r="AC14" s="2841"/>
      <c r="AD14" s="2844" t="e">
        <f t="shared" ref="AD14:AD17" si="19">((SUM(AB14:AB15)/AA14)-1)*100</f>
        <v>#DIV/0!</v>
      </c>
      <c r="AE14" s="2163"/>
      <c r="AF14" s="1730"/>
      <c r="AG14" s="2838"/>
      <c r="AH14" s="2220"/>
      <c r="AI14" s="2841"/>
      <c r="AJ14" s="2844" t="e">
        <f t="shared" ref="AJ14:AJ17" si="20">((SUM(AH14:AH15)/AG14)-1)*100</f>
        <v>#DIV/0!</v>
      </c>
      <c r="AK14" s="2163"/>
      <c r="AL14" s="1730"/>
      <c r="AM14" s="2838"/>
      <c r="AN14" s="2220"/>
      <c r="AO14" s="2841"/>
      <c r="AP14" s="2844" t="e">
        <f t="shared" ref="AP14:AP17" si="21">((SUM(AN14:AN15)/AM14)-1)*100</f>
        <v>#DIV/0!</v>
      </c>
      <c r="AQ14" s="2163"/>
      <c r="AR14" s="1730"/>
      <c r="AS14" s="2838"/>
      <c r="AT14" s="2220"/>
      <c r="AU14" s="2841"/>
      <c r="AV14" s="2844" t="e">
        <f t="shared" ref="AV14:AV17" si="22">((SUM(AT14:AT15)/AS14)-1)*100</f>
        <v>#DIV/0!</v>
      </c>
      <c r="AW14" s="2163"/>
      <c r="AX14" s="1730"/>
      <c r="AY14" s="2838"/>
      <c r="AZ14" s="2220"/>
      <c r="BA14" s="2841"/>
      <c r="BB14" s="2844" t="e">
        <f t="shared" ref="BB14:BB17" si="23">((SUM(AZ14:AZ15)/AY14)-1)*100</f>
        <v>#DIV/0!</v>
      </c>
      <c r="BC14" s="2163"/>
      <c r="BD14" s="1730"/>
      <c r="BE14" s="2838"/>
      <c r="BF14" s="2220"/>
      <c r="BG14" s="2841"/>
      <c r="BH14" s="2844" t="e">
        <f t="shared" ref="BH14:BH17" si="24">((SUM(BF14:BF15)/BE14)-1)*100</f>
        <v>#DIV/0!</v>
      </c>
      <c r="BI14" s="2163"/>
      <c r="BJ14" s="1730"/>
      <c r="BK14" s="2838"/>
      <c r="BL14" s="2220"/>
      <c r="BM14" s="2841"/>
      <c r="BN14" s="2844" t="e">
        <f t="shared" ref="BN14:BN17" si="25">((SUM(BL14:BL15)/BK14)-1)*100</f>
        <v>#DIV/0!</v>
      </c>
      <c r="BO14" s="2163"/>
      <c r="BP14" s="1730"/>
      <c r="BQ14" s="2838"/>
      <c r="BR14" s="2220"/>
      <c r="BS14" s="2841"/>
      <c r="BT14" s="2844" t="e">
        <f t="shared" ref="BT14:BT17" si="26">((SUM(BR14:BR15)/BQ14)-1)*100</f>
        <v>#DIV/0!</v>
      </c>
      <c r="BU14" s="2163"/>
      <c r="BV14" s="1730"/>
      <c r="BW14" s="2813"/>
      <c r="BX14" s="2813"/>
      <c r="BZ14" s="1727"/>
    </row>
    <row r="15" spans="1:80" s="1708" customFormat="1" ht="15" x14ac:dyDescent="0.25">
      <c r="A15" s="2123">
        <v>53330</v>
      </c>
      <c r="B15" s="2219" t="s">
        <v>3853</v>
      </c>
      <c r="C15" s="2838"/>
      <c r="D15" s="2220">
        <v>0</v>
      </c>
      <c r="E15" s="2841"/>
      <c r="F15" s="2844" t="e">
        <f t="shared" si="15"/>
        <v>#DIV/0!</v>
      </c>
      <c r="G15" s="1742"/>
      <c r="H15" s="1730"/>
      <c r="I15" s="2838"/>
      <c r="J15" s="2220">
        <v>528221.52</v>
      </c>
      <c r="K15" s="2841"/>
      <c r="L15" s="2844" t="e">
        <f t="shared" si="16"/>
        <v>#DIV/0!</v>
      </c>
      <c r="M15" s="2163"/>
      <c r="N15" s="1730"/>
      <c r="O15" s="2838"/>
      <c r="P15" s="2220">
        <v>458830.55</v>
      </c>
      <c r="Q15" s="2841"/>
      <c r="R15" s="2844" t="e">
        <f t="shared" si="17"/>
        <v>#DIV/0!</v>
      </c>
      <c r="S15" s="2163"/>
      <c r="T15" s="1730"/>
      <c r="U15" s="2838"/>
      <c r="V15" s="2220"/>
      <c r="W15" s="2841"/>
      <c r="X15" s="2844" t="e">
        <f t="shared" si="18"/>
        <v>#DIV/0!</v>
      </c>
      <c r="Y15" s="2163"/>
      <c r="Z15" s="1730"/>
      <c r="AA15" s="2838"/>
      <c r="AB15" s="2220"/>
      <c r="AC15" s="2841"/>
      <c r="AD15" s="2844" t="e">
        <f t="shared" si="19"/>
        <v>#DIV/0!</v>
      </c>
      <c r="AE15" s="2163"/>
      <c r="AF15" s="1730"/>
      <c r="AG15" s="2838"/>
      <c r="AH15" s="2220"/>
      <c r="AI15" s="2841"/>
      <c r="AJ15" s="2844" t="e">
        <f t="shared" si="20"/>
        <v>#DIV/0!</v>
      </c>
      <c r="AK15" s="2163"/>
      <c r="AL15" s="1730"/>
      <c r="AM15" s="2838"/>
      <c r="AN15" s="2220"/>
      <c r="AO15" s="2841"/>
      <c r="AP15" s="2844" t="e">
        <f t="shared" si="21"/>
        <v>#DIV/0!</v>
      </c>
      <c r="AQ15" s="2163"/>
      <c r="AR15" s="1730"/>
      <c r="AS15" s="2838"/>
      <c r="AT15" s="2220"/>
      <c r="AU15" s="2841"/>
      <c r="AV15" s="2844" t="e">
        <f t="shared" si="22"/>
        <v>#DIV/0!</v>
      </c>
      <c r="AW15" s="2163"/>
      <c r="AX15" s="1730"/>
      <c r="AY15" s="2838"/>
      <c r="AZ15" s="2220"/>
      <c r="BA15" s="2841"/>
      <c r="BB15" s="2844" t="e">
        <f t="shared" si="23"/>
        <v>#DIV/0!</v>
      </c>
      <c r="BC15" s="2163"/>
      <c r="BD15" s="1730"/>
      <c r="BE15" s="2838"/>
      <c r="BF15" s="2220"/>
      <c r="BG15" s="2841"/>
      <c r="BH15" s="2844" t="e">
        <f t="shared" si="24"/>
        <v>#DIV/0!</v>
      </c>
      <c r="BI15" s="2163"/>
      <c r="BJ15" s="1730"/>
      <c r="BK15" s="2838"/>
      <c r="BL15" s="2220"/>
      <c r="BM15" s="2841"/>
      <c r="BN15" s="2844" t="e">
        <f t="shared" si="25"/>
        <v>#DIV/0!</v>
      </c>
      <c r="BO15" s="2163"/>
      <c r="BP15" s="1730"/>
      <c r="BQ15" s="2838"/>
      <c r="BR15" s="2220"/>
      <c r="BS15" s="2841"/>
      <c r="BT15" s="2844" t="e">
        <f t="shared" si="26"/>
        <v>#DIV/0!</v>
      </c>
      <c r="BU15" s="2163"/>
      <c r="BV15" s="1730"/>
      <c r="BW15" s="2813"/>
      <c r="BX15" s="2813"/>
      <c r="BZ15" s="1727"/>
    </row>
    <row r="16" spans="1:80" s="1708" customFormat="1" ht="15" x14ac:dyDescent="0.25">
      <c r="A16" s="2123">
        <v>4893</v>
      </c>
      <c r="B16" s="2219" t="s">
        <v>3854</v>
      </c>
      <c r="C16" s="2838"/>
      <c r="D16" s="2220">
        <v>-594783.31000000006</v>
      </c>
      <c r="E16" s="2841"/>
      <c r="F16" s="2844" t="e">
        <f t="shared" si="15"/>
        <v>#DIV/0!</v>
      </c>
      <c r="G16" s="1742"/>
      <c r="H16" s="1730"/>
      <c r="I16" s="2838"/>
      <c r="J16" s="2220">
        <v>-531769.38</v>
      </c>
      <c r="K16" s="2841"/>
      <c r="L16" s="2844" t="e">
        <f t="shared" si="16"/>
        <v>#DIV/0!</v>
      </c>
      <c r="M16" s="2163"/>
      <c r="N16" s="1730"/>
      <c r="O16" s="2838"/>
      <c r="P16" s="2220">
        <v>-512107.34</v>
      </c>
      <c r="Q16" s="2841"/>
      <c r="R16" s="2844" t="e">
        <f t="shared" si="17"/>
        <v>#DIV/0!</v>
      </c>
      <c r="S16" s="2163"/>
      <c r="T16" s="1730"/>
      <c r="U16" s="2838"/>
      <c r="V16" s="2220"/>
      <c r="W16" s="2841"/>
      <c r="X16" s="2844" t="e">
        <f t="shared" si="18"/>
        <v>#DIV/0!</v>
      </c>
      <c r="Y16" s="2163"/>
      <c r="Z16" s="1730"/>
      <c r="AA16" s="2838"/>
      <c r="AB16" s="2220"/>
      <c r="AC16" s="2841"/>
      <c r="AD16" s="2844" t="e">
        <f t="shared" si="19"/>
        <v>#DIV/0!</v>
      </c>
      <c r="AE16" s="2163"/>
      <c r="AF16" s="1730"/>
      <c r="AG16" s="2838"/>
      <c r="AH16" s="2221"/>
      <c r="AI16" s="2841"/>
      <c r="AJ16" s="2844" t="e">
        <f t="shared" si="20"/>
        <v>#DIV/0!</v>
      </c>
      <c r="AK16" s="2163"/>
      <c r="AL16" s="1730"/>
      <c r="AM16" s="2838"/>
      <c r="AN16" s="2220"/>
      <c r="AO16" s="2841"/>
      <c r="AP16" s="2844" t="e">
        <f t="shared" si="21"/>
        <v>#DIV/0!</v>
      </c>
      <c r="AQ16" s="2163"/>
      <c r="AR16" s="1730"/>
      <c r="AS16" s="2838"/>
      <c r="AT16" s="2220"/>
      <c r="AU16" s="2841"/>
      <c r="AV16" s="2844" t="e">
        <f t="shared" si="22"/>
        <v>#DIV/0!</v>
      </c>
      <c r="AW16" s="2163"/>
      <c r="AX16" s="1730"/>
      <c r="AY16" s="2838"/>
      <c r="AZ16" s="2220"/>
      <c r="BA16" s="2841"/>
      <c r="BB16" s="2844" t="e">
        <f t="shared" si="23"/>
        <v>#DIV/0!</v>
      </c>
      <c r="BC16" s="2163"/>
      <c r="BD16" s="1730"/>
      <c r="BE16" s="2838"/>
      <c r="BF16" s="2220"/>
      <c r="BG16" s="2841"/>
      <c r="BH16" s="2844" t="e">
        <f t="shared" si="24"/>
        <v>#DIV/0!</v>
      </c>
      <c r="BI16" s="2163"/>
      <c r="BJ16" s="1730"/>
      <c r="BK16" s="2838"/>
      <c r="BL16" s="2220"/>
      <c r="BM16" s="2841"/>
      <c r="BN16" s="2844" t="e">
        <f t="shared" si="25"/>
        <v>#DIV/0!</v>
      </c>
      <c r="BO16" s="2163"/>
      <c r="BP16" s="1730"/>
      <c r="BQ16" s="2838"/>
      <c r="BR16" s="2220"/>
      <c r="BS16" s="2841"/>
      <c r="BT16" s="2844" t="e">
        <f t="shared" si="26"/>
        <v>#DIV/0!</v>
      </c>
      <c r="BU16" s="2163"/>
      <c r="BV16" s="1730"/>
      <c r="BW16" s="2813"/>
      <c r="BX16" s="2813"/>
      <c r="BZ16" s="1727"/>
    </row>
    <row r="17" spans="1:79" s="1708" customFormat="1" ht="15.75" thickBot="1" x14ac:dyDescent="0.3">
      <c r="A17" s="2120">
        <v>54814</v>
      </c>
      <c r="B17" s="2211" t="s">
        <v>3851</v>
      </c>
      <c r="C17" s="2839"/>
      <c r="D17" s="2222">
        <v>0</v>
      </c>
      <c r="E17" s="2842"/>
      <c r="F17" s="2845" t="e">
        <f t="shared" si="15"/>
        <v>#DIV/0!</v>
      </c>
      <c r="G17" s="1749"/>
      <c r="H17" s="1730"/>
      <c r="I17" s="2839"/>
      <c r="J17" s="2223">
        <v>237114.69</v>
      </c>
      <c r="K17" s="2842"/>
      <c r="L17" s="2845" t="e">
        <f t="shared" si="16"/>
        <v>#DIV/0!</v>
      </c>
      <c r="M17" s="2164"/>
      <c r="N17" s="1730"/>
      <c r="O17" s="2839"/>
      <c r="P17" s="2222">
        <v>-237114.69</v>
      </c>
      <c r="Q17" s="2842"/>
      <c r="R17" s="2845" t="e">
        <f t="shared" si="17"/>
        <v>#DIV/0!</v>
      </c>
      <c r="S17" s="2164"/>
      <c r="T17" s="1730"/>
      <c r="U17" s="2839"/>
      <c r="V17" s="2222"/>
      <c r="W17" s="2842"/>
      <c r="X17" s="2845" t="e">
        <f t="shared" si="18"/>
        <v>#DIV/0!</v>
      </c>
      <c r="Y17" s="2164"/>
      <c r="Z17" s="1730"/>
      <c r="AA17" s="2839"/>
      <c r="AB17" s="2222"/>
      <c r="AC17" s="2842"/>
      <c r="AD17" s="2845" t="e">
        <f t="shared" si="19"/>
        <v>#DIV/0!</v>
      </c>
      <c r="AE17" s="2164"/>
      <c r="AF17" s="1730"/>
      <c r="AG17" s="2839"/>
      <c r="AH17" s="2222"/>
      <c r="AI17" s="2842"/>
      <c r="AJ17" s="2845" t="e">
        <f t="shared" si="20"/>
        <v>#DIV/0!</v>
      </c>
      <c r="AK17" s="2164"/>
      <c r="AL17" s="1730"/>
      <c r="AM17" s="2839"/>
      <c r="AN17" s="2222"/>
      <c r="AO17" s="2842"/>
      <c r="AP17" s="2845" t="e">
        <f t="shared" si="21"/>
        <v>#DIV/0!</v>
      </c>
      <c r="AQ17" s="2164"/>
      <c r="AR17" s="1730"/>
      <c r="AS17" s="2839"/>
      <c r="AT17" s="2222"/>
      <c r="AU17" s="2842"/>
      <c r="AV17" s="2845" t="e">
        <f t="shared" si="22"/>
        <v>#DIV/0!</v>
      </c>
      <c r="AW17" s="2164"/>
      <c r="AX17" s="1730"/>
      <c r="AY17" s="2839"/>
      <c r="AZ17" s="2222"/>
      <c r="BA17" s="2842"/>
      <c r="BB17" s="2845" t="e">
        <f t="shared" si="23"/>
        <v>#DIV/0!</v>
      </c>
      <c r="BC17" s="2164"/>
      <c r="BD17" s="1730"/>
      <c r="BE17" s="2839"/>
      <c r="BF17" s="2222"/>
      <c r="BG17" s="2842"/>
      <c r="BH17" s="2845" t="e">
        <f t="shared" si="24"/>
        <v>#DIV/0!</v>
      </c>
      <c r="BI17" s="2164"/>
      <c r="BJ17" s="1730"/>
      <c r="BK17" s="2839"/>
      <c r="BL17" s="2222"/>
      <c r="BM17" s="2842"/>
      <c r="BN17" s="2845" t="e">
        <f t="shared" si="25"/>
        <v>#DIV/0!</v>
      </c>
      <c r="BO17" s="2164"/>
      <c r="BP17" s="1730"/>
      <c r="BQ17" s="2839"/>
      <c r="BR17" s="2222"/>
      <c r="BS17" s="2842"/>
      <c r="BT17" s="2845" t="e">
        <f t="shared" si="26"/>
        <v>#DIV/0!</v>
      </c>
      <c r="BU17" s="2164"/>
      <c r="BV17" s="1730"/>
      <c r="BW17" s="2815"/>
      <c r="BX17" s="2815"/>
      <c r="BZ17" s="1727"/>
    </row>
    <row r="18" spans="1:79" s="1708" customFormat="1" ht="15" x14ac:dyDescent="0.25">
      <c r="A18" s="2121">
        <v>53295</v>
      </c>
      <c r="B18" s="2225" t="s">
        <v>7</v>
      </c>
      <c r="C18" s="2819">
        <v>400000</v>
      </c>
      <c r="D18" s="2226">
        <v>20957.55</v>
      </c>
      <c r="E18" s="2830">
        <f>D18+D19+D20+D21-C18</f>
        <v>-217447.92</v>
      </c>
      <c r="F18" s="2816">
        <f>((SUM(D18:D21)/C18)-1)*100</f>
        <v>-54.36198000000001</v>
      </c>
      <c r="G18" s="2163"/>
      <c r="H18" s="1730"/>
      <c r="I18" s="2819">
        <f>C18</f>
        <v>400000</v>
      </c>
      <c r="J18" s="2218">
        <v>127879.07</v>
      </c>
      <c r="K18" s="2830">
        <f>J18+J19+J20+J21-I18</f>
        <v>-91886.239999999991</v>
      </c>
      <c r="L18" s="2816">
        <f>((SUM(J18:J21)/I18)-1)*100</f>
        <v>-22.971560000000004</v>
      </c>
      <c r="M18" s="2163"/>
      <c r="N18" s="1730"/>
      <c r="O18" s="2819">
        <f>I18</f>
        <v>400000</v>
      </c>
      <c r="P18" s="2218">
        <v>110533.56</v>
      </c>
      <c r="Q18" s="2830">
        <f>P18+P19+P20+P21-O18</f>
        <v>96751.38</v>
      </c>
      <c r="R18" s="2816">
        <f>((SUM(P18:P21)/O18)-1)*100</f>
        <v>24.187844999999996</v>
      </c>
      <c r="S18" s="2163"/>
      <c r="T18" s="1730"/>
      <c r="U18" s="2819">
        <f>O18</f>
        <v>400000</v>
      </c>
      <c r="V18" s="2218"/>
      <c r="W18" s="2830">
        <f>V18+V19+V20+V21-U18</f>
        <v>-400000</v>
      </c>
      <c r="X18" s="2816">
        <f>((SUM(V18:V21)/U18)-1)*100</f>
        <v>-100</v>
      </c>
      <c r="Y18" s="2163"/>
      <c r="Z18" s="1730"/>
      <c r="AA18" s="2819">
        <f>U18</f>
        <v>400000</v>
      </c>
      <c r="AB18" s="2218"/>
      <c r="AC18" s="2830">
        <f>AB18+AB19+AB20+AB21-AA18</f>
        <v>-400000</v>
      </c>
      <c r="AD18" s="2816">
        <f>((SUM(AB18:AB21)/AA18)-1)*100</f>
        <v>-100</v>
      </c>
      <c r="AE18" s="2163"/>
      <c r="AF18" s="1730"/>
      <c r="AG18" s="2819">
        <f>AA18</f>
        <v>400000</v>
      </c>
      <c r="AH18" s="2218"/>
      <c r="AI18" s="2830">
        <f>AH18+AH19+AH20+AH21-AG18</f>
        <v>-400000</v>
      </c>
      <c r="AJ18" s="2816">
        <f>((SUM(AH18:AH21)/AG18)-1)*100</f>
        <v>-100</v>
      </c>
      <c r="AK18" s="2163"/>
      <c r="AL18" s="1730"/>
      <c r="AM18" s="2819">
        <f>AG18</f>
        <v>400000</v>
      </c>
      <c r="AN18" s="2218"/>
      <c r="AO18" s="2830">
        <f>AN18+AN19+AN20+AN21-AM18</f>
        <v>-400000</v>
      </c>
      <c r="AP18" s="2816">
        <f>((SUM(AN18:AN21)/AM18)-1)*100</f>
        <v>-100</v>
      </c>
      <c r="AQ18" s="2163"/>
      <c r="AR18" s="1730"/>
      <c r="AS18" s="2819">
        <f>AM18</f>
        <v>400000</v>
      </c>
      <c r="AT18" s="2218"/>
      <c r="AU18" s="2830">
        <f>AT18+AT19+AT20+AT21-AS18</f>
        <v>-400000</v>
      </c>
      <c r="AV18" s="2816">
        <f>((SUM(AT18:AT21)/AS18)-1)*100</f>
        <v>-100</v>
      </c>
      <c r="AW18" s="2163"/>
      <c r="AX18" s="1730"/>
      <c r="AY18" s="2819">
        <f>AS18</f>
        <v>400000</v>
      </c>
      <c r="AZ18" s="2218"/>
      <c r="BA18" s="2830">
        <f>AZ18+AZ19+AZ20+AZ21-AY18</f>
        <v>-400000</v>
      </c>
      <c r="BB18" s="2816">
        <f>((SUM(AZ18:AZ21)/AY18)-1)*100</f>
        <v>-100</v>
      </c>
      <c r="BC18" s="2163"/>
      <c r="BD18" s="1730"/>
      <c r="BE18" s="2819">
        <f>AY18</f>
        <v>400000</v>
      </c>
      <c r="BF18" s="2218"/>
      <c r="BG18" s="2830">
        <f>BF18+BF19+BF20+BF21-BE18</f>
        <v>-400000</v>
      </c>
      <c r="BH18" s="2816">
        <f>((SUM(BF18:BF21)/BE18)-1)*100</f>
        <v>-100</v>
      </c>
      <c r="BI18" s="2163"/>
      <c r="BJ18" s="1730"/>
      <c r="BK18" s="2819">
        <f>BE18</f>
        <v>400000</v>
      </c>
      <c r="BL18" s="2218"/>
      <c r="BM18" s="2830">
        <f>BL18+BL19+BL20+BL21-BK18</f>
        <v>-400000</v>
      </c>
      <c r="BN18" s="2816">
        <f>((SUM(BL18:BL21)/BK18)-1)*100</f>
        <v>-100</v>
      </c>
      <c r="BO18" s="2163"/>
      <c r="BP18" s="1730"/>
      <c r="BQ18" s="2819">
        <f t="shared" si="12"/>
        <v>400000</v>
      </c>
      <c r="BR18" s="2218"/>
      <c r="BS18" s="2830">
        <f>BR18+BR19+BR20+BR21-BQ18</f>
        <v>-400000</v>
      </c>
      <c r="BT18" s="2816">
        <f>((SUM(BR18:BR21)/BQ18)-1)*100</f>
        <v>-100</v>
      </c>
      <c r="BU18" s="2163"/>
      <c r="BV18" s="1730"/>
      <c r="BW18" s="2814">
        <f t="shared" si="14"/>
        <v>4800000</v>
      </c>
      <c r="BX18" s="2814">
        <f>D18+J18+P18+V18+AB18+AH18+AN18+AT18+AZ18+BF18+BL18+BR18+D19+D20+D21+J19+J20+J21+P19+P20+P21+V19+V20+V21+AB19+AB20+AB21+AH19+AH20+AH21+AN19+AN20+AN21+AT19+AT20+AT21+AZ19+AZ20+AZ21+BF19+BF20+BF21+BL19+BL20+BL21+BR19+BR20+BR21</f>
        <v>987417.22</v>
      </c>
      <c r="BZ18" s="1707"/>
    </row>
    <row r="19" spans="1:79" s="1708" customFormat="1" ht="15" x14ac:dyDescent="0.25">
      <c r="A19" s="2124">
        <v>53296</v>
      </c>
      <c r="B19" s="2219" t="s">
        <v>3855</v>
      </c>
      <c r="C19" s="2820"/>
      <c r="D19" s="2228">
        <v>152798.44</v>
      </c>
      <c r="E19" s="2831"/>
      <c r="F19" s="2817" t="e">
        <f t="shared" ref="F19:F21" si="27">((SUM(D19:D23)/C19)-1)*100</f>
        <v>#DIV/0!</v>
      </c>
      <c r="G19" s="2163"/>
      <c r="H19" s="1730"/>
      <c r="I19" s="2820"/>
      <c r="J19" s="2220">
        <v>154111.44</v>
      </c>
      <c r="K19" s="2831"/>
      <c r="L19" s="2817" t="e">
        <f t="shared" ref="L19:L21" si="28">((SUM(J19:J23)/I19)-1)*100</f>
        <v>#DIV/0!</v>
      </c>
      <c r="M19" s="2163"/>
      <c r="N19" s="1730"/>
      <c r="O19" s="2820"/>
      <c r="P19" s="2220">
        <v>360094.57</v>
      </c>
      <c r="Q19" s="2831"/>
      <c r="R19" s="2817" t="e">
        <f t="shared" ref="R19:R21" si="29">((SUM(P19:P23)/O19)-1)*100</f>
        <v>#DIV/0!</v>
      </c>
      <c r="S19" s="2163"/>
      <c r="T19" s="1730"/>
      <c r="U19" s="2820"/>
      <c r="V19" s="2220"/>
      <c r="W19" s="2831"/>
      <c r="X19" s="2817" t="e">
        <f t="shared" ref="X19:X21" si="30">((SUM(V19:V23)/U19)-1)*100</f>
        <v>#DIV/0!</v>
      </c>
      <c r="Y19" s="2163"/>
      <c r="Z19" s="1730"/>
      <c r="AA19" s="2820"/>
      <c r="AB19" s="2220"/>
      <c r="AC19" s="2831"/>
      <c r="AD19" s="2817" t="e">
        <f t="shared" ref="AD19:AD21" si="31">((SUM(AB19:AB23)/AA19)-1)*100</f>
        <v>#DIV/0!</v>
      </c>
      <c r="AE19" s="2163"/>
      <c r="AF19" s="1730"/>
      <c r="AG19" s="2820"/>
      <c r="AH19" s="2220"/>
      <c r="AI19" s="2831"/>
      <c r="AJ19" s="2817" t="e">
        <f t="shared" ref="AJ19:AJ21" si="32">((SUM(AH19:AH23)/AG19)-1)*100</f>
        <v>#DIV/0!</v>
      </c>
      <c r="AK19" s="2163"/>
      <c r="AL19" s="1730"/>
      <c r="AM19" s="2820"/>
      <c r="AN19" s="2220"/>
      <c r="AO19" s="2831"/>
      <c r="AP19" s="2817" t="e">
        <f t="shared" ref="AP19:AP21" si="33">((SUM(AN19:AN23)/AM19)-1)*100</f>
        <v>#DIV/0!</v>
      </c>
      <c r="AQ19" s="2163"/>
      <c r="AR19" s="1730"/>
      <c r="AS19" s="2820"/>
      <c r="AT19" s="2220"/>
      <c r="AU19" s="2831"/>
      <c r="AV19" s="2817" t="e">
        <f t="shared" ref="AV19:AV21" si="34">((SUM(AT19:AT23)/AS19)-1)*100</f>
        <v>#DIV/0!</v>
      </c>
      <c r="AW19" s="2163"/>
      <c r="AX19" s="1730"/>
      <c r="AY19" s="2820"/>
      <c r="AZ19" s="2220"/>
      <c r="BA19" s="2831"/>
      <c r="BB19" s="2817" t="e">
        <f t="shared" ref="BB19:BB21" si="35">((SUM(AZ19:AZ23)/AY19)-1)*100</f>
        <v>#DIV/0!</v>
      </c>
      <c r="BC19" s="2163"/>
      <c r="BD19" s="1730"/>
      <c r="BE19" s="2820"/>
      <c r="BF19" s="2220"/>
      <c r="BG19" s="2831"/>
      <c r="BH19" s="2817" t="e">
        <f t="shared" ref="BH19:BH21" si="36">((SUM(BF19:BF23)/BE19)-1)*100</f>
        <v>#DIV/0!</v>
      </c>
      <c r="BI19" s="2163"/>
      <c r="BJ19" s="1730"/>
      <c r="BK19" s="2820"/>
      <c r="BL19" s="2220"/>
      <c r="BM19" s="2831"/>
      <c r="BN19" s="2817" t="e">
        <f t="shared" ref="BN19:BN21" si="37">((SUM(BL19:BL23)/BK19)-1)*100</f>
        <v>#DIV/0!</v>
      </c>
      <c r="BO19" s="2163"/>
      <c r="BP19" s="1730"/>
      <c r="BQ19" s="2820"/>
      <c r="BR19" s="2220"/>
      <c r="BS19" s="2831"/>
      <c r="BT19" s="2817" t="e">
        <f t="shared" ref="BT19:BT21" si="38">((SUM(BR19:BR23)/BQ19)-1)*100</f>
        <v>#DIV/0!</v>
      </c>
      <c r="BU19" s="2163"/>
      <c r="BV19" s="1730"/>
      <c r="BW19" s="2813"/>
      <c r="BX19" s="2813"/>
      <c r="BZ19" s="1707"/>
    </row>
    <row r="20" spans="1:79" s="1708" customFormat="1" ht="15" x14ac:dyDescent="0.25">
      <c r="A20" s="2124">
        <v>55261</v>
      </c>
      <c r="B20" s="2219" t="s">
        <v>3856</v>
      </c>
      <c r="C20" s="2820"/>
      <c r="D20" s="2228">
        <v>3571.44</v>
      </c>
      <c r="E20" s="2831"/>
      <c r="F20" s="2817" t="e">
        <f t="shared" si="27"/>
        <v>#DIV/0!</v>
      </c>
      <c r="G20" s="2163"/>
      <c r="H20" s="1730"/>
      <c r="I20" s="2820"/>
      <c r="J20" s="2220">
        <v>0</v>
      </c>
      <c r="K20" s="2831"/>
      <c r="L20" s="2817" t="e">
        <f t="shared" si="28"/>
        <v>#DIV/0!</v>
      </c>
      <c r="M20" s="2163"/>
      <c r="N20" s="1730"/>
      <c r="O20" s="2820"/>
      <c r="P20" s="2220">
        <v>0</v>
      </c>
      <c r="Q20" s="2831"/>
      <c r="R20" s="2817" t="e">
        <f t="shared" si="29"/>
        <v>#DIV/0!</v>
      </c>
      <c r="S20" s="2163"/>
      <c r="T20" s="1730"/>
      <c r="U20" s="2820"/>
      <c r="V20" s="2220"/>
      <c r="W20" s="2831"/>
      <c r="X20" s="2817" t="e">
        <f t="shared" si="30"/>
        <v>#DIV/0!</v>
      </c>
      <c r="Y20" s="2163"/>
      <c r="Z20" s="1730"/>
      <c r="AA20" s="2820"/>
      <c r="AB20" s="2220"/>
      <c r="AC20" s="2831"/>
      <c r="AD20" s="2817" t="e">
        <f t="shared" si="31"/>
        <v>#DIV/0!</v>
      </c>
      <c r="AE20" s="2163"/>
      <c r="AF20" s="1730"/>
      <c r="AG20" s="2820"/>
      <c r="AH20" s="2220"/>
      <c r="AI20" s="2831"/>
      <c r="AJ20" s="2817" t="e">
        <f t="shared" si="32"/>
        <v>#DIV/0!</v>
      </c>
      <c r="AK20" s="2163"/>
      <c r="AL20" s="1730"/>
      <c r="AM20" s="2820"/>
      <c r="AN20" s="2220"/>
      <c r="AO20" s="2831"/>
      <c r="AP20" s="2817" t="e">
        <f t="shared" si="33"/>
        <v>#DIV/0!</v>
      </c>
      <c r="AQ20" s="2163"/>
      <c r="AR20" s="1730"/>
      <c r="AS20" s="2820"/>
      <c r="AT20" s="2220"/>
      <c r="AU20" s="2831"/>
      <c r="AV20" s="2817" t="e">
        <f t="shared" si="34"/>
        <v>#DIV/0!</v>
      </c>
      <c r="AW20" s="2163"/>
      <c r="AX20" s="1730"/>
      <c r="AY20" s="2820"/>
      <c r="AZ20" s="2220"/>
      <c r="BA20" s="2831"/>
      <c r="BB20" s="2817" t="e">
        <f t="shared" si="35"/>
        <v>#DIV/0!</v>
      </c>
      <c r="BC20" s="2163"/>
      <c r="BD20" s="1730"/>
      <c r="BE20" s="2820"/>
      <c r="BF20" s="2220"/>
      <c r="BG20" s="2831"/>
      <c r="BH20" s="2817" t="e">
        <f t="shared" si="36"/>
        <v>#DIV/0!</v>
      </c>
      <c r="BI20" s="2163"/>
      <c r="BJ20" s="1730"/>
      <c r="BK20" s="2820"/>
      <c r="BL20" s="2220"/>
      <c r="BM20" s="2831"/>
      <c r="BN20" s="2817" t="e">
        <f t="shared" si="37"/>
        <v>#DIV/0!</v>
      </c>
      <c r="BO20" s="2163"/>
      <c r="BP20" s="1730"/>
      <c r="BQ20" s="2820"/>
      <c r="BR20" s="2220"/>
      <c r="BS20" s="2831"/>
      <c r="BT20" s="2817" t="e">
        <f t="shared" si="38"/>
        <v>#DIV/0!</v>
      </c>
      <c r="BU20" s="2163"/>
      <c r="BV20" s="1730"/>
      <c r="BW20" s="2813"/>
      <c r="BX20" s="2813"/>
      <c r="BZ20" s="1707"/>
    </row>
    <row r="21" spans="1:79" s="1708" customFormat="1" ht="15.75" thickBot="1" x14ac:dyDescent="0.3">
      <c r="A21" s="2120">
        <v>55265</v>
      </c>
      <c r="B21" s="2211" t="s">
        <v>3857</v>
      </c>
      <c r="C21" s="2821"/>
      <c r="D21" s="2222">
        <v>5224.6499999999996</v>
      </c>
      <c r="E21" s="2832"/>
      <c r="F21" s="2818" t="e">
        <f t="shared" si="27"/>
        <v>#DIV/0!</v>
      </c>
      <c r="G21" s="2164"/>
      <c r="H21" s="1730"/>
      <c r="I21" s="2821"/>
      <c r="J21" s="2222">
        <v>26123.25</v>
      </c>
      <c r="K21" s="2832"/>
      <c r="L21" s="2818" t="e">
        <f t="shared" si="28"/>
        <v>#DIV/0!</v>
      </c>
      <c r="M21" s="2164"/>
      <c r="N21" s="1730"/>
      <c r="O21" s="2821"/>
      <c r="P21" s="2222">
        <v>26123.25</v>
      </c>
      <c r="Q21" s="2832"/>
      <c r="R21" s="2818" t="e">
        <f t="shared" si="29"/>
        <v>#DIV/0!</v>
      </c>
      <c r="S21" s="2164"/>
      <c r="T21" s="1730"/>
      <c r="U21" s="2821"/>
      <c r="V21" s="2222"/>
      <c r="W21" s="2832"/>
      <c r="X21" s="2818" t="e">
        <f t="shared" si="30"/>
        <v>#DIV/0!</v>
      </c>
      <c r="Y21" s="2164"/>
      <c r="Z21" s="1730"/>
      <c r="AA21" s="2821"/>
      <c r="AB21" s="2222"/>
      <c r="AC21" s="2832"/>
      <c r="AD21" s="2818" t="e">
        <f t="shared" si="31"/>
        <v>#DIV/0!</v>
      </c>
      <c r="AE21" s="2164"/>
      <c r="AF21" s="1730"/>
      <c r="AG21" s="2821"/>
      <c r="AH21" s="2222"/>
      <c r="AI21" s="2832"/>
      <c r="AJ21" s="2818" t="e">
        <f t="shared" si="32"/>
        <v>#DIV/0!</v>
      </c>
      <c r="AK21" s="2164"/>
      <c r="AL21" s="1730"/>
      <c r="AM21" s="2821"/>
      <c r="AN21" s="2222"/>
      <c r="AO21" s="2832"/>
      <c r="AP21" s="2818" t="e">
        <f t="shared" si="33"/>
        <v>#DIV/0!</v>
      </c>
      <c r="AQ21" s="2164"/>
      <c r="AR21" s="1730"/>
      <c r="AS21" s="2821"/>
      <c r="AT21" s="2222"/>
      <c r="AU21" s="2832"/>
      <c r="AV21" s="2818" t="e">
        <f t="shared" si="34"/>
        <v>#DIV/0!</v>
      </c>
      <c r="AW21" s="2164"/>
      <c r="AX21" s="1730"/>
      <c r="AY21" s="2821"/>
      <c r="AZ21" s="2222"/>
      <c r="BA21" s="2832"/>
      <c r="BB21" s="2818" t="e">
        <f t="shared" si="35"/>
        <v>#DIV/0!</v>
      </c>
      <c r="BC21" s="2164"/>
      <c r="BD21" s="1730"/>
      <c r="BE21" s="2821"/>
      <c r="BF21" s="2222"/>
      <c r="BG21" s="2832"/>
      <c r="BH21" s="2818" t="e">
        <f t="shared" si="36"/>
        <v>#DIV/0!</v>
      </c>
      <c r="BI21" s="2164"/>
      <c r="BJ21" s="1730"/>
      <c r="BK21" s="2821"/>
      <c r="BL21" s="2222"/>
      <c r="BM21" s="2832"/>
      <c r="BN21" s="2818" t="e">
        <f t="shared" si="37"/>
        <v>#DIV/0!</v>
      </c>
      <c r="BO21" s="2164"/>
      <c r="BP21" s="1730"/>
      <c r="BQ21" s="2821"/>
      <c r="BR21" s="2222"/>
      <c r="BS21" s="2832"/>
      <c r="BT21" s="2818" t="e">
        <f t="shared" si="38"/>
        <v>#DIV/0!</v>
      </c>
      <c r="BU21" s="2164"/>
      <c r="BV21" s="1730"/>
      <c r="BW21" s="2810"/>
      <c r="BX21" s="2810"/>
      <c r="BZ21" s="1707"/>
    </row>
    <row r="22" spans="1:79" s="1708" customFormat="1" ht="18" customHeight="1" thickBot="1" x14ac:dyDescent="0.3">
      <c r="A22" s="2833" t="s">
        <v>159</v>
      </c>
      <c r="B22" s="2834"/>
      <c r="C22" s="1750">
        <f>SUM(C23:C25)</f>
        <v>830730.42333333334</v>
      </c>
      <c r="D22" s="2230">
        <f>SUM(D23:D25)</f>
        <v>830730.53</v>
      </c>
      <c r="E22" s="1752">
        <f>D22-C22</f>
        <v>0.10666666668839753</v>
      </c>
      <c r="F22" s="1753">
        <f t="shared" ref="F22:F25" si="39">((D22/C22)-1)*100</f>
        <v>1.2840105978462191E-5</v>
      </c>
      <c r="G22" s="1725"/>
      <c r="H22" s="1715"/>
      <c r="I22" s="1750">
        <f>SUM(I23:I25)</f>
        <v>830730.42333333334</v>
      </c>
      <c r="J22" s="1751">
        <f>SUM(J23:J25)</f>
        <v>830730.53</v>
      </c>
      <c r="K22" s="1752">
        <f>J22-I22</f>
        <v>0.10666666668839753</v>
      </c>
      <c r="L22" s="1753">
        <f t="shared" ref="L22:L25" si="40">((J22/I22)-1)*100</f>
        <v>1.2840105978462191E-5</v>
      </c>
      <c r="M22" s="1725"/>
      <c r="N22" s="1715"/>
      <c r="O22" s="1754">
        <f>SUM(O23:O25)</f>
        <v>830730.42333333334</v>
      </c>
      <c r="P22" s="1751">
        <f>SUM(P23:P25)</f>
        <v>830730.53</v>
      </c>
      <c r="Q22" s="1752">
        <f>P22-O22</f>
        <v>0.10666666668839753</v>
      </c>
      <c r="R22" s="1753">
        <f t="shared" ref="R22:R25" si="41">((P22/O22)-1)*100</f>
        <v>1.2840105978462191E-5</v>
      </c>
      <c r="S22" s="1725"/>
      <c r="T22" s="1715"/>
      <c r="U22" s="1754">
        <f>SUM(U23:U25)</f>
        <v>830730.42333333334</v>
      </c>
      <c r="V22" s="1755">
        <f>SUM(V23:V25)</f>
        <v>0</v>
      </c>
      <c r="W22" s="1752">
        <f>V22-U22</f>
        <v>-830730.42333333334</v>
      </c>
      <c r="X22" s="1753">
        <f t="shared" ref="X22:X25" si="42">((V22/U22)-1)*100</f>
        <v>-100</v>
      </c>
      <c r="Y22" s="1725"/>
      <c r="Z22" s="1715"/>
      <c r="AA22" s="1754">
        <f>SUM(AA23:AA25)</f>
        <v>830730.42333333334</v>
      </c>
      <c r="AB22" s="1755">
        <f>SUM(AB23:AB25)</f>
        <v>0</v>
      </c>
      <c r="AC22" s="1752">
        <f>AB22-AA22</f>
        <v>-830730.42333333334</v>
      </c>
      <c r="AD22" s="1753">
        <f t="shared" ref="AD22:AD25" si="43">((AB22/AA22)-1)*100</f>
        <v>-100</v>
      </c>
      <c r="AE22" s="1725"/>
      <c r="AF22" s="1715"/>
      <c r="AG22" s="1754">
        <f>SUM(AG23:AG25)</f>
        <v>830730.42333333334</v>
      </c>
      <c r="AH22" s="1755">
        <f>SUM(AH23:AH25)</f>
        <v>0</v>
      </c>
      <c r="AI22" s="1752">
        <f>AH22-AG22</f>
        <v>-830730.42333333334</v>
      </c>
      <c r="AJ22" s="1753">
        <f t="shared" ref="AJ22:AJ25" si="44">((AH22/AG22)-1)*100</f>
        <v>-100</v>
      </c>
      <c r="AK22" s="1725"/>
      <c r="AL22" s="1715"/>
      <c r="AM22" s="1754">
        <f>SUM(AM23:AM25)</f>
        <v>830730.42333333334</v>
      </c>
      <c r="AN22" s="1755">
        <f>SUM(AN23:AN25)</f>
        <v>0</v>
      </c>
      <c r="AO22" s="1752">
        <f>AN22-AM22</f>
        <v>-830730.42333333334</v>
      </c>
      <c r="AP22" s="1753">
        <f t="shared" ref="AP22:AP25" si="45">((AN22/AM22)-1)*100</f>
        <v>-100</v>
      </c>
      <c r="AQ22" s="1725"/>
      <c r="AR22" s="1715"/>
      <c r="AS22" s="1754">
        <f>SUM(AS23:AS25)</f>
        <v>830730.42333333334</v>
      </c>
      <c r="AT22" s="1755">
        <f>SUM(AT23:AT25)</f>
        <v>0</v>
      </c>
      <c r="AU22" s="1752">
        <f>AT22-AS22</f>
        <v>-830730.42333333334</v>
      </c>
      <c r="AV22" s="1753">
        <f t="shared" ref="AV22:AV25" si="46">((AT22/AS22)-1)*100</f>
        <v>-100</v>
      </c>
      <c r="AW22" s="1725"/>
      <c r="AX22" s="1715"/>
      <c r="AY22" s="1754">
        <f>SUM(AY23:AY25)</f>
        <v>830730.42333333334</v>
      </c>
      <c r="AZ22" s="1755">
        <f>SUM(AZ23:AZ25)</f>
        <v>0</v>
      </c>
      <c r="BA22" s="1752">
        <f>AZ22-AY22</f>
        <v>-830730.42333333334</v>
      </c>
      <c r="BB22" s="1753">
        <f t="shared" ref="BB22:BB25" si="47">((AZ22/AY22)-1)*100</f>
        <v>-100</v>
      </c>
      <c r="BC22" s="1725"/>
      <c r="BD22" s="1715"/>
      <c r="BE22" s="1754">
        <f>SUM(BE23:BE25)</f>
        <v>830730.42333333334</v>
      </c>
      <c r="BF22" s="1755">
        <f>SUM(BF23:BF25)</f>
        <v>0</v>
      </c>
      <c r="BG22" s="1752">
        <f>BF22-BE22</f>
        <v>-830730.42333333334</v>
      </c>
      <c r="BH22" s="1753">
        <f t="shared" ref="BH22:BH25" si="48">((BF22/BE22)-1)*100</f>
        <v>-100</v>
      </c>
      <c r="BI22" s="1725"/>
      <c r="BJ22" s="1715"/>
      <c r="BK22" s="1754">
        <f>SUM(BK23:BK25)</f>
        <v>830730.42333333334</v>
      </c>
      <c r="BL22" s="1755">
        <f>SUM(BL23:BL25)</f>
        <v>0</v>
      </c>
      <c r="BM22" s="1752">
        <f>BL22-BK22</f>
        <v>-830730.42333333334</v>
      </c>
      <c r="BN22" s="1753">
        <f t="shared" ref="BN22:BN25" si="49">((BL22/BK22)-1)*100</f>
        <v>-100</v>
      </c>
      <c r="BO22" s="1725"/>
      <c r="BP22" s="1715"/>
      <c r="BQ22" s="1754">
        <f>SUM(BQ23:BQ25)</f>
        <v>830730.42333333334</v>
      </c>
      <c r="BR22" s="1755">
        <f>SUM(BR23:BR25)</f>
        <v>0</v>
      </c>
      <c r="BS22" s="1752">
        <f>BR22-BQ22</f>
        <v>-830730.42333333334</v>
      </c>
      <c r="BT22" s="1753">
        <f t="shared" ref="BT22:BT25" si="50">((BR22/BQ22)-1)*100</f>
        <v>-100</v>
      </c>
      <c r="BU22" s="1725"/>
      <c r="BV22" s="1715"/>
      <c r="BW22" s="1725">
        <f t="shared" ref="BW22:BX35" si="51">C22+I22+O22+U22+AA22+AG22+AM22+AS22+AY22+BE22+BK22+BQ22</f>
        <v>9968765.0800000019</v>
      </c>
      <c r="BX22" s="1721">
        <f t="shared" si="51"/>
        <v>2492191.59</v>
      </c>
      <c r="BZ22" s="1727"/>
    </row>
    <row r="23" spans="1:79" s="1708" customFormat="1" ht="18" customHeight="1" x14ac:dyDescent="0.25">
      <c r="A23" s="2125">
        <v>55248</v>
      </c>
      <c r="B23" s="2225" t="s">
        <v>9</v>
      </c>
      <c r="C23" s="1756">
        <v>199045.21</v>
      </c>
      <c r="D23" s="1757">
        <v>199045.21</v>
      </c>
      <c r="E23" s="1757">
        <f t="shared" si="1"/>
        <v>0</v>
      </c>
      <c r="F23" s="1759">
        <f t="shared" si="39"/>
        <v>0</v>
      </c>
      <c r="G23" s="1758"/>
      <c r="H23" s="1724"/>
      <c r="I23" s="1756">
        <f>C23</f>
        <v>199045.21</v>
      </c>
      <c r="J23" s="1757">
        <v>199045.21</v>
      </c>
      <c r="K23" s="1757">
        <f t="shared" ref="K23:K25" si="52">J23-I23</f>
        <v>0</v>
      </c>
      <c r="L23" s="1759">
        <f t="shared" si="40"/>
        <v>0</v>
      </c>
      <c r="M23" s="1758"/>
      <c r="N23" s="1724"/>
      <c r="O23" s="1760">
        <f>I23</f>
        <v>199045.21</v>
      </c>
      <c r="P23" s="1757">
        <v>199045.21</v>
      </c>
      <c r="Q23" s="1757">
        <f t="shared" ref="Q23:Q25" si="53">P23-O23</f>
        <v>0</v>
      </c>
      <c r="R23" s="1759">
        <f t="shared" si="41"/>
        <v>0</v>
      </c>
      <c r="S23" s="1758"/>
      <c r="T23" s="1724"/>
      <c r="U23" s="1760">
        <f>O23</f>
        <v>199045.21</v>
      </c>
      <c r="V23" s="1757"/>
      <c r="W23" s="1757">
        <f t="shared" ref="W23:W25" si="54">V23-U23</f>
        <v>-199045.21</v>
      </c>
      <c r="X23" s="1759">
        <f t="shared" si="42"/>
        <v>-100</v>
      </c>
      <c r="Y23" s="1758"/>
      <c r="Z23" s="1724"/>
      <c r="AA23" s="1760">
        <f>U23</f>
        <v>199045.21</v>
      </c>
      <c r="AB23" s="1757"/>
      <c r="AC23" s="1757">
        <f t="shared" ref="AC23:AC25" si="55">AB23-AA23</f>
        <v>-199045.21</v>
      </c>
      <c r="AD23" s="1759">
        <f t="shared" si="43"/>
        <v>-100</v>
      </c>
      <c r="AE23" s="1758"/>
      <c r="AF23" s="1724"/>
      <c r="AG23" s="1760">
        <f>AA23</f>
        <v>199045.21</v>
      </c>
      <c r="AH23" s="1757"/>
      <c r="AI23" s="1757">
        <f t="shared" ref="AI23:AI25" si="56">AH23-AG23</f>
        <v>-199045.21</v>
      </c>
      <c r="AJ23" s="1759">
        <f t="shared" si="44"/>
        <v>-100</v>
      </c>
      <c r="AK23" s="1758"/>
      <c r="AL23" s="1724"/>
      <c r="AM23" s="1760">
        <f>AG23</f>
        <v>199045.21</v>
      </c>
      <c r="AN23" s="1757"/>
      <c r="AO23" s="1757">
        <f t="shared" ref="AO23:AO25" si="57">AN23-AM23</f>
        <v>-199045.21</v>
      </c>
      <c r="AP23" s="1759">
        <f t="shared" si="45"/>
        <v>-100</v>
      </c>
      <c r="AQ23" s="1758"/>
      <c r="AR23" s="1724"/>
      <c r="AS23" s="1760">
        <f>AM23</f>
        <v>199045.21</v>
      </c>
      <c r="AT23" s="1757"/>
      <c r="AU23" s="1757">
        <f t="shared" ref="AU23:AU25" si="58">AT23-AS23</f>
        <v>-199045.21</v>
      </c>
      <c r="AV23" s="1759">
        <f t="shared" si="46"/>
        <v>-100</v>
      </c>
      <c r="AW23" s="1758"/>
      <c r="AX23" s="1724"/>
      <c r="AY23" s="1760">
        <f>AS23</f>
        <v>199045.21</v>
      </c>
      <c r="AZ23" s="1757"/>
      <c r="BA23" s="1757">
        <f t="shared" ref="BA23:BA25" si="59">AZ23-AY23</f>
        <v>-199045.21</v>
      </c>
      <c r="BB23" s="1759">
        <f t="shared" si="47"/>
        <v>-100</v>
      </c>
      <c r="BC23" s="1758"/>
      <c r="BD23" s="1724"/>
      <c r="BE23" s="1760">
        <f>AY23</f>
        <v>199045.21</v>
      </c>
      <c r="BF23" s="1757"/>
      <c r="BG23" s="1757">
        <f t="shared" ref="BG23:BG25" si="60">BF23-BE23</f>
        <v>-199045.21</v>
      </c>
      <c r="BH23" s="1759">
        <f t="shared" si="48"/>
        <v>-100</v>
      </c>
      <c r="BI23" s="1758"/>
      <c r="BJ23" s="1724"/>
      <c r="BK23" s="1760">
        <f>BE23</f>
        <v>199045.21</v>
      </c>
      <c r="BL23" s="1757"/>
      <c r="BM23" s="1757">
        <f t="shared" ref="BM23:BM25" si="61">BL23-BK23</f>
        <v>-199045.21</v>
      </c>
      <c r="BN23" s="1759">
        <f t="shared" si="49"/>
        <v>-100</v>
      </c>
      <c r="BO23" s="1758"/>
      <c r="BP23" s="1724"/>
      <c r="BQ23" s="1760">
        <f>BK23</f>
        <v>199045.21</v>
      </c>
      <c r="BR23" s="1757"/>
      <c r="BS23" s="1757">
        <f t="shared" ref="BS23:BS25" si="62">BR23-BQ23</f>
        <v>-199045.21</v>
      </c>
      <c r="BT23" s="1759">
        <f t="shared" si="50"/>
        <v>-100</v>
      </c>
      <c r="BU23" s="1758"/>
      <c r="BV23" s="1724"/>
      <c r="BW23" s="1762">
        <f t="shared" si="51"/>
        <v>2388542.52</v>
      </c>
      <c r="BX23" s="1763">
        <f t="shared" si="51"/>
        <v>597135.63</v>
      </c>
      <c r="BZ23" s="1764"/>
    </row>
    <row r="24" spans="1:79" s="1708" customFormat="1" ht="18" customHeight="1" x14ac:dyDescent="0.25">
      <c r="A24" s="2126">
        <v>55249</v>
      </c>
      <c r="B24" s="2219" t="s">
        <v>10</v>
      </c>
      <c r="C24" s="1765">
        <v>70360.213333333362</v>
      </c>
      <c r="D24" s="1766">
        <v>70360.320000000007</v>
      </c>
      <c r="E24" s="1766">
        <f t="shared" si="1"/>
        <v>0.10666666664474178</v>
      </c>
      <c r="F24" s="1768">
        <f t="shared" si="39"/>
        <v>1.5160082891263471E-4</v>
      </c>
      <c r="G24" s="1767"/>
      <c r="H24" s="1724"/>
      <c r="I24" s="1765">
        <f>C24</f>
        <v>70360.213333333362</v>
      </c>
      <c r="J24" s="1766">
        <v>70360.320000000007</v>
      </c>
      <c r="K24" s="1766">
        <f t="shared" si="52"/>
        <v>0.10666666664474178</v>
      </c>
      <c r="L24" s="1768">
        <f t="shared" si="40"/>
        <v>1.5160082891263471E-4</v>
      </c>
      <c r="M24" s="1767"/>
      <c r="N24" s="1724"/>
      <c r="O24" s="1769">
        <f>I24</f>
        <v>70360.213333333362</v>
      </c>
      <c r="P24" s="1766">
        <v>70360.320000000007</v>
      </c>
      <c r="Q24" s="1766">
        <f t="shared" si="53"/>
        <v>0.10666666664474178</v>
      </c>
      <c r="R24" s="1768">
        <f t="shared" si="41"/>
        <v>1.5160082891263471E-4</v>
      </c>
      <c r="S24" s="1767"/>
      <c r="T24" s="1724"/>
      <c r="U24" s="1769">
        <f>O24</f>
        <v>70360.213333333362</v>
      </c>
      <c r="V24" s="1766"/>
      <c r="W24" s="1766">
        <f t="shared" si="54"/>
        <v>-70360.213333333362</v>
      </c>
      <c r="X24" s="1768">
        <f t="shared" si="42"/>
        <v>-100</v>
      </c>
      <c r="Y24" s="1767"/>
      <c r="Z24" s="1724"/>
      <c r="AA24" s="1769">
        <f>U24</f>
        <v>70360.213333333362</v>
      </c>
      <c r="AB24" s="1766"/>
      <c r="AC24" s="1766">
        <f t="shared" si="55"/>
        <v>-70360.213333333362</v>
      </c>
      <c r="AD24" s="1768">
        <f t="shared" si="43"/>
        <v>-100</v>
      </c>
      <c r="AE24" s="1767"/>
      <c r="AF24" s="1724"/>
      <c r="AG24" s="1769">
        <f>AA24</f>
        <v>70360.213333333362</v>
      </c>
      <c r="AH24" s="1766"/>
      <c r="AI24" s="1766">
        <f t="shared" si="56"/>
        <v>-70360.213333333362</v>
      </c>
      <c r="AJ24" s="1768">
        <f t="shared" si="44"/>
        <v>-100</v>
      </c>
      <c r="AK24" s="1767"/>
      <c r="AL24" s="1724"/>
      <c r="AM24" s="1769">
        <f>AG24</f>
        <v>70360.213333333362</v>
      </c>
      <c r="AN24" s="1766"/>
      <c r="AO24" s="1766">
        <f t="shared" si="57"/>
        <v>-70360.213333333362</v>
      </c>
      <c r="AP24" s="1768">
        <f t="shared" si="45"/>
        <v>-100</v>
      </c>
      <c r="AQ24" s="1767"/>
      <c r="AR24" s="1724"/>
      <c r="AS24" s="1769">
        <f>AM24</f>
        <v>70360.213333333362</v>
      </c>
      <c r="AT24" s="1766"/>
      <c r="AU24" s="1766">
        <f t="shared" si="58"/>
        <v>-70360.213333333362</v>
      </c>
      <c r="AV24" s="1768">
        <f t="shared" si="46"/>
        <v>-100</v>
      </c>
      <c r="AW24" s="1767"/>
      <c r="AX24" s="1724"/>
      <c r="AY24" s="1769">
        <f>AS24</f>
        <v>70360.213333333362</v>
      </c>
      <c r="AZ24" s="1766"/>
      <c r="BA24" s="1766">
        <f t="shared" si="59"/>
        <v>-70360.213333333362</v>
      </c>
      <c r="BB24" s="1768">
        <f t="shared" si="47"/>
        <v>-100</v>
      </c>
      <c r="BC24" s="1767"/>
      <c r="BD24" s="1724"/>
      <c r="BE24" s="1769">
        <f>AY24</f>
        <v>70360.213333333362</v>
      </c>
      <c r="BF24" s="1766"/>
      <c r="BG24" s="1766">
        <f t="shared" si="60"/>
        <v>-70360.213333333362</v>
      </c>
      <c r="BH24" s="1768">
        <f t="shared" si="48"/>
        <v>-100</v>
      </c>
      <c r="BI24" s="1767"/>
      <c r="BJ24" s="1724"/>
      <c r="BK24" s="1769">
        <f>BE24</f>
        <v>70360.213333333362</v>
      </c>
      <c r="BL24" s="1766"/>
      <c r="BM24" s="1766">
        <f t="shared" si="61"/>
        <v>-70360.213333333362</v>
      </c>
      <c r="BN24" s="1768">
        <f t="shared" si="49"/>
        <v>-100</v>
      </c>
      <c r="BO24" s="1767"/>
      <c r="BP24" s="1724"/>
      <c r="BQ24" s="1769">
        <f>BK24</f>
        <v>70360.213333333362</v>
      </c>
      <c r="BR24" s="1766"/>
      <c r="BS24" s="1766">
        <f t="shared" si="62"/>
        <v>-70360.213333333362</v>
      </c>
      <c r="BT24" s="1768">
        <f t="shared" si="50"/>
        <v>-100</v>
      </c>
      <c r="BU24" s="1767"/>
      <c r="BV24" s="1724"/>
      <c r="BW24" s="1762">
        <f t="shared" si="51"/>
        <v>844322.56000000041</v>
      </c>
      <c r="BX24" s="1763">
        <f t="shared" si="51"/>
        <v>211080.96000000002</v>
      </c>
      <c r="BZ24" s="1764"/>
    </row>
    <row r="25" spans="1:79" s="1708" customFormat="1" ht="18" customHeight="1" thickBot="1" x14ac:dyDescent="0.3">
      <c r="A25" s="2127">
        <v>55247</v>
      </c>
      <c r="B25" s="2211" t="s">
        <v>11</v>
      </c>
      <c r="C25" s="1771">
        <v>561325</v>
      </c>
      <c r="D25" s="1772">
        <v>561325</v>
      </c>
      <c r="E25" s="1772">
        <f t="shared" si="1"/>
        <v>0</v>
      </c>
      <c r="F25" s="1775">
        <f t="shared" si="39"/>
        <v>0</v>
      </c>
      <c r="G25" s="1774"/>
      <c r="H25" s="1724"/>
      <c r="I25" s="1771">
        <f>C25</f>
        <v>561325</v>
      </c>
      <c r="J25" s="1772">
        <v>561325</v>
      </c>
      <c r="K25" s="1772">
        <f t="shared" si="52"/>
        <v>0</v>
      </c>
      <c r="L25" s="1775">
        <f t="shared" si="40"/>
        <v>0</v>
      </c>
      <c r="M25" s="1774"/>
      <c r="N25" s="1724"/>
      <c r="O25" s="1776">
        <f>I25</f>
        <v>561325</v>
      </c>
      <c r="P25" s="1772">
        <v>561325</v>
      </c>
      <c r="Q25" s="1772">
        <f t="shared" si="53"/>
        <v>0</v>
      </c>
      <c r="R25" s="1775">
        <f t="shared" si="41"/>
        <v>0</v>
      </c>
      <c r="S25" s="1774"/>
      <c r="T25" s="1724"/>
      <c r="U25" s="1776">
        <f>O25</f>
        <v>561325</v>
      </c>
      <c r="V25" s="1772"/>
      <c r="W25" s="1772">
        <f t="shared" si="54"/>
        <v>-561325</v>
      </c>
      <c r="X25" s="1775">
        <f t="shared" si="42"/>
        <v>-100</v>
      </c>
      <c r="Y25" s="1774"/>
      <c r="Z25" s="1724"/>
      <c r="AA25" s="1776">
        <f>U25</f>
        <v>561325</v>
      </c>
      <c r="AB25" s="1772"/>
      <c r="AC25" s="1772">
        <f t="shared" si="55"/>
        <v>-561325</v>
      </c>
      <c r="AD25" s="1775">
        <f t="shared" si="43"/>
        <v>-100</v>
      </c>
      <c r="AE25" s="1774"/>
      <c r="AF25" s="1724"/>
      <c r="AG25" s="1776">
        <f>AA25</f>
        <v>561325</v>
      </c>
      <c r="AH25" s="1772"/>
      <c r="AI25" s="1772">
        <f t="shared" si="56"/>
        <v>-561325</v>
      </c>
      <c r="AJ25" s="1775">
        <f t="shared" si="44"/>
        <v>-100</v>
      </c>
      <c r="AK25" s="1774"/>
      <c r="AL25" s="1724"/>
      <c r="AM25" s="1776">
        <f>AG25</f>
        <v>561325</v>
      </c>
      <c r="AN25" s="1772"/>
      <c r="AO25" s="1772">
        <f t="shared" si="57"/>
        <v>-561325</v>
      </c>
      <c r="AP25" s="1775">
        <f t="shared" si="45"/>
        <v>-100</v>
      </c>
      <c r="AQ25" s="1774"/>
      <c r="AR25" s="1724"/>
      <c r="AS25" s="1776">
        <f>AM25</f>
        <v>561325</v>
      </c>
      <c r="AT25" s="1772"/>
      <c r="AU25" s="1772">
        <f t="shared" si="58"/>
        <v>-561325</v>
      </c>
      <c r="AV25" s="1775">
        <f t="shared" si="46"/>
        <v>-100</v>
      </c>
      <c r="AW25" s="1774"/>
      <c r="AX25" s="1724"/>
      <c r="AY25" s="1776">
        <f>AS25</f>
        <v>561325</v>
      </c>
      <c r="AZ25" s="1772"/>
      <c r="BA25" s="1772">
        <f t="shared" si="59"/>
        <v>-561325</v>
      </c>
      <c r="BB25" s="1775">
        <f t="shared" si="47"/>
        <v>-100</v>
      </c>
      <c r="BC25" s="1774"/>
      <c r="BD25" s="1724"/>
      <c r="BE25" s="1776">
        <f>AY25</f>
        <v>561325</v>
      </c>
      <c r="BF25" s="1772"/>
      <c r="BG25" s="1772">
        <f t="shared" si="60"/>
        <v>-561325</v>
      </c>
      <c r="BH25" s="1775">
        <f t="shared" si="48"/>
        <v>-100</v>
      </c>
      <c r="BI25" s="1774"/>
      <c r="BJ25" s="1724"/>
      <c r="BK25" s="1776">
        <f>BE25</f>
        <v>561325</v>
      </c>
      <c r="BL25" s="1772"/>
      <c r="BM25" s="1772">
        <f t="shared" si="61"/>
        <v>-561325</v>
      </c>
      <c r="BN25" s="1775">
        <f t="shared" si="49"/>
        <v>-100</v>
      </c>
      <c r="BO25" s="1774"/>
      <c r="BP25" s="1724"/>
      <c r="BQ25" s="1776">
        <f>BK25</f>
        <v>561325</v>
      </c>
      <c r="BR25" s="1772"/>
      <c r="BS25" s="1772">
        <f t="shared" si="62"/>
        <v>-561325</v>
      </c>
      <c r="BT25" s="1775">
        <f t="shared" si="50"/>
        <v>-100</v>
      </c>
      <c r="BU25" s="1774"/>
      <c r="BV25" s="1724"/>
      <c r="BW25" s="1762">
        <f t="shared" si="51"/>
        <v>6735900</v>
      </c>
      <c r="BX25" s="1763">
        <f t="shared" si="51"/>
        <v>1683975</v>
      </c>
      <c r="BZ25" s="1764"/>
    </row>
    <row r="26" spans="1:79" s="1708" customFormat="1" ht="18" customHeight="1" thickBot="1" x14ac:dyDescent="0.3">
      <c r="A26" s="2205"/>
      <c r="B26" s="2201" t="s">
        <v>160</v>
      </c>
      <c r="C26" s="1777">
        <f>SUM(C27:C39)</f>
        <v>248916.22</v>
      </c>
      <c r="D26" s="1755">
        <f>SUM(D27:D45)</f>
        <v>1612800.9900000002</v>
      </c>
      <c r="E26" s="1778">
        <f>D26-C26</f>
        <v>1363884.7700000003</v>
      </c>
      <c r="F26" s="1780">
        <f>((D26/C26)-1)*100</f>
        <v>547.92924703741687</v>
      </c>
      <c r="G26" s="1779"/>
      <c r="H26" s="1715"/>
      <c r="I26" s="1771">
        <f>SUM(I27:I45)</f>
        <v>248916.22</v>
      </c>
      <c r="J26" s="1755">
        <f>SUM(J27:J45)</f>
        <v>595472.12</v>
      </c>
      <c r="K26" s="1778">
        <f>J26-I26</f>
        <v>346555.9</v>
      </c>
      <c r="L26" s="1780">
        <f>((J26/I26)-1)*100</f>
        <v>139.22592107497053</v>
      </c>
      <c r="M26" s="1779"/>
      <c r="N26" s="1715"/>
      <c r="O26" s="1781">
        <f>SUM(O27:O39)</f>
        <v>248916.22</v>
      </c>
      <c r="P26" s="1755">
        <f>SUM(P27:P45)</f>
        <v>872666.66</v>
      </c>
      <c r="Q26" s="1778">
        <f>P26-O26</f>
        <v>623750.44000000006</v>
      </c>
      <c r="R26" s="1780">
        <f>((P26/O26)-1)*100</f>
        <v>250.58649854155749</v>
      </c>
      <c r="S26" s="1779"/>
      <c r="T26" s="1715"/>
      <c r="U26" s="1781">
        <f>SUM(U27:U39)</f>
        <v>248916.22</v>
      </c>
      <c r="V26" s="1755">
        <f>SUM(V27:V39)</f>
        <v>0</v>
      </c>
      <c r="W26" s="1778">
        <f>V26-U26</f>
        <v>-248916.22</v>
      </c>
      <c r="X26" s="1780">
        <f>((V26/U26)-1)*100</f>
        <v>-100</v>
      </c>
      <c r="Y26" s="1779"/>
      <c r="Z26" s="1715"/>
      <c r="AA26" s="1781">
        <f>SUM(AA27:AA39)</f>
        <v>448916.22</v>
      </c>
      <c r="AB26" s="1755">
        <f>SUM(AB27:AB39)</f>
        <v>0</v>
      </c>
      <c r="AC26" s="1778">
        <f>AB26-AA26</f>
        <v>-448916.22</v>
      </c>
      <c r="AD26" s="1780">
        <f>((AB26/AA26)-1)*100</f>
        <v>-100</v>
      </c>
      <c r="AE26" s="1779"/>
      <c r="AF26" s="1715"/>
      <c r="AG26" s="1781">
        <f>SUM(AG27:AG39)</f>
        <v>248916.22</v>
      </c>
      <c r="AH26" s="1755">
        <f>SUM(AH27:AH39)</f>
        <v>0</v>
      </c>
      <c r="AI26" s="1778">
        <f>AH26-AG26</f>
        <v>-248916.22</v>
      </c>
      <c r="AJ26" s="1780">
        <f>((AH26/AG26)-1)*100</f>
        <v>-100</v>
      </c>
      <c r="AK26" s="1779"/>
      <c r="AL26" s="1715"/>
      <c r="AM26" s="1781">
        <f>SUM(AM27:AM39)</f>
        <v>256916.22</v>
      </c>
      <c r="AN26" s="1755">
        <f>SUM(AN27:AN39)</f>
        <v>0</v>
      </c>
      <c r="AO26" s="1778">
        <f>AN26-AM26</f>
        <v>-256916.22</v>
      </c>
      <c r="AP26" s="1780">
        <f>((AN26/AM26)-1)*100</f>
        <v>-100</v>
      </c>
      <c r="AQ26" s="1779"/>
      <c r="AR26" s="1715"/>
      <c r="AS26" s="1781">
        <f>SUM(AS27:AS39)</f>
        <v>256916.22</v>
      </c>
      <c r="AT26" s="1755">
        <f>SUM(AT27:AT39)</f>
        <v>0</v>
      </c>
      <c r="AU26" s="1778">
        <f>AT26-AS26</f>
        <v>-256916.22</v>
      </c>
      <c r="AV26" s="1780">
        <f>((AT26/AS26)-1)*100</f>
        <v>-100</v>
      </c>
      <c r="AW26" s="1779"/>
      <c r="AX26" s="1715"/>
      <c r="AY26" s="1781">
        <f>SUM(AY27:AY39)</f>
        <v>256916.22</v>
      </c>
      <c r="AZ26" s="1755">
        <f>SUM(AZ27:AZ39)</f>
        <v>0</v>
      </c>
      <c r="BA26" s="1778">
        <f>AZ26-AY26</f>
        <v>-256916.22</v>
      </c>
      <c r="BB26" s="1780">
        <f>((AZ26/AY26)-1)*100</f>
        <v>-100</v>
      </c>
      <c r="BC26" s="1779"/>
      <c r="BD26" s="1715"/>
      <c r="BE26" s="1781">
        <f>SUM(BE27:BE39)</f>
        <v>256916.22</v>
      </c>
      <c r="BF26" s="1755">
        <f>SUM(BF27:BF39)</f>
        <v>0</v>
      </c>
      <c r="BG26" s="1778">
        <f>BF26-BE26</f>
        <v>-256916.22</v>
      </c>
      <c r="BH26" s="1780">
        <f>((BF26/BE26)-1)*100</f>
        <v>-100</v>
      </c>
      <c r="BI26" s="1779"/>
      <c r="BJ26" s="1715"/>
      <c r="BK26" s="1781">
        <f>SUM(BK27:BK39)</f>
        <v>456916.22</v>
      </c>
      <c r="BL26" s="1755">
        <f>SUM(BL27:BL39)</f>
        <v>0</v>
      </c>
      <c r="BM26" s="1778">
        <f>BL26-BK26</f>
        <v>-456916.22</v>
      </c>
      <c r="BN26" s="1780">
        <f>((BL26/BK26)-1)*100</f>
        <v>-100</v>
      </c>
      <c r="BO26" s="1779"/>
      <c r="BP26" s="1715"/>
      <c r="BQ26" s="1781">
        <f>SUM(BQ27:BQ39)</f>
        <v>256916.22</v>
      </c>
      <c r="BR26" s="1755">
        <f>SUM(BR27:BR39)</f>
        <v>0</v>
      </c>
      <c r="BS26" s="1778">
        <f>BR26-BQ26</f>
        <v>-256916.22</v>
      </c>
      <c r="BT26" s="1780">
        <f>((BR26/BQ26)-1)*100</f>
        <v>-100</v>
      </c>
      <c r="BU26" s="1779"/>
      <c r="BV26" s="1715"/>
      <c r="BW26" s="1725">
        <f t="shared" si="51"/>
        <v>3434994.6400000011</v>
      </c>
      <c r="BX26" s="1726">
        <f t="shared" si="51"/>
        <v>3080939.7700000005</v>
      </c>
      <c r="BZ26" s="1727"/>
      <c r="CA26" s="1782"/>
    </row>
    <row r="27" spans="1:79" s="1708" customFormat="1" ht="18" customHeight="1" x14ac:dyDescent="0.25">
      <c r="A27" s="2231">
        <v>4962</v>
      </c>
      <c r="B27" s="2201" t="s">
        <v>164</v>
      </c>
      <c r="C27" s="1783">
        <v>-50000</v>
      </c>
      <c r="D27" s="1784">
        <v>-38356.910000000003</v>
      </c>
      <c r="E27" s="1784">
        <f t="shared" si="1"/>
        <v>11643.089999999997</v>
      </c>
      <c r="F27" s="1788">
        <f t="shared" ref="F27:F34" si="63">((D27/C27)-1)*100</f>
        <v>-23.286179999999991</v>
      </c>
      <c r="G27" s="1786"/>
      <c r="H27" s="1787"/>
      <c r="I27" s="1783">
        <f>C27</f>
        <v>-50000</v>
      </c>
      <c r="J27" s="1784">
        <v>-40522.720000000001</v>
      </c>
      <c r="K27" s="1784">
        <f t="shared" ref="K27:K28" si="64">J27-I27</f>
        <v>9477.2799999999988</v>
      </c>
      <c r="L27" s="1788">
        <f t="shared" ref="L27:L28" si="65">((J27/I27)-1)*100</f>
        <v>-18.954559999999997</v>
      </c>
      <c r="M27" s="1786"/>
      <c r="N27" s="1787"/>
      <c r="O27" s="1789">
        <f t="shared" ref="O27:O39" si="66">C27</f>
        <v>-50000</v>
      </c>
      <c r="P27" s="1784">
        <v>-19026.900000000001</v>
      </c>
      <c r="Q27" s="1784">
        <f t="shared" ref="Q27:Q28" si="67">P27-O27</f>
        <v>30973.1</v>
      </c>
      <c r="R27" s="1788">
        <f t="shared" ref="R27:R28" si="68">((P27/O27)-1)*100</f>
        <v>-61.946199999999997</v>
      </c>
      <c r="S27" s="1786"/>
      <c r="T27" s="1787"/>
      <c r="U27" s="1789">
        <f t="shared" ref="U27:U39" si="69">I27</f>
        <v>-50000</v>
      </c>
      <c r="V27" s="1784"/>
      <c r="W27" s="1784">
        <f t="shared" ref="W27:W28" si="70">V27-U27</f>
        <v>50000</v>
      </c>
      <c r="X27" s="1788">
        <f t="shared" ref="X27:X28" si="71">((V27/U27)-1)*100</f>
        <v>-100</v>
      </c>
      <c r="Y27" s="1786"/>
      <c r="Z27" s="1787"/>
      <c r="AA27" s="1789">
        <f>O27</f>
        <v>-50000</v>
      </c>
      <c r="AB27" s="1784"/>
      <c r="AC27" s="1784">
        <f t="shared" ref="AC27:AC28" si="72">AB27-AA27</f>
        <v>50000</v>
      </c>
      <c r="AD27" s="1788">
        <f t="shared" ref="AD27:AD28" si="73">((AB27/AA27)-1)*100</f>
        <v>-100</v>
      </c>
      <c r="AE27" s="1786"/>
      <c r="AF27" s="1787"/>
      <c r="AG27" s="1789">
        <f>U27</f>
        <v>-50000</v>
      </c>
      <c r="AH27" s="1784"/>
      <c r="AI27" s="1784">
        <f t="shared" ref="AI27:AI28" si="74">AH27-AG27</f>
        <v>50000</v>
      </c>
      <c r="AJ27" s="1788">
        <f t="shared" ref="AJ27:AJ28" si="75">((AH27/AG27)-1)*100</f>
        <v>-100</v>
      </c>
      <c r="AK27" s="1786"/>
      <c r="AL27" s="1787"/>
      <c r="AM27" s="1789">
        <f>AA27</f>
        <v>-50000</v>
      </c>
      <c r="AN27" s="1784"/>
      <c r="AO27" s="1784">
        <f t="shared" ref="AO27:AO28" si="76">AN27-AM27</f>
        <v>50000</v>
      </c>
      <c r="AP27" s="1788">
        <f t="shared" ref="AP27:AP28" si="77">((AN27/AM27)-1)*100</f>
        <v>-100</v>
      </c>
      <c r="AQ27" s="1786"/>
      <c r="AR27" s="1787"/>
      <c r="AS27" s="1789">
        <f>AG27</f>
        <v>-50000</v>
      </c>
      <c r="AT27" s="1784"/>
      <c r="AU27" s="1784">
        <f t="shared" ref="AU27:AU28" si="78">AT27-AS27</f>
        <v>50000</v>
      </c>
      <c r="AV27" s="1788">
        <f t="shared" ref="AV27:AV28" si="79">((AT27/AS27)-1)*100</f>
        <v>-100</v>
      </c>
      <c r="AW27" s="1786"/>
      <c r="AX27" s="1787"/>
      <c r="AY27" s="1789">
        <f>AM27</f>
        <v>-50000</v>
      </c>
      <c r="AZ27" s="1784"/>
      <c r="BA27" s="1784">
        <f t="shared" ref="BA27:BA28" si="80">AZ27-AY27</f>
        <v>50000</v>
      </c>
      <c r="BB27" s="1788">
        <f t="shared" ref="BB27:BB28" si="81">((AZ27/AY27)-1)*100</f>
        <v>-100</v>
      </c>
      <c r="BC27" s="1786"/>
      <c r="BD27" s="1787"/>
      <c r="BE27" s="1789">
        <f>AS27</f>
        <v>-50000</v>
      </c>
      <c r="BF27" s="1784"/>
      <c r="BG27" s="1784">
        <f t="shared" ref="BG27:BG28" si="82">BF27-BE27</f>
        <v>50000</v>
      </c>
      <c r="BH27" s="1788">
        <f t="shared" ref="BH27:BH28" si="83">((BF27/BE27)-1)*100</f>
        <v>-100</v>
      </c>
      <c r="BI27" s="1786"/>
      <c r="BJ27" s="1787"/>
      <c r="BK27" s="1789">
        <f>AY27</f>
        <v>-50000</v>
      </c>
      <c r="BL27" s="1784"/>
      <c r="BM27" s="1784">
        <f t="shared" ref="BM27:BM28" si="84">BL27-BK27</f>
        <v>50000</v>
      </c>
      <c r="BN27" s="1788">
        <f t="shared" ref="BN27:BN28" si="85">((BL27/BK27)-1)*100</f>
        <v>-100</v>
      </c>
      <c r="BO27" s="1786"/>
      <c r="BP27" s="1787"/>
      <c r="BQ27" s="1789">
        <f t="shared" ref="BQ27:BQ39" si="86">BE27</f>
        <v>-50000</v>
      </c>
      <c r="BR27" s="1784"/>
      <c r="BS27" s="1784">
        <f t="shared" ref="BS27:BS28" si="87">BR27-BQ27</f>
        <v>50000</v>
      </c>
      <c r="BT27" s="1788">
        <f t="shared" ref="BT27:BT28" si="88">((BR27/BQ27)-1)*100</f>
        <v>-100</v>
      </c>
      <c r="BU27" s="1786"/>
      <c r="BV27" s="1787"/>
      <c r="BW27" s="1767">
        <f t="shared" si="51"/>
        <v>-600000</v>
      </c>
      <c r="BX27" s="1763">
        <f t="shared" si="51"/>
        <v>-97906.53</v>
      </c>
      <c r="BZ27" s="1727"/>
      <c r="CA27" s="1782"/>
    </row>
    <row r="28" spans="1:79" s="1708" customFormat="1" ht="18" customHeight="1" x14ac:dyDescent="0.25">
      <c r="A28" s="2127">
        <v>27432</v>
      </c>
      <c r="B28" s="2219" t="s">
        <v>16</v>
      </c>
      <c r="C28" s="1790">
        <f>3202.97+5713.25</f>
        <v>8916.2199999999993</v>
      </c>
      <c r="D28" s="1791">
        <v>8916.2199999999993</v>
      </c>
      <c r="E28" s="1791">
        <f t="shared" si="1"/>
        <v>0</v>
      </c>
      <c r="F28" s="1794">
        <f t="shared" si="63"/>
        <v>0</v>
      </c>
      <c r="G28" s="1793"/>
      <c r="H28" s="1787"/>
      <c r="I28" s="1790">
        <f>$C$28</f>
        <v>8916.2199999999993</v>
      </c>
      <c r="J28" s="1791">
        <v>8916.2199999999993</v>
      </c>
      <c r="K28" s="1791">
        <f t="shared" si="64"/>
        <v>0</v>
      </c>
      <c r="L28" s="1794">
        <f t="shared" si="65"/>
        <v>0</v>
      </c>
      <c r="M28" s="1793"/>
      <c r="N28" s="1787"/>
      <c r="O28" s="1795">
        <f t="shared" si="66"/>
        <v>8916.2199999999993</v>
      </c>
      <c r="P28" s="1791">
        <v>8916.2199999999993</v>
      </c>
      <c r="Q28" s="1791">
        <f t="shared" si="67"/>
        <v>0</v>
      </c>
      <c r="R28" s="1794">
        <f t="shared" si="68"/>
        <v>0</v>
      </c>
      <c r="S28" s="1793"/>
      <c r="T28" s="1787"/>
      <c r="U28" s="1795">
        <f t="shared" si="69"/>
        <v>8916.2199999999993</v>
      </c>
      <c r="V28" s="1791"/>
      <c r="W28" s="1791">
        <f t="shared" si="70"/>
        <v>-8916.2199999999993</v>
      </c>
      <c r="X28" s="1794">
        <f t="shared" si="71"/>
        <v>-100</v>
      </c>
      <c r="Y28" s="1793"/>
      <c r="Z28" s="1787"/>
      <c r="AA28" s="1795">
        <f>O28</f>
        <v>8916.2199999999993</v>
      </c>
      <c r="AB28" s="1791"/>
      <c r="AC28" s="1791">
        <f t="shared" si="72"/>
        <v>-8916.2199999999993</v>
      </c>
      <c r="AD28" s="1794">
        <f t="shared" si="73"/>
        <v>-100</v>
      </c>
      <c r="AE28" s="1793"/>
      <c r="AF28" s="1787"/>
      <c r="AG28" s="1795">
        <f>AA28</f>
        <v>8916.2199999999993</v>
      </c>
      <c r="AH28" s="1791"/>
      <c r="AI28" s="1791">
        <f t="shared" si="74"/>
        <v>-8916.2199999999993</v>
      </c>
      <c r="AJ28" s="1794">
        <f t="shared" si="75"/>
        <v>-100</v>
      </c>
      <c r="AK28" s="1793"/>
      <c r="AL28" s="1787"/>
      <c r="AM28" s="1795">
        <f>AG28+8000</f>
        <v>16916.22</v>
      </c>
      <c r="AN28" s="1791"/>
      <c r="AO28" s="1791">
        <f t="shared" si="76"/>
        <v>-16916.22</v>
      </c>
      <c r="AP28" s="1794">
        <f t="shared" si="77"/>
        <v>-100</v>
      </c>
      <c r="AQ28" s="1793"/>
      <c r="AR28" s="1787"/>
      <c r="AS28" s="1795">
        <f>AM28</f>
        <v>16916.22</v>
      </c>
      <c r="AT28" s="1791"/>
      <c r="AU28" s="1791">
        <f t="shared" si="78"/>
        <v>-16916.22</v>
      </c>
      <c r="AV28" s="1794">
        <f t="shared" si="79"/>
        <v>-100</v>
      </c>
      <c r="AW28" s="1793"/>
      <c r="AX28" s="1787"/>
      <c r="AY28" s="1795">
        <f>AS28</f>
        <v>16916.22</v>
      </c>
      <c r="AZ28" s="1791"/>
      <c r="BA28" s="1791">
        <f t="shared" si="80"/>
        <v>-16916.22</v>
      </c>
      <c r="BB28" s="1794">
        <f t="shared" si="81"/>
        <v>-100</v>
      </c>
      <c r="BC28" s="1793"/>
      <c r="BD28" s="1787"/>
      <c r="BE28" s="1795">
        <f>AY28</f>
        <v>16916.22</v>
      </c>
      <c r="BF28" s="1791"/>
      <c r="BG28" s="1791">
        <f t="shared" si="82"/>
        <v>-16916.22</v>
      </c>
      <c r="BH28" s="1794">
        <f t="shared" si="83"/>
        <v>-100</v>
      </c>
      <c r="BI28" s="1793"/>
      <c r="BJ28" s="1787"/>
      <c r="BK28" s="1795">
        <f>BE28</f>
        <v>16916.22</v>
      </c>
      <c r="BL28" s="1791"/>
      <c r="BM28" s="1791">
        <f t="shared" si="84"/>
        <v>-16916.22</v>
      </c>
      <c r="BN28" s="1794">
        <f t="shared" si="85"/>
        <v>-100</v>
      </c>
      <c r="BO28" s="1793"/>
      <c r="BP28" s="1787"/>
      <c r="BQ28" s="1795">
        <f>BK28</f>
        <v>16916.22</v>
      </c>
      <c r="BR28" s="1791"/>
      <c r="BS28" s="1791">
        <f t="shared" si="87"/>
        <v>-16916.22</v>
      </c>
      <c r="BT28" s="1794">
        <f t="shared" si="88"/>
        <v>-100</v>
      </c>
      <c r="BU28" s="1793"/>
      <c r="BV28" s="1787"/>
      <c r="BW28" s="1767">
        <f t="shared" si="51"/>
        <v>154994.64000000001</v>
      </c>
      <c r="BX28" s="1763">
        <f t="shared" si="51"/>
        <v>26748.659999999996</v>
      </c>
      <c r="BZ28" s="1727"/>
    </row>
    <row r="29" spans="1:79" s="1708" customFormat="1" ht="18" customHeight="1" x14ac:dyDescent="0.25">
      <c r="A29" s="2232">
        <v>40703</v>
      </c>
      <c r="B29" s="2233" t="s">
        <v>3903</v>
      </c>
      <c r="C29" s="1790"/>
      <c r="D29" s="1791"/>
      <c r="E29" s="1791"/>
      <c r="F29" s="1794">
        <v>0</v>
      </c>
      <c r="G29" s="1793"/>
      <c r="H29" s="1787"/>
      <c r="I29" s="1790"/>
      <c r="J29" s="1791">
        <v>0</v>
      </c>
      <c r="K29" s="1791"/>
      <c r="L29" s="1794">
        <v>0</v>
      </c>
      <c r="M29" s="1793"/>
      <c r="N29" s="1787"/>
      <c r="O29" s="1795"/>
      <c r="P29" s="1791">
        <v>6022.41</v>
      </c>
      <c r="Q29" s="1791"/>
      <c r="R29" s="1794">
        <v>0</v>
      </c>
      <c r="S29" s="1793"/>
      <c r="T29" s="1787"/>
      <c r="U29" s="1795"/>
      <c r="V29" s="1791"/>
      <c r="W29" s="1791"/>
      <c r="X29" s="1794">
        <v>0</v>
      </c>
      <c r="Y29" s="1793"/>
      <c r="Z29" s="1787"/>
      <c r="AA29" s="1795"/>
      <c r="AB29" s="1791"/>
      <c r="AC29" s="1791"/>
      <c r="AD29" s="1794">
        <v>0</v>
      </c>
      <c r="AE29" s="1793"/>
      <c r="AF29" s="1787"/>
      <c r="AG29" s="1795"/>
      <c r="AH29" s="1791"/>
      <c r="AI29" s="1791"/>
      <c r="AJ29" s="1794">
        <v>0</v>
      </c>
      <c r="AK29" s="1793"/>
      <c r="AL29" s="1787"/>
      <c r="AM29" s="1795"/>
      <c r="AN29" s="1791"/>
      <c r="AO29" s="1791"/>
      <c r="AP29" s="1794">
        <v>0</v>
      </c>
      <c r="AQ29" s="1793"/>
      <c r="AR29" s="1787"/>
      <c r="AS29" s="1795"/>
      <c r="AT29" s="1791"/>
      <c r="AU29" s="1791"/>
      <c r="AV29" s="1794">
        <v>0</v>
      </c>
      <c r="AW29" s="1793"/>
      <c r="AX29" s="1787"/>
      <c r="AY29" s="1795"/>
      <c r="AZ29" s="1791"/>
      <c r="BA29" s="1791"/>
      <c r="BB29" s="1794">
        <v>0</v>
      </c>
      <c r="BC29" s="1793"/>
      <c r="BD29" s="1787"/>
      <c r="BE29" s="1795"/>
      <c r="BF29" s="1791"/>
      <c r="BG29" s="1791"/>
      <c r="BH29" s="1794">
        <v>0</v>
      </c>
      <c r="BI29" s="1793"/>
      <c r="BJ29" s="1787"/>
      <c r="BK29" s="1795"/>
      <c r="BL29" s="1791"/>
      <c r="BM29" s="1791"/>
      <c r="BN29" s="1794">
        <v>0</v>
      </c>
      <c r="BO29" s="1793"/>
      <c r="BP29" s="1787"/>
      <c r="BQ29" s="1795"/>
      <c r="BR29" s="1791"/>
      <c r="BS29" s="1791"/>
      <c r="BT29" s="1794">
        <v>0</v>
      </c>
      <c r="BU29" s="1793"/>
      <c r="BV29" s="1787"/>
      <c r="BW29" s="1767"/>
      <c r="BX29" s="1763"/>
      <c r="BZ29" s="1727"/>
    </row>
    <row r="30" spans="1:79" s="1708" customFormat="1" ht="18" customHeight="1" x14ac:dyDescent="0.25">
      <c r="A30" s="2232">
        <v>53327</v>
      </c>
      <c r="B30" s="2219" t="s">
        <v>131</v>
      </c>
      <c r="C30" s="1796">
        <v>0</v>
      </c>
      <c r="D30" s="1797"/>
      <c r="E30" s="1798">
        <f t="shared" si="1"/>
        <v>0</v>
      </c>
      <c r="F30" s="1802">
        <v>0</v>
      </c>
      <c r="G30" s="1799"/>
      <c r="H30" s="1800"/>
      <c r="I30" s="1801">
        <v>0</v>
      </c>
      <c r="J30" s="1797">
        <v>0</v>
      </c>
      <c r="K30" s="1798">
        <f t="shared" ref="K30:K34" si="89">J30-I30</f>
        <v>0</v>
      </c>
      <c r="L30" s="1802">
        <v>0</v>
      </c>
      <c r="M30" s="1799"/>
      <c r="N30" s="1800"/>
      <c r="O30" s="1803">
        <f t="shared" si="66"/>
        <v>0</v>
      </c>
      <c r="P30" s="1797">
        <v>0</v>
      </c>
      <c r="Q30" s="1798">
        <f t="shared" ref="Q30:Q34" si="90">P30-O30</f>
        <v>0</v>
      </c>
      <c r="R30" s="1802">
        <v>0</v>
      </c>
      <c r="S30" s="1799"/>
      <c r="T30" s="1800"/>
      <c r="U30" s="1803">
        <f t="shared" si="69"/>
        <v>0</v>
      </c>
      <c r="V30" s="1797"/>
      <c r="W30" s="1798">
        <f t="shared" ref="W30:W34" si="91">V30-U30</f>
        <v>0</v>
      </c>
      <c r="X30" s="1802">
        <v>0</v>
      </c>
      <c r="Y30" s="1799"/>
      <c r="Z30" s="1800"/>
      <c r="AA30" s="1803">
        <v>200000</v>
      </c>
      <c r="AB30" s="1797"/>
      <c r="AC30" s="1798">
        <f t="shared" ref="AC30:AC34" si="92">AB30-AA30</f>
        <v>-200000</v>
      </c>
      <c r="AD30" s="1802">
        <v>0</v>
      </c>
      <c r="AE30" s="1799"/>
      <c r="AF30" s="1800"/>
      <c r="AG30" s="1803">
        <f t="shared" ref="AG30:AG39" si="93">U30</f>
        <v>0</v>
      </c>
      <c r="AH30" s="1797"/>
      <c r="AI30" s="1798">
        <f t="shared" ref="AI30:AI34" si="94">AH30-AG30</f>
        <v>0</v>
      </c>
      <c r="AJ30" s="1802">
        <v>0</v>
      </c>
      <c r="AK30" s="1799"/>
      <c r="AL30" s="1800"/>
      <c r="AM30" s="1803">
        <v>0</v>
      </c>
      <c r="AN30" s="1797"/>
      <c r="AO30" s="1798">
        <f t="shared" ref="AO30:AO34" si="95">AN30-AM30</f>
        <v>0</v>
      </c>
      <c r="AP30" s="1802">
        <v>0</v>
      </c>
      <c r="AQ30" s="1799"/>
      <c r="AR30" s="1800"/>
      <c r="AS30" s="1803">
        <f t="shared" ref="AS30:AS39" si="96">AG30</f>
        <v>0</v>
      </c>
      <c r="AT30" s="1797"/>
      <c r="AU30" s="1798">
        <f t="shared" ref="AU30:AU34" si="97">AT30-AS30</f>
        <v>0</v>
      </c>
      <c r="AV30" s="1802">
        <v>0</v>
      </c>
      <c r="AW30" s="1799"/>
      <c r="AX30" s="1800"/>
      <c r="AY30" s="1804">
        <f t="shared" ref="AY30:AY42" si="98">AM30</f>
        <v>0</v>
      </c>
      <c r="AZ30" s="1797"/>
      <c r="BA30" s="1798">
        <f t="shared" ref="BA30:BA34" si="99">AZ30-AY30</f>
        <v>0</v>
      </c>
      <c r="BB30" s="1802">
        <v>0</v>
      </c>
      <c r="BC30" s="1799"/>
      <c r="BD30" s="1800"/>
      <c r="BE30" s="1804">
        <f t="shared" ref="BE30:BE39" si="100">AS30</f>
        <v>0</v>
      </c>
      <c r="BF30" s="1797"/>
      <c r="BG30" s="1798">
        <f t="shared" ref="BG30:BG34" si="101">BF30-BE30</f>
        <v>0</v>
      </c>
      <c r="BH30" s="1802">
        <v>0</v>
      </c>
      <c r="BI30" s="1799"/>
      <c r="BJ30" s="1800"/>
      <c r="BK30" s="1803">
        <v>200000</v>
      </c>
      <c r="BL30" s="1797"/>
      <c r="BM30" s="1798">
        <f t="shared" ref="BM30:BM34" si="102">BL30-BK30</f>
        <v>-200000</v>
      </c>
      <c r="BN30" s="1802">
        <v>0</v>
      </c>
      <c r="BO30" s="1799"/>
      <c r="BP30" s="1800"/>
      <c r="BQ30" s="1803">
        <f t="shared" si="86"/>
        <v>0</v>
      </c>
      <c r="BR30" s="1797"/>
      <c r="BS30" s="1798">
        <f t="shared" ref="BS30:BS34" si="103">BR30-BQ30</f>
        <v>0</v>
      </c>
      <c r="BT30" s="1802">
        <v>0</v>
      </c>
      <c r="BU30" s="1799"/>
      <c r="BV30" s="1800"/>
      <c r="BW30" s="1805">
        <f t="shared" si="51"/>
        <v>400000</v>
      </c>
      <c r="BX30" s="1763">
        <f t="shared" si="51"/>
        <v>0</v>
      </c>
      <c r="BZ30" s="1707"/>
    </row>
    <row r="31" spans="1:79" s="1708" customFormat="1" ht="18" customHeight="1" x14ac:dyDescent="0.25">
      <c r="A31" s="2127">
        <v>5180</v>
      </c>
      <c r="B31" s="2233" t="s">
        <v>18</v>
      </c>
      <c r="C31" s="1790">
        <v>20000</v>
      </c>
      <c r="D31" s="1791">
        <v>32200</v>
      </c>
      <c r="E31" s="1791">
        <f t="shared" si="1"/>
        <v>12200</v>
      </c>
      <c r="F31" s="1794">
        <f t="shared" si="63"/>
        <v>61.000000000000007</v>
      </c>
      <c r="G31" s="1793"/>
      <c r="H31" s="1787"/>
      <c r="I31" s="1790">
        <f>$C$31</f>
        <v>20000</v>
      </c>
      <c r="J31" s="1791">
        <v>85680</v>
      </c>
      <c r="K31" s="1791">
        <f t="shared" si="89"/>
        <v>65680</v>
      </c>
      <c r="L31" s="1794">
        <f t="shared" ref="L31:L34" si="104">((J31/I31)-1)*100</f>
        <v>328.4</v>
      </c>
      <c r="M31" s="1793"/>
      <c r="N31" s="1787"/>
      <c r="O31" s="1795">
        <f t="shared" si="66"/>
        <v>20000</v>
      </c>
      <c r="P31" s="1791">
        <v>47040</v>
      </c>
      <c r="Q31" s="1791">
        <f t="shared" si="90"/>
        <v>27040</v>
      </c>
      <c r="R31" s="1794">
        <f t="shared" ref="R31:R34" si="105">((P31/O31)-1)*100</f>
        <v>135.19999999999999</v>
      </c>
      <c r="S31" s="1793"/>
      <c r="T31" s="1787"/>
      <c r="U31" s="1795">
        <f t="shared" si="69"/>
        <v>20000</v>
      </c>
      <c r="V31" s="1791"/>
      <c r="W31" s="1791">
        <f t="shared" si="91"/>
        <v>-20000</v>
      </c>
      <c r="X31" s="1794">
        <f t="shared" ref="X31:X34" si="106">((V31/U31)-1)*100</f>
        <v>-100</v>
      </c>
      <c r="Y31" s="1793"/>
      <c r="Z31" s="1787"/>
      <c r="AA31" s="1795">
        <f t="shared" ref="AA31:AA39" si="107">O31</f>
        <v>20000</v>
      </c>
      <c r="AB31" s="1791"/>
      <c r="AC31" s="1791">
        <f t="shared" si="92"/>
        <v>-20000</v>
      </c>
      <c r="AD31" s="1794">
        <f t="shared" ref="AD31:AD34" si="108">((AB31/AA31)-1)*100</f>
        <v>-100</v>
      </c>
      <c r="AE31" s="1793"/>
      <c r="AF31" s="1787"/>
      <c r="AG31" s="1795">
        <f t="shared" si="93"/>
        <v>20000</v>
      </c>
      <c r="AH31" s="1791"/>
      <c r="AI31" s="1791">
        <f t="shared" si="94"/>
        <v>-20000</v>
      </c>
      <c r="AJ31" s="1794">
        <f t="shared" ref="AJ31:AJ34" si="109">((AH31/AG31)-1)*100</f>
        <v>-100</v>
      </c>
      <c r="AK31" s="1793"/>
      <c r="AL31" s="1787"/>
      <c r="AM31" s="1795">
        <f t="shared" ref="AM31:AM39" si="110">AA31</f>
        <v>20000</v>
      </c>
      <c r="AN31" s="1791"/>
      <c r="AO31" s="1791">
        <f t="shared" si="95"/>
        <v>-20000</v>
      </c>
      <c r="AP31" s="1794">
        <f t="shared" ref="AP31:AP34" si="111">((AN31/AM31)-1)*100</f>
        <v>-100</v>
      </c>
      <c r="AQ31" s="1793"/>
      <c r="AR31" s="1787"/>
      <c r="AS31" s="1795">
        <f t="shared" si="96"/>
        <v>20000</v>
      </c>
      <c r="AT31" s="1791"/>
      <c r="AU31" s="1791">
        <f t="shared" si="97"/>
        <v>-20000</v>
      </c>
      <c r="AV31" s="1794">
        <f t="shared" ref="AV31:AV34" si="112">((AT31/AS31)-1)*100</f>
        <v>-100</v>
      </c>
      <c r="AW31" s="1793"/>
      <c r="AX31" s="1787"/>
      <c r="AY31" s="1795">
        <f t="shared" si="98"/>
        <v>20000</v>
      </c>
      <c r="AZ31" s="1791"/>
      <c r="BA31" s="1791">
        <f t="shared" si="99"/>
        <v>-20000</v>
      </c>
      <c r="BB31" s="1794">
        <f t="shared" ref="BB31:BB34" si="113">((AZ31/AY31)-1)*100</f>
        <v>-100</v>
      </c>
      <c r="BC31" s="1793"/>
      <c r="BD31" s="1787"/>
      <c r="BE31" s="1795">
        <f t="shared" si="100"/>
        <v>20000</v>
      </c>
      <c r="BF31" s="1791"/>
      <c r="BG31" s="1791">
        <f t="shared" si="101"/>
        <v>-20000</v>
      </c>
      <c r="BH31" s="1794">
        <f t="shared" ref="BH31:BH34" si="114">((BF31/BE31)-1)*100</f>
        <v>-100</v>
      </c>
      <c r="BI31" s="1793"/>
      <c r="BJ31" s="1787"/>
      <c r="BK31" s="1795">
        <f t="shared" ref="BK31:BK42" si="115">AY31</f>
        <v>20000</v>
      </c>
      <c r="BL31" s="1791"/>
      <c r="BM31" s="1791">
        <f t="shared" si="102"/>
        <v>-20000</v>
      </c>
      <c r="BN31" s="1794">
        <f t="shared" ref="BN31:BN34" si="116">((BL31/BK31)-1)*100</f>
        <v>-100</v>
      </c>
      <c r="BO31" s="1793"/>
      <c r="BP31" s="1787"/>
      <c r="BQ31" s="1795">
        <f t="shared" si="86"/>
        <v>20000</v>
      </c>
      <c r="BR31" s="1791"/>
      <c r="BS31" s="1791">
        <f t="shared" si="103"/>
        <v>-20000</v>
      </c>
      <c r="BT31" s="1794">
        <f t="shared" ref="BT31:BT34" si="117">((BR31/BQ31)-1)*100</f>
        <v>-100</v>
      </c>
      <c r="BU31" s="1793"/>
      <c r="BV31" s="1787"/>
      <c r="BW31" s="1767">
        <f t="shared" si="51"/>
        <v>240000</v>
      </c>
      <c r="BX31" s="1763">
        <f t="shared" si="51"/>
        <v>164920</v>
      </c>
      <c r="BZ31" s="1727"/>
    </row>
    <row r="32" spans="1:79" s="1708" customFormat="1" ht="18" customHeight="1" x14ac:dyDescent="0.25">
      <c r="A32" s="2127">
        <v>5193</v>
      </c>
      <c r="B32" s="2233" t="s">
        <v>128</v>
      </c>
      <c r="C32" s="1790">
        <v>10000</v>
      </c>
      <c r="D32" s="1791">
        <v>20942.689999999999</v>
      </c>
      <c r="E32" s="1791">
        <f t="shared" si="1"/>
        <v>10942.689999999999</v>
      </c>
      <c r="F32" s="1794">
        <f t="shared" si="63"/>
        <v>109.42689999999997</v>
      </c>
      <c r="G32" s="1793"/>
      <c r="H32" s="1787"/>
      <c r="I32" s="1790">
        <f>$C$32</f>
        <v>10000</v>
      </c>
      <c r="J32" s="1791">
        <v>16079.8</v>
      </c>
      <c r="K32" s="1791">
        <f t="shared" si="89"/>
        <v>6079.7999999999993</v>
      </c>
      <c r="L32" s="1794">
        <f t="shared" si="104"/>
        <v>60.797999999999995</v>
      </c>
      <c r="M32" s="1793"/>
      <c r="N32" s="1787"/>
      <c r="O32" s="1795">
        <f t="shared" si="66"/>
        <v>10000</v>
      </c>
      <c r="P32" s="1791">
        <v>16551.48</v>
      </c>
      <c r="Q32" s="1791">
        <f t="shared" si="90"/>
        <v>6551.48</v>
      </c>
      <c r="R32" s="1794">
        <f t="shared" si="105"/>
        <v>65.514800000000008</v>
      </c>
      <c r="S32" s="1793"/>
      <c r="T32" s="1787"/>
      <c r="U32" s="1795">
        <f t="shared" si="69"/>
        <v>10000</v>
      </c>
      <c r="V32" s="1791"/>
      <c r="W32" s="1791">
        <f t="shared" si="91"/>
        <v>-10000</v>
      </c>
      <c r="X32" s="1794">
        <f t="shared" si="106"/>
        <v>-100</v>
      </c>
      <c r="Y32" s="1793"/>
      <c r="Z32" s="1787"/>
      <c r="AA32" s="1795">
        <f t="shared" si="107"/>
        <v>10000</v>
      </c>
      <c r="AB32" s="1791"/>
      <c r="AC32" s="1791">
        <f t="shared" si="92"/>
        <v>-10000</v>
      </c>
      <c r="AD32" s="1794">
        <f t="shared" si="108"/>
        <v>-100</v>
      </c>
      <c r="AE32" s="1793"/>
      <c r="AF32" s="1787"/>
      <c r="AG32" s="1795">
        <f t="shared" si="93"/>
        <v>10000</v>
      </c>
      <c r="AH32" s="1791"/>
      <c r="AI32" s="1791">
        <f t="shared" si="94"/>
        <v>-10000</v>
      </c>
      <c r="AJ32" s="1794">
        <f t="shared" si="109"/>
        <v>-100</v>
      </c>
      <c r="AK32" s="1793"/>
      <c r="AL32" s="1787"/>
      <c r="AM32" s="1795">
        <f t="shared" si="110"/>
        <v>10000</v>
      </c>
      <c r="AN32" s="1791"/>
      <c r="AO32" s="1791">
        <f t="shared" si="95"/>
        <v>-10000</v>
      </c>
      <c r="AP32" s="1794">
        <f t="shared" si="111"/>
        <v>-100</v>
      </c>
      <c r="AQ32" s="1793"/>
      <c r="AR32" s="1787"/>
      <c r="AS32" s="1795">
        <f t="shared" si="96"/>
        <v>10000</v>
      </c>
      <c r="AT32" s="1791"/>
      <c r="AU32" s="1791">
        <f t="shared" si="97"/>
        <v>-10000</v>
      </c>
      <c r="AV32" s="1794">
        <f t="shared" si="112"/>
        <v>-100</v>
      </c>
      <c r="AW32" s="1793"/>
      <c r="AX32" s="1787"/>
      <c r="AY32" s="1795">
        <f t="shared" si="98"/>
        <v>10000</v>
      </c>
      <c r="AZ32" s="1791"/>
      <c r="BA32" s="1791">
        <f t="shared" si="99"/>
        <v>-10000</v>
      </c>
      <c r="BB32" s="1794">
        <f t="shared" si="113"/>
        <v>-100</v>
      </c>
      <c r="BC32" s="1793"/>
      <c r="BD32" s="1787"/>
      <c r="BE32" s="1795">
        <f t="shared" si="100"/>
        <v>10000</v>
      </c>
      <c r="BF32" s="1791"/>
      <c r="BG32" s="1791">
        <f t="shared" si="101"/>
        <v>-10000</v>
      </c>
      <c r="BH32" s="1794">
        <f t="shared" si="114"/>
        <v>-100</v>
      </c>
      <c r="BI32" s="1793"/>
      <c r="BJ32" s="1787"/>
      <c r="BK32" s="1795">
        <f t="shared" si="115"/>
        <v>10000</v>
      </c>
      <c r="BL32" s="1791"/>
      <c r="BM32" s="1791">
        <f t="shared" si="102"/>
        <v>-10000</v>
      </c>
      <c r="BN32" s="1794">
        <f t="shared" si="116"/>
        <v>-100</v>
      </c>
      <c r="BO32" s="1793"/>
      <c r="BP32" s="1787"/>
      <c r="BQ32" s="1795">
        <f t="shared" si="86"/>
        <v>10000</v>
      </c>
      <c r="BR32" s="1791"/>
      <c r="BS32" s="1791">
        <f t="shared" si="103"/>
        <v>-10000</v>
      </c>
      <c r="BT32" s="1794">
        <f t="shared" si="117"/>
        <v>-100</v>
      </c>
      <c r="BU32" s="1793"/>
      <c r="BV32" s="1787"/>
      <c r="BW32" s="1767">
        <f t="shared" si="51"/>
        <v>120000</v>
      </c>
      <c r="BX32" s="1763">
        <f t="shared" si="51"/>
        <v>53573.97</v>
      </c>
      <c r="BZ32" s="1727"/>
    </row>
    <row r="33" spans="1:79" s="1708" customFormat="1" ht="18" customHeight="1" x14ac:dyDescent="0.25">
      <c r="A33" s="2127">
        <v>5194</v>
      </c>
      <c r="B33" s="2219" t="s">
        <v>20</v>
      </c>
      <c r="C33" s="1790">
        <v>1000</v>
      </c>
      <c r="D33" s="1791">
        <v>0.08</v>
      </c>
      <c r="E33" s="1791">
        <f t="shared" si="1"/>
        <v>-999.92</v>
      </c>
      <c r="F33" s="1794">
        <f t="shared" si="63"/>
        <v>-99.992000000000004</v>
      </c>
      <c r="G33" s="1793"/>
      <c r="H33" s="1787"/>
      <c r="I33" s="1790">
        <f>$C$33</f>
        <v>1000</v>
      </c>
      <c r="J33" s="1791">
        <v>0.35</v>
      </c>
      <c r="K33" s="1791">
        <f t="shared" si="89"/>
        <v>-999.65</v>
      </c>
      <c r="L33" s="1794">
        <f t="shared" si="104"/>
        <v>-99.965000000000003</v>
      </c>
      <c r="M33" s="1793"/>
      <c r="N33" s="1787"/>
      <c r="O33" s="1795">
        <f t="shared" si="66"/>
        <v>1000</v>
      </c>
      <c r="P33" s="1791">
        <v>765.93</v>
      </c>
      <c r="Q33" s="1791">
        <f t="shared" si="90"/>
        <v>-234.07000000000005</v>
      </c>
      <c r="R33" s="1794">
        <f t="shared" si="105"/>
        <v>-23.407</v>
      </c>
      <c r="S33" s="1793"/>
      <c r="T33" s="1787"/>
      <c r="U33" s="1795">
        <f t="shared" si="69"/>
        <v>1000</v>
      </c>
      <c r="V33" s="1791"/>
      <c r="W33" s="1791">
        <f t="shared" si="91"/>
        <v>-1000</v>
      </c>
      <c r="X33" s="1794">
        <f t="shared" si="106"/>
        <v>-100</v>
      </c>
      <c r="Y33" s="1793"/>
      <c r="Z33" s="1787"/>
      <c r="AA33" s="1795">
        <f t="shared" si="107"/>
        <v>1000</v>
      </c>
      <c r="AB33" s="1791"/>
      <c r="AC33" s="1791">
        <f t="shared" si="92"/>
        <v>-1000</v>
      </c>
      <c r="AD33" s="1794">
        <f t="shared" si="108"/>
        <v>-100</v>
      </c>
      <c r="AE33" s="1793"/>
      <c r="AF33" s="1787"/>
      <c r="AG33" s="1795">
        <f t="shared" si="93"/>
        <v>1000</v>
      </c>
      <c r="AH33" s="1791"/>
      <c r="AI33" s="1791">
        <f t="shared" si="94"/>
        <v>-1000</v>
      </c>
      <c r="AJ33" s="1794">
        <f t="shared" si="109"/>
        <v>-100</v>
      </c>
      <c r="AK33" s="1793"/>
      <c r="AL33" s="1787"/>
      <c r="AM33" s="1795">
        <f t="shared" si="110"/>
        <v>1000</v>
      </c>
      <c r="AN33" s="1791"/>
      <c r="AO33" s="1791">
        <f t="shared" si="95"/>
        <v>-1000</v>
      </c>
      <c r="AP33" s="1794">
        <f t="shared" si="111"/>
        <v>-100</v>
      </c>
      <c r="AQ33" s="1793"/>
      <c r="AR33" s="1787"/>
      <c r="AS33" s="1795">
        <f t="shared" si="96"/>
        <v>1000</v>
      </c>
      <c r="AT33" s="1791"/>
      <c r="AU33" s="1791">
        <f t="shared" si="97"/>
        <v>-1000</v>
      </c>
      <c r="AV33" s="1794">
        <f t="shared" si="112"/>
        <v>-100</v>
      </c>
      <c r="AW33" s="1793"/>
      <c r="AX33" s="1787"/>
      <c r="AY33" s="1795">
        <f t="shared" si="98"/>
        <v>1000</v>
      </c>
      <c r="AZ33" s="1791"/>
      <c r="BA33" s="1791">
        <f t="shared" si="99"/>
        <v>-1000</v>
      </c>
      <c r="BB33" s="1794">
        <f t="shared" si="113"/>
        <v>-100</v>
      </c>
      <c r="BC33" s="1793"/>
      <c r="BD33" s="1787"/>
      <c r="BE33" s="1795">
        <f t="shared" si="100"/>
        <v>1000</v>
      </c>
      <c r="BF33" s="1791"/>
      <c r="BG33" s="1791">
        <f t="shared" si="101"/>
        <v>-1000</v>
      </c>
      <c r="BH33" s="1794">
        <f t="shared" si="114"/>
        <v>-100</v>
      </c>
      <c r="BI33" s="1793"/>
      <c r="BJ33" s="1787"/>
      <c r="BK33" s="1795">
        <f t="shared" si="115"/>
        <v>1000</v>
      </c>
      <c r="BL33" s="1791"/>
      <c r="BM33" s="1791">
        <f t="shared" si="102"/>
        <v>-1000</v>
      </c>
      <c r="BN33" s="1794">
        <f t="shared" si="116"/>
        <v>-100</v>
      </c>
      <c r="BO33" s="1793"/>
      <c r="BP33" s="1787"/>
      <c r="BQ33" s="1795">
        <f t="shared" si="86"/>
        <v>1000</v>
      </c>
      <c r="BR33" s="1791"/>
      <c r="BS33" s="1791">
        <f t="shared" si="103"/>
        <v>-1000</v>
      </c>
      <c r="BT33" s="1794">
        <f t="shared" si="117"/>
        <v>-100</v>
      </c>
      <c r="BU33" s="1793"/>
      <c r="BV33" s="1787"/>
      <c r="BW33" s="1767">
        <f t="shared" si="51"/>
        <v>12000</v>
      </c>
      <c r="BX33" s="1763">
        <f t="shared" si="51"/>
        <v>766.3599999999999</v>
      </c>
      <c r="BZ33" s="1727"/>
    </row>
    <row r="34" spans="1:79" s="1708" customFormat="1" ht="18" customHeight="1" thickBot="1" x14ac:dyDescent="0.3">
      <c r="A34" s="2127">
        <v>27379</v>
      </c>
      <c r="B34" s="2214" t="s">
        <v>3776</v>
      </c>
      <c r="C34" s="1806">
        <v>8500</v>
      </c>
      <c r="D34" s="1807">
        <v>8637.84</v>
      </c>
      <c r="E34" s="1808">
        <f t="shared" si="1"/>
        <v>137.84000000000015</v>
      </c>
      <c r="F34" s="1810">
        <f t="shared" si="63"/>
        <v>1.6216470588235277</v>
      </c>
      <c r="G34" s="1809"/>
      <c r="H34" s="2167"/>
      <c r="I34" s="1806">
        <f>$C$34</f>
        <v>8500</v>
      </c>
      <c r="J34" s="1807">
        <v>8672.39</v>
      </c>
      <c r="K34" s="1808">
        <f t="shared" si="89"/>
        <v>172.38999999999942</v>
      </c>
      <c r="L34" s="1810">
        <f t="shared" si="104"/>
        <v>2.0281176470588136</v>
      </c>
      <c r="M34" s="1809"/>
      <c r="N34" s="2167"/>
      <c r="O34" s="1811">
        <f t="shared" si="66"/>
        <v>8500</v>
      </c>
      <c r="P34" s="1807">
        <v>8707.09</v>
      </c>
      <c r="Q34" s="1808">
        <f t="shared" si="90"/>
        <v>207.09000000000015</v>
      </c>
      <c r="R34" s="1810">
        <f t="shared" si="105"/>
        <v>2.4363529411764784</v>
      </c>
      <c r="S34" s="1809"/>
      <c r="T34" s="2167"/>
      <c r="U34" s="1812">
        <f t="shared" si="69"/>
        <v>8500</v>
      </c>
      <c r="V34" s="1813"/>
      <c r="W34" s="1808">
        <f t="shared" si="91"/>
        <v>-8500</v>
      </c>
      <c r="X34" s="1810">
        <f t="shared" si="106"/>
        <v>-100</v>
      </c>
      <c r="Y34" s="1809"/>
      <c r="Z34" s="2167"/>
      <c r="AA34" s="1812">
        <f t="shared" si="107"/>
        <v>8500</v>
      </c>
      <c r="AB34" s="1813"/>
      <c r="AC34" s="1808">
        <f t="shared" si="92"/>
        <v>-8500</v>
      </c>
      <c r="AD34" s="1810">
        <f t="shared" si="108"/>
        <v>-100</v>
      </c>
      <c r="AE34" s="1809"/>
      <c r="AF34" s="2167"/>
      <c r="AG34" s="1812">
        <f t="shared" si="93"/>
        <v>8500</v>
      </c>
      <c r="AH34" s="1813"/>
      <c r="AI34" s="1808">
        <f t="shared" si="94"/>
        <v>-8500</v>
      </c>
      <c r="AJ34" s="1810">
        <f t="shared" si="109"/>
        <v>-100</v>
      </c>
      <c r="AK34" s="1809"/>
      <c r="AL34" s="2167"/>
      <c r="AM34" s="1812">
        <f t="shared" si="110"/>
        <v>8500</v>
      </c>
      <c r="AN34" s="1813"/>
      <c r="AO34" s="1808">
        <f t="shared" si="95"/>
        <v>-8500</v>
      </c>
      <c r="AP34" s="1810">
        <f t="shared" si="111"/>
        <v>-100</v>
      </c>
      <c r="AQ34" s="1809"/>
      <c r="AR34" s="2167"/>
      <c r="AS34" s="1812">
        <f t="shared" si="96"/>
        <v>8500</v>
      </c>
      <c r="AT34" s="1813"/>
      <c r="AU34" s="1808">
        <f t="shared" si="97"/>
        <v>-8500</v>
      </c>
      <c r="AV34" s="1810">
        <f t="shared" si="112"/>
        <v>-100</v>
      </c>
      <c r="AW34" s="1809"/>
      <c r="AX34" s="2167"/>
      <c r="AY34" s="1812">
        <f t="shared" si="98"/>
        <v>8500</v>
      </c>
      <c r="AZ34" s="1813"/>
      <c r="BA34" s="1808">
        <f t="shared" si="99"/>
        <v>-8500</v>
      </c>
      <c r="BB34" s="1810">
        <f t="shared" si="113"/>
        <v>-100</v>
      </c>
      <c r="BC34" s="1809"/>
      <c r="BD34" s="2167"/>
      <c r="BE34" s="1812">
        <f t="shared" si="100"/>
        <v>8500</v>
      </c>
      <c r="BF34" s="1813"/>
      <c r="BG34" s="1808">
        <f t="shared" si="101"/>
        <v>-8500</v>
      </c>
      <c r="BH34" s="1810">
        <f t="shared" si="114"/>
        <v>-100</v>
      </c>
      <c r="BI34" s="1809"/>
      <c r="BJ34" s="2167"/>
      <c r="BK34" s="1812">
        <f t="shared" si="115"/>
        <v>8500</v>
      </c>
      <c r="BL34" s="1813"/>
      <c r="BM34" s="1808">
        <f t="shared" si="102"/>
        <v>-8500</v>
      </c>
      <c r="BN34" s="1810">
        <f t="shared" si="116"/>
        <v>-100</v>
      </c>
      <c r="BO34" s="1809"/>
      <c r="BP34" s="2167"/>
      <c r="BQ34" s="1812">
        <f t="shared" si="86"/>
        <v>8500</v>
      </c>
      <c r="BR34" s="1813"/>
      <c r="BS34" s="1808">
        <f t="shared" si="103"/>
        <v>-8500</v>
      </c>
      <c r="BT34" s="1810">
        <f t="shared" si="117"/>
        <v>-100</v>
      </c>
      <c r="BU34" s="1809"/>
      <c r="BV34" s="2167"/>
      <c r="BW34" s="1815">
        <f t="shared" si="51"/>
        <v>102000</v>
      </c>
      <c r="BX34" s="1816">
        <f>D34+J34+P34+V34+AB34+AH34+AN34+AT34+AZ34+BF34+BL34+BR34</f>
        <v>26017.32</v>
      </c>
      <c r="BZ34" s="1707"/>
    </row>
    <row r="35" spans="1:79" s="1708" customFormat="1" ht="18" customHeight="1" x14ac:dyDescent="0.25">
      <c r="A35" s="2128">
        <v>12258</v>
      </c>
      <c r="B35" s="2206" t="s">
        <v>3859</v>
      </c>
      <c r="C35" s="2835">
        <v>75000</v>
      </c>
      <c r="D35" s="1784">
        <v>8201.7900000000009</v>
      </c>
      <c r="E35" s="2824">
        <f>D35+D36-C35</f>
        <v>200046.28999999998</v>
      </c>
      <c r="F35" s="2826">
        <f>((SUM(D35:D36)/C35)-1)*100</f>
        <v>266.72838666666661</v>
      </c>
      <c r="G35" s="1817"/>
      <c r="H35" s="1787"/>
      <c r="I35" s="2822">
        <f>$C$35</f>
        <v>75000</v>
      </c>
      <c r="J35" s="1784">
        <v>31995.200000000001</v>
      </c>
      <c r="K35" s="2824">
        <f>J35+J36-I35</f>
        <v>212584.82</v>
      </c>
      <c r="L35" s="2826">
        <f>((SUM(J35:J36)/I35)-1)*100</f>
        <v>283.44642666666664</v>
      </c>
      <c r="M35" s="1817"/>
      <c r="N35" s="1787"/>
      <c r="O35" s="2822">
        <f t="shared" si="66"/>
        <v>75000</v>
      </c>
      <c r="P35" s="1785">
        <v>22351.94</v>
      </c>
      <c r="Q35" s="2824">
        <f>P35+P36-O35</f>
        <v>215902.97999999998</v>
      </c>
      <c r="R35" s="2826">
        <f>((SUM(P35:P36)/O35)-1)*100</f>
        <v>287.87063999999998</v>
      </c>
      <c r="S35" s="1817"/>
      <c r="T35" s="1787"/>
      <c r="U35" s="2822">
        <f t="shared" si="69"/>
        <v>75000</v>
      </c>
      <c r="V35" s="1784"/>
      <c r="W35" s="2824">
        <f>V35+V36-U35</f>
        <v>-75000</v>
      </c>
      <c r="X35" s="2826">
        <f>((SUM(V35:V36)/U35)-1)*100</f>
        <v>-100</v>
      </c>
      <c r="Y35" s="1817"/>
      <c r="Z35" s="1787"/>
      <c r="AA35" s="2822">
        <f t="shared" si="107"/>
        <v>75000</v>
      </c>
      <c r="AB35" s="1785"/>
      <c r="AC35" s="2824">
        <f>AB35+AB36-AA35</f>
        <v>-75000</v>
      </c>
      <c r="AD35" s="2826">
        <f>((SUM(AB35:AB36)/AA35)-1)*100</f>
        <v>-100</v>
      </c>
      <c r="AE35" s="1817"/>
      <c r="AF35" s="1787"/>
      <c r="AG35" s="2822">
        <f t="shared" si="93"/>
        <v>75000</v>
      </c>
      <c r="AH35" s="1785"/>
      <c r="AI35" s="2824">
        <f>AH35+AH36-AG35</f>
        <v>-75000</v>
      </c>
      <c r="AJ35" s="2826">
        <f>((SUM(AH35:AH36)/AG35)-1)*100</f>
        <v>-100</v>
      </c>
      <c r="AK35" s="1817"/>
      <c r="AL35" s="1787"/>
      <c r="AM35" s="2822">
        <f t="shared" si="110"/>
        <v>75000</v>
      </c>
      <c r="AN35" s="1785"/>
      <c r="AO35" s="2824">
        <f>AN35+AN36-AM35</f>
        <v>-75000</v>
      </c>
      <c r="AP35" s="2826">
        <f>((SUM(AN35:AN36)/AM35)-1)*100</f>
        <v>-100</v>
      </c>
      <c r="AQ35" s="1817"/>
      <c r="AR35" s="1787"/>
      <c r="AS35" s="2822">
        <f t="shared" si="96"/>
        <v>75000</v>
      </c>
      <c r="AT35" s="2234"/>
      <c r="AU35" s="2824">
        <f>AT35+AT36-AS35</f>
        <v>-75000</v>
      </c>
      <c r="AV35" s="2826">
        <f>((SUM(AT35:AT36)/AS35)-1)*100</f>
        <v>-100</v>
      </c>
      <c r="AW35" s="1817"/>
      <c r="AX35" s="1787"/>
      <c r="AY35" s="2822">
        <f t="shared" si="98"/>
        <v>75000</v>
      </c>
      <c r="AZ35" s="1785"/>
      <c r="BA35" s="2824">
        <f>AZ35+AZ36-AY35</f>
        <v>-75000</v>
      </c>
      <c r="BB35" s="2826">
        <f>((SUM(AZ35:AZ36)/AY35)-1)*100</f>
        <v>-100</v>
      </c>
      <c r="BC35" s="1817"/>
      <c r="BD35" s="1787"/>
      <c r="BE35" s="2822">
        <f t="shared" si="100"/>
        <v>75000</v>
      </c>
      <c r="BF35" s="1785"/>
      <c r="BG35" s="2824">
        <f>BF35+BF36-BE35</f>
        <v>-75000</v>
      </c>
      <c r="BH35" s="2826">
        <f>((SUM(BF35:BF36)/BE35)-1)*100</f>
        <v>-100</v>
      </c>
      <c r="BI35" s="1817"/>
      <c r="BJ35" s="1787"/>
      <c r="BK35" s="2822">
        <f t="shared" si="115"/>
        <v>75000</v>
      </c>
      <c r="BL35" s="1785"/>
      <c r="BM35" s="2824">
        <f>BL35+BL36-BK35</f>
        <v>-75000</v>
      </c>
      <c r="BN35" s="2826">
        <f>((SUM(BL35:BL36)/BK35)-1)*100</f>
        <v>-100</v>
      </c>
      <c r="BO35" s="1817"/>
      <c r="BP35" s="1787"/>
      <c r="BQ35" s="2822">
        <f t="shared" si="86"/>
        <v>75000</v>
      </c>
      <c r="BR35" s="1784"/>
      <c r="BS35" s="2824">
        <f>BR35+BR36-BQ35</f>
        <v>-75000</v>
      </c>
      <c r="BT35" s="2826">
        <f>((SUM(BR35:BR36)/BQ35)-1)*100</f>
        <v>-100</v>
      </c>
      <c r="BU35" s="1817"/>
      <c r="BV35" s="1787"/>
      <c r="BW35" s="2809">
        <f t="shared" si="51"/>
        <v>900000</v>
      </c>
      <c r="BX35" s="2811">
        <f>D35+J35+P35+V35+AB35+AH35+AN35+AT35+AZ35+BF35+BL35+BR35+D36+J36+P36++V36+AB36+AH36+AN36+AT36+AZ36+BF36+BL36+BR36</f>
        <v>853534.09000000008</v>
      </c>
      <c r="BZ35" s="1727"/>
    </row>
    <row r="36" spans="1:79" s="1708" customFormat="1" ht="18" customHeight="1" thickBot="1" x14ac:dyDescent="0.3">
      <c r="A36" s="2129">
        <v>12474</v>
      </c>
      <c r="B36" s="2211" t="s">
        <v>3858</v>
      </c>
      <c r="C36" s="2836"/>
      <c r="D36" s="1818">
        <v>266844.5</v>
      </c>
      <c r="E36" s="2825"/>
      <c r="F36" s="2827" t="e">
        <f t="shared" ref="F36" si="118">((SUM(D36:D37)/C36)-1)*100</f>
        <v>#DIV/0!</v>
      </c>
      <c r="G36" s="1819"/>
      <c r="H36" s="1787"/>
      <c r="I36" s="2823"/>
      <c r="J36" s="1818">
        <v>255589.62</v>
      </c>
      <c r="K36" s="2825"/>
      <c r="L36" s="2827" t="e">
        <f t="shared" ref="L36" si="119">((SUM(J36:J37)/I36)-1)*100</f>
        <v>#DIV/0!</v>
      </c>
      <c r="M36" s="1819"/>
      <c r="N36" s="1787"/>
      <c r="O36" s="2823"/>
      <c r="P36" s="2235">
        <v>268551.03999999998</v>
      </c>
      <c r="Q36" s="2825"/>
      <c r="R36" s="2827" t="e">
        <f t="shared" ref="R36" si="120">((SUM(P36:P37)/O36)-1)*100</f>
        <v>#DIV/0!</v>
      </c>
      <c r="S36" s="1819"/>
      <c r="T36" s="1787"/>
      <c r="U36" s="2823"/>
      <c r="V36" s="2007"/>
      <c r="W36" s="2825"/>
      <c r="X36" s="2827" t="e">
        <f t="shared" ref="X36" si="121">((SUM(V36:V37)/U36)-1)*100</f>
        <v>#DIV/0!</v>
      </c>
      <c r="Y36" s="1819"/>
      <c r="Z36" s="1787"/>
      <c r="AA36" s="2823"/>
      <c r="AB36" s="2235"/>
      <c r="AC36" s="2825"/>
      <c r="AD36" s="2827" t="e">
        <f t="shared" ref="AD36" si="122">((SUM(AB36:AB37)/AA36)-1)*100</f>
        <v>#DIV/0!</v>
      </c>
      <c r="AE36" s="1819"/>
      <c r="AF36" s="1787"/>
      <c r="AG36" s="2823"/>
      <c r="AH36" s="2235"/>
      <c r="AI36" s="2825"/>
      <c r="AJ36" s="2827" t="e">
        <f t="shared" ref="AJ36" si="123">((SUM(AH36:AH37)/AG36)-1)*100</f>
        <v>#DIV/0!</v>
      </c>
      <c r="AK36" s="1819"/>
      <c r="AL36" s="1787"/>
      <c r="AM36" s="2823"/>
      <c r="AN36" s="2235"/>
      <c r="AO36" s="2825"/>
      <c r="AP36" s="2827" t="e">
        <f t="shared" ref="AP36" si="124">((SUM(AN36:AN37)/AM36)-1)*100</f>
        <v>#DIV/0!</v>
      </c>
      <c r="AQ36" s="1819"/>
      <c r="AR36" s="1787"/>
      <c r="AS36" s="2823"/>
      <c r="AT36" s="2235"/>
      <c r="AU36" s="2825"/>
      <c r="AV36" s="2827" t="e">
        <f t="shared" ref="AV36" si="125">((SUM(AT36:AT37)/AS36)-1)*100</f>
        <v>#DIV/0!</v>
      </c>
      <c r="AW36" s="1819"/>
      <c r="AX36" s="1787"/>
      <c r="AY36" s="2823"/>
      <c r="AZ36" s="2235"/>
      <c r="BA36" s="2825"/>
      <c r="BB36" s="2827" t="e">
        <f t="shared" ref="BB36" si="126">((SUM(AZ36:AZ37)/AY36)-1)*100</f>
        <v>#DIV/0!</v>
      </c>
      <c r="BC36" s="1819"/>
      <c r="BD36" s="1787"/>
      <c r="BE36" s="2823"/>
      <c r="BF36" s="2235"/>
      <c r="BG36" s="2825"/>
      <c r="BH36" s="2827" t="e">
        <f t="shared" ref="BH36" si="127">((SUM(BF36:BF37)/BE36)-1)*100</f>
        <v>#DIV/0!</v>
      </c>
      <c r="BI36" s="1819"/>
      <c r="BJ36" s="1787"/>
      <c r="BK36" s="2823"/>
      <c r="BL36" s="2235"/>
      <c r="BM36" s="2825"/>
      <c r="BN36" s="2827" t="e">
        <f t="shared" ref="BN36" si="128">((SUM(BL36:BL37)/BK36)-1)*100</f>
        <v>#DIV/0!</v>
      </c>
      <c r="BO36" s="1819"/>
      <c r="BP36" s="1787"/>
      <c r="BQ36" s="2823"/>
      <c r="BR36" s="1818"/>
      <c r="BS36" s="2825"/>
      <c r="BT36" s="2827" t="e">
        <f t="shared" ref="BT36" si="129">((SUM(BR36:BR37)/BQ36)-1)*100</f>
        <v>#DIV/0!</v>
      </c>
      <c r="BU36" s="1819"/>
      <c r="BV36" s="1787"/>
      <c r="BW36" s="2810"/>
      <c r="BX36" s="2812"/>
      <c r="BZ36" s="1727"/>
    </row>
    <row r="37" spans="1:79" s="1708" customFormat="1" ht="18" customHeight="1" x14ac:dyDescent="0.25">
      <c r="A37" s="2130">
        <v>5001</v>
      </c>
      <c r="B37" s="2225" t="s">
        <v>12</v>
      </c>
      <c r="C37" s="2236">
        <v>130000</v>
      </c>
      <c r="D37" s="1784">
        <v>149058.06</v>
      </c>
      <c r="E37" s="1784">
        <f t="shared" si="1"/>
        <v>19058.059999999998</v>
      </c>
      <c r="F37" s="1824">
        <f t="shared" ref="F37:F39" si="130">((D37/C37)-1)*100</f>
        <v>14.660046153846151</v>
      </c>
      <c r="G37" s="1786"/>
      <c r="H37" s="1787"/>
      <c r="I37" s="1821">
        <f>$C$37</f>
        <v>130000</v>
      </c>
      <c r="J37" s="2234">
        <v>154345.51</v>
      </c>
      <c r="K37" s="1784">
        <f t="shared" ref="K37:K43" si="131">J37-I37</f>
        <v>24345.510000000009</v>
      </c>
      <c r="L37" s="1824">
        <f t="shared" ref="L37:L39" si="132">((J37/I37)-1)*100</f>
        <v>18.727315384615384</v>
      </c>
      <c r="M37" s="1823"/>
      <c r="N37" s="1787"/>
      <c r="O37" s="1825">
        <f t="shared" si="66"/>
        <v>130000</v>
      </c>
      <c r="P37" s="1822">
        <v>335072.77</v>
      </c>
      <c r="Q37" s="1784">
        <f t="shared" ref="Q37:Q43" si="133">P37-O37</f>
        <v>205072.77000000002</v>
      </c>
      <c r="R37" s="1824">
        <f t="shared" ref="R37:R39" si="134">((P37/O37)-1)*100</f>
        <v>157.74828461538465</v>
      </c>
      <c r="S37" s="1823"/>
      <c r="T37" s="1787"/>
      <c r="U37" s="1795">
        <f t="shared" si="69"/>
        <v>130000</v>
      </c>
      <c r="V37" s="1791"/>
      <c r="W37" s="1784">
        <f t="shared" ref="W37:W39" si="135">V37-U37</f>
        <v>-130000</v>
      </c>
      <c r="X37" s="1824">
        <f t="shared" ref="X37:X39" si="136">((V37/U37)-1)*100</f>
        <v>-100</v>
      </c>
      <c r="Y37" s="1823"/>
      <c r="Z37" s="1787"/>
      <c r="AA37" s="1789">
        <f t="shared" si="107"/>
        <v>130000</v>
      </c>
      <c r="AB37" s="1784"/>
      <c r="AC37" s="1784">
        <f t="shared" ref="AC37:AC43" si="137">AB37-AA37</f>
        <v>-130000</v>
      </c>
      <c r="AD37" s="1788">
        <f t="shared" ref="AD37:AD39" si="138">((AB37/AA37)-1)*100</f>
        <v>-100</v>
      </c>
      <c r="AE37" s="1786"/>
      <c r="AF37" s="1787"/>
      <c r="AG37" s="1795">
        <f t="shared" si="93"/>
        <v>130000</v>
      </c>
      <c r="AH37" s="1791"/>
      <c r="AI37" s="1784">
        <f t="shared" ref="AI37:AI43" si="139">AH37-AG37</f>
        <v>-130000</v>
      </c>
      <c r="AJ37" s="1824">
        <f t="shared" ref="AJ37:AJ39" si="140">((AH37/AG37)-1)*100</f>
        <v>-100</v>
      </c>
      <c r="AK37" s="1823"/>
      <c r="AL37" s="1787"/>
      <c r="AM37" s="1795">
        <f t="shared" si="110"/>
        <v>130000</v>
      </c>
      <c r="AN37" s="1791"/>
      <c r="AO37" s="1784">
        <f t="shared" ref="AO37:AO43" si="141">AN37-AM37</f>
        <v>-130000</v>
      </c>
      <c r="AP37" s="1824">
        <f t="shared" ref="AP37:AP39" si="142">((AN37/AM37)-1)*100</f>
        <v>-100</v>
      </c>
      <c r="AQ37" s="1823"/>
      <c r="AR37" s="1787"/>
      <c r="AS37" s="1795">
        <f t="shared" si="96"/>
        <v>130000</v>
      </c>
      <c r="AT37" s="1791"/>
      <c r="AU37" s="1784">
        <f t="shared" ref="AU37:AU43" si="143">AT37-AS37</f>
        <v>-130000</v>
      </c>
      <c r="AV37" s="1824">
        <f t="shared" ref="AV37:AV39" si="144">((AT37/AS37)-1)*100</f>
        <v>-100</v>
      </c>
      <c r="AW37" s="1823"/>
      <c r="AX37" s="1787"/>
      <c r="AY37" s="1795">
        <f t="shared" si="98"/>
        <v>130000</v>
      </c>
      <c r="AZ37" s="1791"/>
      <c r="BA37" s="1784">
        <f t="shared" ref="BA37:BA43" si="145">AZ37-AY37</f>
        <v>-130000</v>
      </c>
      <c r="BB37" s="1824">
        <f t="shared" ref="BB37:BB39" si="146">((AZ37/AY37)-1)*100</f>
        <v>-100</v>
      </c>
      <c r="BC37" s="1823"/>
      <c r="BD37" s="1787"/>
      <c r="BE37" s="1795">
        <f t="shared" si="100"/>
        <v>130000</v>
      </c>
      <c r="BF37" s="1791"/>
      <c r="BG37" s="1784">
        <f t="shared" ref="BG37:BG43" si="147">BF37-BE37</f>
        <v>-130000</v>
      </c>
      <c r="BH37" s="1824">
        <f t="shared" ref="BH37:BH39" si="148">((BF37/BE37)-1)*100</f>
        <v>-100</v>
      </c>
      <c r="BI37" s="1823"/>
      <c r="BJ37" s="1787"/>
      <c r="BK37" s="1795">
        <f t="shared" si="115"/>
        <v>130000</v>
      </c>
      <c r="BL37" s="1791"/>
      <c r="BM37" s="1784">
        <f t="shared" ref="BM37:BM43" si="149">BL37-BK37</f>
        <v>-130000</v>
      </c>
      <c r="BN37" s="1824">
        <f t="shared" ref="BN37:BN39" si="150">((BL37/BK37)-1)*100</f>
        <v>-100</v>
      </c>
      <c r="BO37" s="1823"/>
      <c r="BP37" s="1787"/>
      <c r="BQ37" s="1795">
        <f t="shared" si="86"/>
        <v>130000</v>
      </c>
      <c r="BR37" s="1791"/>
      <c r="BS37" s="1784">
        <f t="shared" ref="BS37:BS43" si="151">BR37-BQ37</f>
        <v>-130000</v>
      </c>
      <c r="BT37" s="1824">
        <f t="shared" ref="BT37:BT39" si="152">((BR37/BQ37)-1)*100</f>
        <v>-100</v>
      </c>
      <c r="BU37" s="1823"/>
      <c r="BV37" s="1787"/>
      <c r="BW37" s="1762">
        <f t="shared" ref="BW37:BX44" si="153">C37+I37+O37+U37+AA37+AG37+AM37+AS37+AY37+BE37+BK37+BQ37</f>
        <v>1560000</v>
      </c>
      <c r="BX37" s="1826">
        <f t="shared" si="153"/>
        <v>638476.34000000008</v>
      </c>
      <c r="BZ37" s="1727"/>
      <c r="CA37" s="1782"/>
    </row>
    <row r="38" spans="1:79" s="1708" customFormat="1" ht="18" customHeight="1" x14ac:dyDescent="0.25">
      <c r="A38" s="2127">
        <v>55244</v>
      </c>
      <c r="B38" s="2219" t="s">
        <v>22</v>
      </c>
      <c r="C38" s="2237">
        <v>42000</v>
      </c>
      <c r="D38" s="1791">
        <v>42744.21</v>
      </c>
      <c r="E38" s="1791">
        <f t="shared" si="1"/>
        <v>744.20999999999913</v>
      </c>
      <c r="F38" s="1794">
        <f t="shared" si="130"/>
        <v>1.7719285714285604</v>
      </c>
      <c r="G38" s="1793"/>
      <c r="H38" s="1787"/>
      <c r="I38" s="1790">
        <f>$C$38</f>
        <v>42000</v>
      </c>
      <c r="J38" s="1791">
        <v>42744.21</v>
      </c>
      <c r="K38" s="1791">
        <f t="shared" si="131"/>
        <v>744.20999999999913</v>
      </c>
      <c r="L38" s="1794">
        <f t="shared" si="132"/>
        <v>1.7719285714285604</v>
      </c>
      <c r="M38" s="1793"/>
      <c r="N38" s="1787"/>
      <c r="O38" s="1795">
        <f t="shared" si="66"/>
        <v>42000</v>
      </c>
      <c r="P38" s="1791">
        <v>42727.89</v>
      </c>
      <c r="Q38" s="1791">
        <f t="shared" si="133"/>
        <v>727.88999999999942</v>
      </c>
      <c r="R38" s="1794">
        <f t="shared" si="134"/>
        <v>1.7330714285714199</v>
      </c>
      <c r="S38" s="1793"/>
      <c r="T38" s="1787"/>
      <c r="U38" s="1795">
        <f t="shared" si="69"/>
        <v>42000</v>
      </c>
      <c r="V38" s="1791"/>
      <c r="W38" s="1791">
        <f t="shared" si="135"/>
        <v>-42000</v>
      </c>
      <c r="X38" s="1794">
        <f t="shared" si="136"/>
        <v>-100</v>
      </c>
      <c r="Y38" s="1793"/>
      <c r="Z38" s="1787"/>
      <c r="AA38" s="1795">
        <f t="shared" si="107"/>
        <v>42000</v>
      </c>
      <c r="AB38" s="1791"/>
      <c r="AC38" s="1791">
        <f t="shared" si="137"/>
        <v>-42000</v>
      </c>
      <c r="AD38" s="1794">
        <f t="shared" si="138"/>
        <v>-100</v>
      </c>
      <c r="AE38" s="1793"/>
      <c r="AF38" s="1787"/>
      <c r="AG38" s="1795">
        <f t="shared" si="93"/>
        <v>42000</v>
      </c>
      <c r="AH38" s="1791"/>
      <c r="AI38" s="1791">
        <f t="shared" si="139"/>
        <v>-42000</v>
      </c>
      <c r="AJ38" s="1794">
        <f t="shared" si="140"/>
        <v>-100</v>
      </c>
      <c r="AK38" s="1793"/>
      <c r="AL38" s="1787"/>
      <c r="AM38" s="1795">
        <f t="shared" si="110"/>
        <v>42000</v>
      </c>
      <c r="AN38" s="1791"/>
      <c r="AO38" s="1791">
        <f t="shared" si="141"/>
        <v>-42000</v>
      </c>
      <c r="AP38" s="1794">
        <f t="shared" si="142"/>
        <v>-100</v>
      </c>
      <c r="AQ38" s="1793"/>
      <c r="AR38" s="1787"/>
      <c r="AS38" s="1795">
        <f t="shared" si="96"/>
        <v>42000</v>
      </c>
      <c r="AT38" s="1791"/>
      <c r="AU38" s="1791">
        <f t="shared" si="143"/>
        <v>-42000</v>
      </c>
      <c r="AV38" s="1794">
        <f t="shared" si="144"/>
        <v>-100</v>
      </c>
      <c r="AW38" s="1793"/>
      <c r="AX38" s="1787"/>
      <c r="AY38" s="1795">
        <f t="shared" si="98"/>
        <v>42000</v>
      </c>
      <c r="AZ38" s="1791"/>
      <c r="BA38" s="1791">
        <f t="shared" si="145"/>
        <v>-42000</v>
      </c>
      <c r="BB38" s="1794">
        <f t="shared" si="146"/>
        <v>-100</v>
      </c>
      <c r="BC38" s="1793"/>
      <c r="BD38" s="1787"/>
      <c r="BE38" s="1795">
        <f t="shared" si="100"/>
        <v>42000</v>
      </c>
      <c r="BF38" s="1791"/>
      <c r="BG38" s="1791">
        <f t="shared" si="147"/>
        <v>-42000</v>
      </c>
      <c r="BH38" s="1794">
        <f t="shared" si="148"/>
        <v>-100</v>
      </c>
      <c r="BI38" s="1793"/>
      <c r="BJ38" s="1787"/>
      <c r="BK38" s="1795">
        <f t="shared" si="115"/>
        <v>42000</v>
      </c>
      <c r="BL38" s="1791"/>
      <c r="BM38" s="1791">
        <f t="shared" si="149"/>
        <v>-42000</v>
      </c>
      <c r="BN38" s="1794">
        <f t="shared" si="150"/>
        <v>-100</v>
      </c>
      <c r="BO38" s="1793"/>
      <c r="BP38" s="1787"/>
      <c r="BQ38" s="1795">
        <f t="shared" si="86"/>
        <v>42000</v>
      </c>
      <c r="BR38" s="1791"/>
      <c r="BS38" s="1791">
        <f t="shared" si="151"/>
        <v>-42000</v>
      </c>
      <c r="BT38" s="1794">
        <f t="shared" si="152"/>
        <v>-100</v>
      </c>
      <c r="BU38" s="1793"/>
      <c r="BV38" s="1787"/>
      <c r="BW38" s="1767">
        <f>C38+I38+O38+U38+AA38+AG38+AM38+AS38+AY38+BE38+BK38+BQ38</f>
        <v>504000</v>
      </c>
      <c r="BX38" s="1763">
        <f t="shared" si="153"/>
        <v>128216.31</v>
      </c>
      <c r="BZ38" s="1707"/>
    </row>
    <row r="39" spans="1:79" s="1708" customFormat="1" ht="18" customHeight="1" x14ac:dyDescent="0.25">
      <c r="A39" s="2126">
        <v>5181</v>
      </c>
      <c r="B39" s="2219" t="s">
        <v>19</v>
      </c>
      <c r="C39" s="2237">
        <v>3500</v>
      </c>
      <c r="D39" s="1791">
        <v>2422.6999999999998</v>
      </c>
      <c r="E39" s="1791">
        <f t="shared" si="1"/>
        <v>-1077.3000000000002</v>
      </c>
      <c r="F39" s="1794">
        <f t="shared" si="130"/>
        <v>-30.780000000000008</v>
      </c>
      <c r="G39" s="1793"/>
      <c r="H39" s="1787"/>
      <c r="I39" s="1790">
        <f>$C$39</f>
        <v>3500</v>
      </c>
      <c r="J39" s="1791">
        <v>3121.29</v>
      </c>
      <c r="K39" s="1791">
        <f t="shared" si="131"/>
        <v>-378.71000000000004</v>
      </c>
      <c r="L39" s="1794">
        <f t="shared" si="132"/>
        <v>-10.820285714285715</v>
      </c>
      <c r="M39" s="1793"/>
      <c r="N39" s="1787"/>
      <c r="O39" s="1795">
        <f t="shared" si="66"/>
        <v>3500</v>
      </c>
      <c r="P39" s="1791">
        <v>880.25</v>
      </c>
      <c r="Q39" s="1791">
        <f t="shared" si="133"/>
        <v>-2619.75</v>
      </c>
      <c r="R39" s="1794">
        <f t="shared" si="134"/>
        <v>-74.849999999999994</v>
      </c>
      <c r="S39" s="1793"/>
      <c r="T39" s="1787"/>
      <c r="U39" s="1795">
        <f t="shared" si="69"/>
        <v>3500</v>
      </c>
      <c r="V39" s="1791"/>
      <c r="W39" s="1791">
        <f t="shared" si="135"/>
        <v>-3500</v>
      </c>
      <c r="X39" s="1794">
        <f t="shared" si="136"/>
        <v>-100</v>
      </c>
      <c r="Y39" s="1793"/>
      <c r="Z39" s="1787"/>
      <c r="AA39" s="1795">
        <f t="shared" si="107"/>
        <v>3500</v>
      </c>
      <c r="AB39" s="1791"/>
      <c r="AC39" s="1791">
        <f t="shared" si="137"/>
        <v>-3500</v>
      </c>
      <c r="AD39" s="1794">
        <f t="shared" si="138"/>
        <v>-100</v>
      </c>
      <c r="AE39" s="1793"/>
      <c r="AF39" s="1787"/>
      <c r="AG39" s="1795">
        <f t="shared" si="93"/>
        <v>3500</v>
      </c>
      <c r="AH39" s="1791"/>
      <c r="AI39" s="1791">
        <f t="shared" si="139"/>
        <v>-3500</v>
      </c>
      <c r="AJ39" s="1794">
        <f t="shared" si="140"/>
        <v>-100</v>
      </c>
      <c r="AK39" s="1793"/>
      <c r="AL39" s="1787"/>
      <c r="AM39" s="1795">
        <f t="shared" si="110"/>
        <v>3500</v>
      </c>
      <c r="AN39" s="1791"/>
      <c r="AO39" s="1791">
        <f t="shared" si="141"/>
        <v>-3500</v>
      </c>
      <c r="AP39" s="1794">
        <f t="shared" si="142"/>
        <v>-100</v>
      </c>
      <c r="AQ39" s="1793"/>
      <c r="AR39" s="1787"/>
      <c r="AS39" s="1795">
        <f t="shared" si="96"/>
        <v>3500</v>
      </c>
      <c r="AT39" s="1791"/>
      <c r="AU39" s="1791">
        <f t="shared" si="143"/>
        <v>-3500</v>
      </c>
      <c r="AV39" s="1794">
        <f t="shared" si="144"/>
        <v>-100</v>
      </c>
      <c r="AW39" s="1793"/>
      <c r="AX39" s="1787"/>
      <c r="AY39" s="1795">
        <f t="shared" si="98"/>
        <v>3500</v>
      </c>
      <c r="AZ39" s="1791"/>
      <c r="BA39" s="1791">
        <f t="shared" si="145"/>
        <v>-3500</v>
      </c>
      <c r="BB39" s="1794">
        <f t="shared" si="146"/>
        <v>-100</v>
      </c>
      <c r="BC39" s="1793"/>
      <c r="BD39" s="1787"/>
      <c r="BE39" s="1795">
        <f t="shared" si="100"/>
        <v>3500</v>
      </c>
      <c r="BF39" s="1791"/>
      <c r="BG39" s="1791">
        <f t="shared" si="147"/>
        <v>-3500</v>
      </c>
      <c r="BH39" s="1794">
        <f t="shared" si="148"/>
        <v>-100</v>
      </c>
      <c r="BI39" s="1793"/>
      <c r="BJ39" s="1787"/>
      <c r="BK39" s="1795">
        <f t="shared" si="115"/>
        <v>3500</v>
      </c>
      <c r="BL39" s="1791"/>
      <c r="BM39" s="1791">
        <f t="shared" si="149"/>
        <v>-3500</v>
      </c>
      <c r="BN39" s="1794">
        <f t="shared" si="150"/>
        <v>-100</v>
      </c>
      <c r="BO39" s="1793"/>
      <c r="BP39" s="1787"/>
      <c r="BQ39" s="1795">
        <f t="shared" si="86"/>
        <v>3500</v>
      </c>
      <c r="BR39" s="1791"/>
      <c r="BS39" s="1791">
        <f t="shared" si="151"/>
        <v>-3500</v>
      </c>
      <c r="BT39" s="1794">
        <f t="shared" si="152"/>
        <v>-100</v>
      </c>
      <c r="BU39" s="1793"/>
      <c r="BV39" s="1787"/>
      <c r="BW39" s="1767">
        <f t="shared" si="153"/>
        <v>42000</v>
      </c>
      <c r="BX39" s="1763">
        <f t="shared" si="153"/>
        <v>6424.24</v>
      </c>
      <c r="BZ39" s="1727"/>
    </row>
    <row r="40" spans="1:79" s="1708" customFormat="1" ht="18" customHeight="1" x14ac:dyDescent="0.25">
      <c r="A40" s="2131">
        <v>55246</v>
      </c>
      <c r="B40" s="2219" t="s">
        <v>3798</v>
      </c>
      <c r="C40" s="2002">
        <v>0</v>
      </c>
      <c r="D40" s="1791">
        <v>1108000</v>
      </c>
      <c r="E40" s="1791">
        <f t="shared" si="1"/>
        <v>1108000</v>
      </c>
      <c r="F40" s="1794">
        <v>0</v>
      </c>
      <c r="G40" s="1767"/>
      <c r="H40" s="1724"/>
      <c r="I40" s="2111">
        <v>0</v>
      </c>
      <c r="J40" s="1827">
        <v>0</v>
      </c>
      <c r="K40" s="1791">
        <f t="shared" si="131"/>
        <v>0</v>
      </c>
      <c r="L40" s="1794">
        <v>0</v>
      </c>
      <c r="M40" s="1767"/>
      <c r="N40" s="1724"/>
      <c r="O40" s="2111">
        <v>0</v>
      </c>
      <c r="P40" s="1791">
        <v>0</v>
      </c>
      <c r="Q40" s="1791">
        <f t="shared" si="133"/>
        <v>0</v>
      </c>
      <c r="R40" s="1794">
        <v>0</v>
      </c>
      <c r="S40" s="1767"/>
      <c r="T40" s="1787"/>
      <c r="U40" s="2111">
        <v>0</v>
      </c>
      <c r="V40" s="1791"/>
      <c r="W40" s="2111">
        <v>0</v>
      </c>
      <c r="X40" s="2111">
        <v>0</v>
      </c>
      <c r="Y40" s="1767"/>
      <c r="Z40" s="1787"/>
      <c r="AA40" s="1796">
        <v>0</v>
      </c>
      <c r="AB40" s="1791"/>
      <c r="AC40" s="1791">
        <f t="shared" si="137"/>
        <v>0</v>
      </c>
      <c r="AD40" s="1794">
        <v>0</v>
      </c>
      <c r="AE40" s="1767"/>
      <c r="AF40" s="1787"/>
      <c r="AG40" s="2002">
        <v>0</v>
      </c>
      <c r="AH40" s="1791"/>
      <c r="AI40" s="1791">
        <f t="shared" si="139"/>
        <v>0</v>
      </c>
      <c r="AJ40" s="1794">
        <v>0</v>
      </c>
      <c r="AK40" s="1767"/>
      <c r="AL40" s="1787"/>
      <c r="AM40" s="2002">
        <v>0</v>
      </c>
      <c r="AN40" s="1791"/>
      <c r="AO40" s="1791">
        <f t="shared" si="141"/>
        <v>0</v>
      </c>
      <c r="AP40" s="1794">
        <v>0</v>
      </c>
      <c r="AQ40" s="1767"/>
      <c r="AR40" s="1787"/>
      <c r="AS40" s="2002">
        <v>0</v>
      </c>
      <c r="AT40" s="1791"/>
      <c r="AU40" s="1791">
        <f t="shared" si="143"/>
        <v>0</v>
      </c>
      <c r="AV40" s="1794">
        <v>0</v>
      </c>
      <c r="AW40" s="1767"/>
      <c r="AX40" s="1787"/>
      <c r="AY40" s="1795">
        <f t="shared" si="98"/>
        <v>0</v>
      </c>
      <c r="AZ40" s="1791"/>
      <c r="BA40" s="1791">
        <f t="shared" si="145"/>
        <v>0</v>
      </c>
      <c r="BB40" s="1794">
        <v>0</v>
      </c>
      <c r="BC40" s="1767"/>
      <c r="BD40" s="1787"/>
      <c r="BE40" s="1795"/>
      <c r="BF40" s="1791"/>
      <c r="BG40" s="1791">
        <f t="shared" si="147"/>
        <v>0</v>
      </c>
      <c r="BH40" s="1794">
        <v>0</v>
      </c>
      <c r="BI40" s="1767"/>
      <c r="BJ40" s="1787"/>
      <c r="BK40" s="1795">
        <f t="shared" si="115"/>
        <v>0</v>
      </c>
      <c r="BL40" s="1791"/>
      <c r="BM40" s="1791">
        <f t="shared" si="149"/>
        <v>0</v>
      </c>
      <c r="BN40" s="1794">
        <v>0</v>
      </c>
      <c r="BO40" s="1767"/>
      <c r="BP40" s="1787"/>
      <c r="BQ40" s="1795"/>
      <c r="BR40" s="1791"/>
      <c r="BS40" s="1791">
        <f t="shared" si="151"/>
        <v>0</v>
      </c>
      <c r="BT40" s="1794">
        <v>0</v>
      </c>
      <c r="BU40" s="1767"/>
      <c r="BV40" s="1787"/>
      <c r="BW40" s="1767"/>
      <c r="BX40" s="1763">
        <f t="shared" si="153"/>
        <v>1108000</v>
      </c>
      <c r="BZ40" s="1727"/>
    </row>
    <row r="41" spans="1:79" s="1708" customFormat="1" ht="18" customHeight="1" x14ac:dyDescent="0.25">
      <c r="A41" s="2127">
        <v>5195</v>
      </c>
      <c r="B41" s="2219" t="s">
        <v>21</v>
      </c>
      <c r="C41" s="1804">
        <v>0</v>
      </c>
      <c r="D41" s="2006">
        <v>3169.81</v>
      </c>
      <c r="E41" s="1791">
        <f t="shared" si="1"/>
        <v>3169.81</v>
      </c>
      <c r="F41" s="1794">
        <v>0</v>
      </c>
      <c r="G41" s="1793"/>
      <c r="H41" s="1787"/>
      <c r="I41" s="2111">
        <v>0</v>
      </c>
      <c r="J41" s="1827">
        <v>0.2</v>
      </c>
      <c r="K41" s="1791">
        <f t="shared" si="131"/>
        <v>0.2</v>
      </c>
      <c r="L41" s="1794">
        <v>0</v>
      </c>
      <c r="M41" s="1793"/>
      <c r="N41" s="1787"/>
      <c r="O41" s="2111">
        <v>0</v>
      </c>
      <c r="P41" s="1791">
        <v>6582.66</v>
      </c>
      <c r="Q41" s="1791">
        <f t="shared" si="133"/>
        <v>6582.66</v>
      </c>
      <c r="R41" s="1794">
        <v>0</v>
      </c>
      <c r="S41" s="1793"/>
      <c r="T41" s="1787"/>
      <c r="U41" s="2111">
        <v>0</v>
      </c>
      <c r="V41" s="1791"/>
      <c r="W41" s="2111">
        <v>0</v>
      </c>
      <c r="X41" s="2111">
        <v>0</v>
      </c>
      <c r="Y41" s="1793"/>
      <c r="Z41" s="1787"/>
      <c r="AA41" s="1804">
        <v>0</v>
      </c>
      <c r="AB41" s="1791"/>
      <c r="AC41" s="1791">
        <f t="shared" si="137"/>
        <v>0</v>
      </c>
      <c r="AD41" s="1794">
        <v>0</v>
      </c>
      <c r="AE41" s="1793"/>
      <c r="AF41" s="1787"/>
      <c r="AG41" s="1804">
        <v>0</v>
      </c>
      <c r="AH41" s="1791"/>
      <c r="AI41" s="1791">
        <f t="shared" si="139"/>
        <v>0</v>
      </c>
      <c r="AJ41" s="1794">
        <v>0</v>
      </c>
      <c r="AK41" s="1793"/>
      <c r="AL41" s="1787"/>
      <c r="AM41" s="1804">
        <v>0</v>
      </c>
      <c r="AN41" s="1791"/>
      <c r="AO41" s="1791">
        <f t="shared" si="141"/>
        <v>0</v>
      </c>
      <c r="AP41" s="1794">
        <v>0</v>
      </c>
      <c r="AQ41" s="1793"/>
      <c r="AR41" s="1787"/>
      <c r="AS41" s="1804">
        <v>0</v>
      </c>
      <c r="AT41" s="1791"/>
      <c r="AU41" s="1791">
        <f t="shared" si="143"/>
        <v>0</v>
      </c>
      <c r="AV41" s="1794">
        <v>0</v>
      </c>
      <c r="AW41" s="1793"/>
      <c r="AX41" s="1787"/>
      <c r="AY41" s="1795">
        <f t="shared" si="98"/>
        <v>0</v>
      </c>
      <c r="AZ41" s="1791"/>
      <c r="BA41" s="1791">
        <f t="shared" si="145"/>
        <v>0</v>
      </c>
      <c r="BB41" s="1794">
        <v>0</v>
      </c>
      <c r="BC41" s="1793"/>
      <c r="BD41" s="1787"/>
      <c r="BE41" s="1795"/>
      <c r="BF41" s="1791"/>
      <c r="BG41" s="1791">
        <f t="shared" si="147"/>
        <v>0</v>
      </c>
      <c r="BH41" s="1794">
        <v>0</v>
      </c>
      <c r="BI41" s="1793"/>
      <c r="BJ41" s="1787"/>
      <c r="BK41" s="1795">
        <f t="shared" si="115"/>
        <v>0</v>
      </c>
      <c r="BL41" s="1791"/>
      <c r="BM41" s="1791">
        <f t="shared" si="149"/>
        <v>0</v>
      </c>
      <c r="BN41" s="1794">
        <v>0</v>
      </c>
      <c r="BO41" s="1793"/>
      <c r="BP41" s="1787"/>
      <c r="BQ41" s="1795"/>
      <c r="BR41" s="1791"/>
      <c r="BS41" s="1791">
        <f t="shared" si="151"/>
        <v>0</v>
      </c>
      <c r="BT41" s="1794">
        <v>0</v>
      </c>
      <c r="BU41" s="1793"/>
      <c r="BV41" s="1787"/>
      <c r="BW41" s="1767"/>
      <c r="BX41" s="1763">
        <f t="shared" si="153"/>
        <v>9752.67</v>
      </c>
      <c r="BZ41" s="1727"/>
    </row>
    <row r="42" spans="1:79" s="1708" customFormat="1" ht="18" customHeight="1" x14ac:dyDescent="0.25">
      <c r="A42" s="2132">
        <v>32733</v>
      </c>
      <c r="B42" s="2219" t="s">
        <v>144</v>
      </c>
      <c r="C42" s="1804">
        <v>0</v>
      </c>
      <c r="D42" s="2238">
        <v>20</v>
      </c>
      <c r="E42" s="1791">
        <f t="shared" si="1"/>
        <v>20</v>
      </c>
      <c r="F42" s="1831">
        <v>0</v>
      </c>
      <c r="G42" s="1793"/>
      <c r="H42" s="1787"/>
      <c r="I42" s="2111">
        <v>0</v>
      </c>
      <c r="J42" s="1827">
        <v>21.9</v>
      </c>
      <c r="K42" s="1791">
        <f t="shared" si="131"/>
        <v>21.9</v>
      </c>
      <c r="L42" s="1831">
        <v>0</v>
      </c>
      <c r="M42" s="1793"/>
      <c r="N42" s="1787"/>
      <c r="O42" s="2111">
        <v>0</v>
      </c>
      <c r="P42" s="1791">
        <v>255.9</v>
      </c>
      <c r="Q42" s="1791">
        <f t="shared" si="133"/>
        <v>255.9</v>
      </c>
      <c r="R42" s="1831">
        <v>0</v>
      </c>
      <c r="S42" s="1793"/>
      <c r="T42" s="1787"/>
      <c r="U42" s="2111">
        <v>0</v>
      </c>
      <c r="V42" s="1828"/>
      <c r="W42" s="2111">
        <v>0</v>
      </c>
      <c r="X42" s="2111">
        <v>0</v>
      </c>
      <c r="Y42" s="1793"/>
      <c r="Z42" s="1787"/>
      <c r="AA42" s="1804">
        <v>0</v>
      </c>
      <c r="AB42" s="1828"/>
      <c r="AC42" s="1791">
        <f t="shared" si="137"/>
        <v>0</v>
      </c>
      <c r="AD42" s="1831">
        <v>0</v>
      </c>
      <c r="AE42" s="1793"/>
      <c r="AF42" s="1787"/>
      <c r="AG42" s="1804">
        <v>0</v>
      </c>
      <c r="AH42" s="1828"/>
      <c r="AI42" s="1791">
        <f t="shared" si="139"/>
        <v>0</v>
      </c>
      <c r="AJ42" s="1831">
        <v>0</v>
      </c>
      <c r="AK42" s="1793"/>
      <c r="AL42" s="1787"/>
      <c r="AM42" s="1804">
        <v>0</v>
      </c>
      <c r="AN42" s="1791"/>
      <c r="AO42" s="1791">
        <f t="shared" si="141"/>
        <v>0</v>
      </c>
      <c r="AP42" s="1831">
        <v>0</v>
      </c>
      <c r="AQ42" s="1793"/>
      <c r="AR42" s="1787"/>
      <c r="AS42" s="1804">
        <v>0</v>
      </c>
      <c r="AT42" s="1828"/>
      <c r="AU42" s="1791">
        <f t="shared" si="143"/>
        <v>0</v>
      </c>
      <c r="AV42" s="1831">
        <v>0</v>
      </c>
      <c r="AW42" s="1793"/>
      <c r="AX42" s="1787"/>
      <c r="AY42" s="1832">
        <f t="shared" si="98"/>
        <v>0</v>
      </c>
      <c r="AZ42" s="1828"/>
      <c r="BA42" s="1791">
        <f t="shared" si="145"/>
        <v>0</v>
      </c>
      <c r="BB42" s="1831">
        <v>0</v>
      </c>
      <c r="BC42" s="1793"/>
      <c r="BD42" s="1787"/>
      <c r="BE42" s="1795"/>
      <c r="BF42" s="1833"/>
      <c r="BG42" s="1791">
        <f t="shared" si="147"/>
        <v>0</v>
      </c>
      <c r="BH42" s="1831">
        <v>0</v>
      </c>
      <c r="BI42" s="1793"/>
      <c r="BJ42" s="1787"/>
      <c r="BK42" s="1795">
        <f t="shared" si="115"/>
        <v>0</v>
      </c>
      <c r="BL42" s="1791"/>
      <c r="BM42" s="1791">
        <f t="shared" si="149"/>
        <v>0</v>
      </c>
      <c r="BN42" s="1831">
        <v>0</v>
      </c>
      <c r="BO42" s="1793"/>
      <c r="BP42" s="1787"/>
      <c r="BQ42" s="1795"/>
      <c r="BR42" s="1828"/>
      <c r="BS42" s="1791">
        <f t="shared" si="151"/>
        <v>0</v>
      </c>
      <c r="BT42" s="1831">
        <v>0</v>
      </c>
      <c r="BU42" s="1793"/>
      <c r="BV42" s="1787"/>
      <c r="BW42" s="1834"/>
      <c r="BX42" s="1835">
        <f t="shared" si="153"/>
        <v>297.8</v>
      </c>
      <c r="BZ42" s="1727"/>
    </row>
    <row r="43" spans="1:79" s="1708" customFormat="1" ht="18" customHeight="1" x14ac:dyDescent="0.25">
      <c r="A43" s="2132">
        <v>5177</v>
      </c>
      <c r="B43" s="2214" t="s">
        <v>3831</v>
      </c>
      <c r="C43" s="1804">
        <v>0</v>
      </c>
      <c r="D43" s="2239">
        <v>0</v>
      </c>
      <c r="E43" s="2114">
        <f t="shared" si="1"/>
        <v>0</v>
      </c>
      <c r="F43" s="1794">
        <v>0</v>
      </c>
      <c r="G43" s="1793"/>
      <c r="H43" s="1787"/>
      <c r="I43" s="2113">
        <v>0</v>
      </c>
      <c r="J43" s="1792">
        <v>2660</v>
      </c>
      <c r="K43" s="2114">
        <f t="shared" si="131"/>
        <v>2660</v>
      </c>
      <c r="L43" s="1794">
        <v>0</v>
      </c>
      <c r="M43" s="1793"/>
      <c r="N43" s="1787"/>
      <c r="O43" s="2113">
        <v>0</v>
      </c>
      <c r="P43" s="1791">
        <v>0</v>
      </c>
      <c r="Q43" s="2114">
        <f t="shared" si="133"/>
        <v>0</v>
      </c>
      <c r="R43" s="1794">
        <v>0</v>
      </c>
      <c r="S43" s="1793"/>
      <c r="T43" s="1787"/>
      <c r="U43" s="2113">
        <v>0</v>
      </c>
      <c r="V43" s="1791"/>
      <c r="W43" s="2113">
        <v>0</v>
      </c>
      <c r="X43" s="2113">
        <v>0</v>
      </c>
      <c r="Y43" s="1793"/>
      <c r="Z43" s="1787"/>
      <c r="AA43" s="1804">
        <v>0</v>
      </c>
      <c r="AB43" s="1791"/>
      <c r="AC43" s="2114">
        <f t="shared" si="137"/>
        <v>0</v>
      </c>
      <c r="AD43" s="1794">
        <v>0</v>
      </c>
      <c r="AE43" s="1793"/>
      <c r="AF43" s="1787"/>
      <c r="AG43" s="1804">
        <v>0</v>
      </c>
      <c r="AH43" s="1791"/>
      <c r="AI43" s="2114">
        <f t="shared" si="139"/>
        <v>0</v>
      </c>
      <c r="AJ43" s="1794">
        <v>0</v>
      </c>
      <c r="AK43" s="1793"/>
      <c r="AL43" s="1787"/>
      <c r="AM43" s="1804">
        <v>0</v>
      </c>
      <c r="AN43" s="1828"/>
      <c r="AO43" s="2114">
        <f t="shared" si="141"/>
        <v>0</v>
      </c>
      <c r="AP43" s="1794">
        <v>0</v>
      </c>
      <c r="AQ43" s="1793"/>
      <c r="AR43" s="1787"/>
      <c r="AS43" s="1804">
        <v>0</v>
      </c>
      <c r="AT43" s="1791"/>
      <c r="AU43" s="2114">
        <f t="shared" si="143"/>
        <v>0</v>
      </c>
      <c r="AV43" s="1794">
        <v>0</v>
      </c>
      <c r="AW43" s="1793"/>
      <c r="AX43" s="1787"/>
      <c r="AY43" s="1829"/>
      <c r="AZ43" s="1791"/>
      <c r="BA43" s="2114">
        <f t="shared" si="145"/>
        <v>0</v>
      </c>
      <c r="BB43" s="1794">
        <v>0</v>
      </c>
      <c r="BC43" s="1793"/>
      <c r="BD43" s="1787"/>
      <c r="BE43" s="1832"/>
      <c r="BF43" s="1830"/>
      <c r="BG43" s="2114">
        <f t="shared" si="147"/>
        <v>0</v>
      </c>
      <c r="BH43" s="1794">
        <v>0</v>
      </c>
      <c r="BI43" s="1793"/>
      <c r="BJ43" s="1787"/>
      <c r="BK43" s="1795"/>
      <c r="BL43" s="1791"/>
      <c r="BM43" s="2114">
        <f t="shared" si="149"/>
        <v>0</v>
      </c>
      <c r="BN43" s="1794">
        <v>0</v>
      </c>
      <c r="BO43" s="1793"/>
      <c r="BP43" s="1787"/>
      <c r="BQ43" s="1795"/>
      <c r="BR43" s="1830"/>
      <c r="BS43" s="2114">
        <f t="shared" si="151"/>
        <v>0</v>
      </c>
      <c r="BT43" s="1794">
        <v>0</v>
      </c>
      <c r="BU43" s="1793"/>
      <c r="BV43" s="1787"/>
      <c r="BW43" s="1767"/>
      <c r="BX43" s="1763">
        <f t="shared" si="153"/>
        <v>2660</v>
      </c>
      <c r="BZ43" s="1727"/>
    </row>
    <row r="44" spans="1:79" s="1708" customFormat="1" ht="18" customHeight="1" x14ac:dyDescent="0.25">
      <c r="A44" s="2132">
        <v>55245</v>
      </c>
      <c r="B44" s="2233" t="s">
        <v>3833</v>
      </c>
      <c r="C44" s="2002">
        <v>0</v>
      </c>
      <c r="D44" s="2114">
        <v>0</v>
      </c>
      <c r="E44" s="1791"/>
      <c r="F44" s="1794">
        <v>0</v>
      </c>
      <c r="G44" s="1793"/>
      <c r="H44" s="1787"/>
      <c r="I44" s="2113">
        <v>0</v>
      </c>
      <c r="J44" s="1792">
        <v>-1609.63</v>
      </c>
      <c r="K44" s="1791"/>
      <c r="L44" s="1794">
        <v>0</v>
      </c>
      <c r="M44" s="1836"/>
      <c r="N44" s="1787"/>
      <c r="O44" s="2113">
        <v>0</v>
      </c>
      <c r="P44" s="1791">
        <v>99490.2</v>
      </c>
      <c r="Q44" s="1791"/>
      <c r="R44" s="1794">
        <v>0</v>
      </c>
      <c r="S44" s="1836"/>
      <c r="T44" s="1787"/>
      <c r="U44" s="2113">
        <v>0</v>
      </c>
      <c r="V44" s="1791"/>
      <c r="W44" s="2113">
        <v>0</v>
      </c>
      <c r="X44" s="2113">
        <v>0</v>
      </c>
      <c r="Y44" s="1836"/>
      <c r="Z44" s="1787"/>
      <c r="AA44" s="1796">
        <v>0</v>
      </c>
      <c r="AB44" s="1828"/>
      <c r="AC44" s="1791"/>
      <c r="AD44" s="1794">
        <v>0</v>
      </c>
      <c r="AE44" s="1836"/>
      <c r="AF44" s="1787"/>
      <c r="AG44" s="2002">
        <v>0</v>
      </c>
      <c r="AH44" s="1791"/>
      <c r="AI44" s="1791"/>
      <c r="AJ44" s="1794">
        <v>0</v>
      </c>
      <c r="AK44" s="1836"/>
      <c r="AL44" s="1787"/>
      <c r="AM44" s="2002">
        <v>0</v>
      </c>
      <c r="AN44" s="1791"/>
      <c r="AO44" s="1791"/>
      <c r="AP44" s="1794">
        <v>0</v>
      </c>
      <c r="AQ44" s="1836"/>
      <c r="AR44" s="1787"/>
      <c r="AS44" s="2002">
        <v>0</v>
      </c>
      <c r="AT44" s="1791"/>
      <c r="AU44" s="1791"/>
      <c r="AV44" s="1794">
        <v>0</v>
      </c>
      <c r="AW44" s="1836"/>
      <c r="AX44" s="1787"/>
      <c r="AY44" s="1829"/>
      <c r="AZ44" s="1828"/>
      <c r="BA44" s="1791"/>
      <c r="BB44" s="1794">
        <v>0</v>
      </c>
      <c r="BC44" s="1836"/>
      <c r="BD44" s="1787"/>
      <c r="BE44" s="1795"/>
      <c r="BF44" s="1830"/>
      <c r="BG44" s="1791"/>
      <c r="BH44" s="1794">
        <v>0</v>
      </c>
      <c r="BI44" s="1836"/>
      <c r="BJ44" s="1787"/>
      <c r="BK44" s="1832"/>
      <c r="BL44" s="1828"/>
      <c r="BM44" s="1791"/>
      <c r="BN44" s="1794">
        <v>0</v>
      </c>
      <c r="BO44" s="1836"/>
      <c r="BP44" s="1787"/>
      <c r="BQ44" s="1832"/>
      <c r="BR44" s="1830"/>
      <c r="BS44" s="1791"/>
      <c r="BT44" s="1794">
        <v>0</v>
      </c>
      <c r="BU44" s="1836"/>
      <c r="BV44" s="1787"/>
      <c r="BW44" s="1767"/>
      <c r="BX44" s="1763">
        <f t="shared" si="153"/>
        <v>97880.569999999992</v>
      </c>
      <c r="BZ44" s="1727"/>
    </row>
    <row r="45" spans="1:79" s="1708" customFormat="1" ht="18" customHeight="1" thickBot="1" x14ac:dyDescent="0.3">
      <c r="A45" s="2133">
        <v>55291</v>
      </c>
      <c r="B45" s="2211" t="s">
        <v>3832</v>
      </c>
      <c r="C45" s="2003">
        <v>0</v>
      </c>
      <c r="D45" s="2240">
        <v>0</v>
      </c>
      <c r="E45" s="1818"/>
      <c r="F45" s="2159">
        <v>0</v>
      </c>
      <c r="G45" s="1820"/>
      <c r="H45" s="1787"/>
      <c r="I45" s="2112">
        <v>0</v>
      </c>
      <c r="J45" s="2241">
        <v>27777.78</v>
      </c>
      <c r="K45" s="1818"/>
      <c r="L45" s="2159">
        <v>0</v>
      </c>
      <c r="M45" s="1820"/>
      <c r="N45" s="1787"/>
      <c r="O45" s="2112">
        <v>0</v>
      </c>
      <c r="P45" s="1818">
        <v>27777.78</v>
      </c>
      <c r="Q45" s="1818"/>
      <c r="R45" s="2159">
        <v>0</v>
      </c>
      <c r="S45" s="1820"/>
      <c r="T45" s="1787"/>
      <c r="U45" s="2112">
        <v>0</v>
      </c>
      <c r="V45" s="2161"/>
      <c r="W45" s="2112">
        <v>0</v>
      </c>
      <c r="X45" s="2112">
        <v>0</v>
      </c>
      <c r="Y45" s="1820"/>
      <c r="Z45" s="1787"/>
      <c r="AA45" s="2003">
        <v>0</v>
      </c>
      <c r="AB45" s="1818"/>
      <c r="AC45" s="1818"/>
      <c r="AD45" s="2183">
        <v>0</v>
      </c>
      <c r="AE45" s="1820"/>
      <c r="AF45" s="1787"/>
      <c r="AG45" s="2003">
        <v>0</v>
      </c>
      <c r="AH45" s="2161"/>
      <c r="AI45" s="1818"/>
      <c r="AJ45" s="2159">
        <v>0</v>
      </c>
      <c r="AK45" s="1820"/>
      <c r="AL45" s="1787"/>
      <c r="AM45" s="2003">
        <v>0</v>
      </c>
      <c r="AN45" s="1818"/>
      <c r="AO45" s="1818"/>
      <c r="AP45" s="2159">
        <v>0</v>
      </c>
      <c r="AQ45" s="1820"/>
      <c r="AR45" s="1787"/>
      <c r="AS45" s="2003">
        <v>0</v>
      </c>
      <c r="AT45" s="2161"/>
      <c r="AU45" s="1818"/>
      <c r="AV45" s="2159">
        <v>0</v>
      </c>
      <c r="AW45" s="1820"/>
      <c r="AX45" s="1787"/>
      <c r="AY45" s="1837"/>
      <c r="AZ45" s="1818"/>
      <c r="BA45" s="1818"/>
      <c r="BB45" s="2159">
        <v>0</v>
      </c>
      <c r="BC45" s="1820"/>
      <c r="BD45" s="1787"/>
      <c r="BE45" s="1837"/>
      <c r="BF45" s="1818"/>
      <c r="BG45" s="1818"/>
      <c r="BH45" s="2159">
        <v>0</v>
      </c>
      <c r="BI45" s="1820"/>
      <c r="BJ45" s="1787"/>
      <c r="BK45" s="1837"/>
      <c r="BL45" s="1818"/>
      <c r="BM45" s="1818"/>
      <c r="BN45" s="2159">
        <v>0</v>
      </c>
      <c r="BO45" s="1820"/>
      <c r="BP45" s="1787"/>
      <c r="BQ45" s="1837"/>
      <c r="BR45" s="1818"/>
      <c r="BS45" s="1818"/>
      <c r="BT45" s="2159">
        <v>0</v>
      </c>
      <c r="BU45" s="1820"/>
      <c r="BV45" s="1787"/>
      <c r="BW45" s="1838"/>
      <c r="BX45" s="1839">
        <f>D45+J45+P45+V45+AB45+AH45+AN45+AT45+AZ45+BF45+BL45+BR45</f>
        <v>55555.56</v>
      </c>
      <c r="BZ45" s="1727"/>
    </row>
    <row r="46" spans="1:79" s="1708" customFormat="1" ht="18" customHeight="1" x14ac:dyDescent="0.25">
      <c r="A46" s="1840"/>
      <c r="C46" s="2242"/>
      <c r="D46" s="1841"/>
      <c r="E46" s="1842"/>
      <c r="F46" s="2242"/>
      <c r="G46" s="2242"/>
      <c r="H46" s="2242"/>
      <c r="I46" s="2242"/>
      <c r="J46" s="1841"/>
      <c r="K46" s="1842"/>
      <c r="L46" s="2242"/>
      <c r="M46" s="2242"/>
      <c r="N46" s="2242"/>
      <c r="O46" s="2242"/>
      <c r="P46" s="1841"/>
      <c r="Q46" s="1842"/>
      <c r="R46" s="2242"/>
      <c r="S46" s="2242"/>
      <c r="T46" s="2242"/>
      <c r="U46" s="2242"/>
      <c r="V46" s="1841"/>
      <c r="W46" s="1842"/>
      <c r="X46" s="2242"/>
      <c r="Y46" s="2242"/>
      <c r="Z46" s="2242"/>
      <c r="AA46" s="2242"/>
      <c r="AB46" s="1841"/>
      <c r="AC46" s="1842"/>
      <c r="AD46" s="2242"/>
      <c r="AE46" s="2242"/>
      <c r="AF46" s="2242"/>
      <c r="AG46" s="2243"/>
      <c r="AH46" s="1841"/>
      <c r="AI46" s="1842"/>
      <c r="AJ46" s="2242"/>
      <c r="AK46" s="2242"/>
      <c r="AL46" s="2242"/>
      <c r="AM46" s="2242"/>
      <c r="AN46" s="1841"/>
      <c r="AO46" s="1842"/>
      <c r="AP46" s="2242"/>
      <c r="AQ46" s="2242"/>
      <c r="AR46" s="2242"/>
      <c r="AS46" s="2242"/>
      <c r="AT46" s="1841"/>
      <c r="AU46" s="1842"/>
      <c r="AV46" s="2242"/>
      <c r="AW46" s="2242"/>
      <c r="AX46" s="2242"/>
      <c r="AY46" s="2242"/>
      <c r="AZ46" s="1841"/>
      <c r="BA46" s="1842"/>
      <c r="BB46" s="2242"/>
      <c r="BC46" s="2242"/>
      <c r="BD46" s="2242"/>
      <c r="BE46" s="2242"/>
      <c r="BF46" s="1841"/>
      <c r="BG46" s="1842"/>
      <c r="BH46" s="2242"/>
      <c r="BI46" s="2242"/>
      <c r="BJ46" s="2242"/>
      <c r="BK46" s="2242"/>
      <c r="BL46" s="1841"/>
      <c r="BM46" s="1842"/>
      <c r="BN46" s="2242"/>
      <c r="BO46" s="2242"/>
      <c r="BP46" s="2242"/>
      <c r="BQ46" s="2242"/>
      <c r="BR46" s="1841"/>
      <c r="BS46" s="2244"/>
      <c r="BT46" s="2242"/>
      <c r="BU46" s="2242"/>
      <c r="BV46" s="2242"/>
      <c r="BW46" s="1843"/>
      <c r="BX46" s="1843"/>
      <c r="BY46" s="1740"/>
      <c r="BZ46" s="1707"/>
    </row>
    <row r="47" spans="1:79" ht="15" hidden="1" x14ac:dyDescent="0.25">
      <c r="A47" s="1844"/>
      <c r="C47" s="1845"/>
      <c r="D47" s="1845"/>
      <c r="E47" s="1845"/>
      <c r="F47" s="1845"/>
      <c r="G47" s="1845"/>
      <c r="H47" s="1700"/>
      <c r="J47" s="1845"/>
      <c r="K47" s="1845"/>
      <c r="L47" s="1845"/>
      <c r="M47" s="1845"/>
      <c r="N47" s="1700"/>
      <c r="P47" s="1845"/>
      <c r="Q47" s="1845"/>
      <c r="R47" s="1845"/>
      <c r="S47" s="1845"/>
      <c r="T47" s="1700"/>
      <c r="V47" s="1845"/>
      <c r="W47" s="1845"/>
      <c r="X47" s="1845"/>
      <c r="Y47" s="1845"/>
      <c r="Z47" s="1700"/>
      <c r="AB47" s="1845"/>
      <c r="AC47" s="1845"/>
      <c r="AD47" s="1845"/>
      <c r="AE47" s="1845"/>
      <c r="AF47" s="1700"/>
      <c r="AH47" s="1845"/>
      <c r="AI47" s="1845"/>
      <c r="AJ47" s="1845"/>
      <c r="AK47" s="1845"/>
      <c r="AL47" s="1700"/>
      <c r="AN47" s="1845"/>
      <c r="AO47" s="1845"/>
      <c r="AP47" s="1845"/>
      <c r="AQ47" s="1845"/>
      <c r="AR47" s="1700"/>
      <c r="AT47" s="1845"/>
      <c r="AU47" s="1845"/>
      <c r="AV47" s="1845"/>
      <c r="AW47" s="1845"/>
      <c r="AX47" s="1700"/>
      <c r="AZ47" s="1845"/>
      <c r="BA47" s="1845"/>
      <c r="BB47" s="1845"/>
      <c r="BC47" s="1845"/>
      <c r="BD47" s="1700"/>
      <c r="BF47" s="1845"/>
      <c r="BG47" s="1845"/>
      <c r="BH47" s="1845"/>
      <c r="BI47" s="1845"/>
      <c r="BJ47" s="1700"/>
      <c r="BL47" s="1845"/>
      <c r="BM47" s="1845"/>
      <c r="BN47" s="1845"/>
      <c r="BO47" s="1845"/>
      <c r="BP47" s="1700"/>
      <c r="BR47" s="1845"/>
      <c r="BS47" s="1845"/>
      <c r="BT47" s="1845"/>
      <c r="BU47" s="1845"/>
      <c r="BV47" s="1700"/>
    </row>
    <row r="48" spans="1:79" s="1707" customFormat="1" ht="15.75" hidden="1" thickBot="1" x14ac:dyDescent="0.3">
      <c r="A48" s="1840"/>
      <c r="B48" s="1846" t="s">
        <v>118</v>
      </c>
      <c r="C48" s="1847">
        <f>C49+C50</f>
        <v>874391.85</v>
      </c>
      <c r="D48" s="1847"/>
      <c r="E48" s="1847"/>
      <c r="F48" s="1847"/>
      <c r="G48" s="1848"/>
      <c r="H48" s="1711"/>
      <c r="I48" s="1849">
        <f>I49+I50</f>
        <v>874391.66</v>
      </c>
      <c r="J48" s="1847"/>
      <c r="K48" s="1847"/>
      <c r="L48" s="1847"/>
      <c r="M48" s="1848"/>
      <c r="N48" s="1711"/>
      <c r="O48" s="1849">
        <f>O49+O50</f>
        <v>851797.62</v>
      </c>
      <c r="P48" s="1847"/>
      <c r="Q48" s="1847"/>
      <c r="R48" s="1847"/>
      <c r="S48" s="1848"/>
      <c r="T48" s="1711"/>
      <c r="U48" s="1849">
        <f>U49+U50</f>
        <v>851797.62</v>
      </c>
      <c r="V48" s="1847"/>
      <c r="W48" s="1847"/>
      <c r="X48" s="1847"/>
      <c r="Y48" s="1848"/>
      <c r="Z48" s="1711"/>
      <c r="AA48" s="1849">
        <f>AA49+AA50</f>
        <v>851797.62</v>
      </c>
      <c r="AB48" s="1847"/>
      <c r="AC48" s="1847"/>
      <c r="AD48" s="1847"/>
      <c r="AE48" s="1848"/>
      <c r="AF48" s="1711"/>
      <c r="AG48" s="1849">
        <f>AG49+AG50</f>
        <v>851797.62</v>
      </c>
      <c r="AH48" s="1847"/>
      <c r="AI48" s="1847"/>
      <c r="AJ48" s="1847"/>
      <c r="AK48" s="1848"/>
      <c r="AL48" s="1711"/>
      <c r="AM48" s="1849">
        <f>AM49+AM50</f>
        <v>826474.64</v>
      </c>
      <c r="AN48" s="1847"/>
      <c r="AO48" s="1847"/>
      <c r="AP48" s="1847"/>
      <c r="AQ48" s="1848"/>
      <c r="AR48" s="1711"/>
      <c r="AS48" s="1849">
        <f>AS49+AS50</f>
        <v>805289.64</v>
      </c>
      <c r="AT48" s="1847"/>
      <c r="AU48" s="1847"/>
      <c r="AV48" s="1847"/>
      <c r="AW48" s="1848"/>
      <c r="AX48" s="1711"/>
      <c r="AY48" s="1849">
        <f>AY49+AY50</f>
        <v>805289.64</v>
      </c>
      <c r="AZ48" s="1847"/>
      <c r="BA48" s="1847"/>
      <c r="BB48" s="1847"/>
      <c r="BC48" s="1848"/>
      <c r="BD48" s="1711"/>
      <c r="BE48" s="1849">
        <f>BE49+BE50</f>
        <v>805289.64</v>
      </c>
      <c r="BF48" s="1847"/>
      <c r="BG48" s="1847"/>
      <c r="BH48" s="1847"/>
      <c r="BI48" s="1848"/>
      <c r="BJ48" s="1711"/>
      <c r="BK48" s="1849">
        <f>BK49+BK50</f>
        <v>805289.64</v>
      </c>
      <c r="BL48" s="1847"/>
      <c r="BM48" s="1847"/>
      <c r="BN48" s="1847"/>
      <c r="BO48" s="1848"/>
      <c r="BP48" s="1711"/>
      <c r="BQ48" s="1849">
        <f>BQ49+BQ50</f>
        <v>805289.64</v>
      </c>
      <c r="BR48" s="1847"/>
      <c r="BS48" s="1847"/>
      <c r="BT48" s="1847"/>
      <c r="BU48" s="1848"/>
      <c r="BV48" s="1711"/>
      <c r="BW48" s="1850">
        <f>C48+I48+O48+U48+AA48+AG48+AM48+AS48+AY48+BE48+BK48+BQ48</f>
        <v>10008896.83</v>
      </c>
      <c r="BX48" s="1851">
        <f>D48+O48+U48+AA48+AG48+AM48+AS48+AY48+BE48+BK48+BQ48+BW48</f>
        <v>18269010.149999999</v>
      </c>
    </row>
    <row r="49" spans="1:78" ht="15" hidden="1" x14ac:dyDescent="0.25">
      <c r="A49" s="1844"/>
      <c r="B49" s="1852" t="s">
        <v>119</v>
      </c>
      <c r="C49" s="1853">
        <f>569526.39+130000</f>
        <v>699526.39</v>
      </c>
      <c r="D49" s="1853"/>
      <c r="E49" s="1853"/>
      <c r="F49" s="1853"/>
      <c r="G49" s="1854"/>
      <c r="H49" s="1855"/>
      <c r="I49" s="1856">
        <f>C49</f>
        <v>699526.39</v>
      </c>
      <c r="J49" s="1853"/>
      <c r="K49" s="1853"/>
      <c r="L49" s="1853"/>
      <c r="M49" s="1854"/>
      <c r="N49" s="1855"/>
      <c r="O49" s="1856">
        <f>I49</f>
        <v>699526.39</v>
      </c>
      <c r="P49" s="1853"/>
      <c r="Q49" s="1853"/>
      <c r="R49" s="1853"/>
      <c r="S49" s="1854"/>
      <c r="T49" s="1855"/>
      <c r="U49" s="1856">
        <f>O49</f>
        <v>699526.39</v>
      </c>
      <c r="V49" s="1853"/>
      <c r="W49" s="1853"/>
      <c r="X49" s="1853"/>
      <c r="Y49" s="1854"/>
      <c r="Z49" s="1855"/>
      <c r="AA49" s="1856">
        <f>U49</f>
        <v>699526.39</v>
      </c>
      <c r="AB49" s="1853"/>
      <c r="AC49" s="1853"/>
      <c r="AD49" s="1853"/>
      <c r="AE49" s="1854"/>
      <c r="AF49" s="1855"/>
      <c r="AG49" s="1856">
        <f>AA49</f>
        <v>699526.39</v>
      </c>
      <c r="AH49" s="1853"/>
      <c r="AI49" s="1853"/>
      <c r="AJ49" s="1853"/>
      <c r="AK49" s="1854"/>
      <c r="AL49" s="1855"/>
      <c r="AM49" s="1856">
        <f>AG49</f>
        <v>699526.39</v>
      </c>
      <c r="AN49" s="1853"/>
      <c r="AO49" s="1853"/>
      <c r="AP49" s="1853"/>
      <c r="AQ49" s="1854"/>
      <c r="AR49" s="1855"/>
      <c r="AS49" s="1856">
        <f>AM49</f>
        <v>699526.39</v>
      </c>
      <c r="AT49" s="1853"/>
      <c r="AU49" s="1853"/>
      <c r="AV49" s="1853"/>
      <c r="AW49" s="1854"/>
      <c r="AX49" s="1855"/>
      <c r="AY49" s="1856">
        <f>AS49</f>
        <v>699526.39</v>
      </c>
      <c r="AZ49" s="1853"/>
      <c r="BA49" s="1853"/>
      <c r="BB49" s="1853"/>
      <c r="BC49" s="1854"/>
      <c r="BD49" s="1855"/>
      <c r="BE49" s="1856">
        <f>AY49</f>
        <v>699526.39</v>
      </c>
      <c r="BF49" s="1853"/>
      <c r="BG49" s="1853"/>
      <c r="BH49" s="1853"/>
      <c r="BI49" s="1854"/>
      <c r="BJ49" s="1855"/>
      <c r="BK49" s="1856">
        <f>BE49</f>
        <v>699526.39</v>
      </c>
      <c r="BL49" s="1853"/>
      <c r="BM49" s="1853"/>
      <c r="BN49" s="1853"/>
      <c r="BO49" s="1854"/>
      <c r="BP49" s="1855"/>
      <c r="BQ49" s="1856">
        <f>BK49</f>
        <v>699526.39</v>
      </c>
      <c r="BR49" s="1853"/>
      <c r="BS49" s="1853"/>
      <c r="BT49" s="1853"/>
      <c r="BU49" s="1854"/>
      <c r="BV49" s="1855"/>
      <c r="BW49" s="1857">
        <f>C49+I49+O49+U49+AA49+AG49+AM49+AS49+AY49+BE49+BK49+BQ49</f>
        <v>8394316.6799999978</v>
      </c>
      <c r="BX49" s="1858">
        <f>D49+O49+U49+AA49+AG49+AM49+AS49+AY49+BE49+BK49+BQ49+BW49</f>
        <v>15389580.579999996</v>
      </c>
    </row>
    <row r="50" spans="1:78" s="1866" customFormat="1" ht="15.75" hidden="1" thickBot="1" x14ac:dyDescent="0.3">
      <c r="A50" s="1859"/>
      <c r="B50" s="1860" t="s">
        <v>3777</v>
      </c>
      <c r="C50" s="1861">
        <v>174865.46</v>
      </c>
      <c r="D50" s="1861"/>
      <c r="E50" s="1861"/>
      <c r="F50" s="1861"/>
      <c r="G50" s="1862"/>
      <c r="H50" s="1855"/>
      <c r="I50" s="1863">
        <v>174865.27</v>
      </c>
      <c r="J50" s="1861"/>
      <c r="K50" s="1861"/>
      <c r="L50" s="1861"/>
      <c r="M50" s="1862"/>
      <c r="N50" s="1855"/>
      <c r="O50" s="1863">
        <v>152271.22999999998</v>
      </c>
      <c r="P50" s="1861"/>
      <c r="Q50" s="1861"/>
      <c r="R50" s="1861"/>
      <c r="S50" s="1862"/>
      <c r="T50" s="1855"/>
      <c r="U50" s="1863">
        <v>152271.22999999998</v>
      </c>
      <c r="V50" s="1861"/>
      <c r="W50" s="1861"/>
      <c r="X50" s="1861"/>
      <c r="Y50" s="1862"/>
      <c r="Z50" s="1855"/>
      <c r="AA50" s="1863">
        <v>152271.22999999998</v>
      </c>
      <c r="AB50" s="1861"/>
      <c r="AC50" s="1861"/>
      <c r="AD50" s="1861"/>
      <c r="AE50" s="1862"/>
      <c r="AF50" s="1855"/>
      <c r="AG50" s="1863">
        <v>152271.22999999998</v>
      </c>
      <c r="AH50" s="1861"/>
      <c r="AI50" s="1861"/>
      <c r="AJ50" s="1861"/>
      <c r="AK50" s="1862"/>
      <c r="AL50" s="1855"/>
      <c r="AM50" s="1863">
        <v>126948.25</v>
      </c>
      <c r="AN50" s="1861"/>
      <c r="AO50" s="1861"/>
      <c r="AP50" s="1861"/>
      <c r="AQ50" s="1862"/>
      <c r="AR50" s="1855"/>
      <c r="AS50" s="1863">
        <v>105763.25</v>
      </c>
      <c r="AT50" s="1861"/>
      <c r="AU50" s="1861"/>
      <c r="AV50" s="1861"/>
      <c r="AW50" s="1862"/>
      <c r="AX50" s="1855"/>
      <c r="AY50" s="1863">
        <v>105763.25</v>
      </c>
      <c r="AZ50" s="1861"/>
      <c r="BA50" s="1861"/>
      <c r="BB50" s="1861"/>
      <c r="BC50" s="1862"/>
      <c r="BD50" s="1855"/>
      <c r="BE50" s="1863">
        <v>105763.25</v>
      </c>
      <c r="BF50" s="1861"/>
      <c r="BG50" s="1861"/>
      <c r="BH50" s="1861"/>
      <c r="BI50" s="1862"/>
      <c r="BJ50" s="1855"/>
      <c r="BK50" s="1863">
        <v>105763.25</v>
      </c>
      <c r="BL50" s="1861"/>
      <c r="BM50" s="1861"/>
      <c r="BN50" s="1861"/>
      <c r="BO50" s="1862"/>
      <c r="BP50" s="1855"/>
      <c r="BQ50" s="1863">
        <v>105763.25</v>
      </c>
      <c r="BR50" s="1861"/>
      <c r="BS50" s="1861"/>
      <c r="BT50" s="1861"/>
      <c r="BU50" s="1862"/>
      <c r="BV50" s="1855"/>
      <c r="BW50" s="1864">
        <f>C50+I50+O50+U50+AA50+AG50+AM50+AS50+AY50+BE50+BK50+BQ50</f>
        <v>1614580.15</v>
      </c>
      <c r="BX50" s="1865">
        <f>D50+O50+U50+AA50+AG50+AM50+AS50+AY50+BE50+BK50+BQ50+BW50</f>
        <v>2879429.57</v>
      </c>
      <c r="BZ50" s="1867"/>
    </row>
    <row r="51" spans="1:78" ht="15" x14ac:dyDescent="0.25">
      <c r="C51" s="1868"/>
      <c r="D51" s="1868"/>
      <c r="E51" s="1868"/>
      <c r="F51" s="1868"/>
      <c r="G51" s="1868"/>
      <c r="H51" s="1868"/>
      <c r="I51" s="1868"/>
      <c r="J51" s="1868"/>
      <c r="K51" s="1868"/>
      <c r="L51" s="1868"/>
      <c r="M51" s="1868"/>
      <c r="N51" s="1868"/>
      <c r="O51" s="1868"/>
      <c r="P51" s="1868"/>
      <c r="Q51" s="1868"/>
      <c r="R51" s="1868"/>
      <c r="S51" s="1868"/>
      <c r="T51" s="1868"/>
      <c r="U51" s="1868"/>
      <c r="V51" s="1868"/>
      <c r="W51" s="1868"/>
      <c r="X51" s="1868"/>
      <c r="Y51" s="1868"/>
      <c r="Z51" s="1868"/>
      <c r="AB51" s="1868"/>
      <c r="AC51" s="1868"/>
      <c r="AD51" s="1868"/>
      <c r="AE51" s="1868"/>
      <c r="AF51" s="1868"/>
      <c r="AG51" s="1868"/>
      <c r="AH51" s="1868"/>
      <c r="AI51" s="1868"/>
      <c r="AJ51" s="1868"/>
      <c r="AK51" s="1868"/>
      <c r="AL51" s="1868"/>
      <c r="AM51" s="1868"/>
      <c r="AN51" s="1868"/>
      <c r="AO51" s="1868"/>
      <c r="AP51" s="1868"/>
      <c r="AQ51" s="1868"/>
      <c r="AR51" s="1868"/>
      <c r="AS51" s="1868"/>
      <c r="AT51" s="1868"/>
      <c r="AU51" s="1868"/>
      <c r="AV51" s="1868"/>
      <c r="AW51" s="1868"/>
      <c r="AX51" s="1868"/>
      <c r="AY51" s="1868"/>
      <c r="AZ51" s="1868"/>
      <c r="BA51" s="1868"/>
      <c r="BB51" s="1868"/>
      <c r="BC51" s="1868"/>
      <c r="BD51" s="1868"/>
      <c r="BE51" s="1868"/>
      <c r="BF51" s="1868"/>
      <c r="BG51" s="1868"/>
      <c r="BH51" s="1868"/>
      <c r="BI51" s="1868"/>
      <c r="BJ51" s="1868"/>
      <c r="BK51" s="1868"/>
      <c r="BL51" s="1868"/>
      <c r="BM51" s="1868"/>
      <c r="BN51" s="1868"/>
      <c r="BO51" s="1868"/>
      <c r="BP51" s="1868"/>
      <c r="BQ51" s="1868"/>
      <c r="BR51" s="1868"/>
      <c r="BS51" s="1868"/>
      <c r="BT51" s="1868"/>
      <c r="BU51" s="1868"/>
      <c r="BV51" s="1868"/>
      <c r="BW51" s="1868"/>
      <c r="BX51" s="1868"/>
    </row>
    <row r="52" spans="1:78" ht="18" customHeight="1" x14ac:dyDescent="0.25">
      <c r="C52" s="1869"/>
      <c r="D52" s="1869"/>
      <c r="E52" s="1869"/>
      <c r="F52" s="1869"/>
      <c r="G52" s="1869"/>
      <c r="I52" s="1871"/>
      <c r="J52" s="1869"/>
      <c r="K52" s="1869"/>
      <c r="L52" s="1869"/>
      <c r="M52" s="1869"/>
      <c r="P52" s="1869"/>
      <c r="Q52" s="1869"/>
      <c r="R52" s="1869"/>
      <c r="S52" s="1869"/>
      <c r="V52" s="1869"/>
      <c r="W52" s="1869"/>
      <c r="X52" s="1869"/>
      <c r="Y52" s="1869"/>
      <c r="AB52" s="1869"/>
      <c r="AC52" s="1869"/>
      <c r="AD52" s="1869"/>
      <c r="AE52" s="1869"/>
      <c r="AH52" s="1869"/>
      <c r="AI52" s="1869"/>
      <c r="AJ52" s="1869"/>
      <c r="AK52" s="1869"/>
      <c r="AN52" s="1869"/>
      <c r="AO52" s="1869"/>
      <c r="AP52" s="1869"/>
      <c r="AQ52" s="1869"/>
      <c r="AT52" s="1869"/>
      <c r="AU52" s="1869"/>
      <c r="AV52" s="1869"/>
      <c r="AW52" s="1869"/>
      <c r="AZ52" s="1869"/>
      <c r="BA52" s="1869"/>
      <c r="BB52" s="1869"/>
      <c r="BC52" s="1869"/>
      <c r="BF52" s="1869"/>
      <c r="BG52" s="1869"/>
      <c r="BH52" s="1869"/>
      <c r="BI52" s="1869"/>
      <c r="BL52" s="1869"/>
      <c r="BM52" s="1869"/>
      <c r="BN52" s="1869"/>
      <c r="BO52" s="1869"/>
      <c r="BR52" s="1869"/>
      <c r="BS52" s="1869"/>
      <c r="BT52" s="1869"/>
      <c r="BU52" s="1869"/>
    </row>
    <row r="53" spans="1:78" ht="18" customHeight="1" x14ac:dyDescent="0.25">
      <c r="C53" s="1868"/>
      <c r="D53" s="1868"/>
      <c r="E53" s="1868"/>
      <c r="F53" s="1868"/>
      <c r="G53" s="1868"/>
      <c r="H53" s="1868"/>
      <c r="I53" s="1868"/>
      <c r="J53" s="1868"/>
      <c r="K53" s="1868"/>
      <c r="L53" s="1868"/>
      <c r="M53" s="1868"/>
      <c r="N53" s="1868"/>
      <c r="O53" s="1868"/>
      <c r="P53" s="1868"/>
      <c r="Q53" s="1868"/>
      <c r="R53" s="1868"/>
      <c r="S53" s="1868"/>
      <c r="T53" s="1868"/>
      <c r="U53" s="1868"/>
      <c r="V53" s="1868"/>
      <c r="W53" s="1868"/>
      <c r="X53" s="1868"/>
      <c r="Y53" s="1868"/>
      <c r="Z53" s="1868"/>
      <c r="AB53" s="1868"/>
      <c r="AC53" s="1868"/>
      <c r="AD53" s="1868"/>
      <c r="AE53" s="1868"/>
      <c r="AF53" s="1868"/>
      <c r="AG53" s="1868"/>
      <c r="AH53" s="1868"/>
      <c r="AI53" s="1868"/>
      <c r="AJ53" s="1868"/>
      <c r="AK53" s="1868"/>
      <c r="AL53" s="1868"/>
      <c r="AM53" s="1868"/>
      <c r="AN53" s="1868"/>
      <c r="AO53" s="1868"/>
      <c r="AP53" s="1868"/>
      <c r="AQ53" s="1868"/>
      <c r="AR53" s="1868"/>
      <c r="AS53" s="1868"/>
      <c r="AT53" s="1868"/>
      <c r="AU53" s="1868"/>
      <c r="AV53" s="1868"/>
      <c r="AW53" s="1868"/>
      <c r="AX53" s="1868"/>
      <c r="AY53" s="1868"/>
      <c r="AZ53" s="1868"/>
      <c r="BA53" s="1868"/>
      <c r="BB53" s="1868"/>
      <c r="BC53" s="1868"/>
      <c r="BD53" s="1868"/>
      <c r="BE53" s="1868"/>
      <c r="BF53" s="1868"/>
      <c r="BG53" s="1868"/>
      <c r="BH53" s="1868"/>
      <c r="BI53" s="1868"/>
      <c r="BJ53" s="1868"/>
      <c r="BK53" s="1868"/>
      <c r="BL53" s="1868"/>
      <c r="BM53" s="1868"/>
      <c r="BN53" s="1868"/>
      <c r="BO53" s="1868"/>
      <c r="BP53" s="1868"/>
      <c r="BQ53" s="1868"/>
      <c r="BR53" s="1868"/>
      <c r="BS53" s="1868"/>
      <c r="BT53" s="1868"/>
      <c r="BU53" s="1868"/>
      <c r="BV53" s="1868"/>
      <c r="BW53" s="1868"/>
      <c r="BX53" s="1868"/>
    </row>
    <row r="54" spans="1:78" ht="18" customHeight="1" x14ac:dyDescent="0.25">
      <c r="C54" s="1700"/>
      <c r="D54" s="1700"/>
      <c r="E54" s="1700"/>
      <c r="F54" s="1700"/>
      <c r="G54" s="1700"/>
      <c r="H54" s="1700"/>
      <c r="J54" s="1700"/>
      <c r="K54" s="1700"/>
      <c r="L54" s="1700"/>
      <c r="M54" s="1700"/>
      <c r="N54" s="1700"/>
      <c r="P54" s="1700"/>
      <c r="Q54" s="1700"/>
      <c r="R54" s="1700"/>
      <c r="S54" s="1700"/>
      <c r="T54" s="1700"/>
      <c r="V54" s="1700"/>
      <c r="W54" s="1700"/>
      <c r="X54" s="1700"/>
      <c r="Y54" s="1700"/>
      <c r="Z54" s="1700"/>
      <c r="AB54" s="1700"/>
      <c r="AC54" s="1700"/>
      <c r="AD54" s="1700"/>
      <c r="AE54" s="1700"/>
      <c r="AF54" s="1700"/>
      <c r="AH54" s="1700"/>
      <c r="AI54" s="1700"/>
      <c r="AJ54" s="1700"/>
      <c r="AK54" s="1700"/>
      <c r="AL54" s="1700"/>
      <c r="AM54" s="321"/>
      <c r="AN54" s="1700"/>
      <c r="AO54" s="1700"/>
      <c r="AP54" s="1700"/>
      <c r="AQ54" s="1700"/>
      <c r="AR54" s="1700"/>
      <c r="AT54" s="1700"/>
      <c r="AU54" s="1700"/>
      <c r="AV54" s="1700"/>
      <c r="AW54" s="1700"/>
      <c r="AX54" s="1700"/>
      <c r="AZ54" s="1700"/>
      <c r="BA54" s="1700"/>
      <c r="BB54" s="1700"/>
      <c r="BC54" s="1700"/>
      <c r="BD54" s="1700"/>
      <c r="BF54" s="1700"/>
      <c r="BG54" s="1700"/>
      <c r="BH54" s="1700"/>
      <c r="BI54" s="1700"/>
      <c r="BJ54" s="1700"/>
      <c r="BL54" s="1700"/>
      <c r="BM54" s="1700"/>
      <c r="BN54" s="1700"/>
      <c r="BO54" s="1700"/>
      <c r="BP54" s="1700"/>
      <c r="BR54" s="1700"/>
      <c r="BS54" s="1700"/>
      <c r="BT54" s="1700"/>
      <c r="BU54" s="1700"/>
      <c r="BV54" s="1700"/>
      <c r="BW54" s="1704"/>
      <c r="BX54" s="1704"/>
    </row>
    <row r="55" spans="1:78" ht="18" customHeight="1" x14ac:dyDescent="0.25">
      <c r="C55" s="1872"/>
      <c r="D55" s="1872"/>
      <c r="E55" s="1872"/>
      <c r="F55" s="1872"/>
      <c r="G55" s="1872"/>
      <c r="H55" s="1873"/>
      <c r="J55" s="1872"/>
      <c r="K55" s="1872"/>
      <c r="L55" s="1872"/>
      <c r="M55" s="1872"/>
      <c r="N55" s="1873"/>
      <c r="P55" s="1872"/>
      <c r="Q55" s="1872"/>
      <c r="R55" s="1872"/>
      <c r="S55" s="1872"/>
      <c r="T55" s="1873"/>
      <c r="V55" s="1872"/>
      <c r="W55" s="1872"/>
      <c r="X55" s="1872"/>
      <c r="Y55" s="1872"/>
      <c r="Z55" s="1873"/>
      <c r="AB55" s="1872"/>
      <c r="AC55" s="1872"/>
      <c r="AD55" s="1872"/>
      <c r="AE55" s="1872"/>
      <c r="AF55" s="1873"/>
      <c r="AH55" s="1872"/>
      <c r="AI55" s="1872"/>
      <c r="AJ55" s="1872"/>
      <c r="AK55" s="1872"/>
      <c r="AL55" s="1873"/>
      <c r="AN55" s="1872"/>
      <c r="AO55" s="1872"/>
      <c r="AP55" s="1872"/>
      <c r="AQ55" s="1872"/>
      <c r="AR55" s="1873"/>
      <c r="AT55" s="1872"/>
      <c r="AU55" s="1872"/>
      <c r="AV55" s="1872"/>
      <c r="AW55" s="1872"/>
      <c r="AX55" s="1873"/>
      <c r="AZ55" s="1872"/>
      <c r="BA55" s="1872"/>
      <c r="BB55" s="1872"/>
      <c r="BC55" s="1872"/>
      <c r="BD55" s="1873"/>
      <c r="BF55" s="1872"/>
      <c r="BG55" s="1872"/>
      <c r="BH55" s="1872"/>
      <c r="BI55" s="1872"/>
      <c r="BJ55" s="1873"/>
      <c r="BL55" s="1872"/>
      <c r="BM55" s="1872"/>
      <c r="BN55" s="1872"/>
      <c r="BO55" s="1872"/>
      <c r="BP55" s="1873"/>
      <c r="BR55" s="1872"/>
      <c r="BS55" s="1872"/>
      <c r="BT55" s="1872"/>
      <c r="BU55" s="1872"/>
      <c r="BV55" s="1873"/>
      <c r="BW55" s="321"/>
      <c r="BX55" s="321"/>
    </row>
    <row r="56" spans="1:78" ht="18" customHeight="1" x14ac:dyDescent="0.25">
      <c r="C56" s="1872"/>
      <c r="D56" s="1872"/>
      <c r="E56" s="1872"/>
      <c r="F56" s="1872"/>
      <c r="G56" s="1872"/>
      <c r="H56" s="1873"/>
      <c r="J56" s="1872"/>
      <c r="K56" s="1872"/>
      <c r="L56" s="1872"/>
      <c r="M56" s="1872"/>
      <c r="N56" s="1873"/>
      <c r="P56" s="1872"/>
      <c r="Q56" s="1872"/>
      <c r="R56" s="1872"/>
      <c r="S56" s="1872"/>
      <c r="T56" s="1873"/>
      <c r="V56" s="1872"/>
      <c r="W56" s="1872"/>
      <c r="X56" s="1872"/>
      <c r="Y56" s="1872"/>
      <c r="Z56" s="1873"/>
      <c r="AB56" s="1872"/>
      <c r="AC56" s="1872"/>
      <c r="AD56" s="1872"/>
      <c r="AE56" s="1872"/>
      <c r="AF56" s="1873"/>
      <c r="AH56" s="1872"/>
      <c r="AI56" s="1872"/>
      <c r="AJ56" s="1872"/>
      <c r="AK56" s="1872"/>
      <c r="AL56" s="1873"/>
      <c r="AN56" s="1872"/>
      <c r="AO56" s="1872"/>
      <c r="AP56" s="1872"/>
      <c r="AQ56" s="1872"/>
      <c r="AR56" s="1873"/>
      <c r="AT56" s="1872"/>
      <c r="AU56" s="1872"/>
      <c r="AV56" s="1872"/>
      <c r="AW56" s="1872"/>
      <c r="AX56" s="1873"/>
      <c r="AZ56" s="1872"/>
      <c r="BA56" s="1872"/>
      <c r="BB56" s="1872"/>
      <c r="BC56" s="1872"/>
      <c r="BD56" s="1873"/>
      <c r="BF56" s="1872"/>
      <c r="BG56" s="1872"/>
      <c r="BH56" s="1872"/>
      <c r="BI56" s="1872"/>
      <c r="BJ56" s="1873"/>
      <c r="BL56" s="1872"/>
      <c r="BM56" s="1872"/>
      <c r="BN56" s="1872"/>
      <c r="BO56" s="1872"/>
      <c r="BP56" s="1873"/>
      <c r="BR56" s="1872"/>
      <c r="BS56" s="1872"/>
      <c r="BT56" s="1872"/>
      <c r="BU56" s="1872"/>
      <c r="BV56" s="1873"/>
      <c r="BW56" s="321"/>
      <c r="BX56" s="321"/>
    </row>
    <row r="57" spans="1:78" ht="18" customHeight="1" x14ac:dyDescent="0.25">
      <c r="A57" s="1700"/>
      <c r="C57" s="1872"/>
      <c r="D57" s="1872"/>
      <c r="E57" s="1872"/>
      <c r="F57" s="1872"/>
      <c r="G57" s="1872"/>
      <c r="H57" s="1873"/>
      <c r="I57" s="321"/>
      <c r="J57" s="1872"/>
      <c r="K57" s="1872"/>
      <c r="L57" s="1872"/>
      <c r="M57" s="1872"/>
      <c r="N57" s="1873"/>
      <c r="P57" s="1872"/>
      <c r="Q57" s="1872"/>
      <c r="R57" s="1872"/>
      <c r="S57" s="1872"/>
      <c r="T57" s="1873"/>
      <c r="V57" s="1872"/>
      <c r="W57" s="1872"/>
      <c r="X57" s="1872"/>
      <c r="Y57" s="1872"/>
      <c r="Z57" s="1873"/>
      <c r="AB57" s="1872"/>
      <c r="AC57" s="1872"/>
      <c r="AD57" s="1872"/>
      <c r="AE57" s="1872"/>
      <c r="AF57" s="1873"/>
      <c r="AH57" s="1872"/>
      <c r="AI57" s="1872"/>
      <c r="AJ57" s="1872"/>
      <c r="AK57" s="1872"/>
      <c r="AL57" s="1873"/>
      <c r="AN57" s="1872"/>
      <c r="AO57" s="1872"/>
      <c r="AP57" s="1872"/>
      <c r="AQ57" s="1872"/>
      <c r="AR57" s="1873"/>
      <c r="AT57" s="1872"/>
      <c r="AU57" s="1872"/>
      <c r="AV57" s="1872"/>
      <c r="AW57" s="1872"/>
      <c r="AX57" s="1873"/>
      <c r="AZ57" s="1872"/>
      <c r="BA57" s="1872"/>
      <c r="BB57" s="1872"/>
      <c r="BC57" s="1872"/>
      <c r="BD57" s="1873"/>
      <c r="BF57" s="1872"/>
      <c r="BG57" s="1872"/>
      <c r="BH57" s="1872"/>
      <c r="BI57" s="1872"/>
      <c r="BJ57" s="1873"/>
      <c r="BL57" s="1872"/>
      <c r="BM57" s="1872"/>
      <c r="BN57" s="1872"/>
      <c r="BO57" s="1872"/>
      <c r="BP57" s="1873"/>
      <c r="BR57" s="1872"/>
      <c r="BS57" s="1872"/>
      <c r="BT57" s="1872"/>
      <c r="BU57" s="1872"/>
      <c r="BV57" s="1873"/>
      <c r="BW57" s="1704"/>
      <c r="BX57" s="1704"/>
    </row>
    <row r="58" spans="1:78" ht="18" customHeight="1" x14ac:dyDescent="0.25">
      <c r="A58" s="1700"/>
      <c r="C58" s="1874"/>
      <c r="D58" s="1874"/>
      <c r="E58" s="1874"/>
      <c r="F58" s="1874"/>
      <c r="G58" s="1874"/>
      <c r="H58" s="1875"/>
      <c r="I58" s="321"/>
      <c r="J58" s="1874"/>
      <c r="K58" s="1874"/>
      <c r="L58" s="1874"/>
      <c r="M58" s="1874"/>
      <c r="N58" s="1875"/>
      <c r="P58" s="1874"/>
      <c r="Q58" s="1874"/>
      <c r="R58" s="1874"/>
      <c r="S58" s="1874"/>
      <c r="T58" s="1875"/>
      <c r="V58" s="1874"/>
      <c r="W58" s="1874"/>
      <c r="X58" s="1874"/>
      <c r="Y58" s="1874"/>
      <c r="Z58" s="1875"/>
      <c r="AB58" s="1874"/>
      <c r="AC58" s="1874"/>
      <c r="AD58" s="1874"/>
      <c r="AE58" s="1874"/>
      <c r="AF58" s="1875"/>
      <c r="AH58" s="1874"/>
      <c r="AI58" s="1874"/>
      <c r="AJ58" s="1874"/>
      <c r="AK58" s="1874"/>
      <c r="AL58" s="1875"/>
      <c r="AN58" s="1874"/>
      <c r="AO58" s="1874"/>
      <c r="AP58" s="1874"/>
      <c r="AQ58" s="1874"/>
      <c r="AR58" s="1875"/>
      <c r="AT58" s="1874"/>
      <c r="AU58" s="1874"/>
      <c r="AV58" s="1874"/>
      <c r="AW58" s="1874"/>
      <c r="AX58" s="1875"/>
      <c r="AZ58" s="1874"/>
      <c r="BA58" s="1874"/>
      <c r="BB58" s="1874"/>
      <c r="BC58" s="1874"/>
      <c r="BD58" s="1875"/>
      <c r="BF58" s="1874"/>
      <c r="BG58" s="1874"/>
      <c r="BH58" s="1874"/>
      <c r="BI58" s="1874"/>
      <c r="BJ58" s="1875"/>
      <c r="BL58" s="1874"/>
      <c r="BM58" s="1874"/>
      <c r="BN58" s="1874"/>
      <c r="BO58" s="1874"/>
      <c r="BP58" s="1875"/>
      <c r="BR58" s="1874"/>
      <c r="BS58" s="1874"/>
      <c r="BT58" s="1874"/>
      <c r="BU58" s="1874"/>
      <c r="BV58" s="1875"/>
      <c r="BW58" s="1704"/>
      <c r="BX58" s="1704"/>
    </row>
    <row r="59" spans="1:78" ht="18" customHeight="1" x14ac:dyDescent="0.25">
      <c r="A59" s="1700"/>
      <c r="I59" s="321"/>
      <c r="AM59" s="1704"/>
      <c r="BW59" s="1704"/>
      <c r="BX59" s="1704"/>
    </row>
    <row r="60" spans="1:78" ht="18" customHeight="1" x14ac:dyDescent="0.25">
      <c r="A60" s="1700"/>
      <c r="I60" s="321"/>
      <c r="AM60" s="321"/>
      <c r="BW60" s="321"/>
      <c r="BX60" s="321"/>
    </row>
    <row r="61" spans="1:78" ht="18" customHeight="1" x14ac:dyDescent="0.25">
      <c r="A61" s="1700"/>
      <c r="C61" s="1874"/>
      <c r="D61" s="1874"/>
      <c r="E61" s="1874"/>
      <c r="F61" s="1874"/>
      <c r="G61" s="1874"/>
      <c r="H61" s="1875"/>
      <c r="I61" s="321"/>
      <c r="J61" s="1874"/>
      <c r="K61" s="1874"/>
      <c r="L61" s="1874"/>
      <c r="M61" s="1874"/>
      <c r="N61" s="1875"/>
      <c r="P61" s="1874"/>
      <c r="Q61" s="1874"/>
      <c r="R61" s="1874"/>
      <c r="S61" s="1874"/>
      <c r="T61" s="1875"/>
      <c r="V61" s="1874"/>
      <c r="W61" s="1874"/>
      <c r="X61" s="1874"/>
      <c r="Y61" s="1874"/>
      <c r="Z61" s="1875"/>
      <c r="AB61" s="1874"/>
      <c r="AC61" s="1874"/>
      <c r="AD61" s="1874"/>
      <c r="AE61" s="1874"/>
      <c r="AF61" s="1875"/>
      <c r="AH61" s="1874"/>
      <c r="AI61" s="1874"/>
      <c r="AJ61" s="1874"/>
      <c r="AK61" s="1874"/>
      <c r="AL61" s="1875"/>
      <c r="AN61" s="1874"/>
      <c r="AO61" s="1874"/>
      <c r="AP61" s="1874"/>
      <c r="AQ61" s="1874"/>
      <c r="AR61" s="1875"/>
      <c r="AT61" s="1874"/>
      <c r="AU61" s="1874"/>
      <c r="AV61" s="1874"/>
      <c r="AW61" s="1874"/>
      <c r="AX61" s="1875"/>
      <c r="AZ61" s="1874"/>
      <c r="BA61" s="1874"/>
      <c r="BB61" s="1874"/>
      <c r="BC61" s="1874"/>
      <c r="BD61" s="1875"/>
      <c r="BF61" s="1874"/>
      <c r="BG61" s="1874"/>
      <c r="BH61" s="1874"/>
      <c r="BI61" s="1874"/>
      <c r="BJ61" s="1875"/>
      <c r="BL61" s="1874"/>
      <c r="BM61" s="1874"/>
      <c r="BN61" s="1874"/>
      <c r="BO61" s="1874"/>
      <c r="BP61" s="1875"/>
      <c r="BR61" s="1874"/>
      <c r="BS61" s="1874"/>
      <c r="BT61" s="1874"/>
      <c r="BU61" s="1874"/>
      <c r="BV61" s="1875"/>
      <c r="BW61" s="321"/>
      <c r="BX61" s="321"/>
    </row>
    <row r="62" spans="1:78" ht="18" customHeight="1" x14ac:dyDescent="0.25">
      <c r="A62" s="1700"/>
      <c r="B62" s="321"/>
      <c r="C62" s="321"/>
      <c r="D62" s="321"/>
      <c r="E62" s="321"/>
      <c r="F62" s="321"/>
      <c r="G62" s="321"/>
      <c r="H62" s="1701"/>
      <c r="I62" s="321"/>
      <c r="J62" s="321"/>
      <c r="K62" s="321"/>
      <c r="L62" s="321"/>
      <c r="M62" s="321"/>
      <c r="N62" s="1701"/>
      <c r="P62" s="321"/>
      <c r="Q62" s="321"/>
      <c r="R62" s="321"/>
      <c r="S62" s="321"/>
      <c r="T62" s="1701"/>
      <c r="V62" s="321"/>
      <c r="W62" s="321"/>
      <c r="X62" s="321"/>
      <c r="Y62" s="321"/>
      <c r="Z62" s="1701"/>
      <c r="AB62" s="321"/>
      <c r="AC62" s="321"/>
      <c r="AD62" s="321"/>
      <c r="AE62" s="321"/>
      <c r="AF62" s="1701"/>
      <c r="AH62" s="321"/>
      <c r="AI62" s="321"/>
      <c r="AJ62" s="321"/>
      <c r="AK62" s="321"/>
      <c r="AL62" s="1701"/>
      <c r="AN62" s="321"/>
      <c r="AO62" s="321"/>
      <c r="AP62" s="321"/>
      <c r="AQ62" s="321"/>
      <c r="AR62" s="1701"/>
      <c r="AT62" s="321"/>
      <c r="AU62" s="321"/>
      <c r="AV62" s="321"/>
      <c r="AW62" s="321"/>
      <c r="AX62" s="1701"/>
      <c r="AZ62" s="321"/>
      <c r="BA62" s="321"/>
      <c r="BB62" s="321"/>
      <c r="BC62" s="321"/>
      <c r="BD62" s="1701"/>
      <c r="BF62" s="321"/>
      <c r="BG62" s="321"/>
      <c r="BH62" s="321"/>
      <c r="BI62" s="321"/>
      <c r="BJ62" s="1701"/>
      <c r="BL62" s="321"/>
      <c r="BM62" s="321"/>
      <c r="BN62" s="321"/>
      <c r="BO62" s="321"/>
      <c r="BP62" s="1701"/>
      <c r="BR62" s="321"/>
      <c r="BS62" s="321"/>
      <c r="BT62" s="321"/>
      <c r="BU62" s="321"/>
      <c r="BV62" s="1701"/>
      <c r="BW62" s="1704"/>
      <c r="BX62" s="1704"/>
    </row>
    <row r="63" spans="1:78" ht="18" customHeight="1" x14ac:dyDescent="0.25">
      <c r="A63" s="1700"/>
      <c r="B63" s="321"/>
      <c r="C63" s="1874"/>
      <c r="D63" s="1874"/>
      <c r="E63" s="1874"/>
      <c r="F63" s="1874"/>
      <c r="G63" s="1874"/>
      <c r="H63" s="1875"/>
      <c r="I63" s="321"/>
      <c r="J63" s="1874"/>
      <c r="K63" s="1874"/>
      <c r="L63" s="1874"/>
      <c r="M63" s="1874"/>
      <c r="N63" s="1875"/>
      <c r="P63" s="1874"/>
      <c r="Q63" s="1874"/>
      <c r="R63" s="1874"/>
      <c r="S63" s="1874"/>
      <c r="T63" s="1875"/>
      <c r="V63" s="1874"/>
      <c r="W63" s="1874"/>
      <c r="X63" s="1874"/>
      <c r="Y63" s="1874"/>
      <c r="Z63" s="1875"/>
      <c r="AB63" s="1874"/>
      <c r="AC63" s="1874"/>
      <c r="AD63" s="1874"/>
      <c r="AE63" s="1874"/>
      <c r="AF63" s="1875"/>
      <c r="AH63" s="1874"/>
      <c r="AI63" s="1874"/>
      <c r="AJ63" s="1874"/>
      <c r="AK63" s="1874"/>
      <c r="AL63" s="1875"/>
      <c r="AN63" s="1874"/>
      <c r="AO63" s="1874"/>
      <c r="AP63" s="1874"/>
      <c r="AQ63" s="1874"/>
      <c r="AR63" s="1875"/>
      <c r="AT63" s="1874"/>
      <c r="AU63" s="1874"/>
      <c r="AV63" s="1874"/>
      <c r="AW63" s="1874"/>
      <c r="AX63" s="1875"/>
      <c r="AZ63" s="1874"/>
      <c r="BA63" s="1874"/>
      <c r="BB63" s="1874"/>
      <c r="BC63" s="1874"/>
      <c r="BD63" s="1875"/>
      <c r="BF63" s="1874"/>
      <c r="BG63" s="1874"/>
      <c r="BH63" s="1874"/>
      <c r="BI63" s="1874"/>
      <c r="BJ63" s="1875"/>
      <c r="BL63" s="1874"/>
      <c r="BM63" s="1874"/>
      <c r="BN63" s="1874"/>
      <c r="BO63" s="1874"/>
      <c r="BP63" s="1875"/>
      <c r="BR63" s="1874"/>
      <c r="BS63" s="1874"/>
      <c r="BT63" s="1874"/>
      <c r="BU63" s="1874"/>
      <c r="BV63" s="1875"/>
      <c r="BW63" s="321"/>
      <c r="BX63" s="321"/>
    </row>
    <row r="64" spans="1:78" ht="18" customHeight="1" x14ac:dyDescent="0.25">
      <c r="A64" s="1700"/>
      <c r="B64" s="321"/>
      <c r="I64" s="321"/>
      <c r="BW64" s="1703"/>
      <c r="BX64" s="1703"/>
    </row>
    <row r="65" spans="1:78" ht="18" customHeight="1" x14ac:dyDescent="0.25">
      <c r="A65" s="1700"/>
      <c r="B65" s="321"/>
      <c r="I65" s="321"/>
    </row>
    <row r="66" spans="1:78" ht="18" customHeight="1" x14ac:dyDescent="0.25">
      <c r="A66" s="1700"/>
      <c r="B66" s="1703"/>
      <c r="I66" s="321"/>
      <c r="O66" s="1703"/>
      <c r="BZ66" s="1700"/>
    </row>
    <row r="67" spans="1:78" ht="18" customHeight="1" x14ac:dyDescent="0.25">
      <c r="A67" s="1700"/>
      <c r="I67" s="321"/>
      <c r="BZ67" s="1700"/>
    </row>
    <row r="68" spans="1:78" ht="18" customHeight="1" x14ac:dyDescent="0.25">
      <c r="A68" s="1700"/>
      <c r="B68" s="1703"/>
      <c r="I68" s="1703"/>
      <c r="BZ68" s="1700"/>
    </row>
    <row r="70" spans="1:78" ht="18" customHeight="1" x14ac:dyDescent="0.25">
      <c r="A70" s="1700"/>
      <c r="I70" s="1703"/>
      <c r="BZ70" s="1700"/>
    </row>
  </sheetData>
  <mergeCells count="183">
    <mergeCell ref="BO5:BO7"/>
    <mergeCell ref="BU5:BU7"/>
    <mergeCell ref="G5:G7"/>
    <mergeCell ref="M5:M7"/>
    <mergeCell ref="S5:S7"/>
    <mergeCell ref="Y5:Y7"/>
    <mergeCell ref="AE5:AE7"/>
    <mergeCell ref="AK5:AK7"/>
    <mergeCell ref="AQ5:AQ7"/>
    <mergeCell ref="AW5:AW7"/>
    <mergeCell ref="BC5:BC7"/>
    <mergeCell ref="BK5:BN5"/>
    <mergeCell ref="BQ5:BT5"/>
    <mergeCell ref="BX5:BX6"/>
    <mergeCell ref="A8:B8"/>
    <mergeCell ref="C10:C11"/>
    <mergeCell ref="E10:E11"/>
    <mergeCell ref="F10:F11"/>
    <mergeCell ref="I10:I11"/>
    <mergeCell ref="K10:K11"/>
    <mergeCell ref="AA5:AD5"/>
    <mergeCell ref="AG5:AJ5"/>
    <mergeCell ref="AM5:AP5"/>
    <mergeCell ref="AS5:AV5"/>
    <mergeCell ref="AY5:BB5"/>
    <mergeCell ref="BE5:BH5"/>
    <mergeCell ref="A5:A6"/>
    <mergeCell ref="B5:B6"/>
    <mergeCell ref="C5:F5"/>
    <mergeCell ref="I5:L5"/>
    <mergeCell ref="O5:R5"/>
    <mergeCell ref="U5:X5"/>
    <mergeCell ref="L10:L11"/>
    <mergeCell ref="O10:O11"/>
    <mergeCell ref="Q10:Q11"/>
    <mergeCell ref="R10:R11"/>
    <mergeCell ref="U10:U11"/>
    <mergeCell ref="BW5:BW6"/>
    <mergeCell ref="AO10:AO11"/>
    <mergeCell ref="AP10:AP11"/>
    <mergeCell ref="AS10:AS11"/>
    <mergeCell ref="AU10:AU11"/>
    <mergeCell ref="X10:X11"/>
    <mergeCell ref="AA10:AA11"/>
    <mergeCell ref="AC10:AC11"/>
    <mergeCell ref="AD10:AD11"/>
    <mergeCell ref="AG10:AG11"/>
    <mergeCell ref="AI10:AI11"/>
    <mergeCell ref="BT10:BT11"/>
    <mergeCell ref="BH10:BH11"/>
    <mergeCell ref="BK10:BK11"/>
    <mergeCell ref="BM10:BM11"/>
    <mergeCell ref="BN10:BN11"/>
    <mergeCell ref="BQ10:BQ11"/>
    <mergeCell ref="BS10:BS11"/>
    <mergeCell ref="AV10:AV11"/>
    <mergeCell ref="AY10:AY11"/>
    <mergeCell ref="BA10:BA11"/>
    <mergeCell ref="BE10:BE11"/>
    <mergeCell ref="BB10:BB11"/>
    <mergeCell ref="BI5:BI7"/>
    <mergeCell ref="C13:C17"/>
    <mergeCell ref="E13:E17"/>
    <mergeCell ref="F13:F17"/>
    <mergeCell ref="I13:I17"/>
    <mergeCell ref="K13:K17"/>
    <mergeCell ref="L13:L17"/>
    <mergeCell ref="O13:O17"/>
    <mergeCell ref="Q13:Q17"/>
    <mergeCell ref="R13:R17"/>
    <mergeCell ref="W10:W11"/>
    <mergeCell ref="BG10:BG11"/>
    <mergeCell ref="AJ10:AJ11"/>
    <mergeCell ref="AM10:AM11"/>
    <mergeCell ref="BA13:BA17"/>
    <mergeCell ref="BB13:BB17"/>
    <mergeCell ref="AG13:AG17"/>
    <mergeCell ref="AI13:AI17"/>
    <mergeCell ref="AJ13:AJ17"/>
    <mergeCell ref="AM13:AM17"/>
    <mergeCell ref="AO13:AO17"/>
    <mergeCell ref="AP13:AP17"/>
    <mergeCell ref="BT13:BT17"/>
    <mergeCell ref="C18:C21"/>
    <mergeCell ref="E18:E21"/>
    <mergeCell ref="F18:F21"/>
    <mergeCell ref="I18:I21"/>
    <mergeCell ref="K18:K21"/>
    <mergeCell ref="L18:L21"/>
    <mergeCell ref="O18:O21"/>
    <mergeCell ref="BE13:BE17"/>
    <mergeCell ref="BG13:BG17"/>
    <mergeCell ref="BH13:BH17"/>
    <mergeCell ref="BK13:BK17"/>
    <mergeCell ref="BM13:BM17"/>
    <mergeCell ref="BN13:BN17"/>
    <mergeCell ref="AS13:AS17"/>
    <mergeCell ref="AU13:AU17"/>
    <mergeCell ref="AV13:AV17"/>
    <mergeCell ref="AY13:AY17"/>
    <mergeCell ref="BS18:BS21"/>
    <mergeCell ref="BA18:BA21"/>
    <mergeCell ref="BE18:BE21"/>
    <mergeCell ref="U13:U17"/>
    <mergeCell ref="W13:W17"/>
    <mergeCell ref="X13:X17"/>
    <mergeCell ref="BQ13:BQ17"/>
    <mergeCell ref="BS13:BS17"/>
    <mergeCell ref="AA13:AA17"/>
    <mergeCell ref="AC13:AC17"/>
    <mergeCell ref="AD13:AD17"/>
    <mergeCell ref="W18:W21"/>
    <mergeCell ref="AA18:AA21"/>
    <mergeCell ref="AC18:AC21"/>
    <mergeCell ref="BG18:BG21"/>
    <mergeCell ref="BK18:BK21"/>
    <mergeCell ref="BM18:BM21"/>
    <mergeCell ref="BQ18:BQ21"/>
    <mergeCell ref="AI18:AI21"/>
    <mergeCell ref="AM18:AM21"/>
    <mergeCell ref="AO18:AO21"/>
    <mergeCell ref="AS18:AS21"/>
    <mergeCell ref="AU18:AU21"/>
    <mergeCell ref="BG35:BG36"/>
    <mergeCell ref="BH35:BH36"/>
    <mergeCell ref="BK35:BK36"/>
    <mergeCell ref="BM35:BM36"/>
    <mergeCell ref="BN35:BN36"/>
    <mergeCell ref="E35:E36"/>
    <mergeCell ref="F35:F36"/>
    <mergeCell ref="I35:I36"/>
    <mergeCell ref="K35:K36"/>
    <mergeCell ref="L35:L36"/>
    <mergeCell ref="O35:O36"/>
    <mergeCell ref="Q35:Q36"/>
    <mergeCell ref="A7:B7"/>
    <mergeCell ref="AP35:AP36"/>
    <mergeCell ref="AS35:AS36"/>
    <mergeCell ref="AU35:AU36"/>
    <mergeCell ref="AV35:AV36"/>
    <mergeCell ref="AY35:AY36"/>
    <mergeCell ref="BA35:BA36"/>
    <mergeCell ref="AD35:AD36"/>
    <mergeCell ref="Q18:Q21"/>
    <mergeCell ref="U18:U21"/>
    <mergeCell ref="AG18:AG21"/>
    <mergeCell ref="AJ35:AJ36"/>
    <mergeCell ref="AM35:AM36"/>
    <mergeCell ref="AO35:AO36"/>
    <mergeCell ref="R35:R36"/>
    <mergeCell ref="U35:U36"/>
    <mergeCell ref="W35:W36"/>
    <mergeCell ref="X35:X36"/>
    <mergeCell ref="AA35:AA36"/>
    <mergeCell ref="AC35:AC36"/>
    <mergeCell ref="AG35:AG36"/>
    <mergeCell ref="AI35:AI36"/>
    <mergeCell ref="A22:B22"/>
    <mergeCell ref="C35:C36"/>
    <mergeCell ref="BW35:BW36"/>
    <mergeCell ref="BX35:BX36"/>
    <mergeCell ref="BW10:BW11"/>
    <mergeCell ref="BX10:BX11"/>
    <mergeCell ref="BW13:BW17"/>
    <mergeCell ref="BX13:BX17"/>
    <mergeCell ref="R18:R21"/>
    <mergeCell ref="X18:X21"/>
    <mergeCell ref="AD18:AD21"/>
    <mergeCell ref="AJ18:AJ21"/>
    <mergeCell ref="AP18:AP21"/>
    <mergeCell ref="AV18:AV21"/>
    <mergeCell ref="BB18:BB21"/>
    <mergeCell ref="BH18:BH21"/>
    <mergeCell ref="BN18:BN21"/>
    <mergeCell ref="BT18:BT21"/>
    <mergeCell ref="BW18:BW21"/>
    <mergeCell ref="BX18:BX21"/>
    <mergeCell ref="AY18:AY21"/>
    <mergeCell ref="BQ35:BQ36"/>
    <mergeCell ref="BS35:BS36"/>
    <mergeCell ref="BT35:BT36"/>
    <mergeCell ref="BB35:BB36"/>
    <mergeCell ref="BE35:BE36"/>
  </mergeCells>
  <hyperlinks>
    <hyperlink ref="A9" r:id="rId1" display="..\..\..\..\Rafaela Garcia\2022\3. Março\Orçamento\51150.pdf"/>
    <hyperlink ref="A11" r:id="rId2" display="..\..\..\..\Rafaela Garcia\2022\3. Março\Orçamento\4904.pdf"/>
    <hyperlink ref="A12" r:id="rId3" display="..\..\..\..\Rafaela Garcia\2022\3. Março\Orçamento\4882.pdf"/>
    <hyperlink ref="A13" r:id="rId4" display="..\..\..\..\Rafaela Garcia\2022\3. Março\Orçamento\4887.pdf"/>
    <hyperlink ref="A14" r:id="rId5" display="..\..\..\..\Rafaela Garcia\2022\3. Março\Orçamento\Lucimara\4888.pdf"/>
    <hyperlink ref="A15" r:id="rId6" display="..\..\..\..\Rafaela Garcia\2022\3. Março\Orçamento\Lucimara\53330.pdf"/>
    <hyperlink ref="A16" r:id="rId7" display="..\..\..\..\Rafaela Garcia\2022\3. Março\Orçamento\Lucimara\4893.pdf"/>
    <hyperlink ref="A17" r:id="rId8" display="..\..\..\..\Rafaela Garcia\2022\3. Março\Orçamento\Lucimara\54814.pdf"/>
    <hyperlink ref="A18" r:id="rId9" display="..\..\..\..\Rafaela Garcia\2022\3. Março\Orçamento\Lucimara\53295.pdf"/>
    <hyperlink ref="A19" r:id="rId10" display="..\..\..\..\Rafaela Garcia\2022\3. Março\Orçamento\Lucimara\53296.pdf"/>
    <hyperlink ref="A20" r:id="rId11" display="..\..\..\..\Rafaela Garcia\2022\3. Março\Orçamento\Lucimara\55261.pdf"/>
    <hyperlink ref="A21" r:id="rId12" display="..\..\..\..\Rafaela Garcia\2022\3. Março\Orçamento\Lucimara\55265.pdf"/>
    <hyperlink ref="A23" r:id="rId13" display="..\..\..\..\Rafaela Garcia\2022\3. Março\Orçamento\Lucimara\55248.pdf"/>
    <hyperlink ref="A24" r:id="rId14" display="..\..\..\..\Rafaela Garcia\2022\3. Março\Orçamento\Lucimara\55249.pdf"/>
    <hyperlink ref="A25" r:id="rId15" display="..\..\..\..\Rafaela Garcia\2022\3. Março\Orçamento\Lucimara\55247.pdf"/>
    <hyperlink ref="A28" r:id="rId16" display="..\..\..\..\Rafaela Garcia\2022\3. Março\Orçamento\Lucimara\27432.pdf"/>
    <hyperlink ref="A31" r:id="rId17" display="..\..\..\..\Rafaela Garcia\2022\3. Março\Orçamento\Lucimara\5180.pdf"/>
    <hyperlink ref="A32" r:id="rId18" display="..\..\..\..\Rafaela Garcia\2022\3. Março\Orçamento\Lucimara\5193.pdf"/>
    <hyperlink ref="A33" r:id="rId19" display="..\..\..\..\Rafaela Garcia\2022\3. Março\Orçamento\Lucimara\5194.pdf"/>
    <hyperlink ref="A34" r:id="rId20" display="..\..\..\..\Rafaela Garcia\2022\3. Março\Orçamento\Lucimara\27379.pdf"/>
    <hyperlink ref="A35" r:id="rId21" display="..\..\..\..\Rafaela Garcia\2022\3. Março\Orçamento\Lucimara\12258.pdf"/>
    <hyperlink ref="A36" r:id="rId22" display="..\..\..\..\Rafaela Garcia\2022\3. Março\Orçamento\Lucimara\12474.pdf"/>
    <hyperlink ref="A37" r:id="rId23" display="..\..\..\..\Rafaela Garcia\2022\3. Março\Orçamento\Lucimara\5001.pdf"/>
    <hyperlink ref="A38" r:id="rId24" display="..\..\..\..\Rafaela Garcia\2022\3. Março\Orçamento\Lucimara\55244.pdf"/>
    <hyperlink ref="A39" r:id="rId25" display="..\..\..\..\Rafaela Garcia\2022\3. Março\Orçamento\Lucimara\5181.pdf"/>
    <hyperlink ref="A40" r:id="rId26" display="..\..\..\..\Rafaela Garcia\2022\3. Março\Orçamento\Lucimara\55246.pdf"/>
    <hyperlink ref="A41" r:id="rId27" display="..\..\..\..\Rafaela Garcia\2022\3. Março\Orçamento\Lucimara\5195.pdf"/>
    <hyperlink ref="A42" r:id="rId28" display="..\..\..\..\Rafaela Garcia\2022\3. Março\Orçamento\Lucimara\32733.pdf"/>
    <hyperlink ref="A43" r:id="rId29" display="..\..\..\..\Rafaela Garcia\2022\3. Março\Orçamento\Lucimara\5177.pdf"/>
    <hyperlink ref="A44" r:id="rId30" display="..\..\..\..\Rafaela Garcia\2022\3. Março\Orçamento\Lucimara\55245.pdf"/>
    <hyperlink ref="A45" r:id="rId31" display="..\..\..\..\Rafaela Garcia\2022\3. Março\Orçamento\Lucimara\55291.pdf"/>
  </hyperlinks>
  <pageMargins left="0.511811024" right="0.511811024" top="0.78740157499999996" bottom="0.78740157499999996" header="0.31496062000000002" footer="0.31496062000000002"/>
  <pageSetup paperSize="9" orientation="portrait" r:id="rId32"/>
  <drawing r:id="rId3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4:BX50"/>
  <sheetViews>
    <sheetView showGridLines="0" topLeftCell="A7" workbookViewId="0">
      <pane xSplit="2" topLeftCell="C1" activePane="topRight" state="frozen"/>
      <selection activeCell="B39" sqref="B39"/>
      <selection pane="topRight" activeCell="B39" sqref="B39"/>
    </sheetView>
  </sheetViews>
  <sheetFormatPr defaultRowHeight="15" x14ac:dyDescent="0.25"/>
  <cols>
    <col min="1" max="1" width="9.28515625" style="1877" bestFit="1" customWidth="1"/>
    <col min="2" max="2" width="44.28515625" style="1877" bestFit="1" customWidth="1"/>
    <col min="3" max="3" width="10.85546875" style="1877" bestFit="1" customWidth="1"/>
    <col min="4" max="4" width="11.7109375" style="1877" bestFit="1" customWidth="1"/>
    <col min="5" max="5" width="10.5703125" style="1877" bestFit="1" customWidth="1"/>
    <col min="6" max="6" width="9.28515625" style="1877" bestFit="1" customWidth="1"/>
    <col min="7" max="7" width="13" style="1877" customWidth="1"/>
    <col min="8" max="8" width="3.28515625" style="1691" customWidth="1"/>
    <col min="9" max="9" width="10.85546875" style="1877" bestFit="1" customWidth="1"/>
    <col min="10" max="10" width="11.7109375" style="1877" bestFit="1" customWidth="1"/>
    <col min="11" max="11" width="10.5703125" style="1877" bestFit="1" customWidth="1"/>
    <col min="12" max="12" width="9.28515625" style="1877" bestFit="1" customWidth="1"/>
    <col min="13" max="13" width="9.28515625" style="1877" customWidth="1"/>
    <col min="14" max="14" width="2.42578125" style="1691" customWidth="1"/>
    <col min="15" max="15" width="10.85546875" style="1877" bestFit="1" customWidth="1"/>
    <col min="16" max="16" width="11.5703125" style="1877" bestFit="1" customWidth="1"/>
    <col min="17" max="17" width="10.5703125" style="1877" bestFit="1" customWidth="1"/>
    <col min="18" max="18" width="9.28515625" style="1877" bestFit="1" customWidth="1"/>
    <col min="19" max="19" width="9.28515625" style="1877" customWidth="1"/>
    <col min="20" max="20" width="3.7109375" style="1691" customWidth="1"/>
    <col min="21" max="21" width="10.85546875" style="1877" bestFit="1" customWidth="1"/>
    <col min="22" max="22" width="11" style="1877" bestFit="1" customWidth="1"/>
    <col min="23" max="23" width="11.5703125" style="1877" bestFit="1" customWidth="1"/>
    <col min="24" max="24" width="9.28515625" style="1877" bestFit="1" customWidth="1"/>
    <col min="25" max="25" width="9.28515625" style="1877" customWidth="1"/>
    <col min="26" max="26" width="4.7109375" style="1691" customWidth="1"/>
    <col min="27" max="27" width="10.85546875" style="1877" bestFit="1" customWidth="1"/>
    <col min="28" max="28" width="11" style="1877" bestFit="1" customWidth="1"/>
    <col min="29" max="29" width="11.5703125" style="1877" bestFit="1" customWidth="1"/>
    <col min="30" max="30" width="9.28515625" style="1877" bestFit="1" customWidth="1"/>
    <col min="31" max="31" width="9.28515625" style="1877" customWidth="1"/>
    <col min="32" max="32" width="5.28515625" style="1691" customWidth="1"/>
    <col min="33" max="33" width="10.85546875" style="1877" bestFit="1" customWidth="1"/>
    <col min="34" max="34" width="11" style="1877" bestFit="1" customWidth="1"/>
    <col min="35" max="35" width="11.5703125" style="1877" bestFit="1" customWidth="1"/>
    <col min="36" max="36" width="9.28515625" style="1877" bestFit="1" customWidth="1"/>
    <col min="37" max="37" width="9.28515625" style="1877" customWidth="1"/>
    <col min="38" max="38" width="5.5703125" style="1691" customWidth="1"/>
    <col min="39" max="39" width="10.85546875" style="1877" bestFit="1" customWidth="1"/>
    <col min="40" max="40" width="11" style="1877" bestFit="1" customWidth="1"/>
    <col min="41" max="41" width="11.5703125" style="1877" bestFit="1" customWidth="1"/>
    <col min="42" max="42" width="9.28515625" style="1877" bestFit="1" customWidth="1"/>
    <col min="43" max="43" width="9.28515625" style="1877" customWidth="1"/>
    <col min="44" max="44" width="5" style="1691" customWidth="1"/>
    <col min="45" max="45" width="10.85546875" style="1877" bestFit="1" customWidth="1"/>
    <col min="46" max="46" width="9.28515625" style="1877" bestFit="1" customWidth="1"/>
    <col min="47" max="47" width="11.5703125" style="1877" bestFit="1" customWidth="1"/>
    <col min="48" max="48" width="9.28515625" style="1877" bestFit="1" customWidth="1"/>
    <col min="49" max="49" width="9.28515625" style="1877" customWidth="1"/>
    <col min="50" max="50" width="4.5703125" style="1691" customWidth="1"/>
    <col min="51" max="51" width="10.85546875" style="1877" bestFit="1" customWidth="1"/>
    <col min="52" max="52" width="9.28515625" style="1877" bestFit="1" customWidth="1"/>
    <col min="53" max="53" width="11.5703125" style="1877" bestFit="1" customWidth="1"/>
    <col min="54" max="54" width="9.28515625" style="1877" bestFit="1" customWidth="1"/>
    <col min="55" max="55" width="9.28515625" style="1877" customWidth="1"/>
    <col min="56" max="56" width="4" style="1691" customWidth="1"/>
    <col min="57" max="57" width="10.85546875" style="1877" bestFit="1" customWidth="1"/>
    <col min="58" max="58" width="9.28515625" style="1877" bestFit="1" customWidth="1"/>
    <col min="59" max="59" width="11.5703125" style="1877" bestFit="1" customWidth="1"/>
    <col min="60" max="60" width="9.28515625" style="1877" bestFit="1" customWidth="1"/>
    <col min="61" max="61" width="9.28515625" style="1877" customWidth="1"/>
    <col min="62" max="62" width="3.85546875" style="1691" customWidth="1"/>
    <col min="63" max="63" width="10.85546875" style="1877" bestFit="1" customWidth="1"/>
    <col min="64" max="64" width="9.28515625" style="1877" bestFit="1" customWidth="1"/>
    <col min="65" max="65" width="11.5703125" style="1877" bestFit="1" customWidth="1"/>
    <col min="66" max="66" width="9.28515625" style="1877" bestFit="1" customWidth="1"/>
    <col min="67" max="67" width="9.28515625" style="1877" customWidth="1"/>
    <col min="68" max="68" width="3.5703125" style="1691" customWidth="1"/>
    <col min="69" max="69" width="10.85546875" style="1877" bestFit="1" customWidth="1"/>
    <col min="70" max="70" width="11" style="1877" bestFit="1" customWidth="1"/>
    <col min="71" max="71" width="11.5703125" style="1877" bestFit="1" customWidth="1"/>
    <col min="72" max="72" width="9.28515625" style="1877" bestFit="1" customWidth="1"/>
    <col min="73" max="73" width="9.28515625" style="1877" customWidth="1"/>
    <col min="74" max="74" width="4.140625" style="1691" customWidth="1"/>
    <col min="75" max="75" width="16.42578125" style="1877" bestFit="1" customWidth="1"/>
    <col min="76" max="76" width="19.140625" style="1877" bestFit="1" customWidth="1"/>
    <col min="77" max="16384" width="9.140625" style="1877"/>
  </cols>
  <sheetData>
    <row r="4" spans="1:76" ht="15.75" thickBot="1" x14ac:dyDescent="0.3"/>
    <row r="5" spans="1:76" ht="18" customHeight="1" thickBot="1" x14ac:dyDescent="0.3">
      <c r="A5" s="2864" t="s">
        <v>0</v>
      </c>
      <c r="B5" s="2866" t="s">
        <v>145</v>
      </c>
      <c r="C5" s="2861" t="s">
        <v>3716</v>
      </c>
      <c r="D5" s="2862"/>
      <c r="E5" s="2862"/>
      <c r="F5" s="2862"/>
      <c r="G5" s="2856" t="s">
        <v>3909</v>
      </c>
      <c r="H5" s="1689"/>
      <c r="I5" s="2861" t="s">
        <v>3717</v>
      </c>
      <c r="J5" s="2862"/>
      <c r="K5" s="2862"/>
      <c r="L5" s="2862"/>
      <c r="M5" s="2856" t="s">
        <v>3909</v>
      </c>
      <c r="N5" s="1689"/>
      <c r="O5" s="2861" t="s">
        <v>3718</v>
      </c>
      <c r="P5" s="2862"/>
      <c r="Q5" s="2862"/>
      <c r="R5" s="2862"/>
      <c r="S5" s="2856" t="s">
        <v>3909</v>
      </c>
      <c r="T5" s="1689"/>
      <c r="U5" s="2861" t="s">
        <v>3719</v>
      </c>
      <c r="V5" s="2862"/>
      <c r="W5" s="2862"/>
      <c r="X5" s="2862"/>
      <c r="Y5" s="2856" t="s">
        <v>3909</v>
      </c>
      <c r="Z5" s="1689"/>
      <c r="AA5" s="2861" t="s">
        <v>3720</v>
      </c>
      <c r="AB5" s="2862"/>
      <c r="AC5" s="2862"/>
      <c r="AD5" s="2862"/>
      <c r="AE5" s="2856" t="s">
        <v>3909</v>
      </c>
      <c r="AF5" s="1689"/>
      <c r="AG5" s="2861" t="s">
        <v>3721</v>
      </c>
      <c r="AH5" s="2862"/>
      <c r="AI5" s="2862"/>
      <c r="AJ5" s="2862"/>
      <c r="AK5" s="2856" t="s">
        <v>3909</v>
      </c>
      <c r="AL5" s="1689"/>
      <c r="AM5" s="2861" t="s">
        <v>3722</v>
      </c>
      <c r="AN5" s="2862"/>
      <c r="AO5" s="2862"/>
      <c r="AP5" s="2862"/>
      <c r="AQ5" s="2856" t="s">
        <v>3909</v>
      </c>
      <c r="AR5" s="1689"/>
      <c r="AS5" s="2861" t="s">
        <v>3723</v>
      </c>
      <c r="AT5" s="2862"/>
      <c r="AU5" s="2862"/>
      <c r="AV5" s="2862"/>
      <c r="AW5" s="2856" t="s">
        <v>3909</v>
      </c>
      <c r="AX5" s="1689"/>
      <c r="AY5" s="2861" t="s">
        <v>3724</v>
      </c>
      <c r="AZ5" s="2862"/>
      <c r="BA5" s="2862"/>
      <c r="BB5" s="2863"/>
      <c r="BC5" s="2856" t="s">
        <v>3909</v>
      </c>
      <c r="BD5" s="1689"/>
      <c r="BE5" s="2861" t="s">
        <v>3725</v>
      </c>
      <c r="BF5" s="2862"/>
      <c r="BG5" s="2862"/>
      <c r="BH5" s="2863"/>
      <c r="BI5" s="2856" t="s">
        <v>3909</v>
      </c>
      <c r="BJ5" s="1689"/>
      <c r="BK5" s="2861" t="s">
        <v>3726</v>
      </c>
      <c r="BL5" s="2862"/>
      <c r="BM5" s="2862"/>
      <c r="BN5" s="2863"/>
      <c r="BO5" s="2856" t="s">
        <v>3909</v>
      </c>
      <c r="BP5" s="1689"/>
      <c r="BQ5" s="2861" t="s">
        <v>3727</v>
      </c>
      <c r="BR5" s="2862"/>
      <c r="BS5" s="2862"/>
      <c r="BT5" s="2863"/>
      <c r="BU5" s="2856" t="s">
        <v>3909</v>
      </c>
      <c r="BV5" s="1689"/>
      <c r="BW5" s="2856" t="s">
        <v>162</v>
      </c>
      <c r="BX5" s="2856" t="s">
        <v>163</v>
      </c>
    </row>
    <row r="6" spans="1:76" ht="18" customHeight="1" thickBot="1" x14ac:dyDescent="0.3">
      <c r="A6" s="2865"/>
      <c r="B6" s="2867"/>
      <c r="C6" s="1688" t="s">
        <v>3728</v>
      </c>
      <c r="D6" s="1682" t="s">
        <v>3796</v>
      </c>
      <c r="E6" s="1682" t="s">
        <v>3797</v>
      </c>
      <c r="F6" s="1681" t="s">
        <v>158</v>
      </c>
      <c r="G6" s="2857"/>
      <c r="H6" s="1690"/>
      <c r="I6" s="1683" t="s">
        <v>3728</v>
      </c>
      <c r="J6" s="1936" t="s">
        <v>3796</v>
      </c>
      <c r="K6" s="1682" t="s">
        <v>3797</v>
      </c>
      <c r="L6" s="1681" t="s">
        <v>158</v>
      </c>
      <c r="M6" s="2857"/>
      <c r="N6" s="1690"/>
      <c r="O6" s="1688" t="s">
        <v>3728</v>
      </c>
      <c r="P6" s="1682" t="s">
        <v>3796</v>
      </c>
      <c r="Q6" s="1682" t="s">
        <v>3797</v>
      </c>
      <c r="R6" s="1681" t="s">
        <v>158</v>
      </c>
      <c r="S6" s="2857"/>
      <c r="T6" s="1690"/>
      <c r="U6" s="1688" t="s">
        <v>3728</v>
      </c>
      <c r="V6" s="1682" t="s">
        <v>3796</v>
      </c>
      <c r="W6" s="1682" t="s">
        <v>3797</v>
      </c>
      <c r="X6" s="1681" t="s">
        <v>158</v>
      </c>
      <c r="Y6" s="2857"/>
      <c r="Z6" s="1690"/>
      <c r="AA6" s="1688" t="s">
        <v>3728</v>
      </c>
      <c r="AB6" s="1682" t="s">
        <v>3796</v>
      </c>
      <c r="AC6" s="1682" t="s">
        <v>3797</v>
      </c>
      <c r="AD6" s="1681" t="s">
        <v>158</v>
      </c>
      <c r="AE6" s="2857"/>
      <c r="AF6" s="1690"/>
      <c r="AG6" s="1688" t="s">
        <v>3728</v>
      </c>
      <c r="AH6" s="1682" t="s">
        <v>3796</v>
      </c>
      <c r="AI6" s="1682" t="s">
        <v>3797</v>
      </c>
      <c r="AJ6" s="1681" t="s">
        <v>158</v>
      </c>
      <c r="AK6" s="2857"/>
      <c r="AL6" s="1690"/>
      <c r="AM6" s="1688" t="s">
        <v>3728</v>
      </c>
      <c r="AN6" s="1682" t="s">
        <v>3796</v>
      </c>
      <c r="AO6" s="1682" t="s">
        <v>3797</v>
      </c>
      <c r="AP6" s="1681" t="s">
        <v>158</v>
      </c>
      <c r="AQ6" s="2857"/>
      <c r="AR6" s="1690"/>
      <c r="AS6" s="1688" t="s">
        <v>3728</v>
      </c>
      <c r="AT6" s="1682" t="s">
        <v>3796</v>
      </c>
      <c r="AU6" s="1682" t="s">
        <v>3797</v>
      </c>
      <c r="AV6" s="1681" t="s">
        <v>158</v>
      </c>
      <c r="AW6" s="2857"/>
      <c r="AX6" s="1690"/>
      <c r="AY6" s="1688" t="s">
        <v>3728</v>
      </c>
      <c r="AZ6" s="1682" t="s">
        <v>3796</v>
      </c>
      <c r="BA6" s="1682" t="s">
        <v>3797</v>
      </c>
      <c r="BB6" s="2409" t="s">
        <v>158</v>
      </c>
      <c r="BC6" s="2857"/>
      <c r="BD6" s="1690"/>
      <c r="BE6" s="1688" t="s">
        <v>3728</v>
      </c>
      <c r="BF6" s="1682" t="s">
        <v>3796</v>
      </c>
      <c r="BG6" s="1682" t="s">
        <v>3797</v>
      </c>
      <c r="BH6" s="2409" t="s">
        <v>158</v>
      </c>
      <c r="BI6" s="2857"/>
      <c r="BJ6" s="1690"/>
      <c r="BK6" s="1688" t="s">
        <v>3728</v>
      </c>
      <c r="BL6" s="1682" t="s">
        <v>3796</v>
      </c>
      <c r="BM6" s="1682" t="s">
        <v>3797</v>
      </c>
      <c r="BN6" s="2409" t="s">
        <v>158</v>
      </c>
      <c r="BO6" s="2857"/>
      <c r="BP6" s="1690"/>
      <c r="BQ6" s="1688" t="s">
        <v>3728</v>
      </c>
      <c r="BR6" s="1682" t="s">
        <v>3796</v>
      </c>
      <c r="BS6" s="1682" t="s">
        <v>3797</v>
      </c>
      <c r="BT6" s="2409" t="s">
        <v>158</v>
      </c>
      <c r="BU6" s="2857"/>
      <c r="BV6" s="1690"/>
      <c r="BW6" s="2858"/>
      <c r="BX6" s="2858"/>
    </row>
    <row r="7" spans="1:76" ht="15.75" thickBot="1" x14ac:dyDescent="0.3">
      <c r="A7" s="2372"/>
      <c r="B7" s="1902" t="s">
        <v>3900</v>
      </c>
      <c r="C7" s="1880">
        <f>SUM(C8:C50)</f>
        <v>6070500</v>
      </c>
      <c r="D7" s="1881">
        <f>SUM(D8:D50)</f>
        <v>6491274.4900000012</v>
      </c>
      <c r="E7" s="1882">
        <f t="shared" ref="E7:E24" si="0">D7-C7</f>
        <v>420774.49000000115</v>
      </c>
      <c r="F7" s="1883">
        <f t="shared" ref="F7:F24" si="1">((D7/C7)-1)*100</f>
        <v>6.931463470883803</v>
      </c>
      <c r="G7" s="2858"/>
      <c r="H7" s="1885"/>
      <c r="I7" s="1884">
        <f>SUM(I8:I50)</f>
        <v>6070500</v>
      </c>
      <c r="J7" s="1930">
        <f>SUM(J8:J50)</f>
        <v>6091461.7200000007</v>
      </c>
      <c r="K7" s="1882">
        <f t="shared" ref="K7:K24" si="2">J7-I7</f>
        <v>20961.720000000671</v>
      </c>
      <c r="L7" s="1883">
        <f t="shared" ref="L7:L24" si="3">((J7/I7)-1)*100</f>
        <v>0.34530467012603427</v>
      </c>
      <c r="M7" s="2858"/>
      <c r="N7" s="1885"/>
      <c r="O7" s="1880">
        <f>SUM(O8:O50)</f>
        <v>6070500</v>
      </c>
      <c r="P7" s="1881">
        <f>SUM(P8:P50)</f>
        <v>6308544.9800000004</v>
      </c>
      <c r="Q7" s="1882">
        <f t="shared" ref="Q7:Q24" si="4">P7-O7</f>
        <v>238044.98000000045</v>
      </c>
      <c r="R7" s="1883">
        <f t="shared" ref="R7:R24" si="5">((P7/O7)-1)*100</f>
        <v>3.9213405815007096</v>
      </c>
      <c r="S7" s="2858"/>
      <c r="T7" s="1885"/>
      <c r="U7" s="1880">
        <f>SUM(U8:U50)</f>
        <v>6070500</v>
      </c>
      <c r="V7" s="1881">
        <f>SUM(V8:V50)</f>
        <v>0</v>
      </c>
      <c r="W7" s="1882">
        <f t="shared" ref="W7:W24" si="6">V7-U7</f>
        <v>-6070500</v>
      </c>
      <c r="X7" s="1883">
        <f t="shared" ref="X7:X24" si="7">((V7/U7)-1)*100</f>
        <v>-100</v>
      </c>
      <c r="Y7" s="2858"/>
      <c r="Z7" s="1885"/>
      <c r="AA7" s="1880">
        <f>SUM(AA8:AA50)</f>
        <v>6070500</v>
      </c>
      <c r="AB7" s="1881">
        <f>SUM(AB10:AB47)</f>
        <v>0</v>
      </c>
      <c r="AC7" s="1882">
        <f t="shared" ref="AC7:AC24" si="8">AB7-AA7</f>
        <v>-6070500</v>
      </c>
      <c r="AD7" s="1883">
        <f t="shared" ref="AD7:AD24" si="9">((AB7/AA7)-1)*100</f>
        <v>-100</v>
      </c>
      <c r="AE7" s="2858"/>
      <c r="AF7" s="1885"/>
      <c r="AG7" s="1880">
        <f>SUM(AG8:AG50)</f>
        <v>6070500</v>
      </c>
      <c r="AH7" s="1881">
        <f>SUM(AH10:AH47)</f>
        <v>0</v>
      </c>
      <c r="AI7" s="1882">
        <f t="shared" ref="AI7:AI24" si="10">AH7-AG7</f>
        <v>-6070500</v>
      </c>
      <c r="AJ7" s="1883">
        <f t="shared" ref="AJ7:AJ24" si="11">((AH7/AG7)-1)*100</f>
        <v>-100</v>
      </c>
      <c r="AK7" s="2858"/>
      <c r="AL7" s="1885"/>
      <c r="AM7" s="1880">
        <f>SUM(AM8:AM50)</f>
        <v>6070500</v>
      </c>
      <c r="AN7" s="1881">
        <f>SUM(AN10:AN47)</f>
        <v>0</v>
      </c>
      <c r="AO7" s="1882">
        <f t="shared" ref="AO7:AO24" si="12">AN7-AM7</f>
        <v>-6070500</v>
      </c>
      <c r="AP7" s="1883">
        <f t="shared" ref="AP7:AP24" si="13">((AN7/AM7)-1)*100</f>
        <v>-100</v>
      </c>
      <c r="AQ7" s="2858"/>
      <c r="AR7" s="1885"/>
      <c r="AS7" s="1880">
        <f>SUM(AS8:AS50)</f>
        <v>6070500</v>
      </c>
      <c r="AT7" s="1881">
        <f>SUM(AT8:AT50)</f>
        <v>0</v>
      </c>
      <c r="AU7" s="1882">
        <f t="shared" ref="AU7:AU24" si="14">AT7-AS7</f>
        <v>-6070500</v>
      </c>
      <c r="AV7" s="1883">
        <f t="shared" ref="AV7:AV24" si="15">((AT7/AS7)-1)*100</f>
        <v>-100</v>
      </c>
      <c r="AW7" s="2858"/>
      <c r="AX7" s="1885"/>
      <c r="AY7" s="1880">
        <f>SUM(AY8:AY50)</f>
        <v>6070500</v>
      </c>
      <c r="AZ7" s="1881">
        <f>SUM(AZ10:AZ47)</f>
        <v>0</v>
      </c>
      <c r="BA7" s="1882">
        <f t="shared" ref="BA7:BA24" si="16">AZ7-AY7</f>
        <v>-6070500</v>
      </c>
      <c r="BB7" s="1928">
        <f t="shared" ref="BB7:BB24" si="17">((AZ7/AY7)-1)*100</f>
        <v>-100</v>
      </c>
      <c r="BC7" s="2858"/>
      <c r="BD7" s="1885"/>
      <c r="BE7" s="1880">
        <f>SUM(BE8:BE50)</f>
        <v>6070500</v>
      </c>
      <c r="BF7" s="1881">
        <f>SUM(BF10:BF47)</f>
        <v>0</v>
      </c>
      <c r="BG7" s="1882">
        <f t="shared" ref="BG7:BG24" si="18">BF7-BE7</f>
        <v>-6070500</v>
      </c>
      <c r="BH7" s="1928">
        <f t="shared" ref="BH7:BH24" si="19">((BF7/BE7)-1)*100</f>
        <v>-100</v>
      </c>
      <c r="BI7" s="2858"/>
      <c r="BJ7" s="1885"/>
      <c r="BK7" s="1880">
        <f>SUM(BK8:BK50)</f>
        <v>6070500</v>
      </c>
      <c r="BL7" s="1881">
        <f>SUM(BL10:BL47)</f>
        <v>0</v>
      </c>
      <c r="BM7" s="1882">
        <f t="shared" ref="BM7:BM24" si="20">BL7-BK7</f>
        <v>-6070500</v>
      </c>
      <c r="BN7" s="1928">
        <f t="shared" ref="BN7:BN24" si="21">((BL7/BK7)-1)*100</f>
        <v>-100</v>
      </c>
      <c r="BO7" s="2858"/>
      <c r="BP7" s="1885"/>
      <c r="BQ7" s="1880">
        <f>SUM(BQ8:BQ50)</f>
        <v>6070500</v>
      </c>
      <c r="BR7" s="1881">
        <f>SUM(BR10:BR47)</f>
        <v>0</v>
      </c>
      <c r="BS7" s="1882">
        <f t="shared" ref="BS7:BS24" si="22">BR7-BQ7</f>
        <v>-6070500</v>
      </c>
      <c r="BT7" s="1929">
        <f t="shared" ref="BT7:BT24" si="23">((BR7/BQ7)-1)*100</f>
        <v>-100</v>
      </c>
      <c r="BU7" s="2858"/>
      <c r="BV7" s="1885"/>
      <c r="BW7" s="1884">
        <f t="shared" ref="BW7:BW25" si="24">C7+I7+O7+U7+AA7+AG7+AM7+AS7+AY7+BE7+BK7+BQ7</f>
        <v>72846000</v>
      </c>
      <c r="BX7" s="1887">
        <f t="shared" ref="BX7:BX25" si="25">D7+J7+P7+V7+AB7+AH7+AN7+AT7+AZ7+BF7+BL7+BR7</f>
        <v>18891281.190000001</v>
      </c>
    </row>
    <row r="8" spans="1:76" x14ac:dyDescent="0.25">
      <c r="A8" s="1686">
        <v>54128</v>
      </c>
      <c r="B8" s="1901" t="s">
        <v>3778</v>
      </c>
      <c r="C8" s="1907">
        <v>1700000</v>
      </c>
      <c r="D8" s="2373">
        <v>1325370.04</v>
      </c>
      <c r="E8" s="1908">
        <f t="shared" si="0"/>
        <v>-374629.95999999996</v>
      </c>
      <c r="F8" s="2374">
        <f t="shared" si="1"/>
        <v>-22.037056470588233</v>
      </c>
      <c r="G8" s="1922"/>
      <c r="H8" s="1888"/>
      <c r="I8" s="1922">
        <v>1700000</v>
      </c>
      <c r="J8" s="2402">
        <v>1390981.31</v>
      </c>
      <c r="K8" s="1908">
        <f t="shared" si="2"/>
        <v>-309018.68999999994</v>
      </c>
      <c r="L8" s="2374">
        <f t="shared" si="3"/>
        <v>-18.177569999999999</v>
      </c>
      <c r="M8" s="1922"/>
      <c r="N8" s="1888"/>
      <c r="O8" s="1907">
        <f t="shared" ref="O8:O25" si="26">I8</f>
        <v>1700000</v>
      </c>
      <c r="P8" s="1908">
        <f>VLOOKUP(A8,'[2]bALANCETE ORÇAMENTO'!$1:$1048576,7,0)</f>
        <v>1486085.72</v>
      </c>
      <c r="Q8" s="1908">
        <f t="shared" si="4"/>
        <v>-213914.28000000003</v>
      </c>
      <c r="R8" s="2374">
        <f t="shared" si="5"/>
        <v>-12.583192941176469</v>
      </c>
      <c r="S8" s="1922"/>
      <c r="T8" s="1888"/>
      <c r="U8" s="1907">
        <f t="shared" ref="U8:U25" si="27">O8</f>
        <v>1700000</v>
      </c>
      <c r="V8" s="1908"/>
      <c r="W8" s="1908">
        <f t="shared" si="6"/>
        <v>-1700000</v>
      </c>
      <c r="X8" s="2374">
        <f t="shared" si="7"/>
        <v>-100</v>
      </c>
      <c r="Y8" s="1922"/>
      <c r="Z8" s="1888"/>
      <c r="AA8" s="1907">
        <f t="shared" ref="AA8:AA25" si="28">U8</f>
        <v>1700000</v>
      </c>
      <c r="AB8" s="1908"/>
      <c r="AC8" s="1908">
        <f t="shared" si="8"/>
        <v>-1700000</v>
      </c>
      <c r="AD8" s="2374">
        <f t="shared" si="9"/>
        <v>-100</v>
      </c>
      <c r="AE8" s="1922"/>
      <c r="AF8" s="1888"/>
      <c r="AG8" s="1907">
        <f>AA8</f>
        <v>1700000</v>
      </c>
      <c r="AH8" s="1908"/>
      <c r="AI8" s="1908">
        <f t="shared" si="10"/>
        <v>-1700000</v>
      </c>
      <c r="AJ8" s="2374">
        <f t="shared" si="11"/>
        <v>-100</v>
      </c>
      <c r="AK8" s="1922"/>
      <c r="AL8" s="1888"/>
      <c r="AM8" s="1907">
        <f>AG8</f>
        <v>1700000</v>
      </c>
      <c r="AN8" s="1908"/>
      <c r="AO8" s="1908">
        <f t="shared" si="12"/>
        <v>-1700000</v>
      </c>
      <c r="AP8" s="2374">
        <f t="shared" si="13"/>
        <v>-100</v>
      </c>
      <c r="AQ8" s="1922"/>
      <c r="AR8" s="1888"/>
      <c r="AS8" s="1907">
        <f>AM8</f>
        <v>1700000</v>
      </c>
      <c r="AT8" s="1908"/>
      <c r="AU8" s="1908">
        <f t="shared" si="14"/>
        <v>-1700000</v>
      </c>
      <c r="AV8" s="2374">
        <f t="shared" si="15"/>
        <v>-100</v>
      </c>
      <c r="AW8" s="1922"/>
      <c r="AX8" s="1888"/>
      <c r="AY8" s="1907">
        <f>AS8</f>
        <v>1700000</v>
      </c>
      <c r="AZ8" s="1908"/>
      <c r="BA8" s="1908">
        <f t="shared" si="16"/>
        <v>-1700000</v>
      </c>
      <c r="BB8" s="1910">
        <f t="shared" si="17"/>
        <v>-100</v>
      </c>
      <c r="BC8" s="1922"/>
      <c r="BD8" s="1888"/>
      <c r="BE8" s="1907">
        <f>AY8</f>
        <v>1700000</v>
      </c>
      <c r="BF8" s="1908"/>
      <c r="BG8" s="1908">
        <f t="shared" si="18"/>
        <v>-1700000</v>
      </c>
      <c r="BH8" s="1910">
        <f t="shared" si="19"/>
        <v>-100</v>
      </c>
      <c r="BI8" s="1922"/>
      <c r="BJ8" s="1888"/>
      <c r="BK8" s="1907">
        <f t="shared" ref="BK8:BK25" si="29">BE8</f>
        <v>1700000</v>
      </c>
      <c r="BL8" s="1908"/>
      <c r="BM8" s="1908">
        <f t="shared" si="20"/>
        <v>-1700000</v>
      </c>
      <c r="BN8" s="1910">
        <f t="shared" si="21"/>
        <v>-100</v>
      </c>
      <c r="BO8" s="1922"/>
      <c r="BP8" s="1888"/>
      <c r="BQ8" s="1907">
        <f>BK8</f>
        <v>1700000</v>
      </c>
      <c r="BR8" s="1908"/>
      <c r="BS8" s="1908">
        <f t="shared" si="22"/>
        <v>-1700000</v>
      </c>
      <c r="BT8" s="1910">
        <f t="shared" si="23"/>
        <v>-100</v>
      </c>
      <c r="BU8" s="1894"/>
      <c r="BV8" s="1888"/>
      <c r="BW8" s="1892">
        <f t="shared" si="24"/>
        <v>20400000</v>
      </c>
      <c r="BX8" s="1898">
        <f t="shared" si="25"/>
        <v>4202437.07</v>
      </c>
    </row>
    <row r="9" spans="1:76" x14ac:dyDescent="0.25">
      <c r="A9" s="1686">
        <v>54169</v>
      </c>
      <c r="B9" s="1901" t="s">
        <v>3780</v>
      </c>
      <c r="C9" s="1907">
        <v>430000</v>
      </c>
      <c r="D9" s="2373">
        <v>755273.17</v>
      </c>
      <c r="E9" s="1908">
        <f t="shared" si="0"/>
        <v>325273.17000000004</v>
      </c>
      <c r="F9" s="2374">
        <f t="shared" si="1"/>
        <v>75.64492325581395</v>
      </c>
      <c r="G9" s="1922"/>
      <c r="H9" s="1888"/>
      <c r="I9" s="1922">
        <v>430000</v>
      </c>
      <c r="J9" s="2403">
        <v>339742.32</v>
      </c>
      <c r="K9" s="1908">
        <f t="shared" si="2"/>
        <v>-90257.68</v>
      </c>
      <c r="L9" s="2374">
        <f t="shared" si="3"/>
        <v>-20.990158139534888</v>
      </c>
      <c r="M9" s="1923"/>
      <c r="N9" s="1888"/>
      <c r="O9" s="1911">
        <f t="shared" si="26"/>
        <v>430000</v>
      </c>
      <c r="P9" s="1912">
        <f>VLOOKUP(A9,'[2]bALANCETE ORÇAMENTO'!$1:$1048576,7,0)</f>
        <v>258464.48</v>
      </c>
      <c r="Q9" s="1908">
        <f t="shared" si="4"/>
        <v>-171535.52</v>
      </c>
      <c r="R9" s="2374">
        <f t="shared" si="5"/>
        <v>-39.891981395348829</v>
      </c>
      <c r="S9" s="1922"/>
      <c r="T9" s="1888"/>
      <c r="U9" s="2375">
        <f t="shared" si="27"/>
        <v>430000</v>
      </c>
      <c r="V9" s="1908"/>
      <c r="W9" s="1908">
        <f t="shared" si="6"/>
        <v>-430000</v>
      </c>
      <c r="X9" s="2374">
        <f t="shared" si="7"/>
        <v>-100</v>
      </c>
      <c r="Y9" s="1922"/>
      <c r="Z9" s="1888"/>
      <c r="AA9" s="2375">
        <f t="shared" si="28"/>
        <v>430000</v>
      </c>
      <c r="AB9" s="1908"/>
      <c r="AC9" s="1908">
        <f t="shared" si="8"/>
        <v>-430000</v>
      </c>
      <c r="AD9" s="2374">
        <f t="shared" si="9"/>
        <v>-100</v>
      </c>
      <c r="AE9" s="1923"/>
      <c r="AF9" s="1888"/>
      <c r="AG9" s="1911">
        <f>AA9</f>
        <v>430000</v>
      </c>
      <c r="AH9" s="1912"/>
      <c r="AI9" s="1908">
        <f t="shared" si="10"/>
        <v>-430000</v>
      </c>
      <c r="AJ9" s="2374">
        <f t="shared" si="11"/>
        <v>-100</v>
      </c>
      <c r="AK9" s="1922"/>
      <c r="AL9" s="1888"/>
      <c r="AM9" s="2375">
        <f>AG9</f>
        <v>430000</v>
      </c>
      <c r="AN9" s="1908"/>
      <c r="AO9" s="1908">
        <f t="shared" si="12"/>
        <v>-430000</v>
      </c>
      <c r="AP9" s="2374">
        <f t="shared" si="13"/>
        <v>-100</v>
      </c>
      <c r="AQ9" s="1922"/>
      <c r="AR9" s="1888"/>
      <c r="AS9" s="2375">
        <f>AM9</f>
        <v>430000</v>
      </c>
      <c r="AT9" s="1912"/>
      <c r="AU9" s="1908">
        <f t="shared" si="14"/>
        <v>-430000</v>
      </c>
      <c r="AV9" s="2374">
        <f t="shared" si="15"/>
        <v>-100</v>
      </c>
      <c r="AW9" s="1923"/>
      <c r="AX9" s="1888"/>
      <c r="AY9" s="1911">
        <f>AS9</f>
        <v>430000</v>
      </c>
      <c r="AZ9" s="1912"/>
      <c r="BA9" s="1908">
        <f t="shared" si="16"/>
        <v>-430000</v>
      </c>
      <c r="BB9" s="1910">
        <f t="shared" si="17"/>
        <v>-100</v>
      </c>
      <c r="BC9" s="1923"/>
      <c r="BD9" s="1888"/>
      <c r="BE9" s="1911">
        <f>AY9</f>
        <v>430000</v>
      </c>
      <c r="BF9" s="1912"/>
      <c r="BG9" s="1908">
        <f t="shared" si="18"/>
        <v>-430000</v>
      </c>
      <c r="BH9" s="1910">
        <f t="shared" si="19"/>
        <v>-100</v>
      </c>
      <c r="BI9" s="1923"/>
      <c r="BJ9" s="1888"/>
      <c r="BK9" s="1911">
        <f t="shared" si="29"/>
        <v>430000</v>
      </c>
      <c r="BL9" s="1912"/>
      <c r="BM9" s="1908">
        <f t="shared" si="20"/>
        <v>-430000</v>
      </c>
      <c r="BN9" s="1910">
        <f t="shared" si="21"/>
        <v>-100</v>
      </c>
      <c r="BO9" s="1922"/>
      <c r="BP9" s="1888"/>
      <c r="BQ9" s="2375">
        <f>BK9</f>
        <v>430000</v>
      </c>
      <c r="BR9" s="1908"/>
      <c r="BS9" s="1908">
        <f t="shared" si="22"/>
        <v>-430000</v>
      </c>
      <c r="BT9" s="2115">
        <f t="shared" si="23"/>
        <v>-100</v>
      </c>
      <c r="BU9" s="1922"/>
      <c r="BV9" s="1888"/>
      <c r="BW9" s="1922">
        <f t="shared" si="24"/>
        <v>5160000</v>
      </c>
      <c r="BX9" s="1898">
        <f t="shared" si="25"/>
        <v>1353479.97</v>
      </c>
    </row>
    <row r="10" spans="1:76" x14ac:dyDescent="0.25">
      <c r="A10" s="2376">
        <v>12461</v>
      </c>
      <c r="B10" s="1901" t="s">
        <v>165</v>
      </c>
      <c r="C10" s="1907">
        <v>3500</v>
      </c>
      <c r="D10" s="2373">
        <v>8749</v>
      </c>
      <c r="E10" s="1908">
        <f t="shared" si="0"/>
        <v>5249</v>
      </c>
      <c r="F10" s="2374">
        <f t="shared" si="1"/>
        <v>149.97142857142856</v>
      </c>
      <c r="G10" s="1894"/>
      <c r="H10" s="1888"/>
      <c r="I10" s="1894">
        <v>3500</v>
      </c>
      <c r="J10" s="2404">
        <v>8749.02</v>
      </c>
      <c r="K10" s="1908">
        <f t="shared" si="2"/>
        <v>5249.02</v>
      </c>
      <c r="L10" s="2374">
        <f t="shared" si="3"/>
        <v>149.97199999999998</v>
      </c>
      <c r="M10" s="1922"/>
      <c r="N10" s="1888"/>
      <c r="O10" s="2375">
        <f t="shared" si="26"/>
        <v>3500</v>
      </c>
      <c r="P10" s="1908">
        <f>VLOOKUP(A10,'[2]bALANCETE ORÇAMENTO'!$1:$1048576,7,0)</f>
        <v>304.01</v>
      </c>
      <c r="Q10" s="1908">
        <f t="shared" si="4"/>
        <v>-3195.99</v>
      </c>
      <c r="R10" s="2374">
        <f t="shared" si="5"/>
        <v>-91.314000000000007</v>
      </c>
      <c r="S10" s="1894"/>
      <c r="T10" s="1888"/>
      <c r="U10" s="1896">
        <f t="shared" si="27"/>
        <v>3500</v>
      </c>
      <c r="V10" s="1897"/>
      <c r="W10" s="1908">
        <f t="shared" si="6"/>
        <v>-3500</v>
      </c>
      <c r="X10" s="2374">
        <f t="shared" si="7"/>
        <v>-100</v>
      </c>
      <c r="Y10" s="1894"/>
      <c r="Z10" s="1888"/>
      <c r="AA10" s="1896">
        <f t="shared" si="28"/>
        <v>3500</v>
      </c>
      <c r="AB10" s="1897"/>
      <c r="AC10" s="1908">
        <f t="shared" si="8"/>
        <v>-3500</v>
      </c>
      <c r="AD10" s="2374">
        <f t="shared" si="9"/>
        <v>-100</v>
      </c>
      <c r="AE10" s="1922"/>
      <c r="AF10" s="1888"/>
      <c r="AG10" s="2375">
        <f t="shared" ref="AG10:AG50" si="30">AA10</f>
        <v>3500</v>
      </c>
      <c r="AH10" s="1908"/>
      <c r="AI10" s="1908">
        <f t="shared" si="10"/>
        <v>-3500</v>
      </c>
      <c r="AJ10" s="2374">
        <f t="shared" si="11"/>
        <v>-100</v>
      </c>
      <c r="AK10" s="1894"/>
      <c r="AL10" s="1888"/>
      <c r="AM10" s="1896">
        <f t="shared" ref="AM10:AM50" si="31">AG10</f>
        <v>3500</v>
      </c>
      <c r="AN10" s="1897"/>
      <c r="AO10" s="1908">
        <f t="shared" si="12"/>
        <v>-3500</v>
      </c>
      <c r="AP10" s="2374">
        <f t="shared" si="13"/>
        <v>-100</v>
      </c>
      <c r="AQ10" s="1894"/>
      <c r="AR10" s="1888"/>
      <c r="AS10" s="1896">
        <f t="shared" ref="AS10:AS50" si="32">AM10</f>
        <v>3500</v>
      </c>
      <c r="AT10" s="1908"/>
      <c r="AU10" s="1908">
        <f t="shared" si="14"/>
        <v>-3500</v>
      </c>
      <c r="AV10" s="2374">
        <f t="shared" si="15"/>
        <v>-100</v>
      </c>
      <c r="AW10" s="1922"/>
      <c r="AX10" s="1888"/>
      <c r="AY10" s="2375">
        <f t="shared" ref="AY10:AY50" si="33">AS10</f>
        <v>3500</v>
      </c>
      <c r="AZ10" s="1908"/>
      <c r="BA10" s="1908">
        <f t="shared" si="16"/>
        <v>-3500</v>
      </c>
      <c r="BB10" s="1910">
        <f t="shared" si="17"/>
        <v>-100</v>
      </c>
      <c r="BC10" s="1922"/>
      <c r="BD10" s="1888"/>
      <c r="BE10" s="2375">
        <f t="shared" ref="BE10:BE50" si="34">AY10</f>
        <v>3500</v>
      </c>
      <c r="BF10" s="1908"/>
      <c r="BG10" s="1908">
        <f t="shared" si="18"/>
        <v>-3500</v>
      </c>
      <c r="BH10" s="1910">
        <f t="shared" si="19"/>
        <v>-100</v>
      </c>
      <c r="BI10" s="1922"/>
      <c r="BJ10" s="1888"/>
      <c r="BK10" s="2375">
        <f t="shared" si="29"/>
        <v>3500</v>
      </c>
      <c r="BL10" s="1908"/>
      <c r="BM10" s="1908">
        <f t="shared" si="20"/>
        <v>-3500</v>
      </c>
      <c r="BN10" s="1910">
        <f t="shared" si="21"/>
        <v>-100</v>
      </c>
      <c r="BO10" s="1894"/>
      <c r="BP10" s="1888"/>
      <c r="BQ10" s="1896">
        <f t="shared" ref="BQ10:BQ50" si="35">BK10</f>
        <v>3500</v>
      </c>
      <c r="BR10" s="1897"/>
      <c r="BS10" s="1908">
        <f t="shared" si="22"/>
        <v>-3500</v>
      </c>
      <c r="BT10" s="2115">
        <f t="shared" si="23"/>
        <v>-100</v>
      </c>
      <c r="BU10" s="1922"/>
      <c r="BV10" s="1888"/>
      <c r="BW10" s="1922">
        <f t="shared" si="24"/>
        <v>42000</v>
      </c>
      <c r="BX10" s="1898">
        <f t="shared" si="25"/>
        <v>17802.03</v>
      </c>
    </row>
    <row r="11" spans="1:76" x14ac:dyDescent="0.25">
      <c r="A11" s="2376">
        <v>51288</v>
      </c>
      <c r="B11" s="1901" t="s">
        <v>59</v>
      </c>
      <c r="C11" s="1907">
        <v>650000</v>
      </c>
      <c r="D11" s="2373">
        <v>697593.25</v>
      </c>
      <c r="E11" s="1908">
        <f t="shared" si="0"/>
        <v>47593.25</v>
      </c>
      <c r="F11" s="2374">
        <f t="shared" si="1"/>
        <v>7.3220384615384715</v>
      </c>
      <c r="G11" s="1922"/>
      <c r="H11" s="1888"/>
      <c r="I11" s="1922">
        <v>650000</v>
      </c>
      <c r="J11" s="2403">
        <v>696916.56</v>
      </c>
      <c r="K11" s="1908">
        <f t="shared" si="2"/>
        <v>46916.560000000056</v>
      </c>
      <c r="L11" s="2374">
        <f t="shared" si="3"/>
        <v>7.2179323076923207</v>
      </c>
      <c r="M11" s="1922"/>
      <c r="N11" s="1888"/>
      <c r="O11" s="1907">
        <f t="shared" si="26"/>
        <v>650000</v>
      </c>
      <c r="P11" s="1908">
        <f>VLOOKUP(A11,'[2]bALANCETE ORÇAMENTO'!$1:$1048576,7,0)</f>
        <v>815248</v>
      </c>
      <c r="Q11" s="1908">
        <f t="shared" si="4"/>
        <v>165248</v>
      </c>
      <c r="R11" s="2374">
        <f t="shared" si="5"/>
        <v>25.422769230769227</v>
      </c>
      <c r="S11" s="1922"/>
      <c r="T11" s="1888"/>
      <c r="U11" s="1907">
        <f t="shared" si="27"/>
        <v>650000</v>
      </c>
      <c r="V11" s="1908"/>
      <c r="W11" s="1908">
        <f t="shared" si="6"/>
        <v>-650000</v>
      </c>
      <c r="X11" s="2374">
        <f t="shared" si="7"/>
        <v>-100</v>
      </c>
      <c r="Y11" s="1922"/>
      <c r="Z11" s="1888"/>
      <c r="AA11" s="1907">
        <f t="shared" si="28"/>
        <v>650000</v>
      </c>
      <c r="AB11" s="1908"/>
      <c r="AC11" s="1908">
        <f t="shared" si="8"/>
        <v>-650000</v>
      </c>
      <c r="AD11" s="2374">
        <f t="shared" si="9"/>
        <v>-100</v>
      </c>
      <c r="AE11" s="1922"/>
      <c r="AF11" s="1888"/>
      <c r="AG11" s="1907">
        <f t="shared" si="30"/>
        <v>650000</v>
      </c>
      <c r="AH11" s="1908"/>
      <c r="AI11" s="1908">
        <f t="shared" si="10"/>
        <v>-650000</v>
      </c>
      <c r="AJ11" s="2374">
        <f t="shared" si="11"/>
        <v>-100</v>
      </c>
      <c r="AK11" s="1922"/>
      <c r="AL11" s="1888"/>
      <c r="AM11" s="1907">
        <f t="shared" si="31"/>
        <v>650000</v>
      </c>
      <c r="AN11" s="1908"/>
      <c r="AO11" s="1908">
        <f t="shared" si="12"/>
        <v>-650000</v>
      </c>
      <c r="AP11" s="2374">
        <f t="shared" si="13"/>
        <v>-100</v>
      </c>
      <c r="AQ11" s="1922"/>
      <c r="AR11" s="1888"/>
      <c r="AS11" s="1907">
        <f t="shared" si="32"/>
        <v>650000</v>
      </c>
      <c r="AT11" s="1908"/>
      <c r="AU11" s="1908">
        <f t="shared" si="14"/>
        <v>-650000</v>
      </c>
      <c r="AV11" s="2374">
        <f t="shared" si="15"/>
        <v>-100</v>
      </c>
      <c r="AW11" s="1922"/>
      <c r="AX11" s="1888"/>
      <c r="AY11" s="1907">
        <f t="shared" si="33"/>
        <v>650000</v>
      </c>
      <c r="AZ11" s="1908"/>
      <c r="BA11" s="1908">
        <f t="shared" si="16"/>
        <v>-650000</v>
      </c>
      <c r="BB11" s="1910">
        <f t="shared" si="17"/>
        <v>-100</v>
      </c>
      <c r="BC11" s="1922"/>
      <c r="BD11" s="1888"/>
      <c r="BE11" s="1907">
        <f t="shared" si="34"/>
        <v>650000</v>
      </c>
      <c r="BF11" s="1908"/>
      <c r="BG11" s="1908">
        <f t="shared" si="18"/>
        <v>-650000</v>
      </c>
      <c r="BH11" s="1910">
        <f t="shared" si="19"/>
        <v>-100</v>
      </c>
      <c r="BI11" s="1922"/>
      <c r="BJ11" s="1888"/>
      <c r="BK11" s="1907">
        <f t="shared" si="29"/>
        <v>650000</v>
      </c>
      <c r="BL11" s="1908"/>
      <c r="BM11" s="1908">
        <f t="shared" si="20"/>
        <v>-650000</v>
      </c>
      <c r="BN11" s="1910">
        <f t="shared" si="21"/>
        <v>-100</v>
      </c>
      <c r="BO11" s="1922"/>
      <c r="BP11" s="1888"/>
      <c r="BQ11" s="1907">
        <f t="shared" si="35"/>
        <v>650000</v>
      </c>
      <c r="BR11" s="1908"/>
      <c r="BS11" s="1908">
        <f t="shared" si="22"/>
        <v>-650000</v>
      </c>
      <c r="BT11" s="2115">
        <f t="shared" si="23"/>
        <v>-100</v>
      </c>
      <c r="BU11" s="1922"/>
      <c r="BV11" s="1888"/>
      <c r="BW11" s="1922">
        <f t="shared" si="24"/>
        <v>7800000</v>
      </c>
      <c r="BX11" s="1898">
        <f t="shared" si="25"/>
        <v>2209757.81</v>
      </c>
    </row>
    <row r="12" spans="1:76" x14ac:dyDescent="0.25">
      <c r="A12" s="2376">
        <v>51014</v>
      </c>
      <c r="B12" s="1901" t="s">
        <v>3786</v>
      </c>
      <c r="C12" s="1907">
        <v>250000</v>
      </c>
      <c r="D12" s="2373">
        <v>228743</v>
      </c>
      <c r="E12" s="1908">
        <f t="shared" si="0"/>
        <v>-21257</v>
      </c>
      <c r="F12" s="2374">
        <f t="shared" si="1"/>
        <v>-8.5027999999999988</v>
      </c>
      <c r="G12" s="1922"/>
      <c r="H12" s="1888"/>
      <c r="I12" s="1922">
        <v>250000</v>
      </c>
      <c r="J12" s="2404">
        <v>232684.29</v>
      </c>
      <c r="K12" s="1908">
        <f t="shared" si="2"/>
        <v>-17315.709999999992</v>
      </c>
      <c r="L12" s="2374">
        <f t="shared" si="3"/>
        <v>-6.9262839999999937</v>
      </c>
      <c r="M12" s="1922"/>
      <c r="N12" s="1888"/>
      <c r="O12" s="1907">
        <f t="shared" si="26"/>
        <v>250000</v>
      </c>
      <c r="P12" s="1908">
        <f>VLOOKUP(A12,'[2]bALANCETE ORÇAMENTO'!$1:$1048576,7,0)</f>
        <v>241243.22</v>
      </c>
      <c r="Q12" s="1908">
        <f t="shared" si="4"/>
        <v>-8756.7799999999988</v>
      </c>
      <c r="R12" s="2374">
        <f t="shared" si="5"/>
        <v>-3.5027119999999967</v>
      </c>
      <c r="S12" s="1922"/>
      <c r="T12" s="1888"/>
      <c r="U12" s="1907">
        <f t="shared" si="27"/>
        <v>250000</v>
      </c>
      <c r="V12" s="1908"/>
      <c r="W12" s="1908">
        <f t="shared" si="6"/>
        <v>-250000</v>
      </c>
      <c r="X12" s="2374">
        <f t="shared" si="7"/>
        <v>-100</v>
      </c>
      <c r="Y12" s="1922"/>
      <c r="Z12" s="1888"/>
      <c r="AA12" s="1907">
        <f t="shared" si="28"/>
        <v>250000</v>
      </c>
      <c r="AB12" s="1908"/>
      <c r="AC12" s="1908">
        <f t="shared" si="8"/>
        <v>-250000</v>
      </c>
      <c r="AD12" s="2374">
        <f t="shared" si="9"/>
        <v>-100</v>
      </c>
      <c r="AE12" s="1922"/>
      <c r="AF12" s="1888"/>
      <c r="AG12" s="1907">
        <f t="shared" si="30"/>
        <v>250000</v>
      </c>
      <c r="AH12" s="1908"/>
      <c r="AI12" s="1908">
        <f t="shared" si="10"/>
        <v>-250000</v>
      </c>
      <c r="AJ12" s="2374">
        <f t="shared" si="11"/>
        <v>-100</v>
      </c>
      <c r="AK12" s="1922"/>
      <c r="AL12" s="1888"/>
      <c r="AM12" s="1907">
        <f t="shared" si="31"/>
        <v>250000</v>
      </c>
      <c r="AN12" s="1908"/>
      <c r="AO12" s="1908">
        <f t="shared" si="12"/>
        <v>-250000</v>
      </c>
      <c r="AP12" s="2374">
        <f t="shared" si="13"/>
        <v>-100</v>
      </c>
      <c r="AQ12" s="1922"/>
      <c r="AR12" s="1888"/>
      <c r="AS12" s="1907">
        <f t="shared" si="32"/>
        <v>250000</v>
      </c>
      <c r="AT12" s="1908"/>
      <c r="AU12" s="1908">
        <f t="shared" si="14"/>
        <v>-250000</v>
      </c>
      <c r="AV12" s="2374">
        <f t="shared" si="15"/>
        <v>-100</v>
      </c>
      <c r="AW12" s="1922"/>
      <c r="AX12" s="1888"/>
      <c r="AY12" s="1907">
        <f t="shared" si="33"/>
        <v>250000</v>
      </c>
      <c r="AZ12" s="1908"/>
      <c r="BA12" s="1908">
        <f t="shared" si="16"/>
        <v>-250000</v>
      </c>
      <c r="BB12" s="1910">
        <f t="shared" si="17"/>
        <v>-100</v>
      </c>
      <c r="BC12" s="1922"/>
      <c r="BD12" s="1888"/>
      <c r="BE12" s="1907">
        <f t="shared" si="34"/>
        <v>250000</v>
      </c>
      <c r="BF12" s="1908"/>
      <c r="BG12" s="1908">
        <f t="shared" si="18"/>
        <v>-250000</v>
      </c>
      <c r="BH12" s="1910">
        <f t="shared" si="19"/>
        <v>-100</v>
      </c>
      <c r="BI12" s="1922"/>
      <c r="BJ12" s="1888"/>
      <c r="BK12" s="1907">
        <f t="shared" si="29"/>
        <v>250000</v>
      </c>
      <c r="BL12" s="1908"/>
      <c r="BM12" s="1908">
        <f t="shared" si="20"/>
        <v>-250000</v>
      </c>
      <c r="BN12" s="1910">
        <f t="shared" si="21"/>
        <v>-100</v>
      </c>
      <c r="BO12" s="1922"/>
      <c r="BP12" s="1888"/>
      <c r="BQ12" s="1907">
        <f t="shared" si="35"/>
        <v>250000</v>
      </c>
      <c r="BR12" s="1908"/>
      <c r="BS12" s="1908">
        <f t="shared" si="22"/>
        <v>-250000</v>
      </c>
      <c r="BT12" s="2115">
        <f t="shared" si="23"/>
        <v>-100</v>
      </c>
      <c r="BU12" s="1922"/>
      <c r="BV12" s="1888"/>
      <c r="BW12" s="1922">
        <f t="shared" si="24"/>
        <v>3000000</v>
      </c>
      <c r="BX12" s="1898">
        <f t="shared" si="25"/>
        <v>702670.51</v>
      </c>
    </row>
    <row r="13" spans="1:76" x14ac:dyDescent="0.25">
      <c r="A13" s="1686">
        <v>51019</v>
      </c>
      <c r="B13" s="1901" t="s">
        <v>3782</v>
      </c>
      <c r="C13" s="1907">
        <v>175000</v>
      </c>
      <c r="D13" s="2373">
        <v>151550.39999999999</v>
      </c>
      <c r="E13" s="1908">
        <f t="shared" si="0"/>
        <v>-23449.600000000006</v>
      </c>
      <c r="F13" s="2374">
        <f t="shared" si="1"/>
        <v>-13.399771428571427</v>
      </c>
      <c r="G13" s="1922"/>
      <c r="H13" s="1888"/>
      <c r="I13" s="1922">
        <v>175000</v>
      </c>
      <c r="J13" s="2404">
        <v>162571.20000000001</v>
      </c>
      <c r="K13" s="1908">
        <f t="shared" si="2"/>
        <v>-12428.799999999988</v>
      </c>
      <c r="L13" s="2374">
        <f t="shared" si="3"/>
        <v>-7.1021714285714239</v>
      </c>
      <c r="M13" s="1922"/>
      <c r="N13" s="1888"/>
      <c r="O13" s="1907">
        <f t="shared" si="26"/>
        <v>175000</v>
      </c>
      <c r="P13" s="1908">
        <f>VLOOKUP(A13,'[2]bALANCETE ORÇAMENTO'!$1:$1048576,7,0)</f>
        <v>152222.39999999999</v>
      </c>
      <c r="Q13" s="1908">
        <f t="shared" si="4"/>
        <v>-22777.600000000006</v>
      </c>
      <c r="R13" s="2374">
        <f t="shared" si="5"/>
        <v>-13.015771428571432</v>
      </c>
      <c r="S13" s="1922"/>
      <c r="T13" s="1888"/>
      <c r="U13" s="1907">
        <f t="shared" si="27"/>
        <v>175000</v>
      </c>
      <c r="V13" s="1908"/>
      <c r="W13" s="1908">
        <f t="shared" si="6"/>
        <v>-175000</v>
      </c>
      <c r="X13" s="2374">
        <f t="shared" si="7"/>
        <v>-100</v>
      </c>
      <c r="Y13" s="1922"/>
      <c r="Z13" s="1888"/>
      <c r="AA13" s="1907">
        <f t="shared" si="28"/>
        <v>175000</v>
      </c>
      <c r="AB13" s="1908"/>
      <c r="AC13" s="1908">
        <f t="shared" si="8"/>
        <v>-175000</v>
      </c>
      <c r="AD13" s="2374">
        <f t="shared" si="9"/>
        <v>-100</v>
      </c>
      <c r="AE13" s="1922"/>
      <c r="AF13" s="1888"/>
      <c r="AG13" s="1907">
        <f t="shared" si="30"/>
        <v>175000</v>
      </c>
      <c r="AH13" s="1908"/>
      <c r="AI13" s="1908">
        <f t="shared" si="10"/>
        <v>-175000</v>
      </c>
      <c r="AJ13" s="2374">
        <f t="shared" si="11"/>
        <v>-100</v>
      </c>
      <c r="AK13" s="1922"/>
      <c r="AL13" s="1888"/>
      <c r="AM13" s="1907">
        <f t="shared" si="31"/>
        <v>175000</v>
      </c>
      <c r="AN13" s="1908"/>
      <c r="AO13" s="1908">
        <f t="shared" si="12"/>
        <v>-175000</v>
      </c>
      <c r="AP13" s="2374">
        <f t="shared" si="13"/>
        <v>-100</v>
      </c>
      <c r="AQ13" s="1922"/>
      <c r="AR13" s="1888"/>
      <c r="AS13" s="1907">
        <f t="shared" si="32"/>
        <v>175000</v>
      </c>
      <c r="AT13" s="1908"/>
      <c r="AU13" s="1908">
        <f t="shared" si="14"/>
        <v>-175000</v>
      </c>
      <c r="AV13" s="2374">
        <f t="shared" si="15"/>
        <v>-100</v>
      </c>
      <c r="AW13" s="1922"/>
      <c r="AX13" s="1888"/>
      <c r="AY13" s="1907">
        <f t="shared" si="33"/>
        <v>175000</v>
      </c>
      <c r="AZ13" s="1908"/>
      <c r="BA13" s="1908">
        <f t="shared" si="16"/>
        <v>-175000</v>
      </c>
      <c r="BB13" s="1910">
        <f t="shared" si="17"/>
        <v>-100</v>
      </c>
      <c r="BC13" s="1922"/>
      <c r="BD13" s="1888"/>
      <c r="BE13" s="1907">
        <f t="shared" si="34"/>
        <v>175000</v>
      </c>
      <c r="BF13" s="1908"/>
      <c r="BG13" s="1908">
        <f t="shared" si="18"/>
        <v>-175000</v>
      </c>
      <c r="BH13" s="1910">
        <f t="shared" si="19"/>
        <v>-100</v>
      </c>
      <c r="BI13" s="1922"/>
      <c r="BJ13" s="1888"/>
      <c r="BK13" s="1907">
        <f t="shared" si="29"/>
        <v>175000</v>
      </c>
      <c r="BL13" s="1908"/>
      <c r="BM13" s="1908">
        <f t="shared" si="20"/>
        <v>-175000</v>
      </c>
      <c r="BN13" s="1910">
        <f t="shared" si="21"/>
        <v>-100</v>
      </c>
      <c r="BO13" s="1922"/>
      <c r="BP13" s="1888"/>
      <c r="BQ13" s="1907">
        <f t="shared" si="35"/>
        <v>175000</v>
      </c>
      <c r="BR13" s="1908"/>
      <c r="BS13" s="1908">
        <f t="shared" si="22"/>
        <v>-175000</v>
      </c>
      <c r="BT13" s="2115">
        <f t="shared" si="23"/>
        <v>-100</v>
      </c>
      <c r="BU13" s="1922"/>
      <c r="BV13" s="1888"/>
      <c r="BW13" s="1922">
        <f t="shared" si="24"/>
        <v>2100000</v>
      </c>
      <c r="BX13" s="1898">
        <f t="shared" si="25"/>
        <v>466344</v>
      </c>
    </row>
    <row r="14" spans="1:76" x14ac:dyDescent="0.25">
      <c r="A14" s="1686">
        <v>51020</v>
      </c>
      <c r="B14" s="1901" t="s">
        <v>58</v>
      </c>
      <c r="C14" s="1907">
        <v>125000</v>
      </c>
      <c r="D14" s="2373">
        <v>129460</v>
      </c>
      <c r="E14" s="1908">
        <f t="shared" si="0"/>
        <v>4460</v>
      </c>
      <c r="F14" s="2374">
        <f t="shared" si="1"/>
        <v>3.5679999999999934</v>
      </c>
      <c r="G14" s="1922"/>
      <c r="H14" s="1888"/>
      <c r="I14" s="1922">
        <v>125000</v>
      </c>
      <c r="J14" s="2404">
        <v>157192</v>
      </c>
      <c r="K14" s="1908">
        <f t="shared" si="2"/>
        <v>32192</v>
      </c>
      <c r="L14" s="2374">
        <f t="shared" si="3"/>
        <v>25.753599999999999</v>
      </c>
      <c r="M14" s="1922"/>
      <c r="N14" s="1888"/>
      <c r="O14" s="1907">
        <f t="shared" si="26"/>
        <v>125000</v>
      </c>
      <c r="P14" s="1908">
        <f>VLOOKUP(A14,'[2]bALANCETE ORÇAMENTO'!$1:$1048576,7,0)</f>
        <v>143563</v>
      </c>
      <c r="Q14" s="1908">
        <f t="shared" si="4"/>
        <v>18563</v>
      </c>
      <c r="R14" s="2374">
        <f t="shared" si="5"/>
        <v>14.850399999999997</v>
      </c>
      <c r="S14" s="1922"/>
      <c r="T14" s="1888"/>
      <c r="U14" s="1907">
        <f t="shared" si="27"/>
        <v>125000</v>
      </c>
      <c r="V14" s="1908"/>
      <c r="W14" s="1908">
        <f t="shared" si="6"/>
        <v>-125000</v>
      </c>
      <c r="X14" s="2374">
        <f t="shared" si="7"/>
        <v>-100</v>
      </c>
      <c r="Y14" s="1922"/>
      <c r="Z14" s="1888"/>
      <c r="AA14" s="1907">
        <f t="shared" si="28"/>
        <v>125000</v>
      </c>
      <c r="AB14" s="1908"/>
      <c r="AC14" s="1908">
        <f t="shared" si="8"/>
        <v>-125000</v>
      </c>
      <c r="AD14" s="2374">
        <f t="shared" si="9"/>
        <v>-100</v>
      </c>
      <c r="AE14" s="1922"/>
      <c r="AF14" s="1888"/>
      <c r="AG14" s="1907">
        <f t="shared" si="30"/>
        <v>125000</v>
      </c>
      <c r="AH14" s="1908"/>
      <c r="AI14" s="1908">
        <f t="shared" si="10"/>
        <v>-125000</v>
      </c>
      <c r="AJ14" s="2374">
        <f t="shared" si="11"/>
        <v>-100</v>
      </c>
      <c r="AK14" s="1922"/>
      <c r="AL14" s="1888"/>
      <c r="AM14" s="1907">
        <f t="shared" si="31"/>
        <v>125000</v>
      </c>
      <c r="AN14" s="1908"/>
      <c r="AO14" s="1908">
        <f t="shared" si="12"/>
        <v>-125000</v>
      </c>
      <c r="AP14" s="2374">
        <f t="shared" si="13"/>
        <v>-100</v>
      </c>
      <c r="AQ14" s="1922"/>
      <c r="AR14" s="1888"/>
      <c r="AS14" s="1907">
        <f t="shared" si="32"/>
        <v>125000</v>
      </c>
      <c r="AT14" s="1908"/>
      <c r="AU14" s="1908">
        <f t="shared" si="14"/>
        <v>-125000</v>
      </c>
      <c r="AV14" s="2374">
        <f t="shared" si="15"/>
        <v>-100</v>
      </c>
      <c r="AW14" s="1922"/>
      <c r="AX14" s="1888"/>
      <c r="AY14" s="1907">
        <f t="shared" si="33"/>
        <v>125000</v>
      </c>
      <c r="AZ14" s="1908"/>
      <c r="BA14" s="1908">
        <f t="shared" si="16"/>
        <v>-125000</v>
      </c>
      <c r="BB14" s="1910">
        <f t="shared" si="17"/>
        <v>-100</v>
      </c>
      <c r="BC14" s="1922"/>
      <c r="BD14" s="1888"/>
      <c r="BE14" s="1907">
        <f t="shared" si="34"/>
        <v>125000</v>
      </c>
      <c r="BF14" s="1908"/>
      <c r="BG14" s="1908">
        <f t="shared" si="18"/>
        <v>-125000</v>
      </c>
      <c r="BH14" s="1910">
        <f t="shared" si="19"/>
        <v>-100</v>
      </c>
      <c r="BI14" s="1922"/>
      <c r="BJ14" s="1888"/>
      <c r="BK14" s="1907">
        <f t="shared" si="29"/>
        <v>125000</v>
      </c>
      <c r="BL14" s="1908"/>
      <c r="BM14" s="1908">
        <f t="shared" si="20"/>
        <v>-125000</v>
      </c>
      <c r="BN14" s="1910">
        <f t="shared" si="21"/>
        <v>-100</v>
      </c>
      <c r="BO14" s="1922"/>
      <c r="BP14" s="1888"/>
      <c r="BQ14" s="1907">
        <f t="shared" si="35"/>
        <v>125000</v>
      </c>
      <c r="BR14" s="1908"/>
      <c r="BS14" s="1908">
        <f t="shared" si="22"/>
        <v>-125000</v>
      </c>
      <c r="BT14" s="2115">
        <f t="shared" si="23"/>
        <v>-100</v>
      </c>
      <c r="BU14" s="1922"/>
      <c r="BV14" s="1888"/>
      <c r="BW14" s="1922">
        <f t="shared" si="24"/>
        <v>1500000</v>
      </c>
      <c r="BX14" s="1898">
        <f t="shared" si="25"/>
        <v>430215</v>
      </c>
    </row>
    <row r="15" spans="1:76" x14ac:dyDescent="0.25">
      <c r="A15" s="1686">
        <v>54956</v>
      </c>
      <c r="B15" s="1901" t="s">
        <v>3781</v>
      </c>
      <c r="C15" s="1907">
        <v>10300</v>
      </c>
      <c r="D15" s="2373">
        <v>10230</v>
      </c>
      <c r="E15" s="1908">
        <f t="shared" si="0"/>
        <v>-70</v>
      </c>
      <c r="F15" s="2374">
        <f t="shared" si="1"/>
        <v>-0.67961165048543437</v>
      </c>
      <c r="G15" s="1922"/>
      <c r="H15" s="1888"/>
      <c r="I15" s="1922">
        <v>10300</v>
      </c>
      <c r="J15" s="2405">
        <v>9240</v>
      </c>
      <c r="K15" s="1908">
        <f t="shared" si="2"/>
        <v>-1060</v>
      </c>
      <c r="L15" s="2374">
        <f t="shared" si="3"/>
        <v>-10.291262135922331</v>
      </c>
      <c r="M15" s="1922"/>
      <c r="N15" s="1888"/>
      <c r="O15" s="1907">
        <f t="shared" si="26"/>
        <v>10300</v>
      </c>
      <c r="P15" s="1908">
        <f>VLOOKUP(A15,'[2]bALANCETE ORÇAMENTO'!$1:$1048576,7,0)</f>
        <v>10230</v>
      </c>
      <c r="Q15" s="1908">
        <f t="shared" si="4"/>
        <v>-70</v>
      </c>
      <c r="R15" s="2374">
        <f t="shared" si="5"/>
        <v>-0.67961165048543437</v>
      </c>
      <c r="S15" s="1922"/>
      <c r="T15" s="1888"/>
      <c r="U15" s="1907">
        <f t="shared" si="27"/>
        <v>10300</v>
      </c>
      <c r="V15" s="1908"/>
      <c r="W15" s="1908">
        <f t="shared" si="6"/>
        <v>-10300</v>
      </c>
      <c r="X15" s="2374">
        <f t="shared" si="7"/>
        <v>-100</v>
      </c>
      <c r="Y15" s="1922"/>
      <c r="Z15" s="1888"/>
      <c r="AA15" s="1907">
        <f t="shared" si="28"/>
        <v>10300</v>
      </c>
      <c r="AB15" s="1908"/>
      <c r="AC15" s="1908">
        <f t="shared" si="8"/>
        <v>-10300</v>
      </c>
      <c r="AD15" s="2374">
        <f t="shared" si="9"/>
        <v>-100</v>
      </c>
      <c r="AE15" s="1922"/>
      <c r="AF15" s="1888"/>
      <c r="AG15" s="1907">
        <f t="shared" si="30"/>
        <v>10300</v>
      </c>
      <c r="AH15" s="1908"/>
      <c r="AI15" s="1908">
        <f t="shared" si="10"/>
        <v>-10300</v>
      </c>
      <c r="AJ15" s="2374">
        <f t="shared" si="11"/>
        <v>-100</v>
      </c>
      <c r="AK15" s="1922"/>
      <c r="AL15" s="1888"/>
      <c r="AM15" s="1907">
        <f t="shared" si="31"/>
        <v>10300</v>
      </c>
      <c r="AN15" s="1908"/>
      <c r="AO15" s="1908">
        <f t="shared" si="12"/>
        <v>-10300</v>
      </c>
      <c r="AP15" s="2374">
        <f t="shared" si="13"/>
        <v>-100</v>
      </c>
      <c r="AQ15" s="1922"/>
      <c r="AR15" s="1888"/>
      <c r="AS15" s="1907">
        <f t="shared" si="32"/>
        <v>10300</v>
      </c>
      <c r="AT15" s="1908"/>
      <c r="AU15" s="1908">
        <f t="shared" si="14"/>
        <v>-10300</v>
      </c>
      <c r="AV15" s="2374">
        <f t="shared" si="15"/>
        <v>-100</v>
      </c>
      <c r="AW15" s="1922"/>
      <c r="AX15" s="1888"/>
      <c r="AY15" s="1907">
        <f t="shared" si="33"/>
        <v>10300</v>
      </c>
      <c r="AZ15" s="1908"/>
      <c r="BA15" s="1908">
        <f t="shared" si="16"/>
        <v>-10300</v>
      </c>
      <c r="BB15" s="1910">
        <f t="shared" si="17"/>
        <v>-100</v>
      </c>
      <c r="BC15" s="1922"/>
      <c r="BD15" s="1888"/>
      <c r="BE15" s="1907">
        <f t="shared" si="34"/>
        <v>10300</v>
      </c>
      <c r="BF15" s="1908"/>
      <c r="BG15" s="1908">
        <f t="shared" si="18"/>
        <v>-10300</v>
      </c>
      <c r="BH15" s="1910">
        <f t="shared" si="19"/>
        <v>-100</v>
      </c>
      <c r="BI15" s="1922"/>
      <c r="BJ15" s="1888"/>
      <c r="BK15" s="1907">
        <f t="shared" si="29"/>
        <v>10300</v>
      </c>
      <c r="BL15" s="1908"/>
      <c r="BM15" s="1908">
        <f t="shared" si="20"/>
        <v>-10300</v>
      </c>
      <c r="BN15" s="1910">
        <f t="shared" si="21"/>
        <v>-100</v>
      </c>
      <c r="BO15" s="1922"/>
      <c r="BP15" s="1888"/>
      <c r="BQ15" s="1907">
        <f t="shared" si="35"/>
        <v>10300</v>
      </c>
      <c r="BR15" s="1908"/>
      <c r="BS15" s="1908">
        <f t="shared" si="22"/>
        <v>-10300</v>
      </c>
      <c r="BT15" s="2115">
        <f t="shared" si="23"/>
        <v>-100</v>
      </c>
      <c r="BU15" s="1922"/>
      <c r="BV15" s="1888"/>
      <c r="BW15" s="1922">
        <f t="shared" si="24"/>
        <v>123600</v>
      </c>
      <c r="BX15" s="1898">
        <f t="shared" si="25"/>
        <v>29700</v>
      </c>
    </row>
    <row r="16" spans="1:76" x14ac:dyDescent="0.25">
      <c r="A16" s="1686">
        <v>25044</v>
      </c>
      <c r="B16" s="1901" t="s">
        <v>181</v>
      </c>
      <c r="C16" s="1907">
        <v>90000</v>
      </c>
      <c r="D16" s="2373">
        <v>89452.96</v>
      </c>
      <c r="E16" s="1908">
        <f t="shared" si="0"/>
        <v>-547.0399999999936</v>
      </c>
      <c r="F16" s="2374">
        <f t="shared" si="1"/>
        <v>-0.60782222222220961</v>
      </c>
      <c r="G16" s="1922"/>
      <c r="H16" s="1888"/>
      <c r="I16" s="1922">
        <v>90000</v>
      </c>
      <c r="J16" s="2403">
        <v>79061.919999999998</v>
      </c>
      <c r="K16" s="1908">
        <f t="shared" si="2"/>
        <v>-10938.080000000002</v>
      </c>
      <c r="L16" s="2374">
        <f t="shared" si="3"/>
        <v>-12.153422222222222</v>
      </c>
      <c r="M16" s="1922"/>
      <c r="N16" s="1888"/>
      <c r="O16" s="1907">
        <f t="shared" si="26"/>
        <v>90000</v>
      </c>
      <c r="P16" s="1908">
        <f>VLOOKUP(A16,'[2]bALANCETE ORÇAMENTO'!$1:$1048576,7,0)</f>
        <v>86593.84</v>
      </c>
      <c r="Q16" s="1908">
        <f t="shared" si="4"/>
        <v>-3406.1600000000035</v>
      </c>
      <c r="R16" s="2374">
        <f t="shared" si="5"/>
        <v>-3.7846222222222226</v>
      </c>
      <c r="S16" s="1922"/>
      <c r="T16" s="1888"/>
      <c r="U16" s="1907">
        <f t="shared" si="27"/>
        <v>90000</v>
      </c>
      <c r="V16" s="1908"/>
      <c r="W16" s="1908">
        <f t="shared" si="6"/>
        <v>-90000</v>
      </c>
      <c r="X16" s="2374">
        <f t="shared" si="7"/>
        <v>-100</v>
      </c>
      <c r="Y16" s="1922"/>
      <c r="Z16" s="1888"/>
      <c r="AA16" s="1907">
        <f t="shared" si="28"/>
        <v>90000</v>
      </c>
      <c r="AB16" s="1908"/>
      <c r="AC16" s="1908">
        <f t="shared" si="8"/>
        <v>-90000</v>
      </c>
      <c r="AD16" s="2374">
        <f t="shared" si="9"/>
        <v>-100</v>
      </c>
      <c r="AE16" s="1922"/>
      <c r="AF16" s="1888"/>
      <c r="AG16" s="1907">
        <f t="shared" si="30"/>
        <v>90000</v>
      </c>
      <c r="AH16" s="1908"/>
      <c r="AI16" s="1908">
        <f t="shared" si="10"/>
        <v>-90000</v>
      </c>
      <c r="AJ16" s="2374">
        <f t="shared" si="11"/>
        <v>-100</v>
      </c>
      <c r="AK16" s="1922"/>
      <c r="AL16" s="1888"/>
      <c r="AM16" s="1907">
        <f t="shared" si="31"/>
        <v>90000</v>
      </c>
      <c r="AN16" s="1908"/>
      <c r="AO16" s="1908">
        <f t="shared" si="12"/>
        <v>-90000</v>
      </c>
      <c r="AP16" s="2374">
        <f t="shared" si="13"/>
        <v>-100</v>
      </c>
      <c r="AQ16" s="1922"/>
      <c r="AR16" s="1888"/>
      <c r="AS16" s="1907">
        <f t="shared" si="32"/>
        <v>90000</v>
      </c>
      <c r="AT16" s="1908"/>
      <c r="AU16" s="1908">
        <f t="shared" si="14"/>
        <v>-90000</v>
      </c>
      <c r="AV16" s="2374">
        <f t="shared" si="15"/>
        <v>-100</v>
      </c>
      <c r="AW16" s="1922"/>
      <c r="AX16" s="1888"/>
      <c r="AY16" s="1907">
        <f t="shared" si="33"/>
        <v>90000</v>
      </c>
      <c r="AZ16" s="1908"/>
      <c r="BA16" s="1908">
        <f t="shared" si="16"/>
        <v>-90000</v>
      </c>
      <c r="BB16" s="1910">
        <f t="shared" si="17"/>
        <v>-100</v>
      </c>
      <c r="BC16" s="1922"/>
      <c r="BD16" s="1888"/>
      <c r="BE16" s="1907">
        <f t="shared" si="34"/>
        <v>90000</v>
      </c>
      <c r="BF16" s="1908"/>
      <c r="BG16" s="1908">
        <f t="shared" si="18"/>
        <v>-90000</v>
      </c>
      <c r="BH16" s="1910">
        <f t="shared" si="19"/>
        <v>-100</v>
      </c>
      <c r="BI16" s="1922"/>
      <c r="BJ16" s="1888"/>
      <c r="BK16" s="1907">
        <f t="shared" si="29"/>
        <v>90000</v>
      </c>
      <c r="BL16" s="1908"/>
      <c r="BM16" s="1908">
        <f t="shared" si="20"/>
        <v>-90000</v>
      </c>
      <c r="BN16" s="1910">
        <f t="shared" si="21"/>
        <v>-100</v>
      </c>
      <c r="BO16" s="1922"/>
      <c r="BP16" s="1888"/>
      <c r="BQ16" s="1907">
        <f t="shared" si="35"/>
        <v>90000</v>
      </c>
      <c r="BR16" s="1908"/>
      <c r="BS16" s="1908">
        <f t="shared" si="22"/>
        <v>-90000</v>
      </c>
      <c r="BT16" s="2115">
        <f t="shared" si="23"/>
        <v>-100</v>
      </c>
      <c r="BU16" s="1922"/>
      <c r="BV16" s="1888"/>
      <c r="BW16" s="1922">
        <f t="shared" si="24"/>
        <v>1080000</v>
      </c>
      <c r="BX16" s="1898">
        <f t="shared" si="25"/>
        <v>255108.72</v>
      </c>
    </row>
    <row r="17" spans="1:76" x14ac:dyDescent="0.25">
      <c r="A17" s="1686">
        <v>51012</v>
      </c>
      <c r="B17" s="1901" t="s">
        <v>55</v>
      </c>
      <c r="C17" s="1907">
        <v>375000</v>
      </c>
      <c r="D17" s="2373">
        <v>498537.6</v>
      </c>
      <c r="E17" s="1908">
        <f t="shared" si="0"/>
        <v>123537.59999999998</v>
      </c>
      <c r="F17" s="2374">
        <f t="shared" si="1"/>
        <v>32.943359999999998</v>
      </c>
      <c r="G17" s="1922"/>
      <c r="H17" s="1888"/>
      <c r="I17" s="1922">
        <v>375000</v>
      </c>
      <c r="J17" s="2404">
        <v>389288</v>
      </c>
      <c r="K17" s="1908">
        <f t="shared" si="2"/>
        <v>14288</v>
      </c>
      <c r="L17" s="2374">
        <f t="shared" si="3"/>
        <v>3.810133333333332</v>
      </c>
      <c r="M17" s="1922"/>
      <c r="N17" s="1888"/>
      <c r="O17" s="1907">
        <f t="shared" si="26"/>
        <v>375000</v>
      </c>
      <c r="P17" s="1908">
        <f>VLOOKUP(A17,'[2]bALANCETE ORÇAMENTO'!$1:$1048576,7,0)</f>
        <v>422488</v>
      </c>
      <c r="Q17" s="1908">
        <f t="shared" si="4"/>
        <v>47488</v>
      </c>
      <c r="R17" s="2374">
        <f t="shared" si="5"/>
        <v>12.663466666666668</v>
      </c>
      <c r="S17" s="1922"/>
      <c r="T17" s="1888"/>
      <c r="U17" s="1907">
        <f t="shared" si="27"/>
        <v>375000</v>
      </c>
      <c r="V17" s="1908"/>
      <c r="W17" s="1908">
        <f t="shared" si="6"/>
        <v>-375000</v>
      </c>
      <c r="X17" s="2374">
        <f t="shared" si="7"/>
        <v>-100</v>
      </c>
      <c r="Y17" s="1922"/>
      <c r="Z17" s="1888"/>
      <c r="AA17" s="1907">
        <f t="shared" si="28"/>
        <v>375000</v>
      </c>
      <c r="AB17" s="1908"/>
      <c r="AC17" s="1908">
        <f t="shared" si="8"/>
        <v>-375000</v>
      </c>
      <c r="AD17" s="2374">
        <f t="shared" si="9"/>
        <v>-100</v>
      </c>
      <c r="AE17" s="1922"/>
      <c r="AF17" s="1888"/>
      <c r="AG17" s="1907">
        <f t="shared" si="30"/>
        <v>375000</v>
      </c>
      <c r="AH17" s="1908"/>
      <c r="AI17" s="1908">
        <f t="shared" si="10"/>
        <v>-375000</v>
      </c>
      <c r="AJ17" s="2374">
        <f t="shared" si="11"/>
        <v>-100</v>
      </c>
      <c r="AK17" s="1922"/>
      <c r="AL17" s="1888"/>
      <c r="AM17" s="1907">
        <f t="shared" si="31"/>
        <v>375000</v>
      </c>
      <c r="AN17" s="1908"/>
      <c r="AO17" s="1908">
        <f t="shared" si="12"/>
        <v>-375000</v>
      </c>
      <c r="AP17" s="2374">
        <f t="shared" si="13"/>
        <v>-100</v>
      </c>
      <c r="AQ17" s="1922"/>
      <c r="AR17" s="1888"/>
      <c r="AS17" s="1907">
        <f t="shared" si="32"/>
        <v>375000</v>
      </c>
      <c r="AT17" s="1908"/>
      <c r="AU17" s="1908">
        <f t="shared" si="14"/>
        <v>-375000</v>
      </c>
      <c r="AV17" s="2374">
        <f t="shared" si="15"/>
        <v>-100</v>
      </c>
      <c r="AW17" s="1922"/>
      <c r="AX17" s="1888"/>
      <c r="AY17" s="1907">
        <f t="shared" si="33"/>
        <v>375000</v>
      </c>
      <c r="AZ17" s="1908"/>
      <c r="BA17" s="1908">
        <f t="shared" si="16"/>
        <v>-375000</v>
      </c>
      <c r="BB17" s="1910">
        <f t="shared" si="17"/>
        <v>-100</v>
      </c>
      <c r="BC17" s="1922"/>
      <c r="BD17" s="1888"/>
      <c r="BE17" s="1907">
        <f t="shared" si="34"/>
        <v>375000</v>
      </c>
      <c r="BF17" s="1908"/>
      <c r="BG17" s="1908">
        <f t="shared" si="18"/>
        <v>-375000</v>
      </c>
      <c r="BH17" s="1910">
        <f t="shared" si="19"/>
        <v>-100</v>
      </c>
      <c r="BI17" s="1922"/>
      <c r="BJ17" s="1888"/>
      <c r="BK17" s="1907">
        <f t="shared" si="29"/>
        <v>375000</v>
      </c>
      <c r="BL17" s="1908"/>
      <c r="BM17" s="1908">
        <f t="shared" si="20"/>
        <v>-375000</v>
      </c>
      <c r="BN17" s="1910">
        <f t="shared" si="21"/>
        <v>-100</v>
      </c>
      <c r="BO17" s="1922"/>
      <c r="BP17" s="1888"/>
      <c r="BQ17" s="1907">
        <f t="shared" si="35"/>
        <v>375000</v>
      </c>
      <c r="BR17" s="1908"/>
      <c r="BS17" s="1908">
        <f t="shared" si="22"/>
        <v>-375000</v>
      </c>
      <c r="BT17" s="2115">
        <f t="shared" si="23"/>
        <v>-100</v>
      </c>
      <c r="BU17" s="1922"/>
      <c r="BV17" s="1888"/>
      <c r="BW17" s="1922">
        <f t="shared" si="24"/>
        <v>4500000</v>
      </c>
      <c r="BX17" s="1898">
        <f t="shared" si="25"/>
        <v>1310313.6000000001</v>
      </c>
    </row>
    <row r="18" spans="1:76" x14ac:dyDescent="0.25">
      <c r="A18" s="1686">
        <v>51010</v>
      </c>
      <c r="B18" s="1901" t="s">
        <v>186</v>
      </c>
      <c r="C18" s="1907">
        <v>165000</v>
      </c>
      <c r="D18" s="2373">
        <v>191990</v>
      </c>
      <c r="E18" s="1908">
        <f t="shared" si="0"/>
        <v>26990</v>
      </c>
      <c r="F18" s="2374">
        <f t="shared" si="1"/>
        <v>16.357575757575749</v>
      </c>
      <c r="G18" s="1922"/>
      <c r="H18" s="1888"/>
      <c r="I18" s="1922">
        <v>165000</v>
      </c>
      <c r="J18" s="2404">
        <v>170062</v>
      </c>
      <c r="K18" s="1908">
        <f t="shared" si="2"/>
        <v>5062</v>
      </c>
      <c r="L18" s="2374">
        <f t="shared" si="3"/>
        <v>3.0678787878787972</v>
      </c>
      <c r="M18" s="1922"/>
      <c r="N18" s="1888"/>
      <c r="O18" s="1907">
        <f t="shared" si="26"/>
        <v>165000</v>
      </c>
      <c r="P18" s="1908">
        <f>VLOOKUP(A18,'[2]bALANCETE ORÇAMENTO'!$1:$1048576,7,0)</f>
        <v>194050</v>
      </c>
      <c r="Q18" s="1908">
        <f t="shared" si="4"/>
        <v>29050</v>
      </c>
      <c r="R18" s="2374">
        <f t="shared" si="5"/>
        <v>17.606060606060602</v>
      </c>
      <c r="S18" s="1922"/>
      <c r="T18" s="1888"/>
      <c r="U18" s="1907">
        <f t="shared" si="27"/>
        <v>165000</v>
      </c>
      <c r="V18" s="1908"/>
      <c r="W18" s="1908">
        <f t="shared" si="6"/>
        <v>-165000</v>
      </c>
      <c r="X18" s="2374">
        <f t="shared" si="7"/>
        <v>-100</v>
      </c>
      <c r="Y18" s="1922"/>
      <c r="Z18" s="1888"/>
      <c r="AA18" s="1907">
        <f t="shared" si="28"/>
        <v>165000</v>
      </c>
      <c r="AB18" s="1908"/>
      <c r="AC18" s="1908">
        <f t="shared" si="8"/>
        <v>-165000</v>
      </c>
      <c r="AD18" s="2374">
        <f t="shared" si="9"/>
        <v>-100</v>
      </c>
      <c r="AE18" s="1922"/>
      <c r="AF18" s="1888"/>
      <c r="AG18" s="1907">
        <f t="shared" si="30"/>
        <v>165000</v>
      </c>
      <c r="AH18" s="1908"/>
      <c r="AI18" s="1908">
        <f t="shared" si="10"/>
        <v>-165000</v>
      </c>
      <c r="AJ18" s="2374">
        <f t="shared" si="11"/>
        <v>-100</v>
      </c>
      <c r="AK18" s="1922"/>
      <c r="AL18" s="1888"/>
      <c r="AM18" s="1907">
        <f t="shared" si="31"/>
        <v>165000</v>
      </c>
      <c r="AN18" s="1908"/>
      <c r="AO18" s="1908">
        <f t="shared" si="12"/>
        <v>-165000</v>
      </c>
      <c r="AP18" s="2374">
        <f t="shared" si="13"/>
        <v>-100</v>
      </c>
      <c r="AQ18" s="1922"/>
      <c r="AR18" s="1888"/>
      <c r="AS18" s="1907">
        <f t="shared" si="32"/>
        <v>165000</v>
      </c>
      <c r="AT18" s="1908"/>
      <c r="AU18" s="1908">
        <f t="shared" si="14"/>
        <v>-165000</v>
      </c>
      <c r="AV18" s="2374">
        <f t="shared" si="15"/>
        <v>-100</v>
      </c>
      <c r="AW18" s="1922"/>
      <c r="AX18" s="1888"/>
      <c r="AY18" s="1907">
        <f t="shared" si="33"/>
        <v>165000</v>
      </c>
      <c r="AZ18" s="1908"/>
      <c r="BA18" s="1908">
        <f t="shared" si="16"/>
        <v>-165000</v>
      </c>
      <c r="BB18" s="1910">
        <f t="shared" si="17"/>
        <v>-100</v>
      </c>
      <c r="BC18" s="1922"/>
      <c r="BD18" s="1888"/>
      <c r="BE18" s="1907">
        <f t="shared" si="34"/>
        <v>165000</v>
      </c>
      <c r="BF18" s="1908"/>
      <c r="BG18" s="1908">
        <f t="shared" si="18"/>
        <v>-165000</v>
      </c>
      <c r="BH18" s="1910">
        <f t="shared" si="19"/>
        <v>-100</v>
      </c>
      <c r="BI18" s="1922"/>
      <c r="BJ18" s="1888"/>
      <c r="BK18" s="1907">
        <f t="shared" si="29"/>
        <v>165000</v>
      </c>
      <c r="BL18" s="1908"/>
      <c r="BM18" s="1908">
        <f t="shared" si="20"/>
        <v>-165000</v>
      </c>
      <c r="BN18" s="1910">
        <f t="shared" si="21"/>
        <v>-100</v>
      </c>
      <c r="BO18" s="1922"/>
      <c r="BP18" s="1888"/>
      <c r="BQ18" s="1907">
        <f t="shared" si="35"/>
        <v>165000</v>
      </c>
      <c r="BR18" s="1908"/>
      <c r="BS18" s="1908">
        <f t="shared" si="22"/>
        <v>-165000</v>
      </c>
      <c r="BT18" s="2115">
        <f t="shared" si="23"/>
        <v>-100</v>
      </c>
      <c r="BU18" s="1922"/>
      <c r="BV18" s="1888"/>
      <c r="BW18" s="1922">
        <f t="shared" si="24"/>
        <v>1980000</v>
      </c>
      <c r="BX18" s="1898">
        <f t="shared" si="25"/>
        <v>556102</v>
      </c>
    </row>
    <row r="19" spans="1:76" x14ac:dyDescent="0.25">
      <c r="A19" s="1686">
        <v>54957</v>
      </c>
      <c r="B19" s="1901" t="s">
        <v>3790</v>
      </c>
      <c r="C19" s="1907">
        <v>2500</v>
      </c>
      <c r="D19" s="2373">
        <v>6300.01</v>
      </c>
      <c r="E19" s="1908">
        <f t="shared" si="0"/>
        <v>3800.01</v>
      </c>
      <c r="F19" s="2374">
        <f t="shared" si="1"/>
        <v>152.00040000000001</v>
      </c>
      <c r="G19" s="1922"/>
      <c r="H19" s="1888"/>
      <c r="I19" s="1922">
        <v>2500</v>
      </c>
      <c r="J19" s="2404">
        <v>15900</v>
      </c>
      <c r="K19" s="1908">
        <f t="shared" si="2"/>
        <v>13400</v>
      </c>
      <c r="L19" s="2374">
        <f t="shared" si="3"/>
        <v>536</v>
      </c>
      <c r="M19" s="1922"/>
      <c r="N19" s="1888"/>
      <c r="O19" s="1907">
        <f t="shared" si="26"/>
        <v>2500</v>
      </c>
      <c r="P19" s="1908">
        <f>VLOOKUP(A19,'[2]bALANCETE ORÇAMENTO'!$1:$1048576,7,0)</f>
        <v>2000</v>
      </c>
      <c r="Q19" s="1908">
        <f t="shared" si="4"/>
        <v>-500</v>
      </c>
      <c r="R19" s="2374">
        <f t="shared" si="5"/>
        <v>-19.999999999999996</v>
      </c>
      <c r="S19" s="1922"/>
      <c r="T19" s="1888"/>
      <c r="U19" s="1907">
        <f t="shared" si="27"/>
        <v>2500</v>
      </c>
      <c r="V19" s="1908"/>
      <c r="W19" s="1908">
        <f t="shared" si="6"/>
        <v>-2500</v>
      </c>
      <c r="X19" s="2374">
        <f t="shared" si="7"/>
        <v>-100</v>
      </c>
      <c r="Y19" s="1922"/>
      <c r="Z19" s="1888"/>
      <c r="AA19" s="1907">
        <f t="shared" si="28"/>
        <v>2500</v>
      </c>
      <c r="AB19" s="1908"/>
      <c r="AC19" s="1908">
        <f t="shared" si="8"/>
        <v>-2500</v>
      </c>
      <c r="AD19" s="2374">
        <f t="shared" si="9"/>
        <v>-100</v>
      </c>
      <c r="AE19" s="1922"/>
      <c r="AF19" s="1888"/>
      <c r="AG19" s="1907">
        <f t="shared" si="30"/>
        <v>2500</v>
      </c>
      <c r="AH19" s="1908"/>
      <c r="AI19" s="1908">
        <f t="shared" si="10"/>
        <v>-2500</v>
      </c>
      <c r="AJ19" s="2374">
        <f t="shared" si="11"/>
        <v>-100</v>
      </c>
      <c r="AK19" s="1922"/>
      <c r="AL19" s="1888"/>
      <c r="AM19" s="1907">
        <f t="shared" si="31"/>
        <v>2500</v>
      </c>
      <c r="AN19" s="1908"/>
      <c r="AO19" s="1908">
        <f t="shared" si="12"/>
        <v>-2500</v>
      </c>
      <c r="AP19" s="2374">
        <f t="shared" si="13"/>
        <v>-100</v>
      </c>
      <c r="AQ19" s="1922"/>
      <c r="AR19" s="1888"/>
      <c r="AS19" s="1907">
        <f t="shared" si="32"/>
        <v>2500</v>
      </c>
      <c r="AT19" s="1908"/>
      <c r="AU19" s="1908">
        <f t="shared" si="14"/>
        <v>-2500</v>
      </c>
      <c r="AV19" s="2374">
        <f t="shared" si="15"/>
        <v>-100</v>
      </c>
      <c r="AW19" s="1922"/>
      <c r="AX19" s="1888"/>
      <c r="AY19" s="1907">
        <f t="shared" si="33"/>
        <v>2500</v>
      </c>
      <c r="AZ19" s="1908"/>
      <c r="BA19" s="1908">
        <f t="shared" si="16"/>
        <v>-2500</v>
      </c>
      <c r="BB19" s="1910">
        <f t="shared" si="17"/>
        <v>-100</v>
      </c>
      <c r="BC19" s="1922"/>
      <c r="BD19" s="1888"/>
      <c r="BE19" s="1907">
        <f t="shared" si="34"/>
        <v>2500</v>
      </c>
      <c r="BF19" s="1908"/>
      <c r="BG19" s="1908">
        <f t="shared" si="18"/>
        <v>-2500</v>
      </c>
      <c r="BH19" s="1910">
        <f t="shared" si="19"/>
        <v>-100</v>
      </c>
      <c r="BI19" s="1922"/>
      <c r="BJ19" s="1888"/>
      <c r="BK19" s="1907">
        <f t="shared" si="29"/>
        <v>2500</v>
      </c>
      <c r="BL19" s="1908"/>
      <c r="BM19" s="1908">
        <f t="shared" si="20"/>
        <v>-2500</v>
      </c>
      <c r="BN19" s="1910">
        <f t="shared" si="21"/>
        <v>-100</v>
      </c>
      <c r="BO19" s="1922"/>
      <c r="BP19" s="1888"/>
      <c r="BQ19" s="1907">
        <f t="shared" si="35"/>
        <v>2500</v>
      </c>
      <c r="BR19" s="1908"/>
      <c r="BS19" s="1908">
        <f t="shared" si="22"/>
        <v>-2500</v>
      </c>
      <c r="BT19" s="2115">
        <f t="shared" si="23"/>
        <v>-100</v>
      </c>
      <c r="BU19" s="1922"/>
      <c r="BV19" s="1888"/>
      <c r="BW19" s="1922">
        <f t="shared" si="24"/>
        <v>30000</v>
      </c>
      <c r="BX19" s="1898">
        <f t="shared" si="25"/>
        <v>24200.010000000002</v>
      </c>
    </row>
    <row r="20" spans="1:76" x14ac:dyDescent="0.25">
      <c r="A20" s="1686">
        <v>51011</v>
      </c>
      <c r="B20" s="1901" t="s">
        <v>187</v>
      </c>
      <c r="C20" s="1907">
        <v>295000</v>
      </c>
      <c r="D20" s="2373">
        <v>297230</v>
      </c>
      <c r="E20" s="1908">
        <f t="shared" si="0"/>
        <v>2230</v>
      </c>
      <c r="F20" s="2374">
        <f t="shared" si="1"/>
        <v>0.7559322033898308</v>
      </c>
      <c r="G20" s="1922"/>
      <c r="H20" s="1888"/>
      <c r="I20" s="1922">
        <v>295000</v>
      </c>
      <c r="J20" s="2405">
        <v>291294</v>
      </c>
      <c r="K20" s="1908">
        <f t="shared" si="2"/>
        <v>-3706</v>
      </c>
      <c r="L20" s="2374">
        <f t="shared" si="3"/>
        <v>-1.2562711864406828</v>
      </c>
      <c r="M20" s="1922"/>
      <c r="N20" s="1888"/>
      <c r="O20" s="1907">
        <f t="shared" si="26"/>
        <v>295000</v>
      </c>
      <c r="P20" s="1908">
        <f>VLOOKUP(A20,'[2]bALANCETE ORÇAMENTO'!$1:$1048576,7,0)</f>
        <v>321545</v>
      </c>
      <c r="Q20" s="1908">
        <f t="shared" si="4"/>
        <v>26545</v>
      </c>
      <c r="R20" s="2374">
        <f t="shared" si="5"/>
        <v>8.9983050847457733</v>
      </c>
      <c r="S20" s="1922"/>
      <c r="T20" s="1888"/>
      <c r="U20" s="1907">
        <f t="shared" si="27"/>
        <v>295000</v>
      </c>
      <c r="V20" s="1908"/>
      <c r="W20" s="1908">
        <f t="shared" si="6"/>
        <v>-295000</v>
      </c>
      <c r="X20" s="2374">
        <f t="shared" si="7"/>
        <v>-100</v>
      </c>
      <c r="Y20" s="1922"/>
      <c r="Z20" s="1888"/>
      <c r="AA20" s="1907">
        <f t="shared" si="28"/>
        <v>295000</v>
      </c>
      <c r="AB20" s="1908"/>
      <c r="AC20" s="1908">
        <f t="shared" si="8"/>
        <v>-295000</v>
      </c>
      <c r="AD20" s="2374">
        <f t="shared" si="9"/>
        <v>-100</v>
      </c>
      <c r="AE20" s="1922"/>
      <c r="AF20" s="1888"/>
      <c r="AG20" s="1907">
        <f t="shared" si="30"/>
        <v>295000</v>
      </c>
      <c r="AH20" s="1908"/>
      <c r="AI20" s="1908">
        <f t="shared" si="10"/>
        <v>-295000</v>
      </c>
      <c r="AJ20" s="2374">
        <f t="shared" si="11"/>
        <v>-100</v>
      </c>
      <c r="AK20" s="1922"/>
      <c r="AL20" s="1888"/>
      <c r="AM20" s="1907">
        <f t="shared" si="31"/>
        <v>295000</v>
      </c>
      <c r="AN20" s="1908"/>
      <c r="AO20" s="1908">
        <f t="shared" si="12"/>
        <v>-295000</v>
      </c>
      <c r="AP20" s="2374">
        <f t="shared" si="13"/>
        <v>-100</v>
      </c>
      <c r="AQ20" s="1922"/>
      <c r="AR20" s="1888"/>
      <c r="AS20" s="1907">
        <f t="shared" si="32"/>
        <v>295000</v>
      </c>
      <c r="AT20" s="1908"/>
      <c r="AU20" s="1908">
        <f t="shared" si="14"/>
        <v>-295000</v>
      </c>
      <c r="AV20" s="2374">
        <f t="shared" si="15"/>
        <v>-100</v>
      </c>
      <c r="AW20" s="1922"/>
      <c r="AX20" s="1888"/>
      <c r="AY20" s="1907">
        <f t="shared" si="33"/>
        <v>295000</v>
      </c>
      <c r="AZ20" s="1908"/>
      <c r="BA20" s="1908">
        <f t="shared" si="16"/>
        <v>-295000</v>
      </c>
      <c r="BB20" s="1910">
        <f t="shared" si="17"/>
        <v>-100</v>
      </c>
      <c r="BC20" s="1922"/>
      <c r="BD20" s="1888"/>
      <c r="BE20" s="1907">
        <f t="shared" si="34"/>
        <v>295000</v>
      </c>
      <c r="BF20" s="1908"/>
      <c r="BG20" s="1908">
        <f t="shared" si="18"/>
        <v>-295000</v>
      </c>
      <c r="BH20" s="1910">
        <f t="shared" si="19"/>
        <v>-100</v>
      </c>
      <c r="BI20" s="1922"/>
      <c r="BJ20" s="1888"/>
      <c r="BK20" s="1907">
        <f t="shared" si="29"/>
        <v>295000</v>
      </c>
      <c r="BL20" s="1908"/>
      <c r="BM20" s="1908">
        <f t="shared" si="20"/>
        <v>-295000</v>
      </c>
      <c r="BN20" s="1910">
        <f t="shared" si="21"/>
        <v>-100</v>
      </c>
      <c r="BO20" s="1922"/>
      <c r="BP20" s="1888"/>
      <c r="BQ20" s="1907">
        <f t="shared" si="35"/>
        <v>295000</v>
      </c>
      <c r="BR20" s="1908"/>
      <c r="BS20" s="1908">
        <f t="shared" si="22"/>
        <v>-295000</v>
      </c>
      <c r="BT20" s="2115">
        <f t="shared" si="23"/>
        <v>-100</v>
      </c>
      <c r="BU20" s="1922"/>
      <c r="BV20" s="1888"/>
      <c r="BW20" s="1922">
        <f t="shared" si="24"/>
        <v>3540000</v>
      </c>
      <c r="BX20" s="1898">
        <f t="shared" si="25"/>
        <v>910069</v>
      </c>
    </row>
    <row r="21" spans="1:76" x14ac:dyDescent="0.25">
      <c r="A21" s="1686">
        <v>12229</v>
      </c>
      <c r="B21" s="1901" t="s">
        <v>3783</v>
      </c>
      <c r="C21" s="1907">
        <v>310000</v>
      </c>
      <c r="D21" s="2373">
        <v>427487.82</v>
      </c>
      <c r="E21" s="1908">
        <f t="shared" si="0"/>
        <v>117487.82</v>
      </c>
      <c r="F21" s="2374">
        <f t="shared" si="1"/>
        <v>37.899296774193544</v>
      </c>
      <c r="G21" s="1922"/>
      <c r="H21" s="1888"/>
      <c r="I21" s="1922">
        <v>310000</v>
      </c>
      <c r="J21" s="2403">
        <v>392812.23</v>
      </c>
      <c r="K21" s="1908">
        <f t="shared" si="2"/>
        <v>82812.229999999981</v>
      </c>
      <c r="L21" s="2374">
        <f t="shared" si="3"/>
        <v>26.713622580645158</v>
      </c>
      <c r="M21" s="1922"/>
      <c r="N21" s="1888"/>
      <c r="O21" s="1907">
        <f t="shared" si="26"/>
        <v>310000</v>
      </c>
      <c r="P21" s="1908">
        <f>VLOOKUP(A21,'[2]bALANCETE ORÇAMENTO'!$1:$1048576,7,0)</f>
        <v>420901.42</v>
      </c>
      <c r="Q21" s="1908">
        <f t="shared" si="4"/>
        <v>110901.41999999998</v>
      </c>
      <c r="R21" s="2374">
        <f t="shared" si="5"/>
        <v>35.774651612903227</v>
      </c>
      <c r="S21" s="1922"/>
      <c r="T21" s="1888"/>
      <c r="U21" s="1907">
        <f t="shared" si="27"/>
        <v>310000</v>
      </c>
      <c r="V21" s="1908"/>
      <c r="W21" s="1908">
        <f t="shared" si="6"/>
        <v>-310000</v>
      </c>
      <c r="X21" s="2374">
        <f t="shared" si="7"/>
        <v>-100</v>
      </c>
      <c r="Y21" s="1922"/>
      <c r="Z21" s="1888"/>
      <c r="AA21" s="1907">
        <f t="shared" si="28"/>
        <v>310000</v>
      </c>
      <c r="AB21" s="1908"/>
      <c r="AC21" s="1908">
        <f t="shared" si="8"/>
        <v>-310000</v>
      </c>
      <c r="AD21" s="2374">
        <f t="shared" si="9"/>
        <v>-100</v>
      </c>
      <c r="AE21" s="1922"/>
      <c r="AF21" s="1888"/>
      <c r="AG21" s="1907">
        <f t="shared" si="30"/>
        <v>310000</v>
      </c>
      <c r="AH21" s="1908"/>
      <c r="AI21" s="1908">
        <f t="shared" si="10"/>
        <v>-310000</v>
      </c>
      <c r="AJ21" s="2374">
        <f t="shared" si="11"/>
        <v>-100</v>
      </c>
      <c r="AK21" s="1922"/>
      <c r="AL21" s="1888"/>
      <c r="AM21" s="1907">
        <f t="shared" si="31"/>
        <v>310000</v>
      </c>
      <c r="AN21" s="1908"/>
      <c r="AO21" s="1908">
        <f t="shared" si="12"/>
        <v>-310000</v>
      </c>
      <c r="AP21" s="2374">
        <f t="shared" si="13"/>
        <v>-100</v>
      </c>
      <c r="AQ21" s="1922"/>
      <c r="AR21" s="1888"/>
      <c r="AS21" s="1907">
        <f t="shared" si="32"/>
        <v>310000</v>
      </c>
      <c r="AT21" s="1908"/>
      <c r="AU21" s="1908">
        <f t="shared" si="14"/>
        <v>-310000</v>
      </c>
      <c r="AV21" s="2374">
        <f t="shared" si="15"/>
        <v>-100</v>
      </c>
      <c r="AW21" s="1922"/>
      <c r="AX21" s="1888"/>
      <c r="AY21" s="1907">
        <f t="shared" si="33"/>
        <v>310000</v>
      </c>
      <c r="AZ21" s="1908"/>
      <c r="BA21" s="1908">
        <f t="shared" si="16"/>
        <v>-310000</v>
      </c>
      <c r="BB21" s="1910">
        <f t="shared" si="17"/>
        <v>-100</v>
      </c>
      <c r="BC21" s="1922"/>
      <c r="BD21" s="1888"/>
      <c r="BE21" s="1907">
        <f t="shared" si="34"/>
        <v>310000</v>
      </c>
      <c r="BF21" s="1908"/>
      <c r="BG21" s="1908">
        <f t="shared" si="18"/>
        <v>-310000</v>
      </c>
      <c r="BH21" s="1910">
        <f t="shared" si="19"/>
        <v>-100</v>
      </c>
      <c r="BI21" s="1922"/>
      <c r="BJ21" s="1888"/>
      <c r="BK21" s="1907">
        <f t="shared" si="29"/>
        <v>310000</v>
      </c>
      <c r="BL21" s="1908"/>
      <c r="BM21" s="1908">
        <f t="shared" si="20"/>
        <v>-310000</v>
      </c>
      <c r="BN21" s="1910">
        <f t="shared" si="21"/>
        <v>-100</v>
      </c>
      <c r="BO21" s="1922"/>
      <c r="BP21" s="1888"/>
      <c r="BQ21" s="1907">
        <f t="shared" si="35"/>
        <v>310000</v>
      </c>
      <c r="BR21" s="1908"/>
      <c r="BS21" s="1908">
        <f t="shared" si="22"/>
        <v>-310000</v>
      </c>
      <c r="BT21" s="2115">
        <f t="shared" si="23"/>
        <v>-100</v>
      </c>
      <c r="BU21" s="1922"/>
      <c r="BV21" s="1888"/>
      <c r="BW21" s="1922">
        <f t="shared" si="24"/>
        <v>3720000</v>
      </c>
      <c r="BX21" s="1898">
        <f t="shared" si="25"/>
        <v>1241201.47</v>
      </c>
    </row>
    <row r="22" spans="1:76" x14ac:dyDescent="0.25">
      <c r="A22" s="1686">
        <v>12202</v>
      </c>
      <c r="B22" s="1901" t="s">
        <v>3785</v>
      </c>
      <c r="C22" s="1907">
        <v>110000</v>
      </c>
      <c r="D22" s="2373">
        <v>116815.16</v>
      </c>
      <c r="E22" s="1908">
        <f t="shared" si="0"/>
        <v>6815.1600000000035</v>
      </c>
      <c r="F22" s="2374">
        <f t="shared" si="1"/>
        <v>6.1956000000000122</v>
      </c>
      <c r="G22" s="1922"/>
      <c r="H22" s="1888"/>
      <c r="I22" s="1922">
        <v>110000</v>
      </c>
      <c r="J22" s="2403">
        <v>104159.2</v>
      </c>
      <c r="K22" s="1908">
        <f t="shared" si="2"/>
        <v>-5840.8000000000029</v>
      </c>
      <c r="L22" s="2374">
        <f t="shared" si="3"/>
        <v>-5.3098181818181818</v>
      </c>
      <c r="M22" s="1922"/>
      <c r="N22" s="1888"/>
      <c r="O22" s="1907">
        <f t="shared" si="26"/>
        <v>110000</v>
      </c>
      <c r="P22" s="1908">
        <f>VLOOKUP(A22,'[2]bALANCETE ORÇAMENTO'!$1:$1048576,7,0)</f>
        <v>117440</v>
      </c>
      <c r="Q22" s="1908">
        <f t="shared" si="4"/>
        <v>7440</v>
      </c>
      <c r="R22" s="2374">
        <f t="shared" si="5"/>
        <v>6.7636363636363717</v>
      </c>
      <c r="S22" s="1922"/>
      <c r="T22" s="1888"/>
      <c r="U22" s="1907">
        <f t="shared" si="27"/>
        <v>110000</v>
      </c>
      <c r="V22" s="1908"/>
      <c r="W22" s="1908">
        <f t="shared" si="6"/>
        <v>-110000</v>
      </c>
      <c r="X22" s="2374">
        <f t="shared" si="7"/>
        <v>-100</v>
      </c>
      <c r="Y22" s="1922"/>
      <c r="Z22" s="1888"/>
      <c r="AA22" s="1907">
        <f t="shared" si="28"/>
        <v>110000</v>
      </c>
      <c r="AB22" s="1908"/>
      <c r="AC22" s="1908">
        <f t="shared" si="8"/>
        <v>-110000</v>
      </c>
      <c r="AD22" s="2374">
        <f t="shared" si="9"/>
        <v>-100</v>
      </c>
      <c r="AE22" s="1922"/>
      <c r="AF22" s="1888"/>
      <c r="AG22" s="1907">
        <f t="shared" si="30"/>
        <v>110000</v>
      </c>
      <c r="AH22" s="1908"/>
      <c r="AI22" s="1908">
        <f t="shared" si="10"/>
        <v>-110000</v>
      </c>
      <c r="AJ22" s="2374">
        <f t="shared" si="11"/>
        <v>-100</v>
      </c>
      <c r="AK22" s="1922"/>
      <c r="AL22" s="1888"/>
      <c r="AM22" s="1907">
        <f t="shared" si="31"/>
        <v>110000</v>
      </c>
      <c r="AN22" s="1908"/>
      <c r="AO22" s="1908">
        <f t="shared" si="12"/>
        <v>-110000</v>
      </c>
      <c r="AP22" s="2374">
        <f t="shared" si="13"/>
        <v>-100</v>
      </c>
      <c r="AQ22" s="1922"/>
      <c r="AR22" s="1888"/>
      <c r="AS22" s="1907">
        <f t="shared" si="32"/>
        <v>110000</v>
      </c>
      <c r="AT22" s="1908"/>
      <c r="AU22" s="1908">
        <f t="shared" si="14"/>
        <v>-110000</v>
      </c>
      <c r="AV22" s="2374">
        <f t="shared" si="15"/>
        <v>-100</v>
      </c>
      <c r="AW22" s="1922"/>
      <c r="AX22" s="1888"/>
      <c r="AY22" s="1907">
        <f t="shared" si="33"/>
        <v>110000</v>
      </c>
      <c r="AZ22" s="1908"/>
      <c r="BA22" s="1908">
        <f t="shared" si="16"/>
        <v>-110000</v>
      </c>
      <c r="BB22" s="1910">
        <f t="shared" si="17"/>
        <v>-100</v>
      </c>
      <c r="BC22" s="1922"/>
      <c r="BD22" s="1888"/>
      <c r="BE22" s="1907">
        <f t="shared" si="34"/>
        <v>110000</v>
      </c>
      <c r="BF22" s="1908"/>
      <c r="BG22" s="1908">
        <f t="shared" si="18"/>
        <v>-110000</v>
      </c>
      <c r="BH22" s="1910">
        <f t="shared" si="19"/>
        <v>-100</v>
      </c>
      <c r="BI22" s="1922"/>
      <c r="BJ22" s="1888"/>
      <c r="BK22" s="1907">
        <f t="shared" si="29"/>
        <v>110000</v>
      </c>
      <c r="BL22" s="1908"/>
      <c r="BM22" s="1908">
        <f t="shared" si="20"/>
        <v>-110000</v>
      </c>
      <c r="BN22" s="1910">
        <f t="shared" si="21"/>
        <v>-100</v>
      </c>
      <c r="BO22" s="1922"/>
      <c r="BP22" s="1888"/>
      <c r="BQ22" s="1907">
        <f t="shared" si="35"/>
        <v>110000</v>
      </c>
      <c r="BR22" s="1908"/>
      <c r="BS22" s="1908">
        <f t="shared" si="22"/>
        <v>-110000</v>
      </c>
      <c r="BT22" s="2115">
        <f t="shared" si="23"/>
        <v>-100</v>
      </c>
      <c r="BU22" s="1922"/>
      <c r="BV22" s="1888"/>
      <c r="BW22" s="1922">
        <f t="shared" si="24"/>
        <v>1320000</v>
      </c>
      <c r="BX22" s="1898">
        <f t="shared" si="25"/>
        <v>338414.36</v>
      </c>
    </row>
    <row r="23" spans="1:76" x14ac:dyDescent="0.25">
      <c r="A23" s="1686">
        <v>52563</v>
      </c>
      <c r="B23" s="1901" t="s">
        <v>60</v>
      </c>
      <c r="C23" s="1907">
        <v>20000</v>
      </c>
      <c r="D23" s="2373">
        <v>18126</v>
      </c>
      <c r="E23" s="1908">
        <f t="shared" si="0"/>
        <v>-1874</v>
      </c>
      <c r="F23" s="2374">
        <f t="shared" si="1"/>
        <v>-9.370000000000001</v>
      </c>
      <c r="G23" s="1922"/>
      <c r="H23" s="1888"/>
      <c r="I23" s="1922">
        <v>20000</v>
      </c>
      <c r="J23" s="2403">
        <v>17686</v>
      </c>
      <c r="K23" s="1908">
        <f t="shared" si="2"/>
        <v>-2314</v>
      </c>
      <c r="L23" s="2374">
        <f t="shared" si="3"/>
        <v>-11.570000000000002</v>
      </c>
      <c r="M23" s="1922"/>
      <c r="N23" s="1888"/>
      <c r="O23" s="1907">
        <f t="shared" si="26"/>
        <v>20000</v>
      </c>
      <c r="P23" s="1908">
        <f>VLOOKUP(A23,'[2]bALANCETE ORÇAMENTO'!$1:$1048576,7,0)</f>
        <v>18086</v>
      </c>
      <c r="Q23" s="1908">
        <f t="shared" si="4"/>
        <v>-1914</v>
      </c>
      <c r="R23" s="2374">
        <f t="shared" si="5"/>
        <v>-9.57</v>
      </c>
      <c r="S23" s="1922"/>
      <c r="T23" s="1888"/>
      <c r="U23" s="1907">
        <f t="shared" si="27"/>
        <v>20000</v>
      </c>
      <c r="V23" s="1908"/>
      <c r="W23" s="1908">
        <f t="shared" si="6"/>
        <v>-20000</v>
      </c>
      <c r="X23" s="2374">
        <f t="shared" si="7"/>
        <v>-100</v>
      </c>
      <c r="Y23" s="1922"/>
      <c r="Z23" s="1888"/>
      <c r="AA23" s="1907">
        <f t="shared" si="28"/>
        <v>20000</v>
      </c>
      <c r="AB23" s="1908"/>
      <c r="AC23" s="1908">
        <f t="shared" si="8"/>
        <v>-20000</v>
      </c>
      <c r="AD23" s="2374">
        <f t="shared" si="9"/>
        <v>-100</v>
      </c>
      <c r="AE23" s="1922"/>
      <c r="AF23" s="1888"/>
      <c r="AG23" s="1907">
        <f t="shared" si="30"/>
        <v>20000</v>
      </c>
      <c r="AH23" s="1908"/>
      <c r="AI23" s="1908">
        <f t="shared" si="10"/>
        <v>-20000</v>
      </c>
      <c r="AJ23" s="2374">
        <f t="shared" si="11"/>
        <v>-100</v>
      </c>
      <c r="AK23" s="1922"/>
      <c r="AL23" s="1888"/>
      <c r="AM23" s="1907">
        <f t="shared" si="31"/>
        <v>20000</v>
      </c>
      <c r="AN23" s="1908"/>
      <c r="AO23" s="1908">
        <f t="shared" si="12"/>
        <v>-20000</v>
      </c>
      <c r="AP23" s="2374">
        <f t="shared" si="13"/>
        <v>-100</v>
      </c>
      <c r="AQ23" s="1922"/>
      <c r="AR23" s="1888"/>
      <c r="AS23" s="1907">
        <f t="shared" si="32"/>
        <v>20000</v>
      </c>
      <c r="AT23" s="1908"/>
      <c r="AU23" s="1908">
        <f t="shared" si="14"/>
        <v>-20000</v>
      </c>
      <c r="AV23" s="2374">
        <f t="shared" si="15"/>
        <v>-100</v>
      </c>
      <c r="AW23" s="1922"/>
      <c r="AX23" s="1888"/>
      <c r="AY23" s="1907">
        <f t="shared" si="33"/>
        <v>20000</v>
      </c>
      <c r="AZ23" s="1908"/>
      <c r="BA23" s="1908">
        <f t="shared" si="16"/>
        <v>-20000</v>
      </c>
      <c r="BB23" s="1910">
        <f t="shared" si="17"/>
        <v>-100</v>
      </c>
      <c r="BC23" s="1922"/>
      <c r="BD23" s="1888"/>
      <c r="BE23" s="1907">
        <f t="shared" si="34"/>
        <v>20000</v>
      </c>
      <c r="BF23" s="1908"/>
      <c r="BG23" s="1908">
        <f t="shared" si="18"/>
        <v>-20000</v>
      </c>
      <c r="BH23" s="1910">
        <f t="shared" si="19"/>
        <v>-100</v>
      </c>
      <c r="BI23" s="1922"/>
      <c r="BJ23" s="1888"/>
      <c r="BK23" s="1907">
        <f t="shared" si="29"/>
        <v>20000</v>
      </c>
      <c r="BL23" s="1908"/>
      <c r="BM23" s="1908">
        <f t="shared" si="20"/>
        <v>-20000</v>
      </c>
      <c r="BN23" s="1910">
        <f t="shared" si="21"/>
        <v>-100</v>
      </c>
      <c r="BO23" s="1922"/>
      <c r="BP23" s="1888"/>
      <c r="BQ23" s="1907">
        <f t="shared" si="35"/>
        <v>20000</v>
      </c>
      <c r="BR23" s="1908"/>
      <c r="BS23" s="1908">
        <f t="shared" si="22"/>
        <v>-20000</v>
      </c>
      <c r="BT23" s="2115">
        <f t="shared" si="23"/>
        <v>-100</v>
      </c>
      <c r="BU23" s="1922"/>
      <c r="BV23" s="1888"/>
      <c r="BW23" s="1922">
        <f t="shared" si="24"/>
        <v>240000</v>
      </c>
      <c r="BX23" s="1898">
        <f t="shared" si="25"/>
        <v>53898</v>
      </c>
    </row>
    <row r="24" spans="1:76" ht="15.75" thickBot="1" x14ac:dyDescent="0.3">
      <c r="A24" s="2377">
        <v>51819</v>
      </c>
      <c r="B24" s="2378" t="s">
        <v>189</v>
      </c>
      <c r="C24" s="1911">
        <v>700</v>
      </c>
      <c r="D24" s="2379">
        <v>343.03</v>
      </c>
      <c r="E24" s="1912">
        <f t="shared" si="0"/>
        <v>-356.97</v>
      </c>
      <c r="F24" s="1913">
        <f t="shared" si="1"/>
        <v>-50.995714285714286</v>
      </c>
      <c r="G24" s="1923"/>
      <c r="H24" s="1888"/>
      <c r="I24" s="1923">
        <v>700</v>
      </c>
      <c r="J24" s="2406">
        <v>280.2</v>
      </c>
      <c r="K24" s="1912">
        <f t="shared" si="2"/>
        <v>-419.8</v>
      </c>
      <c r="L24" s="1913">
        <f t="shared" si="3"/>
        <v>-59.971428571428575</v>
      </c>
      <c r="M24" s="1923"/>
      <c r="N24" s="1888"/>
      <c r="O24" s="1911">
        <f t="shared" si="26"/>
        <v>700</v>
      </c>
      <c r="P24" s="1912">
        <f>VLOOKUP(A24,'[2]bALANCETE ORÇAMENTO'!$1:$1048576,7,0)</f>
        <v>268.8</v>
      </c>
      <c r="Q24" s="1912">
        <f t="shared" si="4"/>
        <v>-431.2</v>
      </c>
      <c r="R24" s="1913">
        <f t="shared" si="5"/>
        <v>-61.6</v>
      </c>
      <c r="S24" s="1923"/>
      <c r="T24" s="1888"/>
      <c r="U24" s="1911">
        <f t="shared" si="27"/>
        <v>700</v>
      </c>
      <c r="V24" s="1912"/>
      <c r="W24" s="1912">
        <f t="shared" si="6"/>
        <v>-700</v>
      </c>
      <c r="X24" s="1913">
        <f t="shared" si="7"/>
        <v>-100</v>
      </c>
      <c r="Y24" s="1923"/>
      <c r="Z24" s="1888"/>
      <c r="AA24" s="1911">
        <f t="shared" si="28"/>
        <v>700</v>
      </c>
      <c r="AB24" s="1912"/>
      <c r="AC24" s="1912">
        <f t="shared" si="8"/>
        <v>-700</v>
      </c>
      <c r="AD24" s="1913">
        <f t="shared" si="9"/>
        <v>-100</v>
      </c>
      <c r="AE24" s="1923"/>
      <c r="AF24" s="1888"/>
      <c r="AG24" s="1911">
        <f t="shared" si="30"/>
        <v>700</v>
      </c>
      <c r="AH24" s="1912"/>
      <c r="AI24" s="1912">
        <f t="shared" si="10"/>
        <v>-700</v>
      </c>
      <c r="AJ24" s="1913">
        <f t="shared" si="11"/>
        <v>-100</v>
      </c>
      <c r="AK24" s="1923"/>
      <c r="AL24" s="1888"/>
      <c r="AM24" s="1911">
        <f t="shared" si="31"/>
        <v>700</v>
      </c>
      <c r="AN24" s="1912"/>
      <c r="AO24" s="1912">
        <f t="shared" si="12"/>
        <v>-700</v>
      </c>
      <c r="AP24" s="1913">
        <f t="shared" si="13"/>
        <v>-100</v>
      </c>
      <c r="AQ24" s="1923"/>
      <c r="AR24" s="1888"/>
      <c r="AS24" s="1911">
        <f t="shared" si="32"/>
        <v>700</v>
      </c>
      <c r="AT24" s="1912"/>
      <c r="AU24" s="1912">
        <f t="shared" si="14"/>
        <v>-700</v>
      </c>
      <c r="AV24" s="1913">
        <f t="shared" si="15"/>
        <v>-100</v>
      </c>
      <c r="AW24" s="1923"/>
      <c r="AX24" s="1888"/>
      <c r="AY24" s="1911">
        <f t="shared" si="33"/>
        <v>700</v>
      </c>
      <c r="AZ24" s="1912"/>
      <c r="BA24" s="1912">
        <f t="shared" si="16"/>
        <v>-700</v>
      </c>
      <c r="BB24" s="1914">
        <f t="shared" si="17"/>
        <v>-100</v>
      </c>
      <c r="BC24" s="1923"/>
      <c r="BD24" s="1888"/>
      <c r="BE24" s="1911">
        <f t="shared" si="34"/>
        <v>700</v>
      </c>
      <c r="BF24" s="1912"/>
      <c r="BG24" s="1912">
        <f t="shared" si="18"/>
        <v>-700</v>
      </c>
      <c r="BH24" s="1914">
        <f t="shared" si="19"/>
        <v>-100</v>
      </c>
      <c r="BI24" s="1923"/>
      <c r="BJ24" s="1888"/>
      <c r="BK24" s="1911">
        <f t="shared" si="29"/>
        <v>700</v>
      </c>
      <c r="BL24" s="1912"/>
      <c r="BM24" s="1912">
        <f t="shared" si="20"/>
        <v>-700</v>
      </c>
      <c r="BN24" s="1914">
        <f t="shared" si="21"/>
        <v>-100</v>
      </c>
      <c r="BO24" s="1923"/>
      <c r="BP24" s="1888"/>
      <c r="BQ24" s="1911">
        <f t="shared" si="35"/>
        <v>700</v>
      </c>
      <c r="BR24" s="1912"/>
      <c r="BS24" s="1912">
        <f t="shared" si="22"/>
        <v>-700</v>
      </c>
      <c r="BT24" s="2380">
        <f t="shared" si="23"/>
        <v>-100</v>
      </c>
      <c r="BU24" s="1923"/>
      <c r="BV24" s="1888"/>
      <c r="BW24" s="1923">
        <f t="shared" si="24"/>
        <v>8400</v>
      </c>
      <c r="BX24" s="1741">
        <f t="shared" si="25"/>
        <v>892.03</v>
      </c>
    </row>
    <row r="25" spans="1:76" x14ac:dyDescent="0.25">
      <c r="A25" s="1685">
        <v>12222</v>
      </c>
      <c r="B25" s="1890" t="s">
        <v>50</v>
      </c>
      <c r="C25" s="2870">
        <v>3200</v>
      </c>
      <c r="D25" s="2381">
        <v>5085.51</v>
      </c>
      <c r="E25" s="2872">
        <f>D25-C25+D26</f>
        <v>2285.5100000000002</v>
      </c>
      <c r="F25" s="2868">
        <f>((D25:D26/C25)-1)*100</f>
        <v>58.9221875</v>
      </c>
      <c r="G25" s="1956"/>
      <c r="H25" s="2401"/>
      <c r="I25" s="2870">
        <v>3200</v>
      </c>
      <c r="J25" s="2381">
        <v>1643.9</v>
      </c>
      <c r="K25" s="2872">
        <f>J25-I25+J26</f>
        <v>-1556.1</v>
      </c>
      <c r="L25" s="2868">
        <f>((J25:J26/I25)-1)*100</f>
        <v>-48.628124999999997</v>
      </c>
      <c r="M25" s="1956"/>
      <c r="N25" s="2401"/>
      <c r="O25" s="2870">
        <f t="shared" si="26"/>
        <v>3200</v>
      </c>
      <c r="P25" s="2381">
        <f>VLOOKUP(A25,'[2]bALANCETE ORÇAMENTO'!$1:$1048576,7,0)</f>
        <v>0</v>
      </c>
      <c r="Q25" s="2872">
        <f>P25-O25+P26</f>
        <v>-3200</v>
      </c>
      <c r="R25" s="2868">
        <f>((P25:P26/O25)-1)*100</f>
        <v>-100</v>
      </c>
      <c r="S25" s="1956"/>
      <c r="T25" s="2401"/>
      <c r="U25" s="2870">
        <f t="shared" si="27"/>
        <v>3200</v>
      </c>
      <c r="V25" s="2381"/>
      <c r="W25" s="2872">
        <f>V25-U25+V26</f>
        <v>-3200</v>
      </c>
      <c r="X25" s="2868">
        <f>((V25:V26/U25)-1)*100</f>
        <v>-100</v>
      </c>
      <c r="Y25" s="1956"/>
      <c r="Z25" s="2401"/>
      <c r="AA25" s="2870">
        <f t="shared" si="28"/>
        <v>3200</v>
      </c>
      <c r="AB25" s="2381"/>
      <c r="AC25" s="2872">
        <f>AB25-AA25+AB26</f>
        <v>-3200</v>
      </c>
      <c r="AD25" s="2868">
        <f>((AB25:AB26/AA25)-1)*100</f>
        <v>-100</v>
      </c>
      <c r="AE25" s="1956"/>
      <c r="AF25" s="2401"/>
      <c r="AG25" s="2870">
        <f t="shared" si="30"/>
        <v>3200</v>
      </c>
      <c r="AH25" s="2381"/>
      <c r="AI25" s="2872">
        <f>AH25-AG25+AH26</f>
        <v>-3200</v>
      </c>
      <c r="AJ25" s="2874">
        <f>((AH25:AH26/AG25)-1)*100</f>
        <v>-100</v>
      </c>
      <c r="AK25" s="1956"/>
      <c r="AL25" s="2401"/>
      <c r="AM25" s="2870">
        <f t="shared" si="31"/>
        <v>3200</v>
      </c>
      <c r="AN25" s="2381"/>
      <c r="AO25" s="2872">
        <f>AN25-AM25+AN26</f>
        <v>-3200</v>
      </c>
      <c r="AP25" s="2874">
        <f>((AN25:AN26/AM25)-1)*100</f>
        <v>-100</v>
      </c>
      <c r="AQ25" s="1956"/>
      <c r="AR25" s="2401"/>
      <c r="AS25" s="2870">
        <f t="shared" si="32"/>
        <v>3200</v>
      </c>
      <c r="AT25" s="2381"/>
      <c r="AU25" s="2872">
        <f>AT25-AS25+AT26</f>
        <v>-3200</v>
      </c>
      <c r="AV25" s="2868">
        <f>((AT25:AT26/AS25)-1)*100</f>
        <v>-100</v>
      </c>
      <c r="AW25" s="1956"/>
      <c r="AX25" s="2401"/>
      <c r="AY25" s="2870">
        <f t="shared" si="33"/>
        <v>3200</v>
      </c>
      <c r="AZ25" s="2381"/>
      <c r="BA25" s="2872">
        <f>AZ25-AY25+AZ26</f>
        <v>-3200</v>
      </c>
      <c r="BB25" s="2868">
        <f>((AZ25:AZ26/AY25)-1)*100</f>
        <v>-100</v>
      </c>
      <c r="BC25" s="1956"/>
      <c r="BD25" s="2401"/>
      <c r="BE25" s="2870">
        <f t="shared" si="34"/>
        <v>3200</v>
      </c>
      <c r="BF25" s="2381"/>
      <c r="BG25" s="2872">
        <f>BF25-BE25+BF26</f>
        <v>-3200</v>
      </c>
      <c r="BH25" s="2868">
        <f>((BF25:BF26/BE25)-1)*100</f>
        <v>-100</v>
      </c>
      <c r="BI25" s="1956"/>
      <c r="BJ25" s="2401"/>
      <c r="BK25" s="2870">
        <f t="shared" si="29"/>
        <v>3200</v>
      </c>
      <c r="BL25" s="2381"/>
      <c r="BM25" s="2872">
        <f>BL25-BK25+BL26</f>
        <v>-3200</v>
      </c>
      <c r="BN25" s="2868">
        <f>((BL25:BL26/BK25)-1)*100</f>
        <v>-100</v>
      </c>
      <c r="BO25" s="1956"/>
      <c r="BP25" s="2401"/>
      <c r="BQ25" s="2870">
        <f t="shared" si="35"/>
        <v>3200</v>
      </c>
      <c r="BR25" s="2381"/>
      <c r="BS25" s="2872">
        <f>BR25-BQ25+BR26</f>
        <v>-3200</v>
      </c>
      <c r="BT25" s="2868">
        <f>((BR25:BR26/BQ25)-1)*100</f>
        <v>-100</v>
      </c>
      <c r="BU25" s="1956"/>
      <c r="BV25" s="2401"/>
      <c r="BW25" s="2870">
        <f t="shared" si="24"/>
        <v>38400</v>
      </c>
      <c r="BX25" s="1737">
        <f t="shared" si="25"/>
        <v>6729.41</v>
      </c>
    </row>
    <row r="26" spans="1:76" ht="15.75" thickBot="1" x14ac:dyDescent="0.3">
      <c r="A26" s="1687">
        <v>33765</v>
      </c>
      <c r="B26" s="1915" t="s">
        <v>3867</v>
      </c>
      <c r="C26" s="2871"/>
      <c r="D26" s="2382">
        <v>400</v>
      </c>
      <c r="E26" s="2873"/>
      <c r="F26" s="2869"/>
      <c r="G26" s="1957"/>
      <c r="H26" s="2401"/>
      <c r="I26" s="2871"/>
      <c r="J26" s="2382">
        <v>0</v>
      </c>
      <c r="K26" s="2873"/>
      <c r="L26" s="2869"/>
      <c r="M26" s="1957"/>
      <c r="N26" s="2401"/>
      <c r="O26" s="2871"/>
      <c r="P26" s="2382">
        <f>VLOOKUP(A26,'[2]bALANCETE ORÇAMENTO'!$1:$1048576,7,0)</f>
        <v>0</v>
      </c>
      <c r="Q26" s="2873"/>
      <c r="R26" s="2869"/>
      <c r="S26" s="1957"/>
      <c r="T26" s="2401"/>
      <c r="U26" s="2871"/>
      <c r="V26" s="2382"/>
      <c r="W26" s="2873"/>
      <c r="X26" s="2869"/>
      <c r="Y26" s="1957"/>
      <c r="Z26" s="2401"/>
      <c r="AA26" s="2871"/>
      <c r="AB26" s="2382"/>
      <c r="AC26" s="2873"/>
      <c r="AD26" s="2869"/>
      <c r="AE26" s="1957"/>
      <c r="AF26" s="2401"/>
      <c r="AG26" s="2871"/>
      <c r="AH26" s="2382"/>
      <c r="AI26" s="2873"/>
      <c r="AJ26" s="2875"/>
      <c r="AK26" s="1957"/>
      <c r="AL26" s="2401"/>
      <c r="AM26" s="2871"/>
      <c r="AN26" s="2382"/>
      <c r="AO26" s="2873"/>
      <c r="AP26" s="2875"/>
      <c r="AQ26" s="1957"/>
      <c r="AR26" s="2401"/>
      <c r="AS26" s="2871"/>
      <c r="AT26" s="2382"/>
      <c r="AU26" s="2873"/>
      <c r="AV26" s="2869"/>
      <c r="AW26" s="1957"/>
      <c r="AX26" s="2401"/>
      <c r="AY26" s="2871"/>
      <c r="AZ26" s="2382"/>
      <c r="BA26" s="2873"/>
      <c r="BB26" s="2869"/>
      <c r="BC26" s="1957"/>
      <c r="BD26" s="2401"/>
      <c r="BE26" s="2871"/>
      <c r="BF26" s="2382"/>
      <c r="BG26" s="2873"/>
      <c r="BH26" s="2869"/>
      <c r="BI26" s="1957"/>
      <c r="BJ26" s="2401"/>
      <c r="BK26" s="2871"/>
      <c r="BL26" s="2382"/>
      <c r="BM26" s="2873"/>
      <c r="BN26" s="2869"/>
      <c r="BO26" s="1957"/>
      <c r="BP26" s="2401"/>
      <c r="BQ26" s="2871"/>
      <c r="BR26" s="2382"/>
      <c r="BS26" s="2873"/>
      <c r="BT26" s="2869"/>
      <c r="BU26" s="1957"/>
      <c r="BV26" s="2401"/>
      <c r="BW26" s="2871"/>
      <c r="BX26" s="2413">
        <f t="shared" ref="BX26:BX50" si="36">D26+J26+P26+V26+AB26+AH26+AN26+AT26+AZ26+BF26+BL26+BR26</f>
        <v>400</v>
      </c>
    </row>
    <row r="27" spans="1:76" x14ac:dyDescent="0.25">
      <c r="A27" s="1686">
        <v>12207</v>
      </c>
      <c r="B27" s="1893" t="s">
        <v>179</v>
      </c>
      <c r="C27" s="1896">
        <v>20000</v>
      </c>
      <c r="D27" s="2383">
        <v>13263.65</v>
      </c>
      <c r="E27" s="1897">
        <f>D27-C27</f>
        <v>-6736.35</v>
      </c>
      <c r="F27" s="2384">
        <f t="shared" ref="F27:F39" si="37">((D27/C27)-1)*100</f>
        <v>-33.681750000000001</v>
      </c>
      <c r="G27" s="1894"/>
      <c r="H27" s="1888"/>
      <c r="I27" s="1894">
        <v>20000</v>
      </c>
      <c r="J27" s="2402">
        <v>11880.22</v>
      </c>
      <c r="K27" s="1897">
        <f t="shared" ref="K27:K50" si="38">J27-I27</f>
        <v>-8119.7800000000007</v>
      </c>
      <c r="L27" s="2384">
        <f t="shared" ref="L27:L39" si="39">((J27/I27)-1)*100</f>
        <v>-40.598900000000008</v>
      </c>
      <c r="M27" s="1894"/>
      <c r="N27" s="1888"/>
      <c r="O27" s="1896">
        <f t="shared" ref="O27:O50" si="40">I27</f>
        <v>20000</v>
      </c>
      <c r="P27" s="1897">
        <f>VLOOKUP(A27,'[2]bALANCETE ORÇAMENTO'!$1:$1048576,7,0)</f>
        <v>10631.02</v>
      </c>
      <c r="Q27" s="1897">
        <f>P27-O27</f>
        <v>-9368.98</v>
      </c>
      <c r="R27" s="2384">
        <f t="shared" ref="R27:R39" si="41">((P27/O27)-1)*100</f>
        <v>-46.844900000000003</v>
      </c>
      <c r="S27" s="1894"/>
      <c r="T27" s="1888"/>
      <c r="U27" s="1896">
        <f t="shared" ref="U27:U50" si="42">O27</f>
        <v>20000</v>
      </c>
      <c r="V27" s="1897"/>
      <c r="W27" s="1897">
        <f>V27-U27</f>
        <v>-20000</v>
      </c>
      <c r="X27" s="2384">
        <f t="shared" ref="X27:X39" si="43">((V27/U27)-1)*100</f>
        <v>-100</v>
      </c>
      <c r="Y27" s="1894"/>
      <c r="Z27" s="1888"/>
      <c r="AA27" s="1896">
        <f t="shared" ref="AA27:AA50" si="44">U27</f>
        <v>20000</v>
      </c>
      <c r="AB27" s="1897"/>
      <c r="AC27" s="1897">
        <f>AB27-AA27</f>
        <v>-20000</v>
      </c>
      <c r="AD27" s="2384">
        <f t="shared" ref="AD27:AD39" si="45">((AB27/AA27)-1)*100</f>
        <v>-100</v>
      </c>
      <c r="AE27" s="1894"/>
      <c r="AF27" s="1888"/>
      <c r="AG27" s="1896">
        <f t="shared" si="30"/>
        <v>20000</v>
      </c>
      <c r="AH27" s="1897"/>
      <c r="AI27" s="1897">
        <f>AH27-AG27</f>
        <v>-20000</v>
      </c>
      <c r="AJ27" s="2384">
        <f t="shared" ref="AJ27:AJ39" si="46">((AH27/AG27)-1)*100</f>
        <v>-100</v>
      </c>
      <c r="AK27" s="1894"/>
      <c r="AL27" s="1888"/>
      <c r="AM27" s="1896">
        <f t="shared" si="31"/>
        <v>20000</v>
      </c>
      <c r="AN27" s="1897"/>
      <c r="AO27" s="1897">
        <f>AN27-AM27</f>
        <v>-20000</v>
      </c>
      <c r="AP27" s="2384">
        <f t="shared" ref="AP27:AP39" si="47">((AN27/AM27)-1)*100</f>
        <v>-100</v>
      </c>
      <c r="AQ27" s="1894"/>
      <c r="AR27" s="1888"/>
      <c r="AS27" s="1907">
        <f t="shared" si="32"/>
        <v>20000</v>
      </c>
      <c r="AT27" s="1908"/>
      <c r="AU27" s="1908">
        <f>AT27-AS27</f>
        <v>-20000</v>
      </c>
      <c r="AV27" s="2374">
        <f t="shared" ref="AV27:AV39" si="48">((AT27/AS27)-1)*100</f>
        <v>-100</v>
      </c>
      <c r="AW27" s="1910"/>
      <c r="AX27" s="1888"/>
      <c r="AY27" s="1896">
        <f t="shared" si="33"/>
        <v>20000</v>
      </c>
      <c r="AZ27" s="1897"/>
      <c r="BA27" s="1897">
        <f>AZ27-AY27</f>
        <v>-20000</v>
      </c>
      <c r="BB27" s="1916">
        <f t="shared" ref="BB27:BB39" si="49">((AZ27/AY27)-1)*100</f>
        <v>-100</v>
      </c>
      <c r="BC27" s="1894"/>
      <c r="BD27" s="1888"/>
      <c r="BE27" s="1896">
        <f t="shared" si="34"/>
        <v>20000</v>
      </c>
      <c r="BF27" s="1897"/>
      <c r="BG27" s="1897">
        <f>BF27-BE27</f>
        <v>-20000</v>
      </c>
      <c r="BH27" s="1916">
        <f t="shared" ref="BH27:BH39" si="50">((BF27/BE27)-1)*100</f>
        <v>-100</v>
      </c>
      <c r="BI27" s="1894"/>
      <c r="BJ27" s="1888"/>
      <c r="BK27" s="1896">
        <f t="shared" ref="BK27:BK50" si="51">BE27</f>
        <v>20000</v>
      </c>
      <c r="BL27" s="1897"/>
      <c r="BM27" s="1897">
        <f>BL27-BK27</f>
        <v>-20000</v>
      </c>
      <c r="BN27" s="1916">
        <f t="shared" ref="BN27:BN39" si="52">((BL27/BK27)-1)*100</f>
        <v>-100</v>
      </c>
      <c r="BO27" s="1894"/>
      <c r="BP27" s="1888"/>
      <c r="BQ27" s="1896">
        <f t="shared" si="35"/>
        <v>20000</v>
      </c>
      <c r="BR27" s="1897"/>
      <c r="BS27" s="1897">
        <f>BR27-BQ27</f>
        <v>-20000</v>
      </c>
      <c r="BT27" s="2385">
        <f t="shared" ref="BT27:BT39" si="53">((BR27/BQ27)-1)*100</f>
        <v>-100</v>
      </c>
      <c r="BU27" s="1894"/>
      <c r="BV27" s="1888"/>
      <c r="BW27" s="1894">
        <f t="shared" ref="BW27:BW50" si="54">C27+I27+O27+U27+AA27+AG27+AM27+AS27+AY27+BE27+BK27+BQ27</f>
        <v>240000</v>
      </c>
      <c r="BX27" s="1895">
        <f t="shared" si="36"/>
        <v>35774.89</v>
      </c>
    </row>
    <row r="28" spans="1:76" x14ac:dyDescent="0.25">
      <c r="A28" s="1686">
        <v>53920</v>
      </c>
      <c r="B28" s="1901" t="s">
        <v>3630</v>
      </c>
      <c r="C28" s="1907">
        <v>15000</v>
      </c>
      <c r="D28" s="2373">
        <v>11000</v>
      </c>
      <c r="E28" s="1908">
        <f>D28-C28</f>
        <v>-4000</v>
      </c>
      <c r="F28" s="2374">
        <f t="shared" si="37"/>
        <v>-26.666666666666671</v>
      </c>
      <c r="G28" s="1922"/>
      <c r="H28" s="1888"/>
      <c r="I28" s="1922">
        <v>15000</v>
      </c>
      <c r="J28" s="2404">
        <v>11000</v>
      </c>
      <c r="K28" s="1908">
        <f t="shared" si="38"/>
        <v>-4000</v>
      </c>
      <c r="L28" s="2374">
        <f t="shared" si="39"/>
        <v>-26.666666666666671</v>
      </c>
      <c r="M28" s="1922"/>
      <c r="N28" s="1888"/>
      <c r="O28" s="1907">
        <f t="shared" si="40"/>
        <v>15000</v>
      </c>
      <c r="P28" s="1908">
        <f>VLOOKUP(A28,'[2]bALANCETE ORÇAMENTO'!$1:$1048576,7,0)</f>
        <v>11000</v>
      </c>
      <c r="Q28" s="1908">
        <f>P28-O28</f>
        <v>-4000</v>
      </c>
      <c r="R28" s="2374">
        <f t="shared" si="41"/>
        <v>-26.666666666666671</v>
      </c>
      <c r="S28" s="1922"/>
      <c r="T28" s="1888"/>
      <c r="U28" s="1907">
        <f t="shared" si="42"/>
        <v>15000</v>
      </c>
      <c r="V28" s="1908"/>
      <c r="W28" s="1908">
        <f>V28-U28</f>
        <v>-15000</v>
      </c>
      <c r="X28" s="2374">
        <f t="shared" si="43"/>
        <v>-100</v>
      </c>
      <c r="Y28" s="1922"/>
      <c r="Z28" s="1888"/>
      <c r="AA28" s="1907">
        <f t="shared" si="44"/>
        <v>15000</v>
      </c>
      <c r="AB28" s="1908"/>
      <c r="AC28" s="1908">
        <f>AB28-AA28</f>
        <v>-15000</v>
      </c>
      <c r="AD28" s="2374">
        <f t="shared" si="45"/>
        <v>-100</v>
      </c>
      <c r="AE28" s="1922"/>
      <c r="AF28" s="1888"/>
      <c r="AG28" s="1907">
        <f t="shared" si="30"/>
        <v>15000</v>
      </c>
      <c r="AH28" s="1908"/>
      <c r="AI28" s="1908">
        <f>AH28-AG28</f>
        <v>-15000</v>
      </c>
      <c r="AJ28" s="2374">
        <f t="shared" si="46"/>
        <v>-100</v>
      </c>
      <c r="AK28" s="1922"/>
      <c r="AL28" s="1888"/>
      <c r="AM28" s="1907">
        <f t="shared" si="31"/>
        <v>15000</v>
      </c>
      <c r="AN28" s="1908"/>
      <c r="AO28" s="1908">
        <f>AN28-AM28</f>
        <v>-15000</v>
      </c>
      <c r="AP28" s="2374">
        <f t="shared" si="47"/>
        <v>-100</v>
      </c>
      <c r="AQ28" s="1922"/>
      <c r="AR28" s="1888"/>
      <c r="AS28" s="1907">
        <f t="shared" si="32"/>
        <v>15000</v>
      </c>
      <c r="AT28" s="1908"/>
      <c r="AU28" s="1908">
        <f>AT28-AS28</f>
        <v>-15000</v>
      </c>
      <c r="AV28" s="2374">
        <f t="shared" si="48"/>
        <v>-100</v>
      </c>
      <c r="AW28" s="1922"/>
      <c r="AX28" s="1888"/>
      <c r="AY28" s="1907">
        <f t="shared" si="33"/>
        <v>15000</v>
      </c>
      <c r="AZ28" s="1908"/>
      <c r="BA28" s="1908">
        <f>AZ28-AY28</f>
        <v>-15000</v>
      </c>
      <c r="BB28" s="1910">
        <f t="shared" si="49"/>
        <v>-100</v>
      </c>
      <c r="BC28" s="1922"/>
      <c r="BD28" s="1888"/>
      <c r="BE28" s="1907">
        <f t="shared" si="34"/>
        <v>15000</v>
      </c>
      <c r="BF28" s="1908"/>
      <c r="BG28" s="1908">
        <f>BF28-BE28</f>
        <v>-15000</v>
      </c>
      <c r="BH28" s="1910">
        <f t="shared" si="50"/>
        <v>-100</v>
      </c>
      <c r="BI28" s="1922"/>
      <c r="BJ28" s="1888"/>
      <c r="BK28" s="1907">
        <f t="shared" si="51"/>
        <v>15000</v>
      </c>
      <c r="BL28" s="1908"/>
      <c r="BM28" s="1908">
        <f>BL28-BK28</f>
        <v>-15000</v>
      </c>
      <c r="BN28" s="1910">
        <f t="shared" si="52"/>
        <v>-100</v>
      </c>
      <c r="BO28" s="1922"/>
      <c r="BP28" s="1888"/>
      <c r="BQ28" s="1907">
        <f t="shared" si="35"/>
        <v>15000</v>
      </c>
      <c r="BR28" s="1908"/>
      <c r="BS28" s="1908">
        <f>BR28-BQ28</f>
        <v>-15000</v>
      </c>
      <c r="BT28" s="2115">
        <f t="shared" si="53"/>
        <v>-100</v>
      </c>
      <c r="BU28" s="1922"/>
      <c r="BV28" s="1888"/>
      <c r="BW28" s="1922">
        <f t="shared" si="54"/>
        <v>180000</v>
      </c>
      <c r="BX28" s="1898">
        <f t="shared" si="36"/>
        <v>33000</v>
      </c>
    </row>
    <row r="29" spans="1:76" x14ac:dyDescent="0.25">
      <c r="A29" s="1686">
        <v>53921</v>
      </c>
      <c r="B29" s="1901" t="s">
        <v>3791</v>
      </c>
      <c r="C29" s="1907">
        <v>8000</v>
      </c>
      <c r="D29" s="2373">
        <v>2000</v>
      </c>
      <c r="E29" s="1908">
        <f>D29-C29</f>
        <v>-6000</v>
      </c>
      <c r="F29" s="2374">
        <f t="shared" si="37"/>
        <v>-75</v>
      </c>
      <c r="G29" s="1922"/>
      <c r="H29" s="1888"/>
      <c r="I29" s="1922">
        <v>8000</v>
      </c>
      <c r="J29" s="2404">
        <v>16014</v>
      </c>
      <c r="K29" s="1908">
        <f t="shared" si="38"/>
        <v>8014</v>
      </c>
      <c r="L29" s="2374">
        <f t="shared" si="39"/>
        <v>100.175</v>
      </c>
      <c r="M29" s="1922"/>
      <c r="N29" s="1888"/>
      <c r="O29" s="1907">
        <f t="shared" si="40"/>
        <v>8000</v>
      </c>
      <c r="P29" s="1908">
        <f>VLOOKUP(A29,'[2]bALANCETE ORÇAMENTO'!$1:$1048576,7,0)</f>
        <v>18016</v>
      </c>
      <c r="Q29" s="1908">
        <f>P29-O29</f>
        <v>10016</v>
      </c>
      <c r="R29" s="2374">
        <f t="shared" si="41"/>
        <v>125.19999999999997</v>
      </c>
      <c r="S29" s="1922"/>
      <c r="T29" s="1888"/>
      <c r="U29" s="1907">
        <f t="shared" si="42"/>
        <v>8000</v>
      </c>
      <c r="V29" s="1908"/>
      <c r="W29" s="1908">
        <f>V29-U29</f>
        <v>-8000</v>
      </c>
      <c r="X29" s="2374">
        <f t="shared" si="43"/>
        <v>-100</v>
      </c>
      <c r="Y29" s="1922"/>
      <c r="Z29" s="1888"/>
      <c r="AA29" s="1907">
        <f t="shared" si="44"/>
        <v>8000</v>
      </c>
      <c r="AB29" s="1908"/>
      <c r="AC29" s="1908">
        <f>AB29-AA29</f>
        <v>-8000</v>
      </c>
      <c r="AD29" s="2374">
        <f t="shared" si="45"/>
        <v>-100</v>
      </c>
      <c r="AE29" s="1922"/>
      <c r="AF29" s="1888"/>
      <c r="AG29" s="1907">
        <f t="shared" si="30"/>
        <v>8000</v>
      </c>
      <c r="AH29" s="1908"/>
      <c r="AI29" s="1908">
        <f>AH29-AG29</f>
        <v>-8000</v>
      </c>
      <c r="AJ29" s="2374">
        <f t="shared" si="46"/>
        <v>-100</v>
      </c>
      <c r="AK29" s="1922"/>
      <c r="AL29" s="1888"/>
      <c r="AM29" s="1907">
        <f t="shared" si="31"/>
        <v>8000</v>
      </c>
      <c r="AN29" s="1908"/>
      <c r="AO29" s="1908">
        <f>AN29-AM29</f>
        <v>-8000</v>
      </c>
      <c r="AP29" s="2374">
        <f t="shared" si="47"/>
        <v>-100</v>
      </c>
      <c r="AQ29" s="1922"/>
      <c r="AR29" s="1888"/>
      <c r="AS29" s="1907">
        <f t="shared" si="32"/>
        <v>8000</v>
      </c>
      <c r="AT29" s="1908"/>
      <c r="AU29" s="1908">
        <f>AT29-AS29</f>
        <v>-8000</v>
      </c>
      <c r="AV29" s="2374">
        <f t="shared" si="48"/>
        <v>-100</v>
      </c>
      <c r="AW29" s="1922"/>
      <c r="AX29" s="1888"/>
      <c r="AY29" s="1907">
        <f t="shared" si="33"/>
        <v>8000</v>
      </c>
      <c r="AZ29" s="1908"/>
      <c r="BA29" s="1908">
        <f>AZ29-AY29</f>
        <v>-8000</v>
      </c>
      <c r="BB29" s="1910">
        <f t="shared" si="49"/>
        <v>-100</v>
      </c>
      <c r="BC29" s="1922"/>
      <c r="BD29" s="1888"/>
      <c r="BE29" s="1907">
        <f t="shared" si="34"/>
        <v>8000</v>
      </c>
      <c r="BF29" s="1908"/>
      <c r="BG29" s="1908">
        <f>BF29-BE29</f>
        <v>-8000</v>
      </c>
      <c r="BH29" s="1910">
        <f t="shared" si="50"/>
        <v>-100</v>
      </c>
      <c r="BI29" s="1922"/>
      <c r="BJ29" s="1888"/>
      <c r="BK29" s="1907">
        <f t="shared" si="51"/>
        <v>8000</v>
      </c>
      <c r="BL29" s="1908"/>
      <c r="BM29" s="1908">
        <f>BL29-BK29</f>
        <v>-8000</v>
      </c>
      <c r="BN29" s="1910">
        <f t="shared" si="52"/>
        <v>-100</v>
      </c>
      <c r="BO29" s="1922"/>
      <c r="BP29" s="1888"/>
      <c r="BQ29" s="1907">
        <f t="shared" si="35"/>
        <v>8000</v>
      </c>
      <c r="BR29" s="1908"/>
      <c r="BS29" s="1908">
        <f>BR29-BQ29</f>
        <v>-8000</v>
      </c>
      <c r="BT29" s="2115">
        <f t="shared" si="53"/>
        <v>-100</v>
      </c>
      <c r="BU29" s="1922"/>
      <c r="BV29" s="1888"/>
      <c r="BW29" s="1922">
        <f t="shared" si="54"/>
        <v>96000</v>
      </c>
      <c r="BX29" s="1898">
        <f t="shared" si="36"/>
        <v>36030</v>
      </c>
    </row>
    <row r="30" spans="1:76" x14ac:dyDescent="0.25">
      <c r="A30" s="1686">
        <v>12878</v>
      </c>
      <c r="B30" s="1901" t="s">
        <v>194</v>
      </c>
      <c r="C30" s="1907">
        <v>1000</v>
      </c>
      <c r="D30" s="2373">
        <v>782</v>
      </c>
      <c r="E30" s="1908">
        <f t="shared" ref="E30:E41" si="55">D30-C30</f>
        <v>-218</v>
      </c>
      <c r="F30" s="2374">
        <f t="shared" si="37"/>
        <v>-21.799999999999997</v>
      </c>
      <c r="G30" s="1922"/>
      <c r="H30" s="1888"/>
      <c r="I30" s="1922">
        <v>1000</v>
      </c>
      <c r="J30" s="2404">
        <v>338.84</v>
      </c>
      <c r="K30" s="1908">
        <f t="shared" si="38"/>
        <v>-661.16000000000008</v>
      </c>
      <c r="L30" s="2374">
        <f t="shared" si="39"/>
        <v>-66.116</v>
      </c>
      <c r="M30" s="1922"/>
      <c r="N30" s="1888"/>
      <c r="O30" s="1907">
        <f t="shared" si="40"/>
        <v>1000</v>
      </c>
      <c r="P30" s="1908">
        <f>VLOOKUP(A30,'[2]bALANCETE ORÇAMENTO'!$1:$1048576,7,0)</f>
        <v>800.7</v>
      </c>
      <c r="Q30" s="1908">
        <f t="shared" ref="Q30:Q41" si="56">P30-O30</f>
        <v>-199.29999999999995</v>
      </c>
      <c r="R30" s="2374">
        <f t="shared" si="41"/>
        <v>-19.929999999999993</v>
      </c>
      <c r="S30" s="1922"/>
      <c r="T30" s="1888"/>
      <c r="U30" s="1907">
        <f t="shared" si="42"/>
        <v>1000</v>
      </c>
      <c r="V30" s="1908"/>
      <c r="W30" s="1908">
        <f t="shared" ref="W30:W41" si="57">V30-U30</f>
        <v>-1000</v>
      </c>
      <c r="X30" s="2374">
        <f t="shared" si="43"/>
        <v>-100</v>
      </c>
      <c r="Y30" s="1922"/>
      <c r="Z30" s="1888"/>
      <c r="AA30" s="1907">
        <f t="shared" si="44"/>
        <v>1000</v>
      </c>
      <c r="AB30" s="1908"/>
      <c r="AC30" s="1908">
        <f t="shared" ref="AC30:AC41" si="58">AB30-AA30</f>
        <v>-1000</v>
      </c>
      <c r="AD30" s="2374">
        <f t="shared" si="45"/>
        <v>-100</v>
      </c>
      <c r="AE30" s="1922"/>
      <c r="AF30" s="1888"/>
      <c r="AG30" s="1907">
        <f t="shared" si="30"/>
        <v>1000</v>
      </c>
      <c r="AH30" s="1908"/>
      <c r="AI30" s="1908">
        <f t="shared" ref="AI30:AI41" si="59">AH30-AG30</f>
        <v>-1000</v>
      </c>
      <c r="AJ30" s="2374">
        <f t="shared" si="46"/>
        <v>-100</v>
      </c>
      <c r="AK30" s="1922"/>
      <c r="AL30" s="1888"/>
      <c r="AM30" s="1907">
        <f t="shared" si="31"/>
        <v>1000</v>
      </c>
      <c r="AN30" s="1908"/>
      <c r="AO30" s="1908">
        <f t="shared" ref="AO30:AO41" si="60">AN30-AM30</f>
        <v>-1000</v>
      </c>
      <c r="AP30" s="2374">
        <f t="shared" si="47"/>
        <v>-100</v>
      </c>
      <c r="AQ30" s="1922"/>
      <c r="AR30" s="1888"/>
      <c r="AS30" s="1907">
        <f t="shared" si="32"/>
        <v>1000</v>
      </c>
      <c r="AT30" s="1908"/>
      <c r="AU30" s="1908">
        <f t="shared" ref="AU30:AU41" si="61">AT30-AS30</f>
        <v>-1000</v>
      </c>
      <c r="AV30" s="2374">
        <f t="shared" si="48"/>
        <v>-100</v>
      </c>
      <c r="AW30" s="1922"/>
      <c r="AX30" s="1888"/>
      <c r="AY30" s="1907">
        <f t="shared" si="33"/>
        <v>1000</v>
      </c>
      <c r="AZ30" s="1908"/>
      <c r="BA30" s="1908">
        <f t="shared" ref="BA30:BA41" si="62">AZ30-AY30</f>
        <v>-1000</v>
      </c>
      <c r="BB30" s="1910">
        <f t="shared" si="49"/>
        <v>-100</v>
      </c>
      <c r="BC30" s="1922"/>
      <c r="BD30" s="1888"/>
      <c r="BE30" s="1907">
        <f t="shared" si="34"/>
        <v>1000</v>
      </c>
      <c r="BF30" s="1908"/>
      <c r="BG30" s="1908">
        <f t="shared" ref="BG30:BG41" si="63">BF30-BE30</f>
        <v>-1000</v>
      </c>
      <c r="BH30" s="1910">
        <f t="shared" si="50"/>
        <v>-100</v>
      </c>
      <c r="BI30" s="1922"/>
      <c r="BJ30" s="1888"/>
      <c r="BK30" s="1907">
        <f t="shared" si="51"/>
        <v>1000</v>
      </c>
      <c r="BL30" s="1908"/>
      <c r="BM30" s="1908">
        <f t="shared" ref="BM30:BM41" si="64">BL30-BK30</f>
        <v>-1000</v>
      </c>
      <c r="BN30" s="1910">
        <f t="shared" si="52"/>
        <v>-100</v>
      </c>
      <c r="BO30" s="1922"/>
      <c r="BP30" s="1888"/>
      <c r="BQ30" s="1907">
        <f t="shared" si="35"/>
        <v>1000</v>
      </c>
      <c r="BR30" s="1908"/>
      <c r="BS30" s="1908">
        <f t="shared" ref="BS30:BS41" si="65">BR30-BQ30</f>
        <v>-1000</v>
      </c>
      <c r="BT30" s="2115">
        <f t="shared" si="53"/>
        <v>-100</v>
      </c>
      <c r="BU30" s="1922"/>
      <c r="BV30" s="1888"/>
      <c r="BW30" s="1922">
        <f t="shared" si="54"/>
        <v>12000</v>
      </c>
      <c r="BX30" s="1898">
        <f t="shared" si="36"/>
        <v>1921.54</v>
      </c>
    </row>
    <row r="31" spans="1:76" x14ac:dyDescent="0.25">
      <c r="A31" s="1686">
        <v>12899</v>
      </c>
      <c r="B31" s="1901" t="s">
        <v>180</v>
      </c>
      <c r="C31" s="1907">
        <v>850000</v>
      </c>
      <c r="D31" s="2373">
        <v>910465</v>
      </c>
      <c r="E31" s="1908">
        <f t="shared" si="55"/>
        <v>60465</v>
      </c>
      <c r="F31" s="2374">
        <f t="shared" si="37"/>
        <v>7.1135294117647074</v>
      </c>
      <c r="G31" s="1922"/>
      <c r="H31" s="1888"/>
      <c r="I31" s="1922">
        <v>850000</v>
      </c>
      <c r="J31" s="2404">
        <v>901051.29</v>
      </c>
      <c r="K31" s="1908">
        <f t="shared" si="38"/>
        <v>51051.290000000037</v>
      </c>
      <c r="L31" s="2374">
        <f t="shared" si="39"/>
        <v>6.0060341176470633</v>
      </c>
      <c r="M31" s="1922"/>
      <c r="N31" s="1888"/>
      <c r="O31" s="1907">
        <f t="shared" si="40"/>
        <v>850000</v>
      </c>
      <c r="P31" s="1908">
        <f>VLOOKUP(A31,'[2]bALANCETE ORÇAMENTO'!$1:$1048576,7,0)</f>
        <v>928026.78</v>
      </c>
      <c r="Q31" s="1908">
        <f t="shared" si="56"/>
        <v>78026.780000000028</v>
      </c>
      <c r="R31" s="2374">
        <f t="shared" si="41"/>
        <v>9.1796211764705973</v>
      </c>
      <c r="S31" s="1922"/>
      <c r="T31" s="1888"/>
      <c r="U31" s="1907">
        <f t="shared" si="42"/>
        <v>850000</v>
      </c>
      <c r="V31" s="1908"/>
      <c r="W31" s="1908">
        <f t="shared" si="57"/>
        <v>-850000</v>
      </c>
      <c r="X31" s="2374">
        <f t="shared" si="43"/>
        <v>-100</v>
      </c>
      <c r="Y31" s="1922"/>
      <c r="Z31" s="1888"/>
      <c r="AA31" s="1907">
        <f t="shared" si="44"/>
        <v>850000</v>
      </c>
      <c r="AB31" s="1908"/>
      <c r="AC31" s="1908">
        <f t="shared" si="58"/>
        <v>-850000</v>
      </c>
      <c r="AD31" s="2374">
        <f t="shared" si="45"/>
        <v>-100</v>
      </c>
      <c r="AE31" s="1922"/>
      <c r="AF31" s="1888"/>
      <c r="AG31" s="1907">
        <f t="shared" si="30"/>
        <v>850000</v>
      </c>
      <c r="AH31" s="1908"/>
      <c r="AI31" s="1908">
        <f t="shared" si="59"/>
        <v>-850000</v>
      </c>
      <c r="AJ31" s="2374">
        <f t="shared" si="46"/>
        <v>-100</v>
      </c>
      <c r="AK31" s="1922"/>
      <c r="AL31" s="1888"/>
      <c r="AM31" s="1907">
        <f t="shared" si="31"/>
        <v>850000</v>
      </c>
      <c r="AN31" s="1908"/>
      <c r="AO31" s="1908">
        <f t="shared" si="60"/>
        <v>-850000</v>
      </c>
      <c r="AP31" s="2374">
        <f t="shared" si="47"/>
        <v>-100</v>
      </c>
      <c r="AQ31" s="1922"/>
      <c r="AR31" s="1888"/>
      <c r="AS31" s="1907">
        <f t="shared" si="32"/>
        <v>850000</v>
      </c>
      <c r="AT31" s="1908"/>
      <c r="AU31" s="1908">
        <f t="shared" si="61"/>
        <v>-850000</v>
      </c>
      <c r="AV31" s="2374">
        <f t="shared" si="48"/>
        <v>-100</v>
      </c>
      <c r="AW31" s="1922"/>
      <c r="AX31" s="1888"/>
      <c r="AY31" s="1907">
        <f t="shared" si="33"/>
        <v>850000</v>
      </c>
      <c r="AZ31" s="1908"/>
      <c r="BA31" s="1908">
        <f t="shared" si="62"/>
        <v>-850000</v>
      </c>
      <c r="BB31" s="1910">
        <f t="shared" si="49"/>
        <v>-100</v>
      </c>
      <c r="BC31" s="1922"/>
      <c r="BD31" s="1888"/>
      <c r="BE31" s="1907">
        <f t="shared" si="34"/>
        <v>850000</v>
      </c>
      <c r="BF31" s="1908"/>
      <c r="BG31" s="1908">
        <f t="shared" si="63"/>
        <v>-850000</v>
      </c>
      <c r="BH31" s="1910">
        <f t="shared" si="50"/>
        <v>-100</v>
      </c>
      <c r="BI31" s="1922"/>
      <c r="BJ31" s="1888"/>
      <c r="BK31" s="1907">
        <f t="shared" si="51"/>
        <v>850000</v>
      </c>
      <c r="BL31" s="1908"/>
      <c r="BM31" s="1908">
        <f t="shared" si="64"/>
        <v>-850000</v>
      </c>
      <c r="BN31" s="1910">
        <f t="shared" si="52"/>
        <v>-100</v>
      </c>
      <c r="BO31" s="1922"/>
      <c r="BP31" s="1888"/>
      <c r="BQ31" s="1907">
        <f t="shared" si="35"/>
        <v>850000</v>
      </c>
      <c r="BR31" s="1908"/>
      <c r="BS31" s="1908">
        <f t="shared" si="65"/>
        <v>-850000</v>
      </c>
      <c r="BT31" s="2115">
        <f t="shared" si="53"/>
        <v>-100</v>
      </c>
      <c r="BU31" s="1922"/>
      <c r="BV31" s="1888"/>
      <c r="BW31" s="1922">
        <f t="shared" si="54"/>
        <v>10200000</v>
      </c>
      <c r="BX31" s="1898">
        <f t="shared" si="36"/>
        <v>2739543.0700000003</v>
      </c>
    </row>
    <row r="32" spans="1:76" x14ac:dyDescent="0.25">
      <c r="A32" s="1686">
        <v>51645</v>
      </c>
      <c r="B32" s="1901" t="s">
        <v>3701</v>
      </c>
      <c r="C32" s="1907">
        <v>500</v>
      </c>
      <c r="D32" s="2373">
        <v>470</v>
      </c>
      <c r="E32" s="1908">
        <f t="shared" si="55"/>
        <v>-30</v>
      </c>
      <c r="F32" s="2374">
        <f t="shared" si="37"/>
        <v>-6.0000000000000053</v>
      </c>
      <c r="G32" s="1922"/>
      <c r="H32" s="1888"/>
      <c r="I32" s="1922">
        <v>500</v>
      </c>
      <c r="J32" s="2404">
        <v>330</v>
      </c>
      <c r="K32" s="1908">
        <f t="shared" si="38"/>
        <v>-170</v>
      </c>
      <c r="L32" s="2374">
        <f t="shared" si="39"/>
        <v>-34</v>
      </c>
      <c r="M32" s="1922"/>
      <c r="N32" s="1888"/>
      <c r="O32" s="1907">
        <f t="shared" si="40"/>
        <v>500</v>
      </c>
      <c r="P32" s="1908">
        <f>VLOOKUP(A32,'[2]bALANCETE ORÇAMENTO'!$1:$1048576,7,0)</f>
        <v>230</v>
      </c>
      <c r="Q32" s="1908">
        <f t="shared" si="56"/>
        <v>-270</v>
      </c>
      <c r="R32" s="2374">
        <f t="shared" si="41"/>
        <v>-54</v>
      </c>
      <c r="S32" s="1922"/>
      <c r="T32" s="1888"/>
      <c r="U32" s="1907">
        <f t="shared" si="42"/>
        <v>500</v>
      </c>
      <c r="V32" s="1908"/>
      <c r="W32" s="1908">
        <f t="shared" si="57"/>
        <v>-500</v>
      </c>
      <c r="X32" s="2374">
        <f t="shared" si="43"/>
        <v>-100</v>
      </c>
      <c r="Y32" s="1922"/>
      <c r="Z32" s="1888"/>
      <c r="AA32" s="1907">
        <f t="shared" si="44"/>
        <v>500</v>
      </c>
      <c r="AB32" s="1908"/>
      <c r="AC32" s="1908">
        <f t="shared" si="58"/>
        <v>-500</v>
      </c>
      <c r="AD32" s="2374">
        <f t="shared" si="45"/>
        <v>-100</v>
      </c>
      <c r="AE32" s="1922"/>
      <c r="AF32" s="1888"/>
      <c r="AG32" s="1907">
        <f t="shared" si="30"/>
        <v>500</v>
      </c>
      <c r="AH32" s="1908"/>
      <c r="AI32" s="1908">
        <f t="shared" si="59"/>
        <v>-500</v>
      </c>
      <c r="AJ32" s="2374">
        <f t="shared" si="46"/>
        <v>-100</v>
      </c>
      <c r="AK32" s="1922"/>
      <c r="AL32" s="1888"/>
      <c r="AM32" s="1907">
        <f t="shared" si="31"/>
        <v>500</v>
      </c>
      <c r="AN32" s="1908"/>
      <c r="AO32" s="1908">
        <f t="shared" si="60"/>
        <v>-500</v>
      </c>
      <c r="AP32" s="2374">
        <f t="shared" si="47"/>
        <v>-100</v>
      </c>
      <c r="AQ32" s="1922"/>
      <c r="AR32" s="1888"/>
      <c r="AS32" s="1907">
        <f t="shared" si="32"/>
        <v>500</v>
      </c>
      <c r="AT32" s="1908"/>
      <c r="AU32" s="1908">
        <f t="shared" si="61"/>
        <v>-500</v>
      </c>
      <c r="AV32" s="2374">
        <f t="shared" si="48"/>
        <v>-100</v>
      </c>
      <c r="AW32" s="1922"/>
      <c r="AX32" s="1888"/>
      <c r="AY32" s="1907">
        <f t="shared" si="33"/>
        <v>500</v>
      </c>
      <c r="AZ32" s="1908"/>
      <c r="BA32" s="1908">
        <f t="shared" si="62"/>
        <v>-500</v>
      </c>
      <c r="BB32" s="1910">
        <f t="shared" si="49"/>
        <v>-100</v>
      </c>
      <c r="BC32" s="1922"/>
      <c r="BD32" s="1888"/>
      <c r="BE32" s="1907">
        <f t="shared" si="34"/>
        <v>500</v>
      </c>
      <c r="BF32" s="1908"/>
      <c r="BG32" s="1908">
        <f t="shared" si="63"/>
        <v>-500</v>
      </c>
      <c r="BH32" s="1910">
        <f t="shared" si="50"/>
        <v>-100</v>
      </c>
      <c r="BI32" s="1922"/>
      <c r="BJ32" s="1888"/>
      <c r="BK32" s="1907">
        <f t="shared" si="51"/>
        <v>500</v>
      </c>
      <c r="BL32" s="1908"/>
      <c r="BM32" s="1908">
        <f t="shared" si="64"/>
        <v>-500</v>
      </c>
      <c r="BN32" s="1910">
        <f t="shared" si="52"/>
        <v>-100</v>
      </c>
      <c r="BO32" s="1922"/>
      <c r="BP32" s="1888"/>
      <c r="BQ32" s="1907">
        <f t="shared" si="35"/>
        <v>500</v>
      </c>
      <c r="BR32" s="1908"/>
      <c r="BS32" s="1908">
        <f t="shared" si="65"/>
        <v>-500</v>
      </c>
      <c r="BT32" s="2115">
        <f t="shared" si="53"/>
        <v>-100</v>
      </c>
      <c r="BU32" s="1922"/>
      <c r="BV32" s="1888"/>
      <c r="BW32" s="1922">
        <f t="shared" si="54"/>
        <v>6000</v>
      </c>
      <c r="BX32" s="1898">
        <f t="shared" si="36"/>
        <v>1030</v>
      </c>
    </row>
    <row r="33" spans="1:76" x14ac:dyDescent="0.25">
      <c r="A33" s="2386">
        <v>55229</v>
      </c>
      <c r="B33" s="2387" t="s">
        <v>3710</v>
      </c>
      <c r="C33" s="1907">
        <v>45000</v>
      </c>
      <c r="D33" s="2373">
        <v>47520</v>
      </c>
      <c r="E33" s="1908">
        <f t="shared" si="55"/>
        <v>2520</v>
      </c>
      <c r="F33" s="2374">
        <f t="shared" si="37"/>
        <v>5.600000000000005</v>
      </c>
      <c r="G33" s="1922"/>
      <c r="H33" s="1888"/>
      <c r="I33" s="1922">
        <v>45000</v>
      </c>
      <c r="J33" s="2405">
        <v>92400</v>
      </c>
      <c r="K33" s="1908">
        <f t="shared" si="38"/>
        <v>47400</v>
      </c>
      <c r="L33" s="2374">
        <f t="shared" si="39"/>
        <v>105.33333333333333</v>
      </c>
      <c r="M33" s="1922"/>
      <c r="N33" s="1888"/>
      <c r="O33" s="1907">
        <f t="shared" si="40"/>
        <v>45000</v>
      </c>
      <c r="P33" s="1908">
        <f>VLOOKUP(A33,'[2]bALANCETE ORÇAMENTO'!$1:$1048576,7,0)</f>
        <v>106920</v>
      </c>
      <c r="Q33" s="1908">
        <f t="shared" si="56"/>
        <v>61920</v>
      </c>
      <c r="R33" s="2374">
        <f t="shared" si="41"/>
        <v>137.6</v>
      </c>
      <c r="S33" s="1922"/>
      <c r="T33" s="1888"/>
      <c r="U33" s="1907">
        <f t="shared" si="42"/>
        <v>45000</v>
      </c>
      <c r="V33" s="1908"/>
      <c r="W33" s="1908">
        <f t="shared" si="57"/>
        <v>-45000</v>
      </c>
      <c r="X33" s="2374">
        <f t="shared" si="43"/>
        <v>-100</v>
      </c>
      <c r="Y33" s="1922"/>
      <c r="Z33" s="1888"/>
      <c r="AA33" s="1907">
        <f t="shared" si="44"/>
        <v>45000</v>
      </c>
      <c r="AB33" s="1908"/>
      <c r="AC33" s="1908">
        <f t="shared" si="58"/>
        <v>-45000</v>
      </c>
      <c r="AD33" s="2374">
        <f t="shared" si="45"/>
        <v>-100</v>
      </c>
      <c r="AE33" s="1922"/>
      <c r="AF33" s="1888"/>
      <c r="AG33" s="1907">
        <f t="shared" si="30"/>
        <v>45000</v>
      </c>
      <c r="AH33" s="1908"/>
      <c r="AI33" s="1908">
        <f t="shared" si="59"/>
        <v>-45000</v>
      </c>
      <c r="AJ33" s="2374">
        <f t="shared" si="46"/>
        <v>-100</v>
      </c>
      <c r="AK33" s="1922"/>
      <c r="AL33" s="1888"/>
      <c r="AM33" s="1907">
        <f t="shared" si="31"/>
        <v>45000</v>
      </c>
      <c r="AN33" s="1908"/>
      <c r="AO33" s="1908">
        <f t="shared" si="60"/>
        <v>-45000</v>
      </c>
      <c r="AP33" s="2374">
        <f t="shared" si="47"/>
        <v>-100</v>
      </c>
      <c r="AQ33" s="1922"/>
      <c r="AR33" s="1888"/>
      <c r="AS33" s="1907">
        <f t="shared" si="32"/>
        <v>45000</v>
      </c>
      <c r="AT33" s="1908"/>
      <c r="AU33" s="1908">
        <f t="shared" si="61"/>
        <v>-45000</v>
      </c>
      <c r="AV33" s="2374">
        <f t="shared" si="48"/>
        <v>-100</v>
      </c>
      <c r="AW33" s="1922"/>
      <c r="AX33" s="1888"/>
      <c r="AY33" s="1907">
        <f t="shared" si="33"/>
        <v>45000</v>
      </c>
      <c r="AZ33" s="1908"/>
      <c r="BA33" s="1908">
        <f t="shared" si="62"/>
        <v>-45000</v>
      </c>
      <c r="BB33" s="1910">
        <f t="shared" si="49"/>
        <v>-100</v>
      </c>
      <c r="BC33" s="1922"/>
      <c r="BD33" s="1888"/>
      <c r="BE33" s="1907">
        <f t="shared" si="34"/>
        <v>45000</v>
      </c>
      <c r="BF33" s="1908"/>
      <c r="BG33" s="1908">
        <f t="shared" si="63"/>
        <v>-45000</v>
      </c>
      <c r="BH33" s="1910">
        <f t="shared" si="50"/>
        <v>-100</v>
      </c>
      <c r="BI33" s="1922"/>
      <c r="BJ33" s="1888"/>
      <c r="BK33" s="1907">
        <f t="shared" si="51"/>
        <v>45000</v>
      </c>
      <c r="BL33" s="1908"/>
      <c r="BM33" s="1908">
        <f t="shared" si="64"/>
        <v>-45000</v>
      </c>
      <c r="BN33" s="1910">
        <f t="shared" si="52"/>
        <v>-100</v>
      </c>
      <c r="BO33" s="1922"/>
      <c r="BP33" s="1888"/>
      <c r="BQ33" s="1907">
        <f t="shared" si="35"/>
        <v>45000</v>
      </c>
      <c r="BR33" s="1908"/>
      <c r="BS33" s="1908">
        <f t="shared" si="65"/>
        <v>-45000</v>
      </c>
      <c r="BT33" s="2115">
        <f t="shared" si="53"/>
        <v>-100</v>
      </c>
      <c r="BU33" s="1922"/>
      <c r="BV33" s="1888"/>
      <c r="BW33" s="1922">
        <f t="shared" si="54"/>
        <v>540000</v>
      </c>
      <c r="BX33" s="1898">
        <f t="shared" si="36"/>
        <v>246840</v>
      </c>
    </row>
    <row r="34" spans="1:76" x14ac:dyDescent="0.25">
      <c r="A34" s="1686">
        <v>51820</v>
      </c>
      <c r="B34" s="1901" t="s">
        <v>190</v>
      </c>
      <c r="C34" s="1907">
        <v>1200</v>
      </c>
      <c r="D34" s="2373">
        <v>1033.1500000000001</v>
      </c>
      <c r="E34" s="1908">
        <f t="shared" si="55"/>
        <v>-166.84999999999991</v>
      </c>
      <c r="F34" s="2374">
        <f t="shared" si="37"/>
        <v>-13.904166666666661</v>
      </c>
      <c r="G34" s="1922"/>
      <c r="H34" s="1888"/>
      <c r="I34" s="1922">
        <v>1200</v>
      </c>
      <c r="J34" s="2403">
        <v>970.32</v>
      </c>
      <c r="K34" s="1908">
        <f t="shared" si="38"/>
        <v>-229.67999999999995</v>
      </c>
      <c r="L34" s="2374">
        <f t="shared" si="39"/>
        <v>-19.13999999999999</v>
      </c>
      <c r="M34" s="1922"/>
      <c r="N34" s="1888"/>
      <c r="O34" s="1907">
        <f t="shared" si="40"/>
        <v>1200</v>
      </c>
      <c r="P34" s="1908">
        <f>VLOOKUP(A34,'[2]bALANCETE ORÇAMENTO'!$1:$1048576,7,0)</f>
        <v>958.92</v>
      </c>
      <c r="Q34" s="1908">
        <f t="shared" si="56"/>
        <v>-241.08000000000004</v>
      </c>
      <c r="R34" s="2374">
        <f t="shared" si="41"/>
        <v>-20.090000000000007</v>
      </c>
      <c r="S34" s="1922"/>
      <c r="T34" s="1888"/>
      <c r="U34" s="1907">
        <f t="shared" si="42"/>
        <v>1200</v>
      </c>
      <c r="V34" s="1908"/>
      <c r="W34" s="1908">
        <f t="shared" si="57"/>
        <v>-1200</v>
      </c>
      <c r="X34" s="2374">
        <f t="shared" si="43"/>
        <v>-100</v>
      </c>
      <c r="Y34" s="1922"/>
      <c r="Z34" s="1888"/>
      <c r="AA34" s="1907">
        <f t="shared" si="44"/>
        <v>1200</v>
      </c>
      <c r="AB34" s="1908"/>
      <c r="AC34" s="1908">
        <f t="shared" si="58"/>
        <v>-1200</v>
      </c>
      <c r="AD34" s="2374">
        <f t="shared" si="45"/>
        <v>-100</v>
      </c>
      <c r="AE34" s="1922"/>
      <c r="AF34" s="1888"/>
      <c r="AG34" s="1907">
        <f t="shared" si="30"/>
        <v>1200</v>
      </c>
      <c r="AH34" s="1908"/>
      <c r="AI34" s="1908">
        <f t="shared" si="59"/>
        <v>-1200</v>
      </c>
      <c r="AJ34" s="2374">
        <f t="shared" si="46"/>
        <v>-100</v>
      </c>
      <c r="AK34" s="1922"/>
      <c r="AL34" s="1888"/>
      <c r="AM34" s="1907">
        <f t="shared" si="31"/>
        <v>1200</v>
      </c>
      <c r="AN34" s="1908"/>
      <c r="AO34" s="1908">
        <f t="shared" si="60"/>
        <v>-1200</v>
      </c>
      <c r="AP34" s="2374">
        <f t="shared" si="47"/>
        <v>-100</v>
      </c>
      <c r="AQ34" s="1922"/>
      <c r="AR34" s="1888"/>
      <c r="AS34" s="1907">
        <f t="shared" si="32"/>
        <v>1200</v>
      </c>
      <c r="AT34" s="1908"/>
      <c r="AU34" s="1908">
        <f t="shared" si="61"/>
        <v>-1200</v>
      </c>
      <c r="AV34" s="2374">
        <f t="shared" si="48"/>
        <v>-100</v>
      </c>
      <c r="AW34" s="1922"/>
      <c r="AX34" s="1888"/>
      <c r="AY34" s="1907">
        <f t="shared" si="33"/>
        <v>1200</v>
      </c>
      <c r="AZ34" s="1908"/>
      <c r="BA34" s="1908">
        <f t="shared" si="62"/>
        <v>-1200</v>
      </c>
      <c r="BB34" s="1910">
        <f t="shared" si="49"/>
        <v>-100</v>
      </c>
      <c r="BC34" s="1922"/>
      <c r="BD34" s="1888"/>
      <c r="BE34" s="1907">
        <f t="shared" si="34"/>
        <v>1200</v>
      </c>
      <c r="BF34" s="1908"/>
      <c r="BG34" s="1908">
        <f t="shared" si="63"/>
        <v>-1200</v>
      </c>
      <c r="BH34" s="1910">
        <f t="shared" si="50"/>
        <v>-100</v>
      </c>
      <c r="BI34" s="1922"/>
      <c r="BJ34" s="1888"/>
      <c r="BK34" s="1907">
        <f t="shared" si="51"/>
        <v>1200</v>
      </c>
      <c r="BL34" s="1908"/>
      <c r="BM34" s="1908">
        <f t="shared" si="64"/>
        <v>-1200</v>
      </c>
      <c r="BN34" s="1910">
        <f t="shared" si="52"/>
        <v>-100</v>
      </c>
      <c r="BO34" s="1922"/>
      <c r="BP34" s="1888"/>
      <c r="BQ34" s="1907">
        <f t="shared" si="35"/>
        <v>1200</v>
      </c>
      <c r="BR34" s="1908"/>
      <c r="BS34" s="1908">
        <f t="shared" si="65"/>
        <v>-1200</v>
      </c>
      <c r="BT34" s="2115">
        <f t="shared" si="53"/>
        <v>-100</v>
      </c>
      <c r="BU34" s="1922"/>
      <c r="BV34" s="1888"/>
      <c r="BW34" s="1922">
        <f t="shared" si="54"/>
        <v>14400</v>
      </c>
      <c r="BX34" s="1898">
        <f t="shared" si="36"/>
        <v>2962.3900000000003</v>
      </c>
    </row>
    <row r="35" spans="1:76" x14ac:dyDescent="0.25">
      <c r="A35" s="2386">
        <v>54391</v>
      </c>
      <c r="B35" s="2387" t="s">
        <v>3793</v>
      </c>
      <c r="C35" s="1917">
        <v>95000</v>
      </c>
      <c r="D35" s="1918">
        <v>87956.96</v>
      </c>
      <c r="E35" s="1908">
        <f t="shared" si="55"/>
        <v>-7043.0399999999936</v>
      </c>
      <c r="F35" s="2388">
        <f t="shared" si="37"/>
        <v>-7.4137263157894706</v>
      </c>
      <c r="G35" s="1924"/>
      <c r="H35" s="1919"/>
      <c r="I35" s="2217">
        <v>95000</v>
      </c>
      <c r="J35" s="2403">
        <v>90317.119999999995</v>
      </c>
      <c r="K35" s="1908">
        <f t="shared" si="38"/>
        <v>-4682.8800000000047</v>
      </c>
      <c r="L35" s="2388">
        <f t="shared" si="39"/>
        <v>-4.9293473684210554</v>
      </c>
      <c r="M35" s="1924"/>
      <c r="N35" s="1919"/>
      <c r="O35" s="1917">
        <f t="shared" si="40"/>
        <v>95000</v>
      </c>
      <c r="P35" s="1918">
        <f>VLOOKUP(A35,'[2]bALANCETE ORÇAMENTO'!$1:$1048576,7,0)</f>
        <v>94956.160000000003</v>
      </c>
      <c r="Q35" s="1908">
        <f t="shared" si="56"/>
        <v>-43.839999999996508</v>
      </c>
      <c r="R35" s="2388">
        <f t="shared" si="41"/>
        <v>-4.6147368421045609E-2</v>
      </c>
      <c r="S35" s="1924"/>
      <c r="T35" s="1919"/>
      <c r="U35" s="1917">
        <f t="shared" si="42"/>
        <v>95000</v>
      </c>
      <c r="V35" s="1918"/>
      <c r="W35" s="1908">
        <f t="shared" si="57"/>
        <v>-95000</v>
      </c>
      <c r="X35" s="2388">
        <f t="shared" si="43"/>
        <v>-100</v>
      </c>
      <c r="Y35" s="1924"/>
      <c r="Z35" s="1919"/>
      <c r="AA35" s="1917">
        <f t="shared" si="44"/>
        <v>95000</v>
      </c>
      <c r="AB35" s="1918"/>
      <c r="AC35" s="1908">
        <f t="shared" si="58"/>
        <v>-95000</v>
      </c>
      <c r="AD35" s="2388">
        <f t="shared" si="45"/>
        <v>-100</v>
      </c>
      <c r="AE35" s="1924"/>
      <c r="AF35" s="1919"/>
      <c r="AG35" s="1917">
        <f t="shared" si="30"/>
        <v>95000</v>
      </c>
      <c r="AH35" s="1918"/>
      <c r="AI35" s="1908">
        <f t="shared" si="59"/>
        <v>-95000</v>
      </c>
      <c r="AJ35" s="2388">
        <f t="shared" si="46"/>
        <v>-100</v>
      </c>
      <c r="AK35" s="1924"/>
      <c r="AL35" s="1919"/>
      <c r="AM35" s="1917">
        <f t="shared" si="31"/>
        <v>95000</v>
      </c>
      <c r="AN35" s="1918"/>
      <c r="AO35" s="1908">
        <f t="shared" si="60"/>
        <v>-95000</v>
      </c>
      <c r="AP35" s="2388">
        <f t="shared" si="47"/>
        <v>-100</v>
      </c>
      <c r="AQ35" s="1924"/>
      <c r="AR35" s="1919"/>
      <c r="AS35" s="1917">
        <f t="shared" si="32"/>
        <v>95000</v>
      </c>
      <c r="AT35" s="1918"/>
      <c r="AU35" s="1908">
        <f t="shared" si="61"/>
        <v>-95000</v>
      </c>
      <c r="AV35" s="2388">
        <f t="shared" si="48"/>
        <v>-100</v>
      </c>
      <c r="AW35" s="1924"/>
      <c r="AX35" s="1919"/>
      <c r="AY35" s="1917">
        <f t="shared" si="33"/>
        <v>95000</v>
      </c>
      <c r="AZ35" s="1918"/>
      <c r="BA35" s="1908">
        <f t="shared" si="62"/>
        <v>-95000</v>
      </c>
      <c r="BB35" s="1920">
        <f t="shared" si="49"/>
        <v>-100</v>
      </c>
      <c r="BC35" s="1924"/>
      <c r="BD35" s="1919"/>
      <c r="BE35" s="1917">
        <f t="shared" si="34"/>
        <v>95000</v>
      </c>
      <c r="BF35" s="1918"/>
      <c r="BG35" s="1908">
        <f t="shared" si="63"/>
        <v>-95000</v>
      </c>
      <c r="BH35" s="1920">
        <f t="shared" si="50"/>
        <v>-100</v>
      </c>
      <c r="BI35" s="1924"/>
      <c r="BJ35" s="1919"/>
      <c r="BK35" s="1917">
        <f t="shared" si="51"/>
        <v>95000</v>
      </c>
      <c r="BL35" s="1918"/>
      <c r="BM35" s="1908">
        <f t="shared" si="64"/>
        <v>-95000</v>
      </c>
      <c r="BN35" s="1920">
        <f t="shared" si="52"/>
        <v>-100</v>
      </c>
      <c r="BO35" s="1924"/>
      <c r="BP35" s="1919"/>
      <c r="BQ35" s="1917">
        <f t="shared" si="35"/>
        <v>95000</v>
      </c>
      <c r="BR35" s="1918"/>
      <c r="BS35" s="1908">
        <f t="shared" si="65"/>
        <v>-95000</v>
      </c>
      <c r="BT35" s="2389">
        <f t="shared" si="53"/>
        <v>-100</v>
      </c>
      <c r="BU35" s="1924"/>
      <c r="BV35" s="1919"/>
      <c r="BW35" s="1922">
        <f t="shared" si="54"/>
        <v>1140000</v>
      </c>
      <c r="BX35" s="1898">
        <f t="shared" si="36"/>
        <v>273230.24</v>
      </c>
    </row>
    <row r="36" spans="1:76" x14ac:dyDescent="0.25">
      <c r="A36" s="1686">
        <v>51822</v>
      </c>
      <c r="B36" s="1901" t="s">
        <v>192</v>
      </c>
      <c r="C36" s="1907">
        <v>95000</v>
      </c>
      <c r="D36" s="2373">
        <v>97153.46</v>
      </c>
      <c r="E36" s="1908">
        <f t="shared" si="55"/>
        <v>2153.4600000000064</v>
      </c>
      <c r="F36" s="2374">
        <f t="shared" si="37"/>
        <v>2.2668000000000132</v>
      </c>
      <c r="G36" s="1922"/>
      <c r="H36" s="1888"/>
      <c r="I36" s="1922">
        <v>95000</v>
      </c>
      <c r="J36" s="2403">
        <v>95027.47</v>
      </c>
      <c r="K36" s="1908">
        <f t="shared" si="38"/>
        <v>27.470000000001164</v>
      </c>
      <c r="L36" s="2374">
        <f t="shared" si="39"/>
        <v>2.8915789473682452E-2</v>
      </c>
      <c r="M36" s="1922"/>
      <c r="N36" s="1888"/>
      <c r="O36" s="1907">
        <f t="shared" si="40"/>
        <v>95000</v>
      </c>
      <c r="P36" s="1908">
        <f>VLOOKUP(A36,'[2]bALANCETE ORÇAMENTO'!$1:$1048576,7,0)</f>
        <v>116718.87</v>
      </c>
      <c r="Q36" s="1908">
        <f t="shared" si="56"/>
        <v>21718.869999999995</v>
      </c>
      <c r="R36" s="2374">
        <f t="shared" si="41"/>
        <v>22.861968421052637</v>
      </c>
      <c r="S36" s="1922"/>
      <c r="T36" s="1888"/>
      <c r="U36" s="1907">
        <f t="shared" si="42"/>
        <v>95000</v>
      </c>
      <c r="V36" s="1908"/>
      <c r="W36" s="1908">
        <f t="shared" si="57"/>
        <v>-95000</v>
      </c>
      <c r="X36" s="2374">
        <f t="shared" si="43"/>
        <v>-100</v>
      </c>
      <c r="Y36" s="1922"/>
      <c r="Z36" s="1888"/>
      <c r="AA36" s="1907">
        <f t="shared" si="44"/>
        <v>95000</v>
      </c>
      <c r="AB36" s="1908"/>
      <c r="AC36" s="1908">
        <f t="shared" si="58"/>
        <v>-95000</v>
      </c>
      <c r="AD36" s="2374">
        <f t="shared" si="45"/>
        <v>-100</v>
      </c>
      <c r="AE36" s="1922"/>
      <c r="AF36" s="1888"/>
      <c r="AG36" s="1907">
        <f t="shared" si="30"/>
        <v>95000</v>
      </c>
      <c r="AH36" s="1908"/>
      <c r="AI36" s="1908">
        <f t="shared" si="59"/>
        <v>-95000</v>
      </c>
      <c r="AJ36" s="2374">
        <f t="shared" si="46"/>
        <v>-100</v>
      </c>
      <c r="AK36" s="1922"/>
      <c r="AL36" s="1888"/>
      <c r="AM36" s="1907">
        <f t="shared" si="31"/>
        <v>95000</v>
      </c>
      <c r="AN36" s="1908"/>
      <c r="AO36" s="1908">
        <f t="shared" si="60"/>
        <v>-95000</v>
      </c>
      <c r="AP36" s="2374">
        <f t="shared" si="47"/>
        <v>-100</v>
      </c>
      <c r="AQ36" s="1922"/>
      <c r="AR36" s="1888"/>
      <c r="AS36" s="1907">
        <f t="shared" si="32"/>
        <v>95000</v>
      </c>
      <c r="AT36" s="1908"/>
      <c r="AU36" s="1908">
        <f t="shared" si="61"/>
        <v>-95000</v>
      </c>
      <c r="AV36" s="2374">
        <f t="shared" si="48"/>
        <v>-100</v>
      </c>
      <c r="AW36" s="1922"/>
      <c r="AX36" s="1888"/>
      <c r="AY36" s="1907">
        <f t="shared" si="33"/>
        <v>95000</v>
      </c>
      <c r="AZ36" s="1908"/>
      <c r="BA36" s="1908">
        <f t="shared" si="62"/>
        <v>-95000</v>
      </c>
      <c r="BB36" s="1910">
        <f t="shared" si="49"/>
        <v>-100</v>
      </c>
      <c r="BC36" s="1922"/>
      <c r="BD36" s="1888"/>
      <c r="BE36" s="1907">
        <f t="shared" si="34"/>
        <v>95000</v>
      </c>
      <c r="BF36" s="1908"/>
      <c r="BG36" s="1908">
        <f t="shared" si="63"/>
        <v>-95000</v>
      </c>
      <c r="BH36" s="1910">
        <f t="shared" si="50"/>
        <v>-100</v>
      </c>
      <c r="BI36" s="1922"/>
      <c r="BJ36" s="1888"/>
      <c r="BK36" s="1907">
        <f t="shared" si="51"/>
        <v>95000</v>
      </c>
      <c r="BL36" s="1908"/>
      <c r="BM36" s="1908">
        <f t="shared" si="64"/>
        <v>-95000</v>
      </c>
      <c r="BN36" s="1910">
        <f t="shared" si="52"/>
        <v>-100</v>
      </c>
      <c r="BO36" s="1922"/>
      <c r="BP36" s="1888"/>
      <c r="BQ36" s="1907">
        <f t="shared" si="35"/>
        <v>95000</v>
      </c>
      <c r="BR36" s="1908"/>
      <c r="BS36" s="1908">
        <f t="shared" si="65"/>
        <v>-95000</v>
      </c>
      <c r="BT36" s="2115">
        <f t="shared" si="53"/>
        <v>-100</v>
      </c>
      <c r="BU36" s="1922"/>
      <c r="BV36" s="1888"/>
      <c r="BW36" s="1922">
        <f t="shared" si="54"/>
        <v>1140000</v>
      </c>
      <c r="BX36" s="1898">
        <f t="shared" si="36"/>
        <v>308899.8</v>
      </c>
    </row>
    <row r="37" spans="1:76" x14ac:dyDescent="0.25">
      <c r="A37" s="1686">
        <v>52230</v>
      </c>
      <c r="B37" s="1901" t="s">
        <v>3789</v>
      </c>
      <c r="C37" s="1907">
        <v>12000</v>
      </c>
      <c r="D37" s="2373">
        <v>69226</v>
      </c>
      <c r="E37" s="1908">
        <f t="shared" si="55"/>
        <v>57226</v>
      </c>
      <c r="F37" s="2374">
        <f t="shared" si="37"/>
        <v>476.88333333333333</v>
      </c>
      <c r="G37" s="1922"/>
      <c r="H37" s="1888"/>
      <c r="I37" s="1922">
        <v>12000</v>
      </c>
      <c r="J37" s="2403">
        <v>67552</v>
      </c>
      <c r="K37" s="1908">
        <f t="shared" si="38"/>
        <v>55552</v>
      </c>
      <c r="L37" s="2374">
        <f t="shared" si="39"/>
        <v>462.93333333333334</v>
      </c>
      <c r="M37" s="1922"/>
      <c r="N37" s="1888"/>
      <c r="O37" s="1907">
        <f t="shared" si="40"/>
        <v>12000</v>
      </c>
      <c r="P37" s="1908">
        <f>VLOOKUP(A37,'[2]bALANCETE ORÇAMENTO'!$1:$1048576,7,0)</f>
        <v>13120</v>
      </c>
      <c r="Q37" s="1908">
        <f t="shared" si="56"/>
        <v>1120</v>
      </c>
      <c r="R37" s="2374">
        <f t="shared" si="41"/>
        <v>9.3333333333333268</v>
      </c>
      <c r="S37" s="1922"/>
      <c r="T37" s="1888"/>
      <c r="U37" s="1907">
        <f t="shared" si="42"/>
        <v>12000</v>
      </c>
      <c r="V37" s="1908"/>
      <c r="W37" s="1908">
        <f t="shared" si="57"/>
        <v>-12000</v>
      </c>
      <c r="X37" s="2374">
        <f t="shared" si="43"/>
        <v>-100</v>
      </c>
      <c r="Y37" s="1922"/>
      <c r="Z37" s="1888"/>
      <c r="AA37" s="1907">
        <f t="shared" si="44"/>
        <v>12000</v>
      </c>
      <c r="AB37" s="1908"/>
      <c r="AC37" s="1908">
        <f t="shared" si="58"/>
        <v>-12000</v>
      </c>
      <c r="AD37" s="2374">
        <f t="shared" si="45"/>
        <v>-100</v>
      </c>
      <c r="AE37" s="1922"/>
      <c r="AF37" s="1888"/>
      <c r="AG37" s="1907">
        <f t="shared" si="30"/>
        <v>12000</v>
      </c>
      <c r="AH37" s="1908"/>
      <c r="AI37" s="1908">
        <f t="shared" si="59"/>
        <v>-12000</v>
      </c>
      <c r="AJ37" s="2374">
        <f t="shared" si="46"/>
        <v>-100</v>
      </c>
      <c r="AK37" s="1922"/>
      <c r="AL37" s="1888"/>
      <c r="AM37" s="1907">
        <f t="shared" si="31"/>
        <v>12000</v>
      </c>
      <c r="AN37" s="1908"/>
      <c r="AO37" s="1908">
        <f t="shared" si="60"/>
        <v>-12000</v>
      </c>
      <c r="AP37" s="2374">
        <f t="shared" si="47"/>
        <v>-100</v>
      </c>
      <c r="AQ37" s="1922"/>
      <c r="AR37" s="1888"/>
      <c r="AS37" s="1907">
        <f t="shared" si="32"/>
        <v>12000</v>
      </c>
      <c r="AT37" s="1908"/>
      <c r="AU37" s="1908">
        <f t="shared" si="61"/>
        <v>-12000</v>
      </c>
      <c r="AV37" s="2374">
        <f t="shared" si="48"/>
        <v>-100</v>
      </c>
      <c r="AW37" s="1922"/>
      <c r="AX37" s="1888"/>
      <c r="AY37" s="1907">
        <f t="shared" si="33"/>
        <v>12000</v>
      </c>
      <c r="AZ37" s="1908"/>
      <c r="BA37" s="1908">
        <f t="shared" si="62"/>
        <v>-12000</v>
      </c>
      <c r="BB37" s="1910">
        <f t="shared" si="49"/>
        <v>-100</v>
      </c>
      <c r="BC37" s="1922"/>
      <c r="BD37" s="1888"/>
      <c r="BE37" s="1907">
        <f t="shared" si="34"/>
        <v>12000</v>
      </c>
      <c r="BF37" s="1908"/>
      <c r="BG37" s="1908">
        <f t="shared" si="63"/>
        <v>-12000</v>
      </c>
      <c r="BH37" s="1910">
        <f t="shared" si="50"/>
        <v>-100</v>
      </c>
      <c r="BI37" s="1922"/>
      <c r="BJ37" s="1888"/>
      <c r="BK37" s="1907">
        <f t="shared" si="51"/>
        <v>12000</v>
      </c>
      <c r="BL37" s="1908"/>
      <c r="BM37" s="1908">
        <f t="shared" si="64"/>
        <v>-12000</v>
      </c>
      <c r="BN37" s="1910">
        <f t="shared" si="52"/>
        <v>-100</v>
      </c>
      <c r="BO37" s="1922"/>
      <c r="BP37" s="1888"/>
      <c r="BQ37" s="1907">
        <f t="shared" si="35"/>
        <v>12000</v>
      </c>
      <c r="BR37" s="1908"/>
      <c r="BS37" s="1908">
        <f t="shared" si="65"/>
        <v>-12000</v>
      </c>
      <c r="BT37" s="2115">
        <f t="shared" si="53"/>
        <v>-100</v>
      </c>
      <c r="BU37" s="1922"/>
      <c r="BV37" s="1888"/>
      <c r="BW37" s="1922">
        <f t="shared" si="54"/>
        <v>144000</v>
      </c>
      <c r="BX37" s="1898">
        <f t="shared" si="36"/>
        <v>149898</v>
      </c>
    </row>
    <row r="38" spans="1:76" x14ac:dyDescent="0.25">
      <c r="A38" s="1686">
        <v>12226</v>
      </c>
      <c r="B38" s="1901" t="s">
        <v>3773</v>
      </c>
      <c r="C38" s="1907">
        <v>35000</v>
      </c>
      <c r="D38" s="2373">
        <v>22763</v>
      </c>
      <c r="E38" s="1908">
        <f t="shared" si="55"/>
        <v>-12237</v>
      </c>
      <c r="F38" s="2374">
        <f t="shared" si="37"/>
        <v>-34.962857142857139</v>
      </c>
      <c r="G38" s="1922"/>
      <c r="H38" s="1888"/>
      <c r="I38" s="1922">
        <v>35000</v>
      </c>
      <c r="J38" s="2404">
        <v>47043.44</v>
      </c>
      <c r="K38" s="1908">
        <f t="shared" si="38"/>
        <v>12043.440000000002</v>
      </c>
      <c r="L38" s="2374">
        <f t="shared" si="39"/>
        <v>34.409828571428577</v>
      </c>
      <c r="M38" s="1922"/>
      <c r="N38" s="1888"/>
      <c r="O38" s="1907">
        <f t="shared" si="40"/>
        <v>35000</v>
      </c>
      <c r="P38" s="1908">
        <f>VLOOKUP(A38,'[2]bALANCETE ORÇAMENTO'!$1:$1048576,7,0)</f>
        <v>17955.439999999999</v>
      </c>
      <c r="Q38" s="1908">
        <f t="shared" si="56"/>
        <v>-17044.560000000001</v>
      </c>
      <c r="R38" s="2374">
        <f t="shared" si="41"/>
        <v>-48.698742857142861</v>
      </c>
      <c r="S38" s="1922"/>
      <c r="T38" s="1888"/>
      <c r="U38" s="1907">
        <f t="shared" si="42"/>
        <v>35000</v>
      </c>
      <c r="V38" s="1908"/>
      <c r="W38" s="1908">
        <f t="shared" si="57"/>
        <v>-35000</v>
      </c>
      <c r="X38" s="2374">
        <f t="shared" si="43"/>
        <v>-100</v>
      </c>
      <c r="Y38" s="1922"/>
      <c r="Z38" s="1888"/>
      <c r="AA38" s="1907">
        <f t="shared" si="44"/>
        <v>35000</v>
      </c>
      <c r="AB38" s="1908"/>
      <c r="AC38" s="1908">
        <f t="shared" si="58"/>
        <v>-35000</v>
      </c>
      <c r="AD38" s="2374">
        <f t="shared" si="45"/>
        <v>-100</v>
      </c>
      <c r="AE38" s="1922"/>
      <c r="AF38" s="1888"/>
      <c r="AG38" s="1907">
        <f t="shared" si="30"/>
        <v>35000</v>
      </c>
      <c r="AH38" s="1908"/>
      <c r="AI38" s="1908">
        <f t="shared" si="59"/>
        <v>-35000</v>
      </c>
      <c r="AJ38" s="2374">
        <f t="shared" si="46"/>
        <v>-100</v>
      </c>
      <c r="AK38" s="1922"/>
      <c r="AL38" s="1888"/>
      <c r="AM38" s="1907">
        <f t="shared" si="31"/>
        <v>35000</v>
      </c>
      <c r="AN38" s="1908"/>
      <c r="AO38" s="1908">
        <f t="shared" si="60"/>
        <v>-35000</v>
      </c>
      <c r="AP38" s="2374">
        <f t="shared" si="47"/>
        <v>-100</v>
      </c>
      <c r="AQ38" s="1922"/>
      <c r="AR38" s="1888"/>
      <c r="AS38" s="1907">
        <f t="shared" si="32"/>
        <v>35000</v>
      </c>
      <c r="AT38" s="1908"/>
      <c r="AU38" s="1908">
        <f t="shared" si="61"/>
        <v>-35000</v>
      </c>
      <c r="AV38" s="2374">
        <f t="shared" si="48"/>
        <v>-100</v>
      </c>
      <c r="AW38" s="1922"/>
      <c r="AX38" s="1888"/>
      <c r="AY38" s="1907">
        <f t="shared" si="33"/>
        <v>35000</v>
      </c>
      <c r="AZ38" s="1908"/>
      <c r="BA38" s="1908">
        <f t="shared" si="62"/>
        <v>-35000</v>
      </c>
      <c r="BB38" s="1910">
        <f t="shared" si="49"/>
        <v>-100</v>
      </c>
      <c r="BC38" s="1922"/>
      <c r="BD38" s="1888"/>
      <c r="BE38" s="1907">
        <f t="shared" si="34"/>
        <v>35000</v>
      </c>
      <c r="BF38" s="1908"/>
      <c r="BG38" s="1908">
        <f t="shared" si="63"/>
        <v>-35000</v>
      </c>
      <c r="BH38" s="1910">
        <f t="shared" si="50"/>
        <v>-100</v>
      </c>
      <c r="BI38" s="1922"/>
      <c r="BJ38" s="1888"/>
      <c r="BK38" s="1907">
        <f t="shared" si="51"/>
        <v>35000</v>
      </c>
      <c r="BL38" s="1908"/>
      <c r="BM38" s="1908">
        <f t="shared" si="64"/>
        <v>-35000</v>
      </c>
      <c r="BN38" s="1910">
        <f t="shared" si="52"/>
        <v>-100</v>
      </c>
      <c r="BO38" s="1922"/>
      <c r="BP38" s="1888"/>
      <c r="BQ38" s="1907">
        <f t="shared" si="35"/>
        <v>35000</v>
      </c>
      <c r="BR38" s="1908"/>
      <c r="BS38" s="1908">
        <f t="shared" si="65"/>
        <v>-35000</v>
      </c>
      <c r="BT38" s="2115">
        <f t="shared" si="53"/>
        <v>-100</v>
      </c>
      <c r="BU38" s="1922"/>
      <c r="BV38" s="1888"/>
      <c r="BW38" s="1922">
        <f t="shared" si="54"/>
        <v>420000</v>
      </c>
      <c r="BX38" s="1898">
        <f t="shared" si="36"/>
        <v>87761.88</v>
      </c>
    </row>
    <row r="39" spans="1:76" x14ac:dyDescent="0.25">
      <c r="A39" s="1686">
        <v>51821</v>
      </c>
      <c r="B39" s="1901" t="s">
        <v>191</v>
      </c>
      <c r="C39" s="1907">
        <v>3600</v>
      </c>
      <c r="D39" s="2373">
        <v>3349.62</v>
      </c>
      <c r="E39" s="1908">
        <f t="shared" si="55"/>
        <v>-250.38000000000011</v>
      </c>
      <c r="F39" s="2374">
        <f t="shared" si="37"/>
        <v>-6.9550000000000001</v>
      </c>
      <c r="G39" s="1922"/>
      <c r="H39" s="1888"/>
      <c r="I39" s="1922">
        <v>3600</v>
      </c>
      <c r="J39" s="2404">
        <v>3286.81</v>
      </c>
      <c r="K39" s="1908">
        <f t="shared" si="38"/>
        <v>-313.19000000000005</v>
      </c>
      <c r="L39" s="2374">
        <f t="shared" si="39"/>
        <v>-8.6997222222222277</v>
      </c>
      <c r="M39" s="1922"/>
      <c r="N39" s="1888"/>
      <c r="O39" s="1907">
        <f t="shared" si="40"/>
        <v>3600</v>
      </c>
      <c r="P39" s="1908">
        <f>VLOOKUP(A39,'[2]bALANCETE ORÇAMENTO'!$1:$1048576,7,0)</f>
        <v>3275.41</v>
      </c>
      <c r="Q39" s="1908">
        <f t="shared" si="56"/>
        <v>-324.59000000000015</v>
      </c>
      <c r="R39" s="2374">
        <f t="shared" si="41"/>
        <v>-9.0163888888888941</v>
      </c>
      <c r="S39" s="1922"/>
      <c r="T39" s="1888"/>
      <c r="U39" s="1907">
        <f t="shared" si="42"/>
        <v>3600</v>
      </c>
      <c r="V39" s="1908"/>
      <c r="W39" s="1908">
        <f t="shared" si="57"/>
        <v>-3600</v>
      </c>
      <c r="X39" s="2374">
        <f t="shared" si="43"/>
        <v>-100</v>
      </c>
      <c r="Y39" s="1922"/>
      <c r="Z39" s="1888"/>
      <c r="AA39" s="1907">
        <f t="shared" si="44"/>
        <v>3600</v>
      </c>
      <c r="AB39" s="1908"/>
      <c r="AC39" s="1908">
        <f t="shared" si="58"/>
        <v>-3600</v>
      </c>
      <c r="AD39" s="2374">
        <f t="shared" si="45"/>
        <v>-100</v>
      </c>
      <c r="AE39" s="1922"/>
      <c r="AF39" s="1888"/>
      <c r="AG39" s="1907">
        <f t="shared" si="30"/>
        <v>3600</v>
      </c>
      <c r="AH39" s="1908"/>
      <c r="AI39" s="1908">
        <f t="shared" si="59"/>
        <v>-3600</v>
      </c>
      <c r="AJ39" s="2374">
        <f t="shared" si="46"/>
        <v>-100</v>
      </c>
      <c r="AK39" s="1922"/>
      <c r="AL39" s="1888"/>
      <c r="AM39" s="1907">
        <f t="shared" si="31"/>
        <v>3600</v>
      </c>
      <c r="AN39" s="1908"/>
      <c r="AO39" s="1908">
        <f t="shared" si="60"/>
        <v>-3600</v>
      </c>
      <c r="AP39" s="2374">
        <f t="shared" si="47"/>
        <v>-100</v>
      </c>
      <c r="AQ39" s="1922"/>
      <c r="AR39" s="1888"/>
      <c r="AS39" s="1907">
        <f t="shared" si="32"/>
        <v>3600</v>
      </c>
      <c r="AT39" s="1908"/>
      <c r="AU39" s="1908">
        <f t="shared" si="61"/>
        <v>-3600</v>
      </c>
      <c r="AV39" s="2374">
        <f t="shared" si="48"/>
        <v>-100</v>
      </c>
      <c r="AW39" s="1922"/>
      <c r="AX39" s="1888"/>
      <c r="AY39" s="1907">
        <f t="shared" si="33"/>
        <v>3600</v>
      </c>
      <c r="AZ39" s="1908"/>
      <c r="BA39" s="1908">
        <f t="shared" si="62"/>
        <v>-3600</v>
      </c>
      <c r="BB39" s="1910">
        <f t="shared" si="49"/>
        <v>-100</v>
      </c>
      <c r="BC39" s="1922"/>
      <c r="BD39" s="1888"/>
      <c r="BE39" s="1907">
        <f t="shared" si="34"/>
        <v>3600</v>
      </c>
      <c r="BF39" s="1908"/>
      <c r="BG39" s="1908">
        <f t="shared" si="63"/>
        <v>-3600</v>
      </c>
      <c r="BH39" s="1910">
        <f t="shared" si="50"/>
        <v>-100</v>
      </c>
      <c r="BI39" s="1922"/>
      <c r="BJ39" s="1888"/>
      <c r="BK39" s="1907">
        <f t="shared" si="51"/>
        <v>3600</v>
      </c>
      <c r="BL39" s="1908"/>
      <c r="BM39" s="1908">
        <f t="shared" si="64"/>
        <v>-3600</v>
      </c>
      <c r="BN39" s="1910">
        <f t="shared" si="52"/>
        <v>-100</v>
      </c>
      <c r="BO39" s="1922"/>
      <c r="BP39" s="1888"/>
      <c r="BQ39" s="1907">
        <f t="shared" si="35"/>
        <v>3600</v>
      </c>
      <c r="BR39" s="1908"/>
      <c r="BS39" s="1908">
        <f t="shared" si="65"/>
        <v>-3600</v>
      </c>
      <c r="BT39" s="2115">
        <f t="shared" si="53"/>
        <v>-100</v>
      </c>
      <c r="BU39" s="1922"/>
      <c r="BV39" s="1888"/>
      <c r="BW39" s="1922">
        <f t="shared" si="54"/>
        <v>43200</v>
      </c>
      <c r="BX39" s="1898">
        <f t="shared" si="36"/>
        <v>9911.84</v>
      </c>
    </row>
    <row r="40" spans="1:76" x14ac:dyDescent="0.25">
      <c r="A40" s="1686">
        <v>12889</v>
      </c>
      <c r="B40" s="2378" t="s">
        <v>3899</v>
      </c>
      <c r="C40" s="1911">
        <v>0</v>
      </c>
      <c r="D40" s="2379">
        <v>900</v>
      </c>
      <c r="E40" s="1908">
        <f t="shared" si="55"/>
        <v>900</v>
      </c>
      <c r="F40" s="2374">
        <v>0</v>
      </c>
      <c r="G40" s="1923"/>
      <c r="H40" s="1888"/>
      <c r="I40" s="1923">
        <v>0</v>
      </c>
      <c r="J40" s="2404">
        <v>848.11</v>
      </c>
      <c r="K40" s="1908">
        <f t="shared" si="38"/>
        <v>848.11</v>
      </c>
      <c r="L40" s="2374">
        <v>0</v>
      </c>
      <c r="M40" s="1923"/>
      <c r="N40" s="1888"/>
      <c r="O40" s="1911">
        <f t="shared" si="40"/>
        <v>0</v>
      </c>
      <c r="P40" s="1912">
        <f>VLOOKUP(A40,'[2]bALANCETE ORÇAMENTO'!$1:$1048576,7,0)</f>
        <v>862.1</v>
      </c>
      <c r="Q40" s="1908">
        <f t="shared" si="56"/>
        <v>862.1</v>
      </c>
      <c r="R40" s="2374">
        <v>0</v>
      </c>
      <c r="S40" s="1923"/>
      <c r="T40" s="1888"/>
      <c r="U40" s="1911">
        <f t="shared" si="42"/>
        <v>0</v>
      </c>
      <c r="V40" s="1912"/>
      <c r="W40" s="1908">
        <f t="shared" si="57"/>
        <v>0</v>
      </c>
      <c r="X40" s="2374">
        <v>0</v>
      </c>
      <c r="Y40" s="1923"/>
      <c r="Z40" s="1888"/>
      <c r="AA40" s="1911">
        <f t="shared" si="44"/>
        <v>0</v>
      </c>
      <c r="AB40" s="1912"/>
      <c r="AC40" s="1908">
        <f t="shared" si="58"/>
        <v>0</v>
      </c>
      <c r="AD40" s="2374">
        <v>0</v>
      </c>
      <c r="AE40" s="1923"/>
      <c r="AF40" s="1888"/>
      <c r="AG40" s="1911">
        <f t="shared" si="30"/>
        <v>0</v>
      </c>
      <c r="AH40" s="1912"/>
      <c r="AI40" s="1908">
        <f t="shared" si="59"/>
        <v>0</v>
      </c>
      <c r="AJ40" s="2374">
        <v>0</v>
      </c>
      <c r="AK40" s="1923"/>
      <c r="AL40" s="1888"/>
      <c r="AM40" s="1911">
        <f t="shared" si="31"/>
        <v>0</v>
      </c>
      <c r="AN40" s="1912"/>
      <c r="AO40" s="1908">
        <f t="shared" si="60"/>
        <v>0</v>
      </c>
      <c r="AP40" s="2374">
        <v>0</v>
      </c>
      <c r="AQ40" s="1923"/>
      <c r="AR40" s="1888"/>
      <c r="AS40" s="1911">
        <f t="shared" si="32"/>
        <v>0</v>
      </c>
      <c r="AT40" s="1912"/>
      <c r="AU40" s="1908">
        <f t="shared" si="61"/>
        <v>0</v>
      </c>
      <c r="AV40" s="2374">
        <v>0</v>
      </c>
      <c r="AW40" s="1923"/>
      <c r="AX40" s="1888"/>
      <c r="AY40" s="1911">
        <f t="shared" si="33"/>
        <v>0</v>
      </c>
      <c r="AZ40" s="1912"/>
      <c r="BA40" s="1908">
        <f t="shared" si="62"/>
        <v>0</v>
      </c>
      <c r="BB40" s="1910">
        <v>0</v>
      </c>
      <c r="BC40" s="1923"/>
      <c r="BD40" s="1888"/>
      <c r="BE40" s="1911">
        <f t="shared" si="34"/>
        <v>0</v>
      </c>
      <c r="BF40" s="1912"/>
      <c r="BG40" s="1908">
        <f t="shared" si="63"/>
        <v>0</v>
      </c>
      <c r="BH40" s="1910">
        <v>0</v>
      </c>
      <c r="BI40" s="1923"/>
      <c r="BJ40" s="1888"/>
      <c r="BK40" s="1911">
        <f t="shared" si="51"/>
        <v>0</v>
      </c>
      <c r="BL40" s="1912"/>
      <c r="BM40" s="1908">
        <f t="shared" si="64"/>
        <v>0</v>
      </c>
      <c r="BN40" s="1910">
        <v>0</v>
      </c>
      <c r="BO40" s="1923"/>
      <c r="BP40" s="1888"/>
      <c r="BQ40" s="1911">
        <f t="shared" si="35"/>
        <v>0</v>
      </c>
      <c r="BR40" s="1912"/>
      <c r="BS40" s="1908">
        <f t="shared" si="65"/>
        <v>0</v>
      </c>
      <c r="BT40" s="2115">
        <v>0</v>
      </c>
      <c r="BU40" s="1923"/>
      <c r="BV40" s="1888"/>
      <c r="BW40" s="1923">
        <f t="shared" si="54"/>
        <v>0</v>
      </c>
      <c r="BX40" s="1898">
        <f t="shared" si="36"/>
        <v>2610.21</v>
      </c>
    </row>
    <row r="41" spans="1:76" ht="15.75" thickBot="1" x14ac:dyDescent="0.3">
      <c r="A41" s="2377">
        <v>51641</v>
      </c>
      <c r="B41" s="2378" t="s">
        <v>3787</v>
      </c>
      <c r="C41" s="2390">
        <v>65000</v>
      </c>
      <c r="D41" s="2379">
        <v>58315.74</v>
      </c>
      <c r="E41" s="1908">
        <f t="shared" si="55"/>
        <v>-6684.260000000002</v>
      </c>
      <c r="F41" s="1913">
        <f t="shared" ref="F41:F47" si="66">((D41/C41)-1)*100</f>
        <v>-10.283476923076929</v>
      </c>
      <c r="G41" s="1923"/>
      <c r="H41" s="1888"/>
      <c r="I41" s="1923">
        <v>65000</v>
      </c>
      <c r="J41" s="2407">
        <v>105659.65</v>
      </c>
      <c r="K41" s="1908">
        <f t="shared" si="38"/>
        <v>40659.649999999994</v>
      </c>
      <c r="L41" s="1913">
        <f t="shared" ref="L41:L47" si="67">((J41/I41)-1)*100</f>
        <v>62.553307692307691</v>
      </c>
      <c r="M41" s="1923"/>
      <c r="N41" s="1888"/>
      <c r="O41" s="1911">
        <f t="shared" si="40"/>
        <v>65000</v>
      </c>
      <c r="P41" s="1912">
        <f>VLOOKUP(A41,'[2]bALANCETE ORÇAMENTO'!$1:$1048576,7,0)</f>
        <v>105659.65</v>
      </c>
      <c r="Q41" s="1908">
        <f t="shared" si="56"/>
        <v>40659.649999999994</v>
      </c>
      <c r="R41" s="1913">
        <f t="shared" ref="R41:R47" si="68">((P41/O41)-1)*100</f>
        <v>62.553307692307691</v>
      </c>
      <c r="S41" s="1923"/>
      <c r="T41" s="1888"/>
      <c r="U41" s="1911">
        <f t="shared" si="42"/>
        <v>65000</v>
      </c>
      <c r="V41" s="1912"/>
      <c r="W41" s="1908">
        <f t="shared" si="57"/>
        <v>-65000</v>
      </c>
      <c r="X41" s="1913">
        <f t="shared" ref="X41:X47" si="69">((V41/U41)-1)*100</f>
        <v>-100</v>
      </c>
      <c r="Y41" s="1923"/>
      <c r="Z41" s="1888"/>
      <c r="AA41" s="1911">
        <f t="shared" si="44"/>
        <v>65000</v>
      </c>
      <c r="AB41" s="1912"/>
      <c r="AC41" s="1908">
        <f t="shared" si="58"/>
        <v>-65000</v>
      </c>
      <c r="AD41" s="1913">
        <f t="shared" ref="AD41:AD47" si="70">((AB41/AA41)-1)*100</f>
        <v>-100</v>
      </c>
      <c r="AE41" s="1923"/>
      <c r="AF41" s="1888"/>
      <c r="AG41" s="1911">
        <f t="shared" si="30"/>
        <v>65000</v>
      </c>
      <c r="AH41" s="1912"/>
      <c r="AI41" s="1908">
        <f t="shared" si="59"/>
        <v>-65000</v>
      </c>
      <c r="AJ41" s="1913">
        <f t="shared" ref="AJ41:AJ47" si="71">((AH41/AG41)-1)*100</f>
        <v>-100</v>
      </c>
      <c r="AK41" s="1923"/>
      <c r="AL41" s="1888"/>
      <c r="AM41" s="1911">
        <f t="shared" si="31"/>
        <v>65000</v>
      </c>
      <c r="AN41" s="1912"/>
      <c r="AO41" s="1908">
        <f t="shared" si="60"/>
        <v>-65000</v>
      </c>
      <c r="AP41" s="1913">
        <f t="shared" ref="AP41:AP47" si="72">((AN41/AM41)-1)*100</f>
        <v>-100</v>
      </c>
      <c r="AQ41" s="1923"/>
      <c r="AR41" s="1888"/>
      <c r="AS41" s="2375">
        <f t="shared" si="32"/>
        <v>65000</v>
      </c>
      <c r="AT41" s="1912"/>
      <c r="AU41" s="1908">
        <f t="shared" si="61"/>
        <v>-65000</v>
      </c>
      <c r="AV41" s="2411">
        <f t="shared" ref="AV41:AV47" si="73">((AT41/AS41)-1)*100</f>
        <v>-100</v>
      </c>
      <c r="AW41" s="1923"/>
      <c r="AX41" s="1888"/>
      <c r="AY41" s="1911">
        <f t="shared" si="33"/>
        <v>65000</v>
      </c>
      <c r="AZ41" s="1912"/>
      <c r="BA41" s="1908">
        <f t="shared" si="62"/>
        <v>-65000</v>
      </c>
      <c r="BB41" s="1914">
        <f t="shared" ref="BB41:BB47" si="74">((AZ41/AY41)-1)*100</f>
        <v>-100</v>
      </c>
      <c r="BC41" s="1923"/>
      <c r="BD41" s="1888"/>
      <c r="BE41" s="1911">
        <f t="shared" si="34"/>
        <v>65000</v>
      </c>
      <c r="BF41" s="1912"/>
      <c r="BG41" s="1908">
        <f t="shared" si="63"/>
        <v>-65000</v>
      </c>
      <c r="BH41" s="1914">
        <f t="shared" ref="BH41:BH47" si="75">((BF41/BE41)-1)*100</f>
        <v>-100</v>
      </c>
      <c r="BI41" s="1923"/>
      <c r="BJ41" s="1888"/>
      <c r="BK41" s="1911">
        <f t="shared" si="51"/>
        <v>65000</v>
      </c>
      <c r="BL41" s="1912"/>
      <c r="BM41" s="1908">
        <f t="shared" si="64"/>
        <v>-65000</v>
      </c>
      <c r="BN41" s="1914">
        <f t="shared" ref="BN41:BN47" si="76">((BL41/BK41)-1)*100</f>
        <v>-100</v>
      </c>
      <c r="BO41" s="1923"/>
      <c r="BP41" s="1888"/>
      <c r="BQ41" s="1911">
        <f t="shared" si="35"/>
        <v>65000</v>
      </c>
      <c r="BR41" s="1912"/>
      <c r="BS41" s="1908">
        <f t="shared" si="65"/>
        <v>-65000</v>
      </c>
      <c r="BT41" s="2391">
        <f t="shared" ref="BT41:BT47" si="77">((BR41/BQ41)-1)*100</f>
        <v>-100</v>
      </c>
      <c r="BU41" s="1923"/>
      <c r="BV41" s="1888"/>
      <c r="BW41" s="1923">
        <f t="shared" si="54"/>
        <v>780000</v>
      </c>
      <c r="BX41" s="1889">
        <f t="shared" si="36"/>
        <v>269635.03999999998</v>
      </c>
    </row>
    <row r="42" spans="1:76" x14ac:dyDescent="0.25">
      <c r="A42" s="2392">
        <v>12870</v>
      </c>
      <c r="B42" s="1890" t="s">
        <v>182</v>
      </c>
      <c r="C42" s="1909">
        <v>8000</v>
      </c>
      <c r="D42" s="2381">
        <v>0</v>
      </c>
      <c r="E42" s="1891">
        <f>D42-C42</f>
        <v>-8000</v>
      </c>
      <c r="F42" s="2149">
        <f t="shared" si="66"/>
        <v>-100</v>
      </c>
      <c r="G42" s="2186"/>
      <c r="H42" s="1888"/>
      <c r="I42" s="2186">
        <v>8000</v>
      </c>
      <c r="J42" s="2402">
        <v>0</v>
      </c>
      <c r="K42" s="1891">
        <f t="shared" si="38"/>
        <v>-8000</v>
      </c>
      <c r="L42" s="2149">
        <f t="shared" si="67"/>
        <v>-100</v>
      </c>
      <c r="M42" s="2186"/>
      <c r="N42" s="1888"/>
      <c r="O42" s="2184">
        <f t="shared" si="40"/>
        <v>8000</v>
      </c>
      <c r="P42" s="1891">
        <v>0</v>
      </c>
      <c r="Q42" s="1891">
        <f>P42-O42</f>
        <v>-8000</v>
      </c>
      <c r="R42" s="2149">
        <f t="shared" si="68"/>
        <v>-100</v>
      </c>
      <c r="S42" s="2186"/>
      <c r="T42" s="1888"/>
      <c r="U42" s="2184">
        <f t="shared" si="42"/>
        <v>8000</v>
      </c>
      <c r="V42" s="1891"/>
      <c r="W42" s="1891">
        <f>V42-U42</f>
        <v>-8000</v>
      </c>
      <c r="X42" s="2149">
        <f t="shared" si="69"/>
        <v>-100</v>
      </c>
      <c r="Y42" s="2186"/>
      <c r="Z42" s="1888"/>
      <c r="AA42" s="2184">
        <f t="shared" si="44"/>
        <v>8000</v>
      </c>
      <c r="AB42" s="1891"/>
      <c r="AC42" s="1891">
        <f>AB42-AA42</f>
        <v>-8000</v>
      </c>
      <c r="AD42" s="2149">
        <f t="shared" si="70"/>
        <v>-100</v>
      </c>
      <c r="AE42" s="2186"/>
      <c r="AF42" s="1888"/>
      <c r="AG42" s="2184">
        <f t="shared" si="30"/>
        <v>8000</v>
      </c>
      <c r="AH42" s="1891"/>
      <c r="AI42" s="1891">
        <f>AH42-AG42</f>
        <v>-8000</v>
      </c>
      <c r="AJ42" s="2149">
        <f t="shared" si="71"/>
        <v>-100</v>
      </c>
      <c r="AK42" s="2186"/>
      <c r="AL42" s="1888"/>
      <c r="AM42" s="2184">
        <f t="shared" si="31"/>
        <v>8000</v>
      </c>
      <c r="AN42" s="1891"/>
      <c r="AO42" s="1891">
        <f>AN42-AM42</f>
        <v>-8000</v>
      </c>
      <c r="AP42" s="2149">
        <f t="shared" si="72"/>
        <v>-100</v>
      </c>
      <c r="AQ42" s="2186"/>
      <c r="AR42" s="1888"/>
      <c r="AS42" s="2185">
        <f t="shared" si="32"/>
        <v>8000</v>
      </c>
      <c r="AT42" s="1908"/>
      <c r="AU42" s="2185">
        <f>AT42-AS42</f>
        <v>-8000</v>
      </c>
      <c r="AV42" s="2412">
        <f t="shared" si="73"/>
        <v>-100</v>
      </c>
      <c r="AW42" s="1922"/>
      <c r="AX42" s="1888"/>
      <c r="AY42" s="2184">
        <f t="shared" si="33"/>
        <v>8000</v>
      </c>
      <c r="AZ42" s="1891"/>
      <c r="BA42" s="1891">
        <f>AZ42-AY42</f>
        <v>-8000</v>
      </c>
      <c r="BB42" s="2150">
        <f t="shared" si="74"/>
        <v>-100</v>
      </c>
      <c r="BC42" s="2186"/>
      <c r="BD42" s="1888"/>
      <c r="BE42" s="2184">
        <f t="shared" si="34"/>
        <v>8000</v>
      </c>
      <c r="BF42" s="1891"/>
      <c r="BG42" s="1891">
        <f>BF42-BE42</f>
        <v>-8000</v>
      </c>
      <c r="BH42" s="2150">
        <f t="shared" si="75"/>
        <v>-100</v>
      </c>
      <c r="BI42" s="2186"/>
      <c r="BJ42" s="1888"/>
      <c r="BK42" s="2184">
        <f t="shared" si="51"/>
        <v>8000</v>
      </c>
      <c r="BL42" s="1891"/>
      <c r="BM42" s="1891">
        <f>BL42-BK42</f>
        <v>-8000</v>
      </c>
      <c r="BN42" s="2150">
        <f t="shared" si="76"/>
        <v>-100</v>
      </c>
      <c r="BO42" s="2186"/>
      <c r="BP42" s="1888"/>
      <c r="BQ42" s="2184">
        <f t="shared" si="35"/>
        <v>8000</v>
      </c>
      <c r="BR42" s="1891"/>
      <c r="BS42" s="1891">
        <f>BR42-BQ42</f>
        <v>-8000</v>
      </c>
      <c r="BT42" s="2150">
        <f t="shared" si="77"/>
        <v>-100</v>
      </c>
      <c r="BU42" s="1892"/>
      <c r="BV42" s="1888"/>
      <c r="BW42" s="1892">
        <f t="shared" si="54"/>
        <v>96000</v>
      </c>
      <c r="BX42" s="1737">
        <f t="shared" si="36"/>
        <v>0</v>
      </c>
    </row>
    <row r="43" spans="1:76" x14ac:dyDescent="0.25">
      <c r="A43" s="2393">
        <v>54162</v>
      </c>
      <c r="B43" s="2394" t="s">
        <v>3788</v>
      </c>
      <c r="C43" s="1907">
        <v>25000</v>
      </c>
      <c r="D43" s="2383">
        <v>14376.18</v>
      </c>
      <c r="E43" s="1897">
        <f t="shared" ref="E43:E50" si="78">D43-C43</f>
        <v>-10623.82</v>
      </c>
      <c r="F43" s="2384">
        <f t="shared" si="66"/>
        <v>-42.495280000000001</v>
      </c>
      <c r="G43" s="1894"/>
      <c r="H43" s="1888"/>
      <c r="I43" s="1922">
        <v>25000</v>
      </c>
      <c r="J43" s="2403">
        <v>25404.26</v>
      </c>
      <c r="K43" s="1897">
        <f t="shared" si="38"/>
        <v>404.2599999999984</v>
      </c>
      <c r="L43" s="2384">
        <f t="shared" si="67"/>
        <v>1.6170400000000029</v>
      </c>
      <c r="M43" s="1894"/>
      <c r="N43" s="1888"/>
      <c r="O43" s="1896">
        <f t="shared" si="40"/>
        <v>25000</v>
      </c>
      <c r="P43" s="1897">
        <f>VLOOKUP(A43,'[2]bALANCETE ORÇAMENTO'!$1:$1048576,7,0)</f>
        <v>29577.599999999999</v>
      </c>
      <c r="Q43" s="1897">
        <f t="shared" ref="Q43:Q50" si="79">P43-O43</f>
        <v>4577.5999999999985</v>
      </c>
      <c r="R43" s="2384">
        <f t="shared" si="68"/>
        <v>18.310399999999994</v>
      </c>
      <c r="S43" s="1894"/>
      <c r="T43" s="1888"/>
      <c r="U43" s="1896">
        <f t="shared" si="42"/>
        <v>25000</v>
      </c>
      <c r="V43" s="1897"/>
      <c r="W43" s="1897">
        <f t="shared" ref="W43:W50" si="80">V43-U43</f>
        <v>-25000</v>
      </c>
      <c r="X43" s="2384">
        <f t="shared" si="69"/>
        <v>-100</v>
      </c>
      <c r="Y43" s="1894"/>
      <c r="Z43" s="1888"/>
      <c r="AA43" s="1896">
        <f t="shared" si="44"/>
        <v>25000</v>
      </c>
      <c r="AB43" s="1897"/>
      <c r="AC43" s="1897">
        <f t="shared" ref="AC43:AC50" si="81">AB43-AA43</f>
        <v>-25000</v>
      </c>
      <c r="AD43" s="2384">
        <f t="shared" si="70"/>
        <v>-100</v>
      </c>
      <c r="AE43" s="1894"/>
      <c r="AF43" s="1888"/>
      <c r="AG43" s="1896">
        <f t="shared" si="30"/>
        <v>25000</v>
      </c>
      <c r="AH43" s="1897"/>
      <c r="AI43" s="1897">
        <f t="shared" ref="AI43:AI50" si="82">AH43-AG43</f>
        <v>-25000</v>
      </c>
      <c r="AJ43" s="2384">
        <f t="shared" si="71"/>
        <v>-100</v>
      </c>
      <c r="AK43" s="1894"/>
      <c r="AL43" s="1888"/>
      <c r="AM43" s="1896">
        <f t="shared" si="31"/>
        <v>25000</v>
      </c>
      <c r="AN43" s="1897"/>
      <c r="AO43" s="1897">
        <f t="shared" ref="AO43:AO50" si="83">AN43-AM43</f>
        <v>-25000</v>
      </c>
      <c r="AP43" s="2384">
        <f t="shared" si="72"/>
        <v>-100</v>
      </c>
      <c r="AQ43" s="1894"/>
      <c r="AR43" s="1888"/>
      <c r="AS43" s="1908">
        <f t="shared" si="32"/>
        <v>25000</v>
      </c>
      <c r="AT43" s="1908"/>
      <c r="AU43" s="1908">
        <f t="shared" ref="AU43:AU50" si="84">AT43-AS43</f>
        <v>-25000</v>
      </c>
      <c r="AV43" s="2411">
        <f t="shared" si="73"/>
        <v>-100</v>
      </c>
      <c r="AW43" s="1894"/>
      <c r="AX43" s="1888"/>
      <c r="AY43" s="1896">
        <f t="shared" si="33"/>
        <v>25000</v>
      </c>
      <c r="AZ43" s="1897"/>
      <c r="BA43" s="1897">
        <f t="shared" ref="BA43:BA50" si="85">AZ43-AY43</f>
        <v>-25000</v>
      </c>
      <c r="BB43" s="1916">
        <f t="shared" si="74"/>
        <v>-100</v>
      </c>
      <c r="BC43" s="1894"/>
      <c r="BD43" s="1888"/>
      <c r="BE43" s="1896">
        <f t="shared" si="34"/>
        <v>25000</v>
      </c>
      <c r="BF43" s="1897"/>
      <c r="BG43" s="1897">
        <f t="shared" ref="BG43:BG50" si="86">BF43-BE43</f>
        <v>-25000</v>
      </c>
      <c r="BH43" s="1916">
        <f t="shared" si="75"/>
        <v>-100</v>
      </c>
      <c r="BI43" s="1894"/>
      <c r="BJ43" s="1888"/>
      <c r="BK43" s="1896">
        <f t="shared" si="51"/>
        <v>25000</v>
      </c>
      <c r="BL43" s="1897"/>
      <c r="BM43" s="1897">
        <f t="shared" ref="BM43:BM50" si="87">BL43-BK43</f>
        <v>-25000</v>
      </c>
      <c r="BN43" s="1916">
        <f t="shared" si="76"/>
        <v>-100</v>
      </c>
      <c r="BO43" s="1894"/>
      <c r="BP43" s="1888"/>
      <c r="BQ43" s="1896">
        <f t="shared" si="35"/>
        <v>25000</v>
      </c>
      <c r="BR43" s="1897"/>
      <c r="BS43" s="1897">
        <f t="shared" ref="BS43:BS50" si="88">BR43-BQ43</f>
        <v>-25000</v>
      </c>
      <c r="BT43" s="2385">
        <f t="shared" si="77"/>
        <v>-100</v>
      </c>
      <c r="BU43" s="1894"/>
      <c r="BV43" s="1888"/>
      <c r="BW43" s="1894">
        <f t="shared" si="54"/>
        <v>300000</v>
      </c>
      <c r="BX43" s="1895">
        <f t="shared" si="36"/>
        <v>69358.040000000008</v>
      </c>
    </row>
    <row r="44" spans="1:76" x14ac:dyDescent="0.25">
      <c r="A44" s="2395">
        <v>12230</v>
      </c>
      <c r="B44" s="1901" t="s">
        <v>184</v>
      </c>
      <c r="C44" s="1907">
        <v>20000</v>
      </c>
      <c r="D44" s="2373">
        <v>17152.29</v>
      </c>
      <c r="E44" s="1908">
        <f t="shared" si="78"/>
        <v>-2847.7099999999991</v>
      </c>
      <c r="F44" s="2374">
        <f t="shared" si="66"/>
        <v>-14.238549999999995</v>
      </c>
      <c r="G44" s="1922"/>
      <c r="H44" s="1888"/>
      <c r="I44" s="1922">
        <v>20000</v>
      </c>
      <c r="J44" s="2404">
        <v>18407.66</v>
      </c>
      <c r="K44" s="1908">
        <f t="shared" si="38"/>
        <v>-1592.3400000000001</v>
      </c>
      <c r="L44" s="2374">
        <f t="shared" si="67"/>
        <v>-7.9617000000000049</v>
      </c>
      <c r="M44" s="1922"/>
      <c r="N44" s="1888"/>
      <c r="O44" s="1907">
        <f t="shared" si="40"/>
        <v>20000</v>
      </c>
      <c r="P44" s="1908">
        <f>VLOOKUP(A44,'[2]bALANCETE ORÇAMENTO'!$1:$1048576,7,0)</f>
        <v>17637.259999999998</v>
      </c>
      <c r="Q44" s="1908">
        <f t="shared" si="79"/>
        <v>-2362.7400000000016</v>
      </c>
      <c r="R44" s="2374">
        <f t="shared" si="68"/>
        <v>-11.813700000000004</v>
      </c>
      <c r="S44" s="1922"/>
      <c r="T44" s="1888"/>
      <c r="U44" s="1907">
        <f t="shared" si="42"/>
        <v>20000</v>
      </c>
      <c r="V44" s="1908"/>
      <c r="W44" s="1908">
        <f t="shared" si="80"/>
        <v>-20000</v>
      </c>
      <c r="X44" s="2374">
        <f t="shared" si="69"/>
        <v>-100</v>
      </c>
      <c r="Y44" s="1922"/>
      <c r="Z44" s="1888"/>
      <c r="AA44" s="1907">
        <f t="shared" si="44"/>
        <v>20000</v>
      </c>
      <c r="AB44" s="1908"/>
      <c r="AC44" s="1908">
        <f t="shared" si="81"/>
        <v>-20000</v>
      </c>
      <c r="AD44" s="2374">
        <f t="shared" si="70"/>
        <v>-100</v>
      </c>
      <c r="AE44" s="1922"/>
      <c r="AF44" s="1888"/>
      <c r="AG44" s="1907">
        <f t="shared" si="30"/>
        <v>20000</v>
      </c>
      <c r="AH44" s="1908"/>
      <c r="AI44" s="1908">
        <f t="shared" si="82"/>
        <v>-20000</v>
      </c>
      <c r="AJ44" s="2374">
        <f t="shared" si="71"/>
        <v>-100</v>
      </c>
      <c r="AK44" s="1922"/>
      <c r="AL44" s="1888"/>
      <c r="AM44" s="1907">
        <f t="shared" si="31"/>
        <v>20000</v>
      </c>
      <c r="AN44" s="1908"/>
      <c r="AO44" s="1908">
        <f t="shared" si="83"/>
        <v>-20000</v>
      </c>
      <c r="AP44" s="2374">
        <f t="shared" si="72"/>
        <v>-100</v>
      </c>
      <c r="AQ44" s="1922"/>
      <c r="AR44" s="1888"/>
      <c r="AS44" s="1907">
        <f t="shared" si="32"/>
        <v>20000</v>
      </c>
      <c r="AT44" s="1908"/>
      <c r="AU44" s="1908">
        <f t="shared" si="84"/>
        <v>-20000</v>
      </c>
      <c r="AV44" s="2374">
        <f t="shared" si="73"/>
        <v>-100</v>
      </c>
      <c r="AW44" s="1922"/>
      <c r="AX44" s="1888"/>
      <c r="AY44" s="1907">
        <f t="shared" si="33"/>
        <v>20000</v>
      </c>
      <c r="AZ44" s="1908"/>
      <c r="BA44" s="1908">
        <f t="shared" si="85"/>
        <v>-20000</v>
      </c>
      <c r="BB44" s="1910">
        <f t="shared" si="74"/>
        <v>-100</v>
      </c>
      <c r="BC44" s="1922"/>
      <c r="BD44" s="1888"/>
      <c r="BE44" s="1907">
        <f t="shared" si="34"/>
        <v>20000</v>
      </c>
      <c r="BF44" s="1908"/>
      <c r="BG44" s="1908">
        <f t="shared" si="86"/>
        <v>-20000</v>
      </c>
      <c r="BH44" s="1910">
        <f t="shared" si="75"/>
        <v>-100</v>
      </c>
      <c r="BI44" s="1922"/>
      <c r="BJ44" s="1888"/>
      <c r="BK44" s="1907">
        <f t="shared" si="51"/>
        <v>20000</v>
      </c>
      <c r="BL44" s="1908"/>
      <c r="BM44" s="1908">
        <f t="shared" si="87"/>
        <v>-20000</v>
      </c>
      <c r="BN44" s="1910">
        <f t="shared" si="76"/>
        <v>-100</v>
      </c>
      <c r="BO44" s="1922"/>
      <c r="BP44" s="1888"/>
      <c r="BQ44" s="1907">
        <f t="shared" si="35"/>
        <v>20000</v>
      </c>
      <c r="BR44" s="1908"/>
      <c r="BS44" s="1908">
        <f t="shared" si="88"/>
        <v>-20000</v>
      </c>
      <c r="BT44" s="2115">
        <f t="shared" si="77"/>
        <v>-100</v>
      </c>
      <c r="BU44" s="1922"/>
      <c r="BV44" s="1888"/>
      <c r="BW44" s="1922">
        <f t="shared" si="54"/>
        <v>240000</v>
      </c>
      <c r="BX44" s="1898">
        <f t="shared" si="36"/>
        <v>53197.209999999992</v>
      </c>
    </row>
    <row r="45" spans="1:76" x14ac:dyDescent="0.25">
      <c r="A45" s="2395">
        <v>12231</v>
      </c>
      <c r="B45" s="1901" t="s">
        <v>185</v>
      </c>
      <c r="C45" s="1907">
        <v>40000</v>
      </c>
      <c r="D45" s="2373">
        <v>30790.04</v>
      </c>
      <c r="E45" s="1908">
        <f t="shared" si="78"/>
        <v>-9209.9599999999991</v>
      </c>
      <c r="F45" s="2374">
        <f t="shared" si="66"/>
        <v>-23.024899999999992</v>
      </c>
      <c r="G45" s="1922"/>
      <c r="H45" s="1888"/>
      <c r="I45" s="1922">
        <v>40000</v>
      </c>
      <c r="J45" s="2404">
        <v>53720.77</v>
      </c>
      <c r="K45" s="1908">
        <f t="shared" si="38"/>
        <v>13720.769999999997</v>
      </c>
      <c r="L45" s="2374">
        <f t="shared" si="67"/>
        <v>34.301924999999997</v>
      </c>
      <c r="M45" s="1922"/>
      <c r="N45" s="1888"/>
      <c r="O45" s="1907">
        <f t="shared" si="40"/>
        <v>40000</v>
      </c>
      <c r="P45" s="1908">
        <f>VLOOKUP(A45,'[2]bALANCETE ORÇAMENTO'!$1:$1048576,7,0)</f>
        <v>20085.62</v>
      </c>
      <c r="Q45" s="1908">
        <f t="shared" si="79"/>
        <v>-19914.38</v>
      </c>
      <c r="R45" s="2374">
        <f t="shared" si="68"/>
        <v>-49.78595</v>
      </c>
      <c r="S45" s="1922"/>
      <c r="T45" s="1888"/>
      <c r="U45" s="1907">
        <f t="shared" si="42"/>
        <v>40000</v>
      </c>
      <c r="V45" s="1908"/>
      <c r="W45" s="1908">
        <f t="shared" si="80"/>
        <v>-40000</v>
      </c>
      <c r="X45" s="2374">
        <f t="shared" si="69"/>
        <v>-100</v>
      </c>
      <c r="Y45" s="1922"/>
      <c r="Z45" s="1888"/>
      <c r="AA45" s="1907">
        <f t="shared" si="44"/>
        <v>40000</v>
      </c>
      <c r="AB45" s="1908"/>
      <c r="AC45" s="1908">
        <f t="shared" si="81"/>
        <v>-40000</v>
      </c>
      <c r="AD45" s="2374">
        <f t="shared" si="70"/>
        <v>-100</v>
      </c>
      <c r="AE45" s="1922"/>
      <c r="AF45" s="1888"/>
      <c r="AG45" s="1907">
        <f t="shared" si="30"/>
        <v>40000</v>
      </c>
      <c r="AH45" s="1908"/>
      <c r="AI45" s="1908">
        <f t="shared" si="82"/>
        <v>-40000</v>
      </c>
      <c r="AJ45" s="2374">
        <f t="shared" si="71"/>
        <v>-100</v>
      </c>
      <c r="AK45" s="1922"/>
      <c r="AL45" s="1888"/>
      <c r="AM45" s="1907">
        <f t="shared" si="31"/>
        <v>40000</v>
      </c>
      <c r="AN45" s="1908"/>
      <c r="AO45" s="1908">
        <f t="shared" si="83"/>
        <v>-40000</v>
      </c>
      <c r="AP45" s="2374">
        <f t="shared" si="72"/>
        <v>-100</v>
      </c>
      <c r="AQ45" s="1922"/>
      <c r="AR45" s="1888"/>
      <c r="AS45" s="1907">
        <f t="shared" si="32"/>
        <v>40000</v>
      </c>
      <c r="AT45" s="1908"/>
      <c r="AU45" s="1908">
        <f t="shared" si="84"/>
        <v>-40000</v>
      </c>
      <c r="AV45" s="2374">
        <f t="shared" si="73"/>
        <v>-100</v>
      </c>
      <c r="AW45" s="1922"/>
      <c r="AX45" s="1888"/>
      <c r="AY45" s="1907">
        <f t="shared" si="33"/>
        <v>40000</v>
      </c>
      <c r="AZ45" s="1908"/>
      <c r="BA45" s="1908">
        <f t="shared" si="85"/>
        <v>-40000</v>
      </c>
      <c r="BB45" s="1910">
        <f t="shared" si="74"/>
        <v>-100</v>
      </c>
      <c r="BC45" s="1922"/>
      <c r="BD45" s="1888"/>
      <c r="BE45" s="1907">
        <f t="shared" si="34"/>
        <v>40000</v>
      </c>
      <c r="BF45" s="1908"/>
      <c r="BG45" s="1908">
        <f t="shared" si="86"/>
        <v>-40000</v>
      </c>
      <c r="BH45" s="1910">
        <f t="shared" si="75"/>
        <v>-100</v>
      </c>
      <c r="BI45" s="1922"/>
      <c r="BJ45" s="1888"/>
      <c r="BK45" s="1907">
        <f t="shared" si="51"/>
        <v>40000</v>
      </c>
      <c r="BL45" s="1908"/>
      <c r="BM45" s="1908">
        <f t="shared" si="87"/>
        <v>-40000</v>
      </c>
      <c r="BN45" s="1910">
        <f t="shared" si="76"/>
        <v>-100</v>
      </c>
      <c r="BO45" s="1922"/>
      <c r="BP45" s="1888"/>
      <c r="BQ45" s="1907">
        <f t="shared" si="35"/>
        <v>40000</v>
      </c>
      <c r="BR45" s="1908"/>
      <c r="BS45" s="1908">
        <f t="shared" si="88"/>
        <v>-40000</v>
      </c>
      <c r="BT45" s="2115">
        <f t="shared" si="77"/>
        <v>-100</v>
      </c>
      <c r="BU45" s="1922"/>
      <c r="BV45" s="1888"/>
      <c r="BW45" s="1922">
        <f t="shared" si="54"/>
        <v>480000</v>
      </c>
      <c r="BX45" s="1898">
        <f t="shared" si="36"/>
        <v>104596.43</v>
      </c>
    </row>
    <row r="46" spans="1:76" x14ac:dyDescent="0.25">
      <c r="A46" s="2393">
        <v>54448</v>
      </c>
      <c r="B46" s="2387" t="s">
        <v>3792</v>
      </c>
      <c r="C46" s="1907">
        <v>8000</v>
      </c>
      <c r="D46" s="2373">
        <v>5425</v>
      </c>
      <c r="E46" s="1908">
        <f t="shared" si="78"/>
        <v>-2575</v>
      </c>
      <c r="F46" s="2374">
        <f t="shared" si="66"/>
        <v>-32.1875</v>
      </c>
      <c r="G46" s="1922"/>
      <c r="H46" s="1888"/>
      <c r="I46" s="1922">
        <v>8000</v>
      </c>
      <c r="J46" s="2405">
        <v>4025</v>
      </c>
      <c r="K46" s="1908">
        <f t="shared" si="38"/>
        <v>-3975</v>
      </c>
      <c r="L46" s="2374">
        <f t="shared" si="67"/>
        <v>-49.687499999999993</v>
      </c>
      <c r="M46" s="1922"/>
      <c r="N46" s="1888"/>
      <c r="O46" s="1907">
        <f t="shared" si="40"/>
        <v>8000</v>
      </c>
      <c r="P46" s="1908">
        <f>VLOOKUP(A46,'[2]bALANCETE ORÇAMENTO'!$1:$1048576,7,0)</f>
        <v>6500</v>
      </c>
      <c r="Q46" s="1908">
        <f t="shared" si="79"/>
        <v>-1500</v>
      </c>
      <c r="R46" s="2374">
        <f t="shared" si="68"/>
        <v>-18.75</v>
      </c>
      <c r="S46" s="1922"/>
      <c r="T46" s="1888"/>
      <c r="U46" s="1907">
        <f t="shared" si="42"/>
        <v>8000</v>
      </c>
      <c r="V46" s="1908"/>
      <c r="W46" s="1908">
        <f t="shared" si="80"/>
        <v>-8000</v>
      </c>
      <c r="X46" s="2374">
        <f t="shared" si="69"/>
        <v>-100</v>
      </c>
      <c r="Y46" s="1922"/>
      <c r="Z46" s="1888"/>
      <c r="AA46" s="1907">
        <f t="shared" si="44"/>
        <v>8000</v>
      </c>
      <c r="AB46" s="1908"/>
      <c r="AC46" s="1908">
        <f t="shared" si="81"/>
        <v>-8000</v>
      </c>
      <c r="AD46" s="2374">
        <f t="shared" si="70"/>
        <v>-100</v>
      </c>
      <c r="AE46" s="1922"/>
      <c r="AF46" s="1888"/>
      <c r="AG46" s="1907">
        <f t="shared" si="30"/>
        <v>8000</v>
      </c>
      <c r="AH46" s="1908"/>
      <c r="AI46" s="1908">
        <f t="shared" si="82"/>
        <v>-8000</v>
      </c>
      <c r="AJ46" s="2374">
        <f t="shared" si="71"/>
        <v>-100</v>
      </c>
      <c r="AK46" s="1922"/>
      <c r="AL46" s="1888"/>
      <c r="AM46" s="1907">
        <f t="shared" si="31"/>
        <v>8000</v>
      </c>
      <c r="AN46" s="1908"/>
      <c r="AO46" s="1908">
        <f t="shared" si="83"/>
        <v>-8000</v>
      </c>
      <c r="AP46" s="2374">
        <f t="shared" si="72"/>
        <v>-100</v>
      </c>
      <c r="AQ46" s="1922"/>
      <c r="AR46" s="1888"/>
      <c r="AS46" s="1907">
        <f t="shared" si="32"/>
        <v>8000</v>
      </c>
      <c r="AT46" s="1908"/>
      <c r="AU46" s="1908">
        <f t="shared" si="84"/>
        <v>-8000</v>
      </c>
      <c r="AV46" s="2374">
        <f t="shared" si="73"/>
        <v>-100</v>
      </c>
      <c r="AW46" s="1922"/>
      <c r="AX46" s="1888"/>
      <c r="AY46" s="1907">
        <f t="shared" si="33"/>
        <v>8000</v>
      </c>
      <c r="AZ46" s="1908"/>
      <c r="BA46" s="1908">
        <f t="shared" si="85"/>
        <v>-8000</v>
      </c>
      <c r="BB46" s="1910">
        <f t="shared" si="74"/>
        <v>-100</v>
      </c>
      <c r="BC46" s="1922"/>
      <c r="BD46" s="1888"/>
      <c r="BE46" s="1907">
        <f t="shared" si="34"/>
        <v>8000</v>
      </c>
      <c r="BF46" s="1908"/>
      <c r="BG46" s="1908">
        <f t="shared" si="86"/>
        <v>-8000</v>
      </c>
      <c r="BH46" s="1910">
        <f t="shared" si="75"/>
        <v>-100</v>
      </c>
      <c r="BI46" s="1922"/>
      <c r="BJ46" s="1888"/>
      <c r="BK46" s="1907">
        <f t="shared" si="51"/>
        <v>8000</v>
      </c>
      <c r="BL46" s="1908"/>
      <c r="BM46" s="1908">
        <f t="shared" si="87"/>
        <v>-8000</v>
      </c>
      <c r="BN46" s="1910">
        <f t="shared" si="76"/>
        <v>-100</v>
      </c>
      <c r="BO46" s="1922"/>
      <c r="BP46" s="1888"/>
      <c r="BQ46" s="1907">
        <f t="shared" si="35"/>
        <v>8000</v>
      </c>
      <c r="BR46" s="1908"/>
      <c r="BS46" s="1908">
        <f t="shared" si="88"/>
        <v>-8000</v>
      </c>
      <c r="BT46" s="2115">
        <f t="shared" si="77"/>
        <v>-100</v>
      </c>
      <c r="BU46" s="1922"/>
      <c r="BV46" s="1888"/>
      <c r="BW46" s="1922">
        <f t="shared" si="54"/>
        <v>96000</v>
      </c>
      <c r="BX46" s="1898">
        <f t="shared" si="36"/>
        <v>15950</v>
      </c>
    </row>
    <row r="47" spans="1:76" x14ac:dyDescent="0.25">
      <c r="A47" s="2396">
        <v>51013</v>
      </c>
      <c r="B47" s="2378" t="s">
        <v>56</v>
      </c>
      <c r="C47" s="1911">
        <v>8000</v>
      </c>
      <c r="D47" s="2379">
        <v>7624.45</v>
      </c>
      <c r="E47" s="1912">
        <f t="shared" si="78"/>
        <v>-375.55000000000018</v>
      </c>
      <c r="F47" s="1913">
        <f t="shared" si="66"/>
        <v>-4.6943750000000062</v>
      </c>
      <c r="G47" s="1923"/>
      <c r="H47" s="1888"/>
      <c r="I47" s="1923">
        <v>8000</v>
      </c>
      <c r="J47" s="2404">
        <v>7024.45</v>
      </c>
      <c r="K47" s="1912">
        <f t="shared" si="38"/>
        <v>-975.55000000000018</v>
      </c>
      <c r="L47" s="1913">
        <f t="shared" si="67"/>
        <v>-12.194375000000001</v>
      </c>
      <c r="M47" s="1923"/>
      <c r="N47" s="1888"/>
      <c r="O47" s="1911">
        <f t="shared" si="40"/>
        <v>8000</v>
      </c>
      <c r="P47" s="1912">
        <f>VLOOKUP(A47,'[2]bALANCETE ORÇAMENTO'!$1:$1048576,7,0)</f>
        <v>7424.45</v>
      </c>
      <c r="Q47" s="1912">
        <f t="shared" si="79"/>
        <v>-575.55000000000018</v>
      </c>
      <c r="R47" s="1913">
        <f t="shared" si="68"/>
        <v>-7.1943749999999973</v>
      </c>
      <c r="S47" s="1923"/>
      <c r="T47" s="1888"/>
      <c r="U47" s="1911">
        <f t="shared" si="42"/>
        <v>8000</v>
      </c>
      <c r="V47" s="1912"/>
      <c r="W47" s="1912">
        <f t="shared" si="80"/>
        <v>-8000</v>
      </c>
      <c r="X47" s="1913">
        <f t="shared" si="69"/>
        <v>-100</v>
      </c>
      <c r="Y47" s="1923"/>
      <c r="Z47" s="1888"/>
      <c r="AA47" s="1911">
        <f t="shared" si="44"/>
        <v>8000</v>
      </c>
      <c r="AB47" s="1912"/>
      <c r="AC47" s="1912">
        <f t="shared" si="81"/>
        <v>-8000</v>
      </c>
      <c r="AD47" s="1913">
        <f t="shared" si="70"/>
        <v>-100</v>
      </c>
      <c r="AE47" s="1923"/>
      <c r="AF47" s="1888"/>
      <c r="AG47" s="1911">
        <f t="shared" si="30"/>
        <v>8000</v>
      </c>
      <c r="AH47" s="1912"/>
      <c r="AI47" s="1912">
        <f t="shared" si="82"/>
        <v>-8000</v>
      </c>
      <c r="AJ47" s="1913">
        <f t="shared" si="71"/>
        <v>-100</v>
      </c>
      <c r="AK47" s="1923"/>
      <c r="AL47" s="1888"/>
      <c r="AM47" s="1911">
        <f t="shared" si="31"/>
        <v>8000</v>
      </c>
      <c r="AN47" s="1912"/>
      <c r="AO47" s="1912">
        <f t="shared" si="83"/>
        <v>-8000</v>
      </c>
      <c r="AP47" s="1913">
        <f t="shared" si="72"/>
        <v>-100</v>
      </c>
      <c r="AQ47" s="1923"/>
      <c r="AR47" s="1888"/>
      <c r="AS47" s="1911">
        <f t="shared" si="32"/>
        <v>8000</v>
      </c>
      <c r="AT47" s="1912"/>
      <c r="AU47" s="1912">
        <f t="shared" si="84"/>
        <v>-8000</v>
      </c>
      <c r="AV47" s="1913">
        <f t="shared" si="73"/>
        <v>-100</v>
      </c>
      <c r="AW47" s="1923"/>
      <c r="AX47" s="1888"/>
      <c r="AY47" s="1911">
        <f t="shared" si="33"/>
        <v>8000</v>
      </c>
      <c r="AZ47" s="1912"/>
      <c r="BA47" s="1912">
        <f t="shared" si="85"/>
        <v>-8000</v>
      </c>
      <c r="BB47" s="1914">
        <f t="shared" si="74"/>
        <v>-100</v>
      </c>
      <c r="BC47" s="1923"/>
      <c r="BD47" s="1888"/>
      <c r="BE47" s="1911">
        <f t="shared" si="34"/>
        <v>8000</v>
      </c>
      <c r="BF47" s="1912"/>
      <c r="BG47" s="1912">
        <f t="shared" si="86"/>
        <v>-8000</v>
      </c>
      <c r="BH47" s="1914">
        <f t="shared" si="75"/>
        <v>-100</v>
      </c>
      <c r="BI47" s="1923"/>
      <c r="BJ47" s="1888"/>
      <c r="BK47" s="1911">
        <f t="shared" si="51"/>
        <v>8000</v>
      </c>
      <c r="BL47" s="1912"/>
      <c r="BM47" s="1912">
        <f t="shared" si="87"/>
        <v>-8000</v>
      </c>
      <c r="BN47" s="1914">
        <f t="shared" si="76"/>
        <v>-100</v>
      </c>
      <c r="BO47" s="1923"/>
      <c r="BP47" s="1888"/>
      <c r="BQ47" s="1911">
        <f t="shared" si="35"/>
        <v>8000</v>
      </c>
      <c r="BR47" s="1912"/>
      <c r="BS47" s="1912">
        <f t="shared" si="88"/>
        <v>-8000</v>
      </c>
      <c r="BT47" s="2391">
        <f t="shared" si="77"/>
        <v>-100</v>
      </c>
      <c r="BU47" s="1923"/>
      <c r="BV47" s="1888"/>
      <c r="BW47" s="1923">
        <f t="shared" si="54"/>
        <v>96000</v>
      </c>
      <c r="BX47" s="1889">
        <f t="shared" si="36"/>
        <v>22073.35</v>
      </c>
    </row>
    <row r="48" spans="1:76" x14ac:dyDescent="0.25">
      <c r="A48" s="2396">
        <v>54493</v>
      </c>
      <c r="B48" s="2378" t="s">
        <v>3801</v>
      </c>
      <c r="C48" s="2397">
        <v>0</v>
      </c>
      <c r="D48" s="2379">
        <v>109191</v>
      </c>
      <c r="E48" s="1912">
        <f t="shared" si="78"/>
        <v>109191</v>
      </c>
      <c r="F48" s="1913">
        <v>0</v>
      </c>
      <c r="G48" s="1923"/>
      <c r="H48" s="1888"/>
      <c r="I48" s="1815">
        <v>0</v>
      </c>
      <c r="J48" s="2404">
        <v>73516.160000000003</v>
      </c>
      <c r="K48" s="1912">
        <f t="shared" si="38"/>
        <v>73516.160000000003</v>
      </c>
      <c r="L48" s="1913">
        <v>0</v>
      </c>
      <c r="M48" s="1923"/>
      <c r="N48" s="1888"/>
      <c r="O48" s="2397">
        <f t="shared" si="40"/>
        <v>0</v>
      </c>
      <c r="P48" s="1912">
        <f>VLOOKUP(A48,'[2]bALANCETE ORÇAMENTO'!$1:$1048576,7,0)</f>
        <v>100815.11</v>
      </c>
      <c r="Q48" s="1912">
        <f t="shared" si="79"/>
        <v>100815.11</v>
      </c>
      <c r="R48" s="1913">
        <v>0</v>
      </c>
      <c r="S48" s="1923"/>
      <c r="T48" s="1888"/>
      <c r="U48" s="2397">
        <f t="shared" si="42"/>
        <v>0</v>
      </c>
      <c r="V48" s="1912"/>
      <c r="W48" s="1912">
        <f t="shared" si="80"/>
        <v>0</v>
      </c>
      <c r="X48" s="1913">
        <v>0</v>
      </c>
      <c r="Y48" s="1923"/>
      <c r="Z48" s="1888"/>
      <c r="AA48" s="2397">
        <f t="shared" si="44"/>
        <v>0</v>
      </c>
      <c r="AB48" s="1912"/>
      <c r="AC48" s="1912">
        <f t="shared" si="81"/>
        <v>0</v>
      </c>
      <c r="AD48" s="1913">
        <v>0</v>
      </c>
      <c r="AE48" s="1923"/>
      <c r="AF48" s="1888"/>
      <c r="AG48" s="2397">
        <f t="shared" si="30"/>
        <v>0</v>
      </c>
      <c r="AH48" s="1912"/>
      <c r="AI48" s="1912">
        <f t="shared" si="82"/>
        <v>0</v>
      </c>
      <c r="AJ48" s="1913">
        <v>0</v>
      </c>
      <c r="AK48" s="1923"/>
      <c r="AL48" s="1888"/>
      <c r="AM48" s="2397">
        <f t="shared" si="31"/>
        <v>0</v>
      </c>
      <c r="AN48" s="1912"/>
      <c r="AO48" s="1912">
        <f t="shared" si="83"/>
        <v>0</v>
      </c>
      <c r="AP48" s="1913">
        <v>0</v>
      </c>
      <c r="AQ48" s="1923"/>
      <c r="AR48" s="1888"/>
      <c r="AS48" s="2397">
        <f t="shared" si="32"/>
        <v>0</v>
      </c>
      <c r="AT48" s="1912"/>
      <c r="AU48" s="1912">
        <f t="shared" si="84"/>
        <v>0</v>
      </c>
      <c r="AV48" s="1913">
        <v>0</v>
      </c>
      <c r="AW48" s="1923"/>
      <c r="AX48" s="1888"/>
      <c r="AY48" s="2397">
        <f t="shared" si="33"/>
        <v>0</v>
      </c>
      <c r="AZ48" s="1912"/>
      <c r="BA48" s="1912">
        <f t="shared" si="85"/>
        <v>0</v>
      </c>
      <c r="BB48" s="1914">
        <v>0</v>
      </c>
      <c r="BC48" s="1923"/>
      <c r="BD48" s="1888"/>
      <c r="BE48" s="2397">
        <f t="shared" si="34"/>
        <v>0</v>
      </c>
      <c r="BF48" s="1912"/>
      <c r="BG48" s="1912">
        <f t="shared" si="86"/>
        <v>0</v>
      </c>
      <c r="BH48" s="1914">
        <v>0</v>
      </c>
      <c r="BI48" s="1923"/>
      <c r="BJ48" s="1888"/>
      <c r="BK48" s="2397">
        <f t="shared" si="51"/>
        <v>0</v>
      </c>
      <c r="BL48" s="1912"/>
      <c r="BM48" s="1912">
        <f t="shared" si="87"/>
        <v>0</v>
      </c>
      <c r="BN48" s="1914">
        <v>0</v>
      </c>
      <c r="BO48" s="1923"/>
      <c r="BP48" s="1888"/>
      <c r="BQ48" s="2397">
        <f t="shared" si="35"/>
        <v>0</v>
      </c>
      <c r="BR48" s="1912"/>
      <c r="BS48" s="1912">
        <f t="shared" si="88"/>
        <v>0</v>
      </c>
      <c r="BT48" s="2391">
        <v>0</v>
      </c>
      <c r="BU48" s="1923"/>
      <c r="BV48" s="1888"/>
      <c r="BW48" s="1815">
        <f t="shared" si="54"/>
        <v>0</v>
      </c>
      <c r="BX48" s="1889">
        <f t="shared" si="36"/>
        <v>283522.27</v>
      </c>
    </row>
    <row r="49" spans="1:76" x14ac:dyDescent="0.25">
      <c r="A49" s="2396">
        <v>12193</v>
      </c>
      <c r="B49" s="2378" t="s">
        <v>3834</v>
      </c>
      <c r="C49" s="2397">
        <v>0</v>
      </c>
      <c r="D49" s="2379">
        <v>0</v>
      </c>
      <c r="E49" s="1912">
        <f t="shared" si="78"/>
        <v>0</v>
      </c>
      <c r="F49" s="1913">
        <v>0</v>
      </c>
      <c r="G49" s="1923"/>
      <c r="H49" s="1888"/>
      <c r="I49" s="1815">
        <v>0</v>
      </c>
      <c r="J49" s="2405">
        <v>580</v>
      </c>
      <c r="K49" s="1912">
        <f t="shared" si="38"/>
        <v>580</v>
      </c>
      <c r="L49" s="1913">
        <v>0</v>
      </c>
      <c r="M49" s="1923"/>
      <c r="N49" s="1888"/>
      <c r="O49" s="2397">
        <f t="shared" si="40"/>
        <v>0</v>
      </c>
      <c r="P49" s="1912">
        <f>VLOOKUP(A49,'[2]bALANCETE ORÇAMENTO'!$1:$1048576,7,0)</f>
        <v>520</v>
      </c>
      <c r="Q49" s="1912">
        <f t="shared" si="79"/>
        <v>520</v>
      </c>
      <c r="R49" s="1913">
        <v>0</v>
      </c>
      <c r="S49" s="1923"/>
      <c r="T49" s="1888"/>
      <c r="U49" s="2397">
        <f t="shared" si="42"/>
        <v>0</v>
      </c>
      <c r="V49" s="1912"/>
      <c r="W49" s="1912">
        <f t="shared" si="80"/>
        <v>0</v>
      </c>
      <c r="X49" s="1913">
        <v>0</v>
      </c>
      <c r="Y49" s="1923"/>
      <c r="Z49" s="1888"/>
      <c r="AA49" s="2397">
        <f t="shared" si="44"/>
        <v>0</v>
      </c>
      <c r="AB49" s="1912"/>
      <c r="AC49" s="1912">
        <f t="shared" si="81"/>
        <v>0</v>
      </c>
      <c r="AD49" s="1913">
        <v>0</v>
      </c>
      <c r="AE49" s="1923"/>
      <c r="AF49" s="1888"/>
      <c r="AG49" s="2397">
        <f t="shared" si="30"/>
        <v>0</v>
      </c>
      <c r="AH49" s="1912"/>
      <c r="AI49" s="1912">
        <f t="shared" si="82"/>
        <v>0</v>
      </c>
      <c r="AJ49" s="1913">
        <v>0</v>
      </c>
      <c r="AK49" s="1923"/>
      <c r="AL49" s="1888"/>
      <c r="AM49" s="2397">
        <f t="shared" si="31"/>
        <v>0</v>
      </c>
      <c r="AN49" s="1912"/>
      <c r="AO49" s="1912">
        <f t="shared" si="83"/>
        <v>0</v>
      </c>
      <c r="AP49" s="1913">
        <v>0</v>
      </c>
      <c r="AQ49" s="1923"/>
      <c r="AR49" s="1888"/>
      <c r="AS49" s="2397">
        <f t="shared" si="32"/>
        <v>0</v>
      </c>
      <c r="AT49" s="1912"/>
      <c r="AU49" s="1912">
        <f t="shared" si="84"/>
        <v>0</v>
      </c>
      <c r="AV49" s="1913">
        <v>0</v>
      </c>
      <c r="AW49" s="1923"/>
      <c r="AX49" s="1888"/>
      <c r="AY49" s="2397">
        <f t="shared" si="33"/>
        <v>0</v>
      </c>
      <c r="AZ49" s="1912"/>
      <c r="BA49" s="1912">
        <f t="shared" si="85"/>
        <v>0</v>
      </c>
      <c r="BB49" s="1914">
        <v>0</v>
      </c>
      <c r="BC49" s="1923"/>
      <c r="BD49" s="1888"/>
      <c r="BE49" s="2397">
        <f t="shared" si="34"/>
        <v>0</v>
      </c>
      <c r="BF49" s="1912"/>
      <c r="BG49" s="1912">
        <f t="shared" si="86"/>
        <v>0</v>
      </c>
      <c r="BH49" s="1914">
        <v>0</v>
      </c>
      <c r="BI49" s="1923"/>
      <c r="BJ49" s="1888"/>
      <c r="BK49" s="2397">
        <f t="shared" si="51"/>
        <v>0</v>
      </c>
      <c r="BL49" s="1912"/>
      <c r="BM49" s="1912">
        <f t="shared" si="87"/>
        <v>0</v>
      </c>
      <c r="BN49" s="1914">
        <v>0</v>
      </c>
      <c r="BO49" s="1923"/>
      <c r="BP49" s="1888"/>
      <c r="BQ49" s="2397">
        <f t="shared" si="35"/>
        <v>0</v>
      </c>
      <c r="BR49" s="1912"/>
      <c r="BS49" s="1912">
        <f t="shared" si="88"/>
        <v>0</v>
      </c>
      <c r="BT49" s="2391">
        <v>0</v>
      </c>
      <c r="BU49" s="1923"/>
      <c r="BV49" s="1888"/>
      <c r="BW49" s="1815">
        <f t="shared" si="54"/>
        <v>0</v>
      </c>
      <c r="BX49" s="1889">
        <f t="shared" si="36"/>
        <v>1100</v>
      </c>
    </row>
    <row r="50" spans="1:76" ht="15.75" thickBot="1" x14ac:dyDescent="0.3">
      <c r="A50" s="2398">
        <v>55277</v>
      </c>
      <c r="B50" s="1915" t="s">
        <v>3800</v>
      </c>
      <c r="C50" s="2399">
        <v>0</v>
      </c>
      <c r="D50" s="2382">
        <v>21780</v>
      </c>
      <c r="E50" s="1899">
        <f t="shared" si="78"/>
        <v>21780</v>
      </c>
      <c r="F50" s="2400">
        <v>0</v>
      </c>
      <c r="G50" s="1900"/>
      <c r="H50" s="1888"/>
      <c r="I50" s="2408">
        <v>0</v>
      </c>
      <c r="J50" s="2406">
        <v>4800</v>
      </c>
      <c r="K50" s="1899">
        <f t="shared" si="38"/>
        <v>4800</v>
      </c>
      <c r="L50" s="2400">
        <v>0</v>
      </c>
      <c r="M50" s="1900"/>
      <c r="N50" s="1888"/>
      <c r="O50" s="2399">
        <f t="shared" si="40"/>
        <v>0</v>
      </c>
      <c r="P50" s="1899">
        <f>VLOOKUP(A50,'[2]bALANCETE ORÇAMENTO'!$1:$1048576,7,0)</f>
        <v>6120</v>
      </c>
      <c r="Q50" s="1899">
        <f t="shared" si="79"/>
        <v>6120</v>
      </c>
      <c r="R50" s="2400">
        <v>0</v>
      </c>
      <c r="S50" s="1900"/>
      <c r="T50" s="1888"/>
      <c r="U50" s="2399">
        <f t="shared" si="42"/>
        <v>0</v>
      </c>
      <c r="V50" s="1899"/>
      <c r="W50" s="1899">
        <f t="shared" si="80"/>
        <v>0</v>
      </c>
      <c r="X50" s="2400">
        <v>0</v>
      </c>
      <c r="Y50" s="1900"/>
      <c r="Z50" s="1888"/>
      <c r="AA50" s="2399">
        <f t="shared" si="44"/>
        <v>0</v>
      </c>
      <c r="AB50" s="1899"/>
      <c r="AC50" s="1899">
        <f t="shared" si="81"/>
        <v>0</v>
      </c>
      <c r="AD50" s="2400">
        <v>0</v>
      </c>
      <c r="AE50" s="1900"/>
      <c r="AF50" s="1888"/>
      <c r="AG50" s="2399">
        <f t="shared" si="30"/>
        <v>0</v>
      </c>
      <c r="AH50" s="1899"/>
      <c r="AI50" s="1899">
        <f t="shared" si="82"/>
        <v>0</v>
      </c>
      <c r="AJ50" s="2400">
        <v>0</v>
      </c>
      <c r="AK50" s="1900"/>
      <c r="AL50" s="1888"/>
      <c r="AM50" s="2399">
        <f t="shared" si="31"/>
        <v>0</v>
      </c>
      <c r="AN50" s="1899"/>
      <c r="AO50" s="1899">
        <f t="shared" si="83"/>
        <v>0</v>
      </c>
      <c r="AP50" s="2400">
        <v>0</v>
      </c>
      <c r="AQ50" s="1900"/>
      <c r="AR50" s="1888"/>
      <c r="AS50" s="2399">
        <f t="shared" si="32"/>
        <v>0</v>
      </c>
      <c r="AT50" s="1899"/>
      <c r="AU50" s="1899">
        <f t="shared" si="84"/>
        <v>0</v>
      </c>
      <c r="AV50" s="2400">
        <v>0</v>
      </c>
      <c r="AW50" s="1900"/>
      <c r="AX50" s="1888"/>
      <c r="AY50" s="2399">
        <f t="shared" si="33"/>
        <v>0</v>
      </c>
      <c r="AZ50" s="1899"/>
      <c r="BA50" s="1899">
        <f t="shared" si="85"/>
        <v>0</v>
      </c>
      <c r="BB50" s="2380">
        <v>0</v>
      </c>
      <c r="BC50" s="1900"/>
      <c r="BD50" s="1888"/>
      <c r="BE50" s="2399">
        <f t="shared" si="34"/>
        <v>0</v>
      </c>
      <c r="BF50" s="1899"/>
      <c r="BG50" s="1899">
        <f t="shared" si="86"/>
        <v>0</v>
      </c>
      <c r="BH50" s="2380">
        <v>0</v>
      </c>
      <c r="BI50" s="1900"/>
      <c r="BJ50" s="1888"/>
      <c r="BK50" s="2399">
        <f t="shared" si="51"/>
        <v>0</v>
      </c>
      <c r="BL50" s="1899"/>
      <c r="BM50" s="1899">
        <f t="shared" si="87"/>
        <v>0</v>
      </c>
      <c r="BN50" s="2380">
        <v>0</v>
      </c>
      <c r="BO50" s="1900"/>
      <c r="BP50" s="1888"/>
      <c r="BQ50" s="2399">
        <f t="shared" si="35"/>
        <v>0</v>
      </c>
      <c r="BR50" s="1899"/>
      <c r="BS50" s="1899">
        <f t="shared" si="88"/>
        <v>0</v>
      </c>
      <c r="BT50" s="2380">
        <v>0</v>
      </c>
      <c r="BU50" s="1900"/>
      <c r="BV50" s="1888"/>
      <c r="BW50" s="2408">
        <f t="shared" si="54"/>
        <v>0</v>
      </c>
      <c r="BX50" s="1741">
        <f t="shared" si="36"/>
        <v>32700</v>
      </c>
    </row>
  </sheetData>
  <mergeCells count="65">
    <mergeCell ref="BW25:BW26"/>
    <mergeCell ref="Y5:Y7"/>
    <mergeCell ref="S5:S7"/>
    <mergeCell ref="AE5:AE7"/>
    <mergeCell ref="AK5:AK7"/>
    <mergeCell ref="AQ5:AQ7"/>
    <mergeCell ref="AW5:AW7"/>
    <mergeCell ref="BC5:BC7"/>
    <mergeCell ref="BI5:BI7"/>
    <mergeCell ref="BO5:BO7"/>
    <mergeCell ref="BU5:BU7"/>
    <mergeCell ref="BE25:BE26"/>
    <mergeCell ref="BG25:BG26"/>
    <mergeCell ref="BH25:BH26"/>
    <mergeCell ref="BK25:BK26"/>
    <mergeCell ref="BM25:BM26"/>
    <mergeCell ref="BS25:BS26"/>
    <mergeCell ref="BT25:BT26"/>
    <mergeCell ref="C25:C26"/>
    <mergeCell ref="E25:E26"/>
    <mergeCell ref="F25:F26"/>
    <mergeCell ref="I25:I26"/>
    <mergeCell ref="K25:K26"/>
    <mergeCell ref="AA25:AA26"/>
    <mergeCell ref="AC25:AC26"/>
    <mergeCell ref="BA25:BA26"/>
    <mergeCell ref="BB25:BB26"/>
    <mergeCell ref="AM25:AM26"/>
    <mergeCell ref="AO25:AO26"/>
    <mergeCell ref="AP25:AP26"/>
    <mergeCell ref="L25:L26"/>
    <mergeCell ref="W25:W26"/>
    <mergeCell ref="U5:X5"/>
    <mergeCell ref="BN25:BN26"/>
    <mergeCell ref="BQ25:BQ26"/>
    <mergeCell ref="X25:X26"/>
    <mergeCell ref="O25:O26"/>
    <mergeCell ref="Q25:Q26"/>
    <mergeCell ref="R25:R26"/>
    <mergeCell ref="U25:U26"/>
    <mergeCell ref="AS25:AS26"/>
    <mergeCell ref="AY25:AY26"/>
    <mergeCell ref="AD25:AD26"/>
    <mergeCell ref="AJ25:AJ26"/>
    <mergeCell ref="AV25:AV26"/>
    <mergeCell ref="AU25:AU26"/>
    <mergeCell ref="AG25:AG26"/>
    <mergeCell ref="AI25:AI26"/>
    <mergeCell ref="A5:A6"/>
    <mergeCell ref="B5:B6"/>
    <mergeCell ref="C5:F5"/>
    <mergeCell ref="I5:L5"/>
    <mergeCell ref="O5:R5"/>
    <mergeCell ref="G5:G7"/>
    <mergeCell ref="M5:M7"/>
    <mergeCell ref="BK5:BN5"/>
    <mergeCell ref="BQ5:BT5"/>
    <mergeCell ref="BW5:BW6"/>
    <mergeCell ref="BX5:BX6"/>
    <mergeCell ref="AA5:AD5"/>
    <mergeCell ref="AG5:AJ5"/>
    <mergeCell ref="AM5:AP5"/>
    <mergeCell ref="AS5:AV5"/>
    <mergeCell ref="AY5:BB5"/>
    <mergeCell ref="BE5:BH5"/>
  </mergeCells>
  <conditionalFormatting sqref="A7:A50">
    <cfRule type="duplicateValues" dxfId="10" priority="1"/>
  </conditionalFormatting>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4:BX27"/>
  <sheetViews>
    <sheetView showGridLines="0" topLeftCell="A11" workbookViewId="0">
      <pane xSplit="2" topLeftCell="G1" activePane="topRight" state="frozen"/>
      <selection activeCell="B39" sqref="B39"/>
      <selection pane="topRight" activeCell="K18" sqref="K18"/>
    </sheetView>
  </sheetViews>
  <sheetFormatPr defaultRowHeight="15" x14ac:dyDescent="0.25"/>
  <cols>
    <col min="2" max="2" width="42.85546875" bestFit="1" customWidth="1"/>
    <col min="4" max="4" width="10.85546875" bestFit="1" customWidth="1"/>
    <col min="5" max="5" width="10.42578125" bestFit="1" customWidth="1"/>
    <col min="6" max="6" width="11.28515625" customWidth="1"/>
    <col min="7" max="7" width="13" customWidth="1"/>
    <col min="8" max="8" width="3.85546875" customWidth="1"/>
    <col min="9" max="9" width="8.7109375" bestFit="1" customWidth="1"/>
    <col min="10" max="10" width="10.85546875" bestFit="1" customWidth="1"/>
    <col min="11" max="11" width="10.42578125" bestFit="1" customWidth="1"/>
    <col min="13" max="13" width="14" customWidth="1"/>
    <col min="14" max="14" width="3.5703125" customWidth="1"/>
    <col min="16" max="16" width="10.85546875" bestFit="1" customWidth="1"/>
    <col min="17" max="17" width="9.7109375" bestFit="1" customWidth="1"/>
    <col min="19" max="19" width="12.42578125" customWidth="1"/>
    <col min="20" max="20" width="3.140625" customWidth="1"/>
    <col min="22" max="22" width="10.85546875" bestFit="1" customWidth="1"/>
    <col min="23" max="23" width="9.7109375" bestFit="1" customWidth="1"/>
    <col min="25" max="25" width="13.85546875" customWidth="1"/>
    <col min="26" max="26" width="3.140625" customWidth="1"/>
    <col min="28" max="28" width="10.85546875" bestFit="1" customWidth="1"/>
    <col min="29" max="29" width="9.7109375" bestFit="1" customWidth="1"/>
    <col min="31" max="31" width="14" customWidth="1"/>
    <col min="32" max="32" width="3.42578125" customWidth="1"/>
    <col min="34" max="34" width="10.85546875" bestFit="1" customWidth="1"/>
    <col min="35" max="35" width="9.7109375" bestFit="1" customWidth="1"/>
    <col min="37" max="37" width="14.140625" customWidth="1"/>
    <col min="38" max="38" width="3.7109375" customWidth="1"/>
    <col min="40" max="40" width="10.85546875" bestFit="1" customWidth="1"/>
    <col min="41" max="41" width="9.7109375" bestFit="1" customWidth="1"/>
    <col min="43" max="43" width="13.28515625" customWidth="1"/>
    <col min="44" max="44" width="3.28515625" customWidth="1"/>
    <col min="46" max="46" width="10.85546875" bestFit="1" customWidth="1"/>
    <col min="47" max="47" width="9.7109375" bestFit="1" customWidth="1"/>
    <col min="49" max="49" width="14.5703125" customWidth="1"/>
    <col min="50" max="50" width="4" customWidth="1"/>
    <col min="52" max="52" width="10.85546875" bestFit="1" customWidth="1"/>
    <col min="53" max="53" width="9.7109375" bestFit="1" customWidth="1"/>
    <col min="55" max="55" width="13.28515625" customWidth="1"/>
    <col min="56" max="56" width="3.42578125" customWidth="1"/>
    <col min="58" max="58" width="10.85546875" bestFit="1" customWidth="1"/>
    <col min="59" max="59" width="9.7109375" bestFit="1" customWidth="1"/>
    <col min="61" max="61" width="12.7109375" customWidth="1"/>
    <col min="62" max="62" width="2.85546875" customWidth="1"/>
    <col min="64" max="64" width="10.85546875" bestFit="1" customWidth="1"/>
    <col min="65" max="65" width="9.7109375" bestFit="1" customWidth="1"/>
    <col min="67" max="67" width="12.5703125" customWidth="1"/>
    <col min="68" max="68" width="4" customWidth="1"/>
    <col min="70" max="70" width="10.85546875" bestFit="1" customWidth="1"/>
    <col min="71" max="71" width="9.7109375" bestFit="1" customWidth="1"/>
    <col min="73" max="73" width="12.85546875" customWidth="1"/>
    <col min="74" max="74" width="3.85546875" customWidth="1"/>
    <col min="75" max="75" width="14.85546875" bestFit="1" customWidth="1"/>
    <col min="76" max="76" width="17" bestFit="1" customWidth="1"/>
  </cols>
  <sheetData>
    <row r="4" spans="1:76" ht="15.75" thickBot="1" x14ac:dyDescent="0.3"/>
    <row r="5" spans="1:76" ht="18" customHeight="1" thickBot="1" x14ac:dyDescent="0.3">
      <c r="A5" s="2864" t="s">
        <v>0</v>
      </c>
      <c r="B5" s="2866" t="s">
        <v>145</v>
      </c>
      <c r="C5" s="2861" t="s">
        <v>3716</v>
      </c>
      <c r="D5" s="2862"/>
      <c r="E5" s="2862"/>
      <c r="F5" s="2862"/>
      <c r="G5" s="2856" t="s">
        <v>3838</v>
      </c>
      <c r="I5" s="2861" t="s">
        <v>3717</v>
      </c>
      <c r="J5" s="2862"/>
      <c r="K5" s="2862"/>
      <c r="L5" s="2862"/>
      <c r="M5" s="2856" t="s">
        <v>3838</v>
      </c>
      <c r="O5" s="2861" t="s">
        <v>3718</v>
      </c>
      <c r="P5" s="2862"/>
      <c r="Q5" s="2862"/>
      <c r="R5" s="2862"/>
      <c r="S5" s="2856" t="s">
        <v>3838</v>
      </c>
      <c r="U5" s="2861" t="s">
        <v>3719</v>
      </c>
      <c r="V5" s="2862"/>
      <c r="W5" s="2862"/>
      <c r="X5" s="2862"/>
      <c r="Y5" s="2856" t="s">
        <v>3838</v>
      </c>
      <c r="AA5" s="2861" t="s">
        <v>3720</v>
      </c>
      <c r="AB5" s="2862"/>
      <c r="AC5" s="2862"/>
      <c r="AD5" s="2862"/>
      <c r="AE5" s="2856" t="s">
        <v>3838</v>
      </c>
      <c r="AG5" s="2861" t="s">
        <v>3721</v>
      </c>
      <c r="AH5" s="2862"/>
      <c r="AI5" s="2862"/>
      <c r="AJ5" s="2862"/>
      <c r="AK5" s="1680" t="s">
        <v>3838</v>
      </c>
      <c r="AM5" s="2861" t="s">
        <v>3722</v>
      </c>
      <c r="AN5" s="2862"/>
      <c r="AO5" s="2862"/>
      <c r="AP5" s="2862"/>
      <c r="AQ5" s="2856" t="s">
        <v>3838</v>
      </c>
      <c r="AS5" s="2861" t="s">
        <v>3723</v>
      </c>
      <c r="AT5" s="2862"/>
      <c r="AU5" s="2862"/>
      <c r="AV5" s="2862"/>
      <c r="AW5" s="2856" t="s">
        <v>3838</v>
      </c>
      <c r="AY5" s="2861" t="s">
        <v>3724</v>
      </c>
      <c r="AZ5" s="2862"/>
      <c r="BA5" s="2862"/>
      <c r="BB5" s="2862"/>
      <c r="BC5" s="2856" t="s">
        <v>3838</v>
      </c>
      <c r="BE5" s="2861" t="s">
        <v>3725</v>
      </c>
      <c r="BF5" s="2862"/>
      <c r="BG5" s="2862"/>
      <c r="BH5" s="2862"/>
      <c r="BI5" s="2856" t="s">
        <v>3838</v>
      </c>
      <c r="BK5" s="2861" t="s">
        <v>3726</v>
      </c>
      <c r="BL5" s="2862"/>
      <c r="BM5" s="2862"/>
      <c r="BN5" s="2862"/>
      <c r="BO5" s="2856" t="s">
        <v>3838</v>
      </c>
      <c r="BQ5" s="2861" t="s">
        <v>3727</v>
      </c>
      <c r="BR5" s="2862"/>
      <c r="BS5" s="2862"/>
      <c r="BT5" s="2862"/>
      <c r="BU5" s="2856" t="s">
        <v>3838</v>
      </c>
      <c r="BV5" s="1706"/>
      <c r="BW5" s="2856" t="s">
        <v>162</v>
      </c>
      <c r="BX5" s="2856" t="s">
        <v>163</v>
      </c>
    </row>
    <row r="6" spans="1:76" ht="18" customHeight="1" thickBot="1" x14ac:dyDescent="0.3">
      <c r="A6" s="2865"/>
      <c r="B6" s="2867"/>
      <c r="C6" s="1688" t="s">
        <v>3728</v>
      </c>
      <c r="D6" s="1682" t="s">
        <v>3796</v>
      </c>
      <c r="E6" s="1682" t="s">
        <v>3797</v>
      </c>
      <c r="F6" s="1681" t="s">
        <v>158</v>
      </c>
      <c r="G6" s="2857"/>
      <c r="I6" s="1688" t="s">
        <v>3728</v>
      </c>
      <c r="J6" s="1682" t="s">
        <v>3796</v>
      </c>
      <c r="K6" s="1682" t="s">
        <v>3797</v>
      </c>
      <c r="L6" s="1681" t="s">
        <v>158</v>
      </c>
      <c r="M6" s="2857"/>
      <c r="O6" s="1688" t="s">
        <v>3728</v>
      </c>
      <c r="P6" s="1682" t="s">
        <v>3796</v>
      </c>
      <c r="Q6" s="1682" t="s">
        <v>3797</v>
      </c>
      <c r="R6" s="1681" t="s">
        <v>158</v>
      </c>
      <c r="S6" s="2857"/>
      <c r="U6" s="1688" t="s">
        <v>3728</v>
      </c>
      <c r="V6" s="1682" t="s">
        <v>3796</v>
      </c>
      <c r="W6" s="1682" t="s">
        <v>3797</v>
      </c>
      <c r="X6" s="1681" t="s">
        <v>158</v>
      </c>
      <c r="Y6" s="2857"/>
      <c r="AA6" s="1688" t="s">
        <v>3728</v>
      </c>
      <c r="AB6" s="1682" t="s">
        <v>3796</v>
      </c>
      <c r="AC6" s="1682" t="s">
        <v>3797</v>
      </c>
      <c r="AD6" s="1681" t="s">
        <v>158</v>
      </c>
      <c r="AE6" s="2857"/>
      <c r="AG6" s="1688" t="s">
        <v>3728</v>
      </c>
      <c r="AH6" s="1682" t="s">
        <v>3796</v>
      </c>
      <c r="AI6" s="1682" t="s">
        <v>3797</v>
      </c>
      <c r="AJ6" s="1681" t="s">
        <v>158</v>
      </c>
      <c r="AK6" s="1683"/>
      <c r="AM6" s="1688" t="s">
        <v>3728</v>
      </c>
      <c r="AN6" s="1682" t="s">
        <v>3796</v>
      </c>
      <c r="AO6" s="1682" t="s">
        <v>3797</v>
      </c>
      <c r="AP6" s="1681" t="s">
        <v>158</v>
      </c>
      <c r="AQ6" s="2857"/>
      <c r="AS6" s="1688" t="s">
        <v>3728</v>
      </c>
      <c r="AT6" s="1682" t="s">
        <v>3796</v>
      </c>
      <c r="AU6" s="1682" t="s">
        <v>3797</v>
      </c>
      <c r="AV6" s="1681" t="s">
        <v>158</v>
      </c>
      <c r="AW6" s="2857"/>
      <c r="AY6" s="1688" t="s">
        <v>3728</v>
      </c>
      <c r="AZ6" s="1682" t="s">
        <v>3796</v>
      </c>
      <c r="BA6" s="1682" t="s">
        <v>3797</v>
      </c>
      <c r="BB6" s="1681" t="s">
        <v>158</v>
      </c>
      <c r="BC6" s="2857"/>
      <c r="BE6" s="1688" t="s">
        <v>3728</v>
      </c>
      <c r="BF6" s="1682" t="s">
        <v>3796</v>
      </c>
      <c r="BG6" s="1682" t="s">
        <v>3797</v>
      </c>
      <c r="BH6" s="1681" t="s">
        <v>158</v>
      </c>
      <c r="BI6" s="2857"/>
      <c r="BK6" s="1688" t="s">
        <v>3728</v>
      </c>
      <c r="BL6" s="1682" t="s">
        <v>3796</v>
      </c>
      <c r="BM6" s="1682" t="s">
        <v>3797</v>
      </c>
      <c r="BN6" s="1681" t="s">
        <v>158</v>
      </c>
      <c r="BO6" s="2857"/>
      <c r="BQ6" s="1688" t="s">
        <v>3728</v>
      </c>
      <c r="BR6" s="1682" t="s">
        <v>3796</v>
      </c>
      <c r="BS6" s="1682" t="s">
        <v>3797</v>
      </c>
      <c r="BT6" s="1681" t="s">
        <v>158</v>
      </c>
      <c r="BU6" s="2857"/>
      <c r="BV6" s="1709"/>
      <c r="BW6" s="2858"/>
      <c r="BX6" s="2858"/>
    </row>
    <row r="7" spans="1:76" ht="15.75" thickBot="1" x14ac:dyDescent="0.3">
      <c r="A7" s="1878"/>
      <c r="B7" s="1879" t="s">
        <v>171</v>
      </c>
      <c r="C7" s="1880">
        <f>SUM(C8:C27)</f>
        <v>729725</v>
      </c>
      <c r="D7" s="1881">
        <f>SUM(D8:D27)</f>
        <v>741761.82</v>
      </c>
      <c r="E7" s="1882">
        <f>D7-C7</f>
        <v>12036.819999999949</v>
      </c>
      <c r="F7" s="1883">
        <f>((D7/C7)-1)*100</f>
        <v>1.6495008393572874</v>
      </c>
      <c r="G7" s="2858"/>
      <c r="H7" s="1715"/>
      <c r="I7" s="1880">
        <f>SUM(I8:I27)</f>
        <v>729725</v>
      </c>
      <c r="J7" s="1881">
        <f>SUM(J8:J27)</f>
        <v>812616.44</v>
      </c>
      <c r="K7" s="1882">
        <f>J7-I7</f>
        <v>82891.439999999944</v>
      </c>
      <c r="L7" s="1883">
        <f>((J7/I7)-1)*100</f>
        <v>11.359270958237676</v>
      </c>
      <c r="M7" s="2858"/>
      <c r="N7" s="1715"/>
      <c r="O7" s="1880">
        <f>SUM(O8:O27)</f>
        <v>729725</v>
      </c>
      <c r="P7" s="1881">
        <f>SUM(P8:P27)</f>
        <v>847975</v>
      </c>
      <c r="Q7" s="1882">
        <f>P7-O7</f>
        <v>118250</v>
      </c>
      <c r="R7" s="1883">
        <f>((P7/O7)-1)*100</f>
        <v>16.204734660317243</v>
      </c>
      <c r="S7" s="2858"/>
      <c r="T7" s="1715"/>
      <c r="U7" s="1884">
        <f>SUM(U8:U27)</f>
        <v>729725</v>
      </c>
      <c r="V7" s="1886">
        <f>SUM(V8:V27)</f>
        <v>0</v>
      </c>
      <c r="W7" s="1882">
        <f>V7-U7</f>
        <v>-729725</v>
      </c>
      <c r="X7" s="1883">
        <f>((V7/U7)-1)*100</f>
        <v>-100</v>
      </c>
      <c r="Y7" s="2858"/>
      <c r="Z7" s="1715"/>
      <c r="AA7" s="1880">
        <f>SUM(AA8:AA27)</f>
        <v>698725</v>
      </c>
      <c r="AB7" s="1881">
        <f>SUM(AB8:AB27)</f>
        <v>0</v>
      </c>
      <c r="AC7" s="1882">
        <f>AB7-AA7</f>
        <v>-698725</v>
      </c>
      <c r="AD7" s="1883">
        <f>((AB7/AA7)-1)*100</f>
        <v>-100</v>
      </c>
      <c r="AE7" s="2858"/>
      <c r="AF7" s="1715"/>
      <c r="AG7" s="1880">
        <f>SUM(AG8:AG27)</f>
        <v>698725</v>
      </c>
      <c r="AH7" s="1881">
        <f>SUM(AH8:AH27)</f>
        <v>0</v>
      </c>
      <c r="AI7" s="1882">
        <f>AH7-AG7</f>
        <v>-698725</v>
      </c>
      <c r="AJ7" s="1883">
        <f>((AH7/AG7)-1)*100</f>
        <v>-100</v>
      </c>
      <c r="AK7" s="1884"/>
      <c r="AL7" s="1715"/>
      <c r="AM7" s="1880">
        <f>SUM(AM8:AM27)</f>
        <v>698725</v>
      </c>
      <c r="AN7" s="1881">
        <f>SUM(AN8:AN27)</f>
        <v>0</v>
      </c>
      <c r="AO7" s="1882">
        <f>AN7-AM7</f>
        <v>-698725</v>
      </c>
      <c r="AP7" s="1883">
        <f>((AN7/AM7)-1)*100</f>
        <v>-100</v>
      </c>
      <c r="AQ7" s="2858"/>
      <c r="AR7" s="1715"/>
      <c r="AS7" s="1880">
        <f>SUM(AS8:AS27)</f>
        <v>698725</v>
      </c>
      <c r="AT7" s="1881">
        <f>SUM(AT8:AT27)</f>
        <v>0</v>
      </c>
      <c r="AU7" s="1882">
        <f>AT7-AS7</f>
        <v>-698725</v>
      </c>
      <c r="AV7" s="1883">
        <f>((AT7/AS7)-1)*100</f>
        <v>-100</v>
      </c>
      <c r="AW7" s="2858"/>
      <c r="AX7" s="1715"/>
      <c r="AY7" s="1880">
        <f>SUM(AY8:AY27)</f>
        <v>729725</v>
      </c>
      <c r="AZ7" s="1881">
        <f>SUM(AZ8:AZ27)</f>
        <v>0</v>
      </c>
      <c r="BA7" s="1882">
        <f>AZ7-AY7</f>
        <v>-729725</v>
      </c>
      <c r="BB7" s="1883">
        <f>((AZ7/AY7)-1)*100</f>
        <v>-100</v>
      </c>
      <c r="BC7" s="2857"/>
      <c r="BD7" s="1715"/>
      <c r="BE7" s="1880">
        <f>SUM(BE8:BE27)</f>
        <v>729725</v>
      </c>
      <c r="BF7" s="1881">
        <f>SUM(BF8:BF27)</f>
        <v>0</v>
      </c>
      <c r="BG7" s="1882">
        <f>BF7-BE7</f>
        <v>-729725</v>
      </c>
      <c r="BH7" s="1883">
        <f>((BF7/BE7)-1)*100</f>
        <v>-100</v>
      </c>
      <c r="BI7" s="2858"/>
      <c r="BJ7" s="1715"/>
      <c r="BK7" s="1880">
        <f>SUM(BK8:BK27)</f>
        <v>729725</v>
      </c>
      <c r="BL7" s="1881">
        <f>SUM(BL8:BL27)</f>
        <v>0</v>
      </c>
      <c r="BM7" s="1882">
        <f>BL7-BK7</f>
        <v>-729725</v>
      </c>
      <c r="BN7" s="1883">
        <f>((BL7/BK7)-1)*100</f>
        <v>-100</v>
      </c>
      <c r="BO7" s="2858"/>
      <c r="BP7" s="1715"/>
      <c r="BQ7" s="1880">
        <f>SUM(BQ8:BQ27)</f>
        <v>729725</v>
      </c>
      <c r="BR7" s="1881">
        <f>SUM(BR8:BR27)</f>
        <v>0</v>
      </c>
      <c r="BS7" s="1882">
        <f>BR7-BQ7</f>
        <v>-729725</v>
      </c>
      <c r="BT7" s="1883">
        <f>((BR7/BQ7)-1)*100</f>
        <v>-100</v>
      </c>
      <c r="BU7" s="2858"/>
      <c r="BV7" s="1715"/>
      <c r="BW7" s="1884">
        <f t="shared" ref="BW7:BX7" si="0">C7+I7+O7+U7+AA7+AG7+AM7+AS7+AY7+BE7+BK7+BQ7</f>
        <v>8632700</v>
      </c>
      <c r="BX7" s="1887">
        <f t="shared" si="0"/>
        <v>2402353.2599999998</v>
      </c>
    </row>
    <row r="8" spans="1:76" ht="15.75" thickBot="1" x14ac:dyDescent="0.3">
      <c r="A8" s="2438">
        <v>12330</v>
      </c>
      <c r="B8" s="2201" t="s">
        <v>81</v>
      </c>
      <c r="C8" s="2259">
        <v>115000</v>
      </c>
      <c r="D8" s="2260">
        <v>65700.479999999996</v>
      </c>
      <c r="E8" s="2260">
        <f>D8-C8</f>
        <v>-49299.520000000004</v>
      </c>
      <c r="F8" s="2261">
        <f>((D8/C8)-1)*100</f>
        <v>-42.869147826086959</v>
      </c>
      <c r="G8" s="1723"/>
      <c r="H8" s="1724"/>
      <c r="I8" s="2259">
        <f t="shared" ref="I8:I27" si="1">C8</f>
        <v>115000</v>
      </c>
      <c r="J8" s="2260">
        <v>86939.7</v>
      </c>
      <c r="K8" s="2260">
        <f>J8-I8</f>
        <v>-28060.300000000003</v>
      </c>
      <c r="L8" s="2261">
        <f>((J8/I8)-1)*100</f>
        <v>-24.400260869565216</v>
      </c>
      <c r="M8" s="2252"/>
      <c r="N8" s="1724"/>
      <c r="O8" s="2259">
        <f t="shared" ref="O8:O27" si="2">I8</f>
        <v>115000</v>
      </c>
      <c r="P8" s="2260">
        <v>66581.789999999994</v>
      </c>
      <c r="Q8" s="2260">
        <f>P8-O8</f>
        <v>-48418.210000000006</v>
      </c>
      <c r="R8" s="2261">
        <f>((P8/O8)-1)*100</f>
        <v>-42.102791304347832</v>
      </c>
      <c r="S8" s="2252"/>
      <c r="T8" s="1724"/>
      <c r="U8" s="2259">
        <f t="shared" ref="U8:U27" si="3">O8</f>
        <v>115000</v>
      </c>
      <c r="V8" s="2260"/>
      <c r="W8" s="2260">
        <f>V8-U8</f>
        <v>-115000</v>
      </c>
      <c r="X8" s="2261">
        <f>((V8/U8)-1)*100</f>
        <v>-100</v>
      </c>
      <c r="Y8" s="2252"/>
      <c r="Z8" s="1724"/>
      <c r="AA8" s="2259">
        <f>U8</f>
        <v>115000</v>
      </c>
      <c r="AB8" s="2260"/>
      <c r="AC8" s="2260">
        <f>AB8-AA8</f>
        <v>-115000</v>
      </c>
      <c r="AD8" s="2261">
        <f>((AB8/AA8)-1)*100</f>
        <v>-100</v>
      </c>
      <c r="AE8" s="2252"/>
      <c r="AF8" s="1724"/>
      <c r="AG8" s="2259">
        <f t="shared" ref="AG8:AG27" si="4">AA8</f>
        <v>115000</v>
      </c>
      <c r="AH8" s="2260"/>
      <c r="AI8" s="2260">
        <f>AH8-AG8</f>
        <v>-115000</v>
      </c>
      <c r="AJ8" s="2261">
        <f>((AH8/AG8)-1)*100</f>
        <v>-100</v>
      </c>
      <c r="AK8" s="2252"/>
      <c r="AL8" s="1724"/>
      <c r="AM8" s="2259">
        <f t="shared" ref="AM8:AM27" si="5">AG8</f>
        <v>115000</v>
      </c>
      <c r="AN8" s="2260"/>
      <c r="AO8" s="2260">
        <f>AN8-AM8</f>
        <v>-115000</v>
      </c>
      <c r="AP8" s="2261">
        <f>((AN8/AM8)-1)*100</f>
        <v>-100</v>
      </c>
      <c r="AQ8" s="2252"/>
      <c r="AR8" s="1724"/>
      <c r="AS8" s="2259">
        <f t="shared" ref="AS8:AS27" si="6">AM8</f>
        <v>115000</v>
      </c>
      <c r="AT8" s="2260"/>
      <c r="AU8" s="2260">
        <f>AT8-AS8</f>
        <v>-115000</v>
      </c>
      <c r="AV8" s="2261">
        <f>((AT8/AS8)-1)*100</f>
        <v>-100</v>
      </c>
      <c r="AW8" s="2252"/>
      <c r="AX8" s="1724"/>
      <c r="AY8" s="2259">
        <f>AS8</f>
        <v>115000</v>
      </c>
      <c r="AZ8" s="2260"/>
      <c r="BA8" s="2260">
        <f>AZ8-AY8</f>
        <v>-115000</v>
      </c>
      <c r="BB8" s="2261">
        <f>((AZ8/AY8)-1)*100</f>
        <v>-100</v>
      </c>
      <c r="BC8" s="2858"/>
      <c r="BD8" s="1724"/>
      <c r="BE8" s="2259">
        <f>AY8</f>
        <v>115000</v>
      </c>
      <c r="BF8" s="2260"/>
      <c r="BG8" s="2260">
        <f>BF8-BE8</f>
        <v>-115000</v>
      </c>
      <c r="BH8" s="2261">
        <f>((BF8/BE8)-1)*100</f>
        <v>-100</v>
      </c>
      <c r="BI8" s="2252"/>
      <c r="BJ8" s="1724"/>
      <c r="BK8" s="2259">
        <f t="shared" ref="BK8:BK27" si="7">BE8</f>
        <v>115000</v>
      </c>
      <c r="BL8" s="2260"/>
      <c r="BM8" s="2260">
        <f>BL8-BK8</f>
        <v>-115000</v>
      </c>
      <c r="BN8" s="2261">
        <f>((BL8/BK8)-1)*100</f>
        <v>-100</v>
      </c>
      <c r="BO8" s="2252"/>
      <c r="BP8" s="1724"/>
      <c r="BQ8" s="2259">
        <f t="shared" ref="BQ8:BQ27" si="8">BK8</f>
        <v>115000</v>
      </c>
      <c r="BR8" s="2260"/>
      <c r="BS8" s="2260">
        <f>BR8-BQ8</f>
        <v>-115000</v>
      </c>
      <c r="BT8" s="2261">
        <f>((BR8/BQ8)-1)*100</f>
        <v>-100</v>
      </c>
      <c r="BU8" s="1834"/>
      <c r="BV8" s="1724"/>
      <c r="BW8" s="1834">
        <f>C8+I8+O8+U8+AA8+AG8+AM8+AS8+AY8+BE8+BK8+BQ8</f>
        <v>1380000</v>
      </c>
      <c r="BX8" s="1889">
        <f>D8+J8+P8+V8+AB8+AH8+AN8+AT8+AZ8+BF8+BL8+BR8</f>
        <v>219221.96999999997</v>
      </c>
    </row>
    <row r="9" spans="1:76" x14ac:dyDescent="0.25">
      <c r="A9" s="2439">
        <v>11576</v>
      </c>
      <c r="B9" s="2206" t="s">
        <v>213</v>
      </c>
      <c r="C9" s="2837">
        <v>60000</v>
      </c>
      <c r="D9" s="1757">
        <v>29137.200000000001</v>
      </c>
      <c r="E9" s="2878">
        <f>D9+D10-C9</f>
        <v>-6115.4700000000012</v>
      </c>
      <c r="F9" s="2880">
        <f>((SUM(D9:D10)/C9)-1)*100</f>
        <v>-10.192449999999997</v>
      </c>
      <c r="G9" s="2253"/>
      <c r="H9" s="1724"/>
      <c r="I9" s="2837">
        <f t="shared" si="1"/>
        <v>60000</v>
      </c>
      <c r="J9" s="1757">
        <v>41923.19</v>
      </c>
      <c r="K9" s="2878">
        <f>J9+J10-I9</f>
        <v>13222.839999999997</v>
      </c>
      <c r="L9" s="2880">
        <f>((SUM(J9:J10)/I9)-1)*100</f>
        <v>22.038066666666655</v>
      </c>
      <c r="M9" s="2252"/>
      <c r="N9" s="1724"/>
      <c r="O9" s="2837">
        <f t="shared" si="2"/>
        <v>60000</v>
      </c>
      <c r="P9" s="1757">
        <v>107.06</v>
      </c>
      <c r="Q9" s="2878">
        <f>P9+P10-O9</f>
        <v>-29386.35</v>
      </c>
      <c r="R9" s="2880">
        <f>((SUM(P9:P10)/O9)-1)*100</f>
        <v>-48.977249999999998</v>
      </c>
      <c r="S9" s="2252"/>
      <c r="T9" s="1724"/>
      <c r="U9" s="2837">
        <f t="shared" si="3"/>
        <v>60000</v>
      </c>
      <c r="V9" s="1757"/>
      <c r="W9" s="2878">
        <f>V9+V10-U9</f>
        <v>-60000</v>
      </c>
      <c r="X9" s="2880">
        <f>((SUM(V9:V10)/U9)-1)*100</f>
        <v>-100</v>
      </c>
      <c r="Y9" s="2252"/>
      <c r="Z9" s="1724"/>
      <c r="AA9" s="2837">
        <f>U9</f>
        <v>60000</v>
      </c>
      <c r="AB9" s="1757"/>
      <c r="AC9" s="2878">
        <f>AB9+AB10-AA9</f>
        <v>-60000</v>
      </c>
      <c r="AD9" s="2880">
        <f>((SUM(AB9:AB10)/AA9)-1)*100</f>
        <v>-100</v>
      </c>
      <c r="AE9" s="2252"/>
      <c r="AF9" s="1724"/>
      <c r="AG9" s="2837">
        <f t="shared" si="4"/>
        <v>60000</v>
      </c>
      <c r="AH9" s="1757"/>
      <c r="AI9" s="2878">
        <f>AH9+AH10-AG9</f>
        <v>-60000</v>
      </c>
      <c r="AJ9" s="2880">
        <f>((SUM(AH9:AH10)/AG9)-1)*100</f>
        <v>-100</v>
      </c>
      <c r="AK9" s="2252"/>
      <c r="AL9" s="1724"/>
      <c r="AM9" s="2837">
        <f t="shared" si="5"/>
        <v>60000</v>
      </c>
      <c r="AN9" s="1757"/>
      <c r="AO9" s="2878">
        <f>AN9+AN10-AM9</f>
        <v>-60000</v>
      </c>
      <c r="AP9" s="2880">
        <f>((SUM(AN9:AN10)/AM9)-1)*100</f>
        <v>-100</v>
      </c>
      <c r="AQ9" s="2252"/>
      <c r="AR9" s="1724"/>
      <c r="AS9" s="2837">
        <f t="shared" si="6"/>
        <v>60000</v>
      </c>
      <c r="AT9" s="1757"/>
      <c r="AU9" s="2878">
        <f>AT9+AT10-AS9</f>
        <v>-60000</v>
      </c>
      <c r="AV9" s="2880">
        <f>((SUM(AT9:AT10)/AS9)-1)*100</f>
        <v>-100</v>
      </c>
      <c r="AW9" s="2252"/>
      <c r="AX9" s="1724"/>
      <c r="AY9" s="2837">
        <f>AS9</f>
        <v>60000</v>
      </c>
      <c r="AZ9" s="1757"/>
      <c r="BA9" s="2878">
        <f>AZ9+AZ10-AY9</f>
        <v>-60000</v>
      </c>
      <c r="BB9" s="2880">
        <f>((SUM(AZ9:AZ10)/AY9)-1)*100</f>
        <v>-100</v>
      </c>
      <c r="BC9" s="2252"/>
      <c r="BD9" s="1724"/>
      <c r="BE9" s="2837">
        <f>AY9</f>
        <v>60000</v>
      </c>
      <c r="BF9" s="1757"/>
      <c r="BG9" s="2878">
        <f>BF9+BF10-BE9</f>
        <v>-60000</v>
      </c>
      <c r="BH9" s="2880">
        <f>((SUM(BF9:BF10)/BE9)-1)*100</f>
        <v>-100</v>
      </c>
      <c r="BI9" s="2252"/>
      <c r="BJ9" s="1724"/>
      <c r="BK9" s="2837">
        <f t="shared" si="7"/>
        <v>60000</v>
      </c>
      <c r="BL9" s="1757"/>
      <c r="BM9" s="2878">
        <f>BL9+BL10-BK9</f>
        <v>-60000</v>
      </c>
      <c r="BN9" s="2880">
        <f>((SUM(BL9:BL10)/BK9)-1)*100</f>
        <v>-100</v>
      </c>
      <c r="BO9" s="2252"/>
      <c r="BP9" s="1724"/>
      <c r="BQ9" s="2837">
        <f t="shared" si="8"/>
        <v>60000</v>
      </c>
      <c r="BR9" s="1757"/>
      <c r="BS9" s="2878">
        <f>BR9+BR10-BQ9</f>
        <v>-60000</v>
      </c>
      <c r="BT9" s="2880">
        <f>((SUM(BR9:BR10)/BQ9)-1)*100</f>
        <v>-100</v>
      </c>
      <c r="BU9" s="2252"/>
      <c r="BV9" s="1724"/>
      <c r="BW9" s="2876">
        <f>C9+I9+O9+U9+AA9+AG9+AM9+AS9+AY9+BE9+BK9+BQ9</f>
        <v>720000</v>
      </c>
      <c r="BX9" s="2876">
        <f>D9+J9+P9+V9+AB9+AH9+AN9+AT9+AZ9+BF9+BL9+BR9+D10+J10+P10+V10+AB10+AH10+AN10+AT10+AZ10+BF10+BL10+BR10</f>
        <v>157721.01999999999</v>
      </c>
    </row>
    <row r="10" spans="1:76" ht="15.75" thickBot="1" x14ac:dyDescent="0.3">
      <c r="A10" s="2439">
        <v>33003</v>
      </c>
      <c r="B10" s="2262" t="s">
        <v>3876</v>
      </c>
      <c r="C10" s="2839"/>
      <c r="D10" s="2263">
        <v>24747.33</v>
      </c>
      <c r="E10" s="2879"/>
      <c r="F10" s="2881"/>
      <c r="G10" s="2254"/>
      <c r="H10" s="1724"/>
      <c r="I10" s="2839"/>
      <c r="J10" s="2263">
        <v>31299.65</v>
      </c>
      <c r="K10" s="2879"/>
      <c r="L10" s="2881"/>
      <c r="M10" s="1838"/>
      <c r="N10" s="1724"/>
      <c r="O10" s="2839"/>
      <c r="P10" s="2263">
        <v>30506.59</v>
      </c>
      <c r="Q10" s="2879"/>
      <c r="R10" s="2881"/>
      <c r="S10" s="1838"/>
      <c r="T10" s="1724"/>
      <c r="U10" s="2839"/>
      <c r="V10" s="2263"/>
      <c r="W10" s="2879"/>
      <c r="X10" s="2881"/>
      <c r="Y10" s="1838"/>
      <c r="Z10" s="1724"/>
      <c r="AA10" s="2839"/>
      <c r="AB10" s="2263"/>
      <c r="AC10" s="2879"/>
      <c r="AD10" s="2881"/>
      <c r="AE10" s="1838"/>
      <c r="AF10" s="1724"/>
      <c r="AG10" s="2839"/>
      <c r="AH10" s="2263"/>
      <c r="AI10" s="2879"/>
      <c r="AJ10" s="2881"/>
      <c r="AK10" s="1838"/>
      <c r="AL10" s="1724"/>
      <c r="AM10" s="2839"/>
      <c r="AN10" s="2263"/>
      <c r="AO10" s="2879"/>
      <c r="AP10" s="2881"/>
      <c r="AQ10" s="1838"/>
      <c r="AR10" s="1724"/>
      <c r="AS10" s="2839"/>
      <c r="AT10" s="2263"/>
      <c r="AU10" s="2879"/>
      <c r="AV10" s="2881"/>
      <c r="AW10" s="1838"/>
      <c r="AX10" s="1724"/>
      <c r="AY10" s="2839"/>
      <c r="AZ10" s="2263"/>
      <c r="BA10" s="2879"/>
      <c r="BB10" s="2881"/>
      <c r="BC10" s="1838"/>
      <c r="BD10" s="1724"/>
      <c r="BE10" s="2839"/>
      <c r="BF10" s="2263"/>
      <c r="BG10" s="2879"/>
      <c r="BH10" s="2881"/>
      <c r="BI10" s="1838"/>
      <c r="BJ10" s="1724"/>
      <c r="BK10" s="2839"/>
      <c r="BL10" s="2263"/>
      <c r="BM10" s="2879"/>
      <c r="BN10" s="2881"/>
      <c r="BO10" s="1838"/>
      <c r="BP10" s="1724"/>
      <c r="BQ10" s="2839"/>
      <c r="BR10" s="2263"/>
      <c r="BS10" s="2879"/>
      <c r="BT10" s="2881"/>
      <c r="BU10" s="1838"/>
      <c r="BV10" s="1724"/>
      <c r="BW10" s="2877"/>
      <c r="BX10" s="2877"/>
    </row>
    <row r="11" spans="1:76" x14ac:dyDescent="0.25">
      <c r="A11" s="2439">
        <v>33005</v>
      </c>
      <c r="B11" s="2206" t="s">
        <v>3795</v>
      </c>
      <c r="C11" s="2837">
        <v>196000</v>
      </c>
      <c r="D11" s="1757">
        <v>29950.98</v>
      </c>
      <c r="E11" s="2878">
        <f>D11+D12-C11</f>
        <v>86102.479999999981</v>
      </c>
      <c r="F11" s="2880">
        <f>((SUM(D11:D12)/C11)-1)*100</f>
        <v>43.929836734693865</v>
      </c>
      <c r="G11" s="2253"/>
      <c r="H11" s="1724"/>
      <c r="I11" s="2837">
        <f t="shared" si="1"/>
        <v>196000</v>
      </c>
      <c r="J11" s="1757">
        <v>42118.89</v>
      </c>
      <c r="K11" s="2878">
        <f>J11+J12-I11</f>
        <v>83736.669999999984</v>
      </c>
      <c r="L11" s="2880">
        <f>((SUM(J11:J12)/I11)-1)*100</f>
        <v>42.72279081632653</v>
      </c>
      <c r="M11" s="2252"/>
      <c r="N11" s="1724"/>
      <c r="O11" s="2837">
        <f t="shared" si="2"/>
        <v>196000</v>
      </c>
      <c r="P11" s="1757">
        <v>49993.07</v>
      </c>
      <c r="Q11" s="2878">
        <f>P11+P12-O11</f>
        <v>133805.02000000002</v>
      </c>
      <c r="R11" s="2880">
        <f>((SUM(P11:P12)/O11)-1)*100</f>
        <v>68.2678673469388</v>
      </c>
      <c r="S11" s="2252"/>
      <c r="T11" s="1724"/>
      <c r="U11" s="2837">
        <f t="shared" si="3"/>
        <v>196000</v>
      </c>
      <c r="V11" s="1757"/>
      <c r="W11" s="2878">
        <f>V11+V12-U11</f>
        <v>-196000</v>
      </c>
      <c r="X11" s="2880">
        <f>((SUM(V11:V12)/U11)-1)*100</f>
        <v>-100</v>
      </c>
      <c r="Y11" s="2252"/>
      <c r="Z11" s="1724"/>
      <c r="AA11" s="2837">
        <v>165000</v>
      </c>
      <c r="AB11" s="1757"/>
      <c r="AC11" s="2878">
        <f>AB11+AB12-AA11</f>
        <v>-165000</v>
      </c>
      <c r="AD11" s="2880">
        <f>((SUM(AB11:AB12)/AA11)-1)*100</f>
        <v>-100</v>
      </c>
      <c r="AE11" s="2252"/>
      <c r="AF11" s="1724"/>
      <c r="AG11" s="2837">
        <f t="shared" si="4"/>
        <v>165000</v>
      </c>
      <c r="AH11" s="1757"/>
      <c r="AI11" s="2878">
        <f>AH11+AH12-AG11</f>
        <v>-165000</v>
      </c>
      <c r="AJ11" s="2880">
        <f>((SUM(AH11:AH12)/AG11)-1)*100</f>
        <v>-100</v>
      </c>
      <c r="AK11" s="2252"/>
      <c r="AL11" s="1724"/>
      <c r="AM11" s="2837">
        <f t="shared" si="5"/>
        <v>165000</v>
      </c>
      <c r="AN11" s="1757"/>
      <c r="AO11" s="2878">
        <f>AN11+AN12-AM11</f>
        <v>-165000</v>
      </c>
      <c r="AP11" s="2880">
        <f>((SUM(AN11:AN12)/AM11)-1)*100</f>
        <v>-100</v>
      </c>
      <c r="AQ11" s="2252"/>
      <c r="AR11" s="1724"/>
      <c r="AS11" s="2837">
        <f t="shared" si="6"/>
        <v>165000</v>
      </c>
      <c r="AT11" s="1757"/>
      <c r="AU11" s="2878">
        <f>AT11+AT12-AS11</f>
        <v>-165000</v>
      </c>
      <c r="AV11" s="2880">
        <f>((SUM(AT11:AT12)/AS11)-1)*100</f>
        <v>-100</v>
      </c>
      <c r="AW11" s="2252"/>
      <c r="AX11" s="1724"/>
      <c r="AY11" s="2837">
        <v>196000</v>
      </c>
      <c r="AZ11" s="1757"/>
      <c r="BA11" s="2878">
        <f>AZ11+AZ12-AY11</f>
        <v>-196000</v>
      </c>
      <c r="BB11" s="2880">
        <f>((SUM(AZ11:AZ12)/AY11)-1)*100</f>
        <v>-100</v>
      </c>
      <c r="BC11" s="2252"/>
      <c r="BD11" s="1724"/>
      <c r="BE11" s="2837">
        <f>AY11</f>
        <v>196000</v>
      </c>
      <c r="BF11" s="1757"/>
      <c r="BG11" s="2878">
        <f>BF11+BF12-BE11</f>
        <v>-196000</v>
      </c>
      <c r="BH11" s="2880">
        <f>((SUM(BF11:BF12)/BE11)-1)*100</f>
        <v>-100</v>
      </c>
      <c r="BI11" s="2252"/>
      <c r="BJ11" s="1724"/>
      <c r="BK11" s="2837">
        <f t="shared" si="7"/>
        <v>196000</v>
      </c>
      <c r="BL11" s="1757"/>
      <c r="BM11" s="2878">
        <f>BL11+BL12-BK11</f>
        <v>-196000</v>
      </c>
      <c r="BN11" s="2880">
        <f>((SUM(BL11:BL12)/BK11)-1)*100</f>
        <v>-100</v>
      </c>
      <c r="BO11" s="2252"/>
      <c r="BP11" s="1724"/>
      <c r="BQ11" s="2837">
        <f t="shared" si="8"/>
        <v>196000</v>
      </c>
      <c r="BR11" s="1757"/>
      <c r="BS11" s="2878">
        <f>BR11+BR12-BQ11</f>
        <v>-196000</v>
      </c>
      <c r="BT11" s="2880">
        <f>((SUM(BR11:BR12)/BQ11)-1)*100</f>
        <v>-100</v>
      </c>
      <c r="BU11" s="2252"/>
      <c r="BV11" s="1724"/>
      <c r="BW11" s="2876">
        <f>C11+I11+O11+U11+AA11+AG11+AM11+AS11+AY11+BE11+BK11+BQ11</f>
        <v>2228000</v>
      </c>
      <c r="BX11" s="2876">
        <f>D11+J11+P11+V11+AB11+AH11+AN11+AT11+AZ11+BF11+BL11+BR11+D12+J12+P12+V12+AB12+AH12+AN12+AT12+AZ12+BF12+BL12+BR12</f>
        <v>891644.16999999993</v>
      </c>
    </row>
    <row r="12" spans="1:76" ht="15.75" thickBot="1" x14ac:dyDescent="0.3">
      <c r="A12" s="2439">
        <v>32935</v>
      </c>
      <c r="B12" s="2262" t="s">
        <v>3878</v>
      </c>
      <c r="C12" s="2839"/>
      <c r="D12" s="2263">
        <v>252151.5</v>
      </c>
      <c r="E12" s="2879"/>
      <c r="F12" s="2881"/>
      <c r="G12" s="2254"/>
      <c r="H12" s="1724"/>
      <c r="I12" s="2839"/>
      <c r="J12" s="2263">
        <v>237617.78</v>
      </c>
      <c r="K12" s="2879"/>
      <c r="L12" s="2881"/>
      <c r="M12" s="1838"/>
      <c r="N12" s="1724"/>
      <c r="O12" s="2839"/>
      <c r="P12" s="2263">
        <v>279811.95</v>
      </c>
      <c r="Q12" s="2879"/>
      <c r="R12" s="2881"/>
      <c r="S12" s="1838"/>
      <c r="T12" s="1724"/>
      <c r="U12" s="2839"/>
      <c r="V12" s="2263"/>
      <c r="W12" s="2879"/>
      <c r="X12" s="2881"/>
      <c r="Y12" s="1838"/>
      <c r="Z12" s="1724"/>
      <c r="AA12" s="2839"/>
      <c r="AB12" s="2263"/>
      <c r="AC12" s="2879"/>
      <c r="AD12" s="2881"/>
      <c r="AE12" s="1838"/>
      <c r="AF12" s="1724"/>
      <c r="AG12" s="2839"/>
      <c r="AH12" s="2263"/>
      <c r="AI12" s="2879"/>
      <c r="AJ12" s="2881"/>
      <c r="AK12" s="1838"/>
      <c r="AL12" s="1724"/>
      <c r="AM12" s="2839"/>
      <c r="AN12" s="2263"/>
      <c r="AO12" s="2879"/>
      <c r="AP12" s="2881"/>
      <c r="AQ12" s="1838"/>
      <c r="AR12" s="1724"/>
      <c r="AS12" s="2839"/>
      <c r="AT12" s="2263"/>
      <c r="AU12" s="2879"/>
      <c r="AV12" s="2881"/>
      <c r="AW12" s="1838"/>
      <c r="AX12" s="1724"/>
      <c r="AY12" s="2839"/>
      <c r="AZ12" s="2263"/>
      <c r="BA12" s="2879"/>
      <c r="BB12" s="2881"/>
      <c r="BC12" s="1838"/>
      <c r="BD12" s="1724"/>
      <c r="BE12" s="2839"/>
      <c r="BF12" s="2263"/>
      <c r="BG12" s="2879"/>
      <c r="BH12" s="2881"/>
      <c r="BI12" s="1838"/>
      <c r="BJ12" s="1724"/>
      <c r="BK12" s="2839"/>
      <c r="BL12" s="2263"/>
      <c r="BM12" s="2879"/>
      <c r="BN12" s="2881"/>
      <c r="BO12" s="1838"/>
      <c r="BP12" s="1724"/>
      <c r="BQ12" s="2839"/>
      <c r="BR12" s="2263"/>
      <c r="BS12" s="2879"/>
      <c r="BT12" s="2881"/>
      <c r="BU12" s="1838"/>
      <c r="BV12" s="1724"/>
      <c r="BW12" s="2877"/>
      <c r="BX12" s="2877"/>
    </row>
    <row r="13" spans="1:76" x14ac:dyDescent="0.25">
      <c r="A13" s="2445">
        <v>32937</v>
      </c>
      <c r="B13" s="2440" t="s">
        <v>95</v>
      </c>
      <c r="C13" s="2264">
        <v>27000</v>
      </c>
      <c r="D13" s="2265">
        <v>32239.34</v>
      </c>
      <c r="E13" s="2265">
        <f t="shared" ref="E13:E27" si="9">D13-C13</f>
        <v>5239.34</v>
      </c>
      <c r="F13" s="2266">
        <f>((D13/C13)-1)*100</f>
        <v>19.404962962962969</v>
      </c>
      <c r="G13" s="1748"/>
      <c r="H13" s="1730"/>
      <c r="I13" s="2264">
        <f t="shared" si="1"/>
        <v>27000</v>
      </c>
      <c r="J13" s="2265">
        <v>31951.63</v>
      </c>
      <c r="K13" s="2265">
        <f t="shared" ref="K13:K27" si="10">J13-I13</f>
        <v>4951.630000000001</v>
      </c>
      <c r="L13" s="2266">
        <f>((J13/I13)-1)*100</f>
        <v>18.339370370370368</v>
      </c>
      <c r="M13" s="2160"/>
      <c r="N13" s="1730"/>
      <c r="O13" s="2264">
        <f t="shared" si="2"/>
        <v>27000</v>
      </c>
      <c r="P13" s="2265">
        <v>30980.37</v>
      </c>
      <c r="Q13" s="2265">
        <f t="shared" ref="Q13:Q27" si="11">P13-O13</f>
        <v>3980.369999999999</v>
      </c>
      <c r="R13" s="2266">
        <f>((P13/O13)-1)*100</f>
        <v>14.7421111111111</v>
      </c>
      <c r="S13" s="2160"/>
      <c r="T13" s="1730"/>
      <c r="U13" s="2264">
        <f t="shared" si="3"/>
        <v>27000</v>
      </c>
      <c r="V13" s="2265"/>
      <c r="W13" s="2265">
        <f t="shared" ref="W13:W27" si="12">V13-U13</f>
        <v>-27000</v>
      </c>
      <c r="X13" s="2266">
        <f>((V13/U13)-1)*100</f>
        <v>-100</v>
      </c>
      <c r="Y13" s="2160"/>
      <c r="Z13" s="1730"/>
      <c r="AA13" s="2264">
        <f t="shared" ref="AA13:AA27" si="13">U13</f>
        <v>27000</v>
      </c>
      <c r="AB13" s="2265"/>
      <c r="AC13" s="2265">
        <f t="shared" ref="AC13:AC27" si="14">AB13-AA13</f>
        <v>-27000</v>
      </c>
      <c r="AD13" s="2266">
        <f>((AB13/AA13)-1)*100</f>
        <v>-100</v>
      </c>
      <c r="AE13" s="2160"/>
      <c r="AF13" s="1730"/>
      <c r="AG13" s="2264">
        <f t="shared" si="4"/>
        <v>27000</v>
      </c>
      <c r="AH13" s="2265"/>
      <c r="AI13" s="2265">
        <f t="shared" ref="AI13:AI27" si="15">AH13-AG13</f>
        <v>-27000</v>
      </c>
      <c r="AJ13" s="2266">
        <f>((AH13/AG13)-1)*100</f>
        <v>-100</v>
      </c>
      <c r="AK13" s="2160"/>
      <c r="AL13" s="1730"/>
      <c r="AM13" s="2264">
        <f t="shared" si="5"/>
        <v>27000</v>
      </c>
      <c r="AN13" s="2265"/>
      <c r="AO13" s="2265">
        <f t="shared" ref="AO13:AO27" si="16">AN13-AM13</f>
        <v>-27000</v>
      </c>
      <c r="AP13" s="2266">
        <f>((AN13/AM13)-1)*100</f>
        <v>-100</v>
      </c>
      <c r="AQ13" s="2160"/>
      <c r="AR13" s="1730"/>
      <c r="AS13" s="2264">
        <f t="shared" si="6"/>
        <v>27000</v>
      </c>
      <c r="AT13" s="2265"/>
      <c r="AU13" s="2265">
        <f t="shared" ref="AU13:AU27" si="17">AT13-AS13</f>
        <v>-27000</v>
      </c>
      <c r="AV13" s="2266">
        <f>((AT13/AS13)-1)*100</f>
        <v>-100</v>
      </c>
      <c r="AW13" s="2160"/>
      <c r="AX13" s="1730"/>
      <c r="AY13" s="2264">
        <f t="shared" ref="AY13:AY27" si="18">AS13</f>
        <v>27000</v>
      </c>
      <c r="AZ13" s="2265"/>
      <c r="BA13" s="2265">
        <f t="shared" ref="BA13:BA27" si="19">AZ13-AY13</f>
        <v>-27000</v>
      </c>
      <c r="BB13" s="2266">
        <f>((AZ13/AY13)-1)*100</f>
        <v>-100</v>
      </c>
      <c r="BC13" s="2160"/>
      <c r="BD13" s="1730"/>
      <c r="BE13" s="2264">
        <f t="shared" ref="BE13:BE27" si="20">AY13</f>
        <v>27000</v>
      </c>
      <c r="BF13" s="2265"/>
      <c r="BG13" s="2265">
        <f t="shared" ref="BG13:BG27" si="21">BF13-BE13</f>
        <v>-27000</v>
      </c>
      <c r="BH13" s="2266">
        <f>((BF13/BE13)-1)*100</f>
        <v>-100</v>
      </c>
      <c r="BI13" s="2160"/>
      <c r="BJ13" s="1730"/>
      <c r="BK13" s="2264">
        <f t="shared" si="7"/>
        <v>27000</v>
      </c>
      <c r="BL13" s="2265"/>
      <c r="BM13" s="2265">
        <f t="shared" ref="BM13:BM27" si="22">BL13-BK13</f>
        <v>-27000</v>
      </c>
      <c r="BN13" s="2266">
        <f>((BL13/BK13)-1)*100</f>
        <v>-100</v>
      </c>
      <c r="BO13" s="2160"/>
      <c r="BP13" s="1730"/>
      <c r="BQ13" s="2264">
        <f t="shared" si="8"/>
        <v>27000</v>
      </c>
      <c r="BR13" s="2265"/>
      <c r="BS13" s="2265">
        <f t="shared" ref="BS13:BS27" si="23">BR13-BQ13</f>
        <v>-27000</v>
      </c>
      <c r="BT13" s="2266">
        <f>((BR13/BQ13)-1)*100</f>
        <v>-100</v>
      </c>
      <c r="BU13" s="2160"/>
      <c r="BV13" s="1730"/>
      <c r="BW13" s="1762">
        <f t="shared" ref="BW13:BX27" si="24">C13+I13+O13+U13+AA13+AG13+AM13+AS13+AY13+BE13+BK13+BQ13</f>
        <v>324000</v>
      </c>
      <c r="BX13" s="1895">
        <f t="shared" si="24"/>
        <v>95171.34</v>
      </c>
    </row>
    <row r="14" spans="1:76" x14ac:dyDescent="0.25">
      <c r="A14" s="2448">
        <v>12869</v>
      </c>
      <c r="B14" s="2440" t="s">
        <v>94</v>
      </c>
      <c r="C14" s="2255">
        <v>77000</v>
      </c>
      <c r="D14" s="2256">
        <v>82311.28</v>
      </c>
      <c r="E14" s="2256">
        <f t="shared" si="9"/>
        <v>5311.2799999999988</v>
      </c>
      <c r="F14" s="2258">
        <f>((D14/C14)-1)*100</f>
        <v>6.8977662337662338</v>
      </c>
      <c r="G14" s="1762"/>
      <c r="H14" s="1724"/>
      <c r="I14" s="2255">
        <f t="shared" si="1"/>
        <v>77000</v>
      </c>
      <c r="J14" s="2256">
        <v>83083.740000000005</v>
      </c>
      <c r="K14" s="2256">
        <f t="shared" si="10"/>
        <v>6083.7400000000052</v>
      </c>
      <c r="L14" s="2258">
        <f>((J14/I14)-1)*100</f>
        <v>7.9009610389610518</v>
      </c>
      <c r="M14" s="1762"/>
      <c r="N14" s="1724"/>
      <c r="O14" s="2255">
        <f t="shared" si="2"/>
        <v>77000</v>
      </c>
      <c r="P14" s="2256">
        <v>81577.100000000006</v>
      </c>
      <c r="Q14" s="2256">
        <f t="shared" si="11"/>
        <v>4577.1000000000058</v>
      </c>
      <c r="R14" s="2258">
        <f>((P14/O14)-1)*100</f>
        <v>5.9442857142857131</v>
      </c>
      <c r="S14" s="1762"/>
      <c r="T14" s="1724"/>
      <c r="U14" s="2255">
        <f t="shared" si="3"/>
        <v>77000</v>
      </c>
      <c r="V14" s="2256"/>
      <c r="W14" s="2256">
        <f t="shared" si="12"/>
        <v>-77000</v>
      </c>
      <c r="X14" s="2258">
        <f>((V14/U14)-1)*100</f>
        <v>-100</v>
      </c>
      <c r="Y14" s="1762"/>
      <c r="Z14" s="1724"/>
      <c r="AA14" s="2255">
        <f t="shared" si="13"/>
        <v>77000</v>
      </c>
      <c r="AB14" s="2256"/>
      <c r="AC14" s="2256">
        <f t="shared" si="14"/>
        <v>-77000</v>
      </c>
      <c r="AD14" s="2258">
        <f>((AB14/AA14)-1)*100</f>
        <v>-100</v>
      </c>
      <c r="AE14" s="1762"/>
      <c r="AF14" s="1724"/>
      <c r="AG14" s="2255">
        <f t="shared" si="4"/>
        <v>77000</v>
      </c>
      <c r="AH14" s="2256"/>
      <c r="AI14" s="2256">
        <f t="shared" si="15"/>
        <v>-77000</v>
      </c>
      <c r="AJ14" s="2258">
        <f>((AH14/AG14)-1)*100</f>
        <v>-100</v>
      </c>
      <c r="AK14" s="1762"/>
      <c r="AL14" s="1724"/>
      <c r="AM14" s="2255">
        <f t="shared" si="5"/>
        <v>77000</v>
      </c>
      <c r="AN14" s="2256"/>
      <c r="AO14" s="2256">
        <f t="shared" si="16"/>
        <v>-77000</v>
      </c>
      <c r="AP14" s="2258">
        <f>((AN14/AM14)-1)*100</f>
        <v>-100</v>
      </c>
      <c r="AQ14" s="1762"/>
      <c r="AR14" s="1724"/>
      <c r="AS14" s="2255">
        <f t="shared" si="6"/>
        <v>77000</v>
      </c>
      <c r="AT14" s="2256"/>
      <c r="AU14" s="2256">
        <f t="shared" si="17"/>
        <v>-77000</v>
      </c>
      <c r="AV14" s="2258">
        <f>((AT14/AS14)-1)*100</f>
        <v>-100</v>
      </c>
      <c r="AW14" s="1762"/>
      <c r="AX14" s="1724"/>
      <c r="AY14" s="2255">
        <f t="shared" si="18"/>
        <v>77000</v>
      </c>
      <c r="AZ14" s="2256"/>
      <c r="BA14" s="2256">
        <f t="shared" si="19"/>
        <v>-77000</v>
      </c>
      <c r="BB14" s="2258">
        <f>((AZ14/AY14)-1)*100</f>
        <v>-100</v>
      </c>
      <c r="BC14" s="1762"/>
      <c r="BD14" s="1724"/>
      <c r="BE14" s="2255">
        <f t="shared" si="20"/>
        <v>77000</v>
      </c>
      <c r="BF14" s="2256"/>
      <c r="BG14" s="2256">
        <f t="shared" si="21"/>
        <v>-77000</v>
      </c>
      <c r="BH14" s="2258">
        <f>((BF14/BE14)-1)*100</f>
        <v>-100</v>
      </c>
      <c r="BI14" s="1762"/>
      <c r="BJ14" s="1724"/>
      <c r="BK14" s="2255">
        <f t="shared" si="7"/>
        <v>77000</v>
      </c>
      <c r="BL14" s="2256"/>
      <c r="BM14" s="2256">
        <f t="shared" si="22"/>
        <v>-77000</v>
      </c>
      <c r="BN14" s="2258">
        <f>((BL14/BK14)-1)*100</f>
        <v>-100</v>
      </c>
      <c r="BO14" s="1762"/>
      <c r="BP14" s="1724"/>
      <c r="BQ14" s="2255">
        <f t="shared" si="8"/>
        <v>77000</v>
      </c>
      <c r="BR14" s="2256"/>
      <c r="BS14" s="2256">
        <f t="shared" si="23"/>
        <v>-77000</v>
      </c>
      <c r="BT14" s="2258">
        <f>((BR14/BQ14)-1)*100</f>
        <v>-100</v>
      </c>
      <c r="BU14" s="1762"/>
      <c r="BV14" s="1724"/>
      <c r="BW14" s="1762">
        <f t="shared" si="24"/>
        <v>924000</v>
      </c>
      <c r="BX14" s="1898">
        <f t="shared" si="24"/>
        <v>246972.12000000002</v>
      </c>
    </row>
    <row r="15" spans="1:76" x14ac:dyDescent="0.25">
      <c r="A15" s="2448">
        <v>12900</v>
      </c>
      <c r="B15" s="2441" t="s">
        <v>3907</v>
      </c>
      <c r="C15" s="2255">
        <v>11000</v>
      </c>
      <c r="D15" s="2256">
        <v>11383</v>
      </c>
      <c r="E15" s="2256">
        <f t="shared" si="9"/>
        <v>383</v>
      </c>
      <c r="F15" s="2258">
        <f t="shared" ref="F15:F25" si="25">((D15/C15)-1)*100</f>
        <v>3.4818181818181859</v>
      </c>
      <c r="G15" s="1762"/>
      <c r="H15" s="1724"/>
      <c r="I15" s="2255">
        <f t="shared" si="1"/>
        <v>11000</v>
      </c>
      <c r="J15" s="2256">
        <v>9649.7800000000007</v>
      </c>
      <c r="K15" s="2256">
        <f t="shared" si="10"/>
        <v>-1350.2199999999993</v>
      </c>
      <c r="L15" s="2258">
        <f t="shared" ref="L15:L25" si="26">((J15/I15)-1)*100</f>
        <v>-12.27472727272727</v>
      </c>
      <c r="M15" s="1762"/>
      <c r="N15" s="1724"/>
      <c r="O15" s="2255">
        <f t="shared" si="2"/>
        <v>11000</v>
      </c>
      <c r="P15" s="2256">
        <v>8831.82</v>
      </c>
      <c r="Q15" s="2256">
        <f t="shared" si="11"/>
        <v>-2168.1800000000003</v>
      </c>
      <c r="R15" s="2258">
        <f t="shared" ref="R15:R25" si="27">((P15/O15)-1)*100</f>
        <v>-19.710727272727279</v>
      </c>
      <c r="S15" s="1762"/>
      <c r="T15" s="1724"/>
      <c r="U15" s="2255">
        <f t="shared" si="3"/>
        <v>11000</v>
      </c>
      <c r="V15" s="2256"/>
      <c r="W15" s="2256">
        <f t="shared" si="12"/>
        <v>-11000</v>
      </c>
      <c r="X15" s="2258">
        <f t="shared" ref="X15:X25" si="28">((V15/U15)-1)*100</f>
        <v>-100</v>
      </c>
      <c r="Y15" s="1762"/>
      <c r="Z15" s="1724"/>
      <c r="AA15" s="2255">
        <f t="shared" si="13"/>
        <v>11000</v>
      </c>
      <c r="AB15" s="2256"/>
      <c r="AC15" s="2256">
        <f t="shared" si="14"/>
        <v>-11000</v>
      </c>
      <c r="AD15" s="2258">
        <f t="shared" ref="AD15:AD25" si="29">((AB15/AA15)-1)*100</f>
        <v>-100</v>
      </c>
      <c r="AE15" s="1762"/>
      <c r="AF15" s="1724"/>
      <c r="AG15" s="2255">
        <f t="shared" si="4"/>
        <v>11000</v>
      </c>
      <c r="AH15" s="2256"/>
      <c r="AI15" s="2256">
        <f t="shared" si="15"/>
        <v>-11000</v>
      </c>
      <c r="AJ15" s="2258">
        <f t="shared" ref="AJ15:AJ25" si="30">((AH15/AG15)-1)*100</f>
        <v>-100</v>
      </c>
      <c r="AK15" s="1762"/>
      <c r="AL15" s="1724"/>
      <c r="AM15" s="2255">
        <f t="shared" si="5"/>
        <v>11000</v>
      </c>
      <c r="AN15" s="2256"/>
      <c r="AO15" s="2256">
        <f t="shared" si="16"/>
        <v>-11000</v>
      </c>
      <c r="AP15" s="2258">
        <f t="shared" ref="AP15:AP25" si="31">((AN15/AM15)-1)*100</f>
        <v>-100</v>
      </c>
      <c r="AQ15" s="1762"/>
      <c r="AR15" s="1724"/>
      <c r="AS15" s="2255">
        <f t="shared" si="6"/>
        <v>11000</v>
      </c>
      <c r="AT15" s="2256"/>
      <c r="AU15" s="2256">
        <f t="shared" si="17"/>
        <v>-11000</v>
      </c>
      <c r="AV15" s="2258">
        <f t="shared" ref="AV15:AV25" si="32">((AT15/AS15)-1)*100</f>
        <v>-100</v>
      </c>
      <c r="AW15" s="1762"/>
      <c r="AX15" s="1724"/>
      <c r="AY15" s="2255">
        <f t="shared" si="18"/>
        <v>11000</v>
      </c>
      <c r="AZ15" s="2256"/>
      <c r="BA15" s="2256">
        <f t="shared" si="19"/>
        <v>-11000</v>
      </c>
      <c r="BB15" s="2258">
        <f t="shared" ref="BB15:BB25" si="33">((AZ15/AY15)-1)*100</f>
        <v>-100</v>
      </c>
      <c r="BC15" s="1762"/>
      <c r="BD15" s="1724"/>
      <c r="BE15" s="2255">
        <f t="shared" si="20"/>
        <v>11000</v>
      </c>
      <c r="BF15" s="2256"/>
      <c r="BG15" s="2256">
        <f t="shared" si="21"/>
        <v>-11000</v>
      </c>
      <c r="BH15" s="2258">
        <f t="shared" ref="BH15:BH25" si="34">((BF15/BE15)-1)*100</f>
        <v>-100</v>
      </c>
      <c r="BI15" s="1762"/>
      <c r="BJ15" s="1724"/>
      <c r="BK15" s="2255">
        <f t="shared" si="7"/>
        <v>11000</v>
      </c>
      <c r="BL15" s="2256"/>
      <c r="BM15" s="2256">
        <f t="shared" si="22"/>
        <v>-11000</v>
      </c>
      <c r="BN15" s="2258">
        <f t="shared" ref="BN15:BN25" si="35">((BL15/BK15)-1)*100</f>
        <v>-100</v>
      </c>
      <c r="BO15" s="1762"/>
      <c r="BP15" s="1724"/>
      <c r="BQ15" s="2255">
        <f t="shared" si="8"/>
        <v>11000</v>
      </c>
      <c r="BR15" s="2256"/>
      <c r="BS15" s="2256">
        <f t="shared" si="23"/>
        <v>-11000</v>
      </c>
      <c r="BT15" s="2258">
        <f t="shared" ref="BT15:BT25" si="36">((BR15/BQ15)-1)*100</f>
        <v>-100</v>
      </c>
      <c r="BU15" s="1762"/>
      <c r="BV15" s="1724"/>
      <c r="BW15" s="1762">
        <f t="shared" si="24"/>
        <v>132000</v>
      </c>
      <c r="BX15" s="1898">
        <f t="shared" si="24"/>
        <v>29864.6</v>
      </c>
    </row>
    <row r="16" spans="1:76" x14ac:dyDescent="0.25">
      <c r="A16" s="2448">
        <v>12334</v>
      </c>
      <c r="B16" s="2440" t="s">
        <v>82</v>
      </c>
      <c r="C16" s="2255">
        <v>31000</v>
      </c>
      <c r="D16" s="2256">
        <v>32116.98</v>
      </c>
      <c r="E16" s="2256">
        <f t="shared" si="9"/>
        <v>1116.9799999999996</v>
      </c>
      <c r="F16" s="2258">
        <f t="shared" si="25"/>
        <v>3.6031612903225874</v>
      </c>
      <c r="G16" s="1762"/>
      <c r="H16" s="1724"/>
      <c r="I16" s="2255">
        <f t="shared" si="1"/>
        <v>31000</v>
      </c>
      <c r="J16" s="2256">
        <v>28512.91</v>
      </c>
      <c r="K16" s="2256">
        <f t="shared" si="10"/>
        <v>-2487.09</v>
      </c>
      <c r="L16" s="2258">
        <f t="shared" si="26"/>
        <v>-8.0228709677419356</v>
      </c>
      <c r="M16" s="1762"/>
      <c r="N16" s="1724"/>
      <c r="O16" s="2255">
        <f t="shared" si="2"/>
        <v>31000</v>
      </c>
      <c r="P16" s="2256">
        <v>25155.4</v>
      </c>
      <c r="Q16" s="2256">
        <f t="shared" si="11"/>
        <v>-5844.5999999999985</v>
      </c>
      <c r="R16" s="2258">
        <f t="shared" si="27"/>
        <v>-18.853548387096776</v>
      </c>
      <c r="S16" s="1762"/>
      <c r="T16" s="1724"/>
      <c r="U16" s="2255">
        <f t="shared" si="3"/>
        <v>31000</v>
      </c>
      <c r="V16" s="2256"/>
      <c r="W16" s="2256">
        <f t="shared" si="12"/>
        <v>-31000</v>
      </c>
      <c r="X16" s="2258">
        <f t="shared" si="28"/>
        <v>-100</v>
      </c>
      <c r="Y16" s="1762"/>
      <c r="Z16" s="1724"/>
      <c r="AA16" s="2255">
        <f t="shared" si="13"/>
        <v>31000</v>
      </c>
      <c r="AB16" s="2256"/>
      <c r="AC16" s="2256">
        <f t="shared" si="14"/>
        <v>-31000</v>
      </c>
      <c r="AD16" s="2258">
        <f t="shared" si="29"/>
        <v>-100</v>
      </c>
      <c r="AE16" s="1762"/>
      <c r="AF16" s="1724"/>
      <c r="AG16" s="2255">
        <f t="shared" si="4"/>
        <v>31000</v>
      </c>
      <c r="AH16" s="2256"/>
      <c r="AI16" s="2256">
        <f t="shared" si="15"/>
        <v>-31000</v>
      </c>
      <c r="AJ16" s="2258">
        <f t="shared" si="30"/>
        <v>-100</v>
      </c>
      <c r="AK16" s="1762"/>
      <c r="AL16" s="1724"/>
      <c r="AM16" s="2255">
        <f t="shared" si="5"/>
        <v>31000</v>
      </c>
      <c r="AN16" s="2256"/>
      <c r="AO16" s="2256">
        <f t="shared" si="16"/>
        <v>-31000</v>
      </c>
      <c r="AP16" s="2258">
        <f t="shared" si="31"/>
        <v>-100</v>
      </c>
      <c r="AQ16" s="1762"/>
      <c r="AR16" s="1724"/>
      <c r="AS16" s="2255">
        <f t="shared" si="6"/>
        <v>31000</v>
      </c>
      <c r="AT16" s="2256"/>
      <c r="AU16" s="2256">
        <f t="shared" si="17"/>
        <v>-31000</v>
      </c>
      <c r="AV16" s="2258">
        <f t="shared" si="32"/>
        <v>-100</v>
      </c>
      <c r="AW16" s="1762"/>
      <c r="AX16" s="1724"/>
      <c r="AY16" s="2255">
        <f t="shared" si="18"/>
        <v>31000</v>
      </c>
      <c r="AZ16" s="2256"/>
      <c r="BA16" s="2256">
        <f t="shared" si="19"/>
        <v>-31000</v>
      </c>
      <c r="BB16" s="2258">
        <f t="shared" si="33"/>
        <v>-100</v>
      </c>
      <c r="BC16" s="1762"/>
      <c r="BD16" s="1724"/>
      <c r="BE16" s="2255">
        <f t="shared" si="20"/>
        <v>31000</v>
      </c>
      <c r="BF16" s="2256"/>
      <c r="BG16" s="2256">
        <f t="shared" si="21"/>
        <v>-31000</v>
      </c>
      <c r="BH16" s="2258">
        <f t="shared" si="34"/>
        <v>-100</v>
      </c>
      <c r="BI16" s="1762"/>
      <c r="BJ16" s="1724"/>
      <c r="BK16" s="2255">
        <f t="shared" si="7"/>
        <v>31000</v>
      </c>
      <c r="BL16" s="2256"/>
      <c r="BM16" s="2256">
        <f t="shared" si="22"/>
        <v>-31000</v>
      </c>
      <c r="BN16" s="2258">
        <f t="shared" si="35"/>
        <v>-100</v>
      </c>
      <c r="BO16" s="1762"/>
      <c r="BP16" s="1724"/>
      <c r="BQ16" s="2255">
        <f t="shared" si="8"/>
        <v>31000</v>
      </c>
      <c r="BR16" s="2256"/>
      <c r="BS16" s="2256">
        <f t="shared" si="23"/>
        <v>-31000</v>
      </c>
      <c r="BT16" s="2258">
        <f t="shared" si="36"/>
        <v>-100</v>
      </c>
      <c r="BU16" s="1762"/>
      <c r="BV16" s="1724"/>
      <c r="BW16" s="1762">
        <f t="shared" si="24"/>
        <v>372000</v>
      </c>
      <c r="BX16" s="1898">
        <f t="shared" si="24"/>
        <v>85785.290000000008</v>
      </c>
    </row>
    <row r="17" spans="1:76" x14ac:dyDescent="0.25">
      <c r="A17" s="2448">
        <v>12893</v>
      </c>
      <c r="B17" s="2440" t="s">
        <v>206</v>
      </c>
      <c r="C17" s="2255">
        <v>28000</v>
      </c>
      <c r="D17" s="2256">
        <v>5588.99</v>
      </c>
      <c r="E17" s="2256">
        <f t="shared" si="9"/>
        <v>-22411.010000000002</v>
      </c>
      <c r="F17" s="2258">
        <f t="shared" si="25"/>
        <v>-80.039321428571427</v>
      </c>
      <c r="G17" s="1762"/>
      <c r="H17" s="1724"/>
      <c r="I17" s="2255">
        <f t="shared" si="1"/>
        <v>28000</v>
      </c>
      <c r="J17" s="2256">
        <v>4619.71</v>
      </c>
      <c r="K17" s="2256">
        <f t="shared" si="10"/>
        <v>-23380.29</v>
      </c>
      <c r="L17" s="2258">
        <f t="shared" si="26"/>
        <v>-83.501035714285706</v>
      </c>
      <c r="M17" s="1762"/>
      <c r="N17" s="1724"/>
      <c r="O17" s="2255">
        <f t="shared" si="2"/>
        <v>28000</v>
      </c>
      <c r="P17" s="2256">
        <v>6726.66</v>
      </c>
      <c r="Q17" s="2256">
        <f t="shared" si="11"/>
        <v>-21273.34</v>
      </c>
      <c r="R17" s="2258">
        <f t="shared" si="27"/>
        <v>-75.976214285714278</v>
      </c>
      <c r="S17" s="1762"/>
      <c r="T17" s="1724"/>
      <c r="U17" s="2255">
        <f t="shared" si="3"/>
        <v>28000</v>
      </c>
      <c r="V17" s="2256"/>
      <c r="W17" s="2256">
        <f t="shared" si="12"/>
        <v>-28000</v>
      </c>
      <c r="X17" s="2258">
        <f t="shared" si="28"/>
        <v>-100</v>
      </c>
      <c r="Y17" s="1762"/>
      <c r="Z17" s="1724"/>
      <c r="AA17" s="2255">
        <f t="shared" si="13"/>
        <v>28000</v>
      </c>
      <c r="AB17" s="2256"/>
      <c r="AC17" s="2256">
        <f t="shared" si="14"/>
        <v>-28000</v>
      </c>
      <c r="AD17" s="2258">
        <f t="shared" si="29"/>
        <v>-100</v>
      </c>
      <c r="AE17" s="1762"/>
      <c r="AF17" s="1724"/>
      <c r="AG17" s="2255">
        <f t="shared" si="4"/>
        <v>28000</v>
      </c>
      <c r="AH17" s="2256"/>
      <c r="AI17" s="2256">
        <f t="shared" si="15"/>
        <v>-28000</v>
      </c>
      <c r="AJ17" s="2258">
        <f t="shared" si="30"/>
        <v>-100</v>
      </c>
      <c r="AK17" s="1762"/>
      <c r="AL17" s="1724"/>
      <c r="AM17" s="2255">
        <f t="shared" si="5"/>
        <v>28000</v>
      </c>
      <c r="AN17" s="2256"/>
      <c r="AO17" s="2256">
        <f t="shared" si="16"/>
        <v>-28000</v>
      </c>
      <c r="AP17" s="2258">
        <f t="shared" si="31"/>
        <v>-100</v>
      </c>
      <c r="AQ17" s="1762"/>
      <c r="AR17" s="1724"/>
      <c r="AS17" s="2255">
        <f t="shared" si="6"/>
        <v>28000</v>
      </c>
      <c r="AT17" s="2256"/>
      <c r="AU17" s="2256">
        <f t="shared" si="17"/>
        <v>-28000</v>
      </c>
      <c r="AV17" s="2258">
        <f t="shared" si="32"/>
        <v>-100</v>
      </c>
      <c r="AW17" s="1762"/>
      <c r="AX17" s="1724"/>
      <c r="AY17" s="2255">
        <f t="shared" si="18"/>
        <v>28000</v>
      </c>
      <c r="AZ17" s="2256"/>
      <c r="BA17" s="2256">
        <f t="shared" si="19"/>
        <v>-28000</v>
      </c>
      <c r="BB17" s="2258">
        <f t="shared" si="33"/>
        <v>-100</v>
      </c>
      <c r="BC17" s="1762"/>
      <c r="BD17" s="1724"/>
      <c r="BE17" s="2255">
        <f t="shared" si="20"/>
        <v>28000</v>
      </c>
      <c r="BF17" s="2256"/>
      <c r="BG17" s="2256">
        <f t="shared" si="21"/>
        <v>-28000</v>
      </c>
      <c r="BH17" s="2258">
        <f t="shared" si="34"/>
        <v>-100</v>
      </c>
      <c r="BI17" s="1762"/>
      <c r="BJ17" s="1724"/>
      <c r="BK17" s="2255">
        <f t="shared" si="7"/>
        <v>28000</v>
      </c>
      <c r="BL17" s="2256"/>
      <c r="BM17" s="2256">
        <f t="shared" si="22"/>
        <v>-28000</v>
      </c>
      <c r="BN17" s="2258">
        <f t="shared" si="35"/>
        <v>-100</v>
      </c>
      <c r="BO17" s="1762"/>
      <c r="BP17" s="1724"/>
      <c r="BQ17" s="2255">
        <f t="shared" si="8"/>
        <v>28000</v>
      </c>
      <c r="BR17" s="2256"/>
      <c r="BS17" s="2256">
        <f t="shared" si="23"/>
        <v>-28000</v>
      </c>
      <c r="BT17" s="2258">
        <f t="shared" si="36"/>
        <v>-100</v>
      </c>
      <c r="BU17" s="1762"/>
      <c r="BV17" s="1724"/>
      <c r="BW17" s="1762">
        <f>C17+I17+O17+U17+AA17+AG17+AM17+AS17+AY17+BE17+BK17+BQ17</f>
        <v>336000</v>
      </c>
      <c r="BX17" s="1898">
        <f t="shared" si="24"/>
        <v>16935.36</v>
      </c>
    </row>
    <row r="18" spans="1:76" x14ac:dyDescent="0.25">
      <c r="A18" s="2448">
        <v>12282</v>
      </c>
      <c r="B18" s="2442" t="s">
        <v>211</v>
      </c>
      <c r="C18" s="2255">
        <v>25500</v>
      </c>
      <c r="D18" s="2256">
        <v>10154</v>
      </c>
      <c r="E18" s="2256">
        <f t="shared" si="9"/>
        <v>-15346</v>
      </c>
      <c r="F18" s="2258">
        <f t="shared" si="25"/>
        <v>-60.180392156862752</v>
      </c>
      <c r="G18" s="1762"/>
      <c r="H18" s="1724"/>
      <c r="I18" s="2255">
        <f t="shared" si="1"/>
        <v>25500</v>
      </c>
      <c r="J18" s="2256">
        <v>35073.120000000003</v>
      </c>
      <c r="K18" s="2256">
        <f t="shared" si="10"/>
        <v>9573.1200000000026</v>
      </c>
      <c r="L18" s="2258">
        <f t="shared" si="26"/>
        <v>37.541647058823543</v>
      </c>
      <c r="M18" s="1762"/>
      <c r="N18" s="1724"/>
      <c r="O18" s="2255">
        <f t="shared" si="2"/>
        <v>25500</v>
      </c>
      <c r="P18" s="2256">
        <v>47886.05</v>
      </c>
      <c r="Q18" s="2256">
        <f t="shared" si="11"/>
        <v>22386.050000000003</v>
      </c>
      <c r="R18" s="2258">
        <f t="shared" si="27"/>
        <v>87.788431372549041</v>
      </c>
      <c r="S18" s="1762"/>
      <c r="T18" s="1724"/>
      <c r="U18" s="2255">
        <f t="shared" si="3"/>
        <v>25500</v>
      </c>
      <c r="V18" s="2256"/>
      <c r="W18" s="2256">
        <f t="shared" si="12"/>
        <v>-25500</v>
      </c>
      <c r="X18" s="2258">
        <f t="shared" si="28"/>
        <v>-100</v>
      </c>
      <c r="Y18" s="1762"/>
      <c r="Z18" s="1724"/>
      <c r="AA18" s="2255">
        <f t="shared" si="13"/>
        <v>25500</v>
      </c>
      <c r="AB18" s="2256"/>
      <c r="AC18" s="2256">
        <f t="shared" si="14"/>
        <v>-25500</v>
      </c>
      <c r="AD18" s="2258">
        <f t="shared" si="29"/>
        <v>-100</v>
      </c>
      <c r="AE18" s="1762"/>
      <c r="AF18" s="1724"/>
      <c r="AG18" s="2255">
        <f t="shared" si="4"/>
        <v>25500</v>
      </c>
      <c r="AH18" s="2256"/>
      <c r="AI18" s="2256">
        <f t="shared" si="15"/>
        <v>-25500</v>
      </c>
      <c r="AJ18" s="2258">
        <f t="shared" si="30"/>
        <v>-100</v>
      </c>
      <c r="AK18" s="1762"/>
      <c r="AL18" s="1724"/>
      <c r="AM18" s="2255">
        <f t="shared" si="5"/>
        <v>25500</v>
      </c>
      <c r="AN18" s="2256"/>
      <c r="AO18" s="2256">
        <f t="shared" si="16"/>
        <v>-25500</v>
      </c>
      <c r="AP18" s="2258">
        <f t="shared" si="31"/>
        <v>-100</v>
      </c>
      <c r="AQ18" s="1762"/>
      <c r="AR18" s="1724"/>
      <c r="AS18" s="2255">
        <f t="shared" si="6"/>
        <v>25500</v>
      </c>
      <c r="AT18" s="2256"/>
      <c r="AU18" s="2256">
        <f t="shared" si="17"/>
        <v>-25500</v>
      </c>
      <c r="AV18" s="2258">
        <f t="shared" si="32"/>
        <v>-100</v>
      </c>
      <c r="AW18" s="1762"/>
      <c r="AX18" s="1724"/>
      <c r="AY18" s="2255">
        <f t="shared" si="18"/>
        <v>25500</v>
      </c>
      <c r="AZ18" s="2256"/>
      <c r="BA18" s="2256">
        <f t="shared" si="19"/>
        <v>-25500</v>
      </c>
      <c r="BB18" s="2258">
        <f t="shared" si="33"/>
        <v>-100</v>
      </c>
      <c r="BC18" s="1762"/>
      <c r="BD18" s="1724"/>
      <c r="BE18" s="2255">
        <f t="shared" si="20"/>
        <v>25500</v>
      </c>
      <c r="BF18" s="2256"/>
      <c r="BG18" s="2256">
        <f t="shared" si="21"/>
        <v>-25500</v>
      </c>
      <c r="BH18" s="2258">
        <f t="shared" si="34"/>
        <v>-100</v>
      </c>
      <c r="BI18" s="1762"/>
      <c r="BJ18" s="1724"/>
      <c r="BK18" s="2255">
        <f t="shared" si="7"/>
        <v>25500</v>
      </c>
      <c r="BL18" s="2256"/>
      <c r="BM18" s="2256">
        <f t="shared" si="22"/>
        <v>-25500</v>
      </c>
      <c r="BN18" s="2258">
        <f t="shared" si="35"/>
        <v>-100</v>
      </c>
      <c r="BO18" s="1762"/>
      <c r="BP18" s="1724"/>
      <c r="BQ18" s="2255">
        <f t="shared" si="8"/>
        <v>25500</v>
      </c>
      <c r="BR18" s="2256"/>
      <c r="BS18" s="2256">
        <f t="shared" si="23"/>
        <v>-25500</v>
      </c>
      <c r="BT18" s="2258">
        <f t="shared" si="36"/>
        <v>-100</v>
      </c>
      <c r="BU18" s="1762"/>
      <c r="BV18" s="1724"/>
      <c r="BW18" s="1762">
        <f t="shared" si="24"/>
        <v>306000</v>
      </c>
      <c r="BX18" s="1898">
        <f t="shared" si="24"/>
        <v>93113.170000000013</v>
      </c>
    </row>
    <row r="19" spans="1:76" x14ac:dyDescent="0.25">
      <c r="A19" s="2448">
        <v>51665</v>
      </c>
      <c r="B19" s="2442" t="s">
        <v>212</v>
      </c>
      <c r="C19" s="2255">
        <v>63000</v>
      </c>
      <c r="D19" s="2256">
        <v>65025</v>
      </c>
      <c r="E19" s="2256">
        <f t="shared" si="9"/>
        <v>2025</v>
      </c>
      <c r="F19" s="2258">
        <f t="shared" si="25"/>
        <v>3.2142857142857251</v>
      </c>
      <c r="G19" s="1762"/>
      <c r="H19" s="1724"/>
      <c r="I19" s="2255">
        <f t="shared" si="1"/>
        <v>63000</v>
      </c>
      <c r="J19" s="2256">
        <v>69805.11</v>
      </c>
      <c r="K19" s="2256">
        <f t="shared" si="10"/>
        <v>6805.1100000000006</v>
      </c>
      <c r="L19" s="2258">
        <f t="shared" si="26"/>
        <v>10.801761904761896</v>
      </c>
      <c r="M19" s="1762"/>
      <c r="N19" s="1724"/>
      <c r="O19" s="2255">
        <f t="shared" si="2"/>
        <v>63000</v>
      </c>
      <c r="P19" s="2256">
        <v>79898.52</v>
      </c>
      <c r="Q19" s="2256">
        <f t="shared" si="11"/>
        <v>16898.520000000004</v>
      </c>
      <c r="R19" s="2258">
        <f t="shared" si="27"/>
        <v>26.823047619047635</v>
      </c>
      <c r="S19" s="1762"/>
      <c r="T19" s="1724"/>
      <c r="U19" s="2255">
        <f t="shared" si="3"/>
        <v>63000</v>
      </c>
      <c r="V19" s="2256"/>
      <c r="W19" s="2256">
        <f t="shared" si="12"/>
        <v>-63000</v>
      </c>
      <c r="X19" s="2258">
        <f t="shared" si="28"/>
        <v>-100</v>
      </c>
      <c r="Y19" s="1762"/>
      <c r="Z19" s="1724"/>
      <c r="AA19" s="2255">
        <f t="shared" si="13"/>
        <v>63000</v>
      </c>
      <c r="AB19" s="2256"/>
      <c r="AC19" s="2256">
        <f t="shared" si="14"/>
        <v>-63000</v>
      </c>
      <c r="AD19" s="2258">
        <f t="shared" si="29"/>
        <v>-100</v>
      </c>
      <c r="AE19" s="1762"/>
      <c r="AF19" s="1724"/>
      <c r="AG19" s="2255">
        <f t="shared" si="4"/>
        <v>63000</v>
      </c>
      <c r="AH19" s="2256"/>
      <c r="AI19" s="2256">
        <f t="shared" si="15"/>
        <v>-63000</v>
      </c>
      <c r="AJ19" s="2258">
        <f t="shared" si="30"/>
        <v>-100</v>
      </c>
      <c r="AK19" s="1762"/>
      <c r="AL19" s="1724"/>
      <c r="AM19" s="2255">
        <f t="shared" si="5"/>
        <v>63000</v>
      </c>
      <c r="AN19" s="2256"/>
      <c r="AO19" s="2256">
        <f t="shared" si="16"/>
        <v>-63000</v>
      </c>
      <c r="AP19" s="2258">
        <f t="shared" si="31"/>
        <v>-100</v>
      </c>
      <c r="AQ19" s="1762"/>
      <c r="AR19" s="1724"/>
      <c r="AS19" s="2255">
        <f t="shared" si="6"/>
        <v>63000</v>
      </c>
      <c r="AT19" s="2256"/>
      <c r="AU19" s="2256">
        <f t="shared" si="17"/>
        <v>-63000</v>
      </c>
      <c r="AV19" s="2258">
        <f t="shared" si="32"/>
        <v>-100</v>
      </c>
      <c r="AW19" s="1762"/>
      <c r="AX19" s="1724"/>
      <c r="AY19" s="2255">
        <f t="shared" si="18"/>
        <v>63000</v>
      </c>
      <c r="AZ19" s="2256"/>
      <c r="BA19" s="2256">
        <f t="shared" si="19"/>
        <v>-63000</v>
      </c>
      <c r="BB19" s="2258">
        <f t="shared" si="33"/>
        <v>-100</v>
      </c>
      <c r="BC19" s="1762"/>
      <c r="BD19" s="1724"/>
      <c r="BE19" s="2255">
        <f t="shared" si="20"/>
        <v>63000</v>
      </c>
      <c r="BF19" s="2256"/>
      <c r="BG19" s="2256">
        <f t="shared" si="21"/>
        <v>-63000</v>
      </c>
      <c r="BH19" s="2258">
        <f t="shared" si="34"/>
        <v>-100</v>
      </c>
      <c r="BI19" s="1762"/>
      <c r="BJ19" s="1724"/>
      <c r="BK19" s="2255">
        <f t="shared" si="7"/>
        <v>63000</v>
      </c>
      <c r="BL19" s="2256"/>
      <c r="BM19" s="2256">
        <f t="shared" si="22"/>
        <v>-63000</v>
      </c>
      <c r="BN19" s="2258">
        <f t="shared" si="35"/>
        <v>-100</v>
      </c>
      <c r="BO19" s="1762"/>
      <c r="BP19" s="1724"/>
      <c r="BQ19" s="2255">
        <f t="shared" si="8"/>
        <v>63000</v>
      </c>
      <c r="BR19" s="2256"/>
      <c r="BS19" s="2256">
        <f t="shared" si="23"/>
        <v>-63000</v>
      </c>
      <c r="BT19" s="2258">
        <f t="shared" si="36"/>
        <v>-100</v>
      </c>
      <c r="BU19" s="1762"/>
      <c r="BV19" s="1724"/>
      <c r="BW19" s="1762">
        <f t="shared" si="24"/>
        <v>756000</v>
      </c>
      <c r="BX19" s="1898">
        <f t="shared" si="24"/>
        <v>214728.63</v>
      </c>
    </row>
    <row r="20" spans="1:76" x14ac:dyDescent="0.25">
      <c r="A20" s="2446">
        <v>51667</v>
      </c>
      <c r="B20" s="2442" t="s">
        <v>85</v>
      </c>
      <c r="C20" s="2255">
        <v>4000</v>
      </c>
      <c r="D20" s="2256">
        <v>2730</v>
      </c>
      <c r="E20" s="2256">
        <f t="shared" si="9"/>
        <v>-1270</v>
      </c>
      <c r="F20" s="2258">
        <f t="shared" si="25"/>
        <v>-31.75</v>
      </c>
      <c r="G20" s="1762"/>
      <c r="H20" s="1724"/>
      <c r="I20" s="2255">
        <f t="shared" si="1"/>
        <v>4000</v>
      </c>
      <c r="J20" s="2256">
        <v>4256</v>
      </c>
      <c r="K20" s="2256">
        <f t="shared" si="10"/>
        <v>256</v>
      </c>
      <c r="L20" s="2258">
        <f t="shared" si="26"/>
        <v>6.4000000000000057</v>
      </c>
      <c r="M20" s="1762"/>
      <c r="N20" s="1724"/>
      <c r="O20" s="2255">
        <f t="shared" si="2"/>
        <v>4000</v>
      </c>
      <c r="P20" s="2256">
        <v>2620</v>
      </c>
      <c r="Q20" s="2256">
        <f t="shared" si="11"/>
        <v>-1380</v>
      </c>
      <c r="R20" s="2258">
        <f t="shared" si="27"/>
        <v>-34.5</v>
      </c>
      <c r="S20" s="1762"/>
      <c r="T20" s="1724"/>
      <c r="U20" s="2255">
        <f t="shared" si="3"/>
        <v>4000</v>
      </c>
      <c r="V20" s="2256"/>
      <c r="W20" s="2256">
        <f t="shared" si="12"/>
        <v>-4000</v>
      </c>
      <c r="X20" s="2258">
        <f t="shared" si="28"/>
        <v>-100</v>
      </c>
      <c r="Y20" s="1762"/>
      <c r="Z20" s="1724"/>
      <c r="AA20" s="2255">
        <f t="shared" si="13"/>
        <v>4000</v>
      </c>
      <c r="AB20" s="2256"/>
      <c r="AC20" s="2256">
        <f t="shared" si="14"/>
        <v>-4000</v>
      </c>
      <c r="AD20" s="2258">
        <f t="shared" si="29"/>
        <v>-100</v>
      </c>
      <c r="AE20" s="1762"/>
      <c r="AF20" s="1724"/>
      <c r="AG20" s="2255">
        <f t="shared" si="4"/>
        <v>4000</v>
      </c>
      <c r="AH20" s="2256"/>
      <c r="AI20" s="2256">
        <f t="shared" si="15"/>
        <v>-4000</v>
      </c>
      <c r="AJ20" s="2258">
        <f t="shared" si="30"/>
        <v>-100</v>
      </c>
      <c r="AK20" s="1762"/>
      <c r="AL20" s="1724"/>
      <c r="AM20" s="2255">
        <f t="shared" si="5"/>
        <v>4000</v>
      </c>
      <c r="AN20" s="2256"/>
      <c r="AO20" s="2256">
        <f t="shared" si="16"/>
        <v>-4000</v>
      </c>
      <c r="AP20" s="2258">
        <f t="shared" si="31"/>
        <v>-100</v>
      </c>
      <c r="AQ20" s="1762"/>
      <c r="AR20" s="1724"/>
      <c r="AS20" s="2255">
        <f t="shared" si="6"/>
        <v>4000</v>
      </c>
      <c r="AT20" s="2256"/>
      <c r="AU20" s="2256">
        <f t="shared" si="17"/>
        <v>-4000</v>
      </c>
      <c r="AV20" s="2258">
        <f t="shared" si="32"/>
        <v>-100</v>
      </c>
      <c r="AW20" s="1762"/>
      <c r="AX20" s="1724"/>
      <c r="AY20" s="2255">
        <f t="shared" si="18"/>
        <v>4000</v>
      </c>
      <c r="AZ20" s="2256"/>
      <c r="BA20" s="2256">
        <f t="shared" si="19"/>
        <v>-4000</v>
      </c>
      <c r="BB20" s="2258">
        <f t="shared" si="33"/>
        <v>-100</v>
      </c>
      <c r="BC20" s="1762"/>
      <c r="BD20" s="1724"/>
      <c r="BE20" s="2255">
        <f t="shared" si="20"/>
        <v>4000</v>
      </c>
      <c r="BF20" s="2256"/>
      <c r="BG20" s="2256">
        <f t="shared" si="21"/>
        <v>-4000</v>
      </c>
      <c r="BH20" s="2258">
        <f t="shared" si="34"/>
        <v>-100</v>
      </c>
      <c r="BI20" s="1762"/>
      <c r="BJ20" s="1724"/>
      <c r="BK20" s="2255">
        <f t="shared" si="7"/>
        <v>4000</v>
      </c>
      <c r="BL20" s="2256"/>
      <c r="BM20" s="2256">
        <f t="shared" si="22"/>
        <v>-4000</v>
      </c>
      <c r="BN20" s="2258">
        <f t="shared" si="35"/>
        <v>-100</v>
      </c>
      <c r="BO20" s="1762"/>
      <c r="BP20" s="1724"/>
      <c r="BQ20" s="2255">
        <f t="shared" si="8"/>
        <v>4000</v>
      </c>
      <c r="BR20" s="2256"/>
      <c r="BS20" s="2256">
        <f t="shared" si="23"/>
        <v>-4000</v>
      </c>
      <c r="BT20" s="2258">
        <f t="shared" si="36"/>
        <v>-100</v>
      </c>
      <c r="BU20" s="1762"/>
      <c r="BV20" s="1724"/>
      <c r="BW20" s="1762">
        <f t="shared" si="24"/>
        <v>48000</v>
      </c>
      <c r="BX20" s="1898">
        <f t="shared" si="24"/>
        <v>9606</v>
      </c>
    </row>
    <row r="21" spans="1:76" x14ac:dyDescent="0.25">
      <c r="A21" s="2445">
        <v>51666</v>
      </c>
      <c r="B21" s="2442" t="s">
        <v>84</v>
      </c>
      <c r="C21" s="2255">
        <v>23000</v>
      </c>
      <c r="D21" s="2256">
        <v>11413.27</v>
      </c>
      <c r="E21" s="2256">
        <f t="shared" si="9"/>
        <v>-11586.73</v>
      </c>
      <c r="F21" s="2258">
        <f t="shared" si="25"/>
        <v>-50.377086956521744</v>
      </c>
      <c r="G21" s="1762"/>
      <c r="H21" s="1724"/>
      <c r="I21" s="2255">
        <f t="shared" si="1"/>
        <v>23000</v>
      </c>
      <c r="J21" s="2256">
        <v>23738.85</v>
      </c>
      <c r="K21" s="2256">
        <f t="shared" si="10"/>
        <v>738.84999999999854</v>
      </c>
      <c r="L21" s="2258">
        <f t="shared" si="26"/>
        <v>3.212391304347828</v>
      </c>
      <c r="M21" s="1762"/>
      <c r="N21" s="1724"/>
      <c r="O21" s="2255">
        <f t="shared" si="2"/>
        <v>23000</v>
      </c>
      <c r="P21" s="2256">
        <v>34800.76</v>
      </c>
      <c r="Q21" s="2256">
        <f t="shared" si="11"/>
        <v>11800.760000000002</v>
      </c>
      <c r="R21" s="2258">
        <f t="shared" si="27"/>
        <v>51.307652173913041</v>
      </c>
      <c r="S21" s="1762"/>
      <c r="T21" s="1724"/>
      <c r="U21" s="2255">
        <f t="shared" si="3"/>
        <v>23000</v>
      </c>
      <c r="V21" s="2256"/>
      <c r="W21" s="2256">
        <f t="shared" si="12"/>
        <v>-23000</v>
      </c>
      <c r="X21" s="2258">
        <f t="shared" si="28"/>
        <v>-100</v>
      </c>
      <c r="Y21" s="1762"/>
      <c r="Z21" s="1724"/>
      <c r="AA21" s="2255">
        <f t="shared" si="13"/>
        <v>23000</v>
      </c>
      <c r="AB21" s="2256"/>
      <c r="AC21" s="2256">
        <f t="shared" si="14"/>
        <v>-23000</v>
      </c>
      <c r="AD21" s="2258">
        <f t="shared" si="29"/>
        <v>-100</v>
      </c>
      <c r="AE21" s="1762"/>
      <c r="AF21" s="1724"/>
      <c r="AG21" s="2255">
        <f t="shared" si="4"/>
        <v>23000</v>
      </c>
      <c r="AH21" s="2256"/>
      <c r="AI21" s="2256">
        <f t="shared" si="15"/>
        <v>-23000</v>
      </c>
      <c r="AJ21" s="2258">
        <f t="shared" si="30"/>
        <v>-100</v>
      </c>
      <c r="AK21" s="1762"/>
      <c r="AL21" s="1724"/>
      <c r="AM21" s="2255">
        <f t="shared" si="5"/>
        <v>23000</v>
      </c>
      <c r="AN21" s="2256"/>
      <c r="AO21" s="2256">
        <f t="shared" si="16"/>
        <v>-23000</v>
      </c>
      <c r="AP21" s="2258">
        <f t="shared" si="31"/>
        <v>-100</v>
      </c>
      <c r="AQ21" s="1762"/>
      <c r="AR21" s="1724"/>
      <c r="AS21" s="2255">
        <f t="shared" si="6"/>
        <v>23000</v>
      </c>
      <c r="AT21" s="2256"/>
      <c r="AU21" s="2256">
        <f t="shared" si="17"/>
        <v>-23000</v>
      </c>
      <c r="AV21" s="2258">
        <f t="shared" si="32"/>
        <v>-100</v>
      </c>
      <c r="AW21" s="1762"/>
      <c r="AX21" s="1724"/>
      <c r="AY21" s="2255">
        <f t="shared" si="18"/>
        <v>23000</v>
      </c>
      <c r="AZ21" s="2256"/>
      <c r="BA21" s="2256">
        <f t="shared" si="19"/>
        <v>-23000</v>
      </c>
      <c r="BB21" s="2258">
        <f t="shared" si="33"/>
        <v>-100</v>
      </c>
      <c r="BC21" s="1762"/>
      <c r="BD21" s="1724"/>
      <c r="BE21" s="2255">
        <f t="shared" si="20"/>
        <v>23000</v>
      </c>
      <c r="BF21" s="2256"/>
      <c r="BG21" s="2256">
        <f t="shared" si="21"/>
        <v>-23000</v>
      </c>
      <c r="BH21" s="2258">
        <f t="shared" si="34"/>
        <v>-100</v>
      </c>
      <c r="BI21" s="1762"/>
      <c r="BJ21" s="1724"/>
      <c r="BK21" s="2255">
        <f t="shared" si="7"/>
        <v>23000</v>
      </c>
      <c r="BL21" s="2256"/>
      <c r="BM21" s="2256">
        <f t="shared" si="22"/>
        <v>-23000</v>
      </c>
      <c r="BN21" s="2258">
        <f t="shared" si="35"/>
        <v>-100</v>
      </c>
      <c r="BO21" s="1762"/>
      <c r="BP21" s="1724"/>
      <c r="BQ21" s="2255">
        <f t="shared" si="8"/>
        <v>23000</v>
      </c>
      <c r="BR21" s="2256"/>
      <c r="BS21" s="2256">
        <f t="shared" si="23"/>
        <v>-23000</v>
      </c>
      <c r="BT21" s="2258">
        <f t="shared" si="36"/>
        <v>-100</v>
      </c>
      <c r="BU21" s="1762"/>
      <c r="BV21" s="1724"/>
      <c r="BW21" s="1762">
        <f t="shared" si="24"/>
        <v>276000</v>
      </c>
      <c r="BX21" s="1898">
        <f t="shared" si="24"/>
        <v>69952.88</v>
      </c>
    </row>
    <row r="22" spans="1:76" x14ac:dyDescent="0.25">
      <c r="A22" s="2446">
        <v>12284</v>
      </c>
      <c r="B22" s="2442" t="s">
        <v>207</v>
      </c>
      <c r="C22" s="2255">
        <v>17000</v>
      </c>
      <c r="D22" s="2256">
        <v>8149.5</v>
      </c>
      <c r="E22" s="2256">
        <f t="shared" si="9"/>
        <v>-8850.5</v>
      </c>
      <c r="F22" s="2258">
        <f t="shared" si="25"/>
        <v>-52.061764705882354</v>
      </c>
      <c r="G22" s="1762"/>
      <c r="H22" s="1724"/>
      <c r="I22" s="2255">
        <f t="shared" si="1"/>
        <v>17000</v>
      </c>
      <c r="J22" s="2256">
        <v>9872</v>
      </c>
      <c r="K22" s="2256">
        <f t="shared" si="10"/>
        <v>-7128</v>
      </c>
      <c r="L22" s="2258">
        <f t="shared" si="26"/>
        <v>-41.929411764705883</v>
      </c>
      <c r="M22" s="1762"/>
      <c r="N22" s="1724"/>
      <c r="O22" s="2255">
        <f t="shared" si="2"/>
        <v>17000</v>
      </c>
      <c r="P22" s="2256">
        <v>12837.01</v>
      </c>
      <c r="Q22" s="2256">
        <f t="shared" si="11"/>
        <v>-4162.99</v>
      </c>
      <c r="R22" s="2258">
        <f t="shared" si="27"/>
        <v>-24.488176470588229</v>
      </c>
      <c r="S22" s="1762"/>
      <c r="T22" s="1724"/>
      <c r="U22" s="2255">
        <f t="shared" si="3"/>
        <v>17000</v>
      </c>
      <c r="V22" s="2256"/>
      <c r="W22" s="2256">
        <f t="shared" si="12"/>
        <v>-17000</v>
      </c>
      <c r="X22" s="2258">
        <f t="shared" si="28"/>
        <v>-100</v>
      </c>
      <c r="Y22" s="1762"/>
      <c r="Z22" s="1724"/>
      <c r="AA22" s="2255">
        <f t="shared" si="13"/>
        <v>17000</v>
      </c>
      <c r="AB22" s="2256"/>
      <c r="AC22" s="2256">
        <f t="shared" si="14"/>
        <v>-17000</v>
      </c>
      <c r="AD22" s="2258">
        <f t="shared" si="29"/>
        <v>-100</v>
      </c>
      <c r="AE22" s="1762"/>
      <c r="AF22" s="1724"/>
      <c r="AG22" s="2255">
        <f t="shared" si="4"/>
        <v>17000</v>
      </c>
      <c r="AH22" s="2256"/>
      <c r="AI22" s="2256">
        <f t="shared" si="15"/>
        <v>-17000</v>
      </c>
      <c r="AJ22" s="2258">
        <f t="shared" si="30"/>
        <v>-100</v>
      </c>
      <c r="AK22" s="1762"/>
      <c r="AL22" s="1724"/>
      <c r="AM22" s="2255">
        <f t="shared" si="5"/>
        <v>17000</v>
      </c>
      <c r="AN22" s="2256"/>
      <c r="AO22" s="2256">
        <f t="shared" si="16"/>
        <v>-17000</v>
      </c>
      <c r="AP22" s="2258">
        <f t="shared" si="31"/>
        <v>-100</v>
      </c>
      <c r="AQ22" s="1762"/>
      <c r="AR22" s="1724"/>
      <c r="AS22" s="2255">
        <f t="shared" si="6"/>
        <v>17000</v>
      </c>
      <c r="AT22" s="2256"/>
      <c r="AU22" s="2256">
        <f t="shared" si="17"/>
        <v>-17000</v>
      </c>
      <c r="AV22" s="2258">
        <f t="shared" si="32"/>
        <v>-100</v>
      </c>
      <c r="AW22" s="1762"/>
      <c r="AX22" s="1724"/>
      <c r="AY22" s="2255">
        <f t="shared" si="18"/>
        <v>17000</v>
      </c>
      <c r="AZ22" s="2256"/>
      <c r="BA22" s="2256">
        <f t="shared" si="19"/>
        <v>-17000</v>
      </c>
      <c r="BB22" s="2258">
        <f t="shared" si="33"/>
        <v>-100</v>
      </c>
      <c r="BC22" s="1762"/>
      <c r="BD22" s="1724"/>
      <c r="BE22" s="2255">
        <f t="shared" si="20"/>
        <v>17000</v>
      </c>
      <c r="BF22" s="2256"/>
      <c r="BG22" s="2256">
        <f t="shared" si="21"/>
        <v>-17000</v>
      </c>
      <c r="BH22" s="2258">
        <f t="shared" si="34"/>
        <v>-100</v>
      </c>
      <c r="BI22" s="1762"/>
      <c r="BJ22" s="1724"/>
      <c r="BK22" s="2255">
        <f t="shared" si="7"/>
        <v>17000</v>
      </c>
      <c r="BL22" s="2256"/>
      <c r="BM22" s="2256">
        <f t="shared" si="22"/>
        <v>-17000</v>
      </c>
      <c r="BN22" s="2258">
        <f t="shared" si="35"/>
        <v>-100</v>
      </c>
      <c r="BO22" s="1762"/>
      <c r="BP22" s="1724"/>
      <c r="BQ22" s="2255">
        <f t="shared" si="8"/>
        <v>17000</v>
      </c>
      <c r="BR22" s="2256"/>
      <c r="BS22" s="2256">
        <f t="shared" si="23"/>
        <v>-17000</v>
      </c>
      <c r="BT22" s="2258">
        <f t="shared" si="36"/>
        <v>-100</v>
      </c>
      <c r="BU22" s="1762"/>
      <c r="BV22" s="1724"/>
      <c r="BW22" s="1762">
        <f t="shared" si="24"/>
        <v>204000</v>
      </c>
      <c r="BX22" s="1898">
        <f t="shared" si="24"/>
        <v>30858.510000000002</v>
      </c>
    </row>
    <row r="23" spans="1:76" x14ac:dyDescent="0.25">
      <c r="A23" s="2446">
        <v>12280</v>
      </c>
      <c r="B23" s="2442" t="s">
        <v>209</v>
      </c>
      <c r="C23" s="2255">
        <v>23000</v>
      </c>
      <c r="D23" s="2256">
        <v>27227.47</v>
      </c>
      <c r="E23" s="2256">
        <f t="shared" si="9"/>
        <v>4227.4700000000012</v>
      </c>
      <c r="F23" s="2258">
        <f t="shared" si="25"/>
        <v>18.380304347826094</v>
      </c>
      <c r="G23" s="1762"/>
      <c r="H23" s="1724"/>
      <c r="I23" s="2255">
        <f t="shared" si="1"/>
        <v>23000</v>
      </c>
      <c r="J23" s="2256">
        <v>11528.22</v>
      </c>
      <c r="K23" s="2256">
        <f t="shared" si="10"/>
        <v>-11471.78</v>
      </c>
      <c r="L23" s="2258">
        <f t="shared" si="26"/>
        <v>-49.87730434782609</v>
      </c>
      <c r="M23" s="1762"/>
      <c r="N23" s="1724"/>
      <c r="O23" s="2255">
        <f t="shared" si="2"/>
        <v>23000</v>
      </c>
      <c r="P23" s="2256">
        <v>36936.53</v>
      </c>
      <c r="Q23" s="2256">
        <f t="shared" si="11"/>
        <v>13936.529999999999</v>
      </c>
      <c r="R23" s="2258">
        <f t="shared" si="27"/>
        <v>60.593608695652179</v>
      </c>
      <c r="S23" s="1762"/>
      <c r="T23" s="1724"/>
      <c r="U23" s="2255">
        <f t="shared" si="3"/>
        <v>23000</v>
      </c>
      <c r="V23" s="2256"/>
      <c r="W23" s="2256">
        <f t="shared" si="12"/>
        <v>-23000</v>
      </c>
      <c r="X23" s="2258">
        <f t="shared" si="28"/>
        <v>-100</v>
      </c>
      <c r="Y23" s="1762"/>
      <c r="Z23" s="1724"/>
      <c r="AA23" s="2255">
        <f t="shared" si="13"/>
        <v>23000</v>
      </c>
      <c r="AB23" s="2256"/>
      <c r="AC23" s="2256">
        <f t="shared" si="14"/>
        <v>-23000</v>
      </c>
      <c r="AD23" s="2258">
        <f t="shared" si="29"/>
        <v>-100</v>
      </c>
      <c r="AE23" s="1762"/>
      <c r="AF23" s="1724"/>
      <c r="AG23" s="2255">
        <f t="shared" si="4"/>
        <v>23000</v>
      </c>
      <c r="AH23" s="2256"/>
      <c r="AI23" s="2256">
        <f t="shared" si="15"/>
        <v>-23000</v>
      </c>
      <c r="AJ23" s="2258">
        <f t="shared" si="30"/>
        <v>-100</v>
      </c>
      <c r="AK23" s="1762"/>
      <c r="AL23" s="1724"/>
      <c r="AM23" s="2255">
        <f t="shared" si="5"/>
        <v>23000</v>
      </c>
      <c r="AN23" s="2256"/>
      <c r="AO23" s="2256">
        <f t="shared" si="16"/>
        <v>-23000</v>
      </c>
      <c r="AP23" s="2258">
        <f t="shared" si="31"/>
        <v>-100</v>
      </c>
      <c r="AQ23" s="1762"/>
      <c r="AR23" s="1724"/>
      <c r="AS23" s="2255">
        <f t="shared" si="6"/>
        <v>23000</v>
      </c>
      <c r="AT23" s="2256"/>
      <c r="AU23" s="2256">
        <f t="shared" si="17"/>
        <v>-23000</v>
      </c>
      <c r="AV23" s="2258">
        <f t="shared" si="32"/>
        <v>-100</v>
      </c>
      <c r="AW23" s="1762"/>
      <c r="AX23" s="1724"/>
      <c r="AY23" s="2255">
        <f t="shared" si="18"/>
        <v>23000</v>
      </c>
      <c r="AZ23" s="2256"/>
      <c r="BA23" s="2256">
        <f t="shared" si="19"/>
        <v>-23000</v>
      </c>
      <c r="BB23" s="2258">
        <f t="shared" si="33"/>
        <v>-100</v>
      </c>
      <c r="BC23" s="1762"/>
      <c r="BD23" s="1724"/>
      <c r="BE23" s="2255">
        <f t="shared" si="20"/>
        <v>23000</v>
      </c>
      <c r="BF23" s="2256"/>
      <c r="BG23" s="2256">
        <f t="shared" si="21"/>
        <v>-23000</v>
      </c>
      <c r="BH23" s="2258">
        <f t="shared" si="34"/>
        <v>-100</v>
      </c>
      <c r="BI23" s="1762"/>
      <c r="BJ23" s="1724"/>
      <c r="BK23" s="2255">
        <f t="shared" si="7"/>
        <v>23000</v>
      </c>
      <c r="BL23" s="2256"/>
      <c r="BM23" s="2256">
        <f t="shared" si="22"/>
        <v>-23000</v>
      </c>
      <c r="BN23" s="2258">
        <f t="shared" si="35"/>
        <v>-100</v>
      </c>
      <c r="BO23" s="1762"/>
      <c r="BP23" s="1724"/>
      <c r="BQ23" s="2255">
        <f t="shared" si="8"/>
        <v>23000</v>
      </c>
      <c r="BR23" s="2256"/>
      <c r="BS23" s="2256">
        <f t="shared" si="23"/>
        <v>-23000</v>
      </c>
      <c r="BT23" s="2258">
        <f t="shared" si="36"/>
        <v>-100</v>
      </c>
      <c r="BU23" s="1762"/>
      <c r="BV23" s="1724"/>
      <c r="BW23" s="1762">
        <f t="shared" si="24"/>
        <v>276000</v>
      </c>
      <c r="BX23" s="1898">
        <f t="shared" si="24"/>
        <v>75692.22</v>
      </c>
    </row>
    <row r="24" spans="1:76" x14ac:dyDescent="0.25">
      <c r="A24" s="2446">
        <v>12888</v>
      </c>
      <c r="B24" s="2442" t="s">
        <v>3836</v>
      </c>
      <c r="C24" s="2255">
        <v>8225</v>
      </c>
      <c r="D24" s="2256">
        <v>26194</v>
      </c>
      <c r="E24" s="2256">
        <f t="shared" si="9"/>
        <v>17969</v>
      </c>
      <c r="F24" s="2258">
        <f t="shared" si="25"/>
        <v>218.46808510638297</v>
      </c>
      <c r="G24" s="1762"/>
      <c r="H24" s="1724"/>
      <c r="I24" s="2255">
        <f t="shared" si="1"/>
        <v>8225</v>
      </c>
      <c r="J24" s="2256">
        <v>28426.66</v>
      </c>
      <c r="K24" s="2256">
        <f t="shared" si="10"/>
        <v>20201.66</v>
      </c>
      <c r="L24" s="2258">
        <f t="shared" si="26"/>
        <v>245.61288753799394</v>
      </c>
      <c r="M24" s="1762"/>
      <c r="N24" s="1724"/>
      <c r="O24" s="2255">
        <f t="shared" si="2"/>
        <v>8225</v>
      </c>
      <c r="P24" s="2256">
        <v>34375.129999999997</v>
      </c>
      <c r="Q24" s="2256">
        <f t="shared" si="11"/>
        <v>26150.129999999997</v>
      </c>
      <c r="R24" s="2258">
        <f t="shared" si="27"/>
        <v>317.93471124620061</v>
      </c>
      <c r="S24" s="1762"/>
      <c r="T24" s="1724"/>
      <c r="U24" s="2255">
        <f t="shared" si="3"/>
        <v>8225</v>
      </c>
      <c r="V24" s="2256"/>
      <c r="W24" s="2256">
        <f t="shared" si="12"/>
        <v>-8225</v>
      </c>
      <c r="X24" s="2258">
        <f t="shared" si="28"/>
        <v>-100</v>
      </c>
      <c r="Y24" s="1762"/>
      <c r="Z24" s="1724"/>
      <c r="AA24" s="2255">
        <f t="shared" si="13"/>
        <v>8225</v>
      </c>
      <c r="AB24" s="2256"/>
      <c r="AC24" s="2256">
        <f t="shared" si="14"/>
        <v>-8225</v>
      </c>
      <c r="AD24" s="2258">
        <f t="shared" si="29"/>
        <v>-100</v>
      </c>
      <c r="AE24" s="1762"/>
      <c r="AF24" s="1724"/>
      <c r="AG24" s="2255">
        <f t="shared" si="4"/>
        <v>8225</v>
      </c>
      <c r="AH24" s="2256"/>
      <c r="AI24" s="2256">
        <f t="shared" si="15"/>
        <v>-8225</v>
      </c>
      <c r="AJ24" s="2258">
        <f t="shared" si="30"/>
        <v>-100</v>
      </c>
      <c r="AK24" s="1762"/>
      <c r="AL24" s="1724"/>
      <c r="AM24" s="2255">
        <f t="shared" si="5"/>
        <v>8225</v>
      </c>
      <c r="AN24" s="2256"/>
      <c r="AO24" s="2256">
        <f t="shared" si="16"/>
        <v>-8225</v>
      </c>
      <c r="AP24" s="2258">
        <f t="shared" si="31"/>
        <v>-100</v>
      </c>
      <c r="AQ24" s="1762"/>
      <c r="AR24" s="1724"/>
      <c r="AS24" s="2255">
        <f t="shared" si="6"/>
        <v>8225</v>
      </c>
      <c r="AT24" s="2256"/>
      <c r="AU24" s="2256">
        <f t="shared" si="17"/>
        <v>-8225</v>
      </c>
      <c r="AV24" s="2258">
        <f t="shared" si="32"/>
        <v>-100</v>
      </c>
      <c r="AW24" s="1762"/>
      <c r="AX24" s="1724"/>
      <c r="AY24" s="2255">
        <f t="shared" si="18"/>
        <v>8225</v>
      </c>
      <c r="AZ24" s="2256"/>
      <c r="BA24" s="2256">
        <f t="shared" si="19"/>
        <v>-8225</v>
      </c>
      <c r="BB24" s="2258">
        <f t="shared" si="33"/>
        <v>-100</v>
      </c>
      <c r="BC24" s="1762"/>
      <c r="BD24" s="1724"/>
      <c r="BE24" s="2255">
        <f t="shared" si="20"/>
        <v>8225</v>
      </c>
      <c r="BF24" s="2256"/>
      <c r="BG24" s="2256">
        <f t="shared" si="21"/>
        <v>-8225</v>
      </c>
      <c r="BH24" s="2258">
        <f t="shared" si="34"/>
        <v>-100</v>
      </c>
      <c r="BI24" s="1762"/>
      <c r="BJ24" s="1724"/>
      <c r="BK24" s="2255">
        <f t="shared" si="7"/>
        <v>8225</v>
      </c>
      <c r="BL24" s="2256"/>
      <c r="BM24" s="2256">
        <f t="shared" si="22"/>
        <v>-8225</v>
      </c>
      <c r="BN24" s="2258">
        <f t="shared" si="35"/>
        <v>-100</v>
      </c>
      <c r="BO24" s="1762"/>
      <c r="BP24" s="1724"/>
      <c r="BQ24" s="2255">
        <f t="shared" si="8"/>
        <v>8225</v>
      </c>
      <c r="BR24" s="2256"/>
      <c r="BS24" s="2256">
        <f t="shared" si="23"/>
        <v>-8225</v>
      </c>
      <c r="BT24" s="2258">
        <f t="shared" si="36"/>
        <v>-100</v>
      </c>
      <c r="BU24" s="1762"/>
      <c r="BV24" s="1724"/>
      <c r="BW24" s="1762">
        <f t="shared" si="24"/>
        <v>98700</v>
      </c>
      <c r="BX24" s="1898">
        <f t="shared" si="24"/>
        <v>88995.790000000008</v>
      </c>
    </row>
    <row r="25" spans="1:76" x14ac:dyDescent="0.25">
      <c r="A25" s="2446">
        <v>51761</v>
      </c>
      <c r="B25" s="2443" t="s">
        <v>3837</v>
      </c>
      <c r="C25" s="2267">
        <v>3000</v>
      </c>
      <c r="D25" s="1766">
        <v>19228</v>
      </c>
      <c r="E25" s="1766">
        <f t="shared" si="9"/>
        <v>16228</v>
      </c>
      <c r="F25" s="2258">
        <f t="shared" si="25"/>
        <v>540.93333333333339</v>
      </c>
      <c r="G25" s="1767"/>
      <c r="H25" s="1724"/>
      <c r="I25" s="1769">
        <f t="shared" si="1"/>
        <v>3000</v>
      </c>
      <c r="J25" s="1766">
        <v>8176</v>
      </c>
      <c r="K25" s="1766">
        <f t="shared" si="10"/>
        <v>5176</v>
      </c>
      <c r="L25" s="2258">
        <f t="shared" si="26"/>
        <v>172.53333333333333</v>
      </c>
      <c r="M25" s="1767"/>
      <c r="N25" s="1724"/>
      <c r="O25" s="1769">
        <f t="shared" si="2"/>
        <v>3000</v>
      </c>
      <c r="P25" s="1766">
        <v>9302</v>
      </c>
      <c r="Q25" s="1766">
        <f t="shared" si="11"/>
        <v>6302</v>
      </c>
      <c r="R25" s="2258">
        <f t="shared" si="27"/>
        <v>210.06666666666666</v>
      </c>
      <c r="S25" s="1767"/>
      <c r="T25" s="1724"/>
      <c r="U25" s="2267">
        <f t="shared" si="3"/>
        <v>3000</v>
      </c>
      <c r="V25" s="1766"/>
      <c r="W25" s="1766">
        <f t="shared" si="12"/>
        <v>-3000</v>
      </c>
      <c r="X25" s="2258">
        <f t="shared" si="28"/>
        <v>-100</v>
      </c>
      <c r="Y25" s="1767"/>
      <c r="Z25" s="1724"/>
      <c r="AA25" s="2267">
        <f t="shared" si="13"/>
        <v>3000</v>
      </c>
      <c r="AB25" s="1766"/>
      <c r="AC25" s="1766">
        <f t="shared" si="14"/>
        <v>-3000</v>
      </c>
      <c r="AD25" s="2258">
        <f t="shared" si="29"/>
        <v>-100</v>
      </c>
      <c r="AE25" s="1834"/>
      <c r="AF25" s="1724"/>
      <c r="AG25" s="1769">
        <f t="shared" si="4"/>
        <v>3000</v>
      </c>
      <c r="AH25" s="1766"/>
      <c r="AI25" s="1766">
        <f t="shared" si="15"/>
        <v>-3000</v>
      </c>
      <c r="AJ25" s="2258">
        <f t="shared" si="30"/>
        <v>-100</v>
      </c>
      <c r="AK25" s="1767"/>
      <c r="AL25" s="1724"/>
      <c r="AM25" s="1769">
        <f t="shared" si="5"/>
        <v>3000</v>
      </c>
      <c r="AN25" s="2268"/>
      <c r="AO25" s="1766">
        <f t="shared" si="16"/>
        <v>-3000</v>
      </c>
      <c r="AP25" s="2258">
        <f t="shared" si="31"/>
        <v>-100</v>
      </c>
      <c r="AQ25" s="1767"/>
      <c r="AR25" s="1724"/>
      <c r="AS25" s="1769">
        <f t="shared" si="6"/>
        <v>3000</v>
      </c>
      <c r="AT25" s="2268"/>
      <c r="AU25" s="1766">
        <f t="shared" si="17"/>
        <v>-3000</v>
      </c>
      <c r="AV25" s="2258">
        <f t="shared" si="32"/>
        <v>-100</v>
      </c>
      <c r="AW25" s="1834"/>
      <c r="AX25" s="1724"/>
      <c r="AY25" s="1769">
        <f t="shared" si="18"/>
        <v>3000</v>
      </c>
      <c r="AZ25" s="2268"/>
      <c r="BA25" s="1766">
        <f t="shared" si="19"/>
        <v>-3000</v>
      </c>
      <c r="BB25" s="2258">
        <f t="shared" si="33"/>
        <v>-100</v>
      </c>
      <c r="BC25" s="1767"/>
      <c r="BD25" s="1724"/>
      <c r="BE25" s="1769">
        <f t="shared" si="20"/>
        <v>3000</v>
      </c>
      <c r="BF25" s="2268"/>
      <c r="BG25" s="1766">
        <f t="shared" si="21"/>
        <v>-3000</v>
      </c>
      <c r="BH25" s="2258">
        <f t="shared" si="34"/>
        <v>-100</v>
      </c>
      <c r="BI25" s="1767"/>
      <c r="BJ25" s="1724"/>
      <c r="BK25" s="2267">
        <f t="shared" si="7"/>
        <v>3000</v>
      </c>
      <c r="BL25" s="1766"/>
      <c r="BM25" s="1766">
        <f t="shared" si="22"/>
        <v>-3000</v>
      </c>
      <c r="BN25" s="2258">
        <f t="shared" si="35"/>
        <v>-100</v>
      </c>
      <c r="BO25" s="1767"/>
      <c r="BP25" s="1724"/>
      <c r="BQ25" s="2267">
        <f t="shared" si="8"/>
        <v>3000</v>
      </c>
      <c r="BR25" s="1766"/>
      <c r="BS25" s="1766">
        <f t="shared" si="23"/>
        <v>-3000</v>
      </c>
      <c r="BT25" s="2258">
        <f t="shared" si="36"/>
        <v>-100</v>
      </c>
      <c r="BU25" s="1767"/>
      <c r="BV25" s="1724"/>
      <c r="BW25" s="1834">
        <f t="shared" si="24"/>
        <v>36000</v>
      </c>
      <c r="BX25" s="1898">
        <f t="shared" si="24"/>
        <v>36706</v>
      </c>
    </row>
    <row r="26" spans="1:76" x14ac:dyDescent="0.25">
      <c r="A26" s="2446">
        <v>52238</v>
      </c>
      <c r="B26" s="2442" t="s">
        <v>3908</v>
      </c>
      <c r="C26" s="1769">
        <v>0</v>
      </c>
      <c r="D26" s="2268">
        <v>0</v>
      </c>
      <c r="E26" s="2268">
        <f t="shared" si="9"/>
        <v>0</v>
      </c>
      <c r="F26" s="2258">
        <v>0</v>
      </c>
      <c r="G26" s="1834"/>
      <c r="H26" s="1724"/>
      <c r="I26" s="2267">
        <f t="shared" si="1"/>
        <v>0</v>
      </c>
      <c r="J26" s="2268">
        <v>0</v>
      </c>
      <c r="K26" s="2268">
        <f t="shared" si="10"/>
        <v>0</v>
      </c>
      <c r="L26" s="2258">
        <v>0</v>
      </c>
      <c r="M26" s="1834"/>
      <c r="N26" s="1724"/>
      <c r="O26" s="2267">
        <f t="shared" si="2"/>
        <v>0</v>
      </c>
      <c r="P26" s="2268">
        <v>957.44</v>
      </c>
      <c r="Q26" s="2268">
        <f t="shared" si="11"/>
        <v>957.44</v>
      </c>
      <c r="R26" s="2258">
        <v>0</v>
      </c>
      <c r="S26" s="1834"/>
      <c r="T26" s="1724"/>
      <c r="U26" s="1769">
        <f t="shared" si="3"/>
        <v>0</v>
      </c>
      <c r="V26" s="2268"/>
      <c r="W26" s="2268">
        <f t="shared" si="12"/>
        <v>0</v>
      </c>
      <c r="X26" s="2258">
        <v>0</v>
      </c>
      <c r="Y26" s="1834"/>
      <c r="Z26" s="1724"/>
      <c r="AA26" s="1769">
        <f t="shared" si="13"/>
        <v>0</v>
      </c>
      <c r="AB26" s="2268"/>
      <c r="AC26" s="2268">
        <f t="shared" si="14"/>
        <v>0</v>
      </c>
      <c r="AD26" s="2258">
        <v>0</v>
      </c>
      <c r="AE26" s="1767"/>
      <c r="AF26" s="1724"/>
      <c r="AG26" s="2267">
        <f t="shared" si="4"/>
        <v>0</v>
      </c>
      <c r="AH26" s="2268"/>
      <c r="AI26" s="2268">
        <f t="shared" si="15"/>
        <v>0</v>
      </c>
      <c r="AJ26" s="2258">
        <v>0</v>
      </c>
      <c r="AK26" s="1834"/>
      <c r="AL26" s="1724"/>
      <c r="AM26" s="2267">
        <f t="shared" si="5"/>
        <v>0</v>
      </c>
      <c r="AN26" s="1766"/>
      <c r="AO26" s="2268">
        <f t="shared" si="16"/>
        <v>0</v>
      </c>
      <c r="AP26" s="2258">
        <v>0</v>
      </c>
      <c r="AQ26" s="1834"/>
      <c r="AR26" s="1724"/>
      <c r="AS26" s="2267">
        <f t="shared" si="6"/>
        <v>0</v>
      </c>
      <c r="AT26" s="1766"/>
      <c r="AU26" s="2268">
        <f t="shared" si="17"/>
        <v>0</v>
      </c>
      <c r="AV26" s="2258">
        <v>0</v>
      </c>
      <c r="AW26" s="1767"/>
      <c r="AX26" s="1724"/>
      <c r="AY26" s="2267">
        <f t="shared" si="18"/>
        <v>0</v>
      </c>
      <c r="AZ26" s="1766"/>
      <c r="BA26" s="2268">
        <f t="shared" si="19"/>
        <v>0</v>
      </c>
      <c r="BB26" s="2258">
        <v>0</v>
      </c>
      <c r="BC26" s="1834"/>
      <c r="BD26" s="1724"/>
      <c r="BE26" s="2267">
        <f t="shared" si="20"/>
        <v>0</v>
      </c>
      <c r="BF26" s="1766"/>
      <c r="BG26" s="2268">
        <f t="shared" si="21"/>
        <v>0</v>
      </c>
      <c r="BH26" s="2258">
        <v>0</v>
      </c>
      <c r="BI26" s="1834"/>
      <c r="BJ26" s="1724"/>
      <c r="BK26" s="1769">
        <f t="shared" si="7"/>
        <v>0</v>
      </c>
      <c r="BL26" s="2268"/>
      <c r="BM26" s="2268">
        <f t="shared" si="22"/>
        <v>0</v>
      </c>
      <c r="BN26" s="2258">
        <v>0</v>
      </c>
      <c r="BO26" s="1834"/>
      <c r="BP26" s="1724"/>
      <c r="BQ26" s="1769">
        <f t="shared" si="8"/>
        <v>0</v>
      </c>
      <c r="BR26" s="2268"/>
      <c r="BS26" s="2268">
        <f t="shared" si="23"/>
        <v>0</v>
      </c>
      <c r="BT26" s="2258">
        <v>0</v>
      </c>
      <c r="BU26" s="1834"/>
      <c r="BV26" s="1724"/>
      <c r="BW26" s="1767">
        <f t="shared" si="24"/>
        <v>0</v>
      </c>
      <c r="BX26" s="1898">
        <f t="shared" si="24"/>
        <v>957.44</v>
      </c>
    </row>
    <row r="27" spans="1:76" ht="15.75" thickBot="1" x14ac:dyDescent="0.3">
      <c r="A27" s="2447">
        <v>51090</v>
      </c>
      <c r="B27" s="2444" t="s">
        <v>210</v>
      </c>
      <c r="C27" s="1771">
        <v>18000</v>
      </c>
      <c r="D27" s="1772">
        <v>6313.5</v>
      </c>
      <c r="E27" s="1772">
        <f t="shared" si="9"/>
        <v>-11686.5</v>
      </c>
      <c r="F27" s="1773">
        <f>((D27/C27)-1)*100</f>
        <v>-64.924999999999997</v>
      </c>
      <c r="G27" s="1774"/>
      <c r="H27" s="1724"/>
      <c r="I27" s="1771">
        <f t="shared" si="1"/>
        <v>18000</v>
      </c>
      <c r="J27" s="1772">
        <v>24023.5</v>
      </c>
      <c r="K27" s="1772">
        <f t="shared" si="10"/>
        <v>6023.5</v>
      </c>
      <c r="L27" s="1773">
        <f>((J27/I27)-1)*100</f>
        <v>33.463888888888896</v>
      </c>
      <c r="M27" s="1774"/>
      <c r="N27" s="1724"/>
      <c r="O27" s="1771">
        <f t="shared" si="2"/>
        <v>18000</v>
      </c>
      <c r="P27" s="1772">
        <v>8089.75</v>
      </c>
      <c r="Q27" s="1772">
        <f t="shared" si="11"/>
        <v>-9910.25</v>
      </c>
      <c r="R27" s="1773">
        <f>((P27/O27)-1)*100</f>
        <v>-55.056944444444447</v>
      </c>
      <c r="S27" s="1774"/>
      <c r="T27" s="1724"/>
      <c r="U27" s="1771">
        <f t="shared" si="3"/>
        <v>18000</v>
      </c>
      <c r="V27" s="1772"/>
      <c r="W27" s="1772">
        <f t="shared" si="12"/>
        <v>-18000</v>
      </c>
      <c r="X27" s="1773">
        <f>((V27/U27)-1)*100</f>
        <v>-100</v>
      </c>
      <c r="Y27" s="1774"/>
      <c r="Z27" s="1724"/>
      <c r="AA27" s="1771">
        <f t="shared" si="13"/>
        <v>18000</v>
      </c>
      <c r="AB27" s="1772"/>
      <c r="AC27" s="1772">
        <f t="shared" si="14"/>
        <v>-18000</v>
      </c>
      <c r="AD27" s="1773">
        <f>((AB27/AA27)-1)*100</f>
        <v>-100</v>
      </c>
      <c r="AE27" s="1774"/>
      <c r="AF27" s="1724"/>
      <c r="AG27" s="1771">
        <f t="shared" si="4"/>
        <v>18000</v>
      </c>
      <c r="AH27" s="1772"/>
      <c r="AI27" s="1772">
        <f t="shared" si="15"/>
        <v>-18000</v>
      </c>
      <c r="AJ27" s="1773">
        <f>((AH27/AG27)-1)*100</f>
        <v>-100</v>
      </c>
      <c r="AK27" s="1774"/>
      <c r="AL27" s="1724"/>
      <c r="AM27" s="1771">
        <f t="shared" si="5"/>
        <v>18000</v>
      </c>
      <c r="AN27" s="1772"/>
      <c r="AO27" s="1772">
        <f t="shared" si="16"/>
        <v>-18000</v>
      </c>
      <c r="AP27" s="1773">
        <f>((AN27/AM27)-1)*100</f>
        <v>-100</v>
      </c>
      <c r="AQ27" s="1774"/>
      <c r="AR27" s="1724"/>
      <c r="AS27" s="1771">
        <f t="shared" si="6"/>
        <v>18000</v>
      </c>
      <c r="AT27" s="1772"/>
      <c r="AU27" s="1772">
        <f t="shared" si="17"/>
        <v>-18000</v>
      </c>
      <c r="AV27" s="1773">
        <f>((AT27/AS27)-1)*100</f>
        <v>-100</v>
      </c>
      <c r="AW27" s="1774"/>
      <c r="AX27" s="1724"/>
      <c r="AY27" s="1771">
        <f t="shared" si="18"/>
        <v>18000</v>
      </c>
      <c r="AZ27" s="1772"/>
      <c r="BA27" s="1772">
        <f t="shared" si="19"/>
        <v>-18000</v>
      </c>
      <c r="BB27" s="1773">
        <f>((AZ27/AY27)-1)*100</f>
        <v>-100</v>
      </c>
      <c r="BC27" s="1774"/>
      <c r="BD27" s="1724"/>
      <c r="BE27" s="1771">
        <f t="shared" si="20"/>
        <v>18000</v>
      </c>
      <c r="BF27" s="1772"/>
      <c r="BG27" s="1772">
        <f t="shared" si="21"/>
        <v>-18000</v>
      </c>
      <c r="BH27" s="1773">
        <f>((BF27/BE27)-1)*100</f>
        <v>-100</v>
      </c>
      <c r="BI27" s="1774"/>
      <c r="BJ27" s="1724"/>
      <c r="BK27" s="1771">
        <f t="shared" si="7"/>
        <v>18000</v>
      </c>
      <c r="BL27" s="1772"/>
      <c r="BM27" s="1772">
        <f t="shared" si="22"/>
        <v>-18000</v>
      </c>
      <c r="BN27" s="1773">
        <f>((BL27/BK27)-1)*100</f>
        <v>-100</v>
      </c>
      <c r="BO27" s="1774"/>
      <c r="BP27" s="1724"/>
      <c r="BQ27" s="1771">
        <f t="shared" si="8"/>
        <v>18000</v>
      </c>
      <c r="BR27" s="1772"/>
      <c r="BS27" s="1772">
        <f t="shared" si="23"/>
        <v>-18000</v>
      </c>
      <c r="BT27" s="1773">
        <f>((BR27/BQ27)-1)*100</f>
        <v>-100</v>
      </c>
      <c r="BU27" s="1774"/>
      <c r="BV27" s="1724"/>
      <c r="BW27" s="1774">
        <f t="shared" si="24"/>
        <v>216000</v>
      </c>
      <c r="BX27" s="1741">
        <f t="shared" si="24"/>
        <v>38426.75</v>
      </c>
    </row>
  </sheetData>
  <mergeCells count="103">
    <mergeCell ref="BI5:BI7"/>
    <mergeCell ref="BO5:BO7"/>
    <mergeCell ref="BU5:BU7"/>
    <mergeCell ref="L9:L10"/>
    <mergeCell ref="C9:C10"/>
    <mergeCell ref="E9:E10"/>
    <mergeCell ref="F9:F10"/>
    <mergeCell ref="I9:I10"/>
    <mergeCell ref="K9:K10"/>
    <mergeCell ref="BH9:BH10"/>
    <mergeCell ref="AJ9:AJ10"/>
    <mergeCell ref="O9:O10"/>
    <mergeCell ref="Q9:Q10"/>
    <mergeCell ref="R9:R10"/>
    <mergeCell ref="U9:U10"/>
    <mergeCell ref="W9:W10"/>
    <mergeCell ref="X9:X10"/>
    <mergeCell ref="AY9:AY10"/>
    <mergeCell ref="BA9:BA10"/>
    <mergeCell ref="BB9:BB10"/>
    <mergeCell ref="BE9:BE10"/>
    <mergeCell ref="BG9:BG10"/>
    <mergeCell ref="BE5:BH5"/>
    <mergeCell ref="Y5:Y7"/>
    <mergeCell ref="L11:L12"/>
    <mergeCell ref="BK9:BK10"/>
    <mergeCell ref="BM9:BM10"/>
    <mergeCell ref="BN9:BN10"/>
    <mergeCell ref="BQ9:BQ10"/>
    <mergeCell ref="AM9:AM10"/>
    <mergeCell ref="AO9:AO10"/>
    <mergeCell ref="AP9:AP10"/>
    <mergeCell ref="AS9:AS10"/>
    <mergeCell ref="AU9:AU10"/>
    <mergeCell ref="AV9:AV10"/>
    <mergeCell ref="AA9:AA10"/>
    <mergeCell ref="AC9:AC10"/>
    <mergeCell ref="AD9:AD10"/>
    <mergeCell ref="AG9:AG10"/>
    <mergeCell ref="AI9:AI10"/>
    <mergeCell ref="AM11:AM12"/>
    <mergeCell ref="AO11:AO12"/>
    <mergeCell ref="AP11:AP12"/>
    <mergeCell ref="AS11:AS12"/>
    <mergeCell ref="AU11:AU12"/>
    <mergeCell ref="C11:C12"/>
    <mergeCell ref="E11:E12"/>
    <mergeCell ref="F11:F12"/>
    <mergeCell ref="I11:I12"/>
    <mergeCell ref="K11:K12"/>
    <mergeCell ref="BH11:BH12"/>
    <mergeCell ref="AJ11:AJ12"/>
    <mergeCell ref="O11:O12"/>
    <mergeCell ref="Q11:Q12"/>
    <mergeCell ref="R11:R12"/>
    <mergeCell ref="U11:U12"/>
    <mergeCell ref="W11:W12"/>
    <mergeCell ref="X11:X12"/>
    <mergeCell ref="AY11:AY12"/>
    <mergeCell ref="BA11:BA12"/>
    <mergeCell ref="BB11:BB12"/>
    <mergeCell ref="BE11:BE12"/>
    <mergeCell ref="BG11:BG12"/>
    <mergeCell ref="AV11:AV12"/>
    <mergeCell ref="AA11:AA12"/>
    <mergeCell ref="AC11:AC12"/>
    <mergeCell ref="AD11:AD12"/>
    <mergeCell ref="AG11:AG12"/>
    <mergeCell ref="AI11:AI12"/>
    <mergeCell ref="A5:A6"/>
    <mergeCell ref="B5:B6"/>
    <mergeCell ref="C5:F5"/>
    <mergeCell ref="I5:L5"/>
    <mergeCell ref="O5:R5"/>
    <mergeCell ref="U5:X5"/>
    <mergeCell ref="G5:G7"/>
    <mergeCell ref="M5:M7"/>
    <mergeCell ref="S5:S7"/>
    <mergeCell ref="AE5:AE7"/>
    <mergeCell ref="AQ5:AQ7"/>
    <mergeCell ref="AW5:AW7"/>
    <mergeCell ref="BC5:BC8"/>
    <mergeCell ref="AA5:AD5"/>
    <mergeCell ref="AG5:AJ5"/>
    <mergeCell ref="AM5:AP5"/>
    <mergeCell ref="AS5:AV5"/>
    <mergeCell ref="AY5:BB5"/>
    <mergeCell ref="BW9:BW10"/>
    <mergeCell ref="BX9:BX10"/>
    <mergeCell ref="BW11:BW12"/>
    <mergeCell ref="BX11:BX12"/>
    <mergeCell ref="BK5:BN5"/>
    <mergeCell ref="BQ5:BT5"/>
    <mergeCell ref="BW5:BW6"/>
    <mergeCell ref="BX5:BX6"/>
    <mergeCell ref="BK11:BK12"/>
    <mergeCell ref="BM11:BM12"/>
    <mergeCell ref="BN11:BN12"/>
    <mergeCell ref="BQ11:BQ12"/>
    <mergeCell ref="BS11:BS12"/>
    <mergeCell ref="BT11:BT12"/>
    <mergeCell ref="BS9:BS10"/>
    <mergeCell ref="BT9:BT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5:BX19"/>
  <sheetViews>
    <sheetView showGridLines="0" topLeftCell="D4" workbookViewId="0">
      <selection activeCell="T14" sqref="T14"/>
    </sheetView>
  </sheetViews>
  <sheetFormatPr defaultRowHeight="15" x14ac:dyDescent="0.25"/>
  <cols>
    <col min="1" max="1" width="12.85546875" bestFit="1" customWidth="1"/>
    <col min="2" max="2" width="52.42578125" bestFit="1" customWidth="1"/>
    <col min="4" max="4" width="12.5703125" customWidth="1"/>
    <col min="5" max="5" width="13.7109375" customWidth="1"/>
    <col min="7" max="7" width="16" customWidth="1"/>
    <col min="8" max="8" width="3.42578125" customWidth="1"/>
    <col min="10" max="10" width="13.28515625" customWidth="1"/>
    <col min="11" max="11" width="13.7109375" customWidth="1"/>
    <col min="13" max="13" width="16" customWidth="1"/>
    <col min="14" max="14" width="3.140625" customWidth="1"/>
    <col min="16" max="17" width="12.7109375" customWidth="1"/>
    <col min="19" max="19" width="16" customWidth="1"/>
    <col min="20" max="20" width="3.28515625" customWidth="1"/>
    <col min="22" max="22" width="11.28515625" customWidth="1"/>
    <col min="23" max="23" width="12.5703125" customWidth="1"/>
    <col min="25" max="25" width="16" customWidth="1"/>
    <col min="26" max="26" width="3.28515625" customWidth="1"/>
    <col min="28" max="28" width="10.85546875" bestFit="1" customWidth="1"/>
    <col min="29" max="29" width="10.42578125" bestFit="1" customWidth="1"/>
    <col min="31" max="31" width="16" customWidth="1"/>
    <col min="32" max="32" width="3.42578125" customWidth="1"/>
    <col min="34" max="34" width="10.85546875" bestFit="1" customWidth="1"/>
    <col min="35" max="35" width="10.42578125" bestFit="1" customWidth="1"/>
    <col min="37" max="37" width="16" customWidth="1"/>
    <col min="38" max="38" width="3.28515625" customWidth="1"/>
    <col min="40" max="40" width="10.85546875" bestFit="1" customWidth="1"/>
    <col min="41" max="41" width="10.42578125" bestFit="1" customWidth="1"/>
    <col min="43" max="43" width="16" customWidth="1"/>
    <col min="44" max="44" width="3.5703125" customWidth="1"/>
    <col min="46" max="46" width="10.85546875" bestFit="1" customWidth="1"/>
    <col min="47" max="47" width="10.42578125" bestFit="1" customWidth="1"/>
    <col min="49" max="49" width="16" customWidth="1"/>
    <col min="50" max="50" width="4.28515625" customWidth="1"/>
    <col min="52" max="52" width="10.85546875" bestFit="1" customWidth="1"/>
    <col min="53" max="53" width="10.42578125" bestFit="1" customWidth="1"/>
    <col min="55" max="55" width="16" customWidth="1"/>
    <col min="56" max="56" width="4" customWidth="1"/>
    <col min="58" max="58" width="10.85546875" bestFit="1" customWidth="1"/>
    <col min="59" max="59" width="10.42578125" bestFit="1" customWidth="1"/>
    <col min="61" max="61" width="16" customWidth="1"/>
    <col min="62" max="62" width="3.140625" customWidth="1"/>
    <col min="64" max="64" width="10.85546875" bestFit="1" customWidth="1"/>
    <col min="65" max="65" width="10.42578125" bestFit="1" customWidth="1"/>
    <col min="67" max="67" width="16" customWidth="1"/>
    <col min="68" max="68" width="4" customWidth="1"/>
    <col min="70" max="70" width="10.85546875" bestFit="1" customWidth="1"/>
    <col min="71" max="71" width="10.42578125" bestFit="1" customWidth="1"/>
    <col min="73" max="73" width="16" customWidth="1"/>
    <col min="74" max="74" width="4.5703125" customWidth="1"/>
    <col min="75" max="75" width="14.85546875" bestFit="1" customWidth="1"/>
    <col min="76" max="76" width="17" bestFit="1" customWidth="1"/>
  </cols>
  <sheetData>
    <row r="5" spans="1:76" ht="15.75" thickBot="1" x14ac:dyDescent="0.3"/>
    <row r="6" spans="1:76" ht="18" customHeight="1" thickBot="1" x14ac:dyDescent="0.3">
      <c r="A6" s="2180" t="s">
        <v>0</v>
      </c>
      <c r="B6" s="2866" t="s">
        <v>145</v>
      </c>
      <c r="C6" s="2861" t="s">
        <v>3716</v>
      </c>
      <c r="D6" s="2862"/>
      <c r="E6" s="2862"/>
      <c r="F6" s="2863"/>
      <c r="G6" s="2882" t="s">
        <v>3838</v>
      </c>
      <c r="H6" s="2348"/>
      <c r="I6" s="2861" t="s">
        <v>3717</v>
      </c>
      <c r="J6" s="2862"/>
      <c r="K6" s="2862"/>
      <c r="L6" s="2863"/>
      <c r="M6" s="2882" t="s">
        <v>3838</v>
      </c>
      <c r="N6" s="2348"/>
      <c r="O6" s="2861" t="s">
        <v>3718</v>
      </c>
      <c r="P6" s="2862"/>
      <c r="Q6" s="2862"/>
      <c r="R6" s="2863"/>
      <c r="S6" s="2882" t="s">
        <v>3838</v>
      </c>
      <c r="T6" s="2348"/>
      <c r="U6" s="2861" t="s">
        <v>3719</v>
      </c>
      <c r="V6" s="2862"/>
      <c r="W6" s="2862"/>
      <c r="X6" s="2863"/>
      <c r="Y6" s="2882" t="s">
        <v>3838</v>
      </c>
      <c r="Z6" s="2348"/>
      <c r="AA6" s="2861" t="s">
        <v>3904</v>
      </c>
      <c r="AB6" s="2862"/>
      <c r="AC6" s="2862"/>
      <c r="AD6" s="2863"/>
      <c r="AE6" s="2882" t="s">
        <v>3838</v>
      </c>
      <c r="AF6" s="2348"/>
      <c r="AG6" s="2861" t="s">
        <v>3721</v>
      </c>
      <c r="AH6" s="2862"/>
      <c r="AI6" s="2862"/>
      <c r="AJ6" s="2863"/>
      <c r="AK6" s="2882" t="s">
        <v>3838</v>
      </c>
      <c r="AL6" s="1706"/>
      <c r="AM6" s="2861" t="s">
        <v>3722</v>
      </c>
      <c r="AN6" s="2862"/>
      <c r="AO6" s="2862"/>
      <c r="AP6" s="2863"/>
      <c r="AQ6" s="2882" t="s">
        <v>3838</v>
      </c>
      <c r="AR6" s="2348"/>
      <c r="AS6" s="2861" t="s">
        <v>3723</v>
      </c>
      <c r="AT6" s="2862"/>
      <c r="AU6" s="2862"/>
      <c r="AV6" s="2863"/>
      <c r="AW6" s="2882" t="s">
        <v>3838</v>
      </c>
      <c r="AX6" s="2348"/>
      <c r="AY6" s="2861" t="s">
        <v>3724</v>
      </c>
      <c r="AZ6" s="2862"/>
      <c r="BA6" s="2862"/>
      <c r="BB6" s="2863"/>
      <c r="BC6" s="2882" t="s">
        <v>3838</v>
      </c>
      <c r="BD6" s="2348"/>
      <c r="BE6" s="2861" t="s">
        <v>3725</v>
      </c>
      <c r="BF6" s="2862"/>
      <c r="BG6" s="2862"/>
      <c r="BH6" s="2863"/>
      <c r="BI6" s="2882" t="s">
        <v>3838</v>
      </c>
      <c r="BJ6" s="2348"/>
      <c r="BK6" s="2861" t="s">
        <v>3726</v>
      </c>
      <c r="BL6" s="2862"/>
      <c r="BM6" s="2862"/>
      <c r="BN6" s="2863"/>
      <c r="BO6" s="2882" t="s">
        <v>3838</v>
      </c>
      <c r="BP6" s="2348"/>
      <c r="BQ6" s="2861" t="s">
        <v>3727</v>
      </c>
      <c r="BR6" s="2862"/>
      <c r="BS6" s="2862"/>
      <c r="BT6" s="2863"/>
      <c r="BU6" s="2882" t="s">
        <v>3838</v>
      </c>
      <c r="BW6" s="2856" t="s">
        <v>162</v>
      </c>
      <c r="BX6" s="2856" t="s">
        <v>163</v>
      </c>
    </row>
    <row r="7" spans="1:76" ht="18" customHeight="1" thickBot="1" x14ac:dyDescent="0.3">
      <c r="A7" s="1953"/>
      <c r="B7" s="2867"/>
      <c r="C7" s="1681" t="s">
        <v>3728</v>
      </c>
      <c r="D7" s="1682" t="s">
        <v>3796</v>
      </c>
      <c r="E7" s="1682" t="s">
        <v>3797</v>
      </c>
      <c r="F7" s="2118" t="s">
        <v>158</v>
      </c>
      <c r="G7" s="2883"/>
      <c r="H7" s="2349"/>
      <c r="I7" s="1681" t="s">
        <v>3728</v>
      </c>
      <c r="J7" s="1682" t="s">
        <v>3796</v>
      </c>
      <c r="K7" s="1682" t="s">
        <v>3797</v>
      </c>
      <c r="L7" s="2118" t="s">
        <v>158</v>
      </c>
      <c r="M7" s="2883"/>
      <c r="N7" s="2350"/>
      <c r="O7" s="1710" t="s">
        <v>3728</v>
      </c>
      <c r="P7" s="1682" t="s">
        <v>3796</v>
      </c>
      <c r="Q7" s="1682" t="s">
        <v>3797</v>
      </c>
      <c r="R7" s="2118" t="s">
        <v>158</v>
      </c>
      <c r="S7" s="2883"/>
      <c r="T7" s="2350"/>
      <c r="U7" s="1710" t="s">
        <v>3728</v>
      </c>
      <c r="V7" s="1682" t="s">
        <v>3796</v>
      </c>
      <c r="W7" s="1682" t="s">
        <v>3797</v>
      </c>
      <c r="X7" s="2118" t="s">
        <v>158</v>
      </c>
      <c r="Y7" s="2883"/>
      <c r="Z7" s="2350"/>
      <c r="AA7" s="1710" t="s">
        <v>3728</v>
      </c>
      <c r="AB7" s="1682" t="s">
        <v>3796</v>
      </c>
      <c r="AC7" s="1682" t="s">
        <v>3797</v>
      </c>
      <c r="AD7" s="2118" t="s">
        <v>158</v>
      </c>
      <c r="AE7" s="2883"/>
      <c r="AF7" s="2350"/>
      <c r="AG7" s="1710" t="s">
        <v>3728</v>
      </c>
      <c r="AH7" s="1682" t="s">
        <v>3796</v>
      </c>
      <c r="AI7" s="1682" t="s">
        <v>3797</v>
      </c>
      <c r="AJ7" s="2118" t="s">
        <v>158</v>
      </c>
      <c r="AK7" s="2883"/>
      <c r="AL7" s="2350"/>
      <c r="AM7" s="1710" t="s">
        <v>3728</v>
      </c>
      <c r="AN7" s="1682" t="s">
        <v>3796</v>
      </c>
      <c r="AO7" s="1682" t="s">
        <v>3797</v>
      </c>
      <c r="AP7" s="2118" t="s">
        <v>158</v>
      </c>
      <c r="AQ7" s="2883"/>
      <c r="AR7" s="2350"/>
      <c r="AS7" s="1710" t="s">
        <v>3728</v>
      </c>
      <c r="AT7" s="1682" t="s">
        <v>3796</v>
      </c>
      <c r="AU7" s="1682" t="s">
        <v>3797</v>
      </c>
      <c r="AV7" s="2118" t="s">
        <v>158</v>
      </c>
      <c r="AW7" s="2883"/>
      <c r="AX7" s="1709"/>
      <c r="AY7" s="1710" t="s">
        <v>3728</v>
      </c>
      <c r="AZ7" s="1682" t="s">
        <v>3796</v>
      </c>
      <c r="BA7" s="1682" t="s">
        <v>3797</v>
      </c>
      <c r="BB7" s="2118" t="s">
        <v>158</v>
      </c>
      <c r="BC7" s="2883"/>
      <c r="BD7" s="2350"/>
      <c r="BE7" s="1710" t="s">
        <v>3728</v>
      </c>
      <c r="BF7" s="1682" t="s">
        <v>3796</v>
      </c>
      <c r="BG7" s="1682" t="s">
        <v>3797</v>
      </c>
      <c r="BH7" s="2118" t="s">
        <v>158</v>
      </c>
      <c r="BI7" s="2883"/>
      <c r="BJ7" s="2350"/>
      <c r="BK7" s="1710" t="s">
        <v>3728</v>
      </c>
      <c r="BL7" s="1682" t="s">
        <v>3796</v>
      </c>
      <c r="BM7" s="1682" t="s">
        <v>3797</v>
      </c>
      <c r="BN7" s="2118" t="s">
        <v>158</v>
      </c>
      <c r="BO7" s="2883"/>
      <c r="BP7" s="2350"/>
      <c r="BQ7" s="1710" t="s">
        <v>3728</v>
      </c>
      <c r="BR7" s="1682" t="s">
        <v>3796</v>
      </c>
      <c r="BS7" s="1682" t="s">
        <v>3797</v>
      </c>
      <c r="BT7" s="2118" t="s">
        <v>158</v>
      </c>
      <c r="BU7" s="2883"/>
      <c r="BW7" s="2858"/>
      <c r="BX7" s="2858"/>
    </row>
    <row r="8" spans="1:76" ht="16.5" thickBot="1" x14ac:dyDescent="0.3">
      <c r="A8" s="166"/>
      <c r="B8" s="1659" t="s">
        <v>3840</v>
      </c>
      <c r="C8" s="2147">
        <f>SUM(C9:C19)</f>
        <v>745029.25459999987</v>
      </c>
      <c r="D8" s="2148">
        <f>SUM(D9:D19)</f>
        <v>716720.09000000008</v>
      </c>
      <c r="E8" s="1882">
        <f>D8-C8</f>
        <v>-28309.164599999785</v>
      </c>
      <c r="F8" s="2410">
        <f>((D8/C8)-1)*100</f>
        <v>-3.7997386579401882</v>
      </c>
      <c r="G8" s="2884"/>
      <c r="H8" s="2415"/>
      <c r="I8" s="2147">
        <f>SUM(I9:I19)</f>
        <v>745029.25459999987</v>
      </c>
      <c r="J8" s="2148">
        <f>SUM(J9:J19)</f>
        <v>700537.86999999988</v>
      </c>
      <c r="K8" s="1882">
        <f>J8-I8</f>
        <v>-44491.38459999999</v>
      </c>
      <c r="L8" s="1929">
        <f>((J8/I8)-1)*100</f>
        <v>-5.9717634341603159</v>
      </c>
      <c r="M8" s="2884"/>
      <c r="N8" s="2351"/>
      <c r="O8" s="2147">
        <f>SUM(O9:O19)</f>
        <v>745029.25459999987</v>
      </c>
      <c r="P8" s="2148">
        <f>SUM(P9:P19)</f>
        <v>875412.11</v>
      </c>
      <c r="Q8" s="1882">
        <f>P8-O8</f>
        <v>130382.85540000012</v>
      </c>
      <c r="R8" s="1929">
        <f>((P8/O8)-1)*100</f>
        <v>17.500367213097114</v>
      </c>
      <c r="S8" s="2884"/>
      <c r="T8" s="2351"/>
      <c r="U8" s="2147">
        <f>SUM(U9:U19)</f>
        <v>745029.25459999987</v>
      </c>
      <c r="V8" s="2148">
        <f>SUM(V9:V19)</f>
        <v>0</v>
      </c>
      <c r="W8" s="1882">
        <f>V8-U8</f>
        <v>-745029.25459999987</v>
      </c>
      <c r="X8" s="1929">
        <f>((V8/U8)-1)*100</f>
        <v>-100</v>
      </c>
      <c r="Y8" s="2884"/>
      <c r="Z8" s="1990"/>
      <c r="AA8" s="2147">
        <f>SUM(AA9:AA19)</f>
        <v>745029.25459999987</v>
      </c>
      <c r="AB8" s="2148">
        <f>SUM(AB9:AB19)</f>
        <v>0</v>
      </c>
      <c r="AC8" s="1882">
        <f>AB8-AA8</f>
        <v>-745029.25459999987</v>
      </c>
      <c r="AD8" s="1929">
        <f>((AB8/AA8)-1)*100</f>
        <v>-100</v>
      </c>
      <c r="AE8" s="2884"/>
      <c r="AF8" s="2351"/>
      <c r="AG8" s="2147">
        <f>SUM(AG9:AG19)</f>
        <v>745029.25459999987</v>
      </c>
      <c r="AH8" s="2148">
        <f>SUM(AH9:AH19)</f>
        <v>0</v>
      </c>
      <c r="AI8" s="1882">
        <f>AH8-AG8</f>
        <v>-745029.25459999987</v>
      </c>
      <c r="AJ8" s="1929">
        <f>((AH8/AG8)-1)*100</f>
        <v>-100</v>
      </c>
      <c r="AK8" s="2884"/>
      <c r="AL8" s="1990"/>
      <c r="AM8" s="2147">
        <f>SUM(AM9:AM19)</f>
        <v>745029.25459999987</v>
      </c>
      <c r="AN8" s="2148">
        <f>SUM(AN9:AN19)</f>
        <v>0</v>
      </c>
      <c r="AO8" s="1882">
        <f>AN8-AM8</f>
        <v>-745029.25459999987</v>
      </c>
      <c r="AP8" s="1929">
        <f>((AN8/AM8)-1)*100</f>
        <v>-100</v>
      </c>
      <c r="AQ8" s="2884"/>
      <c r="AR8" s="1990"/>
      <c r="AS8" s="2147">
        <f>SUM(AS9:AS19)</f>
        <v>745029.25459999987</v>
      </c>
      <c r="AT8" s="2148">
        <f>SUM(AT9:AT19)</f>
        <v>0</v>
      </c>
      <c r="AU8" s="1882">
        <f>AT8-AS8</f>
        <v>-745029.25459999987</v>
      </c>
      <c r="AV8" s="1929">
        <f>((AT8/AS8)-1)*100</f>
        <v>-100</v>
      </c>
      <c r="AW8" s="2884"/>
      <c r="AX8" s="2351"/>
      <c r="AY8" s="2147">
        <f>SUM(AY9:AY19)</f>
        <v>745029.25459999987</v>
      </c>
      <c r="AZ8" s="2148">
        <f>SUM(AZ9:AZ19)</f>
        <v>0</v>
      </c>
      <c r="BA8" s="1882">
        <f>AZ8-AY8</f>
        <v>-745029.25459999987</v>
      </c>
      <c r="BB8" s="1929">
        <f>((AZ8/AY8)-1)*100</f>
        <v>-100</v>
      </c>
      <c r="BC8" s="2884"/>
      <c r="BD8" s="1990"/>
      <c r="BE8" s="2147">
        <f>SUM(BE9:BE19)</f>
        <v>745029.25459999987</v>
      </c>
      <c r="BF8" s="2148">
        <f>SUM(BF9:BF19)</f>
        <v>0</v>
      </c>
      <c r="BG8" s="1882">
        <f>BF8-BE8</f>
        <v>-745029.25459999987</v>
      </c>
      <c r="BH8" s="1929">
        <f>((BF8/BE8)-1)*100</f>
        <v>-100</v>
      </c>
      <c r="BI8" s="2884"/>
      <c r="BJ8" s="1990"/>
      <c r="BK8" s="2147">
        <f>SUM(BK9:BK19)</f>
        <v>745029.25459999987</v>
      </c>
      <c r="BL8" s="2148">
        <f>SUM(BL9:BL19)</f>
        <v>0</v>
      </c>
      <c r="BM8" s="1882">
        <f>BL8-BK8</f>
        <v>-745029.25459999987</v>
      </c>
      <c r="BN8" s="1929">
        <f>((BL8/BK8)-1)*100</f>
        <v>-100</v>
      </c>
      <c r="BO8" s="2884"/>
      <c r="BP8" s="2351"/>
      <c r="BQ8" s="2147">
        <f>SUM(BQ9:BQ19)</f>
        <v>745029.25459999987</v>
      </c>
      <c r="BR8" s="2148">
        <f>SUM(BR9:BR19)</f>
        <v>0</v>
      </c>
      <c r="BS8" s="1882">
        <f>BR8-BQ8</f>
        <v>-745029.25459999987</v>
      </c>
      <c r="BT8" s="1929">
        <f>((BR8/BQ8)-1)*100</f>
        <v>-100</v>
      </c>
      <c r="BU8" s="2884"/>
      <c r="BW8" s="1921">
        <f t="shared" ref="BW8:BX19" si="0">C8+I8+O8+U8+AA8+AG8+AM8+AS8+AY8+BE8+BK8+BQ8</f>
        <v>8940351.0551999975</v>
      </c>
      <c r="BX8" s="1921">
        <f t="shared" si="0"/>
        <v>2292670.0699999998</v>
      </c>
    </row>
    <row r="9" spans="1:76" ht="15.75" x14ac:dyDescent="0.25">
      <c r="A9" s="2134">
        <v>11416</v>
      </c>
      <c r="B9" s="2206" t="s">
        <v>69</v>
      </c>
      <c r="C9" s="1756">
        <v>16088.355399999999</v>
      </c>
      <c r="D9" s="1757">
        <v>10917</v>
      </c>
      <c r="E9" s="2256">
        <f t="shared" ref="E9:E19" si="1">D9-C9</f>
        <v>-5171.3553999999986</v>
      </c>
      <c r="F9" s="2258">
        <f>((D9/C9)-1)*100</f>
        <v>-32.143468188177884</v>
      </c>
      <c r="G9" s="2210"/>
      <c r="H9" s="2364"/>
      <c r="I9" s="1756">
        <v>16088.355399999999</v>
      </c>
      <c r="J9" s="1757">
        <v>16905.150000000001</v>
      </c>
      <c r="K9" s="2256">
        <f t="shared" ref="K9:K19" si="2">J9-I9</f>
        <v>816.7946000000029</v>
      </c>
      <c r="L9" s="2257">
        <f>((J9/I9)-1)*100</f>
        <v>5.0769303616950312</v>
      </c>
      <c r="M9" s="2250"/>
      <c r="N9" s="2353"/>
      <c r="O9" s="1756">
        <v>16088.355399999999</v>
      </c>
      <c r="P9" s="1757">
        <f>VLOOKUP(A9,'[2]bALANCETE ORÇAMENTO'!$1:$1048576,7,0)</f>
        <v>19760.490000000002</v>
      </c>
      <c r="Q9" s="2256">
        <f t="shared" ref="Q9:Q19" si="3">P9-O9</f>
        <v>3672.134600000003</v>
      </c>
      <c r="R9" s="2257">
        <f>((P9/O9)-1)*100</f>
        <v>22.824797865914892</v>
      </c>
      <c r="S9" s="2210"/>
      <c r="T9" s="2353"/>
      <c r="U9" s="1756">
        <v>16088.355399999999</v>
      </c>
      <c r="V9" s="1757"/>
      <c r="W9" s="2256">
        <f t="shared" ref="W9:W19" si="4">V9-U9</f>
        <v>-16088.355399999999</v>
      </c>
      <c r="X9" s="2257">
        <f>((V9/U9)-1)*100</f>
        <v>-100</v>
      </c>
      <c r="Y9" s="2210"/>
      <c r="Z9" s="2353"/>
      <c r="AA9" s="1756">
        <v>16088.355399999999</v>
      </c>
      <c r="AB9" s="1757"/>
      <c r="AC9" s="2256">
        <f t="shared" ref="AC9:AC19" si="5">AB9-AA9</f>
        <v>-16088.355399999999</v>
      </c>
      <c r="AD9" s="2257">
        <f>((AB9/AA9)-1)*100</f>
        <v>-100</v>
      </c>
      <c r="AE9" s="2210"/>
      <c r="AF9" s="2353"/>
      <c r="AG9" s="1756">
        <v>16088.355399999999</v>
      </c>
      <c r="AH9" s="1757"/>
      <c r="AI9" s="2256">
        <f t="shared" ref="AI9:AI19" si="6">AH9-AG9</f>
        <v>-16088.355399999999</v>
      </c>
      <c r="AJ9" s="2257">
        <f>((AH9/AG9)-1)*100</f>
        <v>-100</v>
      </c>
      <c r="AK9" s="2210"/>
      <c r="AL9" s="2353"/>
      <c r="AM9" s="1756">
        <v>16088.355399999999</v>
      </c>
      <c r="AN9" s="1757"/>
      <c r="AO9" s="2256">
        <f t="shared" ref="AO9:AO19" si="7">AN9-AM9</f>
        <v>-16088.355399999999</v>
      </c>
      <c r="AP9" s="2257">
        <f>((AN9/AM9)-1)*100</f>
        <v>-100</v>
      </c>
      <c r="AQ9" s="2210"/>
      <c r="AR9" s="2353"/>
      <c r="AS9" s="1756">
        <v>16088.355399999999</v>
      </c>
      <c r="AT9" s="1757"/>
      <c r="AU9" s="2256">
        <f t="shared" ref="AU9:AU19" si="8">AT9-AS9</f>
        <v>-16088.355399999999</v>
      </c>
      <c r="AV9" s="2257">
        <f>((AT9/AS9)-1)*100</f>
        <v>-100</v>
      </c>
      <c r="AW9" s="2210"/>
      <c r="AX9" s="2353"/>
      <c r="AY9" s="1756">
        <v>16088.355399999999</v>
      </c>
      <c r="AZ9" s="1757"/>
      <c r="BA9" s="2256">
        <f t="shared" ref="BA9:BA19" si="9">AZ9-AY9</f>
        <v>-16088.355399999999</v>
      </c>
      <c r="BB9" s="2257">
        <f>((AZ9/AY9)-1)*100</f>
        <v>-100</v>
      </c>
      <c r="BC9" s="2210"/>
      <c r="BD9" s="2353"/>
      <c r="BE9" s="1756">
        <v>16088.355399999999</v>
      </c>
      <c r="BF9" s="1757"/>
      <c r="BG9" s="2256">
        <f t="shared" ref="BG9:BG19" si="10">BF9-BE9</f>
        <v>-16088.355399999999</v>
      </c>
      <c r="BH9" s="2257">
        <f>((BF9/BE9)-1)*100</f>
        <v>-100</v>
      </c>
      <c r="BI9" s="2210"/>
      <c r="BJ9" s="2353"/>
      <c r="BK9" s="1756">
        <v>16088.355399999999</v>
      </c>
      <c r="BL9" s="1757"/>
      <c r="BM9" s="2256">
        <f t="shared" ref="BM9:BM19" si="11">BL9-BK9</f>
        <v>-16088.355399999999</v>
      </c>
      <c r="BN9" s="2257">
        <f>((BL9/BK9)-1)*100</f>
        <v>-100</v>
      </c>
      <c r="BO9" s="2210"/>
      <c r="BP9" s="2353"/>
      <c r="BQ9" s="1756">
        <v>16088.355399999999</v>
      </c>
      <c r="BR9" s="1757"/>
      <c r="BS9" s="2256">
        <f t="shared" ref="BS9:BS19" si="12">BR9-BQ9</f>
        <v>-16088.355399999999</v>
      </c>
      <c r="BT9" s="2257">
        <f>((BR9/BQ9)-1)*100</f>
        <v>-100</v>
      </c>
      <c r="BU9" s="2210"/>
      <c r="BW9" s="2282">
        <f t="shared" si="0"/>
        <v>193060.26479999998</v>
      </c>
      <c r="BX9" s="2282">
        <f t="shared" si="0"/>
        <v>47582.64</v>
      </c>
    </row>
    <row r="10" spans="1:76" ht="15.75" x14ac:dyDescent="0.25">
      <c r="A10" s="2138">
        <v>32497</v>
      </c>
      <c r="B10" s="2225" t="s">
        <v>202</v>
      </c>
      <c r="C10" s="2255">
        <v>110654</v>
      </c>
      <c r="D10" s="2256">
        <v>93734.77</v>
      </c>
      <c r="E10" s="2256">
        <f t="shared" si="1"/>
        <v>-16919.229999999996</v>
      </c>
      <c r="F10" s="2258">
        <f>((D10/C10)-1)*100</f>
        <v>-15.290210927756787</v>
      </c>
      <c r="G10" s="1767"/>
      <c r="H10" s="2364"/>
      <c r="I10" s="2255">
        <v>110654</v>
      </c>
      <c r="J10" s="2256">
        <v>119448.66</v>
      </c>
      <c r="K10" s="2256">
        <f t="shared" si="2"/>
        <v>8794.6600000000035</v>
      </c>
      <c r="L10" s="2257">
        <f t="shared" ref="L10:L19" si="13">((J10/I10)-1)*100</f>
        <v>7.9478916261499943</v>
      </c>
      <c r="M10" s="1767"/>
      <c r="N10" s="2353"/>
      <c r="O10" s="2255">
        <v>110654</v>
      </c>
      <c r="P10" s="2256">
        <f>VLOOKUP(A10,'[2]bALANCETE ORÇAMENTO'!$1:$1048576,7,0)</f>
        <v>119786.53</v>
      </c>
      <c r="Q10" s="2256">
        <f t="shared" si="3"/>
        <v>9132.5299999999988</v>
      </c>
      <c r="R10" s="2257">
        <f t="shared" ref="R10:R19" si="14">((P10/O10)-1)*100</f>
        <v>8.2532307914761294</v>
      </c>
      <c r="S10" s="1767"/>
      <c r="T10" s="2352"/>
      <c r="U10" s="2255">
        <v>110654</v>
      </c>
      <c r="V10" s="2256"/>
      <c r="W10" s="2256">
        <f t="shared" si="4"/>
        <v>-110654</v>
      </c>
      <c r="X10" s="2257">
        <f t="shared" ref="X10:X19" si="15">((V10/U10)-1)*100</f>
        <v>-100</v>
      </c>
      <c r="Y10" s="1767"/>
      <c r="Z10" s="2352"/>
      <c r="AA10" s="2255">
        <v>110654</v>
      </c>
      <c r="AB10" s="2256"/>
      <c r="AC10" s="2256">
        <f t="shared" si="5"/>
        <v>-110654</v>
      </c>
      <c r="AD10" s="2257">
        <f t="shared" ref="AD10:AD19" si="16">((AB10/AA10)-1)*100</f>
        <v>-100</v>
      </c>
      <c r="AE10" s="1767"/>
      <c r="AF10" s="2352"/>
      <c r="AG10" s="2255">
        <v>110654</v>
      </c>
      <c r="AH10" s="2256"/>
      <c r="AI10" s="2256">
        <f t="shared" si="6"/>
        <v>-110654</v>
      </c>
      <c r="AJ10" s="2257">
        <f t="shared" ref="AJ10:AJ19" si="17">((AH10/AG10)-1)*100</f>
        <v>-100</v>
      </c>
      <c r="AK10" s="1767"/>
      <c r="AL10" s="2352"/>
      <c r="AM10" s="2255">
        <v>110654</v>
      </c>
      <c r="AN10" s="2256"/>
      <c r="AO10" s="2256">
        <f t="shared" si="7"/>
        <v>-110654</v>
      </c>
      <c r="AP10" s="2257">
        <f t="shared" ref="AP10:AP19" si="18">((AN10/AM10)-1)*100</f>
        <v>-100</v>
      </c>
      <c r="AQ10" s="1767"/>
      <c r="AR10" s="2352"/>
      <c r="AS10" s="2255">
        <v>110654</v>
      </c>
      <c r="AT10" s="2256"/>
      <c r="AU10" s="2256">
        <f t="shared" si="8"/>
        <v>-110654</v>
      </c>
      <c r="AV10" s="2257">
        <f t="shared" ref="AV10:AV19" si="19">((AT10/AS10)-1)*100</f>
        <v>-100</v>
      </c>
      <c r="AW10" s="1767"/>
      <c r="AX10" s="2352"/>
      <c r="AY10" s="2255">
        <v>110654</v>
      </c>
      <c r="AZ10" s="2256"/>
      <c r="BA10" s="2256">
        <f t="shared" si="9"/>
        <v>-110654</v>
      </c>
      <c r="BB10" s="2257">
        <f t="shared" ref="BB10:BB19" si="20">((AZ10/AY10)-1)*100</f>
        <v>-100</v>
      </c>
      <c r="BC10" s="1767"/>
      <c r="BD10" s="2352"/>
      <c r="BE10" s="2255">
        <v>110654</v>
      </c>
      <c r="BF10" s="2256"/>
      <c r="BG10" s="2256">
        <f t="shared" si="10"/>
        <v>-110654</v>
      </c>
      <c r="BH10" s="2257">
        <f t="shared" ref="BH10:BH19" si="21">((BF10/BE10)-1)*100</f>
        <v>-100</v>
      </c>
      <c r="BI10" s="1767"/>
      <c r="BJ10" s="2352"/>
      <c r="BK10" s="2255">
        <v>110654</v>
      </c>
      <c r="BL10" s="2256"/>
      <c r="BM10" s="2256">
        <f t="shared" si="11"/>
        <v>-110654</v>
      </c>
      <c r="BN10" s="2257">
        <f t="shared" ref="BN10:BN19" si="22">((BL10/BK10)-1)*100</f>
        <v>-100</v>
      </c>
      <c r="BO10" s="1767"/>
      <c r="BP10" s="2352"/>
      <c r="BQ10" s="2255">
        <v>110654</v>
      </c>
      <c r="BR10" s="2256"/>
      <c r="BS10" s="2256">
        <f t="shared" si="12"/>
        <v>-110654</v>
      </c>
      <c r="BT10" s="2257">
        <f t="shared" ref="BT10:BT19" si="23">((BR10/BQ10)-1)*100</f>
        <v>-100</v>
      </c>
      <c r="BU10" s="1767"/>
      <c r="BW10" s="2306">
        <f t="shared" si="0"/>
        <v>1327848</v>
      </c>
      <c r="BX10" s="2306">
        <f t="shared" si="0"/>
        <v>332969.95999999996</v>
      </c>
    </row>
    <row r="11" spans="1:76" ht="15.75" x14ac:dyDescent="0.25">
      <c r="A11" s="2135">
        <v>12338</v>
      </c>
      <c r="B11" s="2214" t="s">
        <v>199</v>
      </c>
      <c r="C11" s="2227">
        <v>343225.34299999999</v>
      </c>
      <c r="D11" s="1766">
        <v>339228.49</v>
      </c>
      <c r="E11" s="1766">
        <f t="shared" si="1"/>
        <v>-3996.8530000000028</v>
      </c>
      <c r="F11" s="2414">
        <f t="shared" ref="F11:F19" si="24">((D11/C11)-1)*100</f>
        <v>-1.1644982171377771</v>
      </c>
      <c r="G11" s="1767"/>
      <c r="H11" s="2364"/>
      <c r="I11" s="2227">
        <v>343225.34299999999</v>
      </c>
      <c r="J11" s="2268">
        <v>290219.31</v>
      </c>
      <c r="K11" s="2268">
        <f t="shared" si="2"/>
        <v>-53006.032999999996</v>
      </c>
      <c r="L11" s="2319">
        <f>((J11/I11)-1)*100</f>
        <v>-15.443507911360733</v>
      </c>
      <c r="M11" s="1767"/>
      <c r="N11" s="2352"/>
      <c r="O11" s="2267">
        <v>343225.34299999999</v>
      </c>
      <c r="P11" s="1766">
        <f>VLOOKUP(A11,'[2]bALANCETE ORÇAMENTO'!$1:$1048576,7,0)</f>
        <v>424628.7</v>
      </c>
      <c r="Q11" s="2342">
        <f t="shared" si="3"/>
        <v>81403.357000000018</v>
      </c>
      <c r="R11" s="2319">
        <f t="shared" si="14"/>
        <v>23.717175511716214</v>
      </c>
      <c r="S11" s="1767"/>
      <c r="T11" s="2352"/>
      <c r="U11" s="2267">
        <v>343225.34299999999</v>
      </c>
      <c r="V11" s="2268"/>
      <c r="W11" s="1766">
        <f t="shared" si="4"/>
        <v>-343225.34299999999</v>
      </c>
      <c r="X11" s="1768">
        <f t="shared" si="15"/>
        <v>-100</v>
      </c>
      <c r="Y11" s="1767"/>
      <c r="Z11" s="2352"/>
      <c r="AA11" s="2267">
        <v>343225.34299999999</v>
      </c>
      <c r="AB11" s="1766"/>
      <c r="AC11" s="1766">
        <f t="shared" si="5"/>
        <v>-343225.34299999999</v>
      </c>
      <c r="AD11" s="2319">
        <f t="shared" si="16"/>
        <v>-100</v>
      </c>
      <c r="AE11" s="1767"/>
      <c r="AF11" s="2352"/>
      <c r="AG11" s="2227">
        <v>343225.34299999999</v>
      </c>
      <c r="AH11" s="1766"/>
      <c r="AI11" s="1766">
        <f t="shared" si="6"/>
        <v>-343225.34299999999</v>
      </c>
      <c r="AJ11" s="1768">
        <f t="shared" si="17"/>
        <v>-100</v>
      </c>
      <c r="AK11" s="1767"/>
      <c r="AL11" s="2352"/>
      <c r="AM11" s="2267">
        <v>343225.34299999999</v>
      </c>
      <c r="AN11" s="2268"/>
      <c r="AO11" s="1766">
        <f t="shared" si="7"/>
        <v>-343225.34299999999</v>
      </c>
      <c r="AP11" s="1768">
        <f t="shared" si="18"/>
        <v>-100</v>
      </c>
      <c r="AQ11" s="1767"/>
      <c r="AR11" s="2352"/>
      <c r="AS11" s="2267">
        <v>343225.34299999999</v>
      </c>
      <c r="AT11" s="2268"/>
      <c r="AU11" s="2268">
        <f t="shared" si="8"/>
        <v>-343225.34299999999</v>
      </c>
      <c r="AV11" s="2319">
        <f t="shared" si="19"/>
        <v>-100</v>
      </c>
      <c r="AW11" s="1767"/>
      <c r="AX11" s="2353"/>
      <c r="AY11" s="2227">
        <v>343225.34299999999</v>
      </c>
      <c r="AZ11" s="1766"/>
      <c r="BA11" s="1766">
        <f t="shared" si="9"/>
        <v>-343225.34299999999</v>
      </c>
      <c r="BB11" s="1768">
        <f t="shared" si="20"/>
        <v>-100</v>
      </c>
      <c r="BC11" s="1767"/>
      <c r="BD11" s="2352"/>
      <c r="BE11" s="2267">
        <v>343225.34299999999</v>
      </c>
      <c r="BF11" s="2268"/>
      <c r="BG11" s="1766">
        <f t="shared" si="10"/>
        <v>-343225.34299999999</v>
      </c>
      <c r="BH11" s="1768">
        <f t="shared" si="21"/>
        <v>-100</v>
      </c>
      <c r="BI11" s="1767"/>
      <c r="BJ11" s="2353"/>
      <c r="BK11" s="2267">
        <v>343225.34299999999</v>
      </c>
      <c r="BL11" s="1766"/>
      <c r="BM11" s="2268">
        <f t="shared" si="11"/>
        <v>-343225.34299999999</v>
      </c>
      <c r="BN11" s="1768">
        <f t="shared" si="22"/>
        <v>-100</v>
      </c>
      <c r="BO11" s="1767"/>
      <c r="BP11" s="2352"/>
      <c r="BQ11" s="2267">
        <v>343225.34299999999</v>
      </c>
      <c r="BR11" s="2268"/>
      <c r="BS11" s="2268">
        <f t="shared" si="12"/>
        <v>-343225.34299999999</v>
      </c>
      <c r="BT11" s="2319">
        <f t="shared" si="23"/>
        <v>-100</v>
      </c>
      <c r="BU11" s="1767"/>
      <c r="BW11" s="2306">
        <f t="shared" si="0"/>
        <v>4118704.115999999</v>
      </c>
      <c r="BX11" s="2354">
        <f t="shared" si="0"/>
        <v>1054076.5</v>
      </c>
    </row>
    <row r="12" spans="1:76" ht="15.75" x14ac:dyDescent="0.25">
      <c r="A12" s="2141">
        <v>12881</v>
      </c>
      <c r="B12" s="2219" t="s">
        <v>70</v>
      </c>
      <c r="C12" s="2256">
        <v>392.41800000000001</v>
      </c>
      <c r="D12" s="2256">
        <v>33.33</v>
      </c>
      <c r="E12" s="2258">
        <f t="shared" si="1"/>
        <v>-359.08800000000002</v>
      </c>
      <c r="F12" s="2363">
        <f t="shared" si="24"/>
        <v>-91.506505817775945</v>
      </c>
      <c r="G12" s="2210"/>
      <c r="H12" s="2364"/>
      <c r="I12" s="2316">
        <v>392.41800000000001</v>
      </c>
      <c r="J12" s="1766">
        <v>854.6</v>
      </c>
      <c r="K12" s="1766">
        <f t="shared" si="2"/>
        <v>462.18200000000002</v>
      </c>
      <c r="L12" s="1768">
        <f t="shared" si="13"/>
        <v>117.77798164202457</v>
      </c>
      <c r="M12" s="2210"/>
      <c r="N12" s="2355"/>
      <c r="O12" s="2227">
        <v>392.41800000000001</v>
      </c>
      <c r="P12" s="2256">
        <f>VLOOKUP(A12,'[2]bALANCETE ORÇAMENTO'!$1:$1048576,7,0)</f>
        <v>1312.15</v>
      </c>
      <c r="Q12" s="1766">
        <f t="shared" si="3"/>
        <v>919.73200000000008</v>
      </c>
      <c r="R12" s="1768">
        <f t="shared" si="14"/>
        <v>234.37558929508842</v>
      </c>
      <c r="S12" s="2210"/>
      <c r="T12" s="2356"/>
      <c r="U12" s="2227">
        <v>392.41800000000001</v>
      </c>
      <c r="V12" s="1766"/>
      <c r="W12" s="2256">
        <f t="shared" si="4"/>
        <v>-392.41800000000001</v>
      </c>
      <c r="X12" s="2357">
        <f t="shared" si="15"/>
        <v>-100</v>
      </c>
      <c r="Y12" s="2210"/>
      <c r="Z12" s="2356"/>
      <c r="AA12" s="2227">
        <v>392.41800000000001</v>
      </c>
      <c r="AB12" s="2256"/>
      <c r="AC12" s="2256">
        <f t="shared" si="5"/>
        <v>-392.41800000000001</v>
      </c>
      <c r="AD12" s="1768">
        <f t="shared" si="16"/>
        <v>-100</v>
      </c>
      <c r="AE12" s="2210"/>
      <c r="AF12" s="2356"/>
      <c r="AG12" s="2358">
        <v>392.41800000000001</v>
      </c>
      <c r="AH12" s="2256"/>
      <c r="AI12" s="2256">
        <f t="shared" si="6"/>
        <v>-392.41800000000001</v>
      </c>
      <c r="AJ12" s="2359">
        <f t="shared" si="17"/>
        <v>-100</v>
      </c>
      <c r="AK12" s="2210"/>
      <c r="AL12" s="2355"/>
      <c r="AM12" s="2227">
        <v>392.41800000000001</v>
      </c>
      <c r="AN12" s="1766"/>
      <c r="AO12" s="2268">
        <f t="shared" si="7"/>
        <v>-392.41800000000001</v>
      </c>
      <c r="AP12" s="2359">
        <f t="shared" si="18"/>
        <v>-100</v>
      </c>
      <c r="AQ12" s="2210"/>
      <c r="AR12" s="2356"/>
      <c r="AS12" s="2227">
        <v>392.41800000000001</v>
      </c>
      <c r="AT12" s="1766"/>
      <c r="AU12" s="1766">
        <f t="shared" si="8"/>
        <v>-392.41800000000001</v>
      </c>
      <c r="AV12" s="1768">
        <f t="shared" si="19"/>
        <v>-100</v>
      </c>
      <c r="AW12" s="2210"/>
      <c r="AX12" s="2355"/>
      <c r="AY12" s="2358">
        <v>392.41800000000001</v>
      </c>
      <c r="AZ12" s="2256"/>
      <c r="BA12" s="2256">
        <f t="shared" si="9"/>
        <v>-392.41800000000001</v>
      </c>
      <c r="BB12" s="2357">
        <f t="shared" si="20"/>
        <v>-100</v>
      </c>
      <c r="BC12" s="2210"/>
      <c r="BD12" s="2356"/>
      <c r="BE12" s="2227">
        <v>392.41800000000001</v>
      </c>
      <c r="BF12" s="1766"/>
      <c r="BG12" s="2256">
        <f t="shared" si="10"/>
        <v>-392.41800000000001</v>
      </c>
      <c r="BH12" s="2359">
        <f t="shared" si="21"/>
        <v>-100</v>
      </c>
      <c r="BI12" s="2210"/>
      <c r="BJ12" s="2355"/>
      <c r="BK12" s="2227">
        <v>392.41800000000001</v>
      </c>
      <c r="BL12" s="2256"/>
      <c r="BM12" s="1766">
        <f t="shared" si="11"/>
        <v>-392.41800000000001</v>
      </c>
      <c r="BN12" s="2359">
        <f t="shared" si="22"/>
        <v>-100</v>
      </c>
      <c r="BO12" s="2210"/>
      <c r="BP12" s="2356"/>
      <c r="BQ12" s="2227">
        <v>392.41800000000001</v>
      </c>
      <c r="BR12" s="1766"/>
      <c r="BS12" s="1766">
        <f t="shared" si="12"/>
        <v>-392.41800000000001</v>
      </c>
      <c r="BT12" s="1768">
        <f t="shared" si="23"/>
        <v>-100</v>
      </c>
      <c r="BU12" s="2210"/>
      <c r="BW12" s="2354">
        <f t="shared" si="0"/>
        <v>4709.0160000000005</v>
      </c>
      <c r="BX12" s="2306">
        <f t="shared" si="0"/>
        <v>2200.08</v>
      </c>
    </row>
    <row r="13" spans="1:76" ht="15.75" x14ac:dyDescent="0.25">
      <c r="A13" s="2138">
        <v>54164</v>
      </c>
      <c r="B13" s="2225" t="s">
        <v>3779</v>
      </c>
      <c r="C13" s="2255">
        <v>13847.548000000001</v>
      </c>
      <c r="D13" s="2256">
        <v>11895</v>
      </c>
      <c r="E13" s="2256">
        <f t="shared" si="1"/>
        <v>-1952.5480000000007</v>
      </c>
      <c r="F13" s="2258">
        <f t="shared" si="24"/>
        <v>-14.100315810423625</v>
      </c>
      <c r="G13" s="2250"/>
      <c r="H13" s="2353"/>
      <c r="I13" s="2255">
        <v>13847.548000000001</v>
      </c>
      <c r="J13" s="2256">
        <v>11895</v>
      </c>
      <c r="K13" s="2256">
        <f t="shared" si="2"/>
        <v>-1952.5480000000007</v>
      </c>
      <c r="L13" s="1768">
        <f t="shared" si="13"/>
        <v>-14.100315810423625</v>
      </c>
      <c r="M13" s="2250"/>
      <c r="N13" s="2352"/>
      <c r="O13" s="2255">
        <v>13847.548000000001</v>
      </c>
      <c r="P13" s="2256">
        <f>VLOOKUP(A13,'[2]bALANCETE ORÇAMENTO'!$1:$1048576,7,0)</f>
        <v>11895</v>
      </c>
      <c r="Q13" s="2256">
        <f t="shared" si="3"/>
        <v>-1952.5480000000007</v>
      </c>
      <c r="R13" s="2257">
        <f t="shared" si="14"/>
        <v>-14.100315810423625</v>
      </c>
      <c r="S13" s="2250"/>
      <c r="T13" s="2352"/>
      <c r="U13" s="2255">
        <v>13847.548000000001</v>
      </c>
      <c r="V13" s="2256"/>
      <c r="W13" s="2256">
        <f t="shared" si="4"/>
        <v>-13847.548000000001</v>
      </c>
      <c r="X13" s="1768">
        <f t="shared" si="15"/>
        <v>-100</v>
      </c>
      <c r="Y13" s="2250"/>
      <c r="Z13" s="2353"/>
      <c r="AA13" s="2255">
        <v>13847.548000000001</v>
      </c>
      <c r="AB13" s="2256"/>
      <c r="AC13" s="2256">
        <f t="shared" si="5"/>
        <v>-13847.548000000001</v>
      </c>
      <c r="AD13" s="2257">
        <f t="shared" si="16"/>
        <v>-100</v>
      </c>
      <c r="AE13" s="2250"/>
      <c r="AF13" s="2353"/>
      <c r="AG13" s="2255">
        <v>13847.548000000001</v>
      </c>
      <c r="AH13" s="2256"/>
      <c r="AI13" s="2256">
        <f t="shared" si="6"/>
        <v>-13847.548000000001</v>
      </c>
      <c r="AJ13" s="2257">
        <f t="shared" si="17"/>
        <v>-100</v>
      </c>
      <c r="AK13" s="2250"/>
      <c r="AL13" s="2353"/>
      <c r="AM13" s="2255">
        <v>13847.548000000001</v>
      </c>
      <c r="AN13" s="2256"/>
      <c r="AO13" s="1766">
        <f t="shared" si="7"/>
        <v>-13847.548000000001</v>
      </c>
      <c r="AP13" s="2257">
        <f t="shared" si="18"/>
        <v>-100</v>
      </c>
      <c r="AQ13" s="2250"/>
      <c r="AR13" s="2353"/>
      <c r="AS13" s="2255">
        <v>13847.548000000001</v>
      </c>
      <c r="AT13" s="2256"/>
      <c r="AU13" s="2256">
        <f t="shared" si="8"/>
        <v>-13847.548000000001</v>
      </c>
      <c r="AV13" s="2257">
        <f t="shared" si="19"/>
        <v>-100</v>
      </c>
      <c r="AW13" s="2250"/>
      <c r="AX13" s="2353"/>
      <c r="AY13" s="2255">
        <v>13847.548000000001</v>
      </c>
      <c r="AZ13" s="2256"/>
      <c r="BA13" s="2256">
        <f t="shared" si="9"/>
        <v>-13847.548000000001</v>
      </c>
      <c r="BB13" s="1768">
        <f t="shared" si="20"/>
        <v>-100</v>
      </c>
      <c r="BC13" s="2250"/>
      <c r="BD13" s="2353"/>
      <c r="BE13" s="2255">
        <v>13847.548000000001</v>
      </c>
      <c r="BF13" s="2256"/>
      <c r="BG13" s="2256">
        <f t="shared" si="10"/>
        <v>-13847.548000000001</v>
      </c>
      <c r="BH13" s="2257">
        <f t="shared" si="21"/>
        <v>-100</v>
      </c>
      <c r="BI13" s="2250"/>
      <c r="BJ13" s="2353"/>
      <c r="BK13" s="2255">
        <v>13847.548000000001</v>
      </c>
      <c r="BL13" s="2256"/>
      <c r="BM13" s="2256">
        <f t="shared" si="11"/>
        <v>-13847.548000000001</v>
      </c>
      <c r="BN13" s="2257">
        <f t="shared" si="22"/>
        <v>-100</v>
      </c>
      <c r="BO13" s="2250"/>
      <c r="BP13" s="2352"/>
      <c r="BQ13" s="2255">
        <v>13847.548000000001</v>
      </c>
      <c r="BR13" s="2256"/>
      <c r="BS13" s="1766">
        <f t="shared" si="12"/>
        <v>-13847.548000000001</v>
      </c>
      <c r="BT13" s="1768">
        <f t="shared" si="23"/>
        <v>-100</v>
      </c>
      <c r="BU13" s="2250"/>
      <c r="BW13" s="2360">
        <f t="shared" si="0"/>
        <v>166170.576</v>
      </c>
      <c r="BX13" s="2354">
        <f t="shared" si="0"/>
        <v>35685</v>
      </c>
    </row>
    <row r="14" spans="1:76" ht="15.75" x14ac:dyDescent="0.25">
      <c r="A14" s="2138">
        <v>12333</v>
      </c>
      <c r="B14" s="2225" t="s">
        <v>75</v>
      </c>
      <c r="C14" s="2255">
        <v>42271.244599999998</v>
      </c>
      <c r="D14" s="2256">
        <v>37481</v>
      </c>
      <c r="E14" s="2256">
        <f t="shared" si="1"/>
        <v>-4790.2445999999982</v>
      </c>
      <c r="F14" s="2258">
        <f t="shared" si="24"/>
        <v>-11.332158883251807</v>
      </c>
      <c r="G14" s="2250"/>
      <c r="H14" s="2364"/>
      <c r="I14" s="2255">
        <v>42271.244599999998</v>
      </c>
      <c r="J14" s="2256">
        <v>44306.23</v>
      </c>
      <c r="K14" s="2256">
        <f t="shared" si="2"/>
        <v>2034.985400000005</v>
      </c>
      <c r="L14" s="2257">
        <f t="shared" si="13"/>
        <v>4.8141128070783301</v>
      </c>
      <c r="M14" s="2250"/>
      <c r="N14" s="2353"/>
      <c r="O14" s="2255">
        <v>42271.244599999998</v>
      </c>
      <c r="P14" s="2256">
        <f>VLOOKUP(A14,'[2]bALANCETE ORÇAMENTO'!$1:$1048576,7,0)</f>
        <v>58786.67</v>
      </c>
      <c r="Q14" s="2343">
        <f t="shared" si="3"/>
        <v>16515.4254</v>
      </c>
      <c r="R14" s="2257">
        <f t="shared" si="14"/>
        <v>39.070118602564172</v>
      </c>
      <c r="S14" s="2250"/>
      <c r="T14" s="2353"/>
      <c r="U14" s="2255">
        <v>42271.244599999998</v>
      </c>
      <c r="V14" s="2256"/>
      <c r="W14" s="2256">
        <f t="shared" si="4"/>
        <v>-42271.244599999998</v>
      </c>
      <c r="X14" s="2257">
        <f t="shared" si="15"/>
        <v>-100</v>
      </c>
      <c r="Y14" s="2250"/>
      <c r="Z14" s="2352"/>
      <c r="AA14" s="2255">
        <v>42271.244599999998</v>
      </c>
      <c r="AB14" s="2256"/>
      <c r="AC14" s="2256">
        <f t="shared" si="5"/>
        <v>-42271.244599999998</v>
      </c>
      <c r="AD14" s="2257">
        <f t="shared" si="16"/>
        <v>-100</v>
      </c>
      <c r="AE14" s="2250"/>
      <c r="AF14" s="2352"/>
      <c r="AG14" s="2255">
        <v>42271.244599999998</v>
      </c>
      <c r="AH14" s="2256"/>
      <c r="AI14" s="2256">
        <f t="shared" si="6"/>
        <v>-42271.244599999998</v>
      </c>
      <c r="AJ14" s="2257">
        <f t="shared" si="17"/>
        <v>-100</v>
      </c>
      <c r="AK14" s="2250"/>
      <c r="AL14" s="2352"/>
      <c r="AM14" s="2255">
        <v>42271.244599999998</v>
      </c>
      <c r="AN14" s="2256"/>
      <c r="AO14" s="2256">
        <f t="shared" si="7"/>
        <v>-42271.244599999998</v>
      </c>
      <c r="AP14" s="2257">
        <f t="shared" si="18"/>
        <v>-100</v>
      </c>
      <c r="AQ14" s="2250"/>
      <c r="AR14" s="2352"/>
      <c r="AS14" s="2255">
        <v>42271.244599999998</v>
      </c>
      <c r="AT14" s="2256"/>
      <c r="AU14" s="2256">
        <f t="shared" si="8"/>
        <v>-42271.244599999998</v>
      </c>
      <c r="AV14" s="2257">
        <f t="shared" si="19"/>
        <v>-100</v>
      </c>
      <c r="AW14" s="2250"/>
      <c r="AX14" s="2352"/>
      <c r="AY14" s="2255">
        <v>42271.244599999998</v>
      </c>
      <c r="AZ14" s="2256"/>
      <c r="BA14" s="2256">
        <f t="shared" si="9"/>
        <v>-42271.244599999998</v>
      </c>
      <c r="BB14" s="2257">
        <f t="shared" si="20"/>
        <v>-100</v>
      </c>
      <c r="BC14" s="2250"/>
      <c r="BD14" s="2352"/>
      <c r="BE14" s="2255">
        <v>42271.244599999998</v>
      </c>
      <c r="BF14" s="2256"/>
      <c r="BG14" s="2256">
        <f t="shared" si="10"/>
        <v>-42271.244599999998</v>
      </c>
      <c r="BH14" s="2257">
        <f t="shared" si="21"/>
        <v>-100</v>
      </c>
      <c r="BI14" s="2250"/>
      <c r="BJ14" s="2352"/>
      <c r="BK14" s="2255">
        <v>42271.244599999998</v>
      </c>
      <c r="BL14" s="2256"/>
      <c r="BM14" s="2256">
        <f t="shared" si="11"/>
        <v>-42271.244599999998</v>
      </c>
      <c r="BN14" s="2257">
        <f t="shared" si="22"/>
        <v>-100</v>
      </c>
      <c r="BO14" s="2250"/>
      <c r="BP14" s="2352"/>
      <c r="BQ14" s="2255">
        <v>42271.244599999998</v>
      </c>
      <c r="BR14" s="2256"/>
      <c r="BS14" s="2256">
        <f t="shared" si="12"/>
        <v>-42271.244599999998</v>
      </c>
      <c r="BT14" s="2257">
        <f t="shared" si="23"/>
        <v>-100</v>
      </c>
      <c r="BU14" s="2250"/>
      <c r="BW14" s="2360">
        <f t="shared" si="0"/>
        <v>507254.93519999989</v>
      </c>
      <c r="BX14" s="2306">
        <f t="shared" si="0"/>
        <v>140573.90000000002</v>
      </c>
    </row>
    <row r="15" spans="1:76" ht="15.75" x14ac:dyDescent="0.25">
      <c r="A15" s="2138">
        <v>12331</v>
      </c>
      <c r="B15" s="2225" t="s">
        <v>76</v>
      </c>
      <c r="C15" s="2255">
        <v>179045.315</v>
      </c>
      <c r="D15" s="2256">
        <v>165193</v>
      </c>
      <c r="E15" s="2256">
        <f t="shared" si="1"/>
        <v>-13852.315000000002</v>
      </c>
      <c r="F15" s="2258">
        <f t="shared" si="24"/>
        <v>-7.7367648519594105</v>
      </c>
      <c r="G15" s="1767"/>
      <c r="H15" s="2364"/>
      <c r="I15" s="2255">
        <v>179045.315</v>
      </c>
      <c r="J15" s="2256">
        <v>153821.09</v>
      </c>
      <c r="K15" s="2256">
        <f t="shared" si="2"/>
        <v>-25224.225000000006</v>
      </c>
      <c r="L15" s="2257">
        <f>((J15/I15)-1)*100</f>
        <v>-14.088179296956193</v>
      </c>
      <c r="M15" s="1767"/>
      <c r="N15" s="2352"/>
      <c r="O15" s="2255">
        <v>179045.315</v>
      </c>
      <c r="P15" s="2256">
        <f>VLOOKUP(A15,'[2]bALANCETE ORÇAMENTO'!$1:$1048576,7,0)</f>
        <v>174158.17</v>
      </c>
      <c r="Q15" s="2256">
        <f t="shared" si="3"/>
        <v>-4887.1449999999895</v>
      </c>
      <c r="R15" s="2257">
        <f t="shared" si="14"/>
        <v>-2.7295575983096731</v>
      </c>
      <c r="S15" s="1767"/>
      <c r="T15" s="2352"/>
      <c r="U15" s="2255">
        <v>179045.315</v>
      </c>
      <c r="V15" s="2256"/>
      <c r="W15" s="2256">
        <f t="shared" si="4"/>
        <v>-179045.315</v>
      </c>
      <c r="X15" s="2257">
        <f t="shared" si="15"/>
        <v>-100</v>
      </c>
      <c r="Y15" s="1767"/>
      <c r="Z15" s="2352"/>
      <c r="AA15" s="2255">
        <v>179045.315</v>
      </c>
      <c r="AB15" s="2256"/>
      <c r="AC15" s="2256">
        <f t="shared" si="5"/>
        <v>-179045.315</v>
      </c>
      <c r="AD15" s="2257">
        <f t="shared" si="16"/>
        <v>-100</v>
      </c>
      <c r="AE15" s="1767"/>
      <c r="AF15" s="2352"/>
      <c r="AG15" s="2255">
        <v>179045.315</v>
      </c>
      <c r="AH15" s="2256"/>
      <c r="AI15" s="2256">
        <f t="shared" si="6"/>
        <v>-179045.315</v>
      </c>
      <c r="AJ15" s="2257">
        <f t="shared" si="17"/>
        <v>-100</v>
      </c>
      <c r="AK15" s="1767"/>
      <c r="AL15" s="2352"/>
      <c r="AM15" s="2255">
        <v>179045.315</v>
      </c>
      <c r="AN15" s="2256"/>
      <c r="AO15" s="2256">
        <f t="shared" si="7"/>
        <v>-179045.315</v>
      </c>
      <c r="AP15" s="2257">
        <f t="shared" si="18"/>
        <v>-100</v>
      </c>
      <c r="AQ15" s="1767"/>
      <c r="AR15" s="2352"/>
      <c r="AS15" s="2255">
        <v>179045.315</v>
      </c>
      <c r="AT15" s="2256"/>
      <c r="AU15" s="2256">
        <f t="shared" si="8"/>
        <v>-179045.315</v>
      </c>
      <c r="AV15" s="2257">
        <f t="shared" si="19"/>
        <v>-100</v>
      </c>
      <c r="AW15" s="1767"/>
      <c r="AX15" s="2352"/>
      <c r="AY15" s="2255">
        <v>179045.315</v>
      </c>
      <c r="AZ15" s="2256"/>
      <c r="BA15" s="2256">
        <f t="shared" si="9"/>
        <v>-179045.315</v>
      </c>
      <c r="BB15" s="2257">
        <f t="shared" si="20"/>
        <v>-100</v>
      </c>
      <c r="BC15" s="1767"/>
      <c r="BD15" s="2352"/>
      <c r="BE15" s="2255">
        <v>179045.315</v>
      </c>
      <c r="BF15" s="2256"/>
      <c r="BG15" s="2256">
        <f t="shared" si="10"/>
        <v>-179045.315</v>
      </c>
      <c r="BH15" s="2257">
        <f t="shared" si="21"/>
        <v>-100</v>
      </c>
      <c r="BI15" s="1767"/>
      <c r="BJ15" s="2352"/>
      <c r="BK15" s="2255">
        <v>179045.315</v>
      </c>
      <c r="BL15" s="2256"/>
      <c r="BM15" s="2256">
        <f t="shared" si="11"/>
        <v>-179045.315</v>
      </c>
      <c r="BN15" s="2257">
        <f t="shared" si="22"/>
        <v>-100</v>
      </c>
      <c r="BO15" s="1767"/>
      <c r="BP15" s="2353"/>
      <c r="BQ15" s="2255">
        <v>179045.315</v>
      </c>
      <c r="BR15" s="2256"/>
      <c r="BS15" s="2256">
        <f t="shared" si="12"/>
        <v>-179045.315</v>
      </c>
      <c r="BT15" s="2257">
        <f t="shared" si="23"/>
        <v>-100</v>
      </c>
      <c r="BU15" s="1767"/>
      <c r="BW15" s="2306">
        <f t="shared" si="0"/>
        <v>2148543.7799999998</v>
      </c>
      <c r="BX15" s="2306">
        <f t="shared" si="0"/>
        <v>493172.26</v>
      </c>
    </row>
    <row r="16" spans="1:76" ht="15.75" x14ac:dyDescent="0.25">
      <c r="A16" s="2138">
        <v>37763</v>
      </c>
      <c r="B16" s="2225" t="s">
        <v>80</v>
      </c>
      <c r="C16" s="2255">
        <v>6667.0460000000021</v>
      </c>
      <c r="D16" s="2256">
        <v>25562.5</v>
      </c>
      <c r="E16" s="2256">
        <f t="shared" si="1"/>
        <v>18895.453999999998</v>
      </c>
      <c r="F16" s="2258">
        <f>((D16/C16)-1)*100</f>
        <v>283.4156836476003</v>
      </c>
      <c r="G16" s="2210"/>
      <c r="H16" s="2364"/>
      <c r="I16" s="2255">
        <v>6667.0460000000021</v>
      </c>
      <c r="J16" s="2256">
        <v>28848.23</v>
      </c>
      <c r="K16" s="2256">
        <f t="shared" si="2"/>
        <v>22181.183999999997</v>
      </c>
      <c r="L16" s="2257">
        <f t="shared" si="13"/>
        <v>332.69882943660491</v>
      </c>
      <c r="M16" s="2210"/>
      <c r="N16" s="2352"/>
      <c r="O16" s="2255">
        <v>6667.0460000000021</v>
      </c>
      <c r="P16" s="2256">
        <f>VLOOKUP(A16,'[2]bALANCETE ORÇAMENTO'!$1:$1048576,7,0)</f>
        <v>27637.75</v>
      </c>
      <c r="Q16" s="2343">
        <f t="shared" si="3"/>
        <v>20970.703999999998</v>
      </c>
      <c r="R16" s="2257">
        <f t="shared" si="14"/>
        <v>314.54266252250233</v>
      </c>
      <c r="S16" s="2210"/>
      <c r="T16" s="2352"/>
      <c r="U16" s="2255">
        <v>6667.0460000000021</v>
      </c>
      <c r="V16" s="2256"/>
      <c r="W16" s="2256">
        <f t="shared" si="4"/>
        <v>-6667.0460000000021</v>
      </c>
      <c r="X16" s="2257">
        <f t="shared" si="15"/>
        <v>-100</v>
      </c>
      <c r="Y16" s="2210"/>
      <c r="Z16" s="2352"/>
      <c r="AA16" s="2255">
        <v>6667.0460000000021</v>
      </c>
      <c r="AB16" s="2256"/>
      <c r="AC16" s="2256">
        <f t="shared" si="5"/>
        <v>-6667.0460000000021</v>
      </c>
      <c r="AD16" s="2257">
        <f t="shared" si="16"/>
        <v>-100</v>
      </c>
      <c r="AE16" s="2210"/>
      <c r="AF16" s="2352"/>
      <c r="AG16" s="2255">
        <v>6667.0460000000021</v>
      </c>
      <c r="AH16" s="2256"/>
      <c r="AI16" s="2256">
        <f t="shared" si="6"/>
        <v>-6667.0460000000021</v>
      </c>
      <c r="AJ16" s="2257">
        <f t="shared" si="17"/>
        <v>-100</v>
      </c>
      <c r="AK16" s="2210"/>
      <c r="AL16" s="2353"/>
      <c r="AM16" s="2255">
        <v>6667.0460000000021</v>
      </c>
      <c r="AN16" s="2256"/>
      <c r="AO16" s="2256">
        <f t="shared" si="7"/>
        <v>-6667.0460000000021</v>
      </c>
      <c r="AP16" s="2257">
        <f t="shared" si="18"/>
        <v>-100</v>
      </c>
      <c r="AQ16" s="2210"/>
      <c r="AR16" s="2352"/>
      <c r="AS16" s="2255">
        <v>6667.0460000000021</v>
      </c>
      <c r="AT16" s="2256"/>
      <c r="AU16" s="2256">
        <f t="shared" si="8"/>
        <v>-6667.0460000000021</v>
      </c>
      <c r="AV16" s="2257">
        <f t="shared" si="19"/>
        <v>-100</v>
      </c>
      <c r="AW16" s="2210"/>
      <c r="AX16" s="2353"/>
      <c r="AY16" s="2255">
        <v>6667.0460000000021</v>
      </c>
      <c r="AZ16" s="2256"/>
      <c r="BA16" s="2256">
        <f t="shared" si="9"/>
        <v>-6667.0460000000021</v>
      </c>
      <c r="BB16" s="2257">
        <f t="shared" si="20"/>
        <v>-100</v>
      </c>
      <c r="BC16" s="2210"/>
      <c r="BD16" s="2352"/>
      <c r="BE16" s="2255">
        <v>6667.0460000000021</v>
      </c>
      <c r="BF16" s="2256"/>
      <c r="BG16" s="2256">
        <f t="shared" si="10"/>
        <v>-6667.0460000000021</v>
      </c>
      <c r="BH16" s="2257">
        <f t="shared" si="21"/>
        <v>-100</v>
      </c>
      <c r="BI16" s="2210"/>
      <c r="BJ16" s="2352"/>
      <c r="BK16" s="2255">
        <v>6667.0460000000021</v>
      </c>
      <c r="BL16" s="2256"/>
      <c r="BM16" s="2256">
        <f t="shared" si="11"/>
        <v>-6667.0460000000021</v>
      </c>
      <c r="BN16" s="2257">
        <f t="shared" si="22"/>
        <v>-100</v>
      </c>
      <c r="BO16" s="2210"/>
      <c r="BP16" s="2352"/>
      <c r="BQ16" s="2255">
        <v>6667.0460000000021</v>
      </c>
      <c r="BR16" s="2256"/>
      <c r="BS16" s="2256">
        <f t="shared" si="12"/>
        <v>-6667.0460000000021</v>
      </c>
      <c r="BT16" s="2257">
        <f t="shared" si="23"/>
        <v>-100</v>
      </c>
      <c r="BU16" s="2210"/>
      <c r="BW16" s="2306">
        <f t="shared" si="0"/>
        <v>80004.552000000025</v>
      </c>
      <c r="BX16" s="2306">
        <f t="shared" si="0"/>
        <v>82048.479999999996</v>
      </c>
    </row>
    <row r="17" spans="1:76" ht="15.75" x14ac:dyDescent="0.25">
      <c r="A17" s="2138">
        <v>37259</v>
      </c>
      <c r="B17" s="2225" t="s">
        <v>204</v>
      </c>
      <c r="C17" s="2255">
        <v>6985.2640000000001</v>
      </c>
      <c r="D17" s="2256">
        <v>5448</v>
      </c>
      <c r="E17" s="2256">
        <f t="shared" si="1"/>
        <v>-1537.2640000000001</v>
      </c>
      <c r="F17" s="2258">
        <f t="shared" si="24"/>
        <v>-22.007242675437901</v>
      </c>
      <c r="G17" s="2250"/>
      <c r="H17" s="2364"/>
      <c r="I17" s="2255">
        <v>6985.2640000000001</v>
      </c>
      <c r="J17" s="2256">
        <v>6542</v>
      </c>
      <c r="K17" s="2256">
        <f t="shared" si="2"/>
        <v>-443.26400000000012</v>
      </c>
      <c r="L17" s="2257">
        <f t="shared" si="13"/>
        <v>-6.3457014652560044</v>
      </c>
      <c r="M17" s="2250"/>
      <c r="N17" s="2352"/>
      <c r="O17" s="2255">
        <v>6985.2640000000001</v>
      </c>
      <c r="P17" s="2256">
        <f>VLOOKUP(A17,'[2]bALANCETE ORÇAMENTO'!$1:$1048576,7,0)</f>
        <v>6109</v>
      </c>
      <c r="Q17" s="2256">
        <f t="shared" si="3"/>
        <v>-876.26400000000012</v>
      </c>
      <c r="R17" s="2257">
        <f t="shared" si="14"/>
        <v>-12.544465033819774</v>
      </c>
      <c r="S17" s="2250"/>
      <c r="T17" s="2352"/>
      <c r="U17" s="2255">
        <v>6985.2640000000001</v>
      </c>
      <c r="V17" s="2256"/>
      <c r="W17" s="2256">
        <f t="shared" si="4"/>
        <v>-6985.2640000000001</v>
      </c>
      <c r="X17" s="2257">
        <f t="shared" si="15"/>
        <v>-100</v>
      </c>
      <c r="Y17" s="2250"/>
      <c r="Z17" s="2353"/>
      <c r="AA17" s="2255">
        <v>6985.2640000000001</v>
      </c>
      <c r="AB17" s="2256"/>
      <c r="AC17" s="2256">
        <f t="shared" si="5"/>
        <v>-6985.2640000000001</v>
      </c>
      <c r="AD17" s="2257">
        <f t="shared" si="16"/>
        <v>-100</v>
      </c>
      <c r="AE17" s="2250"/>
      <c r="AF17" s="2352"/>
      <c r="AG17" s="2255">
        <v>6985.2640000000001</v>
      </c>
      <c r="AH17" s="2256"/>
      <c r="AI17" s="2256">
        <f t="shared" si="6"/>
        <v>-6985.2640000000001</v>
      </c>
      <c r="AJ17" s="2257">
        <f t="shared" si="17"/>
        <v>-100</v>
      </c>
      <c r="AK17" s="2250"/>
      <c r="AL17" s="2352"/>
      <c r="AM17" s="2255">
        <v>6985.2640000000001</v>
      </c>
      <c r="AN17" s="2256"/>
      <c r="AO17" s="2256">
        <f t="shared" si="7"/>
        <v>-6985.2640000000001</v>
      </c>
      <c r="AP17" s="2257">
        <f t="shared" si="18"/>
        <v>-100</v>
      </c>
      <c r="AQ17" s="2250"/>
      <c r="AR17" s="2352"/>
      <c r="AS17" s="2255">
        <v>6985.2640000000001</v>
      </c>
      <c r="AT17" s="2256"/>
      <c r="AU17" s="2256">
        <f t="shared" si="8"/>
        <v>-6985.2640000000001</v>
      </c>
      <c r="AV17" s="2257">
        <f t="shared" si="19"/>
        <v>-100</v>
      </c>
      <c r="AW17" s="2250"/>
      <c r="AX17" s="2352"/>
      <c r="AY17" s="2255">
        <v>6985.2640000000001</v>
      </c>
      <c r="AZ17" s="2256"/>
      <c r="BA17" s="2256">
        <f t="shared" si="9"/>
        <v>-6985.2640000000001</v>
      </c>
      <c r="BB17" s="2257">
        <f t="shared" si="20"/>
        <v>-100</v>
      </c>
      <c r="BC17" s="2250"/>
      <c r="BD17" s="2352"/>
      <c r="BE17" s="2255">
        <v>6985.2640000000001</v>
      </c>
      <c r="BF17" s="2256"/>
      <c r="BG17" s="2256">
        <f t="shared" si="10"/>
        <v>-6985.2640000000001</v>
      </c>
      <c r="BH17" s="2257">
        <f t="shared" si="21"/>
        <v>-100</v>
      </c>
      <c r="BI17" s="2250"/>
      <c r="BJ17" s="2353"/>
      <c r="BK17" s="2255">
        <v>6985.2640000000001</v>
      </c>
      <c r="BL17" s="2256"/>
      <c r="BM17" s="2256">
        <f t="shared" si="11"/>
        <v>-6985.2640000000001</v>
      </c>
      <c r="BN17" s="2257">
        <f t="shared" si="22"/>
        <v>-100</v>
      </c>
      <c r="BO17" s="2250"/>
      <c r="BP17" s="2352"/>
      <c r="BQ17" s="2255">
        <v>6985.2640000000001</v>
      </c>
      <c r="BR17" s="2256"/>
      <c r="BS17" s="2256">
        <f t="shared" si="12"/>
        <v>-6985.2640000000001</v>
      </c>
      <c r="BT17" s="2257">
        <f t="shared" si="23"/>
        <v>-100</v>
      </c>
      <c r="BU17" s="2250"/>
      <c r="BW17" s="2354">
        <f t="shared" si="0"/>
        <v>83823.168000000005</v>
      </c>
      <c r="BX17" s="2354">
        <f t="shared" si="0"/>
        <v>18099</v>
      </c>
    </row>
    <row r="18" spans="1:76" ht="15.75" x14ac:dyDescent="0.25">
      <c r="A18" s="2138">
        <v>12332</v>
      </c>
      <c r="B18" s="2225" t="s">
        <v>77</v>
      </c>
      <c r="C18" s="2255">
        <v>21949</v>
      </c>
      <c r="D18" s="2256">
        <v>24722</v>
      </c>
      <c r="E18" s="2256">
        <f t="shared" si="1"/>
        <v>2773</v>
      </c>
      <c r="F18" s="2258">
        <f>((D18/C18)-1)*100</f>
        <v>12.633832976445403</v>
      </c>
      <c r="G18" s="1767"/>
      <c r="H18" s="2364"/>
      <c r="I18" s="2255">
        <v>21949</v>
      </c>
      <c r="J18" s="2256">
        <v>24942.27</v>
      </c>
      <c r="K18" s="2256">
        <f t="shared" si="2"/>
        <v>2993.2700000000004</v>
      </c>
      <c r="L18" s="2257">
        <f t="shared" si="13"/>
        <v>13.637386669096552</v>
      </c>
      <c r="M18" s="1767"/>
      <c r="N18" s="2353"/>
      <c r="O18" s="2255">
        <v>21949</v>
      </c>
      <c r="P18" s="2256">
        <f>VLOOKUP(A18,'[2]bALANCETE ORÇAMENTO'!$1:$1048576,7,0)</f>
        <v>28832.32</v>
      </c>
      <c r="Q18" s="2343">
        <f t="shared" si="3"/>
        <v>6883.32</v>
      </c>
      <c r="R18" s="2257">
        <f t="shared" si="14"/>
        <v>31.360517563442514</v>
      </c>
      <c r="S18" s="1767"/>
      <c r="T18" s="2352"/>
      <c r="U18" s="2255">
        <v>21949</v>
      </c>
      <c r="V18" s="2256"/>
      <c r="W18" s="2256">
        <f t="shared" si="4"/>
        <v>-21949</v>
      </c>
      <c r="X18" s="2257">
        <f t="shared" si="15"/>
        <v>-100</v>
      </c>
      <c r="Y18" s="1767"/>
      <c r="Z18" s="2352"/>
      <c r="AA18" s="2255">
        <v>21949</v>
      </c>
      <c r="AB18" s="2256"/>
      <c r="AC18" s="2256">
        <f t="shared" si="5"/>
        <v>-21949</v>
      </c>
      <c r="AD18" s="2257">
        <f t="shared" si="16"/>
        <v>-100</v>
      </c>
      <c r="AE18" s="1767"/>
      <c r="AF18" s="2352"/>
      <c r="AG18" s="2255">
        <v>21949</v>
      </c>
      <c r="AH18" s="2256"/>
      <c r="AI18" s="2256">
        <f t="shared" si="6"/>
        <v>-21949</v>
      </c>
      <c r="AJ18" s="2257">
        <f t="shared" si="17"/>
        <v>-100</v>
      </c>
      <c r="AK18" s="1767"/>
      <c r="AL18" s="2352"/>
      <c r="AM18" s="2255">
        <v>21949</v>
      </c>
      <c r="AN18" s="2256"/>
      <c r="AO18" s="2256">
        <f t="shared" si="7"/>
        <v>-21949</v>
      </c>
      <c r="AP18" s="2257">
        <f t="shared" si="18"/>
        <v>-100</v>
      </c>
      <c r="AQ18" s="1767"/>
      <c r="AR18" s="2353"/>
      <c r="AS18" s="2255">
        <v>21949</v>
      </c>
      <c r="AT18" s="2256"/>
      <c r="AU18" s="2256">
        <f t="shared" si="8"/>
        <v>-21949</v>
      </c>
      <c r="AV18" s="2257">
        <f t="shared" si="19"/>
        <v>-100</v>
      </c>
      <c r="AW18" s="1767"/>
      <c r="AX18" s="2353"/>
      <c r="AY18" s="2255">
        <v>21949</v>
      </c>
      <c r="AZ18" s="2256"/>
      <c r="BA18" s="2256">
        <f t="shared" si="9"/>
        <v>-21949</v>
      </c>
      <c r="BB18" s="2257">
        <f t="shared" si="20"/>
        <v>-100</v>
      </c>
      <c r="BC18" s="1767"/>
      <c r="BD18" s="2352"/>
      <c r="BE18" s="2255">
        <v>21949</v>
      </c>
      <c r="BF18" s="2256"/>
      <c r="BG18" s="2256">
        <f t="shared" si="10"/>
        <v>-21949</v>
      </c>
      <c r="BH18" s="2257">
        <f t="shared" si="21"/>
        <v>-100</v>
      </c>
      <c r="BI18" s="1767"/>
      <c r="BJ18" s="2352"/>
      <c r="BK18" s="2255">
        <v>21949</v>
      </c>
      <c r="BL18" s="2256"/>
      <c r="BM18" s="2256">
        <f t="shared" si="11"/>
        <v>-21949</v>
      </c>
      <c r="BN18" s="2257">
        <f t="shared" si="22"/>
        <v>-100</v>
      </c>
      <c r="BO18" s="1767"/>
      <c r="BP18" s="2352"/>
      <c r="BQ18" s="2255">
        <v>21949</v>
      </c>
      <c r="BR18" s="2256"/>
      <c r="BS18" s="2256">
        <f t="shared" si="12"/>
        <v>-21949</v>
      </c>
      <c r="BT18" s="2257">
        <f t="shared" si="23"/>
        <v>-100</v>
      </c>
      <c r="BU18" s="1767"/>
      <c r="BW18" s="2306">
        <f t="shared" si="0"/>
        <v>263388</v>
      </c>
      <c r="BX18" s="2306">
        <f t="shared" si="0"/>
        <v>78496.59</v>
      </c>
    </row>
    <row r="19" spans="1:76" ht="16.5" thickBot="1" x14ac:dyDescent="0.3">
      <c r="A19" s="2137">
        <v>12865</v>
      </c>
      <c r="B19" s="2211" t="s">
        <v>205</v>
      </c>
      <c r="C19" s="1771">
        <v>3903.7205999999996</v>
      </c>
      <c r="D19" s="1772">
        <v>2505</v>
      </c>
      <c r="E19" s="1772">
        <f t="shared" si="1"/>
        <v>-1398.7205999999996</v>
      </c>
      <c r="F19" s="1773">
        <f t="shared" si="24"/>
        <v>-35.83044852134141</v>
      </c>
      <c r="G19" s="2229"/>
      <c r="H19" s="2364"/>
      <c r="I19" s="1771">
        <v>3903.7205999999996</v>
      </c>
      <c r="J19" s="1772">
        <v>2755.33</v>
      </c>
      <c r="K19" s="1772">
        <f t="shared" si="2"/>
        <v>-1148.3905999999997</v>
      </c>
      <c r="L19" s="2322">
        <f t="shared" si="13"/>
        <v>-29.417848193336372</v>
      </c>
      <c r="M19" s="2229"/>
      <c r="N19" s="2352"/>
      <c r="O19" s="1771">
        <v>3903.7205999999996</v>
      </c>
      <c r="P19" s="1772">
        <f>VLOOKUP(A19,'[2]bALANCETE ORÇAMENTO'!$1:$1048576,7,0)</f>
        <v>2505.33</v>
      </c>
      <c r="Q19" s="1772">
        <f t="shared" si="3"/>
        <v>-1398.3905999999997</v>
      </c>
      <c r="R19" s="2322">
        <f t="shared" si="14"/>
        <v>-35.821995047493914</v>
      </c>
      <c r="S19" s="2229"/>
      <c r="T19" s="2352"/>
      <c r="U19" s="1771">
        <v>3903.7205999999996</v>
      </c>
      <c r="V19" s="1772"/>
      <c r="W19" s="1772">
        <f t="shared" si="4"/>
        <v>-3903.7205999999996</v>
      </c>
      <c r="X19" s="2322">
        <f t="shared" si="15"/>
        <v>-100</v>
      </c>
      <c r="Y19" s="2229"/>
      <c r="Z19" s="2352"/>
      <c r="AA19" s="1771">
        <v>3903.7205999999996</v>
      </c>
      <c r="AB19" s="1772"/>
      <c r="AC19" s="1772">
        <f t="shared" si="5"/>
        <v>-3903.7205999999996</v>
      </c>
      <c r="AD19" s="2322">
        <f t="shared" si="16"/>
        <v>-100</v>
      </c>
      <c r="AE19" s="2229"/>
      <c r="AF19" s="2352"/>
      <c r="AG19" s="1771">
        <v>3903.7205999999996</v>
      </c>
      <c r="AH19" s="1772"/>
      <c r="AI19" s="1772">
        <f t="shared" si="6"/>
        <v>-3903.7205999999996</v>
      </c>
      <c r="AJ19" s="2322">
        <f t="shared" si="17"/>
        <v>-100</v>
      </c>
      <c r="AK19" s="2229"/>
      <c r="AL19" s="2352"/>
      <c r="AM19" s="1771">
        <v>3903.7205999999996</v>
      </c>
      <c r="AN19" s="1772"/>
      <c r="AO19" s="1772">
        <f t="shared" si="7"/>
        <v>-3903.7205999999996</v>
      </c>
      <c r="AP19" s="2322">
        <f t="shared" si="18"/>
        <v>-100</v>
      </c>
      <c r="AQ19" s="2229"/>
      <c r="AR19" s="2352"/>
      <c r="AS19" s="1771">
        <v>3903.7205999999996</v>
      </c>
      <c r="AT19" s="1772"/>
      <c r="AU19" s="1772">
        <f t="shared" si="8"/>
        <v>-3903.7205999999996</v>
      </c>
      <c r="AV19" s="2322">
        <f t="shared" si="19"/>
        <v>-100</v>
      </c>
      <c r="AW19" s="2229"/>
      <c r="AX19" s="2352"/>
      <c r="AY19" s="1771">
        <v>3903.7205999999996</v>
      </c>
      <c r="AZ19" s="1772"/>
      <c r="BA19" s="1772">
        <f t="shared" si="9"/>
        <v>-3903.7205999999996</v>
      </c>
      <c r="BB19" s="2322">
        <f t="shared" si="20"/>
        <v>-100</v>
      </c>
      <c r="BC19" s="2229"/>
      <c r="BD19" s="2353"/>
      <c r="BE19" s="1771">
        <v>3903.7205999999996</v>
      </c>
      <c r="BF19" s="1772"/>
      <c r="BG19" s="1772">
        <f t="shared" si="10"/>
        <v>-3903.7205999999996</v>
      </c>
      <c r="BH19" s="2322">
        <f t="shared" si="21"/>
        <v>-100</v>
      </c>
      <c r="BI19" s="2229"/>
      <c r="BJ19" s="2353"/>
      <c r="BK19" s="1771">
        <v>3903.7205999999996</v>
      </c>
      <c r="BL19" s="1772"/>
      <c r="BM19" s="1772">
        <f t="shared" si="11"/>
        <v>-3903.7205999999996</v>
      </c>
      <c r="BN19" s="2322">
        <f t="shared" si="22"/>
        <v>-100</v>
      </c>
      <c r="BO19" s="2229"/>
      <c r="BP19" s="2352"/>
      <c r="BQ19" s="1771">
        <v>3903.7205999999996</v>
      </c>
      <c r="BR19" s="1772"/>
      <c r="BS19" s="1772">
        <f t="shared" si="12"/>
        <v>-3903.7205999999996</v>
      </c>
      <c r="BT19" s="2322">
        <f t="shared" si="23"/>
        <v>-100</v>
      </c>
      <c r="BU19" s="2229"/>
      <c r="BW19" s="2361">
        <f t="shared" si="0"/>
        <v>46844.647199999999</v>
      </c>
      <c r="BX19" s="2361">
        <f t="shared" si="0"/>
        <v>7765.66</v>
      </c>
    </row>
  </sheetData>
  <mergeCells count="27">
    <mergeCell ref="BX6:BX7"/>
    <mergeCell ref="G6:G8"/>
    <mergeCell ref="M6:M8"/>
    <mergeCell ref="S6:S8"/>
    <mergeCell ref="Y6:Y8"/>
    <mergeCell ref="AE6:AE8"/>
    <mergeCell ref="AK6:AK8"/>
    <mergeCell ref="AQ6:AQ8"/>
    <mergeCell ref="AW6:AW8"/>
    <mergeCell ref="BC6:BC8"/>
    <mergeCell ref="BI6:BI8"/>
    <mergeCell ref="AY6:BB6"/>
    <mergeCell ref="BE6:BH6"/>
    <mergeCell ref="BK6:BN6"/>
    <mergeCell ref="BQ6:BT6"/>
    <mergeCell ref="BW6:BW7"/>
    <mergeCell ref="BU6:BU8"/>
    <mergeCell ref="O6:R6"/>
    <mergeCell ref="U6:X6"/>
    <mergeCell ref="AA6:AD6"/>
    <mergeCell ref="AM6:AP6"/>
    <mergeCell ref="AS6:AV6"/>
    <mergeCell ref="B6:B7"/>
    <mergeCell ref="AG6:AJ6"/>
    <mergeCell ref="C6:F6"/>
    <mergeCell ref="I6:L6"/>
    <mergeCell ref="BO6:BO8"/>
  </mergeCells>
  <phoneticPr fontId="19" type="noConversion"/>
  <hyperlinks>
    <hyperlink ref="A9" r:id="rId1" display="..\..\..\..\Rafaela Garcia\2022\3. Março\Orçamento\Anderson\11416.pdf"/>
    <hyperlink ref="A10" r:id="rId2" display="..\..\..\..\Rafaela Garcia\2022\3. Março\Orçamento\Anderson\32497.pdf"/>
    <hyperlink ref="A11" r:id="rId3" display="..\..\..\..\Rafaela Garcia\2022\3. Março\Orçamento\Anderson\12338.pdf"/>
    <hyperlink ref="A12" r:id="rId4" tooltip="rafaela" display="..\..\..\..\Rafaela Garcia\2022\3. Março\Orçamento\Anderson\12881.pdf"/>
    <hyperlink ref="A13" r:id="rId5" display="..\..\..\..\Rafaela Garcia\2022\3. Março\Orçamento\Anderson\54164.pdf"/>
    <hyperlink ref="A14" r:id="rId6" display="..\..\..\..\Rafaela Garcia\2022\3. Março\Orçamento\Anderson\12333.pdf"/>
    <hyperlink ref="A15" r:id="rId7" display="..\..\..\..\Rafaela Garcia\2022\3. Março\Orçamento\Anderson\12331.pdf"/>
    <hyperlink ref="A16" r:id="rId8" display="..\..\..\..\Rafaela Garcia\2022\3. Março\Orçamento\Anderson\37763.pdf"/>
    <hyperlink ref="A17" r:id="rId9" display="..\..\..\..\Rafaela Garcia\2022\3. Março\Orçamento\Anderson\37259.pdf"/>
    <hyperlink ref="A18" r:id="rId10" display="..\..\..\..\Rafaela Garcia\2022\3. Março\Orçamento\Anderson\12332.pdf"/>
    <hyperlink ref="A19" r:id="rId11" display="..\..\..\..\Rafaela Garcia\2022\3. Março\Orçamento\Anderson\12865.pdf"/>
  </hyperlinks>
  <pageMargins left="0.511811024" right="0.511811024" top="0.78740157499999996" bottom="0.78740157499999996" header="0.31496062000000002" footer="0.31496062000000002"/>
  <pageSetup paperSize="9" orientation="portrait" r:id="rId12"/>
  <drawing r:id="rId1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4:BZ39"/>
  <sheetViews>
    <sheetView showGridLines="0" topLeftCell="BN1" workbookViewId="0">
      <selection activeCell="BY6" sqref="BY6"/>
    </sheetView>
  </sheetViews>
  <sheetFormatPr defaultRowHeight="15" x14ac:dyDescent="0.25"/>
  <cols>
    <col min="1" max="1" width="12.85546875" bestFit="1" customWidth="1"/>
    <col min="2" max="2" width="42.28515625" bestFit="1" customWidth="1"/>
    <col min="3" max="3" width="10.5703125" bestFit="1" customWidth="1"/>
    <col min="4" max="4" width="10.85546875" bestFit="1" customWidth="1"/>
    <col min="5" max="5" width="10.42578125" bestFit="1" customWidth="1"/>
    <col min="6" max="6" width="12.85546875" customWidth="1"/>
    <col min="7" max="7" width="16.42578125" customWidth="1"/>
    <col min="8" max="8" width="4.140625" customWidth="1"/>
    <col min="9" max="9" width="10.7109375" bestFit="1" customWidth="1"/>
    <col min="10" max="10" width="11.5703125" bestFit="1" customWidth="1"/>
    <col min="11" max="11" width="10.42578125" bestFit="1" customWidth="1"/>
    <col min="13" max="13" width="13.5703125" customWidth="1"/>
    <col min="14" max="14" width="4" customWidth="1"/>
    <col min="15" max="15" width="10.7109375" bestFit="1" customWidth="1"/>
    <col min="16" max="16" width="10.85546875" bestFit="1" customWidth="1"/>
    <col min="17" max="17" width="11.42578125" bestFit="1" customWidth="1"/>
    <col min="19" max="19" width="13" customWidth="1"/>
    <col min="20" max="20" width="4.28515625" customWidth="1"/>
    <col min="21" max="21" width="10.7109375" bestFit="1" customWidth="1"/>
    <col min="22" max="22" width="10.85546875" bestFit="1" customWidth="1"/>
    <col min="23" max="23" width="11.42578125" bestFit="1" customWidth="1"/>
    <col min="25" max="25" width="9.42578125" bestFit="1" customWidth="1"/>
    <col min="26" max="26" width="5.140625" customWidth="1"/>
    <col min="27" max="27" width="10.7109375" bestFit="1" customWidth="1"/>
    <col min="28" max="28" width="10.85546875" bestFit="1" customWidth="1"/>
    <col min="29" max="29" width="11.42578125" bestFit="1" customWidth="1"/>
    <col min="31" max="31" width="16.140625" customWidth="1"/>
    <col min="32" max="32" width="3.5703125" customWidth="1"/>
    <col min="33" max="33" width="10.7109375" bestFit="1" customWidth="1"/>
    <col min="34" max="34" width="10.85546875" bestFit="1" customWidth="1"/>
    <col min="35" max="35" width="11.42578125" bestFit="1" customWidth="1"/>
    <col min="37" max="37" width="14.28515625" customWidth="1"/>
    <col min="38" max="38" width="3.42578125" customWidth="1"/>
    <col min="39" max="39" width="10.7109375" bestFit="1" customWidth="1"/>
    <col min="40" max="40" width="10.85546875" bestFit="1" customWidth="1"/>
    <col min="41" max="41" width="11.42578125" bestFit="1" customWidth="1"/>
    <col min="43" max="43" width="15.85546875" customWidth="1"/>
    <col min="44" max="44" width="3.140625" customWidth="1"/>
    <col min="45" max="45" width="10.7109375" bestFit="1" customWidth="1"/>
    <col min="46" max="46" width="10.85546875" bestFit="1" customWidth="1"/>
    <col min="47" max="47" width="11.42578125" bestFit="1" customWidth="1"/>
    <col min="49" max="49" width="16.140625" customWidth="1"/>
    <col min="50" max="50" width="3.85546875" customWidth="1"/>
    <col min="51" max="51" width="10.7109375" bestFit="1" customWidth="1"/>
    <col min="52" max="52" width="10.85546875" bestFit="1" customWidth="1"/>
    <col min="53" max="53" width="11.42578125" bestFit="1" customWidth="1"/>
    <col min="55" max="55" width="16" customWidth="1"/>
    <col min="56" max="56" width="3.28515625" customWidth="1"/>
    <col min="57" max="57" width="10.7109375" bestFit="1" customWidth="1"/>
    <col min="58" max="58" width="10.85546875" bestFit="1" customWidth="1"/>
    <col min="59" max="59" width="11.42578125" bestFit="1" customWidth="1"/>
    <col min="61" max="61" width="15.7109375" customWidth="1"/>
    <col min="62" max="62" width="3.28515625" customWidth="1"/>
    <col min="63" max="63" width="10.7109375" bestFit="1" customWidth="1"/>
    <col min="64" max="64" width="10.85546875" bestFit="1" customWidth="1"/>
    <col min="65" max="65" width="11.42578125" bestFit="1" customWidth="1"/>
    <col min="67" max="67" width="16" customWidth="1"/>
    <col min="68" max="68" width="4" customWidth="1"/>
    <col min="69" max="69" width="10.7109375" bestFit="1" customWidth="1"/>
    <col min="70" max="70" width="10.85546875" bestFit="1" customWidth="1"/>
    <col min="71" max="71" width="11.42578125" bestFit="1" customWidth="1"/>
    <col min="73" max="73" width="16.7109375" customWidth="1"/>
    <col min="74" max="74" width="3.7109375" customWidth="1"/>
    <col min="75" max="75" width="14.85546875" bestFit="1" customWidth="1"/>
    <col min="76" max="76" width="17" bestFit="1" customWidth="1"/>
  </cols>
  <sheetData>
    <row r="4" spans="1:78" ht="15.75" thickBot="1" x14ac:dyDescent="0.3">
      <c r="F4" s="2269" t="s">
        <v>121</v>
      </c>
    </row>
    <row r="5" spans="1:78" s="1708" customFormat="1" ht="18" customHeight="1" thickBot="1" x14ac:dyDescent="0.3">
      <c r="A5" s="2864" t="s">
        <v>0</v>
      </c>
      <c r="B5" s="2866" t="s">
        <v>145</v>
      </c>
      <c r="C5" s="2861" t="s">
        <v>3716</v>
      </c>
      <c r="D5" s="2862"/>
      <c r="E5" s="2862"/>
      <c r="F5" s="2862"/>
      <c r="G5" s="2856" t="s">
        <v>3838</v>
      </c>
      <c r="H5" s="1706"/>
      <c r="I5" s="2861" t="s">
        <v>3717</v>
      </c>
      <c r="J5" s="2862"/>
      <c r="K5" s="2862"/>
      <c r="L5" s="2863"/>
      <c r="M5" s="2856" t="s">
        <v>3838</v>
      </c>
      <c r="N5" s="1706"/>
      <c r="O5" s="2861" t="s">
        <v>3718</v>
      </c>
      <c r="P5" s="2862"/>
      <c r="Q5" s="2862"/>
      <c r="R5" s="2863"/>
      <c r="S5" s="2856" t="s">
        <v>3838</v>
      </c>
      <c r="T5" s="1706"/>
      <c r="U5" s="2861" t="s">
        <v>3719</v>
      </c>
      <c r="V5" s="2862"/>
      <c r="W5" s="2862"/>
      <c r="X5" s="2863"/>
      <c r="Y5" s="2856" t="s">
        <v>3838</v>
      </c>
      <c r="Z5" s="1706"/>
      <c r="AA5" s="2861" t="s">
        <v>3720</v>
      </c>
      <c r="AB5" s="2862"/>
      <c r="AC5" s="2862"/>
      <c r="AD5" s="2863"/>
      <c r="AE5" s="2856" t="s">
        <v>3838</v>
      </c>
      <c r="AF5" s="1706"/>
      <c r="AG5" s="2861" t="s">
        <v>3721</v>
      </c>
      <c r="AH5" s="2862"/>
      <c r="AI5" s="2862"/>
      <c r="AJ5" s="2863"/>
      <c r="AK5" s="2856" t="s">
        <v>3838</v>
      </c>
      <c r="AL5" s="1706"/>
      <c r="AM5" s="2861" t="s">
        <v>3722</v>
      </c>
      <c r="AN5" s="2862"/>
      <c r="AO5" s="2862"/>
      <c r="AP5" s="2863"/>
      <c r="AQ5" s="2856" t="s">
        <v>3838</v>
      </c>
      <c r="AR5" s="1706"/>
      <c r="AS5" s="2861" t="s">
        <v>3723</v>
      </c>
      <c r="AT5" s="2862"/>
      <c r="AU5" s="2862"/>
      <c r="AV5" s="2863"/>
      <c r="AW5" s="2856" t="s">
        <v>3838</v>
      </c>
      <c r="AX5" s="1706"/>
      <c r="AY5" s="2861" t="s">
        <v>3724</v>
      </c>
      <c r="AZ5" s="2862"/>
      <c r="BA5" s="2862"/>
      <c r="BB5" s="2863"/>
      <c r="BC5" s="2856" t="s">
        <v>3838</v>
      </c>
      <c r="BD5" s="1706"/>
      <c r="BE5" s="2861" t="s">
        <v>3725</v>
      </c>
      <c r="BF5" s="2862"/>
      <c r="BG5" s="2862"/>
      <c r="BH5" s="2863"/>
      <c r="BI5" s="2856" t="s">
        <v>3838</v>
      </c>
      <c r="BJ5" s="1706"/>
      <c r="BK5" s="2861" t="s">
        <v>3726</v>
      </c>
      <c r="BL5" s="2862"/>
      <c r="BM5" s="2862"/>
      <c r="BN5" s="2863"/>
      <c r="BO5" s="2856" t="s">
        <v>3838</v>
      </c>
      <c r="BP5" s="1706"/>
      <c r="BQ5" s="2861" t="s">
        <v>3727</v>
      </c>
      <c r="BR5" s="2862"/>
      <c r="BS5" s="2862"/>
      <c r="BT5" s="2863"/>
      <c r="BU5" s="2856" t="s">
        <v>3838</v>
      </c>
      <c r="BV5" s="1706"/>
      <c r="BW5" s="2852" t="s">
        <v>162</v>
      </c>
      <c r="BX5" s="2859" t="s">
        <v>163</v>
      </c>
      <c r="BY5" s="1707"/>
      <c r="BZ5" s="1707"/>
    </row>
    <row r="6" spans="1:78" s="1708" customFormat="1" ht="15.75" thickBot="1" x14ac:dyDescent="0.3">
      <c r="A6" s="2865"/>
      <c r="B6" s="2867"/>
      <c r="C6" s="1681" t="s">
        <v>3728</v>
      </c>
      <c r="D6" s="1682" t="s">
        <v>3796</v>
      </c>
      <c r="E6" s="1682" t="s">
        <v>3797</v>
      </c>
      <c r="F6" s="1681" t="s">
        <v>158</v>
      </c>
      <c r="G6" s="2857"/>
      <c r="H6" s="1709"/>
      <c r="I6" s="1710" t="s">
        <v>3728</v>
      </c>
      <c r="J6" s="1683" t="s">
        <v>3796</v>
      </c>
      <c r="K6" s="1682" t="s">
        <v>3797</v>
      </c>
      <c r="L6" s="1681" t="s">
        <v>158</v>
      </c>
      <c r="M6" s="2857"/>
      <c r="N6" s="1709"/>
      <c r="O6" s="1710" t="s">
        <v>3728</v>
      </c>
      <c r="P6" s="1683" t="s">
        <v>3796</v>
      </c>
      <c r="Q6" s="1682" t="s">
        <v>3797</v>
      </c>
      <c r="R6" s="1681" t="s">
        <v>158</v>
      </c>
      <c r="S6" s="2857"/>
      <c r="T6" s="1709"/>
      <c r="U6" s="1710" t="s">
        <v>3728</v>
      </c>
      <c r="V6" s="1683" t="s">
        <v>3796</v>
      </c>
      <c r="W6" s="1682" t="s">
        <v>3797</v>
      </c>
      <c r="X6" s="1681" t="s">
        <v>158</v>
      </c>
      <c r="Y6" s="2857"/>
      <c r="Z6" s="1709"/>
      <c r="AA6" s="1710" t="s">
        <v>3728</v>
      </c>
      <c r="AB6" s="1683" t="s">
        <v>3796</v>
      </c>
      <c r="AC6" s="1682" t="s">
        <v>3797</v>
      </c>
      <c r="AD6" s="1681" t="s">
        <v>158</v>
      </c>
      <c r="AE6" s="2857"/>
      <c r="AF6" s="1709"/>
      <c r="AG6" s="1710" t="s">
        <v>3728</v>
      </c>
      <c r="AH6" s="1683" t="s">
        <v>3796</v>
      </c>
      <c r="AI6" s="1682" t="s">
        <v>3797</v>
      </c>
      <c r="AJ6" s="1681" t="s">
        <v>158</v>
      </c>
      <c r="AK6" s="2857"/>
      <c r="AL6" s="1709"/>
      <c r="AM6" s="1710" t="s">
        <v>3728</v>
      </c>
      <c r="AN6" s="1683" t="s">
        <v>3796</v>
      </c>
      <c r="AO6" s="1682" t="s">
        <v>3797</v>
      </c>
      <c r="AP6" s="1681" t="s">
        <v>158</v>
      </c>
      <c r="AQ6" s="2857"/>
      <c r="AR6" s="1709"/>
      <c r="AS6" s="1710" t="s">
        <v>3728</v>
      </c>
      <c r="AT6" s="1683" t="s">
        <v>3796</v>
      </c>
      <c r="AU6" s="1682" t="s">
        <v>3797</v>
      </c>
      <c r="AV6" s="1681" t="s">
        <v>158</v>
      </c>
      <c r="AW6" s="2857"/>
      <c r="AX6" s="1709"/>
      <c r="AY6" s="1710" t="s">
        <v>3728</v>
      </c>
      <c r="AZ6" s="1683" t="s">
        <v>3796</v>
      </c>
      <c r="BA6" s="1682" t="s">
        <v>3797</v>
      </c>
      <c r="BB6" s="1681" t="s">
        <v>158</v>
      </c>
      <c r="BC6" s="2857"/>
      <c r="BD6" s="1709"/>
      <c r="BE6" s="1710" t="s">
        <v>3728</v>
      </c>
      <c r="BF6" s="1683" t="s">
        <v>3796</v>
      </c>
      <c r="BG6" s="1682" t="s">
        <v>3797</v>
      </c>
      <c r="BH6" s="1681" t="s">
        <v>158</v>
      </c>
      <c r="BI6" s="2857"/>
      <c r="BJ6" s="1709"/>
      <c r="BK6" s="1710" t="s">
        <v>3728</v>
      </c>
      <c r="BL6" s="1683" t="s">
        <v>3796</v>
      </c>
      <c r="BM6" s="1682" t="s">
        <v>3797</v>
      </c>
      <c r="BN6" s="1681" t="s">
        <v>158</v>
      </c>
      <c r="BO6" s="2857"/>
      <c r="BP6" s="1709"/>
      <c r="BQ6" s="1710" t="s">
        <v>3728</v>
      </c>
      <c r="BR6" s="1683" t="s">
        <v>3796</v>
      </c>
      <c r="BS6" s="1682" t="s">
        <v>3797</v>
      </c>
      <c r="BT6" s="1681" t="s">
        <v>158</v>
      </c>
      <c r="BU6" s="2857"/>
      <c r="BV6" s="1709"/>
      <c r="BW6" s="2853"/>
      <c r="BX6" s="2860"/>
      <c r="BY6" s="1711"/>
      <c r="BZ6" s="1707"/>
    </row>
    <row r="7" spans="1:78" ht="15.75" thickBot="1" x14ac:dyDescent="0.3">
      <c r="A7" s="2833" t="s">
        <v>167</v>
      </c>
      <c r="B7" s="2834"/>
      <c r="C7" s="2270">
        <f>SUM(C8:C39)</f>
        <v>5715875</v>
      </c>
      <c r="D7" s="2004">
        <f>SUM(D8:D39)</f>
        <v>6041316.2200000007</v>
      </c>
      <c r="E7" s="2271">
        <f>D7-C7</f>
        <v>325441.22000000067</v>
      </c>
      <c r="F7" s="2272">
        <f>((D7/C7)-1)*100</f>
        <v>5.6936378069849525</v>
      </c>
      <c r="G7" s="2858"/>
      <c r="H7" s="2245"/>
      <c r="I7" s="2273">
        <f>SUM(I8:I39)</f>
        <v>5715875</v>
      </c>
      <c r="J7" s="2004">
        <f>SUM(J8:J39)</f>
        <v>6419654.9699999997</v>
      </c>
      <c r="K7" s="2271">
        <f>J7-I7</f>
        <v>703779.96999999974</v>
      </c>
      <c r="L7" s="2272">
        <f>((J7/I7)-1)*100</f>
        <v>12.312724998359826</v>
      </c>
      <c r="M7" s="2858"/>
      <c r="N7" s="2245"/>
      <c r="O7" s="2273">
        <f>SUM(O8:O39)</f>
        <v>5715875</v>
      </c>
      <c r="P7" s="2004">
        <f>SUM(P8:P39)</f>
        <v>6203191.5700000003</v>
      </c>
      <c r="Q7" s="2271">
        <f>P7-O7</f>
        <v>487316.5700000003</v>
      </c>
      <c r="R7" s="2272">
        <f>((P7/O7)-1)*100</f>
        <v>8.5256687733724199</v>
      </c>
      <c r="S7" s="2858"/>
      <c r="T7" s="2245"/>
      <c r="U7" s="2273">
        <f>SUM(U8:U39)</f>
        <v>5715875</v>
      </c>
      <c r="V7" s="2004">
        <f>SUM(V8:V39)</f>
        <v>0</v>
      </c>
      <c r="W7" s="2271">
        <f>V7-U7</f>
        <v>-5715875</v>
      </c>
      <c r="X7" s="2272">
        <f>((V7/U7)-1)*100</f>
        <v>-100</v>
      </c>
      <c r="Y7" s="2858"/>
      <c r="Z7" s="2245"/>
      <c r="AA7" s="2273">
        <f>SUM(AA8:AA39)</f>
        <v>6048350</v>
      </c>
      <c r="AB7" s="2004">
        <f>SUM(AB8:AB39)</f>
        <v>0</v>
      </c>
      <c r="AC7" s="2271">
        <f>AB7-AA7</f>
        <v>-6048350</v>
      </c>
      <c r="AD7" s="2272">
        <f>((AB7/AA7)-1)*100</f>
        <v>-100</v>
      </c>
      <c r="AE7" s="2858"/>
      <c r="AF7" s="2245"/>
      <c r="AG7" s="2273">
        <f>SUM(AG8:AG39)</f>
        <v>6048120</v>
      </c>
      <c r="AH7" s="2004">
        <f>SUM(AH8:AH39)</f>
        <v>0</v>
      </c>
      <c r="AI7" s="2271">
        <f>AH7-AG7</f>
        <v>-6048120</v>
      </c>
      <c r="AJ7" s="2272">
        <f>((AH7/AG7)-1)*100</f>
        <v>-100</v>
      </c>
      <c r="AK7" s="2858"/>
      <c r="AL7" s="2245"/>
      <c r="AM7" s="2273">
        <f>SUM(AM8:AM39)</f>
        <v>6048120</v>
      </c>
      <c r="AN7" s="2004">
        <f>SUM(AN8:AN39)</f>
        <v>0</v>
      </c>
      <c r="AO7" s="2271">
        <f>AN7-AM7</f>
        <v>-6048120</v>
      </c>
      <c r="AP7" s="2272">
        <f>((AN7/AM7)-1)*100</f>
        <v>-100</v>
      </c>
      <c r="AQ7" s="2858"/>
      <c r="AR7" s="2245"/>
      <c r="AS7" s="2273">
        <f>SUM(AS8:AS39)</f>
        <v>6048120</v>
      </c>
      <c r="AT7" s="2004">
        <f>SUM(AT8:AT39)</f>
        <v>0</v>
      </c>
      <c r="AU7" s="2271">
        <f>AT7-AS7</f>
        <v>-6048120</v>
      </c>
      <c r="AV7" s="2272">
        <f>((AT7/AS7)-1)*100</f>
        <v>-100</v>
      </c>
      <c r="AW7" s="2858"/>
      <c r="AX7" s="2245"/>
      <c r="AY7" s="1750">
        <f>SUM(AY8:AY39)</f>
        <v>6048120</v>
      </c>
      <c r="AZ7" s="2004">
        <f>SUM(AZ8:AZ39)</f>
        <v>0</v>
      </c>
      <c r="BA7" s="2271">
        <f>AZ7-AY7</f>
        <v>-6048120</v>
      </c>
      <c r="BB7" s="2272">
        <f>((AZ7/AY7)-1)*100</f>
        <v>-100</v>
      </c>
      <c r="BC7" s="2858"/>
      <c r="BD7" s="2245"/>
      <c r="BE7" s="1750">
        <f>SUM(BE8:BE39)</f>
        <v>6048120</v>
      </c>
      <c r="BF7" s="2004">
        <f>SUM(BF8:BF39)</f>
        <v>0</v>
      </c>
      <c r="BG7" s="2271">
        <f>BF7-BE7</f>
        <v>-6048120</v>
      </c>
      <c r="BH7" s="2272">
        <f>((BF7/BE7)-1)*100</f>
        <v>-100</v>
      </c>
      <c r="BI7" s="2858"/>
      <c r="BJ7" s="2245"/>
      <c r="BK7" s="1750">
        <f>SUM(BK8:BK39)</f>
        <v>6169120</v>
      </c>
      <c r="BL7" s="2004">
        <f>SUM(BL8:BL39)</f>
        <v>0</v>
      </c>
      <c r="BM7" s="2271">
        <f>BL7-BK7</f>
        <v>-6169120</v>
      </c>
      <c r="BN7" s="2272">
        <f>((BL7/BK7)-1)*100</f>
        <v>-100</v>
      </c>
      <c r="BO7" s="2858"/>
      <c r="BP7" s="2245"/>
      <c r="BQ7" s="1750">
        <f>SUM(BQ8:BQ39)</f>
        <v>6169120</v>
      </c>
      <c r="BR7" s="2004">
        <f>SUM(BR8:BR39)</f>
        <v>0</v>
      </c>
      <c r="BS7" s="2271">
        <f>BR7-BQ7</f>
        <v>-6169120</v>
      </c>
      <c r="BT7" s="2272">
        <f>((BR7/BQ7)-1)*100</f>
        <v>-100</v>
      </c>
      <c r="BU7" s="2858"/>
      <c r="BV7" s="2245"/>
      <c r="BW7" s="1725">
        <f>C7+I7+O7+U7+AA7+AG7+AM7+AS7+AY7+BE7+BK7+BQ7</f>
        <v>71490690</v>
      </c>
      <c r="BX7" s="2005">
        <f t="shared" ref="BW7:BX10" si="0">D7+J7+P7+V7+AB7+AH7+AN7+AT7+AZ7+BF7+BL7+BR7</f>
        <v>18664162.760000002</v>
      </c>
    </row>
    <row r="8" spans="1:78" x14ac:dyDescent="0.25">
      <c r="A8" s="2134">
        <v>11316</v>
      </c>
      <c r="B8" s="2274" t="s">
        <v>27</v>
      </c>
      <c r="C8" s="2275">
        <v>410000</v>
      </c>
      <c r="D8" s="2276">
        <v>511340</v>
      </c>
      <c r="E8" s="2277">
        <f>D8-C8</f>
        <v>101340</v>
      </c>
      <c r="F8" s="2278">
        <f t="shared" ref="F8:F13" si="1">((D8/C8)-1)*100</f>
        <v>24.717073170731709</v>
      </c>
      <c r="G8" s="2279"/>
      <c r="H8" s="2280"/>
      <c r="I8" s="2275">
        <f t="shared" ref="I8:I39" si="2">C8</f>
        <v>410000</v>
      </c>
      <c r="J8" s="2276">
        <v>408706.86</v>
      </c>
      <c r="K8" s="2277">
        <f>J8-I8</f>
        <v>-1293.140000000014</v>
      </c>
      <c r="L8" s="2278">
        <f t="shared" ref="L8:L9" si="3">((J8/I8)-1)*100</f>
        <v>-0.31539999999999901</v>
      </c>
      <c r="M8" s="2279"/>
      <c r="N8" s="2280"/>
      <c r="O8" s="2275">
        <f t="shared" ref="O8:O39" si="4">I8</f>
        <v>410000</v>
      </c>
      <c r="P8" s="2276">
        <v>409467.57</v>
      </c>
      <c r="Q8" s="2277">
        <f>P8-O8</f>
        <v>-532.42999999999302</v>
      </c>
      <c r="R8" s="2278">
        <f t="shared" ref="R8:R9" si="5">((P8/O8)-1)*100</f>
        <v>-0.1298609756097524</v>
      </c>
      <c r="S8" s="2279"/>
      <c r="T8" s="2280"/>
      <c r="U8" s="2275">
        <f t="shared" ref="U8:U39" si="6">O8</f>
        <v>410000</v>
      </c>
      <c r="V8" s="2276"/>
      <c r="W8" s="2277">
        <f>V8-U8</f>
        <v>-410000</v>
      </c>
      <c r="X8" s="2278">
        <f t="shared" ref="X8:X9" si="7">((V8/U8)-1)*100</f>
        <v>-100</v>
      </c>
      <c r="Y8" s="2279"/>
      <c r="Z8" s="2280"/>
      <c r="AA8" s="2275">
        <f>U8</f>
        <v>410000</v>
      </c>
      <c r="AB8" s="2276"/>
      <c r="AC8" s="2277">
        <f>AB8-AA8</f>
        <v>-410000</v>
      </c>
      <c r="AD8" s="2278">
        <f t="shared" ref="AD8:AD9" si="8">((AB8/AA8)-1)*100</f>
        <v>-100</v>
      </c>
      <c r="AE8" s="2279"/>
      <c r="AF8" s="2280"/>
      <c r="AG8" s="2275">
        <f t="shared" ref="AG8:AG39" si="9">AA8</f>
        <v>410000</v>
      </c>
      <c r="AH8" s="2276"/>
      <c r="AI8" s="2277">
        <f>AH8-AG8</f>
        <v>-410000</v>
      </c>
      <c r="AJ8" s="2278">
        <f t="shared" ref="AJ8:AJ9" si="10">((AH8/AG8)-1)*100</f>
        <v>-100</v>
      </c>
      <c r="AK8" s="2279"/>
      <c r="AL8" s="2280"/>
      <c r="AM8" s="2275">
        <f t="shared" ref="AM8:AM39" si="11">AG8</f>
        <v>410000</v>
      </c>
      <c r="AN8" s="2276"/>
      <c r="AO8" s="2277">
        <f>AN8-AM8</f>
        <v>-410000</v>
      </c>
      <c r="AP8" s="2278">
        <f t="shared" ref="AP8:AP9" si="12">((AN8/AM8)-1)*100</f>
        <v>-100</v>
      </c>
      <c r="AQ8" s="2279"/>
      <c r="AR8" s="2280"/>
      <c r="AS8" s="2275">
        <f t="shared" ref="AS8:AS39" si="13">AM8</f>
        <v>410000</v>
      </c>
      <c r="AT8" s="2276"/>
      <c r="AU8" s="2277">
        <f>AT8-AS8</f>
        <v>-410000</v>
      </c>
      <c r="AV8" s="2278">
        <f t="shared" ref="AV8:AV9" si="14">((AT8/AS8)-1)*100</f>
        <v>-100</v>
      </c>
      <c r="AW8" s="2279"/>
      <c r="AX8" s="2280"/>
      <c r="AY8" s="2275">
        <f t="shared" ref="AY8:AY39" si="15">AS8</f>
        <v>410000</v>
      </c>
      <c r="AZ8" s="2276"/>
      <c r="BA8" s="2277">
        <f>AZ8-AY8</f>
        <v>-410000</v>
      </c>
      <c r="BB8" s="2278">
        <f t="shared" ref="BB8:BB9" si="16">((AZ8/AY8)-1)*100</f>
        <v>-100</v>
      </c>
      <c r="BC8" s="2279"/>
      <c r="BD8" s="2280"/>
      <c r="BE8" s="2275">
        <f t="shared" ref="BE8:BE39" si="17">AY8</f>
        <v>410000</v>
      </c>
      <c r="BF8" s="2276"/>
      <c r="BG8" s="2277">
        <f>BF8-BE8</f>
        <v>-410000</v>
      </c>
      <c r="BH8" s="2278">
        <f t="shared" ref="BH8:BH9" si="18">((BF8/BE8)-1)*100</f>
        <v>-100</v>
      </c>
      <c r="BI8" s="2279"/>
      <c r="BJ8" s="2280"/>
      <c r="BK8" s="2275">
        <f t="shared" ref="BK8:BK17" si="19">BE8</f>
        <v>410000</v>
      </c>
      <c r="BL8" s="2276"/>
      <c r="BM8" s="2277">
        <f>BL8-BK8</f>
        <v>-410000</v>
      </c>
      <c r="BN8" s="2278">
        <f t="shared" ref="BN8:BN9" si="20">((BL8/BK8)-1)*100</f>
        <v>-100</v>
      </c>
      <c r="BO8" s="2279"/>
      <c r="BP8" s="2280"/>
      <c r="BQ8" s="2275">
        <f t="shared" ref="BQ8:BQ36" si="21">BK8</f>
        <v>410000</v>
      </c>
      <c r="BR8" s="2276"/>
      <c r="BS8" s="2277">
        <f>BR8-BQ8</f>
        <v>-410000</v>
      </c>
      <c r="BT8" s="2278">
        <f t="shared" ref="BT8:BT9" si="22">((BR8/BQ8)-1)*100</f>
        <v>-100</v>
      </c>
      <c r="BU8" s="2281"/>
      <c r="BV8" s="2280"/>
      <c r="BW8" s="2282">
        <f t="shared" si="0"/>
        <v>4920000</v>
      </c>
      <c r="BX8" s="1695">
        <f t="shared" si="0"/>
        <v>1329514.43</v>
      </c>
    </row>
    <row r="9" spans="1:78" ht="15.75" thickBot="1" x14ac:dyDescent="0.3">
      <c r="A9" s="2135">
        <v>11498</v>
      </c>
      <c r="B9" s="2283" t="s">
        <v>174</v>
      </c>
      <c r="C9" s="2284">
        <v>11000</v>
      </c>
      <c r="D9" s="2300">
        <v>13241.51</v>
      </c>
      <c r="E9" s="2300">
        <f t="shared" ref="E9:E16" si="23">D9-C9</f>
        <v>2241.5100000000002</v>
      </c>
      <c r="F9" s="2301">
        <f t="shared" si="1"/>
        <v>20.377363636363643</v>
      </c>
      <c r="G9" s="2285"/>
      <c r="H9" s="2280"/>
      <c r="I9" s="2284">
        <f t="shared" si="2"/>
        <v>11000</v>
      </c>
      <c r="J9" s="2300">
        <v>14399.78</v>
      </c>
      <c r="K9" s="2300">
        <f t="shared" ref="K9" si="24">J9-I9</f>
        <v>3399.7800000000007</v>
      </c>
      <c r="L9" s="2301">
        <f t="shared" si="3"/>
        <v>30.907090909090918</v>
      </c>
      <c r="M9" s="2285"/>
      <c r="N9" s="2280"/>
      <c r="O9" s="2284">
        <f t="shared" si="4"/>
        <v>11000</v>
      </c>
      <c r="P9" s="2300">
        <v>13370.73</v>
      </c>
      <c r="Q9" s="2300">
        <f t="shared" ref="Q9" si="25">P9-O9</f>
        <v>2370.7299999999996</v>
      </c>
      <c r="R9" s="2301">
        <f t="shared" si="5"/>
        <v>21.552090909090914</v>
      </c>
      <c r="S9" s="2285"/>
      <c r="T9" s="2280"/>
      <c r="U9" s="2284">
        <f t="shared" si="6"/>
        <v>11000</v>
      </c>
      <c r="V9" s="2300"/>
      <c r="W9" s="2300">
        <f t="shared" ref="W9" si="26">V9-U9</f>
        <v>-11000</v>
      </c>
      <c r="X9" s="2301">
        <f t="shared" si="7"/>
        <v>-100</v>
      </c>
      <c r="Y9" s="2285"/>
      <c r="Z9" s="2280"/>
      <c r="AA9" s="2284">
        <v>25000</v>
      </c>
      <c r="AB9" s="2300"/>
      <c r="AC9" s="2300">
        <f t="shared" ref="AC9" si="27">AB9-AA9</f>
        <v>-25000</v>
      </c>
      <c r="AD9" s="2301">
        <f t="shared" si="8"/>
        <v>-100</v>
      </c>
      <c r="AE9" s="2285"/>
      <c r="AF9" s="2280"/>
      <c r="AG9" s="2284">
        <f t="shared" si="9"/>
        <v>25000</v>
      </c>
      <c r="AH9" s="2300"/>
      <c r="AI9" s="2300">
        <f t="shared" ref="AI9" si="28">AH9-AG9</f>
        <v>-25000</v>
      </c>
      <c r="AJ9" s="2301">
        <f t="shared" si="10"/>
        <v>-100</v>
      </c>
      <c r="AK9" s="2285"/>
      <c r="AL9" s="2280"/>
      <c r="AM9" s="2284">
        <f t="shared" si="11"/>
        <v>25000</v>
      </c>
      <c r="AN9" s="2300"/>
      <c r="AO9" s="2300">
        <f t="shared" ref="AO9" si="29">AN9-AM9</f>
        <v>-25000</v>
      </c>
      <c r="AP9" s="2301">
        <f t="shared" si="12"/>
        <v>-100</v>
      </c>
      <c r="AQ9" s="2285"/>
      <c r="AR9" s="2280"/>
      <c r="AS9" s="2284">
        <f t="shared" si="13"/>
        <v>25000</v>
      </c>
      <c r="AT9" s="2300"/>
      <c r="AU9" s="2300">
        <f t="shared" ref="AU9" si="30">AT9-AS9</f>
        <v>-25000</v>
      </c>
      <c r="AV9" s="2301">
        <f t="shared" si="14"/>
        <v>-100</v>
      </c>
      <c r="AW9" s="2285"/>
      <c r="AX9" s="2280"/>
      <c r="AY9" s="2284">
        <f t="shared" si="15"/>
        <v>25000</v>
      </c>
      <c r="AZ9" s="2300"/>
      <c r="BA9" s="2300">
        <f t="shared" ref="BA9" si="31">AZ9-AY9</f>
        <v>-25000</v>
      </c>
      <c r="BB9" s="2301">
        <f t="shared" si="16"/>
        <v>-100</v>
      </c>
      <c r="BC9" s="2285"/>
      <c r="BD9" s="2280"/>
      <c r="BE9" s="2284">
        <f t="shared" si="17"/>
        <v>25000</v>
      </c>
      <c r="BF9" s="2300"/>
      <c r="BG9" s="2300">
        <f t="shared" ref="BG9" si="32">BF9-BE9</f>
        <v>-25000</v>
      </c>
      <c r="BH9" s="2301">
        <f t="shared" si="18"/>
        <v>-100</v>
      </c>
      <c r="BI9" s="2285"/>
      <c r="BJ9" s="2280"/>
      <c r="BK9" s="2284">
        <f t="shared" si="19"/>
        <v>25000</v>
      </c>
      <c r="BL9" s="2300"/>
      <c r="BM9" s="2300">
        <f t="shared" ref="BM9" si="33">BL9-BK9</f>
        <v>-25000</v>
      </c>
      <c r="BN9" s="2301">
        <f t="shared" si="20"/>
        <v>-100</v>
      </c>
      <c r="BO9" s="2285"/>
      <c r="BP9" s="2280"/>
      <c r="BQ9" s="2284">
        <f t="shared" si="21"/>
        <v>25000</v>
      </c>
      <c r="BR9" s="2300"/>
      <c r="BS9" s="2300">
        <f t="shared" ref="BS9" si="34">BR9-BQ9</f>
        <v>-25000</v>
      </c>
      <c r="BT9" s="2301">
        <f t="shared" si="22"/>
        <v>-100</v>
      </c>
      <c r="BU9" s="2286"/>
      <c r="BV9" s="2280"/>
      <c r="BW9" s="2287">
        <f t="shared" si="0"/>
        <v>244000</v>
      </c>
      <c r="BX9" s="1696">
        <f t="shared" si="0"/>
        <v>41012.020000000004</v>
      </c>
    </row>
    <row r="10" spans="1:78" x14ac:dyDescent="0.25">
      <c r="A10" s="2134">
        <v>11470</v>
      </c>
      <c r="B10" s="2274" t="s">
        <v>3873</v>
      </c>
      <c r="C10" s="2885">
        <v>310000</v>
      </c>
      <c r="D10" s="2288">
        <v>373375.51</v>
      </c>
      <c r="E10" s="2888">
        <f>D10+D12+D11-C10</f>
        <v>70935.510000000009</v>
      </c>
      <c r="F10" s="2891">
        <f>((SUM(D10:D12)/C10)-1)*100</f>
        <v>22.882422580645169</v>
      </c>
      <c r="G10" s="2289"/>
      <c r="H10" s="2280"/>
      <c r="I10" s="2885">
        <f t="shared" si="2"/>
        <v>310000</v>
      </c>
      <c r="J10" s="2288">
        <v>383373.92</v>
      </c>
      <c r="K10" s="2888">
        <f>J10+J12+J11-I10</f>
        <v>80015.919999999984</v>
      </c>
      <c r="L10" s="2891">
        <f>((SUM(J10:J12)/I10)-1)*100</f>
        <v>25.811587096774179</v>
      </c>
      <c r="M10" s="2289"/>
      <c r="N10" s="2280"/>
      <c r="O10" s="2885">
        <f t="shared" si="4"/>
        <v>310000</v>
      </c>
      <c r="P10" s="2288">
        <v>369027.97</v>
      </c>
      <c r="Q10" s="2888">
        <f>P10+P12+P11-O10</f>
        <v>66389.969999999972</v>
      </c>
      <c r="R10" s="2891">
        <f>((SUM(P10:P12)/O10)-1)*100</f>
        <v>21.416119354838692</v>
      </c>
      <c r="S10" s="2289"/>
      <c r="T10" s="2280"/>
      <c r="U10" s="2885">
        <f t="shared" si="6"/>
        <v>310000</v>
      </c>
      <c r="V10" s="2288"/>
      <c r="W10" s="2888">
        <f>V10+V12+V11-U10</f>
        <v>-310000</v>
      </c>
      <c r="X10" s="2891">
        <f>((SUM(V10:V12)/U10)-1)*100</f>
        <v>-100</v>
      </c>
      <c r="Y10" s="2289"/>
      <c r="Z10" s="2280"/>
      <c r="AA10" s="2885">
        <v>355000</v>
      </c>
      <c r="AB10" s="2288"/>
      <c r="AC10" s="2888">
        <f>AB10+AB12+AB11-AA10</f>
        <v>-355000</v>
      </c>
      <c r="AD10" s="2891">
        <f>((SUM(AB10:AB12)/AA10)-1)*100</f>
        <v>-100</v>
      </c>
      <c r="AE10" s="2289"/>
      <c r="AF10" s="2280"/>
      <c r="AG10" s="2885">
        <f t="shared" si="9"/>
        <v>355000</v>
      </c>
      <c r="AH10" s="2288"/>
      <c r="AI10" s="2888">
        <f>AH10+AH12+AH11-AG10</f>
        <v>-355000</v>
      </c>
      <c r="AJ10" s="2891">
        <f>((SUM(AH10:AH12)/AG10)-1)*100</f>
        <v>-100</v>
      </c>
      <c r="AK10" s="2289"/>
      <c r="AL10" s="2280"/>
      <c r="AM10" s="2885">
        <f t="shared" si="11"/>
        <v>355000</v>
      </c>
      <c r="AN10" s="2288"/>
      <c r="AO10" s="2888">
        <f>AN10+AN12+AN11-AM10</f>
        <v>-355000</v>
      </c>
      <c r="AP10" s="2891">
        <f>((SUM(AN10:AN12)/AM10)-1)*100</f>
        <v>-100</v>
      </c>
      <c r="AQ10" s="2289"/>
      <c r="AR10" s="2280"/>
      <c r="AS10" s="2885">
        <f t="shared" si="13"/>
        <v>355000</v>
      </c>
      <c r="AT10" s="2288"/>
      <c r="AU10" s="2888">
        <f>AT10+AT12+AT11-AS10</f>
        <v>-355000</v>
      </c>
      <c r="AV10" s="2891">
        <f>((SUM(AT10:AT12)/AS10)-1)*100</f>
        <v>-100</v>
      </c>
      <c r="AW10" s="2289"/>
      <c r="AX10" s="2280"/>
      <c r="AY10" s="2885">
        <f t="shared" si="15"/>
        <v>355000</v>
      </c>
      <c r="AZ10" s="2288"/>
      <c r="BA10" s="2888">
        <f>AZ10+AZ12+AZ11-AY10</f>
        <v>-355000</v>
      </c>
      <c r="BB10" s="2891">
        <f>((SUM(AZ10:AZ12)/AY10)-1)*100</f>
        <v>-100</v>
      </c>
      <c r="BC10" s="2289"/>
      <c r="BD10" s="2280"/>
      <c r="BE10" s="2885">
        <f t="shared" si="17"/>
        <v>355000</v>
      </c>
      <c r="BF10" s="2288"/>
      <c r="BG10" s="2888">
        <f>BF10+BF12+BF11-BE10</f>
        <v>-355000</v>
      </c>
      <c r="BH10" s="2891">
        <f>((SUM(BF10:BF12)/BE10)-1)*100</f>
        <v>-100</v>
      </c>
      <c r="BI10" s="2289"/>
      <c r="BJ10" s="2280"/>
      <c r="BK10" s="2885">
        <f t="shared" si="19"/>
        <v>355000</v>
      </c>
      <c r="BL10" s="2288"/>
      <c r="BM10" s="2888">
        <f>BL10+BL12+BL11-BK10</f>
        <v>-355000</v>
      </c>
      <c r="BN10" s="2891">
        <f>((SUM(BL10:BL12)/BK10)-1)*100</f>
        <v>-100</v>
      </c>
      <c r="BO10" s="2289"/>
      <c r="BP10" s="2280"/>
      <c r="BQ10" s="2885">
        <f t="shared" si="21"/>
        <v>355000</v>
      </c>
      <c r="BR10" s="2288"/>
      <c r="BS10" s="2888">
        <f>BR10+BR12+BR11-BQ10</f>
        <v>-355000</v>
      </c>
      <c r="BT10" s="2891">
        <f>((SUM(BR10:BR12)/BQ10)-1)*100</f>
        <v>-100</v>
      </c>
      <c r="BU10" s="2290"/>
      <c r="BV10" s="2280"/>
      <c r="BW10" s="2876">
        <f t="shared" si="0"/>
        <v>4080000</v>
      </c>
      <c r="BX10" s="2895">
        <f>D10+J10+P10+V10+AB10+AH10+AN10+AT10+AZ10+BF10+BL10+BR10+D12+J12+P12+V12+AB12+AH12+AN12+AT12+AZ12+BF12+BL12+BR12+D11+J11+P11+V11+AB11+AH11+AN11+AT11+AZ11+BF11+BL11+BR11</f>
        <v>1147341.3999999999</v>
      </c>
    </row>
    <row r="11" spans="1:78" x14ac:dyDescent="0.25">
      <c r="A11" s="2135">
        <v>55262</v>
      </c>
      <c r="B11" s="2283" t="s">
        <v>3802</v>
      </c>
      <c r="C11" s="2886"/>
      <c r="D11" s="2311">
        <v>7560</v>
      </c>
      <c r="E11" s="2889"/>
      <c r="F11" s="2892"/>
      <c r="G11" s="2285"/>
      <c r="H11" s="2280"/>
      <c r="I11" s="2886"/>
      <c r="J11" s="2311">
        <v>6642</v>
      </c>
      <c r="K11" s="2889"/>
      <c r="L11" s="2892"/>
      <c r="M11" s="2285"/>
      <c r="N11" s="2280"/>
      <c r="O11" s="2886"/>
      <c r="P11" s="2300">
        <v>7362</v>
      </c>
      <c r="Q11" s="2889"/>
      <c r="R11" s="2892"/>
      <c r="S11" s="2285"/>
      <c r="T11" s="2280"/>
      <c r="U11" s="2886"/>
      <c r="V11" s="2311"/>
      <c r="W11" s="2889"/>
      <c r="X11" s="2892"/>
      <c r="Y11" s="2285"/>
      <c r="Z11" s="2280"/>
      <c r="AA11" s="2886"/>
      <c r="AB11" s="2300"/>
      <c r="AC11" s="2889"/>
      <c r="AD11" s="2892"/>
      <c r="AE11" s="2285"/>
      <c r="AF11" s="2280"/>
      <c r="AG11" s="2886"/>
      <c r="AH11" s="2311"/>
      <c r="AI11" s="2889"/>
      <c r="AJ11" s="2892"/>
      <c r="AK11" s="2285"/>
      <c r="AL11" s="2280"/>
      <c r="AM11" s="2886"/>
      <c r="AN11" s="2311"/>
      <c r="AO11" s="2889"/>
      <c r="AP11" s="2892"/>
      <c r="AQ11" s="2285"/>
      <c r="AR11" s="2280"/>
      <c r="AS11" s="2886"/>
      <c r="AT11" s="2311"/>
      <c r="AU11" s="2889"/>
      <c r="AV11" s="2892"/>
      <c r="AW11" s="2285"/>
      <c r="AX11" s="2280"/>
      <c r="AY11" s="2886"/>
      <c r="AZ11" s="2311"/>
      <c r="BA11" s="2889"/>
      <c r="BB11" s="2892"/>
      <c r="BC11" s="2285"/>
      <c r="BD11" s="2280"/>
      <c r="BE11" s="2886"/>
      <c r="BF11" s="2311"/>
      <c r="BG11" s="2889"/>
      <c r="BH11" s="2892"/>
      <c r="BI11" s="2285"/>
      <c r="BJ11" s="2280"/>
      <c r="BK11" s="2886"/>
      <c r="BL11" s="2311"/>
      <c r="BM11" s="2889"/>
      <c r="BN11" s="2892"/>
      <c r="BO11" s="2285"/>
      <c r="BP11" s="2280"/>
      <c r="BQ11" s="2886"/>
      <c r="BR11" s="2300"/>
      <c r="BS11" s="2889"/>
      <c r="BT11" s="2892"/>
      <c r="BU11" s="2286"/>
      <c r="BV11" s="2280"/>
      <c r="BW11" s="2894"/>
      <c r="BX11" s="2896"/>
    </row>
    <row r="12" spans="1:78" ht="15.75" thickBot="1" x14ac:dyDescent="0.3">
      <c r="A12" s="2291">
        <v>11446</v>
      </c>
      <c r="B12" s="2211" t="s">
        <v>3874</v>
      </c>
      <c r="C12" s="2887"/>
      <c r="D12" s="2293">
        <v>0</v>
      </c>
      <c r="E12" s="2890"/>
      <c r="F12" s="2893"/>
      <c r="G12" s="2294"/>
      <c r="H12" s="2280"/>
      <c r="I12" s="2887"/>
      <c r="J12" s="2293">
        <v>0</v>
      </c>
      <c r="K12" s="2890"/>
      <c r="L12" s="2893"/>
      <c r="M12" s="2294"/>
      <c r="N12" s="2280"/>
      <c r="O12" s="2887"/>
      <c r="P12" s="2347">
        <v>0</v>
      </c>
      <c r="Q12" s="2890"/>
      <c r="R12" s="2893"/>
      <c r="S12" s="2294"/>
      <c r="T12" s="2280"/>
      <c r="U12" s="2887"/>
      <c r="V12" s="2293"/>
      <c r="W12" s="2890"/>
      <c r="X12" s="2893"/>
      <c r="Y12" s="2294"/>
      <c r="Z12" s="2280"/>
      <c r="AA12" s="2887"/>
      <c r="AB12" s="2347"/>
      <c r="AC12" s="2890"/>
      <c r="AD12" s="2893"/>
      <c r="AE12" s="2294"/>
      <c r="AF12" s="2280"/>
      <c r="AG12" s="2887"/>
      <c r="AH12" s="2293"/>
      <c r="AI12" s="2890"/>
      <c r="AJ12" s="2893"/>
      <c r="AK12" s="2294"/>
      <c r="AL12" s="2280"/>
      <c r="AM12" s="2887"/>
      <c r="AN12" s="2293"/>
      <c r="AO12" s="2890"/>
      <c r="AP12" s="2893"/>
      <c r="AQ12" s="2294"/>
      <c r="AR12" s="2280"/>
      <c r="AS12" s="2887"/>
      <c r="AT12" s="2293"/>
      <c r="AU12" s="2890"/>
      <c r="AV12" s="2893"/>
      <c r="AW12" s="2294"/>
      <c r="AX12" s="2280"/>
      <c r="AY12" s="2887"/>
      <c r="AZ12" s="2293"/>
      <c r="BA12" s="2890"/>
      <c r="BB12" s="2893"/>
      <c r="BC12" s="2294"/>
      <c r="BD12" s="2280"/>
      <c r="BE12" s="2887"/>
      <c r="BF12" s="2293"/>
      <c r="BG12" s="2890"/>
      <c r="BH12" s="2893"/>
      <c r="BI12" s="2294"/>
      <c r="BJ12" s="2280"/>
      <c r="BK12" s="2887"/>
      <c r="BL12" s="2293"/>
      <c r="BM12" s="2890"/>
      <c r="BN12" s="2893"/>
      <c r="BO12" s="2294"/>
      <c r="BP12" s="2280"/>
      <c r="BQ12" s="2887"/>
      <c r="BR12" s="2347"/>
      <c r="BS12" s="2890"/>
      <c r="BT12" s="2893"/>
      <c r="BU12" s="2295"/>
      <c r="BV12" s="2280"/>
      <c r="BW12" s="2877"/>
      <c r="BX12" s="2897"/>
    </row>
    <row r="13" spans="1:78" ht="15.75" thickBot="1" x14ac:dyDescent="0.3">
      <c r="A13" s="2135">
        <v>11652</v>
      </c>
      <c r="B13" s="2283" t="s">
        <v>178</v>
      </c>
      <c r="C13" s="2299">
        <v>5000</v>
      </c>
      <c r="D13" s="2300">
        <v>1391.02</v>
      </c>
      <c r="E13" s="2300">
        <f t="shared" si="23"/>
        <v>-3608.98</v>
      </c>
      <c r="F13" s="2301">
        <f t="shared" si="1"/>
        <v>-72.179599999999994</v>
      </c>
      <c r="G13" s="2285"/>
      <c r="H13" s="2280"/>
      <c r="I13" s="2299">
        <f t="shared" si="2"/>
        <v>5000</v>
      </c>
      <c r="J13" s="2300">
        <v>18367.189999999999</v>
      </c>
      <c r="K13" s="2300">
        <f t="shared" ref="K13" si="35">J13-I13</f>
        <v>13367.189999999999</v>
      </c>
      <c r="L13" s="2301">
        <f t="shared" ref="L13" si="36">((J13/I13)-1)*100</f>
        <v>267.34379999999993</v>
      </c>
      <c r="M13" s="2285"/>
      <c r="N13" s="2280"/>
      <c r="O13" s="2299">
        <f t="shared" si="4"/>
        <v>5000</v>
      </c>
      <c r="P13" s="2300">
        <v>11119.05</v>
      </c>
      <c r="Q13" s="2300">
        <f t="shared" ref="Q13" si="37">P13-O13</f>
        <v>6119.0499999999993</v>
      </c>
      <c r="R13" s="2301">
        <f t="shared" ref="R13" si="38">((P13/O13)-1)*100</f>
        <v>122.38099999999999</v>
      </c>
      <c r="S13" s="2285"/>
      <c r="T13" s="2280"/>
      <c r="U13" s="2299">
        <f t="shared" si="6"/>
        <v>5000</v>
      </c>
      <c r="V13" s="2300"/>
      <c r="W13" s="2300">
        <f t="shared" ref="W13" si="39">V13-U13</f>
        <v>-5000</v>
      </c>
      <c r="X13" s="2301">
        <f t="shared" ref="X13" si="40">((V13/U13)-1)*100</f>
        <v>-100</v>
      </c>
      <c r="Y13" s="2285"/>
      <c r="Z13" s="2280"/>
      <c r="AA13" s="2299">
        <v>5500</v>
      </c>
      <c r="AB13" s="2300"/>
      <c r="AC13" s="2300">
        <f t="shared" ref="AC13" si="41">AB13-AA13</f>
        <v>-5500</v>
      </c>
      <c r="AD13" s="2301">
        <f t="shared" ref="AD13" si="42">((AB13/AA13)-1)*100</f>
        <v>-100</v>
      </c>
      <c r="AE13" s="2285"/>
      <c r="AF13" s="2280"/>
      <c r="AG13" s="2299">
        <f t="shared" si="9"/>
        <v>5500</v>
      </c>
      <c r="AH13" s="2300"/>
      <c r="AI13" s="2300">
        <f t="shared" ref="AI13" si="43">AH13-AG13</f>
        <v>-5500</v>
      </c>
      <c r="AJ13" s="2301">
        <f t="shared" ref="AJ13" si="44">((AH13/AG13)-1)*100</f>
        <v>-100</v>
      </c>
      <c r="AK13" s="2285"/>
      <c r="AL13" s="2280"/>
      <c r="AM13" s="2299">
        <f t="shared" si="11"/>
        <v>5500</v>
      </c>
      <c r="AN13" s="2300"/>
      <c r="AO13" s="2300">
        <f t="shared" ref="AO13" si="45">AN13-AM13</f>
        <v>-5500</v>
      </c>
      <c r="AP13" s="2301">
        <f t="shared" ref="AP13" si="46">((AN13/AM13)-1)*100</f>
        <v>-100</v>
      </c>
      <c r="AQ13" s="2285"/>
      <c r="AR13" s="2280"/>
      <c r="AS13" s="2299">
        <f t="shared" si="13"/>
        <v>5500</v>
      </c>
      <c r="AT13" s="2300"/>
      <c r="AU13" s="2300">
        <f t="shared" ref="AU13" si="47">AT13-AS13</f>
        <v>-5500</v>
      </c>
      <c r="AV13" s="2301">
        <f t="shared" ref="AV13" si="48">((AT13/AS13)-1)*100</f>
        <v>-100</v>
      </c>
      <c r="AW13" s="2285"/>
      <c r="AX13" s="2280"/>
      <c r="AY13" s="2299">
        <f t="shared" si="15"/>
        <v>5500</v>
      </c>
      <c r="AZ13" s="2300"/>
      <c r="BA13" s="2300">
        <f t="shared" ref="BA13" si="49">AZ13-AY13</f>
        <v>-5500</v>
      </c>
      <c r="BB13" s="2301">
        <f t="shared" ref="BB13" si="50">((AZ13/AY13)-1)*100</f>
        <v>-100</v>
      </c>
      <c r="BC13" s="2285"/>
      <c r="BD13" s="2280"/>
      <c r="BE13" s="2299">
        <f t="shared" si="17"/>
        <v>5500</v>
      </c>
      <c r="BF13" s="2300"/>
      <c r="BG13" s="2300">
        <f t="shared" ref="BG13" si="51">BF13-BE13</f>
        <v>-5500</v>
      </c>
      <c r="BH13" s="2301">
        <f t="shared" ref="BH13" si="52">((BF13/BE13)-1)*100</f>
        <v>-100</v>
      </c>
      <c r="BI13" s="2285"/>
      <c r="BJ13" s="2280"/>
      <c r="BK13" s="2299">
        <f t="shared" si="19"/>
        <v>5500</v>
      </c>
      <c r="BL13" s="2300"/>
      <c r="BM13" s="2300">
        <f t="shared" ref="BM13" si="53">BL13-BK13</f>
        <v>-5500</v>
      </c>
      <c r="BN13" s="2301">
        <f t="shared" ref="BN13" si="54">((BL13/BK13)-1)*100</f>
        <v>-100</v>
      </c>
      <c r="BO13" s="2285"/>
      <c r="BP13" s="2280"/>
      <c r="BQ13" s="2299">
        <f t="shared" si="21"/>
        <v>5500</v>
      </c>
      <c r="BR13" s="2300"/>
      <c r="BS13" s="2300">
        <f t="shared" ref="BS13" si="55">BR13-BQ13</f>
        <v>-5500</v>
      </c>
      <c r="BT13" s="2301">
        <f t="shared" ref="BT13" si="56">((BR13/BQ13)-1)*100</f>
        <v>-100</v>
      </c>
      <c r="BU13" s="2286"/>
      <c r="BV13" s="2280"/>
      <c r="BW13" s="2296">
        <f>C13+I13+O13+U13+AA13+AG13+AM13+AS13+AY13+BE13+BK13+BQ13</f>
        <v>64000</v>
      </c>
      <c r="BX13" s="1697">
        <f>D13+J13+P13+V13+AB13+AH13+AN13+AT13+AZ13+BF13+BL13+BR13</f>
        <v>30877.26</v>
      </c>
    </row>
    <row r="14" spans="1:78" x14ac:dyDescent="0.25">
      <c r="A14" s="2134">
        <v>12336</v>
      </c>
      <c r="B14" s="2274" t="s">
        <v>47</v>
      </c>
      <c r="C14" s="2885">
        <v>4000</v>
      </c>
      <c r="D14" s="2288">
        <v>2916.06</v>
      </c>
      <c r="E14" s="2888">
        <f>D14+D15-C14</f>
        <v>-1083.94</v>
      </c>
      <c r="F14" s="2891">
        <f>(((D14:D15)/C14)-1)*100</f>
        <v>-27.098500000000001</v>
      </c>
      <c r="G14" s="2289"/>
      <c r="H14" s="2280"/>
      <c r="I14" s="2885">
        <f t="shared" si="2"/>
        <v>4000</v>
      </c>
      <c r="J14" s="2288">
        <v>46182.98</v>
      </c>
      <c r="K14" s="2888">
        <f>J14+J15-I14</f>
        <v>42182.98</v>
      </c>
      <c r="L14" s="2891">
        <f>(((J14:J15)/I14)-1)*100</f>
        <v>1054.5744999999999</v>
      </c>
      <c r="M14" s="2289"/>
      <c r="N14" s="2280"/>
      <c r="O14" s="2885">
        <f t="shared" si="4"/>
        <v>4000</v>
      </c>
      <c r="P14" s="2288">
        <v>13576.22</v>
      </c>
      <c r="Q14" s="2888">
        <f>P14+P15-O14</f>
        <v>9576.2199999999993</v>
      </c>
      <c r="R14" s="2891">
        <f>(((P14:P15)/O14)-1)*100</f>
        <v>239.40549999999999</v>
      </c>
      <c r="S14" s="2289"/>
      <c r="T14" s="2280"/>
      <c r="U14" s="2885">
        <f t="shared" si="6"/>
        <v>4000</v>
      </c>
      <c r="V14" s="2288"/>
      <c r="W14" s="2888">
        <f>V14+V15-U14</f>
        <v>-4000</v>
      </c>
      <c r="X14" s="2891">
        <f>(((V14:V15)/U14)-1)*100</f>
        <v>-100</v>
      </c>
      <c r="Y14" s="2289"/>
      <c r="Z14" s="2280"/>
      <c r="AA14" s="2885">
        <f>U14</f>
        <v>4000</v>
      </c>
      <c r="AB14" s="2288"/>
      <c r="AC14" s="2888">
        <f>AB14+AB15-AA14</f>
        <v>-4000</v>
      </c>
      <c r="AD14" s="2891">
        <f>(((AB14:AB15)/AA14)-1)*100</f>
        <v>-100</v>
      </c>
      <c r="AE14" s="2289"/>
      <c r="AF14" s="2280"/>
      <c r="AG14" s="2885">
        <f t="shared" si="9"/>
        <v>4000</v>
      </c>
      <c r="AH14" s="2288"/>
      <c r="AI14" s="2888">
        <f>AH14+AH15-AG14</f>
        <v>-4000</v>
      </c>
      <c r="AJ14" s="2891">
        <f>(((AH14:AH15)/AG14)-1)*100</f>
        <v>-100</v>
      </c>
      <c r="AK14" s="2289"/>
      <c r="AL14" s="2280"/>
      <c r="AM14" s="2885">
        <f t="shared" si="11"/>
        <v>4000</v>
      </c>
      <c r="AN14" s="2288"/>
      <c r="AO14" s="2888">
        <f>AN14+AN15-AM14</f>
        <v>-4000</v>
      </c>
      <c r="AP14" s="2891">
        <f>(((AN14:AN15)/AM14)-1)*100</f>
        <v>-100</v>
      </c>
      <c r="AQ14" s="2289"/>
      <c r="AR14" s="2280"/>
      <c r="AS14" s="2885">
        <f t="shared" si="13"/>
        <v>4000</v>
      </c>
      <c r="AT14" s="2288"/>
      <c r="AU14" s="2888">
        <f>AT14+AT15-AS14</f>
        <v>-4000</v>
      </c>
      <c r="AV14" s="2891">
        <f>(((AT14:AT15)/AS14)-1)*100</f>
        <v>-100</v>
      </c>
      <c r="AW14" s="2289"/>
      <c r="AX14" s="2280"/>
      <c r="AY14" s="2885">
        <f t="shared" si="15"/>
        <v>4000</v>
      </c>
      <c r="AZ14" s="2288"/>
      <c r="BA14" s="2888">
        <f>AZ14+AZ15-AY14</f>
        <v>-4000</v>
      </c>
      <c r="BB14" s="2891">
        <f>(((AZ14:AZ15)/AY14)-1)*100</f>
        <v>-100</v>
      </c>
      <c r="BC14" s="2289"/>
      <c r="BD14" s="2280"/>
      <c r="BE14" s="2885">
        <f t="shared" si="17"/>
        <v>4000</v>
      </c>
      <c r="BF14" s="2288"/>
      <c r="BG14" s="2888">
        <f>BF14+BF15-BE14</f>
        <v>-4000</v>
      </c>
      <c r="BH14" s="2891">
        <f>(((BF14:BF15)/BE14)-1)*100</f>
        <v>-100</v>
      </c>
      <c r="BI14" s="2289"/>
      <c r="BJ14" s="2280"/>
      <c r="BK14" s="2885">
        <f t="shared" si="19"/>
        <v>4000</v>
      </c>
      <c r="BL14" s="2288"/>
      <c r="BM14" s="2888">
        <f>BL14+BL15-BK14</f>
        <v>-4000</v>
      </c>
      <c r="BN14" s="2891">
        <f>(((BL14:BL15)/BK14)-1)*100</f>
        <v>-100</v>
      </c>
      <c r="BO14" s="2289"/>
      <c r="BP14" s="2280"/>
      <c r="BQ14" s="2885">
        <f t="shared" si="21"/>
        <v>4000</v>
      </c>
      <c r="BR14" s="2288"/>
      <c r="BS14" s="2888">
        <f>BR14+BR15-BQ14</f>
        <v>-4000</v>
      </c>
      <c r="BT14" s="2891">
        <f>(((BR14:BR15)/BQ14)-1)*100</f>
        <v>-100</v>
      </c>
      <c r="BU14" s="2290"/>
      <c r="BV14" s="2280"/>
      <c r="BW14" s="2876">
        <f>C14+I14+O14+U14+AA14+AG14+AM14+AS14+AY14+BE14+BK14+BQ14</f>
        <v>48000</v>
      </c>
      <c r="BX14" s="2895">
        <f>D14+J14+P14+V14+AB14+AH14+AN14+AT14+AZ14+BF14+BL14+BR14+D15+J15+P15+V15+AB15+AH15+AN15+AT15+AZ15+BF15+BL15+BR15</f>
        <v>62675.26</v>
      </c>
    </row>
    <row r="15" spans="1:78" ht="15.75" thickBot="1" x14ac:dyDescent="0.3">
      <c r="A15" s="2291">
        <v>11837</v>
      </c>
      <c r="B15" s="2292" t="s">
        <v>3875</v>
      </c>
      <c r="C15" s="2887"/>
      <c r="D15" s="2293">
        <v>0</v>
      </c>
      <c r="E15" s="2890"/>
      <c r="F15" s="2893"/>
      <c r="G15" s="2294"/>
      <c r="H15" s="2280"/>
      <c r="I15" s="2887"/>
      <c r="J15" s="2293">
        <v>0</v>
      </c>
      <c r="K15" s="2890"/>
      <c r="L15" s="2893"/>
      <c r="M15" s="2294"/>
      <c r="N15" s="2280"/>
      <c r="O15" s="2887"/>
      <c r="P15" s="2293">
        <v>0</v>
      </c>
      <c r="Q15" s="2890"/>
      <c r="R15" s="2893"/>
      <c r="S15" s="2294"/>
      <c r="T15" s="2280"/>
      <c r="U15" s="2887"/>
      <c r="V15" s="2293"/>
      <c r="W15" s="2890"/>
      <c r="X15" s="2893"/>
      <c r="Y15" s="2294"/>
      <c r="Z15" s="2280"/>
      <c r="AA15" s="2887"/>
      <c r="AB15" s="2293"/>
      <c r="AC15" s="2890"/>
      <c r="AD15" s="2893"/>
      <c r="AE15" s="2294"/>
      <c r="AF15" s="2280"/>
      <c r="AG15" s="2887"/>
      <c r="AH15" s="2293"/>
      <c r="AI15" s="2890"/>
      <c r="AJ15" s="2893"/>
      <c r="AK15" s="2294"/>
      <c r="AL15" s="2280"/>
      <c r="AM15" s="2887"/>
      <c r="AN15" s="2293"/>
      <c r="AO15" s="2890"/>
      <c r="AP15" s="2893"/>
      <c r="AQ15" s="2294"/>
      <c r="AR15" s="2280"/>
      <c r="AS15" s="2887"/>
      <c r="AT15" s="2293"/>
      <c r="AU15" s="2890"/>
      <c r="AV15" s="2893"/>
      <c r="AW15" s="2294"/>
      <c r="AX15" s="2280"/>
      <c r="AY15" s="2887"/>
      <c r="AZ15" s="2293"/>
      <c r="BA15" s="2890"/>
      <c r="BB15" s="2893"/>
      <c r="BC15" s="2294"/>
      <c r="BD15" s="2280"/>
      <c r="BE15" s="2887"/>
      <c r="BF15" s="2293"/>
      <c r="BG15" s="2890"/>
      <c r="BH15" s="2893"/>
      <c r="BI15" s="2294"/>
      <c r="BJ15" s="2280"/>
      <c r="BK15" s="2887"/>
      <c r="BL15" s="2293"/>
      <c r="BM15" s="2890"/>
      <c r="BN15" s="2893"/>
      <c r="BO15" s="2294"/>
      <c r="BP15" s="2280"/>
      <c r="BQ15" s="2887"/>
      <c r="BR15" s="2293"/>
      <c r="BS15" s="2890"/>
      <c r="BT15" s="2893"/>
      <c r="BU15" s="2295"/>
      <c r="BV15" s="2280"/>
      <c r="BW15" s="2877"/>
      <c r="BX15" s="2897"/>
    </row>
    <row r="16" spans="1:78" ht="15.75" thickBot="1" x14ac:dyDescent="0.3">
      <c r="A16" s="2135">
        <v>12320</v>
      </c>
      <c r="B16" s="2283" t="s">
        <v>175</v>
      </c>
      <c r="C16" s="2299">
        <v>11000</v>
      </c>
      <c r="D16" s="2300">
        <v>5788</v>
      </c>
      <c r="E16" s="2300">
        <f t="shared" si="23"/>
        <v>-5212</v>
      </c>
      <c r="F16" s="2301">
        <f>((D16/C16)-1)*100</f>
        <v>-47.381818181818183</v>
      </c>
      <c r="G16" s="2297"/>
      <c r="H16" s="2280"/>
      <c r="I16" s="2299">
        <f t="shared" si="2"/>
        <v>11000</v>
      </c>
      <c r="J16" s="2300">
        <v>9088.66</v>
      </c>
      <c r="K16" s="2300">
        <f t="shared" ref="K16" si="57">J16-I16</f>
        <v>-1911.3400000000001</v>
      </c>
      <c r="L16" s="2301">
        <f>((J16/I16)-1)*100</f>
        <v>-17.375818181818182</v>
      </c>
      <c r="M16" s="2285"/>
      <c r="N16" s="2280"/>
      <c r="O16" s="2299">
        <f t="shared" si="4"/>
        <v>11000</v>
      </c>
      <c r="P16" s="2300">
        <v>17992.66</v>
      </c>
      <c r="Q16" s="2300">
        <f t="shared" ref="Q16" si="58">P16-O16</f>
        <v>6992.66</v>
      </c>
      <c r="R16" s="2301">
        <f>((P16/O16)-1)*100</f>
        <v>63.56963636363637</v>
      </c>
      <c r="S16" s="2285"/>
      <c r="T16" s="2280"/>
      <c r="U16" s="2299">
        <f t="shared" si="6"/>
        <v>11000</v>
      </c>
      <c r="V16" s="2300"/>
      <c r="W16" s="2300">
        <f t="shared" ref="W16" si="59">V16-U16</f>
        <v>-11000</v>
      </c>
      <c r="X16" s="2301">
        <f>((V16/U16)-1)*100</f>
        <v>-100</v>
      </c>
      <c r="Y16" s="2285"/>
      <c r="Z16" s="2280"/>
      <c r="AA16" s="2299">
        <v>13000</v>
      </c>
      <c r="AB16" s="2300"/>
      <c r="AC16" s="2300">
        <f t="shared" ref="AC16" si="60">AB16-AA16</f>
        <v>-13000</v>
      </c>
      <c r="AD16" s="2301">
        <f>((AB16/AA16)-1)*100</f>
        <v>-100</v>
      </c>
      <c r="AE16" s="2285"/>
      <c r="AF16" s="2280"/>
      <c r="AG16" s="2299">
        <f t="shared" si="9"/>
        <v>13000</v>
      </c>
      <c r="AH16" s="2300"/>
      <c r="AI16" s="2300">
        <f t="shared" ref="AI16" si="61">AH16-AG16</f>
        <v>-13000</v>
      </c>
      <c r="AJ16" s="2301">
        <f>((AH16/AG16)-1)*100</f>
        <v>-100</v>
      </c>
      <c r="AK16" s="2285"/>
      <c r="AL16" s="2280"/>
      <c r="AM16" s="2299">
        <f t="shared" si="11"/>
        <v>13000</v>
      </c>
      <c r="AN16" s="2300"/>
      <c r="AO16" s="2300">
        <f t="shared" ref="AO16" si="62">AN16-AM16</f>
        <v>-13000</v>
      </c>
      <c r="AP16" s="2301">
        <f>((AN16/AM16)-1)*100</f>
        <v>-100</v>
      </c>
      <c r="AQ16" s="2285"/>
      <c r="AR16" s="2280"/>
      <c r="AS16" s="2299">
        <f t="shared" si="13"/>
        <v>13000</v>
      </c>
      <c r="AT16" s="2300"/>
      <c r="AU16" s="2300">
        <f t="shared" ref="AU16" si="63">AT16-AS16</f>
        <v>-13000</v>
      </c>
      <c r="AV16" s="2301">
        <f>((AT16/AS16)-1)*100</f>
        <v>-100</v>
      </c>
      <c r="AW16" s="2285"/>
      <c r="AX16" s="2280"/>
      <c r="AY16" s="2299">
        <f t="shared" si="15"/>
        <v>13000</v>
      </c>
      <c r="AZ16" s="2300"/>
      <c r="BA16" s="2300">
        <f t="shared" ref="BA16" si="64">AZ16-AY16</f>
        <v>-13000</v>
      </c>
      <c r="BB16" s="2301">
        <f>((AZ16/AY16)-1)*100</f>
        <v>-100</v>
      </c>
      <c r="BC16" s="2285"/>
      <c r="BD16" s="2280"/>
      <c r="BE16" s="2299">
        <f t="shared" si="17"/>
        <v>13000</v>
      </c>
      <c r="BF16" s="2300"/>
      <c r="BG16" s="2300">
        <f t="shared" ref="BG16" si="65">BF16-BE16</f>
        <v>-13000</v>
      </c>
      <c r="BH16" s="2301">
        <f>((BF16/BE16)-1)*100</f>
        <v>-100</v>
      </c>
      <c r="BI16" s="2285"/>
      <c r="BJ16" s="2280"/>
      <c r="BK16" s="2299">
        <f t="shared" si="19"/>
        <v>13000</v>
      </c>
      <c r="BL16" s="2300"/>
      <c r="BM16" s="2300">
        <f t="shared" ref="BM16" si="66">BL16-BK16</f>
        <v>-13000</v>
      </c>
      <c r="BN16" s="2301">
        <f>((BL16/BK16)-1)*100</f>
        <v>-100</v>
      </c>
      <c r="BO16" s="2285"/>
      <c r="BP16" s="2280"/>
      <c r="BQ16" s="2299">
        <f t="shared" si="21"/>
        <v>13000</v>
      </c>
      <c r="BR16" s="2300"/>
      <c r="BS16" s="2300">
        <f t="shared" ref="BS16" si="67">BR16-BQ16</f>
        <v>-13000</v>
      </c>
      <c r="BT16" s="2301">
        <f>((BR16/BQ16)-1)*100</f>
        <v>-100</v>
      </c>
      <c r="BU16" s="2286"/>
      <c r="BV16" s="2280"/>
      <c r="BW16" s="2296">
        <f>C16+I16+O16+U16+AA16+AG16+AM16+AS16+AY16+BE16+BK16+BQ16</f>
        <v>148000</v>
      </c>
      <c r="BX16" s="1697">
        <f>D16+J16+P16+V16+AB16+AH16+AN16+AT16+AZ16+BF16+BL16+BR16</f>
        <v>32869.32</v>
      </c>
    </row>
    <row r="17" spans="1:76" x14ac:dyDescent="0.25">
      <c r="A17" s="2134">
        <v>11646</v>
      </c>
      <c r="B17" s="2274" t="s">
        <v>43</v>
      </c>
      <c r="C17" s="2885">
        <v>2500</v>
      </c>
      <c r="D17" s="2288">
        <v>2526</v>
      </c>
      <c r="E17" s="2888">
        <f>D17+D18+D19+D20-C17</f>
        <v>1139.46</v>
      </c>
      <c r="F17" s="2891">
        <f>((SUM(D17:D20)/C17)-1)*100</f>
        <v>45.578399999999995</v>
      </c>
      <c r="G17" s="2289"/>
      <c r="H17" s="2280"/>
      <c r="I17" s="2885">
        <f t="shared" si="2"/>
        <v>2500</v>
      </c>
      <c r="J17" s="2288">
        <v>2430</v>
      </c>
      <c r="K17" s="2888">
        <f>J17+J18+J19+J20-I17</f>
        <v>270.77999999999975</v>
      </c>
      <c r="L17" s="2891">
        <f>((SUM(J17:J20)/I17)-1)*100</f>
        <v>10.831199999999995</v>
      </c>
      <c r="M17" s="2289"/>
      <c r="N17" s="2280"/>
      <c r="O17" s="2885">
        <f t="shared" si="4"/>
        <v>2500</v>
      </c>
      <c r="P17" s="2288">
        <v>1840.45</v>
      </c>
      <c r="Q17" s="2888">
        <f>P17+P18+P19+P20-O17</f>
        <v>436.65000000000009</v>
      </c>
      <c r="R17" s="2891">
        <f>((SUM(P17:P20)/O17)-1)*100</f>
        <v>17.466000000000005</v>
      </c>
      <c r="S17" s="2289"/>
      <c r="T17" s="2280"/>
      <c r="U17" s="2885">
        <f t="shared" si="6"/>
        <v>2500</v>
      </c>
      <c r="V17" s="2288"/>
      <c r="W17" s="2888">
        <f>V17+V18+V19+V20-U17</f>
        <v>-2500</v>
      </c>
      <c r="X17" s="2891">
        <f>((SUM(V17:V20)/U17)-1)*100</f>
        <v>-100</v>
      </c>
      <c r="Y17" s="2289"/>
      <c r="Z17" s="2280"/>
      <c r="AA17" s="2885">
        <v>2700</v>
      </c>
      <c r="AB17" s="2288"/>
      <c r="AC17" s="2888">
        <f>AB17+AB18+AB19+AB20-AA17</f>
        <v>-2700</v>
      </c>
      <c r="AD17" s="2891">
        <f>((SUM(AB17:AB20)/AA17)-1)*100</f>
        <v>-100</v>
      </c>
      <c r="AE17" s="2289"/>
      <c r="AF17" s="2280"/>
      <c r="AG17" s="2885">
        <f t="shared" si="9"/>
        <v>2700</v>
      </c>
      <c r="AH17" s="2288"/>
      <c r="AI17" s="2888">
        <f>AH17+AH18+AH19+AH20-AG17</f>
        <v>-2700</v>
      </c>
      <c r="AJ17" s="2891">
        <f>((SUM(AH17:AH20)/AG17)-1)*100</f>
        <v>-100</v>
      </c>
      <c r="AK17" s="2289"/>
      <c r="AL17" s="2280"/>
      <c r="AM17" s="2885">
        <f t="shared" si="11"/>
        <v>2700</v>
      </c>
      <c r="AN17" s="2288"/>
      <c r="AO17" s="2888">
        <f>AN17+AN18+AN19+AN20-AM17</f>
        <v>-2700</v>
      </c>
      <c r="AP17" s="2891">
        <f>((SUM(AN17:AN20)/AM17)-1)*100</f>
        <v>-100</v>
      </c>
      <c r="AQ17" s="2289"/>
      <c r="AR17" s="2280"/>
      <c r="AS17" s="2885">
        <f t="shared" si="13"/>
        <v>2700</v>
      </c>
      <c r="AT17" s="2288"/>
      <c r="AU17" s="2888">
        <f>AT17+AT18+AT19+AT20-AS17</f>
        <v>-2700</v>
      </c>
      <c r="AV17" s="2891">
        <f>((SUM(AT17:AT20)/AS17)-1)*100</f>
        <v>-100</v>
      </c>
      <c r="AW17" s="2289"/>
      <c r="AX17" s="2280"/>
      <c r="AY17" s="2885">
        <f t="shared" si="15"/>
        <v>2700</v>
      </c>
      <c r="AZ17" s="2288"/>
      <c r="BA17" s="2888">
        <f>AZ17+AZ18+AZ19+AZ20-AY17</f>
        <v>-2700</v>
      </c>
      <c r="BB17" s="2891">
        <f>((SUM(AZ17:AZ20)/AY17)-1)*100</f>
        <v>-100</v>
      </c>
      <c r="BC17" s="2289"/>
      <c r="BD17" s="2280"/>
      <c r="BE17" s="2885">
        <f t="shared" si="17"/>
        <v>2700</v>
      </c>
      <c r="BF17" s="2288"/>
      <c r="BG17" s="2888">
        <f>BF17+BF18+BF19+BF20-BE17</f>
        <v>-2700</v>
      </c>
      <c r="BH17" s="2891">
        <f>((SUM(BF17:BF20)/BE17)-1)*100</f>
        <v>-100</v>
      </c>
      <c r="BI17" s="2289"/>
      <c r="BJ17" s="2280"/>
      <c r="BK17" s="2885">
        <f t="shared" si="19"/>
        <v>2700</v>
      </c>
      <c r="BL17" s="2288"/>
      <c r="BM17" s="2888">
        <f>BL17+BL18+BL19+BL20-BK17</f>
        <v>-2700</v>
      </c>
      <c r="BN17" s="2891">
        <f>((SUM(BL17:BL20)/BK17)-1)*100</f>
        <v>-100</v>
      </c>
      <c r="BO17" s="2289"/>
      <c r="BP17" s="2280"/>
      <c r="BQ17" s="2885">
        <f t="shared" si="21"/>
        <v>2700</v>
      </c>
      <c r="BR17" s="2288"/>
      <c r="BS17" s="2888">
        <f>BR17+BR18+BR19+BR20-BQ17</f>
        <v>-2700</v>
      </c>
      <c r="BT17" s="2891">
        <f>((SUM(BR17:BR20)/BQ17)-1)*100</f>
        <v>-100</v>
      </c>
      <c r="BU17" s="2290"/>
      <c r="BV17" s="2280"/>
      <c r="BW17" s="2876">
        <f>C17+I17+O17+U17+AA17+AG17+AM17+AS17+AY17+BE17+BK17+BQ17</f>
        <v>31600</v>
      </c>
      <c r="BX17" s="2895">
        <f>D17+J17+P17+V17+AB17+AH17+AN17+AT17+AZ17+BF17+BL17+BR17+D18+D19+D20+J18+J19+J20+P18+P19+P20+V18+V19+V20+AB18+AB19+AB20+AH18+AH19+AH20+AN18+AN19+AN20+AT18+AT19+AT20+AZ18+AZ19+AZ20+BF18+BF19+BF20+BL18+BL19+BL20+BR18+BR19+BR20</f>
        <v>9346.8900000000012</v>
      </c>
    </row>
    <row r="18" spans="1:76" x14ac:dyDescent="0.25">
      <c r="A18" s="2136">
        <v>11721</v>
      </c>
      <c r="B18" s="2298" t="s">
        <v>3861</v>
      </c>
      <c r="C18" s="2886"/>
      <c r="D18" s="2276">
        <v>1113.46</v>
      </c>
      <c r="E18" s="2889"/>
      <c r="F18" s="2892"/>
      <c r="G18" s="2285"/>
      <c r="H18" s="2280"/>
      <c r="I18" s="2886"/>
      <c r="J18" s="2276">
        <v>601.1</v>
      </c>
      <c r="K18" s="2889"/>
      <c r="L18" s="2892"/>
      <c r="M18" s="2285"/>
      <c r="N18" s="2280"/>
      <c r="O18" s="2886"/>
      <c r="P18" s="2276">
        <v>601.1</v>
      </c>
      <c r="Q18" s="2889"/>
      <c r="R18" s="2892"/>
      <c r="S18" s="2285"/>
      <c r="T18" s="2280"/>
      <c r="U18" s="2886"/>
      <c r="V18" s="2276"/>
      <c r="W18" s="2889"/>
      <c r="X18" s="2892"/>
      <c r="Y18" s="2285"/>
      <c r="Z18" s="2280"/>
      <c r="AA18" s="2886"/>
      <c r="AB18" s="2276"/>
      <c r="AC18" s="2889"/>
      <c r="AD18" s="2892"/>
      <c r="AE18" s="2285"/>
      <c r="AF18" s="2280"/>
      <c r="AG18" s="2886"/>
      <c r="AH18" s="2276"/>
      <c r="AI18" s="2889"/>
      <c r="AJ18" s="2892"/>
      <c r="AK18" s="2285"/>
      <c r="AL18" s="2280"/>
      <c r="AM18" s="2886"/>
      <c r="AN18" s="2276"/>
      <c r="AO18" s="2889"/>
      <c r="AP18" s="2892"/>
      <c r="AQ18" s="2285"/>
      <c r="AR18" s="2280"/>
      <c r="AS18" s="2886"/>
      <c r="AT18" s="2276"/>
      <c r="AU18" s="2889"/>
      <c r="AV18" s="2892"/>
      <c r="AW18" s="2285"/>
      <c r="AX18" s="2280"/>
      <c r="AY18" s="2886"/>
      <c r="AZ18" s="2276"/>
      <c r="BA18" s="2889"/>
      <c r="BB18" s="2892"/>
      <c r="BC18" s="2285"/>
      <c r="BD18" s="2280"/>
      <c r="BE18" s="2886"/>
      <c r="BF18" s="2276"/>
      <c r="BG18" s="2889"/>
      <c r="BH18" s="2892"/>
      <c r="BI18" s="2285"/>
      <c r="BJ18" s="2280"/>
      <c r="BK18" s="2886"/>
      <c r="BL18" s="2276"/>
      <c r="BM18" s="2889"/>
      <c r="BN18" s="2892"/>
      <c r="BO18" s="2285"/>
      <c r="BP18" s="2280"/>
      <c r="BQ18" s="2886"/>
      <c r="BR18" s="2276"/>
      <c r="BS18" s="2889"/>
      <c r="BT18" s="2892"/>
      <c r="BU18" s="2286"/>
      <c r="BV18" s="2280"/>
      <c r="BW18" s="2894"/>
      <c r="BX18" s="2896"/>
    </row>
    <row r="19" spans="1:76" x14ac:dyDescent="0.25">
      <c r="A19" s="2302">
        <v>12312</v>
      </c>
      <c r="B19" s="2298" t="s">
        <v>3862</v>
      </c>
      <c r="C19" s="2886"/>
      <c r="D19" s="2276">
        <v>0</v>
      </c>
      <c r="E19" s="2889"/>
      <c r="F19" s="2892"/>
      <c r="G19" s="2285"/>
      <c r="H19" s="2280"/>
      <c r="I19" s="2886"/>
      <c r="J19" s="2276">
        <v>0</v>
      </c>
      <c r="K19" s="2889"/>
      <c r="L19" s="2892"/>
      <c r="M19" s="2285"/>
      <c r="N19" s="2280"/>
      <c r="O19" s="2886"/>
      <c r="P19" s="2276">
        <v>0</v>
      </c>
      <c r="Q19" s="2889"/>
      <c r="R19" s="2892"/>
      <c r="S19" s="2285"/>
      <c r="T19" s="2280"/>
      <c r="U19" s="2886"/>
      <c r="V19" s="2276"/>
      <c r="W19" s="2889"/>
      <c r="X19" s="2892"/>
      <c r="Y19" s="2285"/>
      <c r="Z19" s="2280"/>
      <c r="AA19" s="2886"/>
      <c r="AB19" s="2276"/>
      <c r="AC19" s="2889"/>
      <c r="AD19" s="2892"/>
      <c r="AE19" s="2285"/>
      <c r="AF19" s="2280"/>
      <c r="AG19" s="2886"/>
      <c r="AH19" s="2276"/>
      <c r="AI19" s="2889"/>
      <c r="AJ19" s="2892"/>
      <c r="AK19" s="2285"/>
      <c r="AL19" s="2280"/>
      <c r="AM19" s="2886"/>
      <c r="AN19" s="2276"/>
      <c r="AO19" s="2889"/>
      <c r="AP19" s="2892"/>
      <c r="AQ19" s="2285"/>
      <c r="AR19" s="2280"/>
      <c r="AS19" s="2886"/>
      <c r="AT19" s="2276"/>
      <c r="AU19" s="2889"/>
      <c r="AV19" s="2892"/>
      <c r="AW19" s="2285"/>
      <c r="AX19" s="2280"/>
      <c r="AY19" s="2886"/>
      <c r="AZ19" s="2276"/>
      <c r="BA19" s="2889"/>
      <c r="BB19" s="2892"/>
      <c r="BC19" s="2285"/>
      <c r="BD19" s="2280"/>
      <c r="BE19" s="2886"/>
      <c r="BF19" s="2276"/>
      <c r="BG19" s="2889"/>
      <c r="BH19" s="2892"/>
      <c r="BI19" s="2285"/>
      <c r="BJ19" s="2280"/>
      <c r="BK19" s="2886"/>
      <c r="BL19" s="2276"/>
      <c r="BM19" s="2889"/>
      <c r="BN19" s="2892"/>
      <c r="BO19" s="2285"/>
      <c r="BP19" s="2280"/>
      <c r="BQ19" s="2886"/>
      <c r="BR19" s="2276"/>
      <c r="BS19" s="2889"/>
      <c r="BT19" s="2892"/>
      <c r="BU19" s="2286"/>
      <c r="BV19" s="2280"/>
      <c r="BW19" s="2894"/>
      <c r="BX19" s="2896"/>
    </row>
    <row r="20" spans="1:76" ht="15.75" thickBot="1" x14ac:dyDescent="0.3">
      <c r="A20" s="2137">
        <v>38302</v>
      </c>
      <c r="B20" s="2292" t="s">
        <v>3863</v>
      </c>
      <c r="C20" s="2887"/>
      <c r="D20" s="2293">
        <v>0</v>
      </c>
      <c r="E20" s="2890"/>
      <c r="F20" s="2893"/>
      <c r="G20" s="2294"/>
      <c r="H20" s="2280"/>
      <c r="I20" s="2887"/>
      <c r="J20" s="2293">
        <v>-260.32</v>
      </c>
      <c r="K20" s="2890"/>
      <c r="L20" s="2893"/>
      <c r="M20" s="2294"/>
      <c r="N20" s="2280"/>
      <c r="O20" s="2887"/>
      <c r="P20" s="2293">
        <v>495.1</v>
      </c>
      <c r="Q20" s="2890"/>
      <c r="R20" s="2893"/>
      <c r="S20" s="2294"/>
      <c r="T20" s="2280"/>
      <c r="U20" s="2887"/>
      <c r="V20" s="2293"/>
      <c r="W20" s="2890"/>
      <c r="X20" s="2893"/>
      <c r="Y20" s="2294"/>
      <c r="Z20" s="2280"/>
      <c r="AA20" s="2887"/>
      <c r="AB20" s="2293"/>
      <c r="AC20" s="2890"/>
      <c r="AD20" s="2893"/>
      <c r="AE20" s="2294"/>
      <c r="AF20" s="2280"/>
      <c r="AG20" s="2887"/>
      <c r="AH20" s="2293"/>
      <c r="AI20" s="2890"/>
      <c r="AJ20" s="2893"/>
      <c r="AK20" s="2294"/>
      <c r="AL20" s="2280"/>
      <c r="AM20" s="2887"/>
      <c r="AN20" s="2293"/>
      <c r="AO20" s="2890"/>
      <c r="AP20" s="2893"/>
      <c r="AQ20" s="2294"/>
      <c r="AR20" s="2280"/>
      <c r="AS20" s="2887"/>
      <c r="AT20" s="2293"/>
      <c r="AU20" s="2890"/>
      <c r="AV20" s="2893"/>
      <c r="AW20" s="2294"/>
      <c r="AX20" s="2280"/>
      <c r="AY20" s="2887"/>
      <c r="AZ20" s="2293"/>
      <c r="BA20" s="2890"/>
      <c r="BB20" s="2893"/>
      <c r="BC20" s="2294"/>
      <c r="BD20" s="2280"/>
      <c r="BE20" s="2887"/>
      <c r="BF20" s="2293"/>
      <c r="BG20" s="2890"/>
      <c r="BH20" s="2893"/>
      <c r="BI20" s="2294"/>
      <c r="BJ20" s="2280"/>
      <c r="BK20" s="2887"/>
      <c r="BL20" s="2293"/>
      <c r="BM20" s="2890"/>
      <c r="BN20" s="2893"/>
      <c r="BO20" s="2294"/>
      <c r="BP20" s="2280"/>
      <c r="BQ20" s="2887"/>
      <c r="BR20" s="2293"/>
      <c r="BS20" s="2890"/>
      <c r="BT20" s="2893"/>
      <c r="BU20" s="2295"/>
      <c r="BV20" s="2280"/>
      <c r="BW20" s="2877"/>
      <c r="BX20" s="2897"/>
    </row>
    <row r="21" spans="1:76" x14ac:dyDescent="0.25">
      <c r="A21" s="2138">
        <v>52206</v>
      </c>
      <c r="B21" s="2298" t="s">
        <v>3845</v>
      </c>
      <c r="C21" s="2886">
        <v>4600</v>
      </c>
      <c r="D21" s="2276">
        <v>1888.45</v>
      </c>
      <c r="E21" s="2889">
        <f>D21+D22-C21</f>
        <v>-2236.35</v>
      </c>
      <c r="F21" s="2891">
        <f>((SUM(D21:D22)/C21)-1)*100</f>
        <v>-48.616304347826087</v>
      </c>
      <c r="G21" s="2285"/>
      <c r="H21" s="2280"/>
      <c r="I21" s="2886">
        <v>4600</v>
      </c>
      <c r="J21" s="2276">
        <v>1888.45</v>
      </c>
      <c r="K21" s="2889">
        <f>J21+J22-I21</f>
        <v>-531</v>
      </c>
      <c r="L21" s="2891">
        <f>((SUM(J21:J22)/I21)-1)*100</f>
        <v>-11.543478260869566</v>
      </c>
      <c r="M21" s="2285"/>
      <c r="N21" s="2280"/>
      <c r="O21" s="2886">
        <v>4600</v>
      </c>
      <c r="P21" s="2276">
        <v>1955.62</v>
      </c>
      <c r="Q21" s="2889">
        <f>P21+P22-O21</f>
        <v>-2169.1800000000003</v>
      </c>
      <c r="R21" s="2891">
        <f>((SUM(P21:P22)/O21)-1)*100</f>
        <v>-47.156086956521747</v>
      </c>
      <c r="S21" s="2285"/>
      <c r="T21" s="2280"/>
      <c r="U21" s="2886">
        <v>4600</v>
      </c>
      <c r="V21" s="2276"/>
      <c r="W21" s="2889">
        <f>V21+V22-U21</f>
        <v>-4600</v>
      </c>
      <c r="X21" s="2891">
        <f>((SUM(V21:V22)/U21)-1)*100</f>
        <v>-100</v>
      </c>
      <c r="Y21" s="2285"/>
      <c r="Z21" s="2280"/>
      <c r="AA21" s="2898">
        <v>4830</v>
      </c>
      <c r="AB21" s="2276"/>
      <c r="AC21" s="2889">
        <f>AB21+AB22-AA21</f>
        <v>-4830</v>
      </c>
      <c r="AD21" s="2891">
        <f>((SUM(AB21:AB22)/AA21)-1)*100</f>
        <v>-100</v>
      </c>
      <c r="AE21" s="2285"/>
      <c r="AF21" s="2280"/>
      <c r="AG21" s="2886">
        <v>4600</v>
      </c>
      <c r="AH21" s="2276"/>
      <c r="AI21" s="2889">
        <f>AH21+AH22-AG21</f>
        <v>-4600</v>
      </c>
      <c r="AJ21" s="2891">
        <f>((SUM(AH21:AH22)/AG21)-1)*100</f>
        <v>-100</v>
      </c>
      <c r="AK21" s="2285"/>
      <c r="AL21" s="2280"/>
      <c r="AM21" s="2886">
        <v>4600</v>
      </c>
      <c r="AN21" s="2276"/>
      <c r="AO21" s="2889">
        <f>AN21+AN22-AM21</f>
        <v>-4600</v>
      </c>
      <c r="AP21" s="2891">
        <f>((SUM(AN21:AN22)/AM21)-1)*100</f>
        <v>-100</v>
      </c>
      <c r="AQ21" s="2285"/>
      <c r="AR21" s="2280"/>
      <c r="AS21" s="2886">
        <v>4600</v>
      </c>
      <c r="AT21" s="2276"/>
      <c r="AU21" s="2889">
        <f>AT21+AT22-AS21</f>
        <v>-4600</v>
      </c>
      <c r="AV21" s="2891">
        <f>((SUM(AT21:AT22)/AS21)-1)*100</f>
        <v>-100</v>
      </c>
      <c r="AW21" s="2285"/>
      <c r="AX21" s="2280"/>
      <c r="AY21" s="2886">
        <v>4600</v>
      </c>
      <c r="AZ21" s="2276"/>
      <c r="BA21" s="2889">
        <f>AZ21+AZ22-AY21</f>
        <v>-4600</v>
      </c>
      <c r="BB21" s="2891">
        <f>((SUM(AZ21:AZ22)/AY21)-1)*100</f>
        <v>-100</v>
      </c>
      <c r="BC21" s="2285"/>
      <c r="BD21" s="2280"/>
      <c r="BE21" s="2886">
        <v>4600</v>
      </c>
      <c r="BF21" s="2276"/>
      <c r="BG21" s="2889">
        <f>BF21+BF22-BE21</f>
        <v>-4600</v>
      </c>
      <c r="BH21" s="2891">
        <f>((SUM(BF21:BF22)/BE21)-1)*100</f>
        <v>-100</v>
      </c>
      <c r="BI21" s="2285"/>
      <c r="BJ21" s="2280"/>
      <c r="BK21" s="2886">
        <v>4600</v>
      </c>
      <c r="BL21" s="2276"/>
      <c r="BM21" s="2889">
        <f>BL21+BL22-BK21</f>
        <v>-4600</v>
      </c>
      <c r="BN21" s="2891">
        <f>((SUM(BL21:BL22)/BK21)-1)*100</f>
        <v>-100</v>
      </c>
      <c r="BO21" s="2285"/>
      <c r="BP21" s="2280"/>
      <c r="BQ21" s="2886">
        <v>4600</v>
      </c>
      <c r="BR21" s="2276"/>
      <c r="BS21" s="2889">
        <f>BR21+BR22-BQ21</f>
        <v>-4600</v>
      </c>
      <c r="BT21" s="2891">
        <f>((SUM(BR21:BR22)/BQ21)-1)*100</f>
        <v>-100</v>
      </c>
      <c r="BU21" s="2286"/>
      <c r="BV21" s="2280"/>
      <c r="BW21" s="2876">
        <f>+C21+I21+O21+U21+AA21+AG21+AM21+AS21+AY21+BE21+BK21+BQ21</f>
        <v>55430</v>
      </c>
      <c r="BX21" s="2895">
        <f>D21+D22+J21+J22+P21+P22+V21+V22+AB21+AB22+AH21+AH22+AN21+AN22+AT21+AT22+AZ21+AZ22+BF21+BF22+BL21+BL22+BR21+BR22</f>
        <v>8863.4700000000012</v>
      </c>
    </row>
    <row r="22" spans="1:76" ht="15.75" thickBot="1" x14ac:dyDescent="0.3">
      <c r="A22" s="2138">
        <v>11623</v>
      </c>
      <c r="B22" s="2298" t="s">
        <v>3846</v>
      </c>
      <c r="C22" s="2886"/>
      <c r="D22" s="2276">
        <v>475.2</v>
      </c>
      <c r="E22" s="2889"/>
      <c r="F22" s="2893"/>
      <c r="G22" s="2285"/>
      <c r="H22" s="2280"/>
      <c r="I22" s="2886"/>
      <c r="J22" s="2276">
        <v>2180.5500000000002</v>
      </c>
      <c r="K22" s="2889"/>
      <c r="L22" s="2893"/>
      <c r="M22" s="2285"/>
      <c r="N22" s="2280"/>
      <c r="O22" s="2886"/>
      <c r="P22" s="2276">
        <v>475.2</v>
      </c>
      <c r="Q22" s="2889"/>
      <c r="R22" s="2893"/>
      <c r="S22" s="2285"/>
      <c r="T22" s="2280"/>
      <c r="U22" s="2886"/>
      <c r="V22" s="2276"/>
      <c r="W22" s="2889"/>
      <c r="X22" s="2893"/>
      <c r="Y22" s="2285"/>
      <c r="Z22" s="2280"/>
      <c r="AA22" s="2898"/>
      <c r="AB22" s="2276"/>
      <c r="AC22" s="2889"/>
      <c r="AD22" s="2893"/>
      <c r="AE22" s="2285"/>
      <c r="AF22" s="2280"/>
      <c r="AG22" s="2886"/>
      <c r="AH22" s="2276"/>
      <c r="AI22" s="2889"/>
      <c r="AJ22" s="2893"/>
      <c r="AK22" s="2285"/>
      <c r="AL22" s="2280"/>
      <c r="AM22" s="2886"/>
      <c r="AN22" s="2276"/>
      <c r="AO22" s="2889"/>
      <c r="AP22" s="2893"/>
      <c r="AQ22" s="2285"/>
      <c r="AR22" s="2280"/>
      <c r="AS22" s="2886"/>
      <c r="AT22" s="2276"/>
      <c r="AU22" s="2889"/>
      <c r="AV22" s="2893"/>
      <c r="AW22" s="2285"/>
      <c r="AX22" s="2280"/>
      <c r="AY22" s="2886"/>
      <c r="AZ22" s="2276"/>
      <c r="BA22" s="2889"/>
      <c r="BB22" s="2893"/>
      <c r="BC22" s="2285"/>
      <c r="BD22" s="2280"/>
      <c r="BE22" s="2886"/>
      <c r="BF22" s="2276"/>
      <c r="BG22" s="2889"/>
      <c r="BH22" s="2893"/>
      <c r="BI22" s="2285"/>
      <c r="BJ22" s="2280"/>
      <c r="BK22" s="2886"/>
      <c r="BL22" s="2276"/>
      <c r="BM22" s="2889"/>
      <c r="BN22" s="2893"/>
      <c r="BO22" s="2285"/>
      <c r="BP22" s="2280"/>
      <c r="BQ22" s="2886"/>
      <c r="BR22" s="2276"/>
      <c r="BS22" s="2889"/>
      <c r="BT22" s="2893"/>
      <c r="BU22" s="2286"/>
      <c r="BV22" s="2280"/>
      <c r="BW22" s="2877"/>
      <c r="BX22" s="2897"/>
    </row>
    <row r="23" spans="1:76" x14ac:dyDescent="0.25">
      <c r="A23" s="2134">
        <v>11392</v>
      </c>
      <c r="B23" s="2274" t="s">
        <v>29</v>
      </c>
      <c r="C23" s="2303">
        <v>400000</v>
      </c>
      <c r="D23" s="2288">
        <v>353235.24</v>
      </c>
      <c r="E23" s="2888">
        <f>D23+D24-C23</f>
        <v>-22275.5</v>
      </c>
      <c r="F23" s="2891">
        <f>((SUM(D23+D24)/C23)-1)*100</f>
        <v>-5.5688749999999949</v>
      </c>
      <c r="G23" s="2289"/>
      <c r="H23" s="2280"/>
      <c r="I23" s="2885">
        <f t="shared" si="2"/>
        <v>400000</v>
      </c>
      <c r="J23" s="2288">
        <v>365602.8</v>
      </c>
      <c r="K23" s="2888">
        <f>J23+J24-I23</f>
        <v>37979.579999999958</v>
      </c>
      <c r="L23" s="2891">
        <f>((SUM(J23+J24)/I23)-1)*100</f>
        <v>9.4948949999999819</v>
      </c>
      <c r="M23" s="2289"/>
      <c r="N23" s="2280"/>
      <c r="O23" s="2885">
        <f t="shared" si="4"/>
        <v>400000</v>
      </c>
      <c r="P23" s="2288">
        <v>384735.75</v>
      </c>
      <c r="Q23" s="2888">
        <f>P23+P24-O23</f>
        <v>-63.39000000001397</v>
      </c>
      <c r="R23" s="2891">
        <f>((SUM(P23+P24)/O23)-1)*100</f>
        <v>-1.5847499999999126E-2</v>
      </c>
      <c r="S23" s="2289"/>
      <c r="T23" s="2280"/>
      <c r="U23" s="2885">
        <f t="shared" si="6"/>
        <v>400000</v>
      </c>
      <c r="V23" s="2288"/>
      <c r="W23" s="2888">
        <f>V23+V24-U23</f>
        <v>-400000</v>
      </c>
      <c r="X23" s="2891">
        <f>((SUM(V23+V24)/U23)-1)*100</f>
        <v>-100</v>
      </c>
      <c r="Y23" s="2289"/>
      <c r="Z23" s="2280"/>
      <c r="AA23" s="2885">
        <v>418000</v>
      </c>
      <c r="AB23" s="2288"/>
      <c r="AC23" s="2888">
        <f>AB23+AB24-AA23</f>
        <v>-418000</v>
      </c>
      <c r="AD23" s="2891">
        <f>((SUM(AB23+AB24)/AA23)-1)*100</f>
        <v>-100</v>
      </c>
      <c r="AE23" s="2289"/>
      <c r="AF23" s="2280"/>
      <c r="AG23" s="2885">
        <f t="shared" si="9"/>
        <v>418000</v>
      </c>
      <c r="AH23" s="2288"/>
      <c r="AI23" s="2888">
        <f>AH23+AH24-AG23</f>
        <v>-418000</v>
      </c>
      <c r="AJ23" s="2891">
        <f>((SUM(AH23+AH24)/AG23)-1)*100</f>
        <v>-100</v>
      </c>
      <c r="AK23" s="2289"/>
      <c r="AL23" s="2280"/>
      <c r="AM23" s="2885">
        <f t="shared" si="11"/>
        <v>418000</v>
      </c>
      <c r="AN23" s="2288"/>
      <c r="AO23" s="2888">
        <f>AN23+AN24-AM23</f>
        <v>-418000</v>
      </c>
      <c r="AP23" s="2891">
        <f>((SUM(AN23+AN24)/AM23)-1)*100</f>
        <v>-100</v>
      </c>
      <c r="AQ23" s="2289"/>
      <c r="AR23" s="2280"/>
      <c r="AS23" s="2885">
        <f t="shared" si="13"/>
        <v>418000</v>
      </c>
      <c r="AT23" s="2288"/>
      <c r="AU23" s="2888">
        <f>AT23+AT24-AS23</f>
        <v>-418000</v>
      </c>
      <c r="AV23" s="2891">
        <f>((SUM(AT23+AT24)/AS23)-1)*100</f>
        <v>-100</v>
      </c>
      <c r="AW23" s="2289"/>
      <c r="AX23" s="2280"/>
      <c r="AY23" s="2885">
        <f t="shared" si="15"/>
        <v>418000</v>
      </c>
      <c r="AZ23" s="2288"/>
      <c r="BA23" s="2888">
        <f>AZ23+AZ24-AY23</f>
        <v>-418000</v>
      </c>
      <c r="BB23" s="2891">
        <f>((SUM(AZ23+AZ24)/AY23)-1)*100</f>
        <v>-100</v>
      </c>
      <c r="BC23" s="2289"/>
      <c r="BD23" s="2280"/>
      <c r="BE23" s="2885">
        <f t="shared" si="17"/>
        <v>418000</v>
      </c>
      <c r="BF23" s="2288"/>
      <c r="BG23" s="2888">
        <f>BF23+BF24-BE23</f>
        <v>-418000</v>
      </c>
      <c r="BH23" s="2891">
        <f>((SUM(BF23+BF24)/BE23)-1)*100</f>
        <v>-100</v>
      </c>
      <c r="BI23" s="2289"/>
      <c r="BJ23" s="2280"/>
      <c r="BK23" s="2885">
        <v>430000</v>
      </c>
      <c r="BL23" s="2288"/>
      <c r="BM23" s="2888">
        <f>BL23+BL24-BK23</f>
        <v>-430000</v>
      </c>
      <c r="BN23" s="2891">
        <f>((SUM(BL23+BL24)/BK23)-1)*100</f>
        <v>-100</v>
      </c>
      <c r="BO23" s="2289"/>
      <c r="BP23" s="2280"/>
      <c r="BQ23" s="2885">
        <f t="shared" si="21"/>
        <v>430000</v>
      </c>
      <c r="BR23" s="2288"/>
      <c r="BS23" s="2888">
        <f>BR23+BR24-BQ23</f>
        <v>-430000</v>
      </c>
      <c r="BT23" s="2891">
        <f>((SUM(BR23+BR24)/BQ23)-1)*100</f>
        <v>-100</v>
      </c>
      <c r="BU23" s="2290"/>
      <c r="BV23" s="2280"/>
      <c r="BW23" s="2876">
        <f>C23+I23+O23+U23+AA23+AG23+AM23+AS23+AY23+BE23+BK23+BQ23</f>
        <v>4968000</v>
      </c>
      <c r="BX23" s="2895">
        <f>D23+J23+P23+V23+AB23+AH23+AN23+AT23+AZ23+BF23+BL23+BR23+D24+J24+P24+V24+AB24+AH24+AN24+AT24+AZ24+BF24+BL24+BR24</f>
        <v>1215640.6900000002</v>
      </c>
    </row>
    <row r="24" spans="1:76" ht="15.75" thickBot="1" x14ac:dyDescent="0.3">
      <c r="A24" s="2139">
        <v>36873</v>
      </c>
      <c r="B24" s="2292" t="s">
        <v>3847</v>
      </c>
      <c r="C24" s="2304"/>
      <c r="D24" s="2293">
        <v>24489.26</v>
      </c>
      <c r="E24" s="2890"/>
      <c r="F24" s="2893"/>
      <c r="G24" s="2294"/>
      <c r="H24" s="2280"/>
      <c r="I24" s="2887"/>
      <c r="J24" s="2293">
        <v>72376.78</v>
      </c>
      <c r="K24" s="2890"/>
      <c r="L24" s="2893"/>
      <c r="M24" s="2294"/>
      <c r="N24" s="2280"/>
      <c r="O24" s="2887"/>
      <c r="P24" s="2293">
        <v>15200.86</v>
      </c>
      <c r="Q24" s="2890"/>
      <c r="R24" s="2893"/>
      <c r="S24" s="2294"/>
      <c r="T24" s="2280"/>
      <c r="U24" s="2887"/>
      <c r="V24" s="2293"/>
      <c r="W24" s="2890"/>
      <c r="X24" s="2893"/>
      <c r="Y24" s="2294"/>
      <c r="Z24" s="2280"/>
      <c r="AA24" s="2887"/>
      <c r="AB24" s="2293"/>
      <c r="AC24" s="2890"/>
      <c r="AD24" s="2893"/>
      <c r="AE24" s="2294"/>
      <c r="AF24" s="2280"/>
      <c r="AG24" s="2887"/>
      <c r="AH24" s="2293"/>
      <c r="AI24" s="2890"/>
      <c r="AJ24" s="2893"/>
      <c r="AK24" s="2294"/>
      <c r="AL24" s="2280"/>
      <c r="AM24" s="2887"/>
      <c r="AN24" s="2293"/>
      <c r="AO24" s="2890"/>
      <c r="AP24" s="2893"/>
      <c r="AQ24" s="2294"/>
      <c r="AR24" s="2280"/>
      <c r="AS24" s="2887"/>
      <c r="AT24" s="2293"/>
      <c r="AU24" s="2890"/>
      <c r="AV24" s="2893"/>
      <c r="AW24" s="2294"/>
      <c r="AX24" s="2280"/>
      <c r="AY24" s="2887"/>
      <c r="AZ24" s="2293"/>
      <c r="BA24" s="2890"/>
      <c r="BB24" s="2893"/>
      <c r="BC24" s="2294"/>
      <c r="BD24" s="2280"/>
      <c r="BE24" s="2887"/>
      <c r="BF24" s="2293"/>
      <c r="BG24" s="2890"/>
      <c r="BH24" s="2893"/>
      <c r="BI24" s="2294"/>
      <c r="BJ24" s="2280"/>
      <c r="BK24" s="2887"/>
      <c r="BL24" s="2293"/>
      <c r="BM24" s="2890"/>
      <c r="BN24" s="2893"/>
      <c r="BO24" s="2294"/>
      <c r="BP24" s="2280"/>
      <c r="BQ24" s="2887"/>
      <c r="BR24" s="2293"/>
      <c r="BS24" s="2890"/>
      <c r="BT24" s="2893"/>
      <c r="BU24" s="2295"/>
      <c r="BV24" s="2280"/>
      <c r="BW24" s="2877"/>
      <c r="BX24" s="2897"/>
    </row>
    <row r="25" spans="1:76" x14ac:dyDescent="0.25">
      <c r="A25" s="2138">
        <v>12276</v>
      </c>
      <c r="B25" s="2298" t="s">
        <v>34</v>
      </c>
      <c r="C25" s="2275">
        <v>12000</v>
      </c>
      <c r="D25" s="2276">
        <v>8633</v>
      </c>
      <c r="E25" s="2276">
        <f t="shared" ref="E25:E29" si="68">D25-C25</f>
        <v>-3367</v>
      </c>
      <c r="F25" s="2278">
        <f>((D25/C25)-1)*100</f>
        <v>-28.05833333333333</v>
      </c>
      <c r="G25" s="2279"/>
      <c r="H25" s="2280"/>
      <c r="I25" s="2275">
        <f t="shared" si="2"/>
        <v>12000</v>
      </c>
      <c r="J25" s="2276">
        <v>1937.67</v>
      </c>
      <c r="K25" s="2276">
        <f t="shared" ref="K25:K29" si="69">J25-I25</f>
        <v>-10062.33</v>
      </c>
      <c r="L25" s="2278">
        <f>((J25/I25)-1)*100</f>
        <v>-83.85275</v>
      </c>
      <c r="M25" s="2279"/>
      <c r="N25" s="2280"/>
      <c r="O25" s="2275">
        <f t="shared" si="4"/>
        <v>12000</v>
      </c>
      <c r="P25" s="2276">
        <v>14048.72</v>
      </c>
      <c r="Q25" s="2276">
        <f t="shared" ref="Q25:Q29" si="70">P25-O25</f>
        <v>2048.7199999999993</v>
      </c>
      <c r="R25" s="2278">
        <f>((P25/O25)-1)*100</f>
        <v>17.07266666666667</v>
      </c>
      <c r="S25" s="2279"/>
      <c r="T25" s="2280"/>
      <c r="U25" s="2275">
        <f t="shared" si="6"/>
        <v>12000</v>
      </c>
      <c r="V25" s="2276"/>
      <c r="W25" s="2276">
        <f t="shared" ref="W25:W29" si="71">V25-U25</f>
        <v>-12000</v>
      </c>
      <c r="X25" s="2278">
        <f>((V25/U25)-1)*100</f>
        <v>-100</v>
      </c>
      <c r="Y25" s="2279"/>
      <c r="Z25" s="2280"/>
      <c r="AA25" s="2275">
        <f>U25</f>
        <v>12000</v>
      </c>
      <c r="AB25" s="2276"/>
      <c r="AC25" s="2276">
        <f t="shared" ref="AC25:AC29" si="72">AB25-AA25</f>
        <v>-12000</v>
      </c>
      <c r="AD25" s="2278">
        <f>((AB25/AA25)-1)*100</f>
        <v>-100</v>
      </c>
      <c r="AE25" s="2279"/>
      <c r="AF25" s="2280"/>
      <c r="AG25" s="2275">
        <f t="shared" si="9"/>
        <v>12000</v>
      </c>
      <c r="AH25" s="2276"/>
      <c r="AI25" s="2276">
        <f t="shared" ref="AI25:AI29" si="73">AH25-AG25</f>
        <v>-12000</v>
      </c>
      <c r="AJ25" s="2278">
        <f>((AH25/AG25)-1)*100</f>
        <v>-100</v>
      </c>
      <c r="AK25" s="2279"/>
      <c r="AL25" s="2280"/>
      <c r="AM25" s="2275">
        <f t="shared" si="11"/>
        <v>12000</v>
      </c>
      <c r="AN25" s="2276"/>
      <c r="AO25" s="2276">
        <f t="shared" ref="AO25:AO29" si="74">AN25-AM25</f>
        <v>-12000</v>
      </c>
      <c r="AP25" s="2278">
        <f>((AN25/AM25)-1)*100</f>
        <v>-100</v>
      </c>
      <c r="AQ25" s="2279"/>
      <c r="AR25" s="2280"/>
      <c r="AS25" s="2275">
        <f t="shared" si="13"/>
        <v>12000</v>
      </c>
      <c r="AT25" s="2276"/>
      <c r="AU25" s="2276">
        <f t="shared" ref="AU25:AU29" si="75">AT25-AS25</f>
        <v>-12000</v>
      </c>
      <c r="AV25" s="2278">
        <f>((AT25/AS25)-1)*100</f>
        <v>-100</v>
      </c>
      <c r="AW25" s="2279"/>
      <c r="AX25" s="2280"/>
      <c r="AY25" s="2275">
        <f t="shared" si="15"/>
        <v>12000</v>
      </c>
      <c r="AZ25" s="2276"/>
      <c r="BA25" s="2276">
        <f t="shared" ref="BA25:BA29" si="76">AZ25-AY25</f>
        <v>-12000</v>
      </c>
      <c r="BB25" s="2278">
        <f>((AZ25/AY25)-1)*100</f>
        <v>-100</v>
      </c>
      <c r="BC25" s="2279"/>
      <c r="BD25" s="2280"/>
      <c r="BE25" s="2275">
        <f t="shared" si="17"/>
        <v>12000</v>
      </c>
      <c r="BF25" s="2276"/>
      <c r="BG25" s="2276">
        <f t="shared" ref="BG25:BG29" si="77">BF25-BE25</f>
        <v>-12000</v>
      </c>
      <c r="BH25" s="2278">
        <f>((BF25/BE25)-1)*100</f>
        <v>-100</v>
      </c>
      <c r="BI25" s="2279"/>
      <c r="BJ25" s="2280"/>
      <c r="BK25" s="2275">
        <f>BE25</f>
        <v>12000</v>
      </c>
      <c r="BL25" s="2276"/>
      <c r="BM25" s="2276">
        <f t="shared" ref="BM25:BM29" si="78">BL25-BK25</f>
        <v>-12000</v>
      </c>
      <c r="BN25" s="2278">
        <f>((BL25/BK25)-1)*100</f>
        <v>-100</v>
      </c>
      <c r="BO25" s="2279"/>
      <c r="BP25" s="2280"/>
      <c r="BQ25" s="2275">
        <f t="shared" si="21"/>
        <v>12000</v>
      </c>
      <c r="BR25" s="2276"/>
      <c r="BS25" s="2276">
        <f t="shared" ref="BS25:BS29" si="79">BR25-BQ25</f>
        <v>-12000</v>
      </c>
      <c r="BT25" s="2278">
        <f>((BR25/BQ25)-1)*100</f>
        <v>-100</v>
      </c>
      <c r="BU25" s="2281"/>
      <c r="BV25" s="2280"/>
      <c r="BW25" s="2282">
        <f t="shared" ref="BW25:BX30" si="80">C25+I25+O25+U25+AA25+AG25+AM25+AS25+AY25+BE25+BK25+BQ25</f>
        <v>144000</v>
      </c>
      <c r="BX25" s="1695">
        <f t="shared" si="80"/>
        <v>24619.39</v>
      </c>
    </row>
    <row r="26" spans="1:76" x14ac:dyDescent="0.25">
      <c r="A26" s="2138">
        <v>11322</v>
      </c>
      <c r="B26" s="2298" t="s">
        <v>28</v>
      </c>
      <c r="C26" s="2305">
        <v>468000</v>
      </c>
      <c r="D26" s="2276">
        <v>446398.57</v>
      </c>
      <c r="E26" s="2276">
        <f t="shared" si="68"/>
        <v>-21601.429999999993</v>
      </c>
      <c r="F26" s="2278">
        <f t="shared" ref="F26:F29" si="81">((D26/C26)-1)*100</f>
        <v>-4.6156901709401676</v>
      </c>
      <c r="G26" s="2279"/>
      <c r="H26" s="2280"/>
      <c r="I26" s="2305">
        <f t="shared" si="2"/>
        <v>468000</v>
      </c>
      <c r="J26" s="2276">
        <v>487573.55</v>
      </c>
      <c r="K26" s="2276">
        <f t="shared" si="69"/>
        <v>19573.549999999988</v>
      </c>
      <c r="L26" s="2278">
        <f t="shared" ref="L26:L29" si="82">((J26/I26)-1)*100</f>
        <v>4.1823824786324737</v>
      </c>
      <c r="M26" s="2279"/>
      <c r="N26" s="2280"/>
      <c r="O26" s="2305">
        <f t="shared" si="4"/>
        <v>468000</v>
      </c>
      <c r="P26" s="2276">
        <v>489151.41</v>
      </c>
      <c r="Q26" s="2276">
        <f t="shared" si="70"/>
        <v>21151.409999999974</v>
      </c>
      <c r="R26" s="2278">
        <f t="shared" ref="R26:R29" si="83">((P26/O26)-1)*100</f>
        <v>4.5195320512820381</v>
      </c>
      <c r="S26" s="2279"/>
      <c r="T26" s="2280"/>
      <c r="U26" s="2305">
        <f t="shared" si="6"/>
        <v>468000</v>
      </c>
      <c r="V26" s="2276"/>
      <c r="W26" s="2276">
        <f t="shared" si="71"/>
        <v>-468000</v>
      </c>
      <c r="X26" s="2278">
        <f t="shared" ref="X26:X29" si="84">((V26/U26)-1)*100</f>
        <v>-100</v>
      </c>
      <c r="Y26" s="2279"/>
      <c r="Z26" s="2280"/>
      <c r="AA26" s="2305">
        <v>487000</v>
      </c>
      <c r="AB26" s="2276"/>
      <c r="AC26" s="2276">
        <f t="shared" si="72"/>
        <v>-487000</v>
      </c>
      <c r="AD26" s="2278">
        <f t="shared" ref="AD26:AD29" si="85">((AB26/AA26)-1)*100</f>
        <v>-100</v>
      </c>
      <c r="AE26" s="2279"/>
      <c r="AF26" s="2280"/>
      <c r="AG26" s="2305">
        <f t="shared" si="9"/>
        <v>487000</v>
      </c>
      <c r="AH26" s="2276"/>
      <c r="AI26" s="2276">
        <f t="shared" si="73"/>
        <v>-487000</v>
      </c>
      <c r="AJ26" s="2278">
        <f t="shared" ref="AJ26:AJ29" si="86">((AH26/AG26)-1)*100</f>
        <v>-100</v>
      </c>
      <c r="AK26" s="2279"/>
      <c r="AL26" s="2280"/>
      <c r="AM26" s="2305">
        <f t="shared" si="11"/>
        <v>487000</v>
      </c>
      <c r="AN26" s="2276"/>
      <c r="AO26" s="2276">
        <f t="shared" si="74"/>
        <v>-487000</v>
      </c>
      <c r="AP26" s="2278">
        <f t="shared" ref="AP26:AP29" si="87">((AN26/AM26)-1)*100</f>
        <v>-100</v>
      </c>
      <c r="AQ26" s="2279"/>
      <c r="AR26" s="2280"/>
      <c r="AS26" s="2305">
        <f t="shared" si="13"/>
        <v>487000</v>
      </c>
      <c r="AT26" s="2276"/>
      <c r="AU26" s="2276">
        <f t="shared" si="75"/>
        <v>-487000</v>
      </c>
      <c r="AV26" s="2278">
        <f t="shared" ref="AV26:AV29" si="88">((AT26/AS26)-1)*100</f>
        <v>-100</v>
      </c>
      <c r="AW26" s="2279"/>
      <c r="AX26" s="2280"/>
      <c r="AY26" s="2305">
        <f t="shared" si="15"/>
        <v>487000</v>
      </c>
      <c r="AZ26" s="2276"/>
      <c r="BA26" s="2276">
        <f t="shared" si="76"/>
        <v>-487000</v>
      </c>
      <c r="BB26" s="2278">
        <f t="shared" ref="BB26:BB29" si="89">((AZ26/AY26)-1)*100</f>
        <v>-100</v>
      </c>
      <c r="BC26" s="2279"/>
      <c r="BD26" s="2280"/>
      <c r="BE26" s="2305">
        <f t="shared" si="17"/>
        <v>487000</v>
      </c>
      <c r="BF26" s="2276"/>
      <c r="BG26" s="2276">
        <f t="shared" si="77"/>
        <v>-487000</v>
      </c>
      <c r="BH26" s="2278">
        <f t="shared" ref="BH26:BH29" si="90">((BF26/BE26)-1)*100</f>
        <v>-100</v>
      </c>
      <c r="BI26" s="2279"/>
      <c r="BJ26" s="2280"/>
      <c r="BK26" s="2305">
        <f>BE26</f>
        <v>487000</v>
      </c>
      <c r="BL26" s="2276"/>
      <c r="BM26" s="2276">
        <f t="shared" si="78"/>
        <v>-487000</v>
      </c>
      <c r="BN26" s="2278">
        <f t="shared" ref="BN26:BN29" si="91">((BL26/BK26)-1)*100</f>
        <v>-100</v>
      </c>
      <c r="BO26" s="2279"/>
      <c r="BP26" s="2280"/>
      <c r="BQ26" s="2305">
        <f t="shared" si="21"/>
        <v>487000</v>
      </c>
      <c r="BR26" s="2276"/>
      <c r="BS26" s="2276">
        <f t="shared" si="79"/>
        <v>-487000</v>
      </c>
      <c r="BT26" s="2278">
        <f t="shared" ref="BT26:BT29" si="92">((BR26/BQ26)-1)*100</f>
        <v>-100</v>
      </c>
      <c r="BU26" s="2281"/>
      <c r="BV26" s="2280"/>
      <c r="BW26" s="2306">
        <f t="shared" si="80"/>
        <v>5768000</v>
      </c>
      <c r="BX26" s="1698">
        <f t="shared" si="80"/>
        <v>1423123.53</v>
      </c>
    </row>
    <row r="27" spans="1:76" x14ac:dyDescent="0.25">
      <c r="A27" s="2138">
        <v>53469</v>
      </c>
      <c r="B27" s="2298" t="s">
        <v>333</v>
      </c>
      <c r="C27" s="2305">
        <v>12000</v>
      </c>
      <c r="D27" s="2276">
        <v>32689</v>
      </c>
      <c r="E27" s="2276">
        <f t="shared" si="68"/>
        <v>20689</v>
      </c>
      <c r="F27" s="2278">
        <f t="shared" si="81"/>
        <v>172.40833333333333</v>
      </c>
      <c r="G27" s="2279"/>
      <c r="H27" s="2280"/>
      <c r="I27" s="2305">
        <f t="shared" si="2"/>
        <v>12000</v>
      </c>
      <c r="J27" s="2276">
        <v>11040.65</v>
      </c>
      <c r="K27" s="2276">
        <f t="shared" si="69"/>
        <v>-959.35000000000036</v>
      </c>
      <c r="L27" s="2278">
        <f t="shared" si="82"/>
        <v>-7.9945833333333383</v>
      </c>
      <c r="M27" s="2279"/>
      <c r="N27" s="2280"/>
      <c r="O27" s="2305">
        <f t="shared" si="4"/>
        <v>12000</v>
      </c>
      <c r="P27" s="2276">
        <v>15322.15</v>
      </c>
      <c r="Q27" s="2276">
        <f t="shared" si="70"/>
        <v>3322.1499999999996</v>
      </c>
      <c r="R27" s="2278">
        <f t="shared" si="83"/>
        <v>27.684583333333322</v>
      </c>
      <c r="S27" s="2279"/>
      <c r="T27" s="2280"/>
      <c r="U27" s="2305">
        <f t="shared" si="6"/>
        <v>12000</v>
      </c>
      <c r="V27" s="2276"/>
      <c r="W27" s="2276">
        <f t="shared" si="71"/>
        <v>-12000</v>
      </c>
      <c r="X27" s="2278">
        <f t="shared" si="84"/>
        <v>-100</v>
      </c>
      <c r="Y27" s="2279"/>
      <c r="Z27" s="2280"/>
      <c r="AA27" s="2305">
        <v>15000</v>
      </c>
      <c r="AB27" s="2276"/>
      <c r="AC27" s="2276">
        <f t="shared" si="72"/>
        <v>-15000</v>
      </c>
      <c r="AD27" s="2278">
        <f t="shared" si="85"/>
        <v>-100</v>
      </c>
      <c r="AE27" s="2279"/>
      <c r="AF27" s="2280"/>
      <c r="AG27" s="2305">
        <f t="shared" si="9"/>
        <v>15000</v>
      </c>
      <c r="AH27" s="2276"/>
      <c r="AI27" s="2276">
        <f t="shared" si="73"/>
        <v>-15000</v>
      </c>
      <c r="AJ27" s="2278">
        <f t="shared" si="86"/>
        <v>-100</v>
      </c>
      <c r="AK27" s="2279"/>
      <c r="AL27" s="2280"/>
      <c r="AM27" s="2305">
        <f t="shared" si="11"/>
        <v>15000</v>
      </c>
      <c r="AN27" s="2276"/>
      <c r="AO27" s="2276">
        <f t="shared" si="74"/>
        <v>-15000</v>
      </c>
      <c r="AP27" s="2278">
        <f t="shared" si="87"/>
        <v>-100</v>
      </c>
      <c r="AQ27" s="2279"/>
      <c r="AR27" s="2280"/>
      <c r="AS27" s="2305">
        <f t="shared" si="13"/>
        <v>15000</v>
      </c>
      <c r="AT27" s="2276"/>
      <c r="AU27" s="2276">
        <f t="shared" si="75"/>
        <v>-15000</v>
      </c>
      <c r="AV27" s="2278">
        <f t="shared" si="88"/>
        <v>-100</v>
      </c>
      <c r="AW27" s="2279"/>
      <c r="AX27" s="2280"/>
      <c r="AY27" s="2305">
        <f t="shared" si="15"/>
        <v>15000</v>
      </c>
      <c r="AZ27" s="2276"/>
      <c r="BA27" s="2276">
        <f t="shared" si="76"/>
        <v>-15000</v>
      </c>
      <c r="BB27" s="2278">
        <f t="shared" si="89"/>
        <v>-100</v>
      </c>
      <c r="BC27" s="2279"/>
      <c r="BD27" s="2280"/>
      <c r="BE27" s="2305">
        <f t="shared" si="17"/>
        <v>15000</v>
      </c>
      <c r="BF27" s="2276"/>
      <c r="BG27" s="2276">
        <f t="shared" si="77"/>
        <v>-15000</v>
      </c>
      <c r="BH27" s="2278">
        <f t="shared" si="90"/>
        <v>-100</v>
      </c>
      <c r="BI27" s="2279"/>
      <c r="BJ27" s="2280"/>
      <c r="BK27" s="2305">
        <f>BE27</f>
        <v>15000</v>
      </c>
      <c r="BL27" s="2276"/>
      <c r="BM27" s="2276">
        <f t="shared" si="78"/>
        <v>-15000</v>
      </c>
      <c r="BN27" s="2278">
        <f t="shared" si="91"/>
        <v>-100</v>
      </c>
      <c r="BO27" s="2279"/>
      <c r="BP27" s="2280"/>
      <c r="BQ27" s="2305">
        <f t="shared" si="21"/>
        <v>15000</v>
      </c>
      <c r="BR27" s="2276"/>
      <c r="BS27" s="2276">
        <f t="shared" si="79"/>
        <v>-15000</v>
      </c>
      <c r="BT27" s="2278">
        <f t="shared" si="92"/>
        <v>-100</v>
      </c>
      <c r="BU27" s="2281"/>
      <c r="BV27" s="2280"/>
      <c r="BW27" s="2306">
        <f t="shared" si="80"/>
        <v>168000</v>
      </c>
      <c r="BX27" s="1698">
        <f t="shared" si="80"/>
        <v>59051.8</v>
      </c>
    </row>
    <row r="28" spans="1:76" x14ac:dyDescent="0.25">
      <c r="A28" s="2138">
        <v>53468</v>
      </c>
      <c r="B28" s="2298" t="s">
        <v>125</v>
      </c>
      <c r="C28" s="2305">
        <v>38000</v>
      </c>
      <c r="D28" s="2276">
        <v>350</v>
      </c>
      <c r="E28" s="2276">
        <f t="shared" si="68"/>
        <v>-37650</v>
      </c>
      <c r="F28" s="2278">
        <f t="shared" si="81"/>
        <v>-99.078947368421055</v>
      </c>
      <c r="G28" s="2279"/>
      <c r="H28" s="2280"/>
      <c r="I28" s="2305">
        <f t="shared" si="2"/>
        <v>38000</v>
      </c>
      <c r="J28" s="2276">
        <v>53433.34</v>
      </c>
      <c r="K28" s="2276">
        <f t="shared" si="69"/>
        <v>15433.339999999997</v>
      </c>
      <c r="L28" s="2278">
        <f t="shared" si="82"/>
        <v>40.614052631578936</v>
      </c>
      <c r="M28" s="2279"/>
      <c r="N28" s="2280"/>
      <c r="O28" s="2305">
        <f t="shared" si="4"/>
        <v>38000</v>
      </c>
      <c r="P28" s="2276">
        <v>34208.33</v>
      </c>
      <c r="Q28" s="2276">
        <f t="shared" si="70"/>
        <v>-3791.6699999999983</v>
      </c>
      <c r="R28" s="2278">
        <f t="shared" si="83"/>
        <v>-9.9780789473684184</v>
      </c>
      <c r="S28" s="2279"/>
      <c r="T28" s="2280"/>
      <c r="U28" s="2305">
        <f t="shared" si="6"/>
        <v>38000</v>
      </c>
      <c r="V28" s="2276"/>
      <c r="W28" s="2276">
        <f t="shared" si="71"/>
        <v>-38000</v>
      </c>
      <c r="X28" s="2278">
        <f t="shared" si="84"/>
        <v>-100</v>
      </c>
      <c r="Y28" s="2279"/>
      <c r="Z28" s="2280"/>
      <c r="AA28" s="2305">
        <v>80000</v>
      </c>
      <c r="AB28" s="2276"/>
      <c r="AC28" s="2276">
        <f t="shared" si="72"/>
        <v>-80000</v>
      </c>
      <c r="AD28" s="2278">
        <f t="shared" si="85"/>
        <v>-100</v>
      </c>
      <c r="AE28" s="2279"/>
      <c r="AF28" s="2280"/>
      <c r="AG28" s="2305">
        <f t="shared" si="9"/>
        <v>80000</v>
      </c>
      <c r="AH28" s="2276"/>
      <c r="AI28" s="2276">
        <f t="shared" si="73"/>
        <v>-80000</v>
      </c>
      <c r="AJ28" s="2278">
        <f t="shared" si="86"/>
        <v>-100</v>
      </c>
      <c r="AK28" s="2279"/>
      <c r="AL28" s="2280"/>
      <c r="AM28" s="2305">
        <f t="shared" si="11"/>
        <v>80000</v>
      </c>
      <c r="AN28" s="2276"/>
      <c r="AO28" s="2276">
        <f t="shared" si="74"/>
        <v>-80000</v>
      </c>
      <c r="AP28" s="2278">
        <f t="shared" si="87"/>
        <v>-100</v>
      </c>
      <c r="AQ28" s="2279"/>
      <c r="AR28" s="2280"/>
      <c r="AS28" s="2305">
        <f t="shared" si="13"/>
        <v>80000</v>
      </c>
      <c r="AT28" s="2276"/>
      <c r="AU28" s="2276">
        <f t="shared" si="75"/>
        <v>-80000</v>
      </c>
      <c r="AV28" s="2278">
        <f t="shared" si="88"/>
        <v>-100</v>
      </c>
      <c r="AW28" s="2279"/>
      <c r="AX28" s="2280"/>
      <c r="AY28" s="2305">
        <f t="shared" si="15"/>
        <v>80000</v>
      </c>
      <c r="AZ28" s="2276"/>
      <c r="BA28" s="2276">
        <f t="shared" si="76"/>
        <v>-80000</v>
      </c>
      <c r="BB28" s="2278">
        <f t="shared" si="89"/>
        <v>-100</v>
      </c>
      <c r="BC28" s="2279"/>
      <c r="BD28" s="2280"/>
      <c r="BE28" s="2305">
        <f t="shared" si="17"/>
        <v>80000</v>
      </c>
      <c r="BF28" s="2276"/>
      <c r="BG28" s="2276">
        <f t="shared" si="77"/>
        <v>-80000</v>
      </c>
      <c r="BH28" s="2278">
        <f t="shared" si="90"/>
        <v>-100</v>
      </c>
      <c r="BI28" s="2279"/>
      <c r="BJ28" s="2280"/>
      <c r="BK28" s="2305">
        <f>BE28</f>
        <v>80000</v>
      </c>
      <c r="BL28" s="2276"/>
      <c r="BM28" s="2276">
        <f t="shared" si="78"/>
        <v>-80000</v>
      </c>
      <c r="BN28" s="2278">
        <f t="shared" si="91"/>
        <v>-100</v>
      </c>
      <c r="BO28" s="2279"/>
      <c r="BP28" s="2280"/>
      <c r="BQ28" s="2305">
        <f t="shared" si="21"/>
        <v>80000</v>
      </c>
      <c r="BR28" s="2276"/>
      <c r="BS28" s="2276">
        <f t="shared" si="79"/>
        <v>-80000</v>
      </c>
      <c r="BT28" s="2278">
        <f t="shared" si="92"/>
        <v>-100</v>
      </c>
      <c r="BU28" s="2281"/>
      <c r="BV28" s="2280"/>
      <c r="BW28" s="2306">
        <f>C28+I28+O28+U28+AA28+AG28+AM28+AS28+AY28+BE28+BK28+BQ28</f>
        <v>792000</v>
      </c>
      <c r="BX28" s="1698">
        <f t="shared" si="80"/>
        <v>87991.67</v>
      </c>
    </row>
    <row r="29" spans="1:76" ht="15.75" thickBot="1" x14ac:dyDescent="0.3">
      <c r="A29" s="2135">
        <v>11369</v>
      </c>
      <c r="B29" s="2283" t="s">
        <v>224</v>
      </c>
      <c r="C29" s="2284">
        <v>46500</v>
      </c>
      <c r="D29" s="2300">
        <v>42394</v>
      </c>
      <c r="E29" s="2300">
        <f t="shared" si="68"/>
        <v>-4106</v>
      </c>
      <c r="F29" s="2301">
        <f t="shared" si="81"/>
        <v>-8.8301075268817257</v>
      </c>
      <c r="G29" s="2285"/>
      <c r="H29" s="2280"/>
      <c r="I29" s="2284">
        <f t="shared" si="2"/>
        <v>46500</v>
      </c>
      <c r="J29" s="2300">
        <v>51832.99</v>
      </c>
      <c r="K29" s="2300">
        <f t="shared" si="69"/>
        <v>5332.989999999998</v>
      </c>
      <c r="L29" s="2301">
        <f t="shared" si="82"/>
        <v>11.468795698924716</v>
      </c>
      <c r="M29" s="2285"/>
      <c r="N29" s="2280"/>
      <c r="O29" s="2284">
        <f t="shared" si="4"/>
        <v>46500</v>
      </c>
      <c r="P29" s="2300">
        <v>24345.65</v>
      </c>
      <c r="Q29" s="2300">
        <f t="shared" si="70"/>
        <v>-22154.35</v>
      </c>
      <c r="R29" s="2301">
        <f t="shared" si="83"/>
        <v>-47.643763440860212</v>
      </c>
      <c r="S29" s="2285"/>
      <c r="T29" s="2280"/>
      <c r="U29" s="2284">
        <f t="shared" si="6"/>
        <v>46500</v>
      </c>
      <c r="V29" s="2300"/>
      <c r="W29" s="2300">
        <f t="shared" si="71"/>
        <v>-46500</v>
      </c>
      <c r="X29" s="2301">
        <f t="shared" si="84"/>
        <v>-100</v>
      </c>
      <c r="Y29" s="2285"/>
      <c r="Z29" s="2280"/>
      <c r="AA29" s="2284">
        <v>60000</v>
      </c>
      <c r="AB29" s="2300"/>
      <c r="AC29" s="2300">
        <f t="shared" si="72"/>
        <v>-60000</v>
      </c>
      <c r="AD29" s="2301">
        <f t="shared" si="85"/>
        <v>-100</v>
      </c>
      <c r="AE29" s="2285"/>
      <c r="AF29" s="2280"/>
      <c r="AG29" s="2284">
        <f t="shared" si="9"/>
        <v>60000</v>
      </c>
      <c r="AH29" s="2300"/>
      <c r="AI29" s="2300">
        <f t="shared" si="73"/>
        <v>-60000</v>
      </c>
      <c r="AJ29" s="2301">
        <f t="shared" si="86"/>
        <v>-100</v>
      </c>
      <c r="AK29" s="2285"/>
      <c r="AL29" s="2280"/>
      <c r="AM29" s="2284">
        <f t="shared" si="11"/>
        <v>60000</v>
      </c>
      <c r="AN29" s="2300"/>
      <c r="AO29" s="2300">
        <f t="shared" si="74"/>
        <v>-60000</v>
      </c>
      <c r="AP29" s="2301">
        <f t="shared" si="87"/>
        <v>-100</v>
      </c>
      <c r="AQ29" s="2285"/>
      <c r="AR29" s="2280"/>
      <c r="AS29" s="2284">
        <f t="shared" si="13"/>
        <v>60000</v>
      </c>
      <c r="AT29" s="2300"/>
      <c r="AU29" s="2300">
        <f t="shared" si="75"/>
        <v>-60000</v>
      </c>
      <c r="AV29" s="2301">
        <f t="shared" si="88"/>
        <v>-100</v>
      </c>
      <c r="AW29" s="2285"/>
      <c r="AX29" s="2280"/>
      <c r="AY29" s="2284">
        <f t="shared" si="15"/>
        <v>60000</v>
      </c>
      <c r="AZ29" s="2300"/>
      <c r="BA29" s="2300">
        <f t="shared" si="76"/>
        <v>-60000</v>
      </c>
      <c r="BB29" s="2301">
        <f t="shared" si="89"/>
        <v>-100</v>
      </c>
      <c r="BC29" s="2285"/>
      <c r="BD29" s="2280"/>
      <c r="BE29" s="2284">
        <f t="shared" si="17"/>
        <v>60000</v>
      </c>
      <c r="BF29" s="2300"/>
      <c r="BG29" s="2300">
        <f t="shared" si="77"/>
        <v>-60000</v>
      </c>
      <c r="BH29" s="2301">
        <f t="shared" si="90"/>
        <v>-100</v>
      </c>
      <c r="BI29" s="2285"/>
      <c r="BJ29" s="2280"/>
      <c r="BK29" s="2284">
        <f>BE29</f>
        <v>60000</v>
      </c>
      <c r="BL29" s="2300"/>
      <c r="BM29" s="2300">
        <f t="shared" si="78"/>
        <v>-60000</v>
      </c>
      <c r="BN29" s="2301">
        <f t="shared" si="91"/>
        <v>-100</v>
      </c>
      <c r="BO29" s="2285"/>
      <c r="BP29" s="2280"/>
      <c r="BQ29" s="2284">
        <f t="shared" si="21"/>
        <v>60000</v>
      </c>
      <c r="BR29" s="2300"/>
      <c r="BS29" s="2300">
        <f t="shared" si="79"/>
        <v>-60000</v>
      </c>
      <c r="BT29" s="2301">
        <f t="shared" si="92"/>
        <v>-100</v>
      </c>
      <c r="BU29" s="2286"/>
      <c r="BV29" s="2280"/>
      <c r="BW29" s="2287">
        <f t="shared" si="80"/>
        <v>666000</v>
      </c>
      <c r="BX29" s="1696">
        <f t="shared" si="80"/>
        <v>118572.63999999998</v>
      </c>
    </row>
    <row r="30" spans="1:76" x14ac:dyDescent="0.25">
      <c r="A30" s="2134">
        <v>11298</v>
      </c>
      <c r="B30" s="2274" t="s">
        <v>26</v>
      </c>
      <c r="C30" s="2885">
        <v>3650000</v>
      </c>
      <c r="D30" s="2288">
        <v>3470204.98</v>
      </c>
      <c r="E30" s="2888">
        <f>D30+D31-C30</f>
        <v>193380.18000000017</v>
      </c>
      <c r="F30" s="2891">
        <f>((SUM(D30:D31)/C30)-1)*100</f>
        <v>5.2980871232876758</v>
      </c>
      <c r="G30" s="2289"/>
      <c r="H30" s="2280"/>
      <c r="I30" s="2885">
        <f t="shared" si="2"/>
        <v>3650000</v>
      </c>
      <c r="J30" s="2288">
        <v>3686784.29</v>
      </c>
      <c r="K30" s="2888">
        <f>J30+J31-I30</f>
        <v>439703.25</v>
      </c>
      <c r="L30" s="2891">
        <f>((SUM(J30:J31)/I30)-1)*100</f>
        <v>12.046664383561634</v>
      </c>
      <c r="M30" s="2289"/>
      <c r="N30" s="2280"/>
      <c r="O30" s="2885">
        <f t="shared" si="4"/>
        <v>3650000</v>
      </c>
      <c r="P30" s="2288">
        <v>3688203.41</v>
      </c>
      <c r="Q30" s="2888">
        <f>P30+P31-O30</f>
        <v>429933.2200000002</v>
      </c>
      <c r="R30" s="2891">
        <f>((SUM(P30:P31)/O30)-1)*100</f>
        <v>11.778992328767135</v>
      </c>
      <c r="S30" s="2289"/>
      <c r="T30" s="2280"/>
      <c r="U30" s="2885">
        <f t="shared" si="6"/>
        <v>3650000</v>
      </c>
      <c r="V30" s="2288"/>
      <c r="W30" s="2888">
        <f>V30+V31-U30</f>
        <v>-3650000</v>
      </c>
      <c r="X30" s="2891">
        <f>((SUM(V30:V31)/U30)-1)*100</f>
        <v>-100</v>
      </c>
      <c r="Y30" s="2289"/>
      <c r="Z30" s="2280"/>
      <c r="AA30" s="2885">
        <v>3796000</v>
      </c>
      <c r="AB30" s="2288"/>
      <c r="AC30" s="2888">
        <f>AB30+AB31-AA30</f>
        <v>-3796000</v>
      </c>
      <c r="AD30" s="2891">
        <f>((SUM(AB30:AB31)/AA30)-1)*100</f>
        <v>-100</v>
      </c>
      <c r="AE30" s="2289"/>
      <c r="AF30" s="2280"/>
      <c r="AG30" s="2885">
        <f t="shared" si="9"/>
        <v>3796000</v>
      </c>
      <c r="AH30" s="2288"/>
      <c r="AI30" s="2888">
        <f>AH30+AH31-AG30</f>
        <v>-3796000</v>
      </c>
      <c r="AJ30" s="2891">
        <f>((SUM(AH30:AH31)/AG30)-1)*100</f>
        <v>-100</v>
      </c>
      <c r="AK30" s="2289"/>
      <c r="AL30" s="2280"/>
      <c r="AM30" s="2885">
        <f t="shared" si="11"/>
        <v>3796000</v>
      </c>
      <c r="AN30" s="2288"/>
      <c r="AO30" s="2888">
        <f>AN30+AN31-AM30</f>
        <v>-3796000</v>
      </c>
      <c r="AP30" s="2891">
        <f>((SUM(AN30:AN31)/AM30)-1)*100</f>
        <v>-100</v>
      </c>
      <c r="AQ30" s="2289"/>
      <c r="AR30" s="2280"/>
      <c r="AS30" s="2885">
        <f t="shared" si="13"/>
        <v>3796000</v>
      </c>
      <c r="AT30" s="2288"/>
      <c r="AU30" s="2888">
        <f>AT30+AT31-AS30</f>
        <v>-3796000</v>
      </c>
      <c r="AV30" s="2891">
        <f>((SUM(AT30:AT31)/AS30)-1)*100</f>
        <v>-100</v>
      </c>
      <c r="AW30" s="2289"/>
      <c r="AX30" s="2280"/>
      <c r="AY30" s="2885">
        <f t="shared" si="15"/>
        <v>3796000</v>
      </c>
      <c r="AZ30" s="2288"/>
      <c r="BA30" s="2888">
        <f>AZ30+AZ31-AY30</f>
        <v>-3796000</v>
      </c>
      <c r="BB30" s="2891">
        <f>((SUM(AZ30:AZ31)/AY30)-1)*100</f>
        <v>-100</v>
      </c>
      <c r="BC30" s="2289"/>
      <c r="BD30" s="2280"/>
      <c r="BE30" s="2885">
        <f t="shared" si="17"/>
        <v>3796000</v>
      </c>
      <c r="BF30" s="2288"/>
      <c r="BG30" s="2888">
        <f>BF30+BF31-BE30</f>
        <v>-3796000</v>
      </c>
      <c r="BH30" s="2891">
        <f>((SUM(BF30:BF31)/BE30)-1)*100</f>
        <v>-100</v>
      </c>
      <c r="BI30" s="2289"/>
      <c r="BJ30" s="2280"/>
      <c r="BK30" s="2885">
        <v>3905000</v>
      </c>
      <c r="BL30" s="2288"/>
      <c r="BM30" s="2888">
        <f>BL30+BL31-BK30</f>
        <v>-3905000</v>
      </c>
      <c r="BN30" s="2891">
        <f>((SUM(BL30:BL31)/BK30)-1)*100</f>
        <v>-100</v>
      </c>
      <c r="BO30" s="2289"/>
      <c r="BP30" s="2280"/>
      <c r="BQ30" s="2885">
        <f t="shared" si="21"/>
        <v>3905000</v>
      </c>
      <c r="BR30" s="2288"/>
      <c r="BS30" s="2888">
        <f>BR30+BR31-BQ30</f>
        <v>-3905000</v>
      </c>
      <c r="BT30" s="2891">
        <f>((SUM(BR30:BR31)/BQ30)-1)*100</f>
        <v>-100</v>
      </c>
      <c r="BU30" s="2290"/>
      <c r="BV30" s="2280"/>
      <c r="BW30" s="2876">
        <f t="shared" si="80"/>
        <v>45186000</v>
      </c>
      <c r="BX30" s="2895">
        <f>D30+J30+P30+V30+AB30+AH30+AN30+AT30+AZ30+BF30+BL30+BR30+D31+J31+P31+V31+AB31+AH31+AN31+AT31+AZ31+BF31+BL31+BR31</f>
        <v>12013016.65</v>
      </c>
    </row>
    <row r="31" spans="1:76" ht="15.75" thickBot="1" x14ac:dyDescent="0.3">
      <c r="A31" s="2139">
        <v>11346</v>
      </c>
      <c r="B31" s="2292" t="s">
        <v>3848</v>
      </c>
      <c r="C31" s="2887"/>
      <c r="D31" s="2293">
        <v>373175.2</v>
      </c>
      <c r="E31" s="2890"/>
      <c r="F31" s="2893"/>
      <c r="G31" s="2294"/>
      <c r="H31" s="2280"/>
      <c r="I31" s="2887"/>
      <c r="J31" s="2293">
        <v>402918.96</v>
      </c>
      <c r="K31" s="2890"/>
      <c r="L31" s="2893"/>
      <c r="M31" s="2294"/>
      <c r="N31" s="2280"/>
      <c r="O31" s="2887"/>
      <c r="P31" s="2293">
        <v>391729.81</v>
      </c>
      <c r="Q31" s="2890"/>
      <c r="R31" s="2893"/>
      <c r="S31" s="2294"/>
      <c r="T31" s="2280"/>
      <c r="U31" s="2887"/>
      <c r="V31" s="2293"/>
      <c r="W31" s="2890"/>
      <c r="X31" s="2893"/>
      <c r="Y31" s="2294"/>
      <c r="Z31" s="2280"/>
      <c r="AA31" s="2887"/>
      <c r="AB31" s="2293"/>
      <c r="AC31" s="2890"/>
      <c r="AD31" s="2893"/>
      <c r="AE31" s="2294"/>
      <c r="AF31" s="2280"/>
      <c r="AG31" s="2887"/>
      <c r="AH31" s="2293"/>
      <c r="AI31" s="2890"/>
      <c r="AJ31" s="2893"/>
      <c r="AK31" s="2294"/>
      <c r="AL31" s="2280"/>
      <c r="AM31" s="2887"/>
      <c r="AN31" s="2293"/>
      <c r="AO31" s="2890"/>
      <c r="AP31" s="2893"/>
      <c r="AQ31" s="2294"/>
      <c r="AR31" s="2280"/>
      <c r="AS31" s="2887"/>
      <c r="AT31" s="2293"/>
      <c r="AU31" s="2890"/>
      <c r="AV31" s="2893"/>
      <c r="AW31" s="2294"/>
      <c r="AX31" s="2280"/>
      <c r="AY31" s="2887"/>
      <c r="AZ31" s="2293"/>
      <c r="BA31" s="2890"/>
      <c r="BB31" s="2893"/>
      <c r="BC31" s="2294"/>
      <c r="BD31" s="2280"/>
      <c r="BE31" s="2887"/>
      <c r="BF31" s="2293"/>
      <c r="BG31" s="2890"/>
      <c r="BH31" s="2893"/>
      <c r="BI31" s="2294"/>
      <c r="BJ31" s="2280"/>
      <c r="BK31" s="2887"/>
      <c r="BL31" s="2293"/>
      <c r="BM31" s="2890"/>
      <c r="BN31" s="2893"/>
      <c r="BO31" s="2294"/>
      <c r="BP31" s="2280"/>
      <c r="BQ31" s="2887"/>
      <c r="BR31" s="2293"/>
      <c r="BS31" s="2890"/>
      <c r="BT31" s="2893"/>
      <c r="BU31" s="2295"/>
      <c r="BV31" s="2280"/>
      <c r="BW31" s="2877"/>
      <c r="BX31" s="2897"/>
    </row>
    <row r="32" spans="1:76" x14ac:dyDescent="0.25">
      <c r="A32" s="2134">
        <v>11715</v>
      </c>
      <c r="B32" s="2274" t="s">
        <v>3849</v>
      </c>
      <c r="C32" s="2885">
        <v>3000</v>
      </c>
      <c r="D32" s="2288">
        <v>4360.21</v>
      </c>
      <c r="E32" s="2888">
        <f>D32+D33-C32</f>
        <v>1499.62</v>
      </c>
      <c r="F32" s="2891">
        <f>((SUM(D32:D33)/C32)-1)*100</f>
        <v>49.987333333333339</v>
      </c>
      <c r="G32" s="2289"/>
      <c r="H32" s="2280"/>
      <c r="I32" s="2885">
        <f t="shared" si="2"/>
        <v>3000</v>
      </c>
      <c r="J32" s="2288">
        <v>2950.41</v>
      </c>
      <c r="K32" s="2888">
        <f>J32+J33-I32</f>
        <v>48.509999999999764</v>
      </c>
      <c r="L32" s="2891">
        <f>((SUM(J32:J33)/I32)-1)*100</f>
        <v>1.6170000000000018</v>
      </c>
      <c r="M32" s="2289"/>
      <c r="N32" s="2280"/>
      <c r="O32" s="2885">
        <f t="shared" si="4"/>
        <v>3000</v>
      </c>
      <c r="P32" s="2288">
        <v>3957.52</v>
      </c>
      <c r="Q32" s="2888">
        <f>P32+P33-O32</f>
        <v>1138.3400000000001</v>
      </c>
      <c r="R32" s="2891">
        <f>((SUM(P32:P33)/O32)-1)*100</f>
        <v>37.94466666666667</v>
      </c>
      <c r="S32" s="2289"/>
      <c r="T32" s="2280"/>
      <c r="U32" s="2885">
        <f t="shared" si="6"/>
        <v>3000</v>
      </c>
      <c r="V32" s="2288"/>
      <c r="W32" s="2888">
        <f>V32+V33-U32</f>
        <v>-3000</v>
      </c>
      <c r="X32" s="2891">
        <f>((SUM(V32:V33)/U32)-1)*100</f>
        <v>-100</v>
      </c>
      <c r="Y32" s="2289"/>
      <c r="Z32" s="2280"/>
      <c r="AA32" s="2885">
        <v>3045</v>
      </c>
      <c r="AB32" s="2288"/>
      <c r="AC32" s="2888">
        <f>AB32+AB33-AA32</f>
        <v>-3045</v>
      </c>
      <c r="AD32" s="2891">
        <f>((SUM(AB32:AB33)/AA32)-1)*100</f>
        <v>-100</v>
      </c>
      <c r="AE32" s="2289"/>
      <c r="AF32" s="2280"/>
      <c r="AG32" s="2885">
        <f t="shared" si="9"/>
        <v>3045</v>
      </c>
      <c r="AH32" s="2288"/>
      <c r="AI32" s="2888">
        <f>AH32+AH33-AG32</f>
        <v>-3045</v>
      </c>
      <c r="AJ32" s="2891">
        <f>((SUM(AH32:AH33)/AG32)-1)*100</f>
        <v>-100</v>
      </c>
      <c r="AK32" s="2289"/>
      <c r="AL32" s="2280"/>
      <c r="AM32" s="2885">
        <f t="shared" si="11"/>
        <v>3045</v>
      </c>
      <c r="AN32" s="2288"/>
      <c r="AO32" s="2888">
        <f>AN32+AN33-AM32</f>
        <v>-3045</v>
      </c>
      <c r="AP32" s="2891">
        <f>((SUM(AN32:AN33)/AM32)-1)*100</f>
        <v>-100</v>
      </c>
      <c r="AQ32" s="2289"/>
      <c r="AR32" s="2280"/>
      <c r="AS32" s="2885">
        <f t="shared" si="13"/>
        <v>3045</v>
      </c>
      <c r="AT32" s="2288"/>
      <c r="AU32" s="2888">
        <f>AT32+AT33-AS32</f>
        <v>-3045</v>
      </c>
      <c r="AV32" s="2891">
        <f>((SUM(AT32:AT33)/AS32)-1)*100</f>
        <v>-100</v>
      </c>
      <c r="AW32" s="2289"/>
      <c r="AX32" s="2280"/>
      <c r="AY32" s="2885">
        <f t="shared" si="15"/>
        <v>3045</v>
      </c>
      <c r="AZ32" s="2288"/>
      <c r="BA32" s="2888">
        <f>AZ32+AZ33-AY32</f>
        <v>-3045</v>
      </c>
      <c r="BB32" s="2891">
        <f>((SUM(AZ32:AZ33)/AY32)-1)*100</f>
        <v>-100</v>
      </c>
      <c r="BC32" s="2289"/>
      <c r="BD32" s="2280"/>
      <c r="BE32" s="2885">
        <f t="shared" si="17"/>
        <v>3045</v>
      </c>
      <c r="BF32" s="2288"/>
      <c r="BG32" s="2888">
        <f>BF32+BF33-BE32</f>
        <v>-3045</v>
      </c>
      <c r="BH32" s="2891">
        <f>((SUM(BF32:BF33)/BE32)-1)*100</f>
        <v>-100</v>
      </c>
      <c r="BI32" s="2289"/>
      <c r="BJ32" s="2280"/>
      <c r="BK32" s="2885">
        <f>BE32</f>
        <v>3045</v>
      </c>
      <c r="BL32" s="2288"/>
      <c r="BM32" s="2888">
        <f>BL32+BL33-BK32</f>
        <v>-3045</v>
      </c>
      <c r="BN32" s="2891">
        <f>((SUM(BL32:BL33)/BK32)-1)*100</f>
        <v>-100</v>
      </c>
      <c r="BO32" s="2289"/>
      <c r="BP32" s="2280"/>
      <c r="BQ32" s="2885">
        <f t="shared" si="21"/>
        <v>3045</v>
      </c>
      <c r="BR32" s="2288"/>
      <c r="BS32" s="2888">
        <f>BR32+BR33-BQ32</f>
        <v>-3045</v>
      </c>
      <c r="BT32" s="2891">
        <f>((SUM(BR32:BR33)/BQ32)-1)*100</f>
        <v>-100</v>
      </c>
      <c r="BU32" s="2290"/>
      <c r="BV32" s="2280"/>
      <c r="BW32" s="2876">
        <f>C32+I32+O32+U32+AA32+AG32+AM32+AS32+AY32+BE32+BK32+BQ32</f>
        <v>36360</v>
      </c>
      <c r="BX32" s="2895">
        <f>D32+J32+P32+V32+AB32+AH32+AN32+AT32+AZ32+BF32+BL32+BR32+D33+J33+P33+V33+AB33+AH33+AN33+AT33+AZ33+BF33+BL33+BR33</f>
        <v>11686.47</v>
      </c>
    </row>
    <row r="33" spans="1:76" ht="15.75" thickBot="1" x14ac:dyDescent="0.3">
      <c r="A33" s="2139">
        <v>11422</v>
      </c>
      <c r="B33" s="2292" t="s">
        <v>39</v>
      </c>
      <c r="C33" s="2887"/>
      <c r="D33" s="2293">
        <v>139.41</v>
      </c>
      <c r="E33" s="2890"/>
      <c r="F33" s="2893"/>
      <c r="G33" s="2294"/>
      <c r="H33" s="2280"/>
      <c r="I33" s="2887"/>
      <c r="J33" s="2293">
        <v>98.1</v>
      </c>
      <c r="K33" s="2890"/>
      <c r="L33" s="2893"/>
      <c r="M33" s="2294"/>
      <c r="N33" s="2280"/>
      <c r="O33" s="2887"/>
      <c r="P33" s="2293">
        <v>180.82</v>
      </c>
      <c r="Q33" s="2890"/>
      <c r="R33" s="2893"/>
      <c r="S33" s="2294"/>
      <c r="T33" s="2280"/>
      <c r="U33" s="2887"/>
      <c r="V33" s="2293"/>
      <c r="W33" s="2890"/>
      <c r="X33" s="2893"/>
      <c r="Y33" s="2294"/>
      <c r="Z33" s="2280"/>
      <c r="AA33" s="2887"/>
      <c r="AB33" s="2293"/>
      <c r="AC33" s="2890"/>
      <c r="AD33" s="2893"/>
      <c r="AE33" s="2294"/>
      <c r="AF33" s="2280"/>
      <c r="AG33" s="2887"/>
      <c r="AH33" s="2293"/>
      <c r="AI33" s="2890"/>
      <c r="AJ33" s="2893"/>
      <c r="AK33" s="2294"/>
      <c r="AL33" s="2280"/>
      <c r="AM33" s="2887"/>
      <c r="AN33" s="2293"/>
      <c r="AO33" s="2890"/>
      <c r="AP33" s="2893"/>
      <c r="AQ33" s="2294"/>
      <c r="AR33" s="2280"/>
      <c r="AS33" s="2887"/>
      <c r="AT33" s="2293"/>
      <c r="AU33" s="2890"/>
      <c r="AV33" s="2893"/>
      <c r="AW33" s="2294"/>
      <c r="AX33" s="2280"/>
      <c r="AY33" s="2887"/>
      <c r="AZ33" s="2293"/>
      <c r="BA33" s="2890"/>
      <c r="BB33" s="2893"/>
      <c r="BC33" s="2294"/>
      <c r="BD33" s="2280"/>
      <c r="BE33" s="2887"/>
      <c r="BF33" s="2293"/>
      <c r="BG33" s="2890"/>
      <c r="BH33" s="2893"/>
      <c r="BI33" s="2294"/>
      <c r="BJ33" s="2280"/>
      <c r="BK33" s="2887"/>
      <c r="BL33" s="2293"/>
      <c r="BM33" s="2890"/>
      <c r="BN33" s="2893"/>
      <c r="BO33" s="2294"/>
      <c r="BP33" s="2280"/>
      <c r="BQ33" s="2887"/>
      <c r="BR33" s="2293"/>
      <c r="BS33" s="2890"/>
      <c r="BT33" s="2893"/>
      <c r="BU33" s="2295"/>
      <c r="BV33" s="2280"/>
      <c r="BW33" s="2877"/>
      <c r="BX33" s="2897"/>
    </row>
    <row r="34" spans="1:76" x14ac:dyDescent="0.25">
      <c r="A34" s="2140">
        <v>11540</v>
      </c>
      <c r="B34" s="2298" t="s">
        <v>208</v>
      </c>
      <c r="C34" s="2299">
        <v>21775</v>
      </c>
      <c r="D34" s="2288">
        <v>22281.59</v>
      </c>
      <c r="E34" s="2276">
        <f t="shared" ref="E34:E39" si="93">D34-C34</f>
        <v>506.59000000000015</v>
      </c>
      <c r="F34" s="2278">
        <f t="shared" ref="F34:F39" si="94">((D34/C34)-1)*100</f>
        <v>2.3264753157290485</v>
      </c>
      <c r="G34" s="2308"/>
      <c r="H34" s="2280"/>
      <c r="I34" s="2299">
        <v>21775</v>
      </c>
      <c r="J34" s="2300">
        <v>29064.59</v>
      </c>
      <c r="K34" s="2276">
        <f t="shared" ref="K34:K39" si="95">J34-I34</f>
        <v>7289.59</v>
      </c>
      <c r="L34" s="2278">
        <f t="shared" ref="L34:L39" si="96">((J34/I34)-1)*100</f>
        <v>33.476877152698052</v>
      </c>
      <c r="M34" s="2308"/>
      <c r="N34" s="2280"/>
      <c r="O34" s="2309">
        <v>21775</v>
      </c>
      <c r="P34" s="2300">
        <v>2772.2</v>
      </c>
      <c r="Q34" s="2276">
        <f t="shared" ref="Q34:Q39" si="97">P34-O34</f>
        <v>-19002.8</v>
      </c>
      <c r="R34" s="2307"/>
      <c r="S34" s="2308"/>
      <c r="T34" s="2280"/>
      <c r="U34" s="2309">
        <v>21775</v>
      </c>
      <c r="V34" s="2310"/>
      <c r="W34" s="2276">
        <f t="shared" ref="W34:W39" si="98">V34-U34</f>
        <v>-21775</v>
      </c>
      <c r="X34" s="2278">
        <f t="shared" ref="X34:X39" si="99">((V34/U34)-1)*100</f>
        <v>-100</v>
      </c>
      <c r="Y34" s="2285"/>
      <c r="Z34" s="2280"/>
      <c r="AA34" s="2299">
        <v>21775</v>
      </c>
      <c r="AB34" s="2288"/>
      <c r="AC34" s="2276">
        <f t="shared" ref="AC34:AC39" si="100">AB34-AA34</f>
        <v>-21775</v>
      </c>
      <c r="AD34" s="2278">
        <f t="shared" ref="AD34:AD39" si="101">((AB34/AA34)-1)*100</f>
        <v>-100</v>
      </c>
      <c r="AE34" s="2285"/>
      <c r="AF34" s="2280"/>
      <c r="AG34" s="2309">
        <v>21775</v>
      </c>
      <c r="AH34" s="2300"/>
      <c r="AI34" s="2276">
        <f t="shared" ref="AI34:AI39" si="102">AH34-AG34</f>
        <v>-21775</v>
      </c>
      <c r="AJ34" s="2278">
        <f t="shared" ref="AJ34:AJ39" si="103">((AH34/AG34)-1)*100</f>
        <v>-100</v>
      </c>
      <c r="AK34" s="2285"/>
      <c r="AL34" s="2280"/>
      <c r="AM34" s="2309">
        <v>21775</v>
      </c>
      <c r="AN34" s="2300"/>
      <c r="AO34" s="2276">
        <f t="shared" ref="AO34:AO39" si="104">AN34-AM34</f>
        <v>-21775</v>
      </c>
      <c r="AP34" s="2278">
        <f t="shared" ref="AP34:AP39" si="105">((AN34/AM34)-1)*100</f>
        <v>-100</v>
      </c>
      <c r="AQ34" s="2285"/>
      <c r="AR34" s="2280"/>
      <c r="AS34" s="2309">
        <v>21775</v>
      </c>
      <c r="AT34" s="2288"/>
      <c r="AU34" s="2276">
        <f t="shared" ref="AU34:AU39" si="106">AT34-AS34</f>
        <v>-21775</v>
      </c>
      <c r="AV34" s="2278">
        <f t="shared" ref="AV34:AV39" si="107">((AT34/AS34)-1)*100</f>
        <v>-100</v>
      </c>
      <c r="AW34" s="2285"/>
      <c r="AX34" s="2280"/>
      <c r="AY34" s="2299">
        <v>21775</v>
      </c>
      <c r="AZ34" s="2300"/>
      <c r="BA34" s="2276">
        <f t="shared" ref="BA34:BA39" si="108">AZ34-AY34</f>
        <v>-21775</v>
      </c>
      <c r="BB34" s="2278">
        <f t="shared" ref="BB34:BB39" si="109">((AZ34/AY34)-1)*100</f>
        <v>-100</v>
      </c>
      <c r="BC34" s="2285"/>
      <c r="BD34" s="2280"/>
      <c r="BE34" s="2299">
        <v>21775</v>
      </c>
      <c r="BF34" s="2300"/>
      <c r="BG34" s="2276">
        <f t="shared" ref="BG34:BG39" si="110">BF34-BE34</f>
        <v>-21775</v>
      </c>
      <c r="BH34" s="2278">
        <f t="shared" ref="BH34:BH39" si="111">((BF34/BE34)-1)*100</f>
        <v>-100</v>
      </c>
      <c r="BI34" s="2285"/>
      <c r="BJ34" s="2280"/>
      <c r="BK34" s="2309">
        <v>21775</v>
      </c>
      <c r="BL34" s="2300"/>
      <c r="BM34" s="2276">
        <f t="shared" ref="BM34:BM39" si="112">BL34-BK34</f>
        <v>-21775</v>
      </c>
      <c r="BN34" s="2278">
        <f t="shared" ref="BN34:BN39" si="113">((BL34/BK34)-1)*100</f>
        <v>-100</v>
      </c>
      <c r="BO34" s="2285"/>
      <c r="BP34" s="2280"/>
      <c r="BQ34" s="2299">
        <v>21775</v>
      </c>
      <c r="BR34" s="2300"/>
      <c r="BS34" s="2276">
        <f t="shared" ref="BS34:BS39" si="114">BR34-BQ34</f>
        <v>-21775</v>
      </c>
      <c r="BT34" s="2278">
        <f t="shared" ref="BT34:BT39" si="115">((BR34/BQ34)-1)*100</f>
        <v>-100</v>
      </c>
      <c r="BU34" s="2286"/>
      <c r="BV34" s="2280"/>
      <c r="BW34" s="2306">
        <f t="shared" ref="BW34:BX39" si="116">C34+I34+O34+U34+AA34+AG34+AM34+AS34+AY34+BE34+BK34+BQ34</f>
        <v>261300</v>
      </c>
      <c r="BX34" s="1698">
        <f t="shared" si="116"/>
        <v>54118.38</v>
      </c>
    </row>
    <row r="35" spans="1:76" x14ac:dyDescent="0.25">
      <c r="A35" s="2141">
        <v>12267</v>
      </c>
      <c r="B35" s="2298" t="s">
        <v>44</v>
      </c>
      <c r="C35" s="2305">
        <v>32000</v>
      </c>
      <c r="D35" s="2276">
        <v>47701.25</v>
      </c>
      <c r="E35" s="2276">
        <f t="shared" si="93"/>
        <v>15701.25</v>
      </c>
      <c r="F35" s="2278">
        <f t="shared" si="94"/>
        <v>49.066406250000007</v>
      </c>
      <c r="G35" s="2279"/>
      <c r="H35" s="2280"/>
      <c r="I35" s="2305">
        <f t="shared" si="2"/>
        <v>32000</v>
      </c>
      <c r="J35" s="2311">
        <v>44548.25</v>
      </c>
      <c r="K35" s="2276">
        <f t="shared" si="95"/>
        <v>12548.25</v>
      </c>
      <c r="L35" s="2278">
        <f t="shared" si="96"/>
        <v>39.213281250000009</v>
      </c>
      <c r="M35" s="2279"/>
      <c r="N35" s="2280"/>
      <c r="O35" s="2275">
        <f t="shared" si="4"/>
        <v>32000</v>
      </c>
      <c r="P35" s="2311">
        <v>22266.19</v>
      </c>
      <c r="Q35" s="2276">
        <f t="shared" si="97"/>
        <v>-9733.8100000000013</v>
      </c>
      <c r="R35" s="2278">
        <f>((P35/O35)-1)*100</f>
        <v>-30.418156250000006</v>
      </c>
      <c r="S35" s="2279"/>
      <c r="T35" s="2280"/>
      <c r="U35" s="2305">
        <f t="shared" si="6"/>
        <v>32000</v>
      </c>
      <c r="V35" s="2311"/>
      <c r="W35" s="2276">
        <f t="shared" si="98"/>
        <v>-32000</v>
      </c>
      <c r="X35" s="2278">
        <f t="shared" si="99"/>
        <v>-100</v>
      </c>
      <c r="Y35" s="2312"/>
      <c r="Z35" s="2280"/>
      <c r="AA35" s="2305">
        <v>35500</v>
      </c>
      <c r="AB35" s="2276"/>
      <c r="AC35" s="2276">
        <f t="shared" si="100"/>
        <v>-35500</v>
      </c>
      <c r="AD35" s="2278">
        <f t="shared" si="101"/>
        <v>-100</v>
      </c>
      <c r="AE35" s="2312"/>
      <c r="AF35" s="2280"/>
      <c r="AG35" s="2275">
        <f t="shared" si="9"/>
        <v>35500</v>
      </c>
      <c r="AH35" s="2311"/>
      <c r="AI35" s="2276">
        <f t="shared" si="102"/>
        <v>-35500</v>
      </c>
      <c r="AJ35" s="2278">
        <f t="shared" si="103"/>
        <v>-100</v>
      </c>
      <c r="AK35" s="2312"/>
      <c r="AL35" s="2280"/>
      <c r="AM35" s="2275">
        <f t="shared" si="11"/>
        <v>35500</v>
      </c>
      <c r="AN35" s="2311"/>
      <c r="AO35" s="2276">
        <f t="shared" si="104"/>
        <v>-35500</v>
      </c>
      <c r="AP35" s="2278">
        <f t="shared" si="105"/>
        <v>-100</v>
      </c>
      <c r="AQ35" s="2312"/>
      <c r="AR35" s="2280"/>
      <c r="AS35" s="2275">
        <f t="shared" si="13"/>
        <v>35500</v>
      </c>
      <c r="AT35" s="2276"/>
      <c r="AU35" s="2276">
        <f t="shared" si="106"/>
        <v>-35500</v>
      </c>
      <c r="AV35" s="2278">
        <f t="shared" si="107"/>
        <v>-100</v>
      </c>
      <c r="AW35" s="2312"/>
      <c r="AX35" s="2280"/>
      <c r="AY35" s="2305">
        <f t="shared" si="15"/>
        <v>35500</v>
      </c>
      <c r="AZ35" s="2311"/>
      <c r="BA35" s="2276">
        <f t="shared" si="108"/>
        <v>-35500</v>
      </c>
      <c r="BB35" s="2278">
        <f t="shared" si="109"/>
        <v>-100</v>
      </c>
      <c r="BC35" s="2312"/>
      <c r="BD35" s="2280"/>
      <c r="BE35" s="2305">
        <f t="shared" si="17"/>
        <v>35500</v>
      </c>
      <c r="BF35" s="2311"/>
      <c r="BG35" s="2276">
        <f t="shared" si="110"/>
        <v>-35500</v>
      </c>
      <c r="BH35" s="2278">
        <f t="shared" si="111"/>
        <v>-100</v>
      </c>
      <c r="BI35" s="2312"/>
      <c r="BJ35" s="2280"/>
      <c r="BK35" s="2275">
        <f>BE35</f>
        <v>35500</v>
      </c>
      <c r="BL35" s="2311"/>
      <c r="BM35" s="2276">
        <f t="shared" si="112"/>
        <v>-35500</v>
      </c>
      <c r="BN35" s="2278">
        <f t="shared" si="113"/>
        <v>-100</v>
      </c>
      <c r="BO35" s="2312"/>
      <c r="BP35" s="2280"/>
      <c r="BQ35" s="2305">
        <f t="shared" si="21"/>
        <v>35500</v>
      </c>
      <c r="BR35" s="2311"/>
      <c r="BS35" s="2276">
        <f t="shared" si="114"/>
        <v>-35500</v>
      </c>
      <c r="BT35" s="2278">
        <f t="shared" si="115"/>
        <v>-100</v>
      </c>
      <c r="BU35" s="2312"/>
      <c r="BV35" s="2280"/>
      <c r="BW35" s="2306">
        <f t="shared" si="116"/>
        <v>412000</v>
      </c>
      <c r="BX35" s="1698">
        <f t="shared" si="116"/>
        <v>114515.69</v>
      </c>
    </row>
    <row r="36" spans="1:76" x14ac:dyDescent="0.25">
      <c r="A36" s="2140">
        <v>11304</v>
      </c>
      <c r="B36" s="2298" t="s">
        <v>141</v>
      </c>
      <c r="C36" s="2305">
        <v>61000</v>
      </c>
      <c r="D36" s="2276">
        <v>98624</v>
      </c>
      <c r="E36" s="2276">
        <f t="shared" si="93"/>
        <v>37624</v>
      </c>
      <c r="F36" s="2278">
        <f t="shared" si="94"/>
        <v>61.678688524590171</v>
      </c>
      <c r="G36" s="2279"/>
      <c r="H36" s="2280"/>
      <c r="I36" s="2305">
        <f t="shared" si="2"/>
        <v>61000</v>
      </c>
      <c r="J36" s="2276">
        <v>88645.63</v>
      </c>
      <c r="K36" s="2276">
        <f t="shared" si="95"/>
        <v>27645.630000000005</v>
      </c>
      <c r="L36" s="2278">
        <f t="shared" si="96"/>
        <v>45.320704918032796</v>
      </c>
      <c r="M36" s="2279"/>
      <c r="N36" s="2280"/>
      <c r="O36" s="2305">
        <f t="shared" si="4"/>
        <v>61000</v>
      </c>
      <c r="P36" s="2276">
        <v>52222.1</v>
      </c>
      <c r="Q36" s="2276">
        <f t="shared" si="97"/>
        <v>-8777.9000000000015</v>
      </c>
      <c r="R36" s="2278">
        <f>((P36/O36)-1)*100</f>
        <v>-14.390000000000002</v>
      </c>
      <c r="S36" s="2279"/>
      <c r="T36" s="2280"/>
      <c r="U36" s="2305">
        <f t="shared" si="6"/>
        <v>61000</v>
      </c>
      <c r="V36" s="2276"/>
      <c r="W36" s="2276">
        <f t="shared" si="98"/>
        <v>-61000</v>
      </c>
      <c r="X36" s="2278">
        <f t="shared" si="99"/>
        <v>-100</v>
      </c>
      <c r="Y36" s="2279"/>
      <c r="Z36" s="2280"/>
      <c r="AA36" s="2305">
        <f>U36</f>
        <v>61000</v>
      </c>
      <c r="AB36" s="2276"/>
      <c r="AC36" s="2276">
        <f t="shared" si="100"/>
        <v>-61000</v>
      </c>
      <c r="AD36" s="2278">
        <f t="shared" si="101"/>
        <v>-100</v>
      </c>
      <c r="AE36" s="2279"/>
      <c r="AF36" s="2280"/>
      <c r="AG36" s="2305">
        <f t="shared" si="9"/>
        <v>61000</v>
      </c>
      <c r="AH36" s="2276"/>
      <c r="AI36" s="2276">
        <f t="shared" si="102"/>
        <v>-61000</v>
      </c>
      <c r="AJ36" s="2278">
        <f t="shared" si="103"/>
        <v>-100</v>
      </c>
      <c r="AK36" s="2279"/>
      <c r="AL36" s="2280"/>
      <c r="AM36" s="2305">
        <f t="shared" si="11"/>
        <v>61000</v>
      </c>
      <c r="AN36" s="2276"/>
      <c r="AO36" s="2276">
        <f t="shared" si="104"/>
        <v>-61000</v>
      </c>
      <c r="AP36" s="2278">
        <f t="shared" si="105"/>
        <v>-100</v>
      </c>
      <c r="AQ36" s="2279"/>
      <c r="AR36" s="2280"/>
      <c r="AS36" s="2305">
        <f t="shared" si="13"/>
        <v>61000</v>
      </c>
      <c r="AT36" s="2276"/>
      <c r="AU36" s="2276">
        <f t="shared" si="106"/>
        <v>-61000</v>
      </c>
      <c r="AV36" s="2278">
        <f t="shared" si="107"/>
        <v>-100</v>
      </c>
      <c r="AW36" s="2279"/>
      <c r="AX36" s="2280"/>
      <c r="AY36" s="2305">
        <f t="shared" si="15"/>
        <v>61000</v>
      </c>
      <c r="AZ36" s="2276"/>
      <c r="BA36" s="2276">
        <f t="shared" si="108"/>
        <v>-61000</v>
      </c>
      <c r="BB36" s="2278">
        <f t="shared" si="109"/>
        <v>-100</v>
      </c>
      <c r="BC36" s="2279"/>
      <c r="BD36" s="2280"/>
      <c r="BE36" s="2305">
        <f t="shared" si="17"/>
        <v>61000</v>
      </c>
      <c r="BF36" s="2276"/>
      <c r="BG36" s="2276">
        <f t="shared" si="110"/>
        <v>-61000</v>
      </c>
      <c r="BH36" s="2278">
        <f t="shared" si="111"/>
        <v>-100</v>
      </c>
      <c r="BI36" s="2279"/>
      <c r="BJ36" s="2280"/>
      <c r="BK36" s="2305">
        <f>BE36</f>
        <v>61000</v>
      </c>
      <c r="BL36" s="2276"/>
      <c r="BM36" s="2276">
        <f t="shared" si="112"/>
        <v>-61000</v>
      </c>
      <c r="BN36" s="2278">
        <f t="shared" si="113"/>
        <v>-100</v>
      </c>
      <c r="BO36" s="2279"/>
      <c r="BP36" s="2280"/>
      <c r="BQ36" s="2305">
        <f t="shared" si="21"/>
        <v>61000</v>
      </c>
      <c r="BR36" s="2276"/>
      <c r="BS36" s="2276">
        <f t="shared" si="114"/>
        <v>-61000</v>
      </c>
      <c r="BT36" s="2278">
        <f t="shared" si="115"/>
        <v>-100</v>
      </c>
      <c r="BU36" s="2281"/>
      <c r="BV36" s="2280"/>
      <c r="BW36" s="2306">
        <f t="shared" si="116"/>
        <v>732000</v>
      </c>
      <c r="BX36" s="1698">
        <f t="shared" si="116"/>
        <v>239491.73</v>
      </c>
    </row>
    <row r="37" spans="1:76" x14ac:dyDescent="0.25">
      <c r="A37" s="2140">
        <v>12204</v>
      </c>
      <c r="B37" s="2298" t="s">
        <v>177</v>
      </c>
      <c r="C37" s="2305">
        <v>3500</v>
      </c>
      <c r="D37" s="2276">
        <v>2219.94</v>
      </c>
      <c r="E37" s="2276">
        <f t="shared" si="93"/>
        <v>-1280.06</v>
      </c>
      <c r="F37" s="2278">
        <f t="shared" si="94"/>
        <v>-36.573142857142862</v>
      </c>
      <c r="G37" s="2279"/>
      <c r="H37" s="2280"/>
      <c r="I37" s="2305">
        <f t="shared" si="2"/>
        <v>3500</v>
      </c>
      <c r="J37" s="2276">
        <v>3168.27</v>
      </c>
      <c r="K37" s="2276">
        <f t="shared" si="95"/>
        <v>-331.73</v>
      </c>
      <c r="L37" s="2278">
        <f t="shared" si="96"/>
        <v>-9.477999999999998</v>
      </c>
      <c r="M37" s="2279"/>
      <c r="N37" s="2280"/>
      <c r="O37" s="2305">
        <f t="shared" si="4"/>
        <v>3500</v>
      </c>
      <c r="P37" s="2276">
        <v>3120.83</v>
      </c>
      <c r="Q37" s="2276">
        <f t="shared" si="97"/>
        <v>-379.17000000000007</v>
      </c>
      <c r="R37" s="2278">
        <f>((P37/O37)-1)*100</f>
        <v>-10.833428571428572</v>
      </c>
      <c r="S37" s="2279"/>
      <c r="T37" s="2280"/>
      <c r="U37" s="2305">
        <f t="shared" si="6"/>
        <v>3500</v>
      </c>
      <c r="V37" s="2276"/>
      <c r="W37" s="2276">
        <f t="shared" si="98"/>
        <v>-3500</v>
      </c>
      <c r="X37" s="2278">
        <f t="shared" si="99"/>
        <v>-100</v>
      </c>
      <c r="Y37" s="2279"/>
      <c r="Z37" s="2280"/>
      <c r="AA37" s="2305">
        <v>4000</v>
      </c>
      <c r="AB37" s="2276"/>
      <c r="AC37" s="2276">
        <f t="shared" si="100"/>
        <v>-4000</v>
      </c>
      <c r="AD37" s="2278">
        <f t="shared" si="101"/>
        <v>-100</v>
      </c>
      <c r="AE37" s="2279"/>
      <c r="AF37" s="2280"/>
      <c r="AG37" s="2305">
        <f t="shared" si="9"/>
        <v>4000</v>
      </c>
      <c r="AH37" s="2276"/>
      <c r="AI37" s="2276">
        <f t="shared" si="102"/>
        <v>-4000</v>
      </c>
      <c r="AJ37" s="2278">
        <f t="shared" si="103"/>
        <v>-100</v>
      </c>
      <c r="AK37" s="2279"/>
      <c r="AL37" s="2280"/>
      <c r="AM37" s="2305">
        <f t="shared" si="11"/>
        <v>4000</v>
      </c>
      <c r="AN37" s="2276"/>
      <c r="AO37" s="2276">
        <f t="shared" si="104"/>
        <v>-4000</v>
      </c>
      <c r="AP37" s="2278">
        <f t="shared" si="105"/>
        <v>-100</v>
      </c>
      <c r="AQ37" s="2279"/>
      <c r="AR37" s="2280"/>
      <c r="AS37" s="2305">
        <f t="shared" si="13"/>
        <v>4000</v>
      </c>
      <c r="AT37" s="2276"/>
      <c r="AU37" s="2276">
        <f t="shared" si="106"/>
        <v>-4000</v>
      </c>
      <c r="AV37" s="2278">
        <f t="shared" si="107"/>
        <v>-100</v>
      </c>
      <c r="AW37" s="2279"/>
      <c r="AX37" s="2280"/>
      <c r="AY37" s="2305">
        <f t="shared" si="15"/>
        <v>4000</v>
      </c>
      <c r="AZ37" s="2276"/>
      <c r="BA37" s="2276">
        <f t="shared" si="108"/>
        <v>-4000</v>
      </c>
      <c r="BB37" s="2278">
        <f t="shared" si="109"/>
        <v>-100</v>
      </c>
      <c r="BC37" s="2279"/>
      <c r="BD37" s="2280"/>
      <c r="BE37" s="2305">
        <f t="shared" si="17"/>
        <v>4000</v>
      </c>
      <c r="BF37" s="2276"/>
      <c r="BG37" s="2276">
        <f t="shared" si="110"/>
        <v>-4000</v>
      </c>
      <c r="BH37" s="2278">
        <f t="shared" si="111"/>
        <v>-100</v>
      </c>
      <c r="BI37" s="2279"/>
      <c r="BJ37" s="2280"/>
      <c r="BK37" s="2305">
        <v>4000</v>
      </c>
      <c r="BL37" s="2276"/>
      <c r="BM37" s="2276">
        <f t="shared" si="112"/>
        <v>-4000</v>
      </c>
      <c r="BN37" s="2278">
        <f t="shared" si="113"/>
        <v>-100</v>
      </c>
      <c r="BO37" s="2279"/>
      <c r="BP37" s="2280"/>
      <c r="BQ37" s="2305">
        <v>4000</v>
      </c>
      <c r="BR37" s="2276"/>
      <c r="BS37" s="2276">
        <f t="shared" si="114"/>
        <v>-4000</v>
      </c>
      <c r="BT37" s="2278">
        <f t="shared" si="115"/>
        <v>-100</v>
      </c>
      <c r="BU37" s="2281"/>
      <c r="BV37" s="2280"/>
      <c r="BW37" s="2306">
        <f t="shared" si="116"/>
        <v>46000</v>
      </c>
      <c r="BX37" s="1698">
        <f t="shared" si="116"/>
        <v>8509.0400000000009</v>
      </c>
    </row>
    <row r="38" spans="1:76" x14ac:dyDescent="0.25">
      <c r="A38" s="2140">
        <v>11434</v>
      </c>
      <c r="B38" s="2298" t="s">
        <v>173</v>
      </c>
      <c r="C38" s="2305">
        <v>50000</v>
      </c>
      <c r="D38" s="2276">
        <v>42035.67</v>
      </c>
      <c r="E38" s="2276">
        <f t="shared" si="93"/>
        <v>-7964.3300000000017</v>
      </c>
      <c r="F38" s="2278">
        <f t="shared" si="94"/>
        <v>-15.928660000000006</v>
      </c>
      <c r="G38" s="2279"/>
      <c r="H38" s="2280"/>
      <c r="I38" s="2305">
        <f t="shared" si="2"/>
        <v>50000</v>
      </c>
      <c r="J38" s="2276">
        <v>52090.33</v>
      </c>
      <c r="K38" s="2276">
        <f t="shared" si="95"/>
        <v>2090.3300000000017</v>
      </c>
      <c r="L38" s="2278">
        <f t="shared" si="96"/>
        <v>4.1806600000000138</v>
      </c>
      <c r="M38" s="2279"/>
      <c r="N38" s="2280"/>
      <c r="O38" s="2305">
        <f t="shared" si="4"/>
        <v>50000</v>
      </c>
      <c r="P38" s="2276">
        <v>49181.94</v>
      </c>
      <c r="Q38" s="2276">
        <f t="shared" si="97"/>
        <v>-818.05999999999767</v>
      </c>
      <c r="R38" s="2278">
        <f>((P38/O38)-1)*100</f>
        <v>-1.6361199999999965</v>
      </c>
      <c r="S38" s="2279"/>
      <c r="T38" s="2280"/>
      <c r="U38" s="2305">
        <f t="shared" si="6"/>
        <v>50000</v>
      </c>
      <c r="V38" s="2276"/>
      <c r="W38" s="2276">
        <f t="shared" si="98"/>
        <v>-50000</v>
      </c>
      <c r="X38" s="2278">
        <f t="shared" si="99"/>
        <v>-100</v>
      </c>
      <c r="Y38" s="2279"/>
      <c r="Z38" s="2280"/>
      <c r="AA38" s="2305">
        <f>U38</f>
        <v>50000</v>
      </c>
      <c r="AB38" s="2276"/>
      <c r="AC38" s="2276">
        <f t="shared" si="100"/>
        <v>-50000</v>
      </c>
      <c r="AD38" s="2278">
        <f t="shared" si="101"/>
        <v>-100</v>
      </c>
      <c r="AE38" s="2279"/>
      <c r="AF38" s="2280"/>
      <c r="AG38" s="2305">
        <f t="shared" si="9"/>
        <v>50000</v>
      </c>
      <c r="AH38" s="2276"/>
      <c r="AI38" s="2276">
        <f t="shared" si="102"/>
        <v>-50000</v>
      </c>
      <c r="AJ38" s="2278">
        <f t="shared" si="103"/>
        <v>-100</v>
      </c>
      <c r="AK38" s="2279"/>
      <c r="AL38" s="2280"/>
      <c r="AM38" s="2305">
        <f t="shared" si="11"/>
        <v>50000</v>
      </c>
      <c r="AN38" s="2276"/>
      <c r="AO38" s="2276">
        <f t="shared" si="104"/>
        <v>-50000</v>
      </c>
      <c r="AP38" s="2278">
        <f t="shared" si="105"/>
        <v>-100</v>
      </c>
      <c r="AQ38" s="2279"/>
      <c r="AR38" s="2280"/>
      <c r="AS38" s="2305">
        <f t="shared" si="13"/>
        <v>50000</v>
      </c>
      <c r="AT38" s="2276"/>
      <c r="AU38" s="2276">
        <f t="shared" si="106"/>
        <v>-50000</v>
      </c>
      <c r="AV38" s="2278">
        <f t="shared" si="107"/>
        <v>-100</v>
      </c>
      <c r="AW38" s="2279"/>
      <c r="AX38" s="2280"/>
      <c r="AY38" s="2305">
        <f t="shared" si="15"/>
        <v>50000</v>
      </c>
      <c r="AZ38" s="2276"/>
      <c r="BA38" s="2276">
        <f t="shared" si="108"/>
        <v>-50000</v>
      </c>
      <c r="BB38" s="2278">
        <f t="shared" si="109"/>
        <v>-100</v>
      </c>
      <c r="BC38" s="2279"/>
      <c r="BD38" s="2280"/>
      <c r="BE38" s="2305">
        <f t="shared" si="17"/>
        <v>50000</v>
      </c>
      <c r="BF38" s="2276"/>
      <c r="BG38" s="2276">
        <f t="shared" si="110"/>
        <v>-50000</v>
      </c>
      <c r="BH38" s="2278">
        <f t="shared" si="111"/>
        <v>-100</v>
      </c>
      <c r="BI38" s="2279"/>
      <c r="BJ38" s="2280"/>
      <c r="BK38" s="2305">
        <f>BE38</f>
        <v>50000</v>
      </c>
      <c r="BL38" s="2276"/>
      <c r="BM38" s="2276">
        <f t="shared" si="112"/>
        <v>-50000</v>
      </c>
      <c r="BN38" s="2278">
        <f t="shared" si="113"/>
        <v>-100</v>
      </c>
      <c r="BO38" s="2279"/>
      <c r="BP38" s="2280"/>
      <c r="BQ38" s="2305">
        <f>BK38</f>
        <v>50000</v>
      </c>
      <c r="BR38" s="2276"/>
      <c r="BS38" s="2276">
        <f t="shared" si="114"/>
        <v>-50000</v>
      </c>
      <c r="BT38" s="2278">
        <f t="shared" si="115"/>
        <v>-100</v>
      </c>
      <c r="BU38" s="2281"/>
      <c r="BV38" s="2280"/>
      <c r="BW38" s="2306">
        <f t="shared" si="116"/>
        <v>600000</v>
      </c>
      <c r="BX38" s="1698">
        <f t="shared" si="116"/>
        <v>143307.94</v>
      </c>
    </row>
    <row r="39" spans="1:76" ht="15.75" thickBot="1" x14ac:dyDescent="0.3">
      <c r="A39" s="2142">
        <v>11481</v>
      </c>
      <c r="B39" s="2313" t="s">
        <v>30</v>
      </c>
      <c r="C39" s="2314">
        <v>160000</v>
      </c>
      <c r="D39" s="2293">
        <v>150769.69</v>
      </c>
      <c r="E39" s="2293">
        <f t="shared" si="93"/>
        <v>-9230.3099999999977</v>
      </c>
      <c r="F39" s="2315">
        <f t="shared" si="94"/>
        <v>-5.76894375</v>
      </c>
      <c r="G39" s="2294"/>
      <c r="H39" s="2280"/>
      <c r="I39" s="2314">
        <f t="shared" si="2"/>
        <v>160000</v>
      </c>
      <c r="J39" s="2293">
        <v>171987.19</v>
      </c>
      <c r="K39" s="2293">
        <f t="shared" si="95"/>
        <v>11987.190000000002</v>
      </c>
      <c r="L39" s="2315">
        <f t="shared" si="96"/>
        <v>7.4919937500000033</v>
      </c>
      <c r="M39" s="2294"/>
      <c r="N39" s="2280"/>
      <c r="O39" s="2314">
        <f t="shared" si="4"/>
        <v>160000</v>
      </c>
      <c r="P39" s="2293">
        <v>165260.21</v>
      </c>
      <c r="Q39" s="2293">
        <f t="shared" si="97"/>
        <v>5260.2099999999919</v>
      </c>
      <c r="R39" s="2315">
        <f>((P39/O39)-1)*100</f>
        <v>3.2876312500000004</v>
      </c>
      <c r="S39" s="2294"/>
      <c r="T39" s="2280"/>
      <c r="U39" s="2314">
        <f t="shared" si="6"/>
        <v>160000</v>
      </c>
      <c r="V39" s="2293"/>
      <c r="W39" s="2293">
        <f t="shared" si="98"/>
        <v>-160000</v>
      </c>
      <c r="X39" s="2315">
        <f t="shared" si="99"/>
        <v>-100</v>
      </c>
      <c r="Y39" s="2294"/>
      <c r="Z39" s="2280"/>
      <c r="AA39" s="2314">
        <v>185000</v>
      </c>
      <c r="AB39" s="2293"/>
      <c r="AC39" s="2293">
        <f t="shared" si="100"/>
        <v>-185000</v>
      </c>
      <c r="AD39" s="2315">
        <f t="shared" si="101"/>
        <v>-100</v>
      </c>
      <c r="AE39" s="2294"/>
      <c r="AF39" s="2280"/>
      <c r="AG39" s="2314">
        <f t="shared" si="9"/>
        <v>185000</v>
      </c>
      <c r="AH39" s="2293"/>
      <c r="AI39" s="2293">
        <f t="shared" si="102"/>
        <v>-185000</v>
      </c>
      <c r="AJ39" s="2315">
        <f t="shared" si="103"/>
        <v>-100</v>
      </c>
      <c r="AK39" s="2294"/>
      <c r="AL39" s="2280"/>
      <c r="AM39" s="2314">
        <f t="shared" si="11"/>
        <v>185000</v>
      </c>
      <c r="AN39" s="2293"/>
      <c r="AO39" s="2293">
        <f t="shared" si="104"/>
        <v>-185000</v>
      </c>
      <c r="AP39" s="2315">
        <f t="shared" si="105"/>
        <v>-100</v>
      </c>
      <c r="AQ39" s="2294"/>
      <c r="AR39" s="2280"/>
      <c r="AS39" s="2314">
        <f t="shared" si="13"/>
        <v>185000</v>
      </c>
      <c r="AT39" s="2293"/>
      <c r="AU39" s="2293">
        <f t="shared" si="106"/>
        <v>-185000</v>
      </c>
      <c r="AV39" s="2315">
        <f t="shared" si="107"/>
        <v>-100</v>
      </c>
      <c r="AW39" s="2294"/>
      <c r="AX39" s="2280"/>
      <c r="AY39" s="2314">
        <f t="shared" si="15"/>
        <v>185000</v>
      </c>
      <c r="AZ39" s="2293"/>
      <c r="BA39" s="2293">
        <f t="shared" si="108"/>
        <v>-185000</v>
      </c>
      <c r="BB39" s="2315">
        <f t="shared" si="109"/>
        <v>-100</v>
      </c>
      <c r="BC39" s="2294"/>
      <c r="BD39" s="2280"/>
      <c r="BE39" s="2314">
        <f t="shared" si="17"/>
        <v>185000</v>
      </c>
      <c r="BF39" s="2293"/>
      <c r="BG39" s="2293">
        <f t="shared" si="110"/>
        <v>-185000</v>
      </c>
      <c r="BH39" s="2315">
        <f t="shared" si="111"/>
        <v>-100</v>
      </c>
      <c r="BI39" s="2294"/>
      <c r="BJ39" s="2280"/>
      <c r="BK39" s="2314">
        <f>BE39</f>
        <v>185000</v>
      </c>
      <c r="BL39" s="2293"/>
      <c r="BM39" s="2293">
        <f t="shared" si="112"/>
        <v>-185000</v>
      </c>
      <c r="BN39" s="2315">
        <f t="shared" si="113"/>
        <v>-100</v>
      </c>
      <c r="BO39" s="2294"/>
      <c r="BP39" s="2280"/>
      <c r="BQ39" s="2314">
        <f>BK39</f>
        <v>185000</v>
      </c>
      <c r="BR39" s="2293"/>
      <c r="BS39" s="2293">
        <f t="shared" si="114"/>
        <v>-185000</v>
      </c>
      <c r="BT39" s="2315">
        <f t="shared" si="115"/>
        <v>-100</v>
      </c>
      <c r="BU39" s="2295"/>
      <c r="BV39" s="2280"/>
      <c r="BW39" s="2287">
        <f t="shared" si="116"/>
        <v>2120000</v>
      </c>
      <c r="BX39" s="1696">
        <f t="shared" si="116"/>
        <v>488017.08999999997</v>
      </c>
    </row>
  </sheetData>
  <mergeCells count="294">
    <mergeCell ref="BI5:BI7"/>
    <mergeCell ref="BO5:BO7"/>
    <mergeCell ref="BU5:BU7"/>
    <mergeCell ref="Y5:Y7"/>
    <mergeCell ref="AE5:AE7"/>
    <mergeCell ref="AK5:AK7"/>
    <mergeCell ref="AQ5:AQ7"/>
    <mergeCell ref="AW5:AW7"/>
    <mergeCell ref="BC5:BC7"/>
    <mergeCell ref="BN32:BN33"/>
    <mergeCell ref="BQ32:BQ33"/>
    <mergeCell ref="BS32:BS33"/>
    <mergeCell ref="BT32:BT33"/>
    <mergeCell ref="BW32:BW33"/>
    <mergeCell ref="BX32:BX33"/>
    <mergeCell ref="BB32:BB33"/>
    <mergeCell ref="BE32:BE33"/>
    <mergeCell ref="BG32:BG33"/>
    <mergeCell ref="BH32:BH33"/>
    <mergeCell ref="BK32:BK33"/>
    <mergeCell ref="BM32:BM33"/>
    <mergeCell ref="AP32:AP33"/>
    <mergeCell ref="AS32:AS33"/>
    <mergeCell ref="AU32:AU33"/>
    <mergeCell ref="AV32:AV33"/>
    <mergeCell ref="AY32:AY33"/>
    <mergeCell ref="BA32:BA33"/>
    <mergeCell ref="AD32:AD33"/>
    <mergeCell ref="AG32:AG33"/>
    <mergeCell ref="AI32:AI33"/>
    <mergeCell ref="AJ32:AJ33"/>
    <mergeCell ref="AM32:AM33"/>
    <mergeCell ref="AO32:AO33"/>
    <mergeCell ref="R32:R33"/>
    <mergeCell ref="U32:U33"/>
    <mergeCell ref="W32:W33"/>
    <mergeCell ref="X32:X33"/>
    <mergeCell ref="AA32:AA33"/>
    <mergeCell ref="AC32:AC33"/>
    <mergeCell ref="BW30:BW31"/>
    <mergeCell ref="BX30:BX31"/>
    <mergeCell ref="C32:C33"/>
    <mergeCell ref="E32:E33"/>
    <mergeCell ref="F32:F33"/>
    <mergeCell ref="I32:I33"/>
    <mergeCell ref="K32:K33"/>
    <mergeCell ref="L32:L33"/>
    <mergeCell ref="O32:O33"/>
    <mergeCell ref="Q32:Q33"/>
    <mergeCell ref="BK30:BK31"/>
    <mergeCell ref="BM30:BM31"/>
    <mergeCell ref="BN30:BN31"/>
    <mergeCell ref="BQ30:BQ31"/>
    <mergeCell ref="BS30:BS31"/>
    <mergeCell ref="BT30:BT31"/>
    <mergeCell ref="AY30:AY31"/>
    <mergeCell ref="BA30:BA31"/>
    <mergeCell ref="BB30:BB31"/>
    <mergeCell ref="BE30:BE31"/>
    <mergeCell ref="BG30:BG31"/>
    <mergeCell ref="BH30:BH31"/>
    <mergeCell ref="AM30:AM31"/>
    <mergeCell ref="AO30:AO31"/>
    <mergeCell ref="AP30:AP31"/>
    <mergeCell ref="AS30:AS31"/>
    <mergeCell ref="AU30:AU31"/>
    <mergeCell ref="AV30:AV31"/>
    <mergeCell ref="AA30:AA31"/>
    <mergeCell ref="AC30:AC31"/>
    <mergeCell ref="AD30:AD31"/>
    <mergeCell ref="AG30:AG31"/>
    <mergeCell ref="AI30:AI31"/>
    <mergeCell ref="AJ30:AJ31"/>
    <mergeCell ref="O30:O31"/>
    <mergeCell ref="Q30:Q31"/>
    <mergeCell ref="R30:R31"/>
    <mergeCell ref="U30:U31"/>
    <mergeCell ref="W30:W31"/>
    <mergeCell ref="X30:X31"/>
    <mergeCell ref="C30:C31"/>
    <mergeCell ref="E30:E31"/>
    <mergeCell ref="F30:F31"/>
    <mergeCell ref="I30:I31"/>
    <mergeCell ref="K30:K31"/>
    <mergeCell ref="L30:L31"/>
    <mergeCell ref="BN23:BN24"/>
    <mergeCell ref="BQ23:BQ24"/>
    <mergeCell ref="BS23:BS24"/>
    <mergeCell ref="AP23:AP24"/>
    <mergeCell ref="AS23:AS24"/>
    <mergeCell ref="AU23:AU24"/>
    <mergeCell ref="AV23:AV24"/>
    <mergeCell ref="AY23:AY24"/>
    <mergeCell ref="BA23:BA24"/>
    <mergeCell ref="AD23:AD24"/>
    <mergeCell ref="AG23:AG24"/>
    <mergeCell ref="AI23:AI24"/>
    <mergeCell ref="AJ23:AJ24"/>
    <mergeCell ref="AM23:AM24"/>
    <mergeCell ref="AO23:AO24"/>
    <mergeCell ref="R23:R24"/>
    <mergeCell ref="U23:U24"/>
    <mergeCell ref="W23:W24"/>
    <mergeCell ref="BW21:BW22"/>
    <mergeCell ref="BX21:BX22"/>
    <mergeCell ref="E23:E24"/>
    <mergeCell ref="F23:F24"/>
    <mergeCell ref="I23:I24"/>
    <mergeCell ref="K23:K24"/>
    <mergeCell ref="L23:L24"/>
    <mergeCell ref="O23:O24"/>
    <mergeCell ref="Q23:Q24"/>
    <mergeCell ref="BH21:BH22"/>
    <mergeCell ref="BK21:BK22"/>
    <mergeCell ref="BM21:BM22"/>
    <mergeCell ref="BN21:BN22"/>
    <mergeCell ref="BQ21:BQ22"/>
    <mergeCell ref="BS21:BS22"/>
    <mergeCell ref="AV21:AV22"/>
    <mergeCell ref="AY21:AY22"/>
    <mergeCell ref="BA21:BA22"/>
    <mergeCell ref="BB21:BB22"/>
    <mergeCell ref="BE21:BE22"/>
    <mergeCell ref="BT23:BT24"/>
    <mergeCell ref="BW23:BW24"/>
    <mergeCell ref="BX23:BX24"/>
    <mergeCell ref="BB23:BB24"/>
    <mergeCell ref="AA21:AA22"/>
    <mergeCell ref="AC21:AC22"/>
    <mergeCell ref="AD21:AD22"/>
    <mergeCell ref="AG21:AG22"/>
    <mergeCell ref="AI21:AI22"/>
    <mergeCell ref="X23:X24"/>
    <mergeCell ref="AA23:AA24"/>
    <mergeCell ref="AC23:AC24"/>
    <mergeCell ref="BT21:BT22"/>
    <mergeCell ref="BE23:BE24"/>
    <mergeCell ref="BG23:BG24"/>
    <mergeCell ref="BH23:BH24"/>
    <mergeCell ref="BK23:BK24"/>
    <mergeCell ref="BM23:BM24"/>
    <mergeCell ref="L21:L22"/>
    <mergeCell ref="O21:O22"/>
    <mergeCell ref="Q21:Q22"/>
    <mergeCell ref="R21:R22"/>
    <mergeCell ref="U21:U22"/>
    <mergeCell ref="W21:W22"/>
    <mergeCell ref="BQ17:BQ20"/>
    <mergeCell ref="BS17:BS20"/>
    <mergeCell ref="BT17:BT20"/>
    <mergeCell ref="AP17:AP20"/>
    <mergeCell ref="U17:U20"/>
    <mergeCell ref="W17:W20"/>
    <mergeCell ref="X17:X20"/>
    <mergeCell ref="AA17:AA20"/>
    <mergeCell ref="AC17:AC20"/>
    <mergeCell ref="AD17:AD20"/>
    <mergeCell ref="BG21:BG22"/>
    <mergeCell ref="AJ21:AJ22"/>
    <mergeCell ref="AM21:AM22"/>
    <mergeCell ref="AO21:AO22"/>
    <mergeCell ref="AP21:AP22"/>
    <mergeCell ref="AS21:AS22"/>
    <mergeCell ref="AU21:AU22"/>
    <mergeCell ref="X21:X22"/>
    <mergeCell ref="BW17:BW20"/>
    <mergeCell ref="BX17:BX20"/>
    <mergeCell ref="C21:C22"/>
    <mergeCell ref="E21:E22"/>
    <mergeCell ref="F21:F22"/>
    <mergeCell ref="I21:I22"/>
    <mergeCell ref="K21:K22"/>
    <mergeCell ref="BE17:BE20"/>
    <mergeCell ref="BG17:BG20"/>
    <mergeCell ref="BH17:BH20"/>
    <mergeCell ref="BK17:BK20"/>
    <mergeCell ref="BM17:BM20"/>
    <mergeCell ref="BN17:BN20"/>
    <mergeCell ref="AS17:AS20"/>
    <mergeCell ref="AU17:AU20"/>
    <mergeCell ref="AV17:AV20"/>
    <mergeCell ref="AY17:AY20"/>
    <mergeCell ref="BA17:BA20"/>
    <mergeCell ref="BB17:BB20"/>
    <mergeCell ref="AG17:AG20"/>
    <mergeCell ref="AI17:AI20"/>
    <mergeCell ref="AJ17:AJ20"/>
    <mergeCell ref="AM17:AM20"/>
    <mergeCell ref="AO17:AO20"/>
    <mergeCell ref="C17:C20"/>
    <mergeCell ref="E17:E20"/>
    <mergeCell ref="F17:F20"/>
    <mergeCell ref="I17:I20"/>
    <mergeCell ref="K17:K20"/>
    <mergeCell ref="L17:L20"/>
    <mergeCell ref="O17:O20"/>
    <mergeCell ref="Q17:Q20"/>
    <mergeCell ref="R17:R20"/>
    <mergeCell ref="AV14:AV15"/>
    <mergeCell ref="AY14:AY15"/>
    <mergeCell ref="AC14:AC15"/>
    <mergeCell ref="AD14:AD15"/>
    <mergeCell ref="AG14:AG15"/>
    <mergeCell ref="AI14:AI15"/>
    <mergeCell ref="AJ14:AJ15"/>
    <mergeCell ref="AM14:AM15"/>
    <mergeCell ref="BX14:BX15"/>
    <mergeCell ref="BM14:BM15"/>
    <mergeCell ref="BN14:BN15"/>
    <mergeCell ref="BQ14:BQ15"/>
    <mergeCell ref="BS14:BS15"/>
    <mergeCell ref="BT14:BT15"/>
    <mergeCell ref="BW14:BW15"/>
    <mergeCell ref="BA14:BA15"/>
    <mergeCell ref="BB14:BB15"/>
    <mergeCell ref="BE14:BE15"/>
    <mergeCell ref="BG14:BG15"/>
    <mergeCell ref="BH14:BH15"/>
    <mergeCell ref="BK14:BK15"/>
    <mergeCell ref="AO14:AO15"/>
    <mergeCell ref="AP14:AP15"/>
    <mergeCell ref="AS14:AS15"/>
    <mergeCell ref="BT10:BT12"/>
    <mergeCell ref="BW10:BW12"/>
    <mergeCell ref="BX10:BX12"/>
    <mergeCell ref="BM10:BM12"/>
    <mergeCell ref="BN10:BN12"/>
    <mergeCell ref="BQ10:BQ12"/>
    <mergeCell ref="BS10:BS12"/>
    <mergeCell ref="AD10:AD12"/>
    <mergeCell ref="AG10:AG12"/>
    <mergeCell ref="AI10:AI12"/>
    <mergeCell ref="AO10:AO12"/>
    <mergeCell ref="AP10:AP12"/>
    <mergeCell ref="AS10:AS12"/>
    <mergeCell ref="AU10:AU12"/>
    <mergeCell ref="AM10:AM12"/>
    <mergeCell ref="X10:X12"/>
    <mergeCell ref="AA10:AA12"/>
    <mergeCell ref="AC10:AC12"/>
    <mergeCell ref="Q14:Q15"/>
    <mergeCell ref="R14:R15"/>
    <mergeCell ref="U14:U15"/>
    <mergeCell ref="W14:W15"/>
    <mergeCell ref="X14:X15"/>
    <mergeCell ref="AA14:AA15"/>
    <mergeCell ref="AU14:AU15"/>
    <mergeCell ref="Q10:Q12"/>
    <mergeCell ref="R10:R12"/>
    <mergeCell ref="U10:U12"/>
    <mergeCell ref="W10:W12"/>
    <mergeCell ref="BK5:BN5"/>
    <mergeCell ref="BQ5:BT5"/>
    <mergeCell ref="BW5:BW6"/>
    <mergeCell ref="C14:C15"/>
    <mergeCell ref="E14:E15"/>
    <mergeCell ref="F14:F15"/>
    <mergeCell ref="I14:I15"/>
    <mergeCell ref="K14:K15"/>
    <mergeCell ref="L14:L15"/>
    <mergeCell ref="O14:O15"/>
    <mergeCell ref="BH10:BH12"/>
    <mergeCell ref="BK10:BK12"/>
    <mergeCell ref="AV10:AV12"/>
    <mergeCell ref="AY10:AY12"/>
    <mergeCell ref="BA10:BA12"/>
    <mergeCell ref="BB10:BB12"/>
    <mergeCell ref="BE10:BE12"/>
    <mergeCell ref="BG10:BG12"/>
    <mergeCell ref="AJ10:AJ12"/>
    <mergeCell ref="BX5:BX6"/>
    <mergeCell ref="A7:B7"/>
    <mergeCell ref="C10:C12"/>
    <mergeCell ref="E10:E12"/>
    <mergeCell ref="F10:F12"/>
    <mergeCell ref="I10:I12"/>
    <mergeCell ref="K10:K12"/>
    <mergeCell ref="AA5:AD5"/>
    <mergeCell ref="AG5:AJ5"/>
    <mergeCell ref="AM5:AP5"/>
    <mergeCell ref="AS5:AV5"/>
    <mergeCell ref="AY5:BB5"/>
    <mergeCell ref="BE5:BH5"/>
    <mergeCell ref="A5:A6"/>
    <mergeCell ref="B5:B6"/>
    <mergeCell ref="C5:F5"/>
    <mergeCell ref="I5:L5"/>
    <mergeCell ref="O5:R5"/>
    <mergeCell ref="U5:X5"/>
    <mergeCell ref="G5:G7"/>
    <mergeCell ref="M5:M7"/>
    <mergeCell ref="S5:S7"/>
    <mergeCell ref="L10:L12"/>
    <mergeCell ref="O10:O12"/>
  </mergeCells>
  <hyperlinks>
    <hyperlink ref="A8" r:id="rId1" display="..\..\..\..\Rafaela Garcia\2022\3. Março\Orçamento\Márcia\11316.pdf"/>
    <hyperlink ref="A9" r:id="rId2" display="..\..\..\..\Rafaela Garcia\2022\3. Março\Orçamento\Márcia\11498.pdf"/>
    <hyperlink ref="A10" r:id="rId3" display="..\..\..\..\Rafaela Garcia\2022\3. Março\Orçamento\Márcia\11470.pdf"/>
    <hyperlink ref="A13" r:id="rId4" display="..\..\..\..\Rafaela Garcia\2022\3. Março\Orçamento\Márcia\11652.pdf"/>
    <hyperlink ref="A14" r:id="rId5" display="..\..\..\..\Rafaela Garcia\2022\3. Março\Orçamento\Márcia\12336.pdf"/>
    <hyperlink ref="A16" r:id="rId6" display="..\..\..\..\Rafaela Garcia\2022\3. Março\Orçamento\Márcia\12320.pdf"/>
    <hyperlink ref="A17" r:id="rId7" display="..\..\..\..\Rafaela Garcia\2022\3. Março\Orçamento\Márcia\11646.pdf"/>
    <hyperlink ref="A18" r:id="rId8" display="..\..\..\..\Rafaela Garcia\2022\3. Março\Orçamento\Márcia\11721.pdf"/>
    <hyperlink ref="A20" r:id="rId9" display="..\..\..\..\Rafaela Garcia\2022\3. Março\Orçamento\Márcia\38302.pdf"/>
    <hyperlink ref="A21" r:id="rId10" display="..\..\..\..\Rafaela Garcia\2022\3. Março\Orçamento\Márcia\52206.pdf"/>
    <hyperlink ref="A22" r:id="rId11" display="..\..\..\..\Rafaela Garcia\2022\3. Março\Orçamento\Márcia\11623.pdf"/>
    <hyperlink ref="A23" r:id="rId12" display="..\..\..\..\Rafaela Garcia\2022\3. Março\Orçamento\Márcia\11392.pdf"/>
    <hyperlink ref="A24" r:id="rId13" display="..\..\..\..\Rafaela Garcia\2022\3. Março\Orçamento\Márcia\36873.pdf"/>
    <hyperlink ref="A25" r:id="rId14" display="..\..\..\..\Rafaela Garcia\2022\3. Março\Orçamento\Márcia\12276.pdf"/>
    <hyperlink ref="A26" r:id="rId15" display="..\..\..\..\Rafaela Garcia\2022\3. Março\Orçamento\Márcia\11322.pdf"/>
    <hyperlink ref="A27" r:id="rId16" display="..\..\..\..\Rafaela Garcia\2022\3. Março\Orçamento\Márcia\53469.pdf"/>
    <hyperlink ref="A28" r:id="rId17" display="..\..\..\..\Rafaela Garcia\2022\3. Março\Orçamento\Márcia\53468.pdf"/>
    <hyperlink ref="A29" r:id="rId18" display="..\..\..\..\Rafaela Garcia\2022\3. Março\Orçamento\Márcia\11369.pdf"/>
    <hyperlink ref="A30" r:id="rId19" display="..\..\..\..\Rafaela Garcia\2022\3. Março\Orçamento\Márcia\11298.pdf"/>
    <hyperlink ref="A31" r:id="rId20" display="..\..\..\..\Rafaela Garcia\2022\3. Março\Orçamento\Márcia\11346.pdf"/>
    <hyperlink ref="A32" r:id="rId21" display="..\..\..\..\Rafaela Garcia\2022\3. Março\Orçamento\Márcia\11715.pdf"/>
    <hyperlink ref="A33" r:id="rId22" display="..\..\..\..\Rafaela Garcia\2022\3. Março\Orçamento\Márcia\11422.pdf"/>
    <hyperlink ref="A34" r:id="rId23" display="..\..\..\..\Rafaela Garcia\2022\3. Março\Orçamento\Márcia\11540.pdf"/>
    <hyperlink ref="A35" r:id="rId24" display="..\..\..\..\Rafaela Garcia\2022\3. Março\Orçamento\Márcia\12267.pdf"/>
    <hyperlink ref="A36" r:id="rId25" display="..\..\..\..\Rafaela Garcia\2022\3. Março\Orçamento\Márcia\11304.pdf"/>
    <hyperlink ref="A37" r:id="rId26" display="..\..\..\..\Rafaela Garcia\2022\3. Março\Orçamento\Márcia\12204.pdf"/>
    <hyperlink ref="A38" r:id="rId27" display="..\..\..\..\Rafaela Garcia\2022\3. Março\Orçamento\Márcia\11434.pdf"/>
    <hyperlink ref="A39" r:id="rId28" display="..\..\..\..\Rafaela Garcia\2022\3. Março\Orçamento\Márcia\11481.pdf"/>
  </hyperlinks>
  <pageMargins left="0.511811024" right="0.511811024" top="0.78740157499999996" bottom="0.78740157499999996" header="0.31496062000000002" footer="0.31496062000000002"/>
  <drawing r:id="rId29"/>
  <legacyDrawing r:id="rId3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4:BZ20"/>
  <sheetViews>
    <sheetView showGridLines="0" topLeftCell="A10" zoomScale="98" zoomScaleNormal="98" workbookViewId="0">
      <pane xSplit="2" topLeftCell="E1" activePane="topRight" state="frozen"/>
      <selection activeCell="B39" sqref="B39"/>
      <selection pane="topRight" activeCell="B15" sqref="B15"/>
    </sheetView>
  </sheetViews>
  <sheetFormatPr defaultRowHeight="15" x14ac:dyDescent="0.25"/>
  <cols>
    <col min="1" max="1" width="12.85546875" bestFit="1" customWidth="1"/>
    <col min="2" max="2" width="47.42578125" bestFit="1" customWidth="1"/>
    <col min="3" max="3" width="9.7109375" bestFit="1" customWidth="1"/>
    <col min="4" max="4" width="11.5703125" bestFit="1" customWidth="1"/>
    <col min="5" max="5" width="9.7109375" bestFit="1" customWidth="1"/>
    <col min="8" max="8" width="4.28515625" customWidth="1"/>
    <col min="9" max="9" width="10.7109375" bestFit="1" customWidth="1"/>
    <col min="10" max="10" width="11.5703125" bestFit="1" customWidth="1"/>
    <col min="11" max="11" width="10.7109375" bestFit="1" customWidth="1"/>
    <col min="14" max="14" width="3.85546875" customWidth="1"/>
    <col min="15" max="15" width="10.7109375" bestFit="1" customWidth="1"/>
    <col min="16" max="16" width="10.85546875" bestFit="1" customWidth="1"/>
    <col min="17" max="17" width="11.42578125" bestFit="1" customWidth="1"/>
    <col min="20" max="20" width="3.42578125" customWidth="1"/>
    <col min="21" max="21" width="10.7109375" bestFit="1" customWidth="1"/>
    <col min="22" max="22" width="10.85546875" bestFit="1" customWidth="1"/>
    <col min="23" max="23" width="11.42578125" bestFit="1" customWidth="1"/>
    <col min="26" max="26" width="3.7109375" customWidth="1"/>
    <col min="27" max="27" width="10.7109375" bestFit="1" customWidth="1"/>
    <col min="28" max="28" width="10.85546875" bestFit="1" customWidth="1"/>
    <col min="29" max="29" width="11.42578125" bestFit="1" customWidth="1"/>
    <col min="32" max="32" width="3.28515625" customWidth="1"/>
    <col min="33" max="33" width="10.7109375" bestFit="1" customWidth="1"/>
    <col min="34" max="34" width="10.85546875" bestFit="1" customWidth="1"/>
    <col min="35" max="35" width="11.42578125" bestFit="1" customWidth="1"/>
    <col min="38" max="38" width="4.7109375" customWidth="1"/>
    <col min="39" max="39" width="10.7109375" bestFit="1" customWidth="1"/>
    <col min="40" max="40" width="10.85546875" bestFit="1" customWidth="1"/>
    <col min="41" max="41" width="11.42578125" bestFit="1" customWidth="1"/>
    <col min="44" max="44" width="4.28515625" customWidth="1"/>
    <col min="45" max="45" width="10.7109375" bestFit="1" customWidth="1"/>
    <col min="46" max="46" width="10.85546875" bestFit="1" customWidth="1"/>
    <col min="47" max="47" width="11.42578125" bestFit="1" customWidth="1"/>
    <col min="50" max="50" width="3.140625" customWidth="1"/>
    <col min="51" max="51" width="10.7109375" bestFit="1" customWidth="1"/>
    <col min="52" max="52" width="10.85546875" bestFit="1" customWidth="1"/>
    <col min="53" max="53" width="11.42578125" bestFit="1" customWidth="1"/>
    <col min="56" max="56" width="3.42578125" customWidth="1"/>
    <col min="57" max="57" width="10.7109375" bestFit="1" customWidth="1"/>
    <col min="58" max="58" width="10.85546875" bestFit="1" customWidth="1"/>
    <col min="59" max="59" width="11.42578125" bestFit="1" customWidth="1"/>
    <col min="62" max="62" width="4" customWidth="1"/>
    <col min="63" max="63" width="10.7109375" bestFit="1" customWidth="1"/>
    <col min="64" max="64" width="10.85546875" bestFit="1" customWidth="1"/>
    <col min="65" max="65" width="11.42578125" bestFit="1" customWidth="1"/>
    <col min="68" max="68" width="3.5703125" customWidth="1"/>
    <col min="69" max="69" width="10.7109375" bestFit="1" customWidth="1"/>
    <col min="70" max="70" width="10.85546875" bestFit="1" customWidth="1"/>
    <col min="71" max="71" width="11.42578125" bestFit="1" customWidth="1"/>
    <col min="74" max="74" width="4.42578125" customWidth="1"/>
    <col min="75" max="75" width="14.42578125" customWidth="1"/>
    <col min="76" max="76" width="17.28515625" customWidth="1"/>
  </cols>
  <sheetData>
    <row r="4" spans="1:78" ht="15.75" thickBot="1" x14ac:dyDescent="0.3"/>
    <row r="5" spans="1:78" ht="18" customHeight="1" thickBot="1" x14ac:dyDescent="0.3">
      <c r="A5" s="1952" t="s">
        <v>0</v>
      </c>
      <c r="B5" s="1954" t="s">
        <v>145</v>
      </c>
      <c r="C5" s="2861" t="s">
        <v>3716</v>
      </c>
      <c r="D5" s="2862"/>
      <c r="E5" s="2862"/>
      <c r="F5" s="2863"/>
      <c r="G5" s="2856" t="s">
        <v>3838</v>
      </c>
      <c r="I5" s="2861" t="s">
        <v>3717</v>
      </c>
      <c r="J5" s="2862"/>
      <c r="K5" s="2862"/>
      <c r="L5" s="2863"/>
      <c r="M5" s="2856" t="s">
        <v>3838</v>
      </c>
      <c r="O5" s="2861" t="s">
        <v>3718</v>
      </c>
      <c r="P5" s="2862"/>
      <c r="Q5" s="2862"/>
      <c r="R5" s="2863"/>
      <c r="S5" s="2856" t="s">
        <v>3838</v>
      </c>
      <c r="U5" s="2861" t="s">
        <v>3719</v>
      </c>
      <c r="V5" s="2862"/>
      <c r="W5" s="2862"/>
      <c r="X5" s="2863"/>
      <c r="Y5" s="1680" t="s">
        <v>3838</v>
      </c>
      <c r="AA5" s="2861" t="s">
        <v>3720</v>
      </c>
      <c r="AB5" s="2862"/>
      <c r="AC5" s="2862"/>
      <c r="AD5" s="2863"/>
      <c r="AE5" s="1680" t="s">
        <v>3838</v>
      </c>
      <c r="AG5" s="2861" t="s">
        <v>3721</v>
      </c>
      <c r="AH5" s="2862"/>
      <c r="AI5" s="2862"/>
      <c r="AJ5" s="2863"/>
      <c r="AK5" s="2856" t="s">
        <v>3838</v>
      </c>
      <c r="AM5" s="2861" t="s">
        <v>3722</v>
      </c>
      <c r="AN5" s="2862"/>
      <c r="AO5" s="2862"/>
      <c r="AP5" s="2863"/>
      <c r="AQ5" s="2856" t="s">
        <v>3838</v>
      </c>
      <c r="AS5" s="2861" t="s">
        <v>3723</v>
      </c>
      <c r="AT5" s="2862"/>
      <c r="AU5" s="2862"/>
      <c r="AV5" s="2863"/>
      <c r="AW5" s="2856" t="s">
        <v>3838</v>
      </c>
      <c r="AY5" s="2861" t="s">
        <v>3724</v>
      </c>
      <c r="AZ5" s="2862"/>
      <c r="BA5" s="2862"/>
      <c r="BB5" s="2863"/>
      <c r="BC5" s="2856" t="s">
        <v>3838</v>
      </c>
      <c r="BE5" s="2861" t="s">
        <v>3725</v>
      </c>
      <c r="BF5" s="2862"/>
      <c r="BG5" s="2862"/>
      <c r="BH5" s="2863"/>
      <c r="BI5" s="2856" t="s">
        <v>3838</v>
      </c>
      <c r="BK5" s="2861" t="s">
        <v>3726</v>
      </c>
      <c r="BL5" s="2862"/>
      <c r="BM5" s="2862"/>
      <c r="BN5" s="2863"/>
      <c r="BO5" s="2856" t="s">
        <v>3838</v>
      </c>
      <c r="BQ5" s="2861" t="s">
        <v>3727</v>
      </c>
      <c r="BR5" s="2862"/>
      <c r="BS5" s="2862"/>
      <c r="BT5" s="2863"/>
      <c r="BU5" s="2856" t="s">
        <v>3838</v>
      </c>
      <c r="BV5" s="1706"/>
      <c r="BW5" s="2899" t="s">
        <v>162</v>
      </c>
      <c r="BX5" s="2901" t="s">
        <v>163</v>
      </c>
      <c r="BY5" s="2324"/>
    </row>
    <row r="6" spans="1:78" ht="18" customHeight="1" thickBot="1" x14ac:dyDescent="0.3">
      <c r="A6" s="1953"/>
      <c r="B6" s="1955"/>
      <c r="C6" s="1681" t="s">
        <v>3728</v>
      </c>
      <c r="D6" s="1682" t="s">
        <v>3796</v>
      </c>
      <c r="E6" s="1682" t="s">
        <v>3797</v>
      </c>
      <c r="F6" s="1681" t="s">
        <v>158</v>
      </c>
      <c r="G6" s="2857"/>
      <c r="I6" s="1688" t="s">
        <v>3728</v>
      </c>
      <c r="J6" s="1682" t="s">
        <v>3796</v>
      </c>
      <c r="K6" s="1682" t="s">
        <v>3797</v>
      </c>
      <c r="L6" s="1681" t="s">
        <v>158</v>
      </c>
      <c r="M6" s="2857"/>
      <c r="O6" s="1688" t="s">
        <v>3728</v>
      </c>
      <c r="P6" s="1682" t="s">
        <v>3796</v>
      </c>
      <c r="Q6" s="1682" t="s">
        <v>3797</v>
      </c>
      <c r="R6" s="1681" t="s">
        <v>158</v>
      </c>
      <c r="S6" s="2857"/>
      <c r="U6" s="1688" t="s">
        <v>3728</v>
      </c>
      <c r="V6" s="1682" t="s">
        <v>3796</v>
      </c>
      <c r="W6" s="1682" t="s">
        <v>3797</v>
      </c>
      <c r="X6" s="1681" t="s">
        <v>158</v>
      </c>
      <c r="Y6" s="1683"/>
      <c r="AA6" s="1688" t="s">
        <v>3728</v>
      </c>
      <c r="AB6" s="1682" t="s">
        <v>3796</v>
      </c>
      <c r="AC6" s="1682" t="s">
        <v>3797</v>
      </c>
      <c r="AD6" s="1681" t="s">
        <v>158</v>
      </c>
      <c r="AE6" s="1683"/>
      <c r="AG6" s="1688" t="s">
        <v>3728</v>
      </c>
      <c r="AH6" s="1682" t="s">
        <v>3796</v>
      </c>
      <c r="AI6" s="1682" t="s">
        <v>3797</v>
      </c>
      <c r="AJ6" s="1681" t="s">
        <v>158</v>
      </c>
      <c r="AK6" s="2857"/>
      <c r="AM6" s="1688" t="s">
        <v>3728</v>
      </c>
      <c r="AN6" s="1682" t="s">
        <v>3796</v>
      </c>
      <c r="AO6" s="1682" t="s">
        <v>3797</v>
      </c>
      <c r="AP6" s="1681" t="s">
        <v>158</v>
      </c>
      <c r="AQ6" s="2857"/>
      <c r="AS6" s="1688" t="s">
        <v>3728</v>
      </c>
      <c r="AT6" s="1682" t="s">
        <v>3796</v>
      </c>
      <c r="AU6" s="1682" t="s">
        <v>3797</v>
      </c>
      <c r="AV6" s="1681" t="s">
        <v>158</v>
      </c>
      <c r="AW6" s="2857"/>
      <c r="AY6" s="1688" t="s">
        <v>3728</v>
      </c>
      <c r="AZ6" s="1682" t="s">
        <v>3796</v>
      </c>
      <c r="BA6" s="1682" t="s">
        <v>3797</v>
      </c>
      <c r="BB6" s="1681" t="s">
        <v>158</v>
      </c>
      <c r="BC6" s="2857"/>
      <c r="BE6" s="1688" t="s">
        <v>3728</v>
      </c>
      <c r="BF6" s="1682" t="s">
        <v>3796</v>
      </c>
      <c r="BG6" s="1682" t="s">
        <v>3797</v>
      </c>
      <c r="BH6" s="1681" t="s">
        <v>158</v>
      </c>
      <c r="BI6" s="2857"/>
      <c r="BK6" s="1688" t="s">
        <v>3728</v>
      </c>
      <c r="BL6" s="1682" t="s">
        <v>3796</v>
      </c>
      <c r="BM6" s="1682" t="s">
        <v>3797</v>
      </c>
      <c r="BN6" s="1681" t="s">
        <v>158</v>
      </c>
      <c r="BO6" s="2857"/>
      <c r="BQ6" s="1688" t="s">
        <v>3728</v>
      </c>
      <c r="BR6" s="1682" t="s">
        <v>3796</v>
      </c>
      <c r="BS6" s="1682" t="s">
        <v>3797</v>
      </c>
      <c r="BT6" s="1681" t="s">
        <v>158</v>
      </c>
      <c r="BU6" s="2857"/>
      <c r="BV6" s="1709"/>
      <c r="BW6" s="2900"/>
      <c r="BX6" s="2902"/>
      <c r="BY6" s="2324"/>
    </row>
    <row r="7" spans="1:78" s="1708" customFormat="1" ht="18" customHeight="1" thickBot="1" x14ac:dyDescent="0.3">
      <c r="A7" s="1878"/>
      <c r="B7" s="1902" t="s">
        <v>3839</v>
      </c>
      <c r="C7" s="1880">
        <f>SUM(C8:C19)</f>
        <v>5455852.037800001</v>
      </c>
      <c r="D7" s="1881">
        <f>SUM(D8:D19)</f>
        <v>5011779.88</v>
      </c>
      <c r="E7" s="1882">
        <f>D7-C7</f>
        <v>-444072.15780000109</v>
      </c>
      <c r="F7" s="1928">
        <f>((D7/C7)-1)*100</f>
        <v>-8.1393731854038194</v>
      </c>
      <c r="G7" s="2858"/>
      <c r="H7" s="1715"/>
      <c r="I7" s="1880">
        <f>SUM(I8:I19)</f>
        <v>5455852.037800001</v>
      </c>
      <c r="J7" s="1881">
        <f>SUM(J8:J19)</f>
        <v>7191970.21</v>
      </c>
      <c r="K7" s="1882">
        <f>J7-I7</f>
        <v>1736118.172199999</v>
      </c>
      <c r="L7" s="1929">
        <f>((J7/I7)-1)*100</f>
        <v>31.821210695810322</v>
      </c>
      <c r="M7" s="2858"/>
      <c r="N7" s="1715"/>
      <c r="O7" s="1884">
        <f>SUM(O8:O19)</f>
        <v>5455852.037800001</v>
      </c>
      <c r="P7" s="1930">
        <f>SUM(P8:P19)</f>
        <v>5908628.79</v>
      </c>
      <c r="Q7" s="1882">
        <f>P7-O7</f>
        <v>452776.75219999906</v>
      </c>
      <c r="R7" s="1929">
        <f>((P7/O7)-1)*100</f>
        <v>8.2989191983764865</v>
      </c>
      <c r="S7" s="2858"/>
      <c r="T7" s="1715"/>
      <c r="U7" s="1884">
        <f>SUM(U8:U19)</f>
        <v>5455852.037800001</v>
      </c>
      <c r="V7" s="1930">
        <f>SUM(V8:V19)</f>
        <v>0</v>
      </c>
      <c r="W7" s="1882">
        <f>V7-U7</f>
        <v>-5455852.037800001</v>
      </c>
      <c r="X7" s="1929">
        <f>((V7/U7)-1)*100</f>
        <v>-100</v>
      </c>
      <c r="Y7" s="1884"/>
      <c r="Z7" s="1715"/>
      <c r="AA7" s="1884">
        <f>SUM(AA8:AA19)</f>
        <v>5455852.037800001</v>
      </c>
      <c r="AB7" s="1930">
        <f>SUM(AB8:AB19)</f>
        <v>0</v>
      </c>
      <c r="AC7" s="1882">
        <f>AB7-AA7</f>
        <v>-5455852.037800001</v>
      </c>
      <c r="AD7" s="1929">
        <f>((AB7/AA7)-1)*100</f>
        <v>-100</v>
      </c>
      <c r="AE7" s="1884"/>
      <c r="AF7" s="1715"/>
      <c r="AG7" s="1926">
        <f>SUM(AG8:AG19)</f>
        <v>5898721.5154000008</v>
      </c>
      <c r="AH7" s="1881">
        <f>SUM(AH8:AH19)</f>
        <v>0</v>
      </c>
      <c r="AI7" s="1882">
        <f>AH7-AG7</f>
        <v>-5898721.5154000008</v>
      </c>
      <c r="AJ7" s="1929">
        <f>((AH7/AG7)-1)*100</f>
        <v>-100</v>
      </c>
      <c r="AK7" s="2858"/>
      <c r="AL7" s="1715"/>
      <c r="AM7" s="1926">
        <f>SUM(AM8:AM19)</f>
        <v>5898821.5154000008</v>
      </c>
      <c r="AN7" s="1881">
        <f>SUM(AN8:AN19)</f>
        <v>0</v>
      </c>
      <c r="AO7" s="1882">
        <f>AN7-AM7</f>
        <v>-5898821.5154000008</v>
      </c>
      <c r="AP7" s="1929">
        <f>((AN7/AM7)-1)*100</f>
        <v>-100</v>
      </c>
      <c r="AQ7" s="2858"/>
      <c r="AR7" s="1715"/>
      <c r="AS7" s="1926">
        <f>SUM(AS8:AS19)</f>
        <v>5898821.5154000008</v>
      </c>
      <c r="AT7" s="1881">
        <f>SUM(AT8:AT19)</f>
        <v>0</v>
      </c>
      <c r="AU7" s="1882">
        <f>AT7-AS7</f>
        <v>-5898821.5154000008</v>
      </c>
      <c r="AV7" s="1929">
        <f>((AT7/AS7)-1)*100</f>
        <v>-100</v>
      </c>
      <c r="AW7" s="2858"/>
      <c r="AX7" s="1715"/>
      <c r="AY7" s="1926">
        <f>SUM(AY8:AY19)</f>
        <v>5898821.5154000008</v>
      </c>
      <c r="AZ7" s="1881">
        <f>SUM(AZ8:AZ19)</f>
        <v>0</v>
      </c>
      <c r="BA7" s="1882">
        <f>AZ7-AY7</f>
        <v>-5898821.5154000008</v>
      </c>
      <c r="BB7" s="1929">
        <f>((AZ7/AY7)-1)*100</f>
        <v>-100</v>
      </c>
      <c r="BC7" s="2858"/>
      <c r="BD7" s="1715"/>
      <c r="BE7" s="1926">
        <f>SUM(BE8:BE19)</f>
        <v>5898821.5154000008</v>
      </c>
      <c r="BF7" s="1881">
        <f>SUM(BF8:BF19)</f>
        <v>0</v>
      </c>
      <c r="BG7" s="1882">
        <f>BF7-BE7</f>
        <v>-5898821.5154000008</v>
      </c>
      <c r="BH7" s="1929">
        <f>((BF7/BE7)-1)*100</f>
        <v>-100</v>
      </c>
      <c r="BI7" s="2858"/>
      <c r="BJ7" s="1715"/>
      <c r="BK7" s="1926">
        <f>SUM(BK8:BK19)</f>
        <v>5898821.5154000008</v>
      </c>
      <c r="BL7" s="1881">
        <f>SUM(BL8:BL19)</f>
        <v>0</v>
      </c>
      <c r="BM7" s="1882">
        <f>BL7-BK7</f>
        <v>-5898821.5154000008</v>
      </c>
      <c r="BN7" s="1929">
        <f>((BL7/BK7)-1)*100</f>
        <v>-100</v>
      </c>
      <c r="BO7" s="2858"/>
      <c r="BP7" s="1715"/>
      <c r="BQ7" s="1926">
        <f>SUM(BQ8:BQ19)</f>
        <v>5898821.5154000008</v>
      </c>
      <c r="BR7" s="1881">
        <f>SUM(BR8:BR19)</f>
        <v>0</v>
      </c>
      <c r="BS7" s="1882">
        <f>BR7-BQ7</f>
        <v>-5898821.5154000008</v>
      </c>
      <c r="BT7" s="1929">
        <f>((BR7/BQ7)-1)*100</f>
        <v>-100</v>
      </c>
      <c r="BU7" s="2858"/>
      <c r="BV7" s="1715"/>
      <c r="BW7" s="1884">
        <f t="shared" ref="BW7:BX9" si="0">C7+I7+O7+U7+AA7+AG7+AM7+AS7+AY7+BE7+BK7+BQ7</f>
        <v>68570910.796800002</v>
      </c>
      <c r="BX7" s="1887">
        <f t="shared" si="0"/>
        <v>18112378.879999999</v>
      </c>
      <c r="BY7" s="1717"/>
      <c r="BZ7" s="1718"/>
    </row>
    <row r="8" spans="1:78" s="1708" customFormat="1" ht="18" customHeight="1" thickBot="1" x14ac:dyDescent="0.3">
      <c r="A8" s="2138">
        <v>12328</v>
      </c>
      <c r="B8" s="2225" t="s">
        <v>336</v>
      </c>
      <c r="C8" s="2255">
        <v>16550.5504</v>
      </c>
      <c r="D8" s="2256">
        <v>10518</v>
      </c>
      <c r="E8" s="2256">
        <f t="shared" ref="E8:E19" si="1">D8-C8</f>
        <v>-6032.5504000000001</v>
      </c>
      <c r="F8" s="2257">
        <f t="shared" ref="F8:F19" si="2">((D8/C8)-1)*100</f>
        <v>-36.44924340401392</v>
      </c>
      <c r="G8" s="2224"/>
      <c r="H8" s="1724"/>
      <c r="I8" s="2255">
        <f t="shared" ref="I8:I19" si="3">C8</f>
        <v>16550.5504</v>
      </c>
      <c r="J8" s="2256">
        <v>3312.79</v>
      </c>
      <c r="K8" s="2256">
        <f t="shared" ref="K8:K19" si="4">J8-I8</f>
        <v>-13237.760399999999</v>
      </c>
      <c r="L8" s="2257">
        <f>((J8/I8)-1)*100</f>
        <v>-79.983807668414471</v>
      </c>
      <c r="M8" s="2224"/>
      <c r="N8" s="1724"/>
      <c r="O8" s="2224">
        <f t="shared" ref="O8:O19" si="5">I8</f>
        <v>16550.5504</v>
      </c>
      <c r="P8" s="2316">
        <v>6022.73</v>
      </c>
      <c r="Q8" s="2256">
        <f t="shared" ref="Q8" si="6">P8-O8</f>
        <v>-10527.820400000001</v>
      </c>
      <c r="R8" s="2257">
        <f>((P8/O8)-1)*100</f>
        <v>-63.610092387018135</v>
      </c>
      <c r="S8" s="2224"/>
      <c r="T8" s="1724"/>
      <c r="U8" s="2224">
        <f t="shared" ref="U8:U19" si="7">O8</f>
        <v>16550.5504</v>
      </c>
      <c r="V8" s="2316"/>
      <c r="W8" s="2256">
        <f t="shared" ref="W8" si="8">V8-U8</f>
        <v>-16550.5504</v>
      </c>
      <c r="X8" s="2257">
        <f>((V8/U8)-1)*100</f>
        <v>-100</v>
      </c>
      <c r="Y8" s="2224"/>
      <c r="Z8" s="1724"/>
      <c r="AA8" s="2224">
        <f t="shared" ref="AA8:AA19" si="9">U8</f>
        <v>16550.5504</v>
      </c>
      <c r="AB8" s="2316"/>
      <c r="AC8" s="2256">
        <f t="shared" ref="AC8" si="10">AB8-AA8</f>
        <v>-16550.5504</v>
      </c>
      <c r="AD8" s="2257">
        <f>((AB8/AA8)-1)*100</f>
        <v>-100</v>
      </c>
      <c r="AE8" s="2224"/>
      <c r="AF8" s="1724"/>
      <c r="AG8" s="2255">
        <v>36550.5504</v>
      </c>
      <c r="AH8" s="2256"/>
      <c r="AI8" s="2256">
        <f t="shared" ref="AI8" si="11">AH8-AG8</f>
        <v>-36550.5504</v>
      </c>
      <c r="AJ8" s="2257">
        <f>((AH8/AG8)-1)*100</f>
        <v>-100</v>
      </c>
      <c r="AK8" s="2257"/>
      <c r="AL8" s="1724"/>
      <c r="AM8" s="2255">
        <f>AG8</f>
        <v>36550.5504</v>
      </c>
      <c r="AN8" s="2256"/>
      <c r="AO8" s="2256">
        <f t="shared" ref="AO8" si="12">AN8-AM8</f>
        <v>-36550.5504</v>
      </c>
      <c r="AP8" s="2257">
        <f>((AN8/AM8)-1)*100</f>
        <v>-100</v>
      </c>
      <c r="AQ8" s="2257"/>
      <c r="AR8" s="1724"/>
      <c r="AS8" s="2255">
        <f>AM8</f>
        <v>36550.5504</v>
      </c>
      <c r="AT8" s="2256"/>
      <c r="AU8" s="2256">
        <f t="shared" ref="AU8" si="13">AT8-AS8</f>
        <v>-36550.5504</v>
      </c>
      <c r="AV8" s="2257">
        <f>((AT8/AS8)-1)*100</f>
        <v>-100</v>
      </c>
      <c r="AW8" s="2257"/>
      <c r="AX8" s="1724"/>
      <c r="AY8" s="2255">
        <f>AS8</f>
        <v>36550.5504</v>
      </c>
      <c r="AZ8" s="2256"/>
      <c r="BA8" s="2256">
        <f t="shared" ref="BA8" si="14">AZ8-AY8</f>
        <v>-36550.5504</v>
      </c>
      <c r="BB8" s="2257">
        <f>((AZ8/AY8)-1)*100</f>
        <v>-100</v>
      </c>
      <c r="BC8" s="2257"/>
      <c r="BD8" s="1724"/>
      <c r="BE8" s="2255">
        <f t="shared" ref="BE8:BE19" si="15">AY8</f>
        <v>36550.5504</v>
      </c>
      <c r="BF8" s="2256"/>
      <c r="BG8" s="2256">
        <f t="shared" ref="BG8" si="16">BF8-BE8</f>
        <v>-36550.5504</v>
      </c>
      <c r="BH8" s="2257">
        <f>((BF8/BE8)-1)*100</f>
        <v>-100</v>
      </c>
      <c r="BI8" s="2257"/>
      <c r="BJ8" s="1724"/>
      <c r="BK8" s="2255">
        <f t="shared" ref="BK8:BK19" si="17">BE8</f>
        <v>36550.5504</v>
      </c>
      <c r="BL8" s="2256"/>
      <c r="BM8" s="2256">
        <f t="shared" ref="BM8" si="18">BL8-BK8</f>
        <v>-36550.5504</v>
      </c>
      <c r="BN8" s="2257">
        <f>((BL8/BK8)-1)*100</f>
        <v>-100</v>
      </c>
      <c r="BO8" s="2257"/>
      <c r="BP8" s="1724"/>
      <c r="BQ8" s="2255">
        <f t="shared" ref="BQ8:BQ19" si="19">BK8</f>
        <v>36550.5504</v>
      </c>
      <c r="BR8" s="2256"/>
      <c r="BS8" s="2256">
        <f t="shared" ref="BS8" si="20">BR8-BQ8</f>
        <v>-36550.5504</v>
      </c>
      <c r="BT8" s="2257">
        <f>((BR8/BQ8)-1)*100</f>
        <v>-100</v>
      </c>
      <c r="BU8" s="2257"/>
      <c r="BV8" s="1724"/>
      <c r="BW8" s="2250">
        <f t="shared" si="0"/>
        <v>338606.60480000003</v>
      </c>
      <c r="BX8" s="1898">
        <f t="shared" si="0"/>
        <v>19853.52</v>
      </c>
      <c r="BY8" s="1782"/>
      <c r="BZ8" s="1717"/>
    </row>
    <row r="9" spans="1:78" s="1708" customFormat="1" ht="18" customHeight="1" x14ac:dyDescent="0.25">
      <c r="A9" s="2317">
        <v>12324</v>
      </c>
      <c r="B9" s="2206" t="s">
        <v>203</v>
      </c>
      <c r="C9" s="2903">
        <v>18585.135799999996</v>
      </c>
      <c r="D9" s="1757"/>
      <c r="E9" s="2906">
        <f>D9+D10+D11-C9</f>
        <v>-18688.785799999998</v>
      </c>
      <c r="F9" s="2909">
        <f t="shared" si="2"/>
        <v>-100</v>
      </c>
      <c r="G9" s="2252"/>
      <c r="H9" s="1724"/>
      <c r="I9" s="2903">
        <f t="shared" si="3"/>
        <v>18585.135799999996</v>
      </c>
      <c r="J9" s="1757">
        <v>0</v>
      </c>
      <c r="K9" s="2906">
        <f>J9+J10+J11-I9</f>
        <v>-54714.725799999993</v>
      </c>
      <c r="L9" s="2909">
        <f>((SUM(J9:J11)/I9)-1)*100</f>
        <v>-294.40046276121376</v>
      </c>
      <c r="M9" s="2252"/>
      <c r="N9" s="1724"/>
      <c r="O9" s="2876">
        <f t="shared" si="5"/>
        <v>18585.135799999996</v>
      </c>
      <c r="P9" s="2318">
        <v>0</v>
      </c>
      <c r="Q9" s="2906">
        <f>P9+P10+P11-O9</f>
        <v>-54959.255799999999</v>
      </c>
      <c r="R9" s="2909">
        <f>((SUM(P9:P11)/O9)-1)*100</f>
        <v>-295.71619164601424</v>
      </c>
      <c r="S9" s="2252"/>
      <c r="T9" s="1724"/>
      <c r="U9" s="2876">
        <f t="shared" si="7"/>
        <v>18585.135799999996</v>
      </c>
      <c r="V9" s="2318"/>
      <c r="W9" s="2906">
        <f>V9+V10+V11-U9</f>
        <v>-18585.135799999996</v>
      </c>
      <c r="X9" s="2909">
        <f>((SUM(V9:V11)/U9)-1)*100</f>
        <v>-100</v>
      </c>
      <c r="Y9" s="2252"/>
      <c r="Z9" s="1724"/>
      <c r="AA9" s="2876">
        <f t="shared" si="9"/>
        <v>18585.135799999996</v>
      </c>
      <c r="AB9" s="2318"/>
      <c r="AC9" s="2906">
        <f>AB9+AB10+AB11-AA9</f>
        <v>-18585.135799999996</v>
      </c>
      <c r="AD9" s="2909">
        <f>((SUM(AB9:AB11)/AA9)-1)*100</f>
        <v>-100</v>
      </c>
      <c r="AE9" s="2252"/>
      <c r="AF9" s="1724"/>
      <c r="AG9" s="2903">
        <v>28585.135799999996</v>
      </c>
      <c r="AH9" s="1757"/>
      <c r="AI9" s="2906">
        <f>AH9+AH10+AH11-AG9</f>
        <v>-28585.135799999996</v>
      </c>
      <c r="AJ9" s="2909">
        <f>((SUM(AH9:AH11)/AG9)-1)*100</f>
        <v>-100</v>
      </c>
      <c r="AK9" s="2253"/>
      <c r="AL9" s="1724"/>
      <c r="AM9" s="2903">
        <f>AG9</f>
        <v>28585.135799999996</v>
      </c>
      <c r="AN9" s="1757"/>
      <c r="AO9" s="2906">
        <f>AN9+AN10+AN11-AM9</f>
        <v>-28585.135799999996</v>
      </c>
      <c r="AP9" s="2909">
        <f>((SUM(AN9:AN11)/AM9)-1)*100</f>
        <v>-100</v>
      </c>
      <c r="AQ9" s="2253"/>
      <c r="AR9" s="1724"/>
      <c r="AS9" s="2903">
        <f>AM9</f>
        <v>28585.135799999996</v>
      </c>
      <c r="AT9" s="1757"/>
      <c r="AU9" s="2906">
        <f>AT9+AT10+AT11-AS9</f>
        <v>-28585.135799999996</v>
      </c>
      <c r="AV9" s="2909">
        <f>((SUM(AT9:AT11)/AS9)-1)*100</f>
        <v>-100</v>
      </c>
      <c r="AW9" s="2253"/>
      <c r="AX9" s="1724"/>
      <c r="AY9" s="2903">
        <f>AS9</f>
        <v>28585.135799999996</v>
      </c>
      <c r="AZ9" s="1757"/>
      <c r="BA9" s="2906">
        <f>AZ9+AZ10+AZ11-AY9</f>
        <v>-28585.135799999996</v>
      </c>
      <c r="BB9" s="2909">
        <f>((SUM(AZ9:AZ11)/AY9)-1)*100</f>
        <v>-100</v>
      </c>
      <c r="BC9" s="2253"/>
      <c r="BD9" s="1724"/>
      <c r="BE9" s="2903">
        <f t="shared" si="15"/>
        <v>28585.135799999996</v>
      </c>
      <c r="BF9" s="1757"/>
      <c r="BG9" s="2906">
        <f>BF9+BF10+BF11-BE9</f>
        <v>-28585.135799999996</v>
      </c>
      <c r="BH9" s="2909">
        <f>((SUM(BF9:BF11)/BE9)-1)*100</f>
        <v>-100</v>
      </c>
      <c r="BI9" s="2253"/>
      <c r="BJ9" s="1724"/>
      <c r="BK9" s="2903">
        <f t="shared" si="17"/>
        <v>28585.135799999996</v>
      </c>
      <c r="BL9" s="1757"/>
      <c r="BM9" s="2906">
        <f>BL9+BL10+BL11-BK9</f>
        <v>-28585.135799999996</v>
      </c>
      <c r="BN9" s="2909">
        <f>((SUM(BL9:BL11)/BK9)-1)*100</f>
        <v>-100</v>
      </c>
      <c r="BO9" s="2253"/>
      <c r="BP9" s="1724"/>
      <c r="BQ9" s="2903">
        <f t="shared" si="19"/>
        <v>28585.135799999996</v>
      </c>
      <c r="BR9" s="1757"/>
      <c r="BS9" s="2906">
        <f>BR9+BR10+BR11-BQ9</f>
        <v>-28585.135799999996</v>
      </c>
      <c r="BT9" s="2909">
        <f>((SUM(BR9:BR11)/BQ9)-1)*100</f>
        <v>-100</v>
      </c>
      <c r="BU9" s="2257"/>
      <c r="BV9" s="1724"/>
      <c r="BW9" s="2876">
        <f t="shared" si="0"/>
        <v>293021.62959999993</v>
      </c>
      <c r="BX9" s="2895">
        <f>D9+J9+P9+V9+AB9+AH9+AN9+AT9+AZ9+BF9+BL9+BR9+D10+D11+J10+J11+P10+P11+V10+V11+AB10+AB11+AH10+AH11+AN10+AN11+AT10+AT11+AZ10+AZ11+BF10+BF11+BL10+BL11+BR10+BR11</f>
        <v>-72607.360000000001</v>
      </c>
      <c r="BY9" s="1782"/>
      <c r="BZ9" s="1717"/>
    </row>
    <row r="10" spans="1:78" s="1708" customFormat="1" ht="18" customHeight="1" x14ac:dyDescent="0.25">
      <c r="A10" s="2138">
        <v>12325</v>
      </c>
      <c r="B10" s="2225" t="s">
        <v>3871</v>
      </c>
      <c r="C10" s="2904"/>
      <c r="D10" s="2256">
        <v>-103.65</v>
      </c>
      <c r="E10" s="2907"/>
      <c r="F10" s="2910"/>
      <c r="G10" s="2210"/>
      <c r="H10" s="1724"/>
      <c r="I10" s="2904"/>
      <c r="J10" s="2256">
        <v>-36129.589999999997</v>
      </c>
      <c r="K10" s="2907"/>
      <c r="L10" s="2910"/>
      <c r="M10" s="2210"/>
      <c r="N10" s="1724"/>
      <c r="O10" s="2894"/>
      <c r="P10" s="2316">
        <v>-36374.120000000003</v>
      </c>
      <c r="Q10" s="2907"/>
      <c r="R10" s="2910"/>
      <c r="S10" s="2210"/>
      <c r="T10" s="1724"/>
      <c r="U10" s="2894"/>
      <c r="V10" s="2316"/>
      <c r="W10" s="2907"/>
      <c r="X10" s="2910"/>
      <c r="Y10" s="2210"/>
      <c r="Z10" s="1724"/>
      <c r="AA10" s="2894"/>
      <c r="AB10" s="2316"/>
      <c r="AC10" s="2907"/>
      <c r="AD10" s="2910"/>
      <c r="AE10" s="2210"/>
      <c r="AF10" s="1724"/>
      <c r="AG10" s="2904"/>
      <c r="AH10" s="2256"/>
      <c r="AI10" s="2907"/>
      <c r="AJ10" s="2910"/>
      <c r="AK10" s="2319"/>
      <c r="AL10" s="1724"/>
      <c r="AM10" s="2904"/>
      <c r="AN10" s="2256"/>
      <c r="AO10" s="2907"/>
      <c r="AP10" s="2910"/>
      <c r="AQ10" s="2319"/>
      <c r="AR10" s="1724"/>
      <c r="AS10" s="2904"/>
      <c r="AT10" s="2256"/>
      <c r="AU10" s="2907"/>
      <c r="AV10" s="2910"/>
      <c r="AW10" s="2319"/>
      <c r="AX10" s="1724"/>
      <c r="AY10" s="2904"/>
      <c r="AZ10" s="2256"/>
      <c r="BA10" s="2907"/>
      <c r="BB10" s="2910"/>
      <c r="BC10" s="2319"/>
      <c r="BD10" s="1724"/>
      <c r="BE10" s="2904"/>
      <c r="BF10" s="2256"/>
      <c r="BG10" s="2907"/>
      <c r="BH10" s="2910"/>
      <c r="BI10" s="2319"/>
      <c r="BJ10" s="1724"/>
      <c r="BK10" s="2904"/>
      <c r="BL10" s="2256"/>
      <c r="BM10" s="2907"/>
      <c r="BN10" s="2910"/>
      <c r="BO10" s="2319"/>
      <c r="BP10" s="1724"/>
      <c r="BQ10" s="2904"/>
      <c r="BR10" s="2256"/>
      <c r="BS10" s="2907"/>
      <c r="BT10" s="2910"/>
      <c r="BU10" s="2257"/>
      <c r="BV10" s="1724"/>
      <c r="BW10" s="2894"/>
      <c r="BX10" s="2896"/>
      <c r="BY10" s="1782"/>
      <c r="BZ10" s="1717"/>
    </row>
    <row r="11" spans="1:78" s="1708" customFormat="1" ht="18" customHeight="1" thickBot="1" x14ac:dyDescent="0.3">
      <c r="A11" s="2320">
        <v>12326</v>
      </c>
      <c r="B11" s="2262" t="s">
        <v>3872</v>
      </c>
      <c r="C11" s="2905"/>
      <c r="D11" s="2263"/>
      <c r="E11" s="2908"/>
      <c r="F11" s="2911"/>
      <c r="G11" s="2229"/>
      <c r="H11" s="1724"/>
      <c r="I11" s="2905"/>
      <c r="J11" s="2263">
        <v>0</v>
      </c>
      <c r="K11" s="2908"/>
      <c r="L11" s="2911"/>
      <c r="M11" s="2229"/>
      <c r="N11" s="1724"/>
      <c r="O11" s="2877"/>
      <c r="P11" s="2321">
        <v>0</v>
      </c>
      <c r="Q11" s="2908"/>
      <c r="R11" s="2911"/>
      <c r="S11" s="2229"/>
      <c r="T11" s="1724"/>
      <c r="U11" s="2877"/>
      <c r="V11" s="2321"/>
      <c r="W11" s="2908"/>
      <c r="X11" s="2911"/>
      <c r="Y11" s="2229"/>
      <c r="Z11" s="1724"/>
      <c r="AA11" s="2877"/>
      <c r="AB11" s="2321"/>
      <c r="AC11" s="2908"/>
      <c r="AD11" s="2911"/>
      <c r="AE11" s="2229"/>
      <c r="AF11" s="1724"/>
      <c r="AG11" s="2905"/>
      <c r="AH11" s="2263"/>
      <c r="AI11" s="2908"/>
      <c r="AJ11" s="2911"/>
      <c r="AK11" s="2254"/>
      <c r="AL11" s="1724"/>
      <c r="AM11" s="2905"/>
      <c r="AN11" s="2263"/>
      <c r="AO11" s="2908"/>
      <c r="AP11" s="2911"/>
      <c r="AQ11" s="2254"/>
      <c r="AR11" s="1724"/>
      <c r="AS11" s="2905"/>
      <c r="AT11" s="2263"/>
      <c r="AU11" s="2908"/>
      <c r="AV11" s="2911"/>
      <c r="AW11" s="2254"/>
      <c r="AX11" s="1724"/>
      <c r="AY11" s="2905"/>
      <c r="AZ11" s="2263"/>
      <c r="BA11" s="2908"/>
      <c r="BB11" s="2911"/>
      <c r="BC11" s="2254"/>
      <c r="BD11" s="1724"/>
      <c r="BE11" s="2905"/>
      <c r="BF11" s="2263"/>
      <c r="BG11" s="2908"/>
      <c r="BH11" s="2911"/>
      <c r="BI11" s="2254"/>
      <c r="BJ11" s="1724"/>
      <c r="BK11" s="2905"/>
      <c r="BL11" s="2263"/>
      <c r="BM11" s="2908"/>
      <c r="BN11" s="2911"/>
      <c r="BO11" s="2254"/>
      <c r="BP11" s="1724"/>
      <c r="BQ11" s="2905"/>
      <c r="BR11" s="2263"/>
      <c r="BS11" s="2908"/>
      <c r="BT11" s="2911"/>
      <c r="BU11" s="2257"/>
      <c r="BV11" s="1724"/>
      <c r="BW11" s="2877"/>
      <c r="BX11" s="2897"/>
      <c r="BY11" s="1782"/>
      <c r="BZ11" s="1717"/>
    </row>
    <row r="12" spans="1:78" s="1708" customFormat="1" ht="18" customHeight="1" x14ac:dyDescent="0.25">
      <c r="A12" s="2138">
        <v>54554</v>
      </c>
      <c r="B12" s="2225" t="s">
        <v>3707</v>
      </c>
      <c r="C12" s="2255">
        <v>300130.24420000002</v>
      </c>
      <c r="D12" s="2256">
        <v>373748</v>
      </c>
      <c r="E12" s="2256">
        <f t="shared" si="1"/>
        <v>73617.755799999984</v>
      </c>
      <c r="F12" s="2257">
        <f t="shared" si="2"/>
        <v>24.528602905791374</v>
      </c>
      <c r="G12" s="2224"/>
      <c r="H12" s="1724"/>
      <c r="I12" s="2255">
        <f t="shared" si="3"/>
        <v>300130.24420000002</v>
      </c>
      <c r="J12" s="2256">
        <v>554912.78</v>
      </c>
      <c r="K12" s="2256">
        <f t="shared" si="4"/>
        <v>254782.53580000001</v>
      </c>
      <c r="L12" s="2257">
        <f>((J12/I12)-1)*100</f>
        <v>84.890656881023531</v>
      </c>
      <c r="M12" s="2224"/>
      <c r="N12" s="1724"/>
      <c r="O12" s="2224">
        <f t="shared" si="5"/>
        <v>300130.24420000002</v>
      </c>
      <c r="P12" s="2316">
        <v>336807.73</v>
      </c>
      <c r="Q12" s="2256">
        <f t="shared" ref="Q12:Q19" si="21">P12-O12</f>
        <v>36677.485799999966</v>
      </c>
      <c r="R12" s="2257">
        <f>((P12/O12)-1)*100</f>
        <v>12.220523092487445</v>
      </c>
      <c r="S12" s="2224"/>
      <c r="T12" s="1724"/>
      <c r="U12" s="2224">
        <f t="shared" si="7"/>
        <v>300130.24420000002</v>
      </c>
      <c r="V12" s="2316"/>
      <c r="W12" s="2256">
        <f t="shared" ref="W12:W19" si="22">V12-U12</f>
        <v>-300130.24420000002</v>
      </c>
      <c r="X12" s="2257">
        <f>((V12/U12)-1)*100</f>
        <v>-100</v>
      </c>
      <c r="Y12" s="2224"/>
      <c r="Z12" s="1724"/>
      <c r="AA12" s="2224">
        <f t="shared" si="9"/>
        <v>300130.24420000002</v>
      </c>
      <c r="AB12" s="2316"/>
      <c r="AC12" s="2256">
        <f t="shared" ref="AC12:AC19" si="23">AB12-AA12</f>
        <v>-300130.24420000002</v>
      </c>
      <c r="AD12" s="2257">
        <f>((AB12/AA12)-1)*100</f>
        <v>-100</v>
      </c>
      <c r="AE12" s="2224"/>
      <c r="AF12" s="1724"/>
      <c r="AG12" s="2255">
        <v>320130.24420000002</v>
      </c>
      <c r="AH12" s="2256"/>
      <c r="AI12" s="2256">
        <f t="shared" ref="AI12:AI19" si="24">AH12-AG12</f>
        <v>-320130.24420000002</v>
      </c>
      <c r="AJ12" s="2257">
        <f>((AH12/AG12)-1)*100</f>
        <v>-100</v>
      </c>
      <c r="AK12" s="2257"/>
      <c r="AL12" s="1724"/>
      <c r="AM12" s="2255">
        <f>AG12</f>
        <v>320130.24420000002</v>
      </c>
      <c r="AN12" s="2256"/>
      <c r="AO12" s="2256">
        <f t="shared" ref="AO12:AO19" si="25">AN12-AM12</f>
        <v>-320130.24420000002</v>
      </c>
      <c r="AP12" s="2257">
        <f>((AN12/AM12)-1)*100</f>
        <v>-100</v>
      </c>
      <c r="AQ12" s="2257"/>
      <c r="AR12" s="1724"/>
      <c r="AS12" s="2255">
        <f>AM12</f>
        <v>320130.24420000002</v>
      </c>
      <c r="AT12" s="2256"/>
      <c r="AU12" s="2256">
        <f t="shared" ref="AU12:AU19" si="26">AT12-AS12</f>
        <v>-320130.24420000002</v>
      </c>
      <c r="AV12" s="2257">
        <f>((AT12/AS12)-1)*100</f>
        <v>-100</v>
      </c>
      <c r="AW12" s="2257"/>
      <c r="AX12" s="1724"/>
      <c r="AY12" s="2255">
        <f>AS12</f>
        <v>320130.24420000002</v>
      </c>
      <c r="AZ12" s="2256"/>
      <c r="BA12" s="2256">
        <f t="shared" ref="BA12:BA19" si="27">AZ12-AY12</f>
        <v>-320130.24420000002</v>
      </c>
      <c r="BB12" s="2257">
        <f>((AZ12/AY12)-1)*100</f>
        <v>-100</v>
      </c>
      <c r="BC12" s="2257"/>
      <c r="BD12" s="1724"/>
      <c r="BE12" s="2255">
        <f t="shared" si="15"/>
        <v>320130.24420000002</v>
      </c>
      <c r="BF12" s="2256"/>
      <c r="BG12" s="2256">
        <f t="shared" ref="BG12:BG19" si="28">BF12-BE12</f>
        <v>-320130.24420000002</v>
      </c>
      <c r="BH12" s="2257">
        <f>((BF12/BE12)-1)*100</f>
        <v>-100</v>
      </c>
      <c r="BI12" s="2257"/>
      <c r="BJ12" s="1724"/>
      <c r="BK12" s="2255">
        <f t="shared" si="17"/>
        <v>320130.24420000002</v>
      </c>
      <c r="BL12" s="2256"/>
      <c r="BM12" s="2256">
        <f t="shared" ref="BM12:BM19" si="29">BL12-BK12</f>
        <v>-320130.24420000002</v>
      </c>
      <c r="BN12" s="2257">
        <f>((BL12/BK12)-1)*100</f>
        <v>-100</v>
      </c>
      <c r="BO12" s="2257"/>
      <c r="BP12" s="1724"/>
      <c r="BQ12" s="2255">
        <f t="shared" si="19"/>
        <v>320130.24420000002</v>
      </c>
      <c r="BR12" s="2256"/>
      <c r="BS12" s="2256">
        <f t="shared" ref="BS12:BS19" si="30">BR12-BQ12</f>
        <v>-320130.24420000002</v>
      </c>
      <c r="BT12" s="2257">
        <f>((BR12/BQ12)-1)*100</f>
        <v>-100</v>
      </c>
      <c r="BU12" s="2257"/>
      <c r="BV12" s="1724"/>
      <c r="BW12" s="2250">
        <f t="shared" ref="BW12:BX19" si="31">C12+I12+O12+U12+AA12+AG12+AM12+AS12+AY12+BE12+BK12+BQ12</f>
        <v>3741562.9304000004</v>
      </c>
      <c r="BX12" s="1898">
        <f t="shared" si="31"/>
        <v>1265468.51</v>
      </c>
      <c r="BY12" s="1782"/>
      <c r="BZ12" s="1717"/>
    </row>
    <row r="13" spans="1:78" s="1708" customFormat="1" ht="18" customHeight="1" x14ac:dyDescent="0.25">
      <c r="A13" s="2138">
        <v>12299</v>
      </c>
      <c r="B13" s="2225" t="s">
        <v>71</v>
      </c>
      <c r="C13" s="2255">
        <v>741399.55920000002</v>
      </c>
      <c r="D13" s="2256">
        <v>781019</v>
      </c>
      <c r="E13" s="2256">
        <f t="shared" si="1"/>
        <v>39619.440799999982</v>
      </c>
      <c r="F13" s="2257">
        <f t="shared" si="2"/>
        <v>5.3438716422695043</v>
      </c>
      <c r="G13" s="2224"/>
      <c r="H13" s="1724"/>
      <c r="I13" s="2255">
        <f t="shared" si="3"/>
        <v>741399.55920000002</v>
      </c>
      <c r="J13" s="2256">
        <v>795157.13</v>
      </c>
      <c r="K13" s="2256">
        <f t="shared" si="4"/>
        <v>53757.570799999987</v>
      </c>
      <c r="L13" s="2257">
        <f t="shared" ref="L13:L19" si="32">((J13/I13)-1)*100</f>
        <v>7.2508231402250267</v>
      </c>
      <c r="M13" s="2224"/>
      <c r="N13" s="1724"/>
      <c r="O13" s="2224">
        <f t="shared" si="5"/>
        <v>741399.55920000002</v>
      </c>
      <c r="P13" s="2367">
        <v>902903.25</v>
      </c>
      <c r="Q13" s="2343">
        <f t="shared" si="21"/>
        <v>161503.69079999998</v>
      </c>
      <c r="R13" s="2257">
        <f t="shared" ref="R13:R17" si="33">((P13/O13)-1)*100</f>
        <v>21.783623795820574</v>
      </c>
      <c r="S13" s="2224"/>
      <c r="T13" s="1724"/>
      <c r="U13" s="2224">
        <f t="shared" si="7"/>
        <v>741399.55920000002</v>
      </c>
      <c r="V13" s="2316"/>
      <c r="W13" s="2256">
        <f t="shared" si="22"/>
        <v>-741399.55920000002</v>
      </c>
      <c r="X13" s="2257">
        <f t="shared" ref="X13:X17" si="34">((V13/U13)-1)*100</f>
        <v>-100</v>
      </c>
      <c r="Y13" s="2224"/>
      <c r="Z13" s="1724"/>
      <c r="AA13" s="2224">
        <f t="shared" si="9"/>
        <v>741399.55920000002</v>
      </c>
      <c r="AB13" s="2316"/>
      <c r="AC13" s="2256">
        <f t="shared" si="23"/>
        <v>-741399.55920000002</v>
      </c>
      <c r="AD13" s="2257">
        <f t="shared" ref="AD13:AD17" si="35">((AB13/AA13)-1)*100</f>
        <v>-100</v>
      </c>
      <c r="AE13" s="2224"/>
      <c r="AF13" s="1724"/>
      <c r="AG13" s="2255">
        <v>808200</v>
      </c>
      <c r="AH13" s="2256"/>
      <c r="AI13" s="2256">
        <f t="shared" si="24"/>
        <v>-808200</v>
      </c>
      <c r="AJ13" s="2257">
        <f t="shared" ref="AJ13:AJ17" si="36">((AH13/AG13)-1)*100</f>
        <v>-100</v>
      </c>
      <c r="AK13" s="2257"/>
      <c r="AL13" s="1724"/>
      <c r="AM13" s="2255">
        <v>808300</v>
      </c>
      <c r="AN13" s="2256"/>
      <c r="AO13" s="2256">
        <f t="shared" si="25"/>
        <v>-808300</v>
      </c>
      <c r="AP13" s="2257">
        <f t="shared" ref="AP13:AP17" si="37">((AN13/AM13)-1)*100</f>
        <v>-100</v>
      </c>
      <c r="AQ13" s="2257"/>
      <c r="AR13" s="1724"/>
      <c r="AS13" s="2255">
        <v>808300</v>
      </c>
      <c r="AT13" s="2256"/>
      <c r="AU13" s="2256">
        <f t="shared" si="26"/>
        <v>-808300</v>
      </c>
      <c r="AV13" s="2257">
        <f t="shared" ref="AV13:AV17" si="38">((AT13/AS13)-1)*100</f>
        <v>-100</v>
      </c>
      <c r="AW13" s="2257"/>
      <c r="AX13" s="1724"/>
      <c r="AY13" s="2255">
        <v>808300</v>
      </c>
      <c r="AZ13" s="2256"/>
      <c r="BA13" s="2256">
        <f t="shared" si="27"/>
        <v>-808300</v>
      </c>
      <c r="BB13" s="2257">
        <f t="shared" ref="BB13:BB17" si="39">((AZ13/AY13)-1)*100</f>
        <v>-100</v>
      </c>
      <c r="BC13" s="2257"/>
      <c r="BD13" s="1724"/>
      <c r="BE13" s="2255">
        <f t="shared" si="15"/>
        <v>808300</v>
      </c>
      <c r="BF13" s="2256"/>
      <c r="BG13" s="2256">
        <f t="shared" si="28"/>
        <v>-808300</v>
      </c>
      <c r="BH13" s="2257">
        <f t="shared" ref="BH13:BH17" si="40">((BF13/BE13)-1)*100</f>
        <v>-100</v>
      </c>
      <c r="BI13" s="2257"/>
      <c r="BJ13" s="1724"/>
      <c r="BK13" s="2255">
        <f t="shared" si="17"/>
        <v>808300</v>
      </c>
      <c r="BL13" s="2256"/>
      <c r="BM13" s="2256">
        <f t="shared" si="29"/>
        <v>-808300</v>
      </c>
      <c r="BN13" s="2257">
        <f t="shared" ref="BN13:BN17" si="41">((BL13/BK13)-1)*100</f>
        <v>-100</v>
      </c>
      <c r="BO13" s="2257"/>
      <c r="BP13" s="1724"/>
      <c r="BQ13" s="2255">
        <f>BK13</f>
        <v>808300</v>
      </c>
      <c r="BR13" s="2256"/>
      <c r="BS13" s="2256">
        <f t="shared" si="30"/>
        <v>-808300</v>
      </c>
      <c r="BT13" s="2257">
        <f t="shared" ref="BT13:BT17" si="42">((BR13/BQ13)-1)*100</f>
        <v>-100</v>
      </c>
      <c r="BU13" s="2257"/>
      <c r="BV13" s="1724"/>
      <c r="BW13" s="2250">
        <f t="shared" si="31"/>
        <v>9364997.7960000001</v>
      </c>
      <c r="BX13" s="1898">
        <f t="shared" si="31"/>
        <v>2479079.38</v>
      </c>
      <c r="BY13" s="1927"/>
      <c r="BZ13" s="1717"/>
    </row>
    <row r="14" spans="1:78" s="1708" customFormat="1" ht="18" customHeight="1" x14ac:dyDescent="0.25">
      <c r="A14" s="2138">
        <v>11605</v>
      </c>
      <c r="B14" s="2225" t="s">
        <v>74</v>
      </c>
      <c r="C14" s="2255">
        <v>93000</v>
      </c>
      <c r="D14" s="2256">
        <v>72359</v>
      </c>
      <c r="E14" s="2256">
        <f t="shared" si="1"/>
        <v>-20641</v>
      </c>
      <c r="F14" s="2257">
        <f t="shared" si="2"/>
        <v>-22.194623655913979</v>
      </c>
      <c r="G14" s="2224"/>
      <c r="H14" s="1724"/>
      <c r="I14" s="2255">
        <f t="shared" si="3"/>
        <v>93000</v>
      </c>
      <c r="J14" s="2256">
        <v>101798.77</v>
      </c>
      <c r="K14" s="2256">
        <f t="shared" si="4"/>
        <v>8798.7700000000041</v>
      </c>
      <c r="L14" s="2257">
        <f t="shared" si="32"/>
        <v>9.4610430107527002</v>
      </c>
      <c r="M14" s="2224"/>
      <c r="N14" s="1724"/>
      <c r="O14" s="2224">
        <f t="shared" si="5"/>
        <v>93000</v>
      </c>
      <c r="P14" s="2316">
        <v>127369.83</v>
      </c>
      <c r="Q14" s="2256">
        <f t="shared" si="21"/>
        <v>34369.83</v>
      </c>
      <c r="R14" s="2257">
        <f t="shared" si="33"/>
        <v>36.956806451612898</v>
      </c>
      <c r="S14" s="2224"/>
      <c r="T14" s="1724"/>
      <c r="U14" s="2224">
        <f t="shared" si="7"/>
        <v>93000</v>
      </c>
      <c r="V14" s="2316"/>
      <c r="W14" s="2256">
        <f t="shared" si="22"/>
        <v>-93000</v>
      </c>
      <c r="X14" s="2257">
        <f t="shared" si="34"/>
        <v>-100</v>
      </c>
      <c r="Y14" s="2224"/>
      <c r="Z14" s="1724"/>
      <c r="AA14" s="2224">
        <f t="shared" si="9"/>
        <v>93000</v>
      </c>
      <c r="AB14" s="2316"/>
      <c r="AC14" s="2256">
        <f t="shared" si="23"/>
        <v>-93000</v>
      </c>
      <c r="AD14" s="2257">
        <f t="shared" si="35"/>
        <v>-100</v>
      </c>
      <c r="AE14" s="2224"/>
      <c r="AF14" s="1724"/>
      <c r="AG14" s="2255">
        <v>93000</v>
      </c>
      <c r="AH14" s="2256"/>
      <c r="AI14" s="2256">
        <f t="shared" si="24"/>
        <v>-93000</v>
      </c>
      <c r="AJ14" s="2257">
        <f t="shared" si="36"/>
        <v>-100</v>
      </c>
      <c r="AK14" s="2257"/>
      <c r="AL14" s="1724"/>
      <c r="AM14" s="2255">
        <f t="shared" ref="AM14:AM19" si="43">AG14</f>
        <v>93000</v>
      </c>
      <c r="AN14" s="2256"/>
      <c r="AO14" s="2256">
        <f t="shared" si="25"/>
        <v>-93000</v>
      </c>
      <c r="AP14" s="2257">
        <f t="shared" si="37"/>
        <v>-100</v>
      </c>
      <c r="AQ14" s="2257"/>
      <c r="AR14" s="1724"/>
      <c r="AS14" s="2255">
        <f t="shared" ref="AS14:AS19" si="44">AM14</f>
        <v>93000</v>
      </c>
      <c r="AT14" s="2256"/>
      <c r="AU14" s="2256">
        <f t="shared" si="26"/>
        <v>-93000</v>
      </c>
      <c r="AV14" s="2257">
        <f t="shared" si="38"/>
        <v>-100</v>
      </c>
      <c r="AW14" s="2257"/>
      <c r="AX14" s="1724"/>
      <c r="AY14" s="2255">
        <f t="shared" ref="AY14:AY19" si="45">AS14</f>
        <v>93000</v>
      </c>
      <c r="AZ14" s="2256"/>
      <c r="BA14" s="2256">
        <f t="shared" si="27"/>
        <v>-93000</v>
      </c>
      <c r="BB14" s="2257">
        <f t="shared" si="39"/>
        <v>-100</v>
      </c>
      <c r="BC14" s="2257"/>
      <c r="BD14" s="1724"/>
      <c r="BE14" s="2255">
        <f t="shared" si="15"/>
        <v>93000</v>
      </c>
      <c r="BF14" s="2256"/>
      <c r="BG14" s="2256">
        <f t="shared" si="28"/>
        <v>-93000</v>
      </c>
      <c r="BH14" s="2257">
        <f t="shared" si="40"/>
        <v>-100</v>
      </c>
      <c r="BI14" s="2257"/>
      <c r="BJ14" s="1724"/>
      <c r="BK14" s="2255">
        <f t="shared" si="17"/>
        <v>93000</v>
      </c>
      <c r="BL14" s="2256"/>
      <c r="BM14" s="2256">
        <f t="shared" si="29"/>
        <v>-93000</v>
      </c>
      <c r="BN14" s="2257">
        <f t="shared" si="41"/>
        <v>-100</v>
      </c>
      <c r="BO14" s="2257"/>
      <c r="BP14" s="1724"/>
      <c r="BQ14" s="2255">
        <f t="shared" si="19"/>
        <v>93000</v>
      </c>
      <c r="BR14" s="2256"/>
      <c r="BS14" s="2256">
        <f t="shared" si="30"/>
        <v>-93000</v>
      </c>
      <c r="BT14" s="2257">
        <f t="shared" si="42"/>
        <v>-100</v>
      </c>
      <c r="BU14" s="2257"/>
      <c r="BV14" s="1724"/>
      <c r="BW14" s="2250">
        <f t="shared" si="31"/>
        <v>1116000</v>
      </c>
      <c r="BX14" s="1898">
        <f t="shared" si="31"/>
        <v>301527.60000000003</v>
      </c>
      <c r="BY14" s="1782"/>
      <c r="BZ14" s="1717"/>
    </row>
    <row r="15" spans="1:78" s="1708" customFormat="1" ht="18" customHeight="1" x14ac:dyDescent="0.25">
      <c r="A15" s="2138">
        <v>12297</v>
      </c>
      <c r="B15" s="2225" t="s">
        <v>200</v>
      </c>
      <c r="C15" s="2255">
        <v>70725.574399999998</v>
      </c>
      <c r="D15" s="2256">
        <v>58444</v>
      </c>
      <c r="E15" s="2256">
        <f t="shared" si="1"/>
        <v>-12281.574399999998</v>
      </c>
      <c r="F15" s="2257">
        <f t="shared" si="2"/>
        <v>-17.365110858682542</v>
      </c>
      <c r="G15" s="2224"/>
      <c r="H15" s="1724"/>
      <c r="I15" s="2255">
        <f t="shared" si="3"/>
        <v>70725.574399999998</v>
      </c>
      <c r="J15" s="2256">
        <v>54437.47</v>
      </c>
      <c r="K15" s="2256">
        <f t="shared" si="4"/>
        <v>-16288.104399999997</v>
      </c>
      <c r="L15" s="2257">
        <f t="shared" si="32"/>
        <v>-23.030006526182412</v>
      </c>
      <c r="M15" s="2224"/>
      <c r="N15" s="1724"/>
      <c r="O15" s="2224">
        <f t="shared" si="5"/>
        <v>70725.574399999998</v>
      </c>
      <c r="P15" s="2316">
        <v>65136.63</v>
      </c>
      <c r="Q15" s="2256">
        <f t="shared" si="21"/>
        <v>-5588.9444000000003</v>
      </c>
      <c r="R15" s="2257">
        <f t="shared" si="33"/>
        <v>-7.9022962307676909</v>
      </c>
      <c r="S15" s="2224"/>
      <c r="T15" s="1724"/>
      <c r="U15" s="2224">
        <f t="shared" si="7"/>
        <v>70725.574399999998</v>
      </c>
      <c r="V15" s="2316"/>
      <c r="W15" s="2256">
        <f t="shared" si="22"/>
        <v>-70725.574399999998</v>
      </c>
      <c r="X15" s="2257">
        <f t="shared" si="34"/>
        <v>-100</v>
      </c>
      <c r="Y15" s="2224"/>
      <c r="Z15" s="1724"/>
      <c r="AA15" s="2224">
        <f t="shared" si="9"/>
        <v>70725.574399999998</v>
      </c>
      <c r="AB15" s="2316"/>
      <c r="AC15" s="2256">
        <f t="shared" si="23"/>
        <v>-70725.574399999998</v>
      </c>
      <c r="AD15" s="2257">
        <f t="shared" si="35"/>
        <v>-100</v>
      </c>
      <c r="AE15" s="2224"/>
      <c r="AF15" s="1724"/>
      <c r="AG15" s="2255">
        <v>70725.574399999998</v>
      </c>
      <c r="AH15" s="2256"/>
      <c r="AI15" s="2256">
        <f t="shared" si="24"/>
        <v>-70725.574399999998</v>
      </c>
      <c r="AJ15" s="2257">
        <f t="shared" si="36"/>
        <v>-100</v>
      </c>
      <c r="AK15" s="2257"/>
      <c r="AL15" s="1724"/>
      <c r="AM15" s="2255">
        <f t="shared" si="43"/>
        <v>70725.574399999998</v>
      </c>
      <c r="AN15" s="2256"/>
      <c r="AO15" s="2256">
        <f t="shared" si="25"/>
        <v>-70725.574399999998</v>
      </c>
      <c r="AP15" s="2257">
        <f t="shared" si="37"/>
        <v>-100</v>
      </c>
      <c r="AQ15" s="2257"/>
      <c r="AR15" s="1724"/>
      <c r="AS15" s="2255">
        <f t="shared" si="44"/>
        <v>70725.574399999998</v>
      </c>
      <c r="AT15" s="2256"/>
      <c r="AU15" s="2256">
        <f t="shared" si="26"/>
        <v>-70725.574399999998</v>
      </c>
      <c r="AV15" s="2257">
        <f t="shared" si="38"/>
        <v>-100</v>
      </c>
      <c r="AW15" s="2257"/>
      <c r="AX15" s="1724"/>
      <c r="AY15" s="2255">
        <f t="shared" si="45"/>
        <v>70725.574399999998</v>
      </c>
      <c r="AZ15" s="2256"/>
      <c r="BA15" s="2256">
        <f t="shared" si="27"/>
        <v>-70725.574399999998</v>
      </c>
      <c r="BB15" s="2257">
        <f t="shared" si="39"/>
        <v>-100</v>
      </c>
      <c r="BC15" s="2257"/>
      <c r="BD15" s="1724"/>
      <c r="BE15" s="2255">
        <f t="shared" si="15"/>
        <v>70725.574399999998</v>
      </c>
      <c r="BF15" s="2256"/>
      <c r="BG15" s="2256">
        <f t="shared" si="28"/>
        <v>-70725.574399999998</v>
      </c>
      <c r="BH15" s="2257">
        <f t="shared" si="40"/>
        <v>-100</v>
      </c>
      <c r="BI15" s="2257"/>
      <c r="BJ15" s="1724"/>
      <c r="BK15" s="2255">
        <f t="shared" si="17"/>
        <v>70725.574399999998</v>
      </c>
      <c r="BL15" s="2256"/>
      <c r="BM15" s="2256">
        <f t="shared" si="29"/>
        <v>-70725.574399999998</v>
      </c>
      <c r="BN15" s="2257">
        <f t="shared" si="41"/>
        <v>-100</v>
      </c>
      <c r="BO15" s="2257"/>
      <c r="BP15" s="1724"/>
      <c r="BQ15" s="2255">
        <f t="shared" si="19"/>
        <v>70725.574399999998</v>
      </c>
      <c r="BR15" s="2256"/>
      <c r="BS15" s="2256">
        <f t="shared" si="30"/>
        <v>-70725.574399999998</v>
      </c>
      <c r="BT15" s="2257">
        <f t="shared" si="42"/>
        <v>-100</v>
      </c>
      <c r="BU15" s="2257"/>
      <c r="BV15" s="1724"/>
      <c r="BW15" s="2250">
        <f t="shared" si="31"/>
        <v>848706.89280000015</v>
      </c>
      <c r="BX15" s="1898">
        <f t="shared" si="31"/>
        <v>178018.1</v>
      </c>
      <c r="BY15" s="1782"/>
      <c r="BZ15" s="1717"/>
    </row>
    <row r="16" spans="1:78" s="1708" customFormat="1" ht="18" customHeight="1" x14ac:dyDescent="0.25">
      <c r="A16" s="2138">
        <v>12301</v>
      </c>
      <c r="B16" s="2225" t="s">
        <v>72</v>
      </c>
      <c r="C16" s="2255">
        <v>1979930.9632000001</v>
      </c>
      <c r="D16" s="2256">
        <v>2294480</v>
      </c>
      <c r="E16" s="2256">
        <f t="shared" si="1"/>
        <v>314549.03679999989</v>
      </c>
      <c r="F16" s="2257">
        <f t="shared" si="2"/>
        <v>15.886868918480879</v>
      </c>
      <c r="G16" s="2224"/>
      <c r="H16" s="1724"/>
      <c r="I16" s="2255">
        <f t="shared" si="3"/>
        <v>1979930.9632000001</v>
      </c>
      <c r="J16" s="2256">
        <v>2120585.52</v>
      </c>
      <c r="K16" s="2256">
        <f t="shared" si="4"/>
        <v>140654.5567999999</v>
      </c>
      <c r="L16" s="2257">
        <f t="shared" si="32"/>
        <v>7.1040131910797166</v>
      </c>
      <c r="M16" s="2224"/>
      <c r="N16" s="1724"/>
      <c r="O16" s="2224">
        <f t="shared" si="5"/>
        <v>1979930.9632000001</v>
      </c>
      <c r="P16" s="2367">
        <v>2476826.85</v>
      </c>
      <c r="Q16" s="2343">
        <f t="shared" si="21"/>
        <v>496895.88679999998</v>
      </c>
      <c r="R16" s="2257">
        <f t="shared" si="33"/>
        <v>25.096626904450648</v>
      </c>
      <c r="S16" s="2224"/>
      <c r="T16" s="1724"/>
      <c r="U16" s="2224">
        <f t="shared" si="7"/>
        <v>1979930.9632000001</v>
      </c>
      <c r="V16" s="2316"/>
      <c r="W16" s="2256">
        <f t="shared" si="22"/>
        <v>-1979930.9632000001</v>
      </c>
      <c r="X16" s="2257">
        <f t="shared" si="34"/>
        <v>-100</v>
      </c>
      <c r="Y16" s="2224"/>
      <c r="Z16" s="1724"/>
      <c r="AA16" s="2224">
        <f t="shared" si="9"/>
        <v>1979930.9632000001</v>
      </c>
      <c r="AB16" s="2316"/>
      <c r="AC16" s="2256">
        <f t="shared" si="23"/>
        <v>-1979930.9632000001</v>
      </c>
      <c r="AD16" s="2257">
        <f t="shared" si="35"/>
        <v>-100</v>
      </c>
      <c r="AE16" s="2224"/>
      <c r="AF16" s="1724"/>
      <c r="AG16" s="2255">
        <v>2100000</v>
      </c>
      <c r="AH16" s="2256"/>
      <c r="AI16" s="2256">
        <f t="shared" si="24"/>
        <v>-2100000</v>
      </c>
      <c r="AJ16" s="2257">
        <f t="shared" si="36"/>
        <v>-100</v>
      </c>
      <c r="AK16" s="2257"/>
      <c r="AL16" s="1724"/>
      <c r="AM16" s="2255">
        <f t="shared" si="43"/>
        <v>2100000</v>
      </c>
      <c r="AN16" s="2256"/>
      <c r="AO16" s="2256">
        <f t="shared" si="25"/>
        <v>-2100000</v>
      </c>
      <c r="AP16" s="2257">
        <f t="shared" si="37"/>
        <v>-100</v>
      </c>
      <c r="AQ16" s="2257"/>
      <c r="AR16" s="1724"/>
      <c r="AS16" s="2255">
        <f t="shared" si="44"/>
        <v>2100000</v>
      </c>
      <c r="AT16" s="2256"/>
      <c r="AU16" s="2256">
        <f t="shared" si="26"/>
        <v>-2100000</v>
      </c>
      <c r="AV16" s="2257">
        <f t="shared" si="38"/>
        <v>-100</v>
      </c>
      <c r="AW16" s="2257"/>
      <c r="AX16" s="1724"/>
      <c r="AY16" s="2255">
        <f t="shared" si="45"/>
        <v>2100000</v>
      </c>
      <c r="AZ16" s="2256"/>
      <c r="BA16" s="2256">
        <f t="shared" si="27"/>
        <v>-2100000</v>
      </c>
      <c r="BB16" s="2257">
        <f t="shared" si="39"/>
        <v>-100</v>
      </c>
      <c r="BC16" s="2257"/>
      <c r="BD16" s="1724"/>
      <c r="BE16" s="2255">
        <f t="shared" si="15"/>
        <v>2100000</v>
      </c>
      <c r="BF16" s="2256"/>
      <c r="BG16" s="2256">
        <f t="shared" si="28"/>
        <v>-2100000</v>
      </c>
      <c r="BH16" s="2257">
        <f t="shared" si="40"/>
        <v>-100</v>
      </c>
      <c r="BI16" s="2257"/>
      <c r="BJ16" s="1724"/>
      <c r="BK16" s="2255">
        <f t="shared" si="17"/>
        <v>2100000</v>
      </c>
      <c r="BL16" s="2256"/>
      <c r="BM16" s="2256">
        <f t="shared" si="29"/>
        <v>-2100000</v>
      </c>
      <c r="BN16" s="2257">
        <f t="shared" si="41"/>
        <v>-100</v>
      </c>
      <c r="BO16" s="2257"/>
      <c r="BP16" s="1724"/>
      <c r="BQ16" s="2255">
        <f t="shared" si="19"/>
        <v>2100000</v>
      </c>
      <c r="BR16" s="2256"/>
      <c r="BS16" s="2256">
        <f t="shared" si="30"/>
        <v>-2100000</v>
      </c>
      <c r="BT16" s="2257">
        <f t="shared" si="42"/>
        <v>-100</v>
      </c>
      <c r="BU16" s="2257"/>
      <c r="BV16" s="1724"/>
      <c r="BW16" s="2250">
        <f t="shared" si="31"/>
        <v>24599654.816</v>
      </c>
      <c r="BX16" s="1898">
        <f t="shared" si="31"/>
        <v>6891892.3699999992</v>
      </c>
      <c r="BY16" s="1927"/>
      <c r="BZ16" s="1717"/>
    </row>
    <row r="17" spans="1:78" s="1708" customFormat="1" ht="18" customHeight="1" x14ac:dyDescent="0.25">
      <c r="A17" s="2138">
        <v>12329</v>
      </c>
      <c r="B17" s="2225" t="s">
        <v>73</v>
      </c>
      <c r="C17" s="2255">
        <v>2200000</v>
      </c>
      <c r="D17" s="2256">
        <v>1382386</v>
      </c>
      <c r="E17" s="2256">
        <f t="shared" si="1"/>
        <v>-817614</v>
      </c>
      <c r="F17" s="2257">
        <f t="shared" si="2"/>
        <v>-37.164272727272731</v>
      </c>
      <c r="G17" s="2224"/>
      <c r="H17" s="1724"/>
      <c r="I17" s="2255">
        <f t="shared" si="3"/>
        <v>2200000</v>
      </c>
      <c r="J17" s="2256">
        <v>3544303.97</v>
      </c>
      <c r="K17" s="2256">
        <f t="shared" si="4"/>
        <v>1344303.9700000002</v>
      </c>
      <c r="L17" s="2257">
        <f t="shared" si="32"/>
        <v>61.104725909090931</v>
      </c>
      <c r="M17" s="2224"/>
      <c r="N17" s="1724"/>
      <c r="O17" s="2224">
        <f t="shared" si="5"/>
        <v>2200000</v>
      </c>
      <c r="P17" s="2316">
        <v>1956184.21</v>
      </c>
      <c r="Q17" s="2256">
        <f t="shared" si="21"/>
        <v>-243815.79000000004</v>
      </c>
      <c r="R17" s="2257">
        <f t="shared" si="33"/>
        <v>-11.082535909090907</v>
      </c>
      <c r="S17" s="2224"/>
      <c r="T17" s="1724"/>
      <c r="U17" s="2224">
        <f t="shared" si="7"/>
        <v>2200000</v>
      </c>
      <c r="V17" s="2316"/>
      <c r="W17" s="2256">
        <f t="shared" si="22"/>
        <v>-2200000</v>
      </c>
      <c r="X17" s="2257">
        <f t="shared" si="34"/>
        <v>-100</v>
      </c>
      <c r="Y17" s="2224"/>
      <c r="Z17" s="1724"/>
      <c r="AA17" s="2224">
        <f t="shared" si="9"/>
        <v>2200000</v>
      </c>
      <c r="AB17" s="2316"/>
      <c r="AC17" s="2256">
        <f t="shared" si="23"/>
        <v>-2200000</v>
      </c>
      <c r="AD17" s="2257">
        <f t="shared" si="35"/>
        <v>-100</v>
      </c>
      <c r="AE17" s="2224"/>
      <c r="AF17" s="1724"/>
      <c r="AG17" s="2255">
        <v>2400000</v>
      </c>
      <c r="AH17" s="2256"/>
      <c r="AI17" s="2256">
        <f t="shared" si="24"/>
        <v>-2400000</v>
      </c>
      <c r="AJ17" s="2257">
        <f t="shared" si="36"/>
        <v>-100</v>
      </c>
      <c r="AK17" s="2257"/>
      <c r="AL17" s="1724"/>
      <c r="AM17" s="2255">
        <f t="shared" si="43"/>
        <v>2400000</v>
      </c>
      <c r="AN17" s="2256"/>
      <c r="AO17" s="2256">
        <f t="shared" si="25"/>
        <v>-2400000</v>
      </c>
      <c r="AP17" s="2257">
        <f t="shared" si="37"/>
        <v>-100</v>
      </c>
      <c r="AQ17" s="2257"/>
      <c r="AR17" s="1724"/>
      <c r="AS17" s="2255">
        <f t="shared" si="44"/>
        <v>2400000</v>
      </c>
      <c r="AT17" s="2256"/>
      <c r="AU17" s="2256">
        <f t="shared" si="26"/>
        <v>-2400000</v>
      </c>
      <c r="AV17" s="2257">
        <f t="shared" si="38"/>
        <v>-100</v>
      </c>
      <c r="AW17" s="2257"/>
      <c r="AX17" s="1724"/>
      <c r="AY17" s="2255">
        <f t="shared" si="45"/>
        <v>2400000</v>
      </c>
      <c r="AZ17" s="2256"/>
      <c r="BA17" s="2256">
        <f t="shared" si="27"/>
        <v>-2400000</v>
      </c>
      <c r="BB17" s="2257">
        <f t="shared" si="39"/>
        <v>-100</v>
      </c>
      <c r="BC17" s="2257"/>
      <c r="BD17" s="1724"/>
      <c r="BE17" s="2255">
        <f t="shared" si="15"/>
        <v>2400000</v>
      </c>
      <c r="BF17" s="2256"/>
      <c r="BG17" s="2256">
        <f t="shared" si="28"/>
        <v>-2400000</v>
      </c>
      <c r="BH17" s="2257">
        <f t="shared" si="40"/>
        <v>-100</v>
      </c>
      <c r="BI17" s="2257"/>
      <c r="BJ17" s="1724"/>
      <c r="BK17" s="2255">
        <f t="shared" si="17"/>
        <v>2400000</v>
      </c>
      <c r="BL17" s="2256"/>
      <c r="BM17" s="2256">
        <f t="shared" si="29"/>
        <v>-2400000</v>
      </c>
      <c r="BN17" s="2257">
        <f t="shared" si="41"/>
        <v>-100</v>
      </c>
      <c r="BO17" s="2257"/>
      <c r="BP17" s="1724"/>
      <c r="BQ17" s="2255">
        <f t="shared" si="19"/>
        <v>2400000</v>
      </c>
      <c r="BR17" s="2256"/>
      <c r="BS17" s="2256">
        <f t="shared" si="30"/>
        <v>-2400000</v>
      </c>
      <c r="BT17" s="2257">
        <f t="shared" si="42"/>
        <v>-100</v>
      </c>
      <c r="BU17" s="2257"/>
      <c r="BV17" s="1724"/>
      <c r="BW17" s="2250">
        <f t="shared" si="31"/>
        <v>27800000</v>
      </c>
      <c r="BX17" s="1898">
        <f t="shared" si="31"/>
        <v>6882874.1800000006</v>
      </c>
      <c r="BY17" s="1927"/>
      <c r="BZ17" s="1717"/>
    </row>
    <row r="18" spans="1:78" s="1708" customFormat="1" ht="18" customHeight="1" x14ac:dyDescent="0.25">
      <c r="A18" s="2138">
        <v>51649</v>
      </c>
      <c r="B18" s="2225" t="s">
        <v>78</v>
      </c>
      <c r="C18" s="2255">
        <v>14994.555199999999</v>
      </c>
      <c r="D18" s="2256">
        <v>10023</v>
      </c>
      <c r="E18" s="2256">
        <f t="shared" si="1"/>
        <v>-4971.5551999999989</v>
      </c>
      <c r="F18" s="2257">
        <f t="shared" si="2"/>
        <v>-33.155736423578595</v>
      </c>
      <c r="G18" s="2224"/>
      <c r="H18" s="1724"/>
      <c r="I18" s="2255">
        <f t="shared" si="3"/>
        <v>14994.555199999999</v>
      </c>
      <c r="J18" s="2256">
        <v>11861.78</v>
      </c>
      <c r="K18" s="2256">
        <f t="shared" si="4"/>
        <v>-3132.7751999999982</v>
      </c>
      <c r="L18" s="2257">
        <f>((J18/I18)-1)*100</f>
        <v>-20.892751790329854</v>
      </c>
      <c r="M18" s="2224"/>
      <c r="N18" s="1724"/>
      <c r="O18" s="2224">
        <f t="shared" si="5"/>
        <v>14994.555199999999</v>
      </c>
      <c r="P18" s="2316">
        <v>15198.95</v>
      </c>
      <c r="Q18" s="2256">
        <f t="shared" si="21"/>
        <v>204.39480000000185</v>
      </c>
      <c r="R18" s="2257">
        <f>((P18/O18)-1)*100</f>
        <v>1.3631267968522431</v>
      </c>
      <c r="S18" s="2224"/>
      <c r="T18" s="1724"/>
      <c r="U18" s="2224">
        <f t="shared" si="7"/>
        <v>14994.555199999999</v>
      </c>
      <c r="V18" s="2316"/>
      <c r="W18" s="2256">
        <f t="shared" si="22"/>
        <v>-14994.555199999999</v>
      </c>
      <c r="X18" s="2257">
        <f>((V18/U18)-1)*100</f>
        <v>-100</v>
      </c>
      <c r="Y18" s="2224"/>
      <c r="Z18" s="1724"/>
      <c r="AA18" s="2224">
        <f t="shared" si="9"/>
        <v>14994.555199999999</v>
      </c>
      <c r="AB18" s="2316"/>
      <c r="AC18" s="2256">
        <f t="shared" si="23"/>
        <v>-14994.555199999999</v>
      </c>
      <c r="AD18" s="2257">
        <f>((AB18/AA18)-1)*100</f>
        <v>-100</v>
      </c>
      <c r="AE18" s="2224"/>
      <c r="AF18" s="1724"/>
      <c r="AG18" s="2255">
        <v>15994.555199999999</v>
      </c>
      <c r="AH18" s="2256"/>
      <c r="AI18" s="2256">
        <f t="shared" si="24"/>
        <v>-15994.555199999999</v>
      </c>
      <c r="AJ18" s="2257">
        <f>((AH18/AG18)-1)*100</f>
        <v>-100</v>
      </c>
      <c r="AK18" s="2257"/>
      <c r="AL18" s="1724"/>
      <c r="AM18" s="2255">
        <f t="shared" si="43"/>
        <v>15994.555199999999</v>
      </c>
      <c r="AN18" s="2256"/>
      <c r="AO18" s="2256">
        <f t="shared" si="25"/>
        <v>-15994.555199999999</v>
      </c>
      <c r="AP18" s="2257">
        <f>((AN18/AM18)-1)*100</f>
        <v>-100</v>
      </c>
      <c r="AQ18" s="2257"/>
      <c r="AR18" s="1724"/>
      <c r="AS18" s="2255">
        <f t="shared" si="44"/>
        <v>15994.555199999999</v>
      </c>
      <c r="AT18" s="2256"/>
      <c r="AU18" s="2256">
        <f t="shared" si="26"/>
        <v>-15994.555199999999</v>
      </c>
      <c r="AV18" s="2257">
        <f>((AT18/AS18)-1)*100</f>
        <v>-100</v>
      </c>
      <c r="AW18" s="2257"/>
      <c r="AX18" s="1724"/>
      <c r="AY18" s="2255">
        <f t="shared" si="45"/>
        <v>15994.555199999999</v>
      </c>
      <c r="AZ18" s="2256"/>
      <c r="BA18" s="2256">
        <f t="shared" si="27"/>
        <v>-15994.555199999999</v>
      </c>
      <c r="BB18" s="2257">
        <f>((AZ18/AY18)-1)*100</f>
        <v>-100</v>
      </c>
      <c r="BC18" s="2257"/>
      <c r="BD18" s="1724"/>
      <c r="BE18" s="2255">
        <f t="shared" si="15"/>
        <v>15994.555199999999</v>
      </c>
      <c r="BF18" s="2256"/>
      <c r="BG18" s="2256">
        <f t="shared" si="28"/>
        <v>-15994.555199999999</v>
      </c>
      <c r="BH18" s="2257">
        <f>((BF18/BE18)-1)*100</f>
        <v>-100</v>
      </c>
      <c r="BI18" s="2257"/>
      <c r="BJ18" s="1724"/>
      <c r="BK18" s="2255">
        <f t="shared" si="17"/>
        <v>15994.555199999999</v>
      </c>
      <c r="BL18" s="2256"/>
      <c r="BM18" s="2256">
        <f t="shared" si="29"/>
        <v>-15994.555199999999</v>
      </c>
      <c r="BN18" s="2257">
        <f>((BL18/BK18)-1)*100</f>
        <v>-100</v>
      </c>
      <c r="BO18" s="2257"/>
      <c r="BP18" s="1724"/>
      <c r="BQ18" s="2255">
        <f t="shared" si="19"/>
        <v>15994.555199999999</v>
      </c>
      <c r="BR18" s="2256"/>
      <c r="BS18" s="2256">
        <f t="shared" si="30"/>
        <v>-15994.555199999999</v>
      </c>
      <c r="BT18" s="2257">
        <f>((BR18/BQ18)-1)*100</f>
        <v>-100</v>
      </c>
      <c r="BU18" s="2257"/>
      <c r="BV18" s="1724"/>
      <c r="BW18" s="2250">
        <f t="shared" si="31"/>
        <v>186934.6624</v>
      </c>
      <c r="BX18" s="1898">
        <f t="shared" si="31"/>
        <v>37083.729999999996</v>
      </c>
      <c r="BY18" s="1782"/>
      <c r="BZ18" s="1717"/>
    </row>
    <row r="19" spans="1:78" s="1708" customFormat="1" ht="18" customHeight="1" thickBot="1" x14ac:dyDescent="0.3">
      <c r="A19" s="2137">
        <v>12316</v>
      </c>
      <c r="B19" s="2211" t="s">
        <v>3794</v>
      </c>
      <c r="C19" s="1771">
        <v>20535.455399999999</v>
      </c>
      <c r="D19" s="1772">
        <v>28906.53</v>
      </c>
      <c r="E19" s="1772">
        <f t="shared" si="1"/>
        <v>8371.0745999999999</v>
      </c>
      <c r="F19" s="2322">
        <f t="shared" si="2"/>
        <v>40.764007600240504</v>
      </c>
      <c r="G19" s="1774"/>
      <c r="H19" s="1724"/>
      <c r="I19" s="1771">
        <f t="shared" si="3"/>
        <v>20535.455399999999</v>
      </c>
      <c r="J19" s="1772">
        <v>41729.589999999997</v>
      </c>
      <c r="K19" s="1772">
        <f t="shared" si="4"/>
        <v>21194.134599999998</v>
      </c>
      <c r="L19" s="2322">
        <f t="shared" si="32"/>
        <v>103.20752175771082</v>
      </c>
      <c r="M19" s="1774"/>
      <c r="N19" s="1724"/>
      <c r="O19" s="1774">
        <f t="shared" si="5"/>
        <v>20535.455399999999</v>
      </c>
      <c r="P19" s="2323">
        <v>58552.73</v>
      </c>
      <c r="Q19" s="1772">
        <f t="shared" si="21"/>
        <v>38017.274600000004</v>
      </c>
      <c r="R19" s="2322">
        <f t="shared" ref="R19" si="46">((P19/O19)-1)*100</f>
        <v>185.12993191278343</v>
      </c>
      <c r="S19" s="1774"/>
      <c r="T19" s="1724"/>
      <c r="U19" s="1774">
        <f t="shared" si="7"/>
        <v>20535.455399999999</v>
      </c>
      <c r="V19" s="2323"/>
      <c r="W19" s="1772">
        <f t="shared" si="22"/>
        <v>-20535.455399999999</v>
      </c>
      <c r="X19" s="2322">
        <f t="shared" ref="X19" si="47">((V19/U19)-1)*100</f>
        <v>-100</v>
      </c>
      <c r="Y19" s="1774"/>
      <c r="Z19" s="1724"/>
      <c r="AA19" s="1774">
        <f t="shared" si="9"/>
        <v>20535.455399999999</v>
      </c>
      <c r="AB19" s="2323"/>
      <c r="AC19" s="1772">
        <f t="shared" si="23"/>
        <v>-20535.455399999999</v>
      </c>
      <c r="AD19" s="2322">
        <f t="shared" ref="AD19" si="48">((AB19/AA19)-1)*100</f>
        <v>-100</v>
      </c>
      <c r="AE19" s="1774"/>
      <c r="AF19" s="1724"/>
      <c r="AG19" s="1771">
        <v>25535.455399999999</v>
      </c>
      <c r="AH19" s="1772"/>
      <c r="AI19" s="1772">
        <f t="shared" si="24"/>
        <v>-25535.455399999999</v>
      </c>
      <c r="AJ19" s="2322">
        <f t="shared" ref="AJ19" si="49">((AH19/AG19)-1)*100</f>
        <v>-100</v>
      </c>
      <c r="AK19" s="2322"/>
      <c r="AL19" s="1724"/>
      <c r="AM19" s="1771">
        <f t="shared" si="43"/>
        <v>25535.455399999999</v>
      </c>
      <c r="AN19" s="1772"/>
      <c r="AO19" s="1772">
        <f t="shared" si="25"/>
        <v>-25535.455399999999</v>
      </c>
      <c r="AP19" s="2322">
        <f t="shared" ref="AP19" si="50">((AN19/AM19)-1)*100</f>
        <v>-100</v>
      </c>
      <c r="AQ19" s="2322"/>
      <c r="AR19" s="1724"/>
      <c r="AS19" s="1771">
        <f t="shared" si="44"/>
        <v>25535.455399999999</v>
      </c>
      <c r="AT19" s="1772"/>
      <c r="AU19" s="1772">
        <f t="shared" si="26"/>
        <v>-25535.455399999999</v>
      </c>
      <c r="AV19" s="2322">
        <f t="shared" ref="AV19" si="51">((AT19/AS19)-1)*100</f>
        <v>-100</v>
      </c>
      <c r="AW19" s="2322"/>
      <c r="AX19" s="1724"/>
      <c r="AY19" s="1771">
        <f t="shared" si="45"/>
        <v>25535.455399999999</v>
      </c>
      <c r="AZ19" s="1772"/>
      <c r="BA19" s="1772">
        <f t="shared" si="27"/>
        <v>-25535.455399999999</v>
      </c>
      <c r="BB19" s="2322">
        <f t="shared" ref="BB19" si="52">((AZ19/AY19)-1)*100</f>
        <v>-100</v>
      </c>
      <c r="BC19" s="2322"/>
      <c r="BD19" s="1724"/>
      <c r="BE19" s="1771">
        <f t="shared" si="15"/>
        <v>25535.455399999999</v>
      </c>
      <c r="BF19" s="1772"/>
      <c r="BG19" s="1772">
        <f t="shared" si="28"/>
        <v>-25535.455399999999</v>
      </c>
      <c r="BH19" s="2322">
        <f t="shared" ref="BH19" si="53">((BF19/BE19)-1)*100</f>
        <v>-100</v>
      </c>
      <c r="BI19" s="2322"/>
      <c r="BJ19" s="1724"/>
      <c r="BK19" s="1771">
        <f t="shared" si="17"/>
        <v>25535.455399999999</v>
      </c>
      <c r="BL19" s="1772"/>
      <c r="BM19" s="1772">
        <f t="shared" si="29"/>
        <v>-25535.455399999999</v>
      </c>
      <c r="BN19" s="2322">
        <f t="shared" ref="BN19" si="54">((BL19/BK19)-1)*100</f>
        <v>-100</v>
      </c>
      <c r="BO19" s="2322"/>
      <c r="BP19" s="1724"/>
      <c r="BQ19" s="1771">
        <f t="shared" si="19"/>
        <v>25535.455399999999</v>
      </c>
      <c r="BR19" s="1772"/>
      <c r="BS19" s="1772">
        <f t="shared" si="30"/>
        <v>-25535.455399999999</v>
      </c>
      <c r="BT19" s="2322">
        <f t="shared" ref="BT19" si="55">((BR19/BQ19)-1)*100</f>
        <v>-100</v>
      </c>
      <c r="BU19" s="2319"/>
      <c r="BV19" s="1724"/>
      <c r="BW19" s="1774">
        <f t="shared" si="31"/>
        <v>281425.46480000002</v>
      </c>
      <c r="BX19" s="1741">
        <f t="shared" si="31"/>
        <v>129188.85</v>
      </c>
      <c r="BY19" s="1782"/>
      <c r="BZ19" s="1717"/>
    </row>
    <row r="20" spans="1:78" x14ac:dyDescent="0.25">
      <c r="BU20" s="2416"/>
    </row>
  </sheetData>
  <mergeCells count="62">
    <mergeCell ref="BS9:BS11"/>
    <mergeCell ref="BT9:BT11"/>
    <mergeCell ref="BW9:BW11"/>
    <mergeCell ref="BX9:BX11"/>
    <mergeCell ref="G5:G7"/>
    <mergeCell ref="M5:M7"/>
    <mergeCell ref="S5:S7"/>
    <mergeCell ref="AK5:AK7"/>
    <mergeCell ref="AQ5:AQ7"/>
    <mergeCell ref="AW5:AW7"/>
    <mergeCell ref="BC5:BC7"/>
    <mergeCell ref="BI5:BI7"/>
    <mergeCell ref="BO5:BO7"/>
    <mergeCell ref="BU5:BU7"/>
    <mergeCell ref="BH9:BH11"/>
    <mergeCell ref="BK9:BK11"/>
    <mergeCell ref="BM9:BM11"/>
    <mergeCell ref="BN9:BN11"/>
    <mergeCell ref="BQ9:BQ11"/>
    <mergeCell ref="AY9:AY11"/>
    <mergeCell ref="BA9:BA11"/>
    <mergeCell ref="BB9:BB11"/>
    <mergeCell ref="BE9:BE11"/>
    <mergeCell ref="BG9:BG11"/>
    <mergeCell ref="AO9:AO11"/>
    <mergeCell ref="AP9:AP11"/>
    <mergeCell ref="AS9:AS11"/>
    <mergeCell ref="AU9:AU11"/>
    <mergeCell ref="AV9:AV11"/>
    <mergeCell ref="AD9:AD11"/>
    <mergeCell ref="AG9:AG11"/>
    <mergeCell ref="AI9:AI11"/>
    <mergeCell ref="AJ9:AJ11"/>
    <mergeCell ref="AM9:AM11"/>
    <mergeCell ref="BW5:BW6"/>
    <mergeCell ref="BX5:BX6"/>
    <mergeCell ref="C9:C11"/>
    <mergeCell ref="E9:E11"/>
    <mergeCell ref="F9:F11"/>
    <mergeCell ref="I9:I11"/>
    <mergeCell ref="K9:K11"/>
    <mergeCell ref="L9:L11"/>
    <mergeCell ref="O9:O11"/>
    <mergeCell ref="Q9:Q11"/>
    <mergeCell ref="R9:R11"/>
    <mergeCell ref="U9:U11"/>
    <mergeCell ref="W9:W11"/>
    <mergeCell ref="X9:X11"/>
    <mergeCell ref="AA9:AA11"/>
    <mergeCell ref="AC9:AC11"/>
    <mergeCell ref="BQ5:BT5"/>
    <mergeCell ref="C5:F5"/>
    <mergeCell ref="I5:L5"/>
    <mergeCell ref="O5:R5"/>
    <mergeCell ref="U5:X5"/>
    <mergeCell ref="AA5:AD5"/>
    <mergeCell ref="AG5:AJ5"/>
    <mergeCell ref="AM5:AP5"/>
    <mergeCell ref="AS5:AV5"/>
    <mergeCell ref="AY5:BB5"/>
    <mergeCell ref="BE5:BH5"/>
    <mergeCell ref="BK5:BN5"/>
  </mergeCells>
  <hyperlinks>
    <hyperlink ref="A8" r:id="rId1" display="..\..\..\..\Rafaela Garcia\2022\3. Março\Orçamento\Fernando\12328.pdf"/>
    <hyperlink ref="A10" r:id="rId2" display="..\..\..\..\Rafaela Garcia\2022\3. Março\Orçamento\Fernando\12325.pdf"/>
    <hyperlink ref="A12" r:id="rId3" display="..\..\..\..\Rafaela Garcia\2022\3. Março\Orçamento\Fernando\54554.pdf"/>
    <hyperlink ref="A13" r:id="rId4" display="..\..\..\..\Rafaela Garcia\2022\3. Março\Orçamento\Fernando\12299.pdf"/>
    <hyperlink ref="A14" r:id="rId5" display="..\..\..\..\Rafaela Garcia\2022\3. Março\Orçamento\Fernando\11605.pdf"/>
    <hyperlink ref="A15" r:id="rId6" display="..\..\..\..\Rafaela Garcia\2022\3. Março\Orçamento\Fernando\12297.pdf"/>
    <hyperlink ref="A16" r:id="rId7" display="..\..\..\..\Rafaela Garcia\2022\3. Março\Orçamento\Fernando\12301.pdf"/>
    <hyperlink ref="A17" r:id="rId8" display="..\..\..\..\Rafaela Garcia\2022\3. Março\Orçamento\Fernando\12329.pdf"/>
    <hyperlink ref="A18" r:id="rId9" display="..\..\..\..\Rafaela Garcia\2022\3. Março\Orçamento\Fernando\51649.pdf"/>
    <hyperlink ref="A19" r:id="rId10" display="..\..\..\..\Rafaela Garcia\2022\3. Março\Orçamento\Fernando\12316.pdf"/>
  </hyperlinks>
  <pageMargins left="0.511811024" right="0.511811024" top="0.78740157499999996" bottom="0.78740157499999996" header="0.31496062000000002" footer="0.31496062000000002"/>
  <drawing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4:CD57"/>
  <sheetViews>
    <sheetView showGridLines="0" workbookViewId="0">
      <pane xSplit="2" topLeftCell="C1" activePane="topRight" state="frozen"/>
      <selection activeCell="B39" sqref="B39"/>
      <selection pane="topRight" activeCell="E42" sqref="E42:E45"/>
    </sheetView>
  </sheetViews>
  <sheetFormatPr defaultRowHeight="15" x14ac:dyDescent="0.25"/>
  <cols>
    <col min="1" max="1" width="12.85546875" bestFit="1" customWidth="1"/>
    <col min="2" max="2" width="41.7109375" bestFit="1" customWidth="1"/>
    <col min="3" max="3" width="9.5703125" bestFit="1" customWidth="1"/>
    <col min="4" max="4" width="10.5703125" bestFit="1" customWidth="1"/>
    <col min="5" max="6" width="9.28515625" bestFit="1" customWidth="1"/>
    <col min="7" max="7" width="9.28515625" customWidth="1"/>
    <col min="8" max="8" width="4.28515625" customWidth="1"/>
    <col min="9" max="9" width="9.5703125" bestFit="1" customWidth="1"/>
    <col min="10" max="10" width="10.5703125" bestFit="1" customWidth="1"/>
    <col min="11" max="12" width="9.28515625" bestFit="1" customWidth="1"/>
    <col min="13" max="13" width="9.28515625" customWidth="1"/>
    <col min="14" max="14" width="3.28515625" customWidth="1"/>
    <col min="15" max="15" width="9.5703125" bestFit="1" customWidth="1"/>
    <col min="16" max="16" width="12" customWidth="1"/>
    <col min="17" max="17" width="10.28515625" bestFit="1" customWidth="1"/>
    <col min="18" max="18" width="9.28515625" bestFit="1" customWidth="1"/>
    <col min="19" max="19" width="9.28515625" customWidth="1"/>
    <col min="20" max="20" width="4.28515625" customWidth="1"/>
    <col min="21" max="21" width="9.5703125" bestFit="1" customWidth="1"/>
    <col min="22" max="22" width="9.28515625" bestFit="1" customWidth="1"/>
    <col min="23" max="23" width="10.28515625" bestFit="1" customWidth="1"/>
    <col min="24" max="24" width="9.28515625" bestFit="1" customWidth="1"/>
    <col min="25" max="25" width="9.28515625" customWidth="1"/>
    <col min="26" max="26" width="3.28515625" customWidth="1"/>
    <col min="27" max="27" width="9.5703125" bestFit="1" customWidth="1"/>
    <col min="28" max="28" width="9.28515625" bestFit="1" customWidth="1"/>
    <col min="29" max="29" width="10.28515625" bestFit="1" customWidth="1"/>
    <col min="30" max="30" width="9.28515625" bestFit="1" customWidth="1"/>
    <col min="31" max="31" width="9.28515625" customWidth="1"/>
    <col min="32" max="32" width="4.28515625" customWidth="1"/>
    <col min="33" max="33" width="9.5703125" bestFit="1" customWidth="1"/>
    <col min="34" max="34" width="9.28515625" bestFit="1" customWidth="1"/>
    <col min="35" max="35" width="10.28515625" bestFit="1" customWidth="1"/>
    <col min="36" max="36" width="9.28515625" bestFit="1" customWidth="1"/>
    <col min="37" max="37" width="9.28515625" customWidth="1"/>
    <col min="38" max="38" width="3.140625" customWidth="1"/>
    <col min="39" max="39" width="9.5703125" bestFit="1" customWidth="1"/>
    <col min="40" max="40" width="9.28515625" bestFit="1" customWidth="1"/>
    <col min="41" max="41" width="10.28515625" bestFit="1" customWidth="1"/>
    <col min="42" max="42" width="9.28515625" bestFit="1" customWidth="1"/>
    <col min="43" max="43" width="9.28515625" customWidth="1"/>
    <col min="44" max="44" width="4.140625" customWidth="1"/>
    <col min="45" max="45" width="9.5703125" bestFit="1" customWidth="1"/>
    <col min="46" max="46" width="9.28515625" bestFit="1" customWidth="1"/>
    <col min="47" max="47" width="10.28515625" bestFit="1" customWidth="1"/>
    <col min="48" max="48" width="9.28515625" bestFit="1" customWidth="1"/>
    <col min="49" max="49" width="9.28515625" customWidth="1"/>
    <col min="50" max="50" width="4" customWidth="1"/>
    <col min="51" max="51" width="9.5703125" bestFit="1" customWidth="1"/>
    <col min="52" max="52" width="9.28515625" bestFit="1" customWidth="1"/>
    <col min="53" max="53" width="10.28515625" bestFit="1" customWidth="1"/>
    <col min="54" max="54" width="9.28515625" bestFit="1" customWidth="1"/>
    <col min="55" max="55" width="9.28515625" customWidth="1"/>
    <col min="56" max="56" width="3.5703125" customWidth="1"/>
    <col min="57" max="57" width="9.5703125" bestFit="1" customWidth="1"/>
    <col min="58" max="58" width="9.28515625" bestFit="1" customWidth="1"/>
    <col min="59" max="59" width="10.28515625" bestFit="1" customWidth="1"/>
    <col min="60" max="60" width="9.28515625" bestFit="1" customWidth="1"/>
    <col min="61" max="61" width="9.28515625" customWidth="1"/>
    <col min="62" max="62" width="3" customWidth="1"/>
    <col min="63" max="63" width="9.5703125" bestFit="1" customWidth="1"/>
    <col min="64" max="64" width="9.28515625" bestFit="1" customWidth="1"/>
    <col min="65" max="65" width="10.28515625" bestFit="1" customWidth="1"/>
    <col min="66" max="66" width="9.28515625" bestFit="1" customWidth="1"/>
    <col min="67" max="67" width="9.42578125" bestFit="1" customWidth="1"/>
    <col min="68" max="68" width="4.28515625" customWidth="1"/>
    <col min="69" max="69" width="9.28515625" bestFit="1" customWidth="1"/>
    <col min="70" max="70" width="10.28515625" bestFit="1" customWidth="1"/>
    <col min="71" max="71" width="13.28515625" customWidth="1"/>
    <col min="72" max="72" width="9.28515625" customWidth="1"/>
    <col min="73" max="73" width="11.140625" customWidth="1"/>
    <col min="74" max="74" width="4.42578125" customWidth="1"/>
    <col min="75" max="75" width="14.85546875" bestFit="1" customWidth="1"/>
    <col min="76" max="76" width="17" bestFit="1" customWidth="1"/>
  </cols>
  <sheetData>
    <row r="4" spans="1:82" ht="15.75" thickBot="1" x14ac:dyDescent="0.3"/>
    <row r="5" spans="1:82" ht="18" customHeight="1" thickBot="1" x14ac:dyDescent="0.3">
      <c r="A5" s="2864" t="s">
        <v>0</v>
      </c>
      <c r="B5" s="2866" t="s">
        <v>145</v>
      </c>
      <c r="C5" s="2861" t="s">
        <v>3716</v>
      </c>
      <c r="D5" s="2862"/>
      <c r="E5" s="2862"/>
      <c r="F5" s="2862"/>
      <c r="G5" s="2856" t="s">
        <v>3838</v>
      </c>
      <c r="I5" s="2861" t="s">
        <v>3717</v>
      </c>
      <c r="J5" s="2862"/>
      <c r="K5" s="2862"/>
      <c r="L5" s="2862"/>
      <c r="M5" s="2856" t="s">
        <v>3838</v>
      </c>
      <c r="O5" s="2861" t="s">
        <v>3718</v>
      </c>
      <c r="P5" s="2862"/>
      <c r="Q5" s="2862"/>
      <c r="R5" s="2862"/>
      <c r="S5" s="2856" t="s">
        <v>3838</v>
      </c>
      <c r="U5" s="2861" t="s">
        <v>3719</v>
      </c>
      <c r="V5" s="2862"/>
      <c r="W5" s="2862"/>
      <c r="X5" s="2862"/>
      <c r="Y5" s="2856" t="s">
        <v>3838</v>
      </c>
      <c r="AA5" s="2861" t="s">
        <v>3720</v>
      </c>
      <c r="AB5" s="2862"/>
      <c r="AC5" s="2862"/>
      <c r="AD5" s="2862"/>
      <c r="AE5" s="2856" t="s">
        <v>3838</v>
      </c>
      <c r="AG5" s="2861" t="s">
        <v>3721</v>
      </c>
      <c r="AH5" s="2862"/>
      <c r="AI5" s="2862"/>
      <c r="AJ5" s="2862"/>
      <c r="AK5" s="2856" t="s">
        <v>3838</v>
      </c>
      <c r="AM5" s="2861" t="s">
        <v>3722</v>
      </c>
      <c r="AN5" s="2862"/>
      <c r="AO5" s="2862"/>
      <c r="AP5" s="2862"/>
      <c r="AQ5" s="2856" t="s">
        <v>3838</v>
      </c>
      <c r="AS5" s="2861" t="s">
        <v>3723</v>
      </c>
      <c r="AT5" s="2862"/>
      <c r="AU5" s="2862"/>
      <c r="AV5" s="2862"/>
      <c r="AW5" s="2856" t="s">
        <v>3838</v>
      </c>
      <c r="AY5" s="2861" t="s">
        <v>3724</v>
      </c>
      <c r="AZ5" s="2862"/>
      <c r="BA5" s="2862"/>
      <c r="BB5" s="2862"/>
      <c r="BC5" s="2856" t="s">
        <v>3838</v>
      </c>
      <c r="BE5" s="2861" t="s">
        <v>3725</v>
      </c>
      <c r="BF5" s="2862"/>
      <c r="BG5" s="2862"/>
      <c r="BH5" s="2862"/>
      <c r="BI5" s="2856" t="s">
        <v>3838</v>
      </c>
      <c r="BK5" s="2861" t="s">
        <v>3726</v>
      </c>
      <c r="BL5" s="2862"/>
      <c r="BM5" s="2862"/>
      <c r="BN5" s="2862"/>
      <c r="BO5" s="1680" t="s">
        <v>3838</v>
      </c>
      <c r="BP5" s="1706"/>
      <c r="BQ5" s="2861" t="s">
        <v>3727</v>
      </c>
      <c r="BR5" s="2862"/>
      <c r="BS5" s="2862"/>
      <c r="BT5" s="2862"/>
      <c r="BU5" s="1680" t="s">
        <v>3838</v>
      </c>
      <c r="BV5" s="1706"/>
      <c r="BW5" s="2856" t="s">
        <v>162</v>
      </c>
      <c r="BX5" s="2912" t="s">
        <v>163</v>
      </c>
    </row>
    <row r="6" spans="1:82" ht="18" customHeight="1" thickBot="1" x14ac:dyDescent="0.3">
      <c r="A6" s="2865"/>
      <c r="B6" s="2867"/>
      <c r="C6" s="1688" t="s">
        <v>3728</v>
      </c>
      <c r="D6" s="1682" t="s">
        <v>3796</v>
      </c>
      <c r="E6" s="1682" t="s">
        <v>3797</v>
      </c>
      <c r="F6" s="1681" t="s">
        <v>158</v>
      </c>
      <c r="G6" s="2858"/>
      <c r="I6" s="1688" t="s">
        <v>3728</v>
      </c>
      <c r="J6" s="1682" t="s">
        <v>3796</v>
      </c>
      <c r="K6" s="1682" t="s">
        <v>3797</v>
      </c>
      <c r="L6" s="1681" t="s">
        <v>158</v>
      </c>
      <c r="M6" s="2858"/>
      <c r="O6" s="1688" t="s">
        <v>3728</v>
      </c>
      <c r="P6" s="1682" t="s">
        <v>3796</v>
      </c>
      <c r="Q6" s="1682" t="s">
        <v>3797</v>
      </c>
      <c r="R6" s="1681" t="s">
        <v>158</v>
      </c>
      <c r="S6" s="2858"/>
      <c r="U6" s="1688" t="s">
        <v>3728</v>
      </c>
      <c r="V6" s="1682" t="s">
        <v>3796</v>
      </c>
      <c r="W6" s="1682" t="s">
        <v>3797</v>
      </c>
      <c r="X6" s="1681" t="s">
        <v>158</v>
      </c>
      <c r="Y6" s="2858"/>
      <c r="AA6" s="1688" t="s">
        <v>3728</v>
      </c>
      <c r="AB6" s="1682" t="s">
        <v>3796</v>
      </c>
      <c r="AC6" s="1682" t="s">
        <v>3797</v>
      </c>
      <c r="AD6" s="1681" t="s">
        <v>158</v>
      </c>
      <c r="AE6" s="2858"/>
      <c r="AG6" s="1688" t="s">
        <v>3728</v>
      </c>
      <c r="AH6" s="1682" t="s">
        <v>3796</v>
      </c>
      <c r="AI6" s="1682" t="s">
        <v>3797</v>
      </c>
      <c r="AJ6" s="1681" t="s">
        <v>158</v>
      </c>
      <c r="AK6" s="2858"/>
      <c r="AM6" s="1688" t="s">
        <v>3728</v>
      </c>
      <c r="AN6" s="1682" t="s">
        <v>3796</v>
      </c>
      <c r="AO6" s="1682" t="s">
        <v>3797</v>
      </c>
      <c r="AP6" s="1681" t="s">
        <v>158</v>
      </c>
      <c r="AQ6" s="2858"/>
      <c r="AS6" s="1688" t="s">
        <v>3728</v>
      </c>
      <c r="AT6" s="1682" t="s">
        <v>3796</v>
      </c>
      <c r="AU6" s="1682" t="s">
        <v>3797</v>
      </c>
      <c r="AV6" s="1681" t="s">
        <v>158</v>
      </c>
      <c r="AW6" s="2858"/>
      <c r="AY6" s="1688" t="s">
        <v>3728</v>
      </c>
      <c r="AZ6" s="1682" t="s">
        <v>3796</v>
      </c>
      <c r="BA6" s="1682" t="s">
        <v>3797</v>
      </c>
      <c r="BB6" s="1681" t="s">
        <v>158</v>
      </c>
      <c r="BC6" s="2858"/>
      <c r="BE6" s="1688" t="s">
        <v>3728</v>
      </c>
      <c r="BF6" s="1682" t="s">
        <v>3796</v>
      </c>
      <c r="BG6" s="1682" t="s">
        <v>3797</v>
      </c>
      <c r="BH6" s="1681" t="s">
        <v>158</v>
      </c>
      <c r="BI6" s="2858"/>
      <c r="BK6" s="1688" t="s">
        <v>3728</v>
      </c>
      <c r="BL6" s="1682" t="s">
        <v>3796</v>
      </c>
      <c r="BM6" s="1682" t="s">
        <v>3797</v>
      </c>
      <c r="BN6" s="1681" t="s">
        <v>158</v>
      </c>
      <c r="BO6" s="1683"/>
      <c r="BP6" s="1709"/>
      <c r="BQ6" s="1688" t="s">
        <v>3728</v>
      </c>
      <c r="BR6" s="1682" t="s">
        <v>3796</v>
      </c>
      <c r="BS6" s="1682" t="s">
        <v>3797</v>
      </c>
      <c r="BT6" s="1681" t="s">
        <v>158</v>
      </c>
      <c r="BU6" s="1683"/>
      <c r="BV6" s="1709"/>
      <c r="BW6" s="2858"/>
      <c r="BX6" s="2913"/>
    </row>
    <row r="7" spans="1:82" ht="15.75" thickBot="1" x14ac:dyDescent="0.3">
      <c r="A7" s="1931"/>
      <c r="B7" s="2325" t="s">
        <v>3775</v>
      </c>
      <c r="C7" s="1903">
        <f>SUM(C8:C55)</f>
        <v>1246650</v>
      </c>
      <c r="D7" s="1684">
        <f>SUM(D8:D57)</f>
        <v>1466487.7000000002</v>
      </c>
      <c r="E7" s="1904">
        <f>D7-C7</f>
        <v>219837.70000000019</v>
      </c>
      <c r="F7" s="1905">
        <f>((D7/C7)-1)*100</f>
        <v>17.634275859302949</v>
      </c>
      <c r="G7" s="1921"/>
      <c r="H7" s="2245"/>
      <c r="I7" s="1903">
        <f>SUM(I8:I57)</f>
        <v>1247950</v>
      </c>
      <c r="J7" s="1684">
        <f>SUM(J8:J57)</f>
        <v>1151486.6300000001</v>
      </c>
      <c r="K7" s="1904">
        <f>J7-I7</f>
        <v>-96463.369999999879</v>
      </c>
      <c r="L7" s="1905">
        <f>((J7/I7)-1)*100</f>
        <v>-7.7297463840698688</v>
      </c>
      <c r="M7" s="1921"/>
      <c r="N7" s="2245"/>
      <c r="O7" s="1903">
        <f>SUM(O8:O57)</f>
        <v>1398650</v>
      </c>
      <c r="P7" s="1684">
        <f>SUM(P8:P57)</f>
        <v>1727853.36</v>
      </c>
      <c r="Q7" s="1904">
        <f>P7-O7</f>
        <v>329203.3600000001</v>
      </c>
      <c r="R7" s="1905">
        <f>((P7/O7)-1)*100</f>
        <v>23.537222321524332</v>
      </c>
      <c r="S7" s="1921"/>
      <c r="T7" s="2245"/>
      <c r="U7" s="1925">
        <f>SUM(U8:U57)</f>
        <v>1398650</v>
      </c>
      <c r="V7" s="1684">
        <f>SUM(V8:V57)</f>
        <v>0</v>
      </c>
      <c r="W7" s="1904">
        <f>V7-U7</f>
        <v>-1398650</v>
      </c>
      <c r="X7" s="1905">
        <f>((V7/U7)-1)*100</f>
        <v>-100</v>
      </c>
      <c r="Y7" s="1921"/>
      <c r="Z7" s="2245"/>
      <c r="AA7" s="1903">
        <f>SUM(AA8:AA57)</f>
        <v>1404110</v>
      </c>
      <c r="AB7" s="1684">
        <f>SUM(AB8:AB57)</f>
        <v>0</v>
      </c>
      <c r="AC7" s="1904">
        <f>AB7-AA7</f>
        <v>-1404110</v>
      </c>
      <c r="AD7" s="1905">
        <f>((AB7/AA7)-1)*100</f>
        <v>-100</v>
      </c>
      <c r="AE7" s="1921"/>
      <c r="AF7" s="2245"/>
      <c r="AG7" s="1925">
        <f>SUM(AG8:AG57)</f>
        <v>1407150</v>
      </c>
      <c r="AH7" s="1684">
        <f>SUM(AH8:AH57)</f>
        <v>0</v>
      </c>
      <c r="AI7" s="1904">
        <f>AH7-AG7</f>
        <v>-1407150</v>
      </c>
      <c r="AJ7" s="1905">
        <f>((AH7/AG7)-1)*100</f>
        <v>-100</v>
      </c>
      <c r="AK7" s="1921"/>
      <c r="AL7" s="2245"/>
      <c r="AM7" s="1925">
        <f>SUM(AM8:AM57)</f>
        <v>1407150</v>
      </c>
      <c r="AN7" s="1684">
        <f>SUM(AN8:AN57)</f>
        <v>0</v>
      </c>
      <c r="AO7" s="1904">
        <f>AN7-AM7</f>
        <v>-1407150</v>
      </c>
      <c r="AP7" s="1905">
        <f>((AN7/AM7)-1)*100</f>
        <v>-100</v>
      </c>
      <c r="AQ7" s="1921"/>
      <c r="AR7" s="2245"/>
      <c r="AS7" s="1903">
        <f>SUM(AS8:AS57)</f>
        <v>1409150</v>
      </c>
      <c r="AT7" s="1684">
        <f>SUM(AT8:AT57)</f>
        <v>0</v>
      </c>
      <c r="AU7" s="1904">
        <f>AT7-AS7</f>
        <v>-1409150</v>
      </c>
      <c r="AV7" s="1905">
        <f>((AT7/AS7)-1)*100</f>
        <v>-100</v>
      </c>
      <c r="AW7" s="1921"/>
      <c r="AX7" s="2245"/>
      <c r="AY7" s="1903">
        <f>SUM(AY8:AY57)</f>
        <v>1409150</v>
      </c>
      <c r="AZ7" s="1684">
        <f>SUM(AZ8:AZ57)</f>
        <v>0</v>
      </c>
      <c r="BA7" s="1904">
        <f>AZ7-AY7</f>
        <v>-1409150</v>
      </c>
      <c r="BB7" s="1905">
        <f>((AZ7/AY7)-1)*100</f>
        <v>-100</v>
      </c>
      <c r="BC7" s="1921"/>
      <c r="BD7" s="2245"/>
      <c r="BE7" s="1903">
        <f>SUM(BE8:BE57)</f>
        <v>1409150</v>
      </c>
      <c r="BF7" s="1684">
        <f>SUM(BF8:BF57)</f>
        <v>0</v>
      </c>
      <c r="BG7" s="1904">
        <f>BF7-BE7</f>
        <v>-1409150</v>
      </c>
      <c r="BH7" s="1905">
        <f>((BF7/BE7)-1)*100</f>
        <v>-100</v>
      </c>
      <c r="BI7" s="1921"/>
      <c r="BJ7" s="2245"/>
      <c r="BK7" s="1903">
        <f>SUM(BK8:BK57)</f>
        <v>1409150</v>
      </c>
      <c r="BL7" s="1684">
        <f>SUM(BL8:BL57)</f>
        <v>0</v>
      </c>
      <c r="BM7" s="1904">
        <f>BL7-BK7</f>
        <v>-1409150</v>
      </c>
      <c r="BN7" s="1905">
        <f>((BL7/BK7)-1)*100</f>
        <v>-100</v>
      </c>
      <c r="BO7" s="1921"/>
      <c r="BQ7" s="1903">
        <f>SUM(BQ8:BQ57)</f>
        <v>1409150</v>
      </c>
      <c r="BR7" s="1684">
        <f>SUM(BR8:BR57)</f>
        <v>0</v>
      </c>
      <c r="BS7" s="1904">
        <f>BR7-BQ7</f>
        <v>-1409150</v>
      </c>
      <c r="BT7" s="1905">
        <f>((BR7/BQ7)-1)*100</f>
        <v>-100</v>
      </c>
      <c r="BU7" s="1921"/>
      <c r="BW7" s="1921">
        <f>C7+I7+O7+U7+AA7+AG7+AM7+AS7+AY7+BE7+BK7+BQ7</f>
        <v>16556060</v>
      </c>
      <c r="BX7" s="1905">
        <f>D7+J7+P7+V7+AB7+AH7+AN7+AT7+AZ7+BF7+BL7+BR7</f>
        <v>4345827.6900000004</v>
      </c>
      <c r="BY7" s="2324"/>
    </row>
    <row r="8" spans="1:82" x14ac:dyDescent="0.25">
      <c r="A8" s="2138">
        <v>33248</v>
      </c>
      <c r="B8" s="2326" t="s">
        <v>221</v>
      </c>
      <c r="C8" s="1756">
        <v>-65000</v>
      </c>
      <c r="D8" s="1757">
        <v>-80753</v>
      </c>
      <c r="E8" s="1757">
        <f t="shared" ref="E8:E53" si="0">D8-C8</f>
        <v>-15753</v>
      </c>
      <c r="F8" s="1761">
        <f t="shared" ref="F8:F9" si="1">((D8/C8)-1)*100</f>
        <v>24.235384615384614</v>
      </c>
      <c r="G8" s="1761"/>
      <c r="H8" s="1724"/>
      <c r="I8" s="1756">
        <f>C8</f>
        <v>-65000</v>
      </c>
      <c r="J8" s="1757">
        <v>-80792.39</v>
      </c>
      <c r="K8" s="1757">
        <f t="shared" ref="K8:K10" si="2">J8-I8</f>
        <v>-15792.39</v>
      </c>
      <c r="L8" s="1761">
        <f t="shared" ref="L8:L9" si="3">((J8/I8)-1)*100</f>
        <v>24.295984615384626</v>
      </c>
      <c r="M8" s="1761"/>
      <c r="N8" s="1724"/>
      <c r="O8" s="1756">
        <f>I8</f>
        <v>-65000</v>
      </c>
      <c r="P8" s="1757">
        <v>-86684.56</v>
      </c>
      <c r="Q8" s="1757">
        <f t="shared" ref="Q8:Q10" si="4">P8-O8</f>
        <v>-21684.559999999998</v>
      </c>
      <c r="R8" s="1761">
        <f t="shared" ref="R8:R9" si="5">((P8/O8)-1)*100</f>
        <v>33.360861538461542</v>
      </c>
      <c r="S8" s="1761"/>
      <c r="T8" s="1724"/>
      <c r="U8" s="1756">
        <f>O8</f>
        <v>-65000</v>
      </c>
      <c r="V8" s="1757"/>
      <c r="W8" s="1757">
        <f t="shared" ref="W8:W10" si="6">V8-U8</f>
        <v>65000</v>
      </c>
      <c r="X8" s="1761">
        <f t="shared" ref="X8:X9" si="7">((V8/U8)-1)*100</f>
        <v>-100</v>
      </c>
      <c r="Y8" s="1761"/>
      <c r="Z8" s="1724"/>
      <c r="AA8" s="1756">
        <f>U8</f>
        <v>-65000</v>
      </c>
      <c r="AB8" s="1757"/>
      <c r="AC8" s="1757">
        <f t="shared" ref="AC8:AC10" si="8">AB8-AA8</f>
        <v>65000</v>
      </c>
      <c r="AD8" s="1761">
        <f t="shared" ref="AD8:AD9" si="9">((AB8/AA8)-1)*100</f>
        <v>-100</v>
      </c>
      <c r="AE8" s="1761"/>
      <c r="AF8" s="1724"/>
      <c r="AG8" s="1756">
        <f>AA8</f>
        <v>-65000</v>
      </c>
      <c r="AH8" s="1757"/>
      <c r="AI8" s="1757">
        <f t="shared" ref="AI8:AI10" si="10">AH8-AG8</f>
        <v>65000</v>
      </c>
      <c r="AJ8" s="1761">
        <f t="shared" ref="AJ8:AJ9" si="11">((AH8/AG8)-1)*100</f>
        <v>-100</v>
      </c>
      <c r="AK8" s="1761"/>
      <c r="AL8" s="1724"/>
      <c r="AM8" s="1756">
        <f>AG8</f>
        <v>-65000</v>
      </c>
      <c r="AN8" s="1757"/>
      <c r="AO8" s="1757">
        <f t="shared" ref="AO8:AO10" si="12">AN8-AM8</f>
        <v>65000</v>
      </c>
      <c r="AP8" s="1761">
        <f t="shared" ref="AP8:AP9" si="13">((AN8/AM8)-1)*100</f>
        <v>-100</v>
      </c>
      <c r="AQ8" s="1761"/>
      <c r="AR8" s="1724"/>
      <c r="AS8" s="1756">
        <f>AM8</f>
        <v>-65000</v>
      </c>
      <c r="AT8" s="1757"/>
      <c r="AU8" s="1757">
        <f t="shared" ref="AU8:AU10" si="14">AT8-AS8</f>
        <v>65000</v>
      </c>
      <c r="AV8" s="1761">
        <f t="shared" ref="AV8:AV9" si="15">((AT8/AS8)-1)*100</f>
        <v>-100</v>
      </c>
      <c r="AW8" s="1761"/>
      <c r="AX8" s="1724"/>
      <c r="AY8" s="1756">
        <f>AS8</f>
        <v>-65000</v>
      </c>
      <c r="AZ8" s="1757"/>
      <c r="BA8" s="1757">
        <f t="shared" ref="BA8:BA10" si="16">AZ8-AY8</f>
        <v>65000</v>
      </c>
      <c r="BB8" s="1761">
        <f t="shared" ref="BB8:BB9" si="17">((AZ8/AY8)-1)*100</f>
        <v>-100</v>
      </c>
      <c r="BC8" s="1761"/>
      <c r="BD8" s="1724"/>
      <c r="BE8" s="1756">
        <f>AY8</f>
        <v>-65000</v>
      </c>
      <c r="BF8" s="1757"/>
      <c r="BG8" s="1757">
        <f t="shared" ref="BG8:BG10" si="18">BF8-BE8</f>
        <v>65000</v>
      </c>
      <c r="BH8" s="1761">
        <f t="shared" ref="BH8:BH9" si="19">((BF8/BE8)-1)*100</f>
        <v>-100</v>
      </c>
      <c r="BI8" s="1761"/>
      <c r="BJ8" s="1724"/>
      <c r="BK8" s="1756">
        <f>BE8</f>
        <v>-65000</v>
      </c>
      <c r="BL8" s="1757"/>
      <c r="BM8" s="1757">
        <f t="shared" ref="BM8:BM10" si="20">BL8-BK8</f>
        <v>65000</v>
      </c>
      <c r="BN8" s="1761">
        <f t="shared" ref="BN8:BN9" si="21">((BL8/BK8)-1)*100</f>
        <v>-100</v>
      </c>
      <c r="BO8" s="1761"/>
      <c r="BQ8" s="1756">
        <f>BK8</f>
        <v>-65000</v>
      </c>
      <c r="BR8" s="1757"/>
      <c r="BS8" s="1757">
        <f t="shared" ref="BS8:BS10" si="22">BR8-BQ8</f>
        <v>65000</v>
      </c>
      <c r="BT8" s="1761">
        <f t="shared" ref="BT8:BT9" si="23">((BR8/BQ8)-1)*100</f>
        <v>-100</v>
      </c>
      <c r="BU8" s="1761"/>
      <c r="BW8" s="1758">
        <f>C8+I8+O8+U8+AA8+AG8+AM8+AS8+AY8+BE8+BK8+BP8</f>
        <v>-715000</v>
      </c>
      <c r="BX8" s="1761">
        <f>D8+J8+P8+V8+AB8+AH8+AN8+AT8+AZ8+BF8+BL8+BR8</f>
        <v>-248229.95</v>
      </c>
    </row>
    <row r="9" spans="1:82" x14ac:dyDescent="0.25">
      <c r="A9" s="2138">
        <v>11563</v>
      </c>
      <c r="B9" s="2327" t="s">
        <v>3679</v>
      </c>
      <c r="C9" s="1765">
        <v>125000</v>
      </c>
      <c r="D9" s="1766">
        <v>132260</v>
      </c>
      <c r="E9" s="1766">
        <f t="shared" si="0"/>
        <v>7260</v>
      </c>
      <c r="F9" s="1770">
        <f t="shared" si="1"/>
        <v>5.8079999999999909</v>
      </c>
      <c r="G9" s="1770"/>
      <c r="H9" s="1724"/>
      <c r="I9" s="1765">
        <v>126300</v>
      </c>
      <c r="J9" s="1766">
        <v>109328.94</v>
      </c>
      <c r="K9" s="1766">
        <f t="shared" si="2"/>
        <v>-16971.059999999998</v>
      </c>
      <c r="L9" s="1770">
        <f t="shared" si="3"/>
        <v>-13.437102137767221</v>
      </c>
      <c r="M9" s="1770"/>
      <c r="N9" s="1724"/>
      <c r="O9" s="1765">
        <v>127000</v>
      </c>
      <c r="P9" s="1766">
        <v>163036.5</v>
      </c>
      <c r="Q9" s="1766">
        <f t="shared" si="4"/>
        <v>36036.5</v>
      </c>
      <c r="R9" s="1770">
        <f t="shared" si="5"/>
        <v>28.375196850393692</v>
      </c>
      <c r="S9" s="1770"/>
      <c r="T9" s="1724"/>
      <c r="U9" s="1765">
        <v>127000</v>
      </c>
      <c r="V9" s="1766"/>
      <c r="W9" s="1766">
        <f t="shared" si="6"/>
        <v>-127000</v>
      </c>
      <c r="X9" s="1770">
        <f t="shared" si="7"/>
        <v>-100</v>
      </c>
      <c r="Y9" s="1770"/>
      <c r="Z9" s="1724"/>
      <c r="AA9" s="1765">
        <v>132200</v>
      </c>
      <c r="AB9" s="1766"/>
      <c r="AC9" s="1766">
        <f t="shared" si="8"/>
        <v>-132200</v>
      </c>
      <c r="AD9" s="1770">
        <f t="shared" si="9"/>
        <v>-100</v>
      </c>
      <c r="AE9" s="1770"/>
      <c r="AF9" s="1724"/>
      <c r="AG9" s="1765">
        <v>135500</v>
      </c>
      <c r="AH9" s="1766"/>
      <c r="AI9" s="1766">
        <f t="shared" si="10"/>
        <v>-135500</v>
      </c>
      <c r="AJ9" s="1770">
        <f t="shared" si="11"/>
        <v>-100</v>
      </c>
      <c r="AK9" s="1770"/>
      <c r="AL9" s="1724"/>
      <c r="AM9" s="1765">
        <v>135500</v>
      </c>
      <c r="AN9" s="1766"/>
      <c r="AO9" s="1766">
        <f t="shared" si="12"/>
        <v>-135500</v>
      </c>
      <c r="AP9" s="1770">
        <f t="shared" si="13"/>
        <v>-100</v>
      </c>
      <c r="AQ9" s="1770"/>
      <c r="AR9" s="1724"/>
      <c r="AS9" s="1765">
        <v>137500</v>
      </c>
      <c r="AT9" s="1766"/>
      <c r="AU9" s="1766">
        <f t="shared" si="14"/>
        <v>-137500</v>
      </c>
      <c r="AV9" s="1770">
        <f t="shared" si="15"/>
        <v>-100</v>
      </c>
      <c r="AW9" s="1770"/>
      <c r="AX9" s="1724"/>
      <c r="AY9" s="1765">
        <v>137500</v>
      </c>
      <c r="AZ9" s="1766"/>
      <c r="BA9" s="1766">
        <f t="shared" si="16"/>
        <v>-137500</v>
      </c>
      <c r="BB9" s="1770">
        <f t="shared" si="17"/>
        <v>-100</v>
      </c>
      <c r="BC9" s="1770"/>
      <c r="BD9" s="1724"/>
      <c r="BE9" s="1765">
        <v>137500</v>
      </c>
      <c r="BF9" s="1766"/>
      <c r="BG9" s="1766">
        <f t="shared" si="18"/>
        <v>-137500</v>
      </c>
      <c r="BH9" s="1770">
        <f t="shared" si="19"/>
        <v>-100</v>
      </c>
      <c r="BI9" s="1770"/>
      <c r="BJ9" s="1724"/>
      <c r="BK9" s="1765">
        <v>137500</v>
      </c>
      <c r="BL9" s="1766"/>
      <c r="BM9" s="1766">
        <f t="shared" si="20"/>
        <v>-137500</v>
      </c>
      <c r="BN9" s="1770">
        <f t="shared" si="21"/>
        <v>-100</v>
      </c>
      <c r="BO9" s="1770"/>
      <c r="BQ9" s="1765">
        <v>137500</v>
      </c>
      <c r="BR9" s="1766"/>
      <c r="BS9" s="1766">
        <f t="shared" si="22"/>
        <v>-137500</v>
      </c>
      <c r="BT9" s="1770">
        <f t="shared" si="23"/>
        <v>-100</v>
      </c>
      <c r="BU9" s="1770"/>
      <c r="BW9" s="1767">
        <f>C9+I9+O9+U9+AA9+AG9+AM9+AS9+AY9+BE9+BK9+BQ9</f>
        <v>1596000</v>
      </c>
      <c r="BX9" s="1770">
        <f>D9+J9+P9+V9+AB9+AH9+AN9+AT9+AZ9+BF9+BL9+BR9</f>
        <v>404625.44</v>
      </c>
    </row>
    <row r="10" spans="1:82" ht="15.75" thickBot="1" x14ac:dyDescent="0.3">
      <c r="A10" s="2135">
        <v>11761</v>
      </c>
      <c r="B10" s="2328" t="s">
        <v>99</v>
      </c>
      <c r="C10" s="2247">
        <v>8000</v>
      </c>
      <c r="D10" s="2248">
        <v>6785.13</v>
      </c>
      <c r="E10" s="2248">
        <f t="shared" si="0"/>
        <v>-1214.8699999999999</v>
      </c>
      <c r="F10" s="2251">
        <f>((D10/C10)-1)*100</f>
        <v>-15.185874999999992</v>
      </c>
      <c r="G10" s="2251"/>
      <c r="H10" s="1724"/>
      <c r="I10" s="2247">
        <f t="shared" ref="I10:I53" si="24">C10</f>
        <v>8000</v>
      </c>
      <c r="J10" s="2248">
        <v>6785.13</v>
      </c>
      <c r="K10" s="2248">
        <f t="shared" si="2"/>
        <v>-1214.8699999999999</v>
      </c>
      <c r="L10" s="2251">
        <f>((J10/I10)-1)*100</f>
        <v>-15.185874999999992</v>
      </c>
      <c r="M10" s="2251"/>
      <c r="N10" s="1724"/>
      <c r="O10" s="2247">
        <f t="shared" ref="O10:O33" si="25">I10</f>
        <v>8000</v>
      </c>
      <c r="P10" s="2248">
        <v>6785.13</v>
      </c>
      <c r="Q10" s="2248">
        <f t="shared" si="4"/>
        <v>-1214.8699999999999</v>
      </c>
      <c r="R10" s="2251">
        <f>((P10/O10)-1)*100</f>
        <v>-15.185874999999992</v>
      </c>
      <c r="S10" s="2251"/>
      <c r="T10" s="1724"/>
      <c r="U10" s="2247">
        <f t="shared" ref="U10:U53" si="26">O10</f>
        <v>8000</v>
      </c>
      <c r="V10" s="2248"/>
      <c r="W10" s="2248">
        <f t="shared" si="6"/>
        <v>-8000</v>
      </c>
      <c r="X10" s="2251">
        <f>((V10/U10)-1)*100</f>
        <v>-100</v>
      </c>
      <c r="Y10" s="2251"/>
      <c r="Z10" s="1724"/>
      <c r="AA10" s="2247">
        <f t="shared" ref="AA10:AA47" si="27">U10</f>
        <v>8000</v>
      </c>
      <c r="AB10" s="2248"/>
      <c r="AC10" s="2248">
        <f t="shared" si="8"/>
        <v>-8000</v>
      </c>
      <c r="AD10" s="2251">
        <f>((AB10/AA10)-1)*100</f>
        <v>-100</v>
      </c>
      <c r="AE10" s="2251"/>
      <c r="AF10" s="1724"/>
      <c r="AG10" s="2247">
        <f t="shared" ref="AG10:AG47" si="28">AA10</f>
        <v>8000</v>
      </c>
      <c r="AH10" s="2248"/>
      <c r="AI10" s="2248">
        <f t="shared" si="10"/>
        <v>-8000</v>
      </c>
      <c r="AJ10" s="2251">
        <f>((AH10/AG10)-1)*100</f>
        <v>-100</v>
      </c>
      <c r="AK10" s="2251"/>
      <c r="AL10" s="1724"/>
      <c r="AM10" s="2247">
        <f t="shared" ref="AM10:AM47" si="29">AG10</f>
        <v>8000</v>
      </c>
      <c r="AN10" s="2248"/>
      <c r="AO10" s="2248">
        <f t="shared" si="12"/>
        <v>-8000</v>
      </c>
      <c r="AP10" s="2251">
        <f>((AN10/AM10)-1)*100</f>
        <v>-100</v>
      </c>
      <c r="AQ10" s="2251"/>
      <c r="AR10" s="1724"/>
      <c r="AS10" s="2247">
        <f t="shared" ref="AS10:AS47" si="30">AM10</f>
        <v>8000</v>
      </c>
      <c r="AT10" s="2248"/>
      <c r="AU10" s="2248">
        <f t="shared" si="14"/>
        <v>-8000</v>
      </c>
      <c r="AV10" s="2251">
        <f>((AT10/AS10)-1)*100</f>
        <v>-100</v>
      </c>
      <c r="AW10" s="2251"/>
      <c r="AX10" s="1724"/>
      <c r="AY10" s="2247">
        <f t="shared" ref="AY10:AY47" si="31">AS10</f>
        <v>8000</v>
      </c>
      <c r="AZ10" s="2248"/>
      <c r="BA10" s="2248">
        <f t="shared" si="16"/>
        <v>-8000</v>
      </c>
      <c r="BB10" s="2251">
        <f>((AZ10/AY10)-1)*100</f>
        <v>-100</v>
      </c>
      <c r="BC10" s="2251"/>
      <c r="BD10" s="1724"/>
      <c r="BE10" s="2247">
        <f t="shared" ref="BE10:BE47" si="32">AY10</f>
        <v>8000</v>
      </c>
      <c r="BF10" s="2248"/>
      <c r="BG10" s="2248">
        <f t="shared" si="18"/>
        <v>-8000</v>
      </c>
      <c r="BH10" s="2251">
        <f>((BF10/BE10)-1)*100</f>
        <v>-100</v>
      </c>
      <c r="BI10" s="2251"/>
      <c r="BJ10" s="1724"/>
      <c r="BK10" s="2247">
        <f t="shared" ref="BK10:BK11" si="33">BE10</f>
        <v>8000</v>
      </c>
      <c r="BL10" s="2248"/>
      <c r="BM10" s="2248">
        <f t="shared" si="20"/>
        <v>-8000</v>
      </c>
      <c r="BN10" s="2251">
        <f>((BL10/BK10)-1)*100</f>
        <v>-100</v>
      </c>
      <c r="BO10" s="2251"/>
      <c r="BQ10" s="2247">
        <f t="shared" ref="BQ10:BQ11" si="34">BK10</f>
        <v>8000</v>
      </c>
      <c r="BR10" s="2248"/>
      <c r="BS10" s="2248">
        <f t="shared" si="22"/>
        <v>-8000</v>
      </c>
      <c r="BT10" s="2251">
        <f>((BR10/BQ10)-1)*100</f>
        <v>-100</v>
      </c>
      <c r="BU10" s="2251"/>
      <c r="BW10" s="1774">
        <f>C10+I10+O10+U10+AA10+AG10+AM10+AS10+AY10+BE10+BK10+BQ10</f>
        <v>96000</v>
      </c>
      <c r="BX10" s="2322">
        <f>D10+J10+P10+V10+AB10+AH10+AN10+AT10+AZ10+BF10+BL10+BR10</f>
        <v>20355.39</v>
      </c>
      <c r="CD10" s="2365"/>
    </row>
    <row r="11" spans="1:82" x14ac:dyDescent="0.25">
      <c r="A11" s="2134">
        <v>11195</v>
      </c>
      <c r="B11" s="2326" t="s">
        <v>3880</v>
      </c>
      <c r="C11" s="2837">
        <v>2000</v>
      </c>
      <c r="D11" s="1757">
        <v>-8.89</v>
      </c>
      <c r="E11" s="2878">
        <f>D11+D12+D13+D14+D15-C11</f>
        <v>-1122.25</v>
      </c>
      <c r="F11" s="2880">
        <f>((SUM(D11:D15)/C11)-1)*100</f>
        <v>-56.112499999999997</v>
      </c>
      <c r="G11" s="2253"/>
      <c r="H11" s="1724"/>
      <c r="I11" s="2837">
        <f t="shared" si="24"/>
        <v>2000</v>
      </c>
      <c r="J11" s="1757">
        <v>-43.25</v>
      </c>
      <c r="K11" s="2878">
        <f>J11+J12+J13+J14+J15-I11</f>
        <v>-2922.69</v>
      </c>
      <c r="L11" s="2880">
        <f>((SUM(J11:J15)/I11)-1)*100</f>
        <v>-146.1345</v>
      </c>
      <c r="M11" s="2253"/>
      <c r="N11" s="1724"/>
      <c r="O11" s="2837">
        <f t="shared" si="25"/>
        <v>2000</v>
      </c>
      <c r="P11" s="1757">
        <v>448.37</v>
      </c>
      <c r="Q11" s="2878">
        <f>P11+P12+P13+P14+P15-O11</f>
        <v>9729.17</v>
      </c>
      <c r="R11" s="2880">
        <f>((SUM(P11:P15)/O11)-1)*100</f>
        <v>486.45850000000002</v>
      </c>
      <c r="S11" s="2253"/>
      <c r="T11" s="1724"/>
      <c r="U11" s="2837">
        <f t="shared" si="26"/>
        <v>2000</v>
      </c>
      <c r="V11" s="1757"/>
      <c r="W11" s="2878">
        <f>V11+V12+V13+V14+V15-U11</f>
        <v>-2000</v>
      </c>
      <c r="X11" s="2880">
        <f>((SUM(V11:V15)/U11)-1)*100</f>
        <v>-100</v>
      </c>
      <c r="Y11" s="2253"/>
      <c r="Z11" s="1724"/>
      <c r="AA11" s="2837">
        <f t="shared" si="27"/>
        <v>2000</v>
      </c>
      <c r="AB11" s="1757"/>
      <c r="AC11" s="2878">
        <f>AB11+AB12+AB13+AB14+AB15-AA11</f>
        <v>-2000</v>
      </c>
      <c r="AD11" s="2880">
        <f>((SUM(AB11:AB15)/AA11)-1)*100</f>
        <v>-100</v>
      </c>
      <c r="AE11" s="2253"/>
      <c r="AF11" s="1724"/>
      <c r="AG11" s="2837">
        <f t="shared" si="28"/>
        <v>2000</v>
      </c>
      <c r="AH11" s="1757"/>
      <c r="AI11" s="2878">
        <f>AH11+AH12+AH13+AH14+AH15-AG11</f>
        <v>-2000</v>
      </c>
      <c r="AJ11" s="2880">
        <f>((SUM(AH11:AH15)/AG11)-1)*100</f>
        <v>-100</v>
      </c>
      <c r="AK11" s="2253"/>
      <c r="AL11" s="1724"/>
      <c r="AM11" s="2837">
        <f t="shared" si="29"/>
        <v>2000</v>
      </c>
      <c r="AN11" s="1757"/>
      <c r="AO11" s="2878">
        <f>AN11+AN12+AN13+AN14+AN15-AM11</f>
        <v>-2000</v>
      </c>
      <c r="AP11" s="2880">
        <f>((SUM(AN11:AN15)/AM11)-1)*100</f>
        <v>-100</v>
      </c>
      <c r="AQ11" s="2253"/>
      <c r="AR11" s="1724"/>
      <c r="AS11" s="2837">
        <f t="shared" si="30"/>
        <v>2000</v>
      </c>
      <c r="AT11" s="1757"/>
      <c r="AU11" s="2878">
        <f>AT11+AT12+AT13+AT14+AT15-AS11</f>
        <v>-2000</v>
      </c>
      <c r="AV11" s="2880">
        <f>((SUM(AT11:AT15)/AS11)-1)*100</f>
        <v>-100</v>
      </c>
      <c r="AW11" s="2253"/>
      <c r="AX11" s="1724"/>
      <c r="AY11" s="2837">
        <f t="shared" si="31"/>
        <v>2000</v>
      </c>
      <c r="AZ11" s="1757"/>
      <c r="BA11" s="2878">
        <f>AZ11+AZ12+AZ13+AZ14+AZ15-AY11</f>
        <v>-2000</v>
      </c>
      <c r="BB11" s="2880">
        <f>((SUM(AZ11:AZ15)/AY11)-1)*100</f>
        <v>-100</v>
      </c>
      <c r="BC11" s="2253"/>
      <c r="BD11" s="1724"/>
      <c r="BE11" s="2837">
        <f t="shared" si="32"/>
        <v>2000</v>
      </c>
      <c r="BF11" s="1757"/>
      <c r="BG11" s="2878">
        <f>BF11+BF12+BF13+BF14+BF15-BE11</f>
        <v>-2000</v>
      </c>
      <c r="BH11" s="2880">
        <f>((SUM(BF11:BF15)/BE11)-1)*100</f>
        <v>-100</v>
      </c>
      <c r="BI11" s="2253"/>
      <c r="BJ11" s="1724"/>
      <c r="BK11" s="2837">
        <f t="shared" si="33"/>
        <v>2000</v>
      </c>
      <c r="BL11" s="1757"/>
      <c r="BM11" s="2878">
        <f>BL11+BL12+BL13+BL14+BL15-BK11</f>
        <v>-2000</v>
      </c>
      <c r="BN11" s="2880">
        <f>((SUM(BL11:BL15)/BK11)-1)*100</f>
        <v>-100</v>
      </c>
      <c r="BO11" s="2253"/>
      <c r="BQ11" s="2837">
        <f t="shared" si="34"/>
        <v>2000</v>
      </c>
      <c r="BR11" s="1757"/>
      <c r="BS11" s="2878">
        <f>BR11+BR12+BR13+BR14+BR15-BQ11</f>
        <v>-2000</v>
      </c>
      <c r="BT11" s="2880">
        <f>((SUM(BR11:BR15)/BQ11)-1)*100</f>
        <v>-100</v>
      </c>
      <c r="BU11" s="2253"/>
      <c r="BW11" s="2809">
        <f>C11+I11+O11+U11+AA11+AG11+AM11+AS11+AY11+BE11+BK11+BQ11</f>
        <v>24000</v>
      </c>
      <c r="BX11" s="2918">
        <f>SUM(D11:D15)+SUM(J11:J15)+SUM(P11:P15)+SUM(V11:V15)+SUM(AB11:AB15)+SUM(AH11:AH15)+SUM(AN11:AN15)+SUM(AT11:AT15)+SUM(AZ11:AZ15)+SUM(BF11:BF15)+SUM(BL11:BL15)+SUM(BR11:BR15)</f>
        <v>11684.23</v>
      </c>
    </row>
    <row r="12" spans="1:82" x14ac:dyDescent="0.25">
      <c r="A12" s="2138">
        <v>11196</v>
      </c>
      <c r="B12" s="2327" t="s">
        <v>3881</v>
      </c>
      <c r="C12" s="2838"/>
      <c r="D12" s="1766">
        <v>303.27999999999997</v>
      </c>
      <c r="E12" s="2914"/>
      <c r="F12" s="2915"/>
      <c r="G12" s="2319"/>
      <c r="H12" s="1724"/>
      <c r="I12" s="2838"/>
      <c r="J12" s="1766">
        <v>-932.1</v>
      </c>
      <c r="K12" s="2914"/>
      <c r="L12" s="2915"/>
      <c r="M12" s="2319"/>
      <c r="N12" s="1724"/>
      <c r="O12" s="2838"/>
      <c r="P12" s="1766">
        <v>719.08</v>
      </c>
      <c r="Q12" s="2914"/>
      <c r="R12" s="2915"/>
      <c r="S12" s="2319"/>
      <c r="T12" s="1724"/>
      <c r="U12" s="2838"/>
      <c r="V12" s="1766"/>
      <c r="W12" s="2914"/>
      <c r="X12" s="2915"/>
      <c r="Y12" s="2319"/>
      <c r="Z12" s="1724"/>
      <c r="AA12" s="2838"/>
      <c r="AB12" s="1766"/>
      <c r="AC12" s="2914"/>
      <c r="AD12" s="2915"/>
      <c r="AE12" s="2319"/>
      <c r="AF12" s="1724"/>
      <c r="AG12" s="2838"/>
      <c r="AH12" s="1766"/>
      <c r="AI12" s="2914"/>
      <c r="AJ12" s="2915"/>
      <c r="AK12" s="2319"/>
      <c r="AL12" s="1724"/>
      <c r="AM12" s="2838"/>
      <c r="AN12" s="1766"/>
      <c r="AO12" s="2914"/>
      <c r="AP12" s="2915"/>
      <c r="AQ12" s="2319"/>
      <c r="AR12" s="1724"/>
      <c r="AS12" s="2838"/>
      <c r="AT12" s="1766"/>
      <c r="AU12" s="2914"/>
      <c r="AV12" s="2915"/>
      <c r="AW12" s="2319"/>
      <c r="AX12" s="1724"/>
      <c r="AY12" s="2838"/>
      <c r="AZ12" s="1766"/>
      <c r="BA12" s="2914"/>
      <c r="BB12" s="2915"/>
      <c r="BC12" s="2319"/>
      <c r="BD12" s="1724"/>
      <c r="BE12" s="2838"/>
      <c r="BF12" s="1766"/>
      <c r="BG12" s="2914"/>
      <c r="BH12" s="2915"/>
      <c r="BI12" s="2319"/>
      <c r="BJ12" s="1724"/>
      <c r="BK12" s="2838"/>
      <c r="BL12" s="1766"/>
      <c r="BM12" s="2914"/>
      <c r="BN12" s="2915"/>
      <c r="BO12" s="2319"/>
      <c r="BQ12" s="2838"/>
      <c r="BR12" s="1766"/>
      <c r="BS12" s="2914"/>
      <c r="BT12" s="2915"/>
      <c r="BU12" s="2319"/>
      <c r="BW12" s="2813"/>
      <c r="BX12" s="2919"/>
    </row>
    <row r="13" spans="1:82" x14ac:dyDescent="0.25">
      <c r="A13" s="2138">
        <v>32896</v>
      </c>
      <c r="B13" s="2327" t="s">
        <v>3879</v>
      </c>
      <c r="C13" s="2838"/>
      <c r="D13" s="1766">
        <v>460.25</v>
      </c>
      <c r="E13" s="2914"/>
      <c r="F13" s="2915"/>
      <c r="G13" s="2319"/>
      <c r="H13" s="1724"/>
      <c r="I13" s="2838"/>
      <c r="J13" s="1766">
        <v>48.77</v>
      </c>
      <c r="K13" s="2914"/>
      <c r="L13" s="2915"/>
      <c r="M13" s="2319"/>
      <c r="N13" s="1724"/>
      <c r="O13" s="2838"/>
      <c r="P13" s="1766">
        <v>10539.24</v>
      </c>
      <c r="Q13" s="2914"/>
      <c r="R13" s="2915"/>
      <c r="S13" s="2319"/>
      <c r="T13" s="1724"/>
      <c r="U13" s="2838"/>
      <c r="V13" s="1766"/>
      <c r="W13" s="2914"/>
      <c r="X13" s="2915"/>
      <c r="Y13" s="2319"/>
      <c r="Z13" s="1724"/>
      <c r="AA13" s="2838"/>
      <c r="AB13" s="1766"/>
      <c r="AC13" s="2914"/>
      <c r="AD13" s="2915"/>
      <c r="AE13" s="2319"/>
      <c r="AF13" s="1724"/>
      <c r="AG13" s="2838"/>
      <c r="AH13" s="1766"/>
      <c r="AI13" s="2914"/>
      <c r="AJ13" s="2915"/>
      <c r="AK13" s="2319"/>
      <c r="AL13" s="1724"/>
      <c r="AM13" s="2838"/>
      <c r="AN13" s="1766"/>
      <c r="AO13" s="2914"/>
      <c r="AP13" s="2915"/>
      <c r="AQ13" s="2319"/>
      <c r="AR13" s="1724"/>
      <c r="AS13" s="2838"/>
      <c r="AT13" s="1766"/>
      <c r="AU13" s="2914"/>
      <c r="AV13" s="2915"/>
      <c r="AW13" s="2319"/>
      <c r="AX13" s="1724"/>
      <c r="AY13" s="2838"/>
      <c r="AZ13" s="1766"/>
      <c r="BA13" s="2914"/>
      <c r="BB13" s="2915"/>
      <c r="BC13" s="2319"/>
      <c r="BD13" s="1724"/>
      <c r="BE13" s="2838"/>
      <c r="BF13" s="1766"/>
      <c r="BG13" s="2914"/>
      <c r="BH13" s="2915"/>
      <c r="BI13" s="2319"/>
      <c r="BJ13" s="1724"/>
      <c r="BK13" s="2838"/>
      <c r="BL13" s="1766"/>
      <c r="BM13" s="2914"/>
      <c r="BN13" s="2915"/>
      <c r="BO13" s="2319"/>
      <c r="BQ13" s="2838"/>
      <c r="BR13" s="1766"/>
      <c r="BS13" s="2914"/>
      <c r="BT13" s="2915"/>
      <c r="BU13" s="2319"/>
      <c r="BW13" s="2813"/>
      <c r="BX13" s="2919"/>
    </row>
    <row r="14" spans="1:82" x14ac:dyDescent="0.25">
      <c r="A14" s="2138">
        <v>32897</v>
      </c>
      <c r="B14" s="2327" t="s">
        <v>3882</v>
      </c>
      <c r="C14" s="2838"/>
      <c r="D14" s="1766">
        <v>-196.06</v>
      </c>
      <c r="E14" s="2914"/>
      <c r="F14" s="2915"/>
      <c r="G14" s="2319"/>
      <c r="H14" s="1724"/>
      <c r="I14" s="2838"/>
      <c r="J14" s="1766">
        <v>3.89</v>
      </c>
      <c r="K14" s="2914"/>
      <c r="L14" s="2915"/>
      <c r="M14" s="2319"/>
      <c r="N14" s="1724"/>
      <c r="O14" s="2838"/>
      <c r="P14" s="1766">
        <v>22.48</v>
      </c>
      <c r="Q14" s="2914"/>
      <c r="R14" s="2915"/>
      <c r="S14" s="2319"/>
      <c r="T14" s="1724"/>
      <c r="U14" s="2838"/>
      <c r="V14" s="1766"/>
      <c r="W14" s="2914"/>
      <c r="X14" s="2915"/>
      <c r="Y14" s="2319"/>
      <c r="Z14" s="1724"/>
      <c r="AA14" s="2838"/>
      <c r="AB14" s="1766"/>
      <c r="AC14" s="2914"/>
      <c r="AD14" s="2915"/>
      <c r="AE14" s="2319"/>
      <c r="AF14" s="1724"/>
      <c r="AG14" s="2838"/>
      <c r="AH14" s="1766"/>
      <c r="AI14" s="2914"/>
      <c r="AJ14" s="2915"/>
      <c r="AK14" s="2319"/>
      <c r="AL14" s="1724"/>
      <c r="AM14" s="2838"/>
      <c r="AN14" s="1766"/>
      <c r="AO14" s="2914"/>
      <c r="AP14" s="2915"/>
      <c r="AQ14" s="2319"/>
      <c r="AR14" s="1724"/>
      <c r="AS14" s="2838"/>
      <c r="AT14" s="1766"/>
      <c r="AU14" s="2914"/>
      <c r="AV14" s="2915"/>
      <c r="AW14" s="2319"/>
      <c r="AX14" s="1724"/>
      <c r="AY14" s="2838"/>
      <c r="AZ14" s="1766"/>
      <c r="BA14" s="2914"/>
      <c r="BB14" s="2915"/>
      <c r="BC14" s="2319"/>
      <c r="BD14" s="1724"/>
      <c r="BE14" s="2838"/>
      <c r="BF14" s="1766"/>
      <c r="BG14" s="2914"/>
      <c r="BH14" s="2915"/>
      <c r="BI14" s="2319"/>
      <c r="BJ14" s="1724"/>
      <c r="BK14" s="2838"/>
      <c r="BL14" s="1766"/>
      <c r="BM14" s="2914"/>
      <c r="BN14" s="2915"/>
      <c r="BO14" s="2319"/>
      <c r="BQ14" s="2838"/>
      <c r="BR14" s="1766"/>
      <c r="BS14" s="2914"/>
      <c r="BT14" s="2915"/>
      <c r="BU14" s="2319"/>
      <c r="BW14" s="2813"/>
      <c r="BX14" s="2919"/>
    </row>
    <row r="15" spans="1:82" ht="15.75" thickBot="1" x14ac:dyDescent="0.3">
      <c r="A15" s="2139">
        <v>11862</v>
      </c>
      <c r="B15" s="2329" t="s">
        <v>3883</v>
      </c>
      <c r="C15" s="2839"/>
      <c r="D15" s="1772">
        <v>319.17</v>
      </c>
      <c r="E15" s="2879"/>
      <c r="F15" s="2881"/>
      <c r="G15" s="2254"/>
      <c r="H15" s="1724"/>
      <c r="I15" s="2839"/>
      <c r="J15" s="1772">
        <v>0</v>
      </c>
      <c r="K15" s="2879"/>
      <c r="L15" s="2881"/>
      <c r="M15" s="2254"/>
      <c r="N15" s="1724"/>
      <c r="O15" s="2839"/>
      <c r="P15" s="1772">
        <v>0</v>
      </c>
      <c r="Q15" s="2879"/>
      <c r="R15" s="2881"/>
      <c r="S15" s="2254"/>
      <c r="T15" s="1724"/>
      <c r="U15" s="2839"/>
      <c r="V15" s="1772"/>
      <c r="W15" s="2879"/>
      <c r="X15" s="2881"/>
      <c r="Y15" s="2254"/>
      <c r="Z15" s="1724"/>
      <c r="AA15" s="2839"/>
      <c r="AB15" s="1772"/>
      <c r="AC15" s="2879"/>
      <c r="AD15" s="2881"/>
      <c r="AE15" s="2254"/>
      <c r="AF15" s="1724"/>
      <c r="AG15" s="2839"/>
      <c r="AH15" s="1772"/>
      <c r="AI15" s="2879"/>
      <c r="AJ15" s="2881"/>
      <c r="AK15" s="2254"/>
      <c r="AL15" s="1724"/>
      <c r="AM15" s="2839"/>
      <c r="AN15" s="1772"/>
      <c r="AO15" s="2879"/>
      <c r="AP15" s="2881"/>
      <c r="AQ15" s="2254"/>
      <c r="AR15" s="1724"/>
      <c r="AS15" s="2839"/>
      <c r="AT15" s="1772"/>
      <c r="AU15" s="2879"/>
      <c r="AV15" s="2881"/>
      <c r="AW15" s="2254"/>
      <c r="AX15" s="1724"/>
      <c r="AY15" s="2839"/>
      <c r="AZ15" s="1772"/>
      <c r="BA15" s="2879"/>
      <c r="BB15" s="2881"/>
      <c r="BC15" s="2254"/>
      <c r="BD15" s="1724"/>
      <c r="BE15" s="2839"/>
      <c r="BF15" s="1772"/>
      <c r="BG15" s="2879"/>
      <c r="BH15" s="2881"/>
      <c r="BI15" s="2254"/>
      <c r="BJ15" s="1724"/>
      <c r="BK15" s="2839"/>
      <c r="BL15" s="1772"/>
      <c r="BM15" s="2879"/>
      <c r="BN15" s="2881"/>
      <c r="BO15" s="2254"/>
      <c r="BQ15" s="2839"/>
      <c r="BR15" s="1772"/>
      <c r="BS15" s="2879"/>
      <c r="BT15" s="2881"/>
      <c r="BU15" s="2254"/>
      <c r="BW15" s="2810"/>
      <c r="BX15" s="2920"/>
    </row>
    <row r="16" spans="1:82" ht="15.75" thickBot="1" x14ac:dyDescent="0.3">
      <c r="A16" s="2135">
        <v>51091</v>
      </c>
      <c r="B16" s="2330" t="s">
        <v>3771</v>
      </c>
      <c r="C16" s="2267">
        <v>500</v>
      </c>
      <c r="D16" s="2268">
        <v>9.1999999999999993</v>
      </c>
      <c r="E16" s="2268">
        <f t="shared" si="0"/>
        <v>-490.8</v>
      </c>
      <c r="F16" s="2319">
        <f>((D16/C16)-1)*100</f>
        <v>-98.16</v>
      </c>
      <c r="G16" s="2319"/>
      <c r="H16" s="1724"/>
      <c r="I16" s="2267">
        <f t="shared" si="24"/>
        <v>500</v>
      </c>
      <c r="J16" s="2268">
        <v>57.42</v>
      </c>
      <c r="K16" s="2268">
        <f t="shared" ref="K16" si="35">J16-I16</f>
        <v>-442.58</v>
      </c>
      <c r="L16" s="2319">
        <f>((J16/I16)-1)*100</f>
        <v>-88.515999999999991</v>
      </c>
      <c r="M16" s="2319"/>
      <c r="N16" s="1724"/>
      <c r="O16" s="2267">
        <f t="shared" si="25"/>
        <v>500</v>
      </c>
      <c r="P16" s="2268">
        <v>30.28</v>
      </c>
      <c r="Q16" s="2268">
        <f t="shared" ref="Q16" si="36">P16-O16</f>
        <v>-469.72</v>
      </c>
      <c r="R16" s="2319">
        <f>((P16/O16)-1)*100</f>
        <v>-93.944000000000003</v>
      </c>
      <c r="S16" s="2319"/>
      <c r="T16" s="1724"/>
      <c r="U16" s="2267">
        <f t="shared" si="26"/>
        <v>500</v>
      </c>
      <c r="V16" s="2268"/>
      <c r="W16" s="2268">
        <f t="shared" ref="W16" si="37">V16-U16</f>
        <v>-500</v>
      </c>
      <c r="X16" s="2319">
        <f>((V16/U16)-1)*100</f>
        <v>-100</v>
      </c>
      <c r="Y16" s="2319"/>
      <c r="Z16" s="1724"/>
      <c r="AA16" s="2267">
        <f t="shared" si="27"/>
        <v>500</v>
      </c>
      <c r="AB16" s="2268"/>
      <c r="AC16" s="2268">
        <f t="shared" ref="AC16" si="38">AB16-AA16</f>
        <v>-500</v>
      </c>
      <c r="AD16" s="2319">
        <f>((AB16/AA16)-1)*100</f>
        <v>-100</v>
      </c>
      <c r="AE16" s="2319"/>
      <c r="AF16" s="1724"/>
      <c r="AG16" s="2267">
        <f t="shared" si="28"/>
        <v>500</v>
      </c>
      <c r="AH16" s="2268"/>
      <c r="AI16" s="2268">
        <f t="shared" ref="AI16" si="39">AH16-AG16</f>
        <v>-500</v>
      </c>
      <c r="AJ16" s="2319">
        <f>((AH16/AG16)-1)*100</f>
        <v>-100</v>
      </c>
      <c r="AK16" s="2319"/>
      <c r="AL16" s="1724"/>
      <c r="AM16" s="2267">
        <f t="shared" si="29"/>
        <v>500</v>
      </c>
      <c r="AN16" s="2268"/>
      <c r="AO16" s="2268">
        <f t="shared" ref="AO16" si="40">AN16-AM16</f>
        <v>-500</v>
      </c>
      <c r="AP16" s="2319">
        <f>((AN16/AM16)-1)*100</f>
        <v>-100</v>
      </c>
      <c r="AQ16" s="2319"/>
      <c r="AR16" s="1724"/>
      <c r="AS16" s="2267">
        <f t="shared" si="30"/>
        <v>500</v>
      </c>
      <c r="AT16" s="2268"/>
      <c r="AU16" s="2268">
        <f t="shared" ref="AU16" si="41">AT16-AS16</f>
        <v>-500</v>
      </c>
      <c r="AV16" s="2319">
        <f>((AT16/AS16)-1)*100</f>
        <v>-100</v>
      </c>
      <c r="AW16" s="2319"/>
      <c r="AX16" s="1724"/>
      <c r="AY16" s="2267">
        <f t="shared" si="31"/>
        <v>500</v>
      </c>
      <c r="AZ16" s="2268"/>
      <c r="BA16" s="2268">
        <f t="shared" ref="BA16" si="42">AZ16-AY16</f>
        <v>-500</v>
      </c>
      <c r="BB16" s="2319">
        <f>((AZ16/AY16)-1)*100</f>
        <v>-100</v>
      </c>
      <c r="BC16" s="2319"/>
      <c r="BD16" s="1724"/>
      <c r="BE16" s="2267">
        <f t="shared" si="32"/>
        <v>500</v>
      </c>
      <c r="BF16" s="2268"/>
      <c r="BG16" s="2268">
        <f t="shared" ref="BG16" si="43">BF16-BE16</f>
        <v>-500</v>
      </c>
      <c r="BH16" s="2319">
        <f>((BF16/BE16)-1)*100</f>
        <v>-100</v>
      </c>
      <c r="BI16" s="2319"/>
      <c r="BJ16" s="1724"/>
      <c r="BK16" s="2267">
        <f t="shared" ref="BK16:BK17" si="44">BE16</f>
        <v>500</v>
      </c>
      <c r="BL16" s="2268"/>
      <c r="BM16" s="2268">
        <f t="shared" ref="BM16" si="45">BL16-BK16</f>
        <v>-500</v>
      </c>
      <c r="BN16" s="2319">
        <f>((BL16/BK16)-1)*100</f>
        <v>-100</v>
      </c>
      <c r="BO16" s="2319"/>
      <c r="BQ16" s="2267">
        <f t="shared" ref="BQ16:BQ17" si="46">BK16</f>
        <v>500</v>
      </c>
      <c r="BR16" s="2268"/>
      <c r="BS16" s="2268">
        <f t="shared" ref="BS16" si="47">BR16-BQ16</f>
        <v>-500</v>
      </c>
      <c r="BT16" s="2319">
        <f>((BR16/BQ16)-1)*100</f>
        <v>-100</v>
      </c>
      <c r="BU16" s="2319"/>
      <c r="BW16" s="1723">
        <f>C16+I16+O16+U16+AA16+AG16+AM16+AS16+AY16+BE16+BK16+BQ16</f>
        <v>6000</v>
      </c>
      <c r="BX16" s="2362">
        <f>D16+J16+P16+V16+AB16+AH16+AN16+AT16+AZ16+BF16+BL16+BR16</f>
        <v>96.9</v>
      </c>
    </row>
    <row r="17" spans="1:76" x14ac:dyDescent="0.25">
      <c r="A17" s="2134">
        <v>11750</v>
      </c>
      <c r="B17" s="2331" t="s">
        <v>97</v>
      </c>
      <c r="C17" s="2916">
        <v>215000</v>
      </c>
      <c r="D17" s="1735">
        <v>134097.24</v>
      </c>
      <c r="E17" s="2878">
        <f>D17+D18-C17</f>
        <v>-38158.550000000017</v>
      </c>
      <c r="F17" s="2816">
        <f>((SUM(D17:D18)/C17)-1)*100</f>
        <v>-17.748162790697684</v>
      </c>
      <c r="G17" s="2181"/>
      <c r="H17" s="1730"/>
      <c r="I17" s="2916">
        <f t="shared" si="24"/>
        <v>215000</v>
      </c>
      <c r="J17" s="1735">
        <v>147742.62</v>
      </c>
      <c r="K17" s="2878">
        <f>J17+J18-I17</f>
        <v>-24513.160000000003</v>
      </c>
      <c r="L17" s="2816">
        <f>((SUM(J17:J18)/I17)-1)*100</f>
        <v>-11.401469767441863</v>
      </c>
      <c r="M17" s="2181"/>
      <c r="N17" s="1730"/>
      <c r="O17" s="2916">
        <f t="shared" si="25"/>
        <v>215000</v>
      </c>
      <c r="P17" s="1735">
        <v>153893.99</v>
      </c>
      <c r="Q17" s="2878">
        <f>P17+P18-O17</f>
        <v>-18378.119999999995</v>
      </c>
      <c r="R17" s="2816">
        <f>((SUM(P17:P18)/O17)-1)*100</f>
        <v>-8.547962790697671</v>
      </c>
      <c r="S17" s="2181"/>
      <c r="T17" s="1730"/>
      <c r="U17" s="2916">
        <f t="shared" si="26"/>
        <v>215000</v>
      </c>
      <c r="V17" s="1735"/>
      <c r="W17" s="2878">
        <f>V17+V18-U17</f>
        <v>-215000</v>
      </c>
      <c r="X17" s="2816">
        <f>((SUM(V17:V18)/U17)-1)*100</f>
        <v>-100</v>
      </c>
      <c r="Y17" s="2181"/>
      <c r="Z17" s="1730"/>
      <c r="AA17" s="2916">
        <f t="shared" si="27"/>
        <v>215000</v>
      </c>
      <c r="AB17" s="1735"/>
      <c r="AC17" s="2878">
        <f>AB17+AB18-AA17</f>
        <v>-215000</v>
      </c>
      <c r="AD17" s="2816">
        <f>((SUM(AB17:AB18)/AA17)-1)*100</f>
        <v>-100</v>
      </c>
      <c r="AE17" s="2181"/>
      <c r="AF17" s="1730"/>
      <c r="AG17" s="2916">
        <f t="shared" si="28"/>
        <v>215000</v>
      </c>
      <c r="AH17" s="1735"/>
      <c r="AI17" s="2878">
        <f>AH17+AH18-AG17</f>
        <v>-215000</v>
      </c>
      <c r="AJ17" s="2816">
        <f>((SUM(AH17:AH18)/AG17)-1)*100</f>
        <v>-100</v>
      </c>
      <c r="AK17" s="2181"/>
      <c r="AL17" s="1730"/>
      <c r="AM17" s="2916">
        <f t="shared" si="29"/>
        <v>215000</v>
      </c>
      <c r="AN17" s="1735"/>
      <c r="AO17" s="2878">
        <f>AN17+AN18-AM17</f>
        <v>-215000</v>
      </c>
      <c r="AP17" s="2816">
        <f>((SUM(AN17:AN18)/AM17)-1)*100</f>
        <v>-100</v>
      </c>
      <c r="AQ17" s="2181"/>
      <c r="AR17" s="1730"/>
      <c r="AS17" s="2916">
        <f t="shared" si="30"/>
        <v>215000</v>
      </c>
      <c r="AT17" s="1735"/>
      <c r="AU17" s="2878">
        <f>AT17+AT18-AS17</f>
        <v>-215000</v>
      </c>
      <c r="AV17" s="2816">
        <f>((SUM(AT17:AT18)/AS17)-1)*100</f>
        <v>-100</v>
      </c>
      <c r="AW17" s="2181"/>
      <c r="AX17" s="1730"/>
      <c r="AY17" s="2916">
        <f t="shared" si="31"/>
        <v>215000</v>
      </c>
      <c r="AZ17" s="1735"/>
      <c r="BA17" s="2878">
        <f>AZ17+AZ18-AY17</f>
        <v>-215000</v>
      </c>
      <c r="BB17" s="2816">
        <f>((SUM(AZ17:AZ18)/AY17)-1)*100</f>
        <v>-100</v>
      </c>
      <c r="BC17" s="2181"/>
      <c r="BD17" s="1730"/>
      <c r="BE17" s="2916">
        <f t="shared" si="32"/>
        <v>215000</v>
      </c>
      <c r="BF17" s="1735"/>
      <c r="BG17" s="2878">
        <f>BF17+BF18-BE17</f>
        <v>-215000</v>
      </c>
      <c r="BH17" s="2816">
        <f>((SUM(BF17:BF18)/BE17)-1)*100</f>
        <v>-100</v>
      </c>
      <c r="BI17" s="2181"/>
      <c r="BJ17" s="1730"/>
      <c r="BK17" s="2916">
        <f t="shared" si="44"/>
        <v>215000</v>
      </c>
      <c r="BL17" s="1735"/>
      <c r="BM17" s="2878">
        <f>BL17+BL18-BK17</f>
        <v>-215000</v>
      </c>
      <c r="BN17" s="2816">
        <f>((SUM(BL17:BL18)/BK17)-1)*100</f>
        <v>-100</v>
      </c>
      <c r="BO17" s="2181"/>
      <c r="BQ17" s="2916">
        <f t="shared" si="46"/>
        <v>215000</v>
      </c>
      <c r="BR17" s="1735"/>
      <c r="BS17" s="2878">
        <f>BR17+BR18-BQ17</f>
        <v>-215000</v>
      </c>
      <c r="BT17" s="2816">
        <f>((SUM(BR17:BR18)/BQ17)-1)*100</f>
        <v>-100</v>
      </c>
      <c r="BU17" s="2181"/>
      <c r="BW17" s="2921">
        <f>C17+I17+O17+U17+AA17+AG17+AM17+AS17+AY17+BE17+BK17+BP17</f>
        <v>2365000</v>
      </c>
      <c r="BX17" s="2918">
        <f>D17+J17+P17+V17+AB17+AH17+AN17+AT17+AZ17+BF17+BL17+BQ17</f>
        <v>650733.85</v>
      </c>
    </row>
    <row r="18" spans="1:76" ht="15.75" thickBot="1" x14ac:dyDescent="0.3">
      <c r="A18" s="2139">
        <v>51430</v>
      </c>
      <c r="B18" s="2332" t="s">
        <v>3884</v>
      </c>
      <c r="C18" s="2917"/>
      <c r="D18" s="2333">
        <v>42744.21</v>
      </c>
      <c r="E18" s="2879"/>
      <c r="F18" s="2818"/>
      <c r="G18" s="2182"/>
      <c r="H18" s="1730"/>
      <c r="I18" s="2917"/>
      <c r="J18" s="2333">
        <v>42744.22</v>
      </c>
      <c r="K18" s="2879"/>
      <c r="L18" s="2818"/>
      <c r="M18" s="2182"/>
      <c r="N18" s="1730"/>
      <c r="O18" s="2917"/>
      <c r="P18" s="2333">
        <v>42727.89</v>
      </c>
      <c r="Q18" s="2879"/>
      <c r="R18" s="2818"/>
      <c r="S18" s="2182"/>
      <c r="T18" s="1730"/>
      <c r="U18" s="2917"/>
      <c r="V18" s="2333"/>
      <c r="W18" s="2879"/>
      <c r="X18" s="2818"/>
      <c r="Y18" s="2182"/>
      <c r="Z18" s="1730"/>
      <c r="AA18" s="2917"/>
      <c r="AB18" s="2333"/>
      <c r="AC18" s="2879"/>
      <c r="AD18" s="2818"/>
      <c r="AE18" s="2182"/>
      <c r="AF18" s="1730"/>
      <c r="AG18" s="2917"/>
      <c r="AH18" s="2333"/>
      <c r="AI18" s="2879"/>
      <c r="AJ18" s="2818"/>
      <c r="AK18" s="2182"/>
      <c r="AL18" s="1730"/>
      <c r="AM18" s="2917"/>
      <c r="AN18" s="2333"/>
      <c r="AO18" s="2879"/>
      <c r="AP18" s="2818"/>
      <c r="AQ18" s="2182"/>
      <c r="AR18" s="1730"/>
      <c r="AS18" s="2917"/>
      <c r="AT18" s="2333"/>
      <c r="AU18" s="2879"/>
      <c r="AV18" s="2818"/>
      <c r="AW18" s="2182"/>
      <c r="AX18" s="1730"/>
      <c r="AY18" s="2917"/>
      <c r="AZ18" s="2333"/>
      <c r="BA18" s="2879"/>
      <c r="BB18" s="2818"/>
      <c r="BC18" s="2182"/>
      <c r="BD18" s="1730"/>
      <c r="BE18" s="2917"/>
      <c r="BF18" s="2333"/>
      <c r="BG18" s="2879"/>
      <c r="BH18" s="2818"/>
      <c r="BI18" s="2182"/>
      <c r="BJ18" s="1730"/>
      <c r="BK18" s="2917"/>
      <c r="BL18" s="2333"/>
      <c r="BM18" s="2879"/>
      <c r="BN18" s="2818"/>
      <c r="BO18" s="2182"/>
      <c r="BQ18" s="2917"/>
      <c r="BR18" s="2333"/>
      <c r="BS18" s="2879"/>
      <c r="BT18" s="2818"/>
      <c r="BU18" s="2182"/>
      <c r="BW18" s="2922"/>
      <c r="BX18" s="2920"/>
    </row>
    <row r="19" spans="1:76" x14ac:dyDescent="0.25">
      <c r="A19" s="2138">
        <v>33736</v>
      </c>
      <c r="B19" s="2334" t="s">
        <v>98</v>
      </c>
      <c r="C19" s="2255">
        <v>34000</v>
      </c>
      <c r="D19" s="2256">
        <v>32710</v>
      </c>
      <c r="E19" s="2256">
        <f t="shared" si="0"/>
        <v>-1290</v>
      </c>
      <c r="F19" s="2257">
        <f t="shared" ref="F19:F22" si="48">((D19/C19)-1)*100</f>
        <v>-3.7941176470588256</v>
      </c>
      <c r="G19" s="2257"/>
      <c r="H19" s="1724"/>
      <c r="I19" s="2255">
        <f t="shared" si="24"/>
        <v>34000</v>
      </c>
      <c r="J19" s="2256">
        <v>32710.93</v>
      </c>
      <c r="K19" s="2256">
        <f t="shared" ref="K19:K22" si="49">J19-I19</f>
        <v>-1289.0699999999997</v>
      </c>
      <c r="L19" s="2257">
        <f t="shared" ref="L19:L22" si="50">((J19/I19)-1)*100</f>
        <v>-3.791382352941175</v>
      </c>
      <c r="M19" s="2257"/>
      <c r="N19" s="1724"/>
      <c r="O19" s="2255">
        <f t="shared" si="25"/>
        <v>34000</v>
      </c>
      <c r="P19" s="2256">
        <v>32710.93</v>
      </c>
      <c r="Q19" s="2256">
        <f t="shared" ref="Q19:Q22" si="51">P19-O19</f>
        <v>-1289.0699999999997</v>
      </c>
      <c r="R19" s="2257">
        <f t="shared" ref="R19:R22" si="52">((P19/O19)-1)*100</f>
        <v>-3.791382352941175</v>
      </c>
      <c r="S19" s="2257"/>
      <c r="T19" s="1724"/>
      <c r="U19" s="2255">
        <f t="shared" si="26"/>
        <v>34000</v>
      </c>
      <c r="V19" s="2256"/>
      <c r="W19" s="2256">
        <f t="shared" ref="W19:W22" si="53">V19-U19</f>
        <v>-34000</v>
      </c>
      <c r="X19" s="2257">
        <f t="shared" ref="X19:X22" si="54">((V19/U19)-1)*100</f>
        <v>-100</v>
      </c>
      <c r="Y19" s="2257"/>
      <c r="Z19" s="1724"/>
      <c r="AA19" s="2255">
        <f t="shared" si="27"/>
        <v>34000</v>
      </c>
      <c r="AB19" s="2256"/>
      <c r="AC19" s="2256">
        <f t="shared" ref="AC19:AC22" si="55">AB19-AA19</f>
        <v>-34000</v>
      </c>
      <c r="AD19" s="2257">
        <f t="shared" ref="AD19:AD22" si="56">((AB19/AA19)-1)*100</f>
        <v>-100</v>
      </c>
      <c r="AE19" s="2257"/>
      <c r="AF19" s="1724"/>
      <c r="AG19" s="2255">
        <f t="shared" si="28"/>
        <v>34000</v>
      </c>
      <c r="AH19" s="2256"/>
      <c r="AI19" s="2256">
        <f t="shared" ref="AI19:AI22" si="57">AH19-AG19</f>
        <v>-34000</v>
      </c>
      <c r="AJ19" s="2257">
        <f t="shared" ref="AJ19:AJ22" si="58">((AH19/AG19)-1)*100</f>
        <v>-100</v>
      </c>
      <c r="AK19" s="2257"/>
      <c r="AL19" s="1724"/>
      <c r="AM19" s="2255">
        <f t="shared" si="29"/>
        <v>34000</v>
      </c>
      <c r="AN19" s="2256"/>
      <c r="AO19" s="2256">
        <f t="shared" ref="AO19:AO22" si="59">AN19-AM19</f>
        <v>-34000</v>
      </c>
      <c r="AP19" s="2257">
        <f t="shared" ref="AP19:AP22" si="60">((AN19/AM19)-1)*100</f>
        <v>-100</v>
      </c>
      <c r="AQ19" s="2257"/>
      <c r="AR19" s="1724"/>
      <c r="AS19" s="2255">
        <f t="shared" si="30"/>
        <v>34000</v>
      </c>
      <c r="AT19" s="2256"/>
      <c r="AU19" s="2256">
        <f t="shared" ref="AU19:AU22" si="61">AT19-AS19</f>
        <v>-34000</v>
      </c>
      <c r="AV19" s="2257">
        <f t="shared" ref="AV19:AV22" si="62">((AT19/AS19)-1)*100</f>
        <v>-100</v>
      </c>
      <c r="AW19" s="2257"/>
      <c r="AX19" s="1724"/>
      <c r="AY19" s="2255">
        <f t="shared" si="31"/>
        <v>34000</v>
      </c>
      <c r="AZ19" s="2256"/>
      <c r="BA19" s="2256">
        <f t="shared" ref="BA19:BA22" si="63">AZ19-AY19</f>
        <v>-34000</v>
      </c>
      <c r="BB19" s="2257">
        <f t="shared" ref="BB19:BB22" si="64">((AZ19/AY19)-1)*100</f>
        <v>-100</v>
      </c>
      <c r="BC19" s="2257"/>
      <c r="BD19" s="1724"/>
      <c r="BE19" s="2255">
        <f t="shared" si="32"/>
        <v>34000</v>
      </c>
      <c r="BF19" s="2256"/>
      <c r="BG19" s="2256">
        <f t="shared" ref="BG19:BG22" si="65">BF19-BE19</f>
        <v>-34000</v>
      </c>
      <c r="BH19" s="2257">
        <f t="shared" ref="BH19:BH22" si="66">((BF19/BE19)-1)*100</f>
        <v>-100</v>
      </c>
      <c r="BI19" s="2257"/>
      <c r="BJ19" s="1724"/>
      <c r="BK19" s="2255">
        <f t="shared" ref="BK19:BK23" si="67">BE19</f>
        <v>34000</v>
      </c>
      <c r="BL19" s="2256"/>
      <c r="BM19" s="2256">
        <f t="shared" ref="BM19:BM22" si="68">BL19-BK19</f>
        <v>-34000</v>
      </c>
      <c r="BN19" s="2257">
        <f t="shared" ref="BN19:BN22" si="69">((BL19/BK19)-1)*100</f>
        <v>-100</v>
      </c>
      <c r="BO19" s="2257"/>
      <c r="BQ19" s="2255">
        <f t="shared" ref="BQ19:BQ23" si="70">BK19</f>
        <v>34000</v>
      </c>
      <c r="BR19" s="2256"/>
      <c r="BS19" s="2256">
        <f t="shared" ref="BS19:BS22" si="71">BR19-BQ19</f>
        <v>-34000</v>
      </c>
      <c r="BT19" s="2257">
        <f t="shared" ref="BT19:BT22" si="72">((BR19/BQ19)-1)*100</f>
        <v>-100</v>
      </c>
      <c r="BU19" s="2257"/>
      <c r="BW19" s="1758">
        <f t="shared" ref="BW19:BX22" si="73">C19+I19+O19+U19+AA19+AG19+AM19+AS19+AY19+BE19+BK19+BQ19</f>
        <v>408000</v>
      </c>
      <c r="BX19" s="1761">
        <f t="shared" si="73"/>
        <v>98131.86</v>
      </c>
    </row>
    <row r="20" spans="1:76" x14ac:dyDescent="0.25">
      <c r="A20" s="2138">
        <v>11972</v>
      </c>
      <c r="B20" s="2327" t="s">
        <v>328</v>
      </c>
      <c r="C20" s="1765">
        <v>10000</v>
      </c>
      <c r="D20" s="1766">
        <v>8642.64</v>
      </c>
      <c r="E20" s="1766">
        <f t="shared" si="0"/>
        <v>-1357.3600000000006</v>
      </c>
      <c r="F20" s="1770">
        <f t="shared" si="48"/>
        <v>-13.573600000000008</v>
      </c>
      <c r="G20" s="1770"/>
      <c r="H20" s="1724"/>
      <c r="I20" s="1765">
        <f t="shared" si="24"/>
        <v>10000</v>
      </c>
      <c r="J20" s="1766">
        <v>102940.46</v>
      </c>
      <c r="K20" s="1766">
        <f t="shared" si="49"/>
        <v>92940.46</v>
      </c>
      <c r="L20" s="1770">
        <f t="shared" si="50"/>
        <v>929.40459999999996</v>
      </c>
      <c r="M20" s="1770"/>
      <c r="N20" s="1724"/>
      <c r="O20" s="1765">
        <f t="shared" si="25"/>
        <v>10000</v>
      </c>
      <c r="P20" s="1766">
        <v>395958.81</v>
      </c>
      <c r="Q20" s="1766">
        <f t="shared" si="51"/>
        <v>385958.81</v>
      </c>
      <c r="R20" s="1770">
        <f t="shared" si="52"/>
        <v>3859.5880999999999</v>
      </c>
      <c r="S20" s="1770"/>
      <c r="T20" s="1724"/>
      <c r="U20" s="1765">
        <f t="shared" si="26"/>
        <v>10000</v>
      </c>
      <c r="V20" s="1766"/>
      <c r="W20" s="1766">
        <f t="shared" si="53"/>
        <v>-10000</v>
      </c>
      <c r="X20" s="1770">
        <f t="shared" si="54"/>
        <v>-100</v>
      </c>
      <c r="Y20" s="1770"/>
      <c r="Z20" s="1724"/>
      <c r="AA20" s="1765">
        <f t="shared" si="27"/>
        <v>10000</v>
      </c>
      <c r="AB20" s="1766"/>
      <c r="AC20" s="1766">
        <f t="shared" si="55"/>
        <v>-10000</v>
      </c>
      <c r="AD20" s="1770">
        <f t="shared" si="56"/>
        <v>-100</v>
      </c>
      <c r="AE20" s="1770"/>
      <c r="AF20" s="1724"/>
      <c r="AG20" s="1765">
        <f t="shared" si="28"/>
        <v>10000</v>
      </c>
      <c r="AH20" s="1766"/>
      <c r="AI20" s="1766">
        <f t="shared" si="57"/>
        <v>-10000</v>
      </c>
      <c r="AJ20" s="1770">
        <f t="shared" si="58"/>
        <v>-100</v>
      </c>
      <c r="AK20" s="1770"/>
      <c r="AL20" s="1724"/>
      <c r="AM20" s="1765">
        <f t="shared" si="29"/>
        <v>10000</v>
      </c>
      <c r="AN20" s="1766"/>
      <c r="AO20" s="1766">
        <f t="shared" si="59"/>
        <v>-10000</v>
      </c>
      <c r="AP20" s="1770">
        <f t="shared" si="60"/>
        <v>-100</v>
      </c>
      <c r="AQ20" s="1770"/>
      <c r="AR20" s="1724"/>
      <c r="AS20" s="1765">
        <f t="shared" si="30"/>
        <v>10000</v>
      </c>
      <c r="AT20" s="1766"/>
      <c r="AU20" s="1766">
        <f t="shared" si="61"/>
        <v>-10000</v>
      </c>
      <c r="AV20" s="1770">
        <f t="shared" si="62"/>
        <v>-100</v>
      </c>
      <c r="AW20" s="1770"/>
      <c r="AX20" s="1724"/>
      <c r="AY20" s="1765">
        <f t="shared" si="31"/>
        <v>10000</v>
      </c>
      <c r="AZ20" s="1766"/>
      <c r="BA20" s="1766">
        <f t="shared" si="63"/>
        <v>-10000</v>
      </c>
      <c r="BB20" s="1770">
        <f t="shared" si="64"/>
        <v>-100</v>
      </c>
      <c r="BC20" s="1770"/>
      <c r="BD20" s="1724"/>
      <c r="BE20" s="1765">
        <f t="shared" si="32"/>
        <v>10000</v>
      </c>
      <c r="BF20" s="1766"/>
      <c r="BG20" s="1766">
        <f t="shared" si="65"/>
        <v>-10000</v>
      </c>
      <c r="BH20" s="1770">
        <f t="shared" si="66"/>
        <v>-100</v>
      </c>
      <c r="BI20" s="1770"/>
      <c r="BJ20" s="1724"/>
      <c r="BK20" s="1765">
        <f t="shared" si="67"/>
        <v>10000</v>
      </c>
      <c r="BL20" s="1766"/>
      <c r="BM20" s="1766">
        <f t="shared" si="68"/>
        <v>-10000</v>
      </c>
      <c r="BN20" s="1770">
        <f t="shared" si="69"/>
        <v>-100</v>
      </c>
      <c r="BO20" s="1770"/>
      <c r="BQ20" s="1765">
        <f t="shared" si="70"/>
        <v>10000</v>
      </c>
      <c r="BR20" s="1766"/>
      <c r="BS20" s="1766">
        <f t="shared" si="71"/>
        <v>-10000</v>
      </c>
      <c r="BT20" s="1770">
        <f t="shared" si="72"/>
        <v>-100</v>
      </c>
      <c r="BU20" s="1770"/>
      <c r="BW20" s="1767">
        <f t="shared" si="73"/>
        <v>120000</v>
      </c>
      <c r="BX20" s="1770">
        <f t="shared" si="73"/>
        <v>507541.91000000003</v>
      </c>
    </row>
    <row r="21" spans="1:76" x14ac:dyDescent="0.25">
      <c r="A21" s="2138">
        <v>11611</v>
      </c>
      <c r="B21" s="2327" t="s">
        <v>329</v>
      </c>
      <c r="C21" s="1765">
        <v>150</v>
      </c>
      <c r="D21" s="1766"/>
      <c r="E21" s="1766">
        <f t="shared" si="0"/>
        <v>-150</v>
      </c>
      <c r="F21" s="1770">
        <f t="shared" si="48"/>
        <v>-100</v>
      </c>
      <c r="G21" s="1770"/>
      <c r="H21" s="1724"/>
      <c r="I21" s="1765">
        <f t="shared" si="24"/>
        <v>150</v>
      </c>
      <c r="J21" s="1766">
        <v>0</v>
      </c>
      <c r="K21" s="1766">
        <f t="shared" si="49"/>
        <v>-150</v>
      </c>
      <c r="L21" s="1770">
        <f t="shared" si="50"/>
        <v>-100</v>
      </c>
      <c r="M21" s="1770"/>
      <c r="N21" s="1724"/>
      <c r="O21" s="1765">
        <f t="shared" si="25"/>
        <v>150</v>
      </c>
      <c r="P21" s="1766">
        <v>432.15</v>
      </c>
      <c r="Q21" s="1766">
        <f t="shared" si="51"/>
        <v>282.14999999999998</v>
      </c>
      <c r="R21" s="1770">
        <f t="shared" si="52"/>
        <v>188.09999999999997</v>
      </c>
      <c r="S21" s="1770"/>
      <c r="T21" s="1724"/>
      <c r="U21" s="1765">
        <f t="shared" si="26"/>
        <v>150</v>
      </c>
      <c r="V21" s="1766"/>
      <c r="W21" s="1766">
        <f t="shared" si="53"/>
        <v>-150</v>
      </c>
      <c r="X21" s="1770">
        <f t="shared" si="54"/>
        <v>-100</v>
      </c>
      <c r="Y21" s="1770"/>
      <c r="Z21" s="1724"/>
      <c r="AA21" s="1765">
        <f t="shared" si="27"/>
        <v>150</v>
      </c>
      <c r="AB21" s="1766"/>
      <c r="AC21" s="1766">
        <f t="shared" si="55"/>
        <v>-150</v>
      </c>
      <c r="AD21" s="1770">
        <f t="shared" si="56"/>
        <v>-100</v>
      </c>
      <c r="AE21" s="1770"/>
      <c r="AF21" s="1724"/>
      <c r="AG21" s="1765">
        <f t="shared" si="28"/>
        <v>150</v>
      </c>
      <c r="AH21" s="1766"/>
      <c r="AI21" s="1766">
        <f t="shared" si="57"/>
        <v>-150</v>
      </c>
      <c r="AJ21" s="1770">
        <f t="shared" si="58"/>
        <v>-100</v>
      </c>
      <c r="AK21" s="1770"/>
      <c r="AL21" s="1724"/>
      <c r="AM21" s="1765">
        <f t="shared" si="29"/>
        <v>150</v>
      </c>
      <c r="AN21" s="1766"/>
      <c r="AO21" s="1766">
        <f t="shared" si="59"/>
        <v>-150</v>
      </c>
      <c r="AP21" s="1770">
        <f t="shared" si="60"/>
        <v>-100</v>
      </c>
      <c r="AQ21" s="1770"/>
      <c r="AR21" s="1724"/>
      <c r="AS21" s="1765">
        <f t="shared" si="30"/>
        <v>150</v>
      </c>
      <c r="AT21" s="1766"/>
      <c r="AU21" s="1766">
        <f t="shared" si="61"/>
        <v>-150</v>
      </c>
      <c r="AV21" s="1770">
        <f t="shared" si="62"/>
        <v>-100</v>
      </c>
      <c r="AW21" s="1770"/>
      <c r="AX21" s="1724"/>
      <c r="AY21" s="1765">
        <f t="shared" si="31"/>
        <v>150</v>
      </c>
      <c r="AZ21" s="1766"/>
      <c r="BA21" s="1766">
        <f t="shared" si="63"/>
        <v>-150</v>
      </c>
      <c r="BB21" s="1770">
        <f t="shared" si="64"/>
        <v>-100</v>
      </c>
      <c r="BC21" s="1770"/>
      <c r="BD21" s="1724"/>
      <c r="BE21" s="1765">
        <f t="shared" si="32"/>
        <v>150</v>
      </c>
      <c r="BF21" s="1766"/>
      <c r="BG21" s="1766">
        <f t="shared" si="65"/>
        <v>-150</v>
      </c>
      <c r="BH21" s="1770">
        <f t="shared" si="66"/>
        <v>-100</v>
      </c>
      <c r="BI21" s="1770"/>
      <c r="BJ21" s="1724"/>
      <c r="BK21" s="1765">
        <f t="shared" si="67"/>
        <v>150</v>
      </c>
      <c r="BL21" s="1766"/>
      <c r="BM21" s="1766">
        <f t="shared" si="68"/>
        <v>-150</v>
      </c>
      <c r="BN21" s="1770">
        <f t="shared" si="69"/>
        <v>-100</v>
      </c>
      <c r="BO21" s="1770"/>
      <c r="BQ21" s="1765">
        <f t="shared" si="70"/>
        <v>150</v>
      </c>
      <c r="BR21" s="1766"/>
      <c r="BS21" s="1766">
        <f t="shared" si="71"/>
        <v>-150</v>
      </c>
      <c r="BT21" s="1770">
        <f t="shared" si="72"/>
        <v>-100</v>
      </c>
      <c r="BU21" s="1770"/>
      <c r="BW21" s="1767">
        <f t="shared" si="73"/>
        <v>1800</v>
      </c>
      <c r="BX21" s="1770">
        <f t="shared" si="73"/>
        <v>432.15</v>
      </c>
    </row>
    <row r="22" spans="1:76" ht="15.75" thickBot="1" x14ac:dyDescent="0.3">
      <c r="A22" s="2135">
        <v>11704</v>
      </c>
      <c r="B22" s="2328" t="s">
        <v>109</v>
      </c>
      <c r="C22" s="2247">
        <v>8000</v>
      </c>
      <c r="D22" s="2248">
        <v>5856</v>
      </c>
      <c r="E22" s="2248">
        <f t="shared" si="0"/>
        <v>-2144</v>
      </c>
      <c r="F22" s="1770">
        <f t="shared" si="48"/>
        <v>-26.8</v>
      </c>
      <c r="G22" s="2251"/>
      <c r="H22" s="1724"/>
      <c r="I22" s="2247">
        <f t="shared" si="24"/>
        <v>8000</v>
      </c>
      <c r="J22" s="2248">
        <v>6690</v>
      </c>
      <c r="K22" s="2248">
        <f t="shared" si="49"/>
        <v>-1310</v>
      </c>
      <c r="L22" s="1770">
        <f t="shared" si="50"/>
        <v>-16.374999999999996</v>
      </c>
      <c r="M22" s="2251"/>
      <c r="N22" s="1724"/>
      <c r="O22" s="2247">
        <f t="shared" si="25"/>
        <v>8000</v>
      </c>
      <c r="P22" s="2248">
        <v>8157.5</v>
      </c>
      <c r="Q22" s="2248">
        <f t="shared" si="51"/>
        <v>157.5</v>
      </c>
      <c r="R22" s="1770">
        <f t="shared" si="52"/>
        <v>1.968750000000008</v>
      </c>
      <c r="S22" s="2251"/>
      <c r="T22" s="1724"/>
      <c r="U22" s="2247">
        <f t="shared" si="26"/>
        <v>8000</v>
      </c>
      <c r="V22" s="2248"/>
      <c r="W22" s="2248">
        <f t="shared" si="53"/>
        <v>-8000</v>
      </c>
      <c r="X22" s="1770">
        <f t="shared" si="54"/>
        <v>-100</v>
      </c>
      <c r="Y22" s="2251"/>
      <c r="Z22" s="1724"/>
      <c r="AA22" s="2247">
        <f t="shared" si="27"/>
        <v>8000</v>
      </c>
      <c r="AB22" s="2248"/>
      <c r="AC22" s="2248">
        <f t="shared" si="55"/>
        <v>-8000</v>
      </c>
      <c r="AD22" s="1770">
        <f t="shared" si="56"/>
        <v>-100</v>
      </c>
      <c r="AE22" s="2251"/>
      <c r="AF22" s="1724"/>
      <c r="AG22" s="2247">
        <f t="shared" si="28"/>
        <v>8000</v>
      </c>
      <c r="AH22" s="2248"/>
      <c r="AI22" s="2248">
        <f t="shared" si="57"/>
        <v>-8000</v>
      </c>
      <c r="AJ22" s="1770">
        <f t="shared" si="58"/>
        <v>-100</v>
      </c>
      <c r="AK22" s="2251"/>
      <c r="AL22" s="1724"/>
      <c r="AM22" s="2247">
        <f t="shared" si="29"/>
        <v>8000</v>
      </c>
      <c r="AN22" s="2248"/>
      <c r="AO22" s="2248">
        <f t="shared" si="59"/>
        <v>-8000</v>
      </c>
      <c r="AP22" s="1770">
        <f t="shared" si="60"/>
        <v>-100</v>
      </c>
      <c r="AQ22" s="2251"/>
      <c r="AR22" s="1724"/>
      <c r="AS22" s="2247">
        <f t="shared" si="30"/>
        <v>8000</v>
      </c>
      <c r="AT22" s="2248"/>
      <c r="AU22" s="2248">
        <f t="shared" si="61"/>
        <v>-8000</v>
      </c>
      <c r="AV22" s="1770">
        <f t="shared" si="62"/>
        <v>-100</v>
      </c>
      <c r="AW22" s="2251"/>
      <c r="AX22" s="1724"/>
      <c r="AY22" s="2247">
        <f t="shared" si="31"/>
        <v>8000</v>
      </c>
      <c r="AZ22" s="2248"/>
      <c r="BA22" s="2248">
        <f t="shared" si="63"/>
        <v>-8000</v>
      </c>
      <c r="BB22" s="1770">
        <f t="shared" si="64"/>
        <v>-100</v>
      </c>
      <c r="BC22" s="2251"/>
      <c r="BD22" s="1724"/>
      <c r="BE22" s="2247">
        <f t="shared" si="32"/>
        <v>8000</v>
      </c>
      <c r="BF22" s="2248"/>
      <c r="BG22" s="2248">
        <f t="shared" si="65"/>
        <v>-8000</v>
      </c>
      <c r="BH22" s="1770">
        <f t="shared" si="66"/>
        <v>-100</v>
      </c>
      <c r="BI22" s="2251"/>
      <c r="BJ22" s="1724"/>
      <c r="BK22" s="2247">
        <f t="shared" si="67"/>
        <v>8000</v>
      </c>
      <c r="BL22" s="2248"/>
      <c r="BM22" s="2248">
        <f t="shared" si="68"/>
        <v>-8000</v>
      </c>
      <c r="BN22" s="1770">
        <f t="shared" si="69"/>
        <v>-100</v>
      </c>
      <c r="BO22" s="2251"/>
      <c r="BQ22" s="2247">
        <f t="shared" si="70"/>
        <v>8000</v>
      </c>
      <c r="BR22" s="2248"/>
      <c r="BS22" s="2248">
        <f t="shared" si="71"/>
        <v>-8000</v>
      </c>
      <c r="BT22" s="1770">
        <f t="shared" si="72"/>
        <v>-100</v>
      </c>
      <c r="BU22" s="2251"/>
      <c r="BW22" s="1774">
        <f t="shared" si="73"/>
        <v>96000</v>
      </c>
      <c r="BX22" s="2322">
        <f t="shared" si="73"/>
        <v>20703.5</v>
      </c>
    </row>
    <row r="23" spans="1:76" x14ac:dyDescent="0.25">
      <c r="A23" s="2134">
        <v>12864</v>
      </c>
      <c r="B23" s="2326" t="s">
        <v>3885</v>
      </c>
      <c r="C23" s="2837">
        <v>15000</v>
      </c>
      <c r="D23" s="1757">
        <v>170</v>
      </c>
      <c r="E23" s="2878">
        <f>D23+D24+D25+D26+D27-C23</f>
        <v>-6780.5600000000013</v>
      </c>
      <c r="F23" s="2880">
        <f>((SUM(D23:D27)/C23)-1)*100</f>
        <v>-45.203733333333339</v>
      </c>
      <c r="G23" s="2253"/>
      <c r="H23" s="1724"/>
      <c r="I23" s="2837">
        <f t="shared" si="24"/>
        <v>15000</v>
      </c>
      <c r="J23" s="1757">
        <v>0</v>
      </c>
      <c r="K23" s="2878">
        <f>J23+J24+J25+J26+J27-I23</f>
        <v>-9408</v>
      </c>
      <c r="L23" s="2880">
        <f>((SUM(J23:J27)/I23)-1)*100</f>
        <v>-62.72</v>
      </c>
      <c r="M23" s="2253"/>
      <c r="N23" s="1724"/>
      <c r="O23" s="2837">
        <f t="shared" si="25"/>
        <v>15000</v>
      </c>
      <c r="P23" s="1757">
        <v>7664</v>
      </c>
      <c r="Q23" s="2878">
        <f>P23+P24+P25+P26+P27-O23</f>
        <v>-1198.5</v>
      </c>
      <c r="R23" s="2880">
        <f>((SUM(P23:P27)/O23)-1)*100</f>
        <v>-7.9899999999999967</v>
      </c>
      <c r="S23" s="2253"/>
      <c r="T23" s="1724"/>
      <c r="U23" s="2837">
        <f t="shared" si="26"/>
        <v>15000</v>
      </c>
      <c r="V23" s="1757"/>
      <c r="W23" s="2878">
        <f>V23+V24+V25+V26+V27-U23</f>
        <v>-15000</v>
      </c>
      <c r="X23" s="2880">
        <f>((SUM(V23:V27)/U23)-1)*100</f>
        <v>-100</v>
      </c>
      <c r="Y23" s="2253"/>
      <c r="Z23" s="1724"/>
      <c r="AA23" s="2837">
        <f t="shared" si="27"/>
        <v>15000</v>
      </c>
      <c r="AB23" s="1757"/>
      <c r="AC23" s="2878">
        <f>AB23+AB24+AB25+AB26+AB27-AA23</f>
        <v>-15000</v>
      </c>
      <c r="AD23" s="2880">
        <f>((SUM(AB23:AB27)/AA23)-1)*100</f>
        <v>-100</v>
      </c>
      <c r="AE23" s="2253"/>
      <c r="AF23" s="1724"/>
      <c r="AG23" s="2837">
        <f t="shared" si="28"/>
        <v>15000</v>
      </c>
      <c r="AH23" s="1757"/>
      <c r="AI23" s="2878">
        <f>AH23+AH24+AH25+AH26+AH27-AG23</f>
        <v>-15000</v>
      </c>
      <c r="AJ23" s="2880">
        <f>((SUM(AH23:AH27)/AG23)-1)*100</f>
        <v>-100</v>
      </c>
      <c r="AK23" s="2253"/>
      <c r="AL23" s="1724"/>
      <c r="AM23" s="2837">
        <f t="shared" si="29"/>
        <v>15000</v>
      </c>
      <c r="AN23" s="1757"/>
      <c r="AO23" s="2878">
        <f>AN23+AN24+AN25+AN26+AN27-AM23</f>
        <v>-15000</v>
      </c>
      <c r="AP23" s="2880">
        <f>((SUM(AN23:AN27)/AM23)-1)*100</f>
        <v>-100</v>
      </c>
      <c r="AQ23" s="2253"/>
      <c r="AR23" s="1724"/>
      <c r="AS23" s="2837">
        <f t="shared" si="30"/>
        <v>15000</v>
      </c>
      <c r="AT23" s="1757"/>
      <c r="AU23" s="2878">
        <f>AT23+AT24+AT25+AT26+AT27-AS23</f>
        <v>-15000</v>
      </c>
      <c r="AV23" s="2880">
        <f>((SUM(AT23:AT27)/AS23)-1)*100</f>
        <v>-100</v>
      </c>
      <c r="AW23" s="2253"/>
      <c r="AX23" s="1724"/>
      <c r="AY23" s="2837">
        <f t="shared" si="31"/>
        <v>15000</v>
      </c>
      <c r="AZ23" s="1757"/>
      <c r="BA23" s="2878">
        <f>AZ23+AZ24+AZ25+AZ26+AZ27-AY23</f>
        <v>-15000</v>
      </c>
      <c r="BB23" s="2880">
        <f>((SUM(AZ23:AZ27)/AY23)-1)*100</f>
        <v>-100</v>
      </c>
      <c r="BC23" s="2253"/>
      <c r="BD23" s="1724"/>
      <c r="BE23" s="2837">
        <f t="shared" si="32"/>
        <v>15000</v>
      </c>
      <c r="BF23" s="1757"/>
      <c r="BG23" s="2878">
        <f>BF23+BF24+BF25+BF26+BF27-BE23</f>
        <v>-15000</v>
      </c>
      <c r="BH23" s="2880">
        <f>((SUM(BF23:BF27)/BE23)-1)*100</f>
        <v>-100</v>
      </c>
      <c r="BI23" s="2253"/>
      <c r="BJ23" s="1724"/>
      <c r="BK23" s="2837">
        <f t="shared" si="67"/>
        <v>15000</v>
      </c>
      <c r="BL23" s="1757"/>
      <c r="BM23" s="2878">
        <f>BL23+BL24+BL25+BL26+BL27-BK23</f>
        <v>-15000</v>
      </c>
      <c r="BN23" s="2880">
        <f>((SUM(BL23:BL27)/BK23)-1)*100</f>
        <v>-100</v>
      </c>
      <c r="BO23" s="2253"/>
      <c r="BQ23" s="2837">
        <f t="shared" si="70"/>
        <v>15000</v>
      </c>
      <c r="BR23" s="1757"/>
      <c r="BS23" s="2878">
        <f>BR23+BR24+BR25+BR26+BR27-BQ23</f>
        <v>-15000</v>
      </c>
      <c r="BT23" s="2880">
        <f>((SUM(BR23:BR27)/BQ23)-1)*100</f>
        <v>-100</v>
      </c>
      <c r="BU23" s="2253"/>
      <c r="BW23" s="2809">
        <f>C23+I23+O23+U23+AA23+AG23+AM23+AS23+AY23+BE23+BK23+BQ23</f>
        <v>180000</v>
      </c>
      <c r="BX23" s="2918">
        <f>SUM(D23:D27)+SUM(J23:J27)+SUM(P23:P27)+SUM(V23:V27)+SUM(AB23:AB27)+SUM(AH23:AH27)+SUM(AN23:AN27)+SUM(AT23:AT27)+SUM(AZ23:AZ27)+SUM(BF23:BF27)+SUM(BL23:BL27)+SUM(BR23:BR27)</f>
        <v>27612.94</v>
      </c>
    </row>
    <row r="24" spans="1:76" x14ac:dyDescent="0.25">
      <c r="A24" s="2138">
        <v>11784</v>
      </c>
      <c r="B24" s="2327" t="s">
        <v>3886</v>
      </c>
      <c r="C24" s="2838"/>
      <c r="D24" s="1766">
        <v>8049.44</v>
      </c>
      <c r="E24" s="2914"/>
      <c r="F24" s="2915"/>
      <c r="G24" s="2319"/>
      <c r="H24" s="1724"/>
      <c r="I24" s="2838"/>
      <c r="J24" s="1766">
        <v>5592</v>
      </c>
      <c r="K24" s="2914"/>
      <c r="L24" s="2915"/>
      <c r="M24" s="2319"/>
      <c r="N24" s="1724"/>
      <c r="O24" s="2838"/>
      <c r="P24" s="1766">
        <v>6137.5</v>
      </c>
      <c r="Q24" s="2914"/>
      <c r="R24" s="2915"/>
      <c r="S24" s="2319"/>
      <c r="T24" s="1724"/>
      <c r="U24" s="2838"/>
      <c r="V24" s="1766"/>
      <c r="W24" s="2914"/>
      <c r="X24" s="2915"/>
      <c r="Y24" s="2319"/>
      <c r="Z24" s="1724"/>
      <c r="AA24" s="2838"/>
      <c r="AB24" s="1766"/>
      <c r="AC24" s="2914"/>
      <c r="AD24" s="2915"/>
      <c r="AE24" s="2319"/>
      <c r="AF24" s="1724"/>
      <c r="AG24" s="2838"/>
      <c r="AH24" s="1766"/>
      <c r="AI24" s="2914"/>
      <c r="AJ24" s="2915"/>
      <c r="AK24" s="2319"/>
      <c r="AL24" s="1724"/>
      <c r="AM24" s="2838"/>
      <c r="AN24" s="1766"/>
      <c r="AO24" s="2914"/>
      <c r="AP24" s="2915"/>
      <c r="AQ24" s="2319"/>
      <c r="AR24" s="1724"/>
      <c r="AS24" s="2838"/>
      <c r="AT24" s="1766"/>
      <c r="AU24" s="2914"/>
      <c r="AV24" s="2915"/>
      <c r="AW24" s="2319"/>
      <c r="AX24" s="1724"/>
      <c r="AY24" s="2838"/>
      <c r="AZ24" s="1766"/>
      <c r="BA24" s="2914"/>
      <c r="BB24" s="2915"/>
      <c r="BC24" s="2319"/>
      <c r="BD24" s="1724"/>
      <c r="BE24" s="2838"/>
      <c r="BF24" s="1766"/>
      <c r="BG24" s="2914"/>
      <c r="BH24" s="2915"/>
      <c r="BI24" s="2319"/>
      <c r="BJ24" s="1724"/>
      <c r="BK24" s="2838"/>
      <c r="BL24" s="1766"/>
      <c r="BM24" s="2914"/>
      <c r="BN24" s="2915"/>
      <c r="BO24" s="2319"/>
      <c r="BQ24" s="2838"/>
      <c r="BR24" s="1766"/>
      <c r="BS24" s="2914"/>
      <c r="BT24" s="2915"/>
      <c r="BU24" s="2319"/>
      <c r="BW24" s="2813"/>
      <c r="BX24" s="2919"/>
    </row>
    <row r="25" spans="1:76" x14ac:dyDescent="0.25">
      <c r="A25" s="2246">
        <v>52492</v>
      </c>
      <c r="B25" s="2327"/>
      <c r="C25" s="2838"/>
      <c r="D25" s="1766"/>
      <c r="E25" s="2914"/>
      <c r="F25" s="2915"/>
      <c r="G25" s="2319"/>
      <c r="H25" s="1724"/>
      <c r="I25" s="2838"/>
      <c r="J25" s="1766"/>
      <c r="K25" s="2914"/>
      <c r="L25" s="2915"/>
      <c r="M25" s="2319"/>
      <c r="N25" s="1724"/>
      <c r="O25" s="2838"/>
      <c r="P25" s="1766"/>
      <c r="Q25" s="2914"/>
      <c r="R25" s="2915"/>
      <c r="S25" s="2319"/>
      <c r="T25" s="1724"/>
      <c r="U25" s="2838"/>
      <c r="V25" s="1766"/>
      <c r="W25" s="2914"/>
      <c r="X25" s="2915"/>
      <c r="Y25" s="2319"/>
      <c r="Z25" s="1724"/>
      <c r="AA25" s="2838"/>
      <c r="AB25" s="1766"/>
      <c r="AC25" s="2914"/>
      <c r="AD25" s="2915"/>
      <c r="AE25" s="2319"/>
      <c r="AF25" s="1724"/>
      <c r="AG25" s="2838"/>
      <c r="AH25" s="1766"/>
      <c r="AI25" s="2914"/>
      <c r="AJ25" s="2915"/>
      <c r="AK25" s="2319"/>
      <c r="AL25" s="1724"/>
      <c r="AM25" s="2838"/>
      <c r="AN25" s="1766"/>
      <c r="AO25" s="2914"/>
      <c r="AP25" s="2915"/>
      <c r="AQ25" s="2319"/>
      <c r="AR25" s="1724"/>
      <c r="AS25" s="2838"/>
      <c r="AT25" s="1766"/>
      <c r="AU25" s="2914"/>
      <c r="AV25" s="2915"/>
      <c r="AW25" s="2319"/>
      <c r="AX25" s="1724"/>
      <c r="AY25" s="2838"/>
      <c r="AZ25" s="1766"/>
      <c r="BA25" s="2914"/>
      <c r="BB25" s="2915"/>
      <c r="BC25" s="2319"/>
      <c r="BD25" s="1724"/>
      <c r="BE25" s="2838"/>
      <c r="BF25" s="1766"/>
      <c r="BG25" s="2914"/>
      <c r="BH25" s="2915"/>
      <c r="BI25" s="2319"/>
      <c r="BJ25" s="1724"/>
      <c r="BK25" s="2838"/>
      <c r="BL25" s="1766"/>
      <c r="BM25" s="2914"/>
      <c r="BN25" s="2915"/>
      <c r="BO25" s="2319"/>
      <c r="BQ25" s="2838"/>
      <c r="BR25" s="1766"/>
      <c r="BS25" s="2914"/>
      <c r="BT25" s="2915"/>
      <c r="BU25" s="2319"/>
      <c r="BW25" s="2813"/>
      <c r="BX25" s="2919"/>
    </row>
    <row r="26" spans="1:76" x14ac:dyDescent="0.25">
      <c r="A26" s="2246">
        <v>11932</v>
      </c>
      <c r="B26" s="2327"/>
      <c r="C26" s="2838"/>
      <c r="D26" s="1766"/>
      <c r="E26" s="2914"/>
      <c r="F26" s="2915"/>
      <c r="G26" s="2319"/>
      <c r="H26" s="1724"/>
      <c r="I26" s="2838"/>
      <c r="J26" s="1766"/>
      <c r="K26" s="2914"/>
      <c r="L26" s="2915"/>
      <c r="M26" s="2319"/>
      <c r="N26" s="1724"/>
      <c r="O26" s="2838"/>
      <c r="P26" s="1766"/>
      <c r="Q26" s="2914"/>
      <c r="R26" s="2915"/>
      <c r="S26" s="2319"/>
      <c r="T26" s="1724"/>
      <c r="U26" s="2838"/>
      <c r="V26" s="1766"/>
      <c r="W26" s="2914"/>
      <c r="X26" s="2915"/>
      <c r="Y26" s="2319"/>
      <c r="Z26" s="1724"/>
      <c r="AA26" s="2838"/>
      <c r="AB26" s="1766"/>
      <c r="AC26" s="2914"/>
      <c r="AD26" s="2915"/>
      <c r="AE26" s="2319"/>
      <c r="AF26" s="1724"/>
      <c r="AG26" s="2838"/>
      <c r="AH26" s="1766"/>
      <c r="AI26" s="2914"/>
      <c r="AJ26" s="2915"/>
      <c r="AK26" s="2319"/>
      <c r="AL26" s="1724"/>
      <c r="AM26" s="2838"/>
      <c r="AN26" s="1766"/>
      <c r="AO26" s="2914"/>
      <c r="AP26" s="2915"/>
      <c r="AQ26" s="2319"/>
      <c r="AR26" s="1724"/>
      <c r="AS26" s="2838"/>
      <c r="AT26" s="1766"/>
      <c r="AU26" s="2914"/>
      <c r="AV26" s="2915"/>
      <c r="AW26" s="2319"/>
      <c r="AX26" s="1724"/>
      <c r="AY26" s="2838"/>
      <c r="AZ26" s="1766"/>
      <c r="BA26" s="2914"/>
      <c r="BB26" s="2915"/>
      <c r="BC26" s="2319"/>
      <c r="BD26" s="1724"/>
      <c r="BE26" s="2838"/>
      <c r="BF26" s="1766"/>
      <c r="BG26" s="2914"/>
      <c r="BH26" s="2915"/>
      <c r="BI26" s="2319"/>
      <c r="BJ26" s="1724"/>
      <c r="BK26" s="2838"/>
      <c r="BL26" s="1766"/>
      <c r="BM26" s="2914"/>
      <c r="BN26" s="2915"/>
      <c r="BO26" s="2319"/>
      <c r="BQ26" s="2838"/>
      <c r="BR26" s="1766"/>
      <c r="BS26" s="2914"/>
      <c r="BT26" s="2915"/>
      <c r="BU26" s="2319"/>
      <c r="BW26" s="2813"/>
      <c r="BX26" s="2919"/>
    </row>
    <row r="27" spans="1:76" ht="15.75" thickBot="1" x14ac:dyDescent="0.3">
      <c r="A27" s="2139"/>
      <c r="B27" s="2329"/>
      <c r="C27" s="2839"/>
      <c r="D27" s="1772"/>
      <c r="E27" s="2879"/>
      <c r="F27" s="2881"/>
      <c r="G27" s="2254"/>
      <c r="H27" s="1724"/>
      <c r="I27" s="2839"/>
      <c r="J27" s="1772"/>
      <c r="K27" s="2879"/>
      <c r="L27" s="2881"/>
      <c r="M27" s="2254"/>
      <c r="N27" s="1724"/>
      <c r="O27" s="2839"/>
      <c r="P27" s="1772"/>
      <c r="Q27" s="2879"/>
      <c r="R27" s="2881"/>
      <c r="S27" s="2254"/>
      <c r="T27" s="1724"/>
      <c r="U27" s="2839"/>
      <c r="V27" s="1772"/>
      <c r="W27" s="2879"/>
      <c r="X27" s="2881"/>
      <c r="Y27" s="2254"/>
      <c r="Z27" s="1724"/>
      <c r="AA27" s="2839"/>
      <c r="AB27" s="1772"/>
      <c r="AC27" s="2879"/>
      <c r="AD27" s="2881"/>
      <c r="AE27" s="2254"/>
      <c r="AF27" s="1724"/>
      <c r="AG27" s="2839"/>
      <c r="AH27" s="1772"/>
      <c r="AI27" s="2879"/>
      <c r="AJ27" s="2881"/>
      <c r="AK27" s="2254"/>
      <c r="AL27" s="1724"/>
      <c r="AM27" s="2839"/>
      <c r="AN27" s="1772"/>
      <c r="AO27" s="2879"/>
      <c r="AP27" s="2881"/>
      <c r="AQ27" s="2254"/>
      <c r="AR27" s="1724"/>
      <c r="AS27" s="2839"/>
      <c r="AT27" s="1772"/>
      <c r="AU27" s="2879"/>
      <c r="AV27" s="2881"/>
      <c r="AW27" s="2254"/>
      <c r="AX27" s="1724"/>
      <c r="AY27" s="2839"/>
      <c r="AZ27" s="1772"/>
      <c r="BA27" s="2879"/>
      <c r="BB27" s="2881"/>
      <c r="BC27" s="2254"/>
      <c r="BD27" s="1724"/>
      <c r="BE27" s="2839"/>
      <c r="BF27" s="1772"/>
      <c r="BG27" s="2879"/>
      <c r="BH27" s="2881"/>
      <c r="BI27" s="2254"/>
      <c r="BJ27" s="1724"/>
      <c r="BK27" s="2839"/>
      <c r="BL27" s="1772"/>
      <c r="BM27" s="2879"/>
      <c r="BN27" s="2881"/>
      <c r="BO27" s="2254"/>
      <c r="BQ27" s="2839"/>
      <c r="BR27" s="1772"/>
      <c r="BS27" s="2879"/>
      <c r="BT27" s="2881"/>
      <c r="BU27" s="2254"/>
      <c r="BW27" s="2810"/>
      <c r="BX27" s="2920"/>
    </row>
    <row r="28" spans="1:76" x14ac:dyDescent="0.25">
      <c r="A28" s="2138">
        <v>11534</v>
      </c>
      <c r="B28" s="2334" t="s">
        <v>115</v>
      </c>
      <c r="C28" s="2255">
        <v>2600</v>
      </c>
      <c r="D28" s="2256">
        <v>2156.7399999999998</v>
      </c>
      <c r="E28" s="2256">
        <f t="shared" si="0"/>
        <v>-443.26000000000022</v>
      </c>
      <c r="F28" s="2257">
        <f t="shared" ref="F28:F33" si="74">((D28/C28)-1)*100</f>
        <v>-17.048461538461545</v>
      </c>
      <c r="G28" s="2257"/>
      <c r="H28" s="1724"/>
      <c r="I28" s="2255">
        <f t="shared" si="24"/>
        <v>2600</v>
      </c>
      <c r="J28" s="2256">
        <v>1715.27</v>
      </c>
      <c r="K28" s="2256">
        <f t="shared" ref="K28:K33" si="75">J28-I28</f>
        <v>-884.73</v>
      </c>
      <c r="L28" s="2257">
        <f t="shared" ref="L28:L33" si="76">((J28/I28)-1)*100</f>
        <v>-34.028076923076924</v>
      </c>
      <c r="M28" s="2257"/>
      <c r="N28" s="1724"/>
      <c r="O28" s="2255">
        <f t="shared" si="25"/>
        <v>2600</v>
      </c>
      <c r="P28" s="2256">
        <v>2446.14</v>
      </c>
      <c r="Q28" s="2256">
        <f t="shared" ref="Q28:Q33" si="77">P28-O28</f>
        <v>-153.86000000000013</v>
      </c>
      <c r="R28" s="2257">
        <f t="shared" ref="R28:R33" si="78">((P28/O28)-1)*100</f>
        <v>-5.9176923076923131</v>
      </c>
      <c r="S28" s="2257"/>
      <c r="T28" s="1724"/>
      <c r="U28" s="2255">
        <f t="shared" si="26"/>
        <v>2600</v>
      </c>
      <c r="V28" s="2256"/>
      <c r="W28" s="2256">
        <f t="shared" ref="W28:W33" si="79">V28-U28</f>
        <v>-2600</v>
      </c>
      <c r="X28" s="2257">
        <f t="shared" ref="X28:X33" si="80">((V28/U28)-1)*100</f>
        <v>-100</v>
      </c>
      <c r="Y28" s="2257"/>
      <c r="Z28" s="1724"/>
      <c r="AA28" s="2255">
        <f t="shared" si="27"/>
        <v>2600</v>
      </c>
      <c r="AB28" s="2256"/>
      <c r="AC28" s="2256">
        <f t="shared" ref="AC28:AC33" si="81">AB28-AA28</f>
        <v>-2600</v>
      </c>
      <c r="AD28" s="2257">
        <f t="shared" ref="AD28:AD33" si="82">((AB28/AA28)-1)*100</f>
        <v>-100</v>
      </c>
      <c r="AE28" s="2257"/>
      <c r="AF28" s="1724"/>
      <c r="AG28" s="2255">
        <f t="shared" si="28"/>
        <v>2600</v>
      </c>
      <c r="AH28" s="2256"/>
      <c r="AI28" s="2256">
        <f t="shared" ref="AI28:AI33" si="83">AH28-AG28</f>
        <v>-2600</v>
      </c>
      <c r="AJ28" s="2257">
        <f t="shared" ref="AJ28:AJ33" si="84">((AH28/AG28)-1)*100</f>
        <v>-100</v>
      </c>
      <c r="AK28" s="2257"/>
      <c r="AL28" s="1724"/>
      <c r="AM28" s="2255">
        <f t="shared" si="29"/>
        <v>2600</v>
      </c>
      <c r="AN28" s="2256"/>
      <c r="AO28" s="2256">
        <f t="shared" ref="AO28:AO33" si="85">AN28-AM28</f>
        <v>-2600</v>
      </c>
      <c r="AP28" s="2257">
        <f t="shared" ref="AP28:AP33" si="86">((AN28/AM28)-1)*100</f>
        <v>-100</v>
      </c>
      <c r="AQ28" s="2257"/>
      <c r="AR28" s="1724"/>
      <c r="AS28" s="2255">
        <f t="shared" si="30"/>
        <v>2600</v>
      </c>
      <c r="AT28" s="2256"/>
      <c r="AU28" s="2256">
        <f t="shared" ref="AU28:AU33" si="87">AT28-AS28</f>
        <v>-2600</v>
      </c>
      <c r="AV28" s="2257">
        <f t="shared" ref="AV28:AV33" si="88">((AT28/AS28)-1)*100</f>
        <v>-100</v>
      </c>
      <c r="AW28" s="2257"/>
      <c r="AX28" s="1724"/>
      <c r="AY28" s="2255">
        <f t="shared" si="31"/>
        <v>2600</v>
      </c>
      <c r="AZ28" s="2256"/>
      <c r="BA28" s="2256">
        <f t="shared" ref="BA28:BA33" si="89">AZ28-AY28</f>
        <v>-2600</v>
      </c>
      <c r="BB28" s="2257">
        <f t="shared" ref="BB28:BB33" si="90">((AZ28/AY28)-1)*100</f>
        <v>-100</v>
      </c>
      <c r="BC28" s="2257"/>
      <c r="BD28" s="1724"/>
      <c r="BE28" s="2255">
        <f t="shared" si="32"/>
        <v>2600</v>
      </c>
      <c r="BF28" s="2256"/>
      <c r="BG28" s="2256">
        <f t="shared" ref="BG28:BG33" si="91">BF28-BE28</f>
        <v>-2600</v>
      </c>
      <c r="BH28" s="2257">
        <f t="shared" ref="BH28:BH33" si="92">((BF28/BE28)-1)*100</f>
        <v>-100</v>
      </c>
      <c r="BI28" s="2257"/>
      <c r="BJ28" s="1724"/>
      <c r="BK28" s="2255">
        <f t="shared" ref="BK28:BK34" si="93">BE28</f>
        <v>2600</v>
      </c>
      <c r="BL28" s="2256"/>
      <c r="BM28" s="2256">
        <f t="shared" ref="BM28:BM33" si="94">BL28-BK28</f>
        <v>-2600</v>
      </c>
      <c r="BN28" s="2257">
        <f t="shared" ref="BN28:BN33" si="95">((BL28/BK28)-1)*100</f>
        <v>-100</v>
      </c>
      <c r="BO28" s="2257"/>
      <c r="BQ28" s="2255">
        <f t="shared" ref="BQ28:BQ34" si="96">BK28</f>
        <v>2600</v>
      </c>
      <c r="BR28" s="2256"/>
      <c r="BS28" s="2256">
        <f t="shared" ref="BS28:BS33" si="97">BR28-BQ28</f>
        <v>-2600</v>
      </c>
      <c r="BT28" s="2257">
        <f t="shared" ref="BT28:BT33" si="98">((BR28/BQ28)-1)*100</f>
        <v>-100</v>
      </c>
      <c r="BU28" s="2257"/>
      <c r="BW28" s="1758">
        <f>C28+I28+O28+U28+AA28+AG28+AM28+AS28+AY28+BE28+BK28+BQ28</f>
        <v>31200</v>
      </c>
      <c r="BX28" s="1761">
        <f t="shared" ref="BX28:BX33" si="99">D28+J28+P28+V28+AB28+AH28+AN28+AT28+AZ28+BF28+BL28+BR28</f>
        <v>6318.15</v>
      </c>
    </row>
    <row r="29" spans="1:76" x14ac:dyDescent="0.25">
      <c r="A29" s="2138">
        <v>11510</v>
      </c>
      <c r="B29" s="2327" t="s">
        <v>105</v>
      </c>
      <c r="C29" s="1765">
        <v>12000</v>
      </c>
      <c r="D29" s="1766">
        <v>11500</v>
      </c>
      <c r="E29" s="1766">
        <f t="shared" si="0"/>
        <v>-500</v>
      </c>
      <c r="F29" s="1770">
        <f t="shared" si="74"/>
        <v>-4.1666666666666625</v>
      </c>
      <c r="G29" s="1770"/>
      <c r="H29" s="1724"/>
      <c r="I29" s="1765">
        <f t="shared" si="24"/>
        <v>12000</v>
      </c>
      <c r="J29" s="1766">
        <v>11699.55</v>
      </c>
      <c r="K29" s="1766">
        <f t="shared" si="75"/>
        <v>-300.45000000000073</v>
      </c>
      <c r="L29" s="1770">
        <f t="shared" si="76"/>
        <v>-2.5037500000000046</v>
      </c>
      <c r="M29" s="1770"/>
      <c r="N29" s="1724"/>
      <c r="O29" s="1765">
        <f t="shared" si="25"/>
        <v>12000</v>
      </c>
      <c r="P29" s="1766">
        <v>11500</v>
      </c>
      <c r="Q29" s="1766">
        <f t="shared" si="77"/>
        <v>-500</v>
      </c>
      <c r="R29" s="1770">
        <f t="shared" si="78"/>
        <v>-4.1666666666666625</v>
      </c>
      <c r="S29" s="1770"/>
      <c r="T29" s="1724"/>
      <c r="U29" s="1765">
        <f t="shared" si="26"/>
        <v>12000</v>
      </c>
      <c r="V29" s="1766"/>
      <c r="W29" s="1766">
        <f t="shared" si="79"/>
        <v>-12000</v>
      </c>
      <c r="X29" s="1770">
        <f t="shared" si="80"/>
        <v>-100</v>
      </c>
      <c r="Y29" s="1770"/>
      <c r="Z29" s="1724"/>
      <c r="AA29" s="1765">
        <f t="shared" si="27"/>
        <v>12000</v>
      </c>
      <c r="AB29" s="1766"/>
      <c r="AC29" s="1766">
        <f t="shared" si="81"/>
        <v>-12000</v>
      </c>
      <c r="AD29" s="1770">
        <f t="shared" si="82"/>
        <v>-100</v>
      </c>
      <c r="AE29" s="1770"/>
      <c r="AF29" s="1724"/>
      <c r="AG29" s="1765">
        <f t="shared" si="28"/>
        <v>12000</v>
      </c>
      <c r="AH29" s="1766"/>
      <c r="AI29" s="1766">
        <f t="shared" si="83"/>
        <v>-12000</v>
      </c>
      <c r="AJ29" s="1770">
        <f t="shared" si="84"/>
        <v>-100</v>
      </c>
      <c r="AK29" s="1770"/>
      <c r="AL29" s="1724"/>
      <c r="AM29" s="1765">
        <f t="shared" si="29"/>
        <v>12000</v>
      </c>
      <c r="AN29" s="1766"/>
      <c r="AO29" s="1766">
        <f t="shared" si="85"/>
        <v>-12000</v>
      </c>
      <c r="AP29" s="1770">
        <f t="shared" si="86"/>
        <v>-100</v>
      </c>
      <c r="AQ29" s="1770"/>
      <c r="AR29" s="1724"/>
      <c r="AS29" s="1765">
        <f t="shared" si="30"/>
        <v>12000</v>
      </c>
      <c r="AT29" s="1766"/>
      <c r="AU29" s="1766">
        <f t="shared" si="87"/>
        <v>-12000</v>
      </c>
      <c r="AV29" s="1770">
        <f t="shared" si="88"/>
        <v>-100</v>
      </c>
      <c r="AW29" s="1770"/>
      <c r="AX29" s="1724"/>
      <c r="AY29" s="1765">
        <f t="shared" si="31"/>
        <v>12000</v>
      </c>
      <c r="AZ29" s="1766"/>
      <c r="BA29" s="1766">
        <f t="shared" si="89"/>
        <v>-12000</v>
      </c>
      <c r="BB29" s="1770">
        <f t="shared" si="90"/>
        <v>-100</v>
      </c>
      <c r="BC29" s="1770"/>
      <c r="BD29" s="1724"/>
      <c r="BE29" s="1765">
        <f t="shared" si="32"/>
        <v>12000</v>
      </c>
      <c r="BF29" s="1766"/>
      <c r="BG29" s="1766">
        <f t="shared" si="91"/>
        <v>-12000</v>
      </c>
      <c r="BH29" s="1770">
        <f t="shared" si="92"/>
        <v>-100</v>
      </c>
      <c r="BI29" s="1770"/>
      <c r="BJ29" s="1724"/>
      <c r="BK29" s="1765">
        <f t="shared" si="93"/>
        <v>12000</v>
      </c>
      <c r="BL29" s="1766"/>
      <c r="BM29" s="1766">
        <f t="shared" si="94"/>
        <v>-12000</v>
      </c>
      <c r="BN29" s="1770">
        <f t="shared" si="95"/>
        <v>-100</v>
      </c>
      <c r="BO29" s="1770"/>
      <c r="BQ29" s="1765">
        <f t="shared" si="96"/>
        <v>12000</v>
      </c>
      <c r="BR29" s="1766"/>
      <c r="BS29" s="1766">
        <f t="shared" si="97"/>
        <v>-12000</v>
      </c>
      <c r="BT29" s="1770">
        <f t="shared" si="98"/>
        <v>-100</v>
      </c>
      <c r="BU29" s="1770"/>
      <c r="BW29" s="1767">
        <f t="shared" ref="BW29:BW33" si="100">C29+I29+O29+U29+AA29+AG29+AM29+AS29+AY29+BE29+BK29+BQ29</f>
        <v>144000</v>
      </c>
      <c r="BX29" s="1770">
        <f t="shared" si="99"/>
        <v>34699.550000000003</v>
      </c>
    </row>
    <row r="30" spans="1:76" x14ac:dyDescent="0.25">
      <c r="A30" s="2138">
        <v>11516</v>
      </c>
      <c r="B30" s="2327" t="s">
        <v>3762</v>
      </c>
      <c r="C30" s="1765">
        <v>1500</v>
      </c>
      <c r="D30" s="1766">
        <v>1313</v>
      </c>
      <c r="E30" s="1766">
        <f t="shared" si="0"/>
        <v>-187</v>
      </c>
      <c r="F30" s="1770">
        <f t="shared" si="74"/>
        <v>-12.46666666666667</v>
      </c>
      <c r="G30" s="1770"/>
      <c r="H30" s="1724"/>
      <c r="I30" s="1765">
        <f t="shared" si="24"/>
        <v>1500</v>
      </c>
      <c r="J30" s="1766">
        <v>1313</v>
      </c>
      <c r="K30" s="1766">
        <f t="shared" si="75"/>
        <v>-187</v>
      </c>
      <c r="L30" s="1770">
        <f t="shared" si="76"/>
        <v>-12.46666666666667</v>
      </c>
      <c r="M30" s="1770"/>
      <c r="N30" s="1724"/>
      <c r="O30" s="1765">
        <f t="shared" si="25"/>
        <v>1500</v>
      </c>
      <c r="P30" s="1766">
        <v>1313</v>
      </c>
      <c r="Q30" s="1766">
        <f t="shared" si="77"/>
        <v>-187</v>
      </c>
      <c r="R30" s="1770">
        <f t="shared" si="78"/>
        <v>-12.46666666666667</v>
      </c>
      <c r="S30" s="1770"/>
      <c r="T30" s="1724"/>
      <c r="U30" s="1765">
        <f t="shared" si="26"/>
        <v>1500</v>
      </c>
      <c r="V30" s="1766"/>
      <c r="W30" s="1766">
        <f t="shared" si="79"/>
        <v>-1500</v>
      </c>
      <c r="X30" s="1770">
        <f t="shared" si="80"/>
        <v>-100</v>
      </c>
      <c r="Y30" s="1770"/>
      <c r="Z30" s="1724"/>
      <c r="AA30" s="1765">
        <f t="shared" si="27"/>
        <v>1500</v>
      </c>
      <c r="AB30" s="1766"/>
      <c r="AC30" s="1766">
        <f t="shared" si="81"/>
        <v>-1500</v>
      </c>
      <c r="AD30" s="1770">
        <f t="shared" si="82"/>
        <v>-100</v>
      </c>
      <c r="AE30" s="1770"/>
      <c r="AF30" s="1724"/>
      <c r="AG30" s="1765">
        <f t="shared" si="28"/>
        <v>1500</v>
      </c>
      <c r="AH30" s="1766"/>
      <c r="AI30" s="1766">
        <f t="shared" si="83"/>
        <v>-1500</v>
      </c>
      <c r="AJ30" s="1770">
        <f t="shared" si="84"/>
        <v>-100</v>
      </c>
      <c r="AK30" s="1770"/>
      <c r="AL30" s="1724"/>
      <c r="AM30" s="1765">
        <f t="shared" si="29"/>
        <v>1500</v>
      </c>
      <c r="AN30" s="1766"/>
      <c r="AO30" s="1766">
        <f t="shared" si="85"/>
        <v>-1500</v>
      </c>
      <c r="AP30" s="1770">
        <f t="shared" si="86"/>
        <v>-100</v>
      </c>
      <c r="AQ30" s="1770"/>
      <c r="AR30" s="1724"/>
      <c r="AS30" s="1765">
        <f t="shared" si="30"/>
        <v>1500</v>
      </c>
      <c r="AT30" s="1766"/>
      <c r="AU30" s="1766">
        <f t="shared" si="87"/>
        <v>-1500</v>
      </c>
      <c r="AV30" s="1770">
        <f t="shared" si="88"/>
        <v>-100</v>
      </c>
      <c r="AW30" s="1770"/>
      <c r="AX30" s="1724"/>
      <c r="AY30" s="1765">
        <f t="shared" si="31"/>
        <v>1500</v>
      </c>
      <c r="AZ30" s="1766"/>
      <c r="BA30" s="1766">
        <f t="shared" si="89"/>
        <v>-1500</v>
      </c>
      <c r="BB30" s="1770">
        <f t="shared" si="90"/>
        <v>-100</v>
      </c>
      <c r="BC30" s="1770"/>
      <c r="BD30" s="1724"/>
      <c r="BE30" s="1765">
        <f t="shared" si="32"/>
        <v>1500</v>
      </c>
      <c r="BF30" s="1766"/>
      <c r="BG30" s="1766">
        <f t="shared" si="91"/>
        <v>-1500</v>
      </c>
      <c r="BH30" s="1770">
        <f t="shared" si="92"/>
        <v>-100</v>
      </c>
      <c r="BI30" s="1770"/>
      <c r="BJ30" s="1724"/>
      <c r="BK30" s="1765">
        <f t="shared" si="93"/>
        <v>1500</v>
      </c>
      <c r="BL30" s="1766"/>
      <c r="BM30" s="1766">
        <f t="shared" si="94"/>
        <v>-1500</v>
      </c>
      <c r="BN30" s="1770">
        <f t="shared" si="95"/>
        <v>-100</v>
      </c>
      <c r="BO30" s="1770"/>
      <c r="BQ30" s="1765">
        <f t="shared" si="96"/>
        <v>1500</v>
      </c>
      <c r="BR30" s="1766"/>
      <c r="BS30" s="1766">
        <f t="shared" si="97"/>
        <v>-1500</v>
      </c>
      <c r="BT30" s="1770">
        <f t="shared" si="98"/>
        <v>-100</v>
      </c>
      <c r="BU30" s="1770"/>
      <c r="BW30" s="1767">
        <f t="shared" si="100"/>
        <v>18000</v>
      </c>
      <c r="BX30" s="1770">
        <f t="shared" si="99"/>
        <v>3939</v>
      </c>
    </row>
    <row r="31" spans="1:76" x14ac:dyDescent="0.25">
      <c r="A31" s="2138">
        <v>11522</v>
      </c>
      <c r="B31" s="2327" t="s">
        <v>111</v>
      </c>
      <c r="C31" s="1765">
        <v>95000</v>
      </c>
      <c r="D31" s="1766">
        <v>145670.20000000001</v>
      </c>
      <c r="E31" s="1766">
        <f t="shared" si="0"/>
        <v>50670.200000000012</v>
      </c>
      <c r="F31" s="1770">
        <f t="shared" si="74"/>
        <v>53.337052631578949</v>
      </c>
      <c r="G31" s="1770"/>
      <c r="H31" s="1724"/>
      <c r="I31" s="1765">
        <f t="shared" si="24"/>
        <v>95000</v>
      </c>
      <c r="J31" s="1766">
        <v>105202.97</v>
      </c>
      <c r="K31" s="1766">
        <f t="shared" si="75"/>
        <v>10202.970000000001</v>
      </c>
      <c r="L31" s="1770">
        <f t="shared" si="76"/>
        <v>10.739968421052627</v>
      </c>
      <c r="M31" s="1770"/>
      <c r="N31" s="1724"/>
      <c r="O31" s="1765">
        <f t="shared" si="25"/>
        <v>95000</v>
      </c>
      <c r="P31" s="1766">
        <v>87131.51</v>
      </c>
      <c r="Q31" s="1766">
        <f t="shared" si="77"/>
        <v>-7868.4900000000052</v>
      </c>
      <c r="R31" s="1770">
        <f t="shared" si="78"/>
        <v>-8.2826210526315887</v>
      </c>
      <c r="S31" s="1770"/>
      <c r="T31" s="1724"/>
      <c r="U31" s="1765">
        <f t="shared" si="26"/>
        <v>95000</v>
      </c>
      <c r="V31" s="1766"/>
      <c r="W31" s="1766">
        <f t="shared" si="79"/>
        <v>-95000</v>
      </c>
      <c r="X31" s="1770">
        <f t="shared" si="80"/>
        <v>-100</v>
      </c>
      <c r="Y31" s="1770"/>
      <c r="Z31" s="1724"/>
      <c r="AA31" s="1765">
        <f t="shared" si="27"/>
        <v>95000</v>
      </c>
      <c r="AB31" s="1766"/>
      <c r="AC31" s="1766">
        <f t="shared" si="81"/>
        <v>-95000</v>
      </c>
      <c r="AD31" s="1770">
        <f t="shared" si="82"/>
        <v>-100</v>
      </c>
      <c r="AE31" s="1770"/>
      <c r="AF31" s="1724"/>
      <c r="AG31" s="1765">
        <f t="shared" si="28"/>
        <v>95000</v>
      </c>
      <c r="AH31" s="1766"/>
      <c r="AI31" s="1766">
        <f t="shared" si="83"/>
        <v>-95000</v>
      </c>
      <c r="AJ31" s="1770">
        <f t="shared" si="84"/>
        <v>-100</v>
      </c>
      <c r="AK31" s="1770"/>
      <c r="AL31" s="1724"/>
      <c r="AM31" s="1765">
        <f t="shared" si="29"/>
        <v>95000</v>
      </c>
      <c r="AN31" s="1766"/>
      <c r="AO31" s="1766">
        <f t="shared" si="85"/>
        <v>-95000</v>
      </c>
      <c r="AP31" s="1770">
        <f t="shared" si="86"/>
        <v>-100</v>
      </c>
      <c r="AQ31" s="1770"/>
      <c r="AR31" s="1724"/>
      <c r="AS31" s="1765">
        <f t="shared" si="30"/>
        <v>95000</v>
      </c>
      <c r="AT31" s="1766"/>
      <c r="AU31" s="1766">
        <f t="shared" si="87"/>
        <v>-95000</v>
      </c>
      <c r="AV31" s="1770">
        <f t="shared" si="88"/>
        <v>-100</v>
      </c>
      <c r="AW31" s="1770"/>
      <c r="AX31" s="1724"/>
      <c r="AY31" s="1765">
        <f t="shared" si="31"/>
        <v>95000</v>
      </c>
      <c r="AZ31" s="1766"/>
      <c r="BA31" s="1766">
        <f t="shared" si="89"/>
        <v>-95000</v>
      </c>
      <c r="BB31" s="1770">
        <f t="shared" si="90"/>
        <v>-100</v>
      </c>
      <c r="BC31" s="1770"/>
      <c r="BD31" s="1724"/>
      <c r="BE31" s="1765">
        <f t="shared" si="32"/>
        <v>95000</v>
      </c>
      <c r="BF31" s="1766"/>
      <c r="BG31" s="1766">
        <f t="shared" si="91"/>
        <v>-95000</v>
      </c>
      <c r="BH31" s="1770">
        <f t="shared" si="92"/>
        <v>-100</v>
      </c>
      <c r="BI31" s="1770"/>
      <c r="BJ31" s="1724"/>
      <c r="BK31" s="1765">
        <f t="shared" si="93"/>
        <v>95000</v>
      </c>
      <c r="BL31" s="1766"/>
      <c r="BM31" s="1766">
        <f t="shared" si="94"/>
        <v>-95000</v>
      </c>
      <c r="BN31" s="1770">
        <f t="shared" si="95"/>
        <v>-100</v>
      </c>
      <c r="BO31" s="1770"/>
      <c r="BQ31" s="1765">
        <f t="shared" si="96"/>
        <v>95000</v>
      </c>
      <c r="BR31" s="1766"/>
      <c r="BS31" s="1766">
        <f t="shared" si="97"/>
        <v>-95000</v>
      </c>
      <c r="BT31" s="1770">
        <f t="shared" si="98"/>
        <v>-100</v>
      </c>
      <c r="BU31" s="1770"/>
      <c r="BW31" s="1767">
        <f t="shared" si="100"/>
        <v>1140000</v>
      </c>
      <c r="BX31" s="1770">
        <f t="shared" si="99"/>
        <v>338004.68</v>
      </c>
    </row>
    <row r="32" spans="1:76" x14ac:dyDescent="0.25">
      <c r="A32" s="2138">
        <v>11527</v>
      </c>
      <c r="B32" s="2327" t="s">
        <v>112</v>
      </c>
      <c r="C32" s="1765">
        <v>2500</v>
      </c>
      <c r="D32" s="1766">
        <v>11042.6</v>
      </c>
      <c r="E32" s="1766">
        <f t="shared" si="0"/>
        <v>8542.6</v>
      </c>
      <c r="F32" s="1770">
        <f t="shared" si="74"/>
        <v>341.70400000000001</v>
      </c>
      <c r="G32" s="1770"/>
      <c r="H32" s="1724"/>
      <c r="I32" s="1765">
        <f t="shared" si="24"/>
        <v>2500</v>
      </c>
      <c r="J32" s="1766">
        <v>9643.11</v>
      </c>
      <c r="K32" s="1766">
        <f t="shared" si="75"/>
        <v>7143.1100000000006</v>
      </c>
      <c r="L32" s="1770">
        <f t="shared" si="76"/>
        <v>285.7244</v>
      </c>
      <c r="M32" s="1770"/>
      <c r="N32" s="1724"/>
      <c r="O32" s="1765">
        <f t="shared" si="25"/>
        <v>2500</v>
      </c>
      <c r="P32" s="1766">
        <v>10963.88</v>
      </c>
      <c r="Q32" s="1766">
        <f t="shared" si="77"/>
        <v>8463.8799999999992</v>
      </c>
      <c r="R32" s="1770">
        <f t="shared" si="78"/>
        <v>338.55519999999996</v>
      </c>
      <c r="S32" s="1770"/>
      <c r="T32" s="1724"/>
      <c r="U32" s="1765">
        <f t="shared" si="26"/>
        <v>2500</v>
      </c>
      <c r="V32" s="1766"/>
      <c r="W32" s="1766">
        <f t="shared" si="79"/>
        <v>-2500</v>
      </c>
      <c r="X32" s="1770">
        <f t="shared" si="80"/>
        <v>-100</v>
      </c>
      <c r="Y32" s="1770"/>
      <c r="Z32" s="1724"/>
      <c r="AA32" s="1765">
        <f t="shared" si="27"/>
        <v>2500</v>
      </c>
      <c r="AB32" s="1766"/>
      <c r="AC32" s="1766">
        <f t="shared" si="81"/>
        <v>-2500</v>
      </c>
      <c r="AD32" s="1770">
        <f t="shared" si="82"/>
        <v>-100</v>
      </c>
      <c r="AE32" s="1770"/>
      <c r="AF32" s="1724"/>
      <c r="AG32" s="1765">
        <f t="shared" si="28"/>
        <v>2500</v>
      </c>
      <c r="AH32" s="1766"/>
      <c r="AI32" s="1766">
        <f t="shared" si="83"/>
        <v>-2500</v>
      </c>
      <c r="AJ32" s="1770">
        <f t="shared" si="84"/>
        <v>-100</v>
      </c>
      <c r="AK32" s="1770"/>
      <c r="AL32" s="1724"/>
      <c r="AM32" s="1765">
        <f t="shared" si="29"/>
        <v>2500</v>
      </c>
      <c r="AN32" s="1766"/>
      <c r="AO32" s="1766">
        <f t="shared" si="85"/>
        <v>-2500</v>
      </c>
      <c r="AP32" s="1770">
        <f t="shared" si="86"/>
        <v>-100</v>
      </c>
      <c r="AQ32" s="1770"/>
      <c r="AR32" s="1724"/>
      <c r="AS32" s="1765">
        <f t="shared" si="30"/>
        <v>2500</v>
      </c>
      <c r="AT32" s="1766"/>
      <c r="AU32" s="1766">
        <f t="shared" si="87"/>
        <v>-2500</v>
      </c>
      <c r="AV32" s="1770">
        <f t="shared" si="88"/>
        <v>-100</v>
      </c>
      <c r="AW32" s="1770"/>
      <c r="AX32" s="1724"/>
      <c r="AY32" s="1765">
        <f t="shared" si="31"/>
        <v>2500</v>
      </c>
      <c r="AZ32" s="1766"/>
      <c r="BA32" s="1766">
        <f t="shared" si="89"/>
        <v>-2500</v>
      </c>
      <c r="BB32" s="1770">
        <f t="shared" si="90"/>
        <v>-100</v>
      </c>
      <c r="BC32" s="1770"/>
      <c r="BD32" s="1724"/>
      <c r="BE32" s="1765">
        <f t="shared" si="32"/>
        <v>2500</v>
      </c>
      <c r="BF32" s="1766"/>
      <c r="BG32" s="1766">
        <f t="shared" si="91"/>
        <v>-2500</v>
      </c>
      <c r="BH32" s="1770">
        <f t="shared" si="92"/>
        <v>-100</v>
      </c>
      <c r="BI32" s="1770"/>
      <c r="BJ32" s="1724"/>
      <c r="BK32" s="1765">
        <f t="shared" si="93"/>
        <v>2500</v>
      </c>
      <c r="BL32" s="1766"/>
      <c r="BM32" s="1766">
        <f t="shared" si="94"/>
        <v>-2500</v>
      </c>
      <c r="BN32" s="1770">
        <f t="shared" si="95"/>
        <v>-100</v>
      </c>
      <c r="BO32" s="1770"/>
      <c r="BQ32" s="1765">
        <f t="shared" si="96"/>
        <v>2500</v>
      </c>
      <c r="BR32" s="1766"/>
      <c r="BS32" s="1766">
        <f t="shared" si="97"/>
        <v>-2500</v>
      </c>
      <c r="BT32" s="1770">
        <f t="shared" si="98"/>
        <v>-100</v>
      </c>
      <c r="BU32" s="1770"/>
      <c r="BW32" s="1767">
        <f t="shared" si="100"/>
        <v>30000</v>
      </c>
      <c r="BX32" s="1770">
        <f t="shared" si="99"/>
        <v>31649.589999999997</v>
      </c>
    </row>
    <row r="33" spans="1:76" ht="15.75" thickBot="1" x14ac:dyDescent="0.3">
      <c r="A33" s="2135">
        <v>11820</v>
      </c>
      <c r="B33" s="2328" t="s">
        <v>330</v>
      </c>
      <c r="C33" s="2247">
        <v>1000</v>
      </c>
      <c r="D33" s="2248">
        <v>41371.29</v>
      </c>
      <c r="E33" s="2248">
        <f t="shared" si="0"/>
        <v>40371.29</v>
      </c>
      <c r="F33" s="2251">
        <f t="shared" si="74"/>
        <v>4037.1290000000004</v>
      </c>
      <c r="G33" s="2251"/>
      <c r="H33" s="1724"/>
      <c r="I33" s="2247">
        <f t="shared" si="24"/>
        <v>1000</v>
      </c>
      <c r="J33" s="2248">
        <v>15859.83</v>
      </c>
      <c r="K33" s="2248">
        <f t="shared" si="75"/>
        <v>14859.83</v>
      </c>
      <c r="L33" s="2251">
        <f t="shared" si="76"/>
        <v>1485.9829999999999</v>
      </c>
      <c r="M33" s="2251"/>
      <c r="N33" s="1724"/>
      <c r="O33" s="2247">
        <f t="shared" si="25"/>
        <v>1000</v>
      </c>
      <c r="P33" s="2248">
        <v>-452.11</v>
      </c>
      <c r="Q33" s="2248">
        <f t="shared" si="77"/>
        <v>-1452.1100000000001</v>
      </c>
      <c r="R33" s="2251">
        <f t="shared" si="78"/>
        <v>-145.21100000000001</v>
      </c>
      <c r="S33" s="2251"/>
      <c r="T33" s="1724"/>
      <c r="U33" s="2247">
        <f t="shared" si="26"/>
        <v>1000</v>
      </c>
      <c r="V33" s="2248"/>
      <c r="W33" s="2248">
        <f t="shared" si="79"/>
        <v>-1000</v>
      </c>
      <c r="X33" s="2251">
        <f t="shared" si="80"/>
        <v>-100</v>
      </c>
      <c r="Y33" s="2251"/>
      <c r="Z33" s="1724"/>
      <c r="AA33" s="2247">
        <f t="shared" si="27"/>
        <v>1000</v>
      </c>
      <c r="AB33" s="2248"/>
      <c r="AC33" s="2248">
        <f t="shared" si="81"/>
        <v>-1000</v>
      </c>
      <c r="AD33" s="2251">
        <f t="shared" si="82"/>
        <v>-100</v>
      </c>
      <c r="AE33" s="2251"/>
      <c r="AF33" s="1724"/>
      <c r="AG33" s="2247">
        <f t="shared" si="28"/>
        <v>1000</v>
      </c>
      <c r="AH33" s="2248"/>
      <c r="AI33" s="2248">
        <f t="shared" si="83"/>
        <v>-1000</v>
      </c>
      <c r="AJ33" s="2251">
        <f t="shared" si="84"/>
        <v>-100</v>
      </c>
      <c r="AK33" s="2251"/>
      <c r="AL33" s="1724"/>
      <c r="AM33" s="2247">
        <f t="shared" si="29"/>
        <v>1000</v>
      </c>
      <c r="AN33" s="2248"/>
      <c r="AO33" s="2248">
        <f t="shared" si="85"/>
        <v>-1000</v>
      </c>
      <c r="AP33" s="2251">
        <f t="shared" si="86"/>
        <v>-100</v>
      </c>
      <c r="AQ33" s="2251"/>
      <c r="AR33" s="1724"/>
      <c r="AS33" s="2247">
        <f t="shared" si="30"/>
        <v>1000</v>
      </c>
      <c r="AT33" s="2248"/>
      <c r="AU33" s="2248">
        <f t="shared" si="87"/>
        <v>-1000</v>
      </c>
      <c r="AV33" s="2251">
        <f t="shared" si="88"/>
        <v>-100</v>
      </c>
      <c r="AW33" s="2251"/>
      <c r="AX33" s="1724"/>
      <c r="AY33" s="2247">
        <f t="shared" si="31"/>
        <v>1000</v>
      </c>
      <c r="AZ33" s="2248"/>
      <c r="BA33" s="2248">
        <f t="shared" si="89"/>
        <v>-1000</v>
      </c>
      <c r="BB33" s="2251">
        <f t="shared" si="90"/>
        <v>-100</v>
      </c>
      <c r="BC33" s="2251"/>
      <c r="BD33" s="1724"/>
      <c r="BE33" s="2247">
        <f t="shared" si="32"/>
        <v>1000</v>
      </c>
      <c r="BF33" s="2248"/>
      <c r="BG33" s="2248">
        <f t="shared" si="91"/>
        <v>-1000</v>
      </c>
      <c r="BH33" s="2251">
        <f t="shared" si="92"/>
        <v>-100</v>
      </c>
      <c r="BI33" s="2251"/>
      <c r="BJ33" s="1724"/>
      <c r="BK33" s="2247">
        <f t="shared" si="93"/>
        <v>1000</v>
      </c>
      <c r="BL33" s="2248"/>
      <c r="BM33" s="2248">
        <f t="shared" si="94"/>
        <v>-1000</v>
      </c>
      <c r="BN33" s="2251">
        <f t="shared" si="95"/>
        <v>-100</v>
      </c>
      <c r="BO33" s="2251"/>
      <c r="BQ33" s="2247">
        <f t="shared" si="96"/>
        <v>1000</v>
      </c>
      <c r="BR33" s="2248"/>
      <c r="BS33" s="2248">
        <f t="shared" si="97"/>
        <v>-1000</v>
      </c>
      <c r="BT33" s="2251">
        <f t="shared" si="98"/>
        <v>-100</v>
      </c>
      <c r="BU33" s="2251"/>
      <c r="BW33" s="1774">
        <f t="shared" si="100"/>
        <v>12000</v>
      </c>
      <c r="BX33" s="2322">
        <f t="shared" si="99"/>
        <v>56779.01</v>
      </c>
    </row>
    <row r="34" spans="1:76" x14ac:dyDescent="0.25">
      <c r="A34" s="2134">
        <v>11122</v>
      </c>
      <c r="B34" s="2326" t="s">
        <v>3887</v>
      </c>
      <c r="C34" s="2837">
        <v>520000</v>
      </c>
      <c r="D34" s="1757">
        <v>2789.13</v>
      </c>
      <c r="E34" s="2878">
        <f>D34+D35+D36+D37+D38+D39-C34</f>
        <v>108597.22999999998</v>
      </c>
      <c r="F34" s="2880">
        <f>((SUM(D34:D39)/C34)-1)*100</f>
        <v>20.884082692307683</v>
      </c>
      <c r="G34" s="2253"/>
      <c r="H34" s="1724"/>
      <c r="I34" s="2837">
        <f t="shared" si="24"/>
        <v>520000</v>
      </c>
      <c r="J34" s="1757">
        <v>12573.88</v>
      </c>
      <c r="K34" s="2878">
        <f>J34+J35+J36+J37+J38+J39-I34</f>
        <v>59985.390000000014</v>
      </c>
      <c r="L34" s="2880">
        <f>((SUM(J34:J39)/I34)-1)*100</f>
        <v>11.535651923076928</v>
      </c>
      <c r="M34" s="2253"/>
      <c r="N34" s="1724"/>
      <c r="O34" s="2837">
        <f>I34+150000</f>
        <v>670000</v>
      </c>
      <c r="P34" s="1757">
        <v>868.2</v>
      </c>
      <c r="Q34" s="2878">
        <f>P34+P35+P36+P37+P38+P39-O34</f>
        <v>-113206.71999999997</v>
      </c>
      <c r="R34" s="2880">
        <f>((SUM(P34:P39)/O34)-1)*100</f>
        <v>-16.89652537313432</v>
      </c>
      <c r="S34" s="2253"/>
      <c r="T34" s="1724"/>
      <c r="U34" s="2837">
        <f t="shared" si="26"/>
        <v>670000</v>
      </c>
      <c r="V34" s="1757"/>
      <c r="W34" s="2878">
        <f>V34+V35+V36+V37+V38+V39-U34</f>
        <v>-670000</v>
      </c>
      <c r="X34" s="2880">
        <f>((SUM(V34:V39)/U34)-1)*100</f>
        <v>-100</v>
      </c>
      <c r="Y34" s="2253"/>
      <c r="Z34" s="1724"/>
      <c r="AA34" s="2837">
        <f t="shared" si="27"/>
        <v>670000</v>
      </c>
      <c r="AB34" s="1757"/>
      <c r="AC34" s="2878">
        <f>AB34+AB35+AB36+AB37+AB38+AB39-AA34</f>
        <v>-670000</v>
      </c>
      <c r="AD34" s="2880">
        <f>((SUM(AB34:AB39)/AA34)-1)*100</f>
        <v>-100</v>
      </c>
      <c r="AE34" s="2253"/>
      <c r="AF34" s="1724"/>
      <c r="AG34" s="2837">
        <f t="shared" si="28"/>
        <v>670000</v>
      </c>
      <c r="AH34" s="1757"/>
      <c r="AI34" s="2878">
        <f>AH34+AH35+AH36+AH37+AH38+AH39-AG34</f>
        <v>-670000</v>
      </c>
      <c r="AJ34" s="2880">
        <f>((SUM(AH34:AH39)/AG34)-1)*100</f>
        <v>-100</v>
      </c>
      <c r="AK34" s="2253"/>
      <c r="AL34" s="1724"/>
      <c r="AM34" s="2837">
        <f t="shared" si="29"/>
        <v>670000</v>
      </c>
      <c r="AN34" s="1757"/>
      <c r="AO34" s="2878">
        <f>AN34+AN35+AN36+AN37+AN38+AN39-AM34</f>
        <v>-670000</v>
      </c>
      <c r="AP34" s="2880">
        <f>((SUM(AN34:AN39)/AM34)-1)*100</f>
        <v>-100</v>
      </c>
      <c r="AQ34" s="2253"/>
      <c r="AR34" s="1724"/>
      <c r="AS34" s="2837">
        <f t="shared" si="30"/>
        <v>670000</v>
      </c>
      <c r="AT34" s="1757"/>
      <c r="AU34" s="2878">
        <f>AT34+AT35+AT36+AT37+AT38+AT39-AS34</f>
        <v>-670000</v>
      </c>
      <c r="AV34" s="2880">
        <f>((SUM(AT34:AT39)/AS34)-1)*100</f>
        <v>-100</v>
      </c>
      <c r="AW34" s="2253"/>
      <c r="AX34" s="1724"/>
      <c r="AY34" s="2837">
        <f t="shared" si="31"/>
        <v>670000</v>
      </c>
      <c r="AZ34" s="1757"/>
      <c r="BA34" s="2878">
        <f>AZ34+AZ35+AZ36+AZ37+AZ38+AZ39-AY34</f>
        <v>-670000</v>
      </c>
      <c r="BB34" s="2880">
        <f>((SUM(AZ34:AZ39)/AY34)-1)*100</f>
        <v>-100</v>
      </c>
      <c r="BC34" s="2253"/>
      <c r="BD34" s="1724"/>
      <c r="BE34" s="2837">
        <f t="shared" si="32"/>
        <v>670000</v>
      </c>
      <c r="BF34" s="1757"/>
      <c r="BG34" s="2878">
        <f>BF34+BF35+BF36+BF37+BF38+BF39-BE34</f>
        <v>-670000</v>
      </c>
      <c r="BH34" s="2880">
        <f>((SUM(BF34:BF39)/BE34)-1)*100</f>
        <v>-100</v>
      </c>
      <c r="BI34" s="2253"/>
      <c r="BJ34" s="1724"/>
      <c r="BK34" s="2837">
        <f t="shared" si="93"/>
        <v>670000</v>
      </c>
      <c r="BL34" s="1757"/>
      <c r="BM34" s="2878">
        <f>BL34+BL35+BL36+BL37+BL38+BL39-BK34</f>
        <v>-670000</v>
      </c>
      <c r="BN34" s="2880">
        <f>((SUM(BL34:BL39)/BK34)-1)*100</f>
        <v>-100</v>
      </c>
      <c r="BO34" s="2253"/>
      <c r="BQ34" s="2837">
        <f t="shared" si="96"/>
        <v>670000</v>
      </c>
      <c r="BR34" s="1757"/>
      <c r="BS34" s="2878">
        <f>BR34+BR35+BR36+BR37+BR38+BR39-BQ34</f>
        <v>-670000</v>
      </c>
      <c r="BT34" s="2880">
        <f>((SUM(BR34:BR39)/BQ34)-1)*100</f>
        <v>-100</v>
      </c>
      <c r="BU34" s="2253"/>
      <c r="BW34" s="2809">
        <f>C34+I34+O34+U34+AA34+AG34+AM34+AS34+AY34+BE34+BK34+BQ34</f>
        <v>7740000</v>
      </c>
      <c r="BX34" s="2918">
        <f>SUM(D34:D39)+SUM(J34:J39)+SUM(P34:P39)+SUM(V34:V39)+SUM(AB34:AB39)+SUM(AH34:AH39)+SUM(AN34:AN39)+SUM(AT34:AT39)+SUM(AZ34:AZ39)+SUM(BF34:BF39)+SUM(BL34:BL39)+SUM(BR34:BR39)</f>
        <v>1765375.9000000001</v>
      </c>
    </row>
    <row r="35" spans="1:76" x14ac:dyDescent="0.25">
      <c r="A35" s="2138">
        <v>11177</v>
      </c>
      <c r="B35" s="2327" t="s">
        <v>3888</v>
      </c>
      <c r="C35" s="2838"/>
      <c r="D35" s="1766">
        <v>819.35</v>
      </c>
      <c r="E35" s="2914"/>
      <c r="F35" s="2915" t="e">
        <f t="shared" ref="F35:F39" si="101">((SUM(D35:D39)/C35)-1)*100</f>
        <v>#DIV/0!</v>
      </c>
      <c r="G35" s="2319"/>
      <c r="H35" s="1724"/>
      <c r="I35" s="2838"/>
      <c r="J35" s="1766">
        <v>0</v>
      </c>
      <c r="K35" s="2914"/>
      <c r="L35" s="2915" t="e">
        <f t="shared" ref="L35:L39" si="102">((SUM(J35:J39)/I35)-1)*100</f>
        <v>#DIV/0!</v>
      </c>
      <c r="M35" s="2319"/>
      <c r="N35" s="1724"/>
      <c r="O35" s="2838"/>
      <c r="P35" s="1766">
        <v>1638.7</v>
      </c>
      <c r="Q35" s="2914"/>
      <c r="R35" s="2915" t="e">
        <f t="shared" ref="R35:R39" si="103">((SUM(P35:P39)/O35)-1)*100</f>
        <v>#DIV/0!</v>
      </c>
      <c r="S35" s="2319"/>
      <c r="T35" s="1724"/>
      <c r="U35" s="2838"/>
      <c r="V35" s="1766"/>
      <c r="W35" s="2914"/>
      <c r="X35" s="2915" t="e">
        <f t="shared" ref="X35:X39" si="104">((SUM(V35:V39)/U35)-1)*100</f>
        <v>#DIV/0!</v>
      </c>
      <c r="Y35" s="2319"/>
      <c r="Z35" s="1724"/>
      <c r="AA35" s="2838"/>
      <c r="AB35" s="1766"/>
      <c r="AC35" s="2914"/>
      <c r="AD35" s="2915" t="e">
        <f t="shared" ref="AD35:AD39" si="105">((SUM(AB35:AB39)/AA35)-1)*100</f>
        <v>#DIV/0!</v>
      </c>
      <c r="AE35" s="2319"/>
      <c r="AF35" s="1724"/>
      <c r="AG35" s="2838"/>
      <c r="AH35" s="1766"/>
      <c r="AI35" s="2914"/>
      <c r="AJ35" s="2915" t="e">
        <f t="shared" ref="AJ35:AJ39" si="106">((SUM(AH35:AH39)/AG35)-1)*100</f>
        <v>#DIV/0!</v>
      </c>
      <c r="AK35" s="2319"/>
      <c r="AL35" s="1724"/>
      <c r="AM35" s="2838"/>
      <c r="AN35" s="1766"/>
      <c r="AO35" s="2914"/>
      <c r="AP35" s="2915" t="e">
        <f t="shared" ref="AP35:AP39" si="107">((SUM(AN35:AN39)/AM35)-1)*100</f>
        <v>#DIV/0!</v>
      </c>
      <c r="AQ35" s="2319"/>
      <c r="AR35" s="1724"/>
      <c r="AS35" s="2838"/>
      <c r="AT35" s="1766"/>
      <c r="AU35" s="2914"/>
      <c r="AV35" s="2915" t="e">
        <f t="shared" ref="AV35:AV39" si="108">((SUM(AT35:AT39)/AS35)-1)*100</f>
        <v>#DIV/0!</v>
      </c>
      <c r="AW35" s="2319"/>
      <c r="AX35" s="1724"/>
      <c r="AY35" s="2838"/>
      <c r="AZ35" s="1766"/>
      <c r="BA35" s="2914"/>
      <c r="BB35" s="2915" t="e">
        <f t="shared" ref="BB35:BB39" si="109">((SUM(AZ35:AZ39)/AY35)-1)*100</f>
        <v>#DIV/0!</v>
      </c>
      <c r="BC35" s="2319"/>
      <c r="BD35" s="1724"/>
      <c r="BE35" s="2838"/>
      <c r="BF35" s="1766"/>
      <c r="BG35" s="2914"/>
      <c r="BH35" s="2915" t="e">
        <f t="shared" ref="BH35:BH39" si="110">((SUM(BF35:BF39)/BE35)-1)*100</f>
        <v>#DIV/0!</v>
      </c>
      <c r="BI35" s="2319"/>
      <c r="BJ35" s="1724"/>
      <c r="BK35" s="2838"/>
      <c r="BL35" s="1766"/>
      <c r="BM35" s="2914"/>
      <c r="BN35" s="2915" t="e">
        <f t="shared" ref="BN35:BN39" si="111">((SUM(BL35:BL39)/BK35)-1)*100</f>
        <v>#DIV/0!</v>
      </c>
      <c r="BO35" s="2319"/>
      <c r="BQ35" s="2838"/>
      <c r="BR35" s="1766"/>
      <c r="BS35" s="2914"/>
      <c r="BT35" s="2915" t="e">
        <f t="shared" ref="BT35:BT39" si="112">((SUM(BR35:BR39)/BQ35)-1)*100</f>
        <v>#DIV/0!</v>
      </c>
      <c r="BU35" s="2319"/>
      <c r="BW35" s="2813"/>
      <c r="BX35" s="2919"/>
    </row>
    <row r="36" spans="1:76" x14ac:dyDescent="0.25">
      <c r="A36" s="2138">
        <v>11159</v>
      </c>
      <c r="B36" s="2327" t="s">
        <v>3889</v>
      </c>
      <c r="C36" s="2838"/>
      <c r="D36" s="1766">
        <v>617039.56999999995</v>
      </c>
      <c r="E36" s="2914"/>
      <c r="F36" s="2915" t="e">
        <f t="shared" si="101"/>
        <v>#DIV/0!</v>
      </c>
      <c r="G36" s="2319"/>
      <c r="H36" s="1724"/>
      <c r="I36" s="2838"/>
      <c r="J36" s="1766">
        <v>562408.79</v>
      </c>
      <c r="K36" s="2914"/>
      <c r="L36" s="2915" t="e">
        <f t="shared" si="102"/>
        <v>#DIV/0!</v>
      </c>
      <c r="M36" s="2319"/>
      <c r="N36" s="1724"/>
      <c r="O36" s="2838"/>
      <c r="P36" s="1766">
        <v>546094.04</v>
      </c>
      <c r="Q36" s="2914"/>
      <c r="R36" s="2915" t="e">
        <f t="shared" si="103"/>
        <v>#DIV/0!</v>
      </c>
      <c r="S36" s="2319"/>
      <c r="T36" s="1724"/>
      <c r="U36" s="2838"/>
      <c r="V36" s="1766"/>
      <c r="W36" s="2914"/>
      <c r="X36" s="2915" t="e">
        <f t="shared" si="104"/>
        <v>#DIV/0!</v>
      </c>
      <c r="Y36" s="2319"/>
      <c r="Z36" s="1724"/>
      <c r="AA36" s="2838"/>
      <c r="AB36" s="1766"/>
      <c r="AC36" s="2914"/>
      <c r="AD36" s="2915" t="e">
        <f t="shared" si="105"/>
        <v>#DIV/0!</v>
      </c>
      <c r="AE36" s="2319"/>
      <c r="AF36" s="1724"/>
      <c r="AG36" s="2838"/>
      <c r="AH36" s="1766"/>
      <c r="AI36" s="2914"/>
      <c r="AJ36" s="2915" t="e">
        <f t="shared" si="106"/>
        <v>#DIV/0!</v>
      </c>
      <c r="AK36" s="2319"/>
      <c r="AL36" s="1724"/>
      <c r="AM36" s="2838"/>
      <c r="AN36" s="1766"/>
      <c r="AO36" s="2914"/>
      <c r="AP36" s="2915" t="e">
        <f t="shared" si="107"/>
        <v>#DIV/0!</v>
      </c>
      <c r="AQ36" s="2319"/>
      <c r="AR36" s="1724"/>
      <c r="AS36" s="2838"/>
      <c r="AT36" s="1766"/>
      <c r="AU36" s="2914"/>
      <c r="AV36" s="2915" t="e">
        <f t="shared" si="108"/>
        <v>#DIV/0!</v>
      </c>
      <c r="AW36" s="2319"/>
      <c r="AX36" s="1724"/>
      <c r="AY36" s="2838"/>
      <c r="AZ36" s="1766"/>
      <c r="BA36" s="2914"/>
      <c r="BB36" s="2915" t="e">
        <f t="shared" si="109"/>
        <v>#DIV/0!</v>
      </c>
      <c r="BC36" s="2319"/>
      <c r="BD36" s="1724"/>
      <c r="BE36" s="2838"/>
      <c r="BF36" s="1766"/>
      <c r="BG36" s="2914"/>
      <c r="BH36" s="2915" t="e">
        <f t="shared" si="110"/>
        <v>#DIV/0!</v>
      </c>
      <c r="BI36" s="2319"/>
      <c r="BJ36" s="1724"/>
      <c r="BK36" s="2838"/>
      <c r="BL36" s="1766"/>
      <c r="BM36" s="2914"/>
      <c r="BN36" s="2915" t="e">
        <f t="shared" si="111"/>
        <v>#DIV/0!</v>
      </c>
      <c r="BO36" s="2319"/>
      <c r="BQ36" s="2838"/>
      <c r="BR36" s="1766"/>
      <c r="BS36" s="2914"/>
      <c r="BT36" s="2915" t="e">
        <f t="shared" si="112"/>
        <v>#DIV/0!</v>
      </c>
      <c r="BU36" s="2319"/>
      <c r="BW36" s="2813"/>
      <c r="BX36" s="2919"/>
    </row>
    <row r="37" spans="1:76" x14ac:dyDescent="0.25">
      <c r="A37" s="2138">
        <v>11231</v>
      </c>
      <c r="B37" s="2327" t="s">
        <v>3890</v>
      </c>
      <c r="C37" s="2838"/>
      <c r="D37" s="1766">
        <v>7949.18</v>
      </c>
      <c r="E37" s="2914"/>
      <c r="F37" s="2915" t="e">
        <f t="shared" si="101"/>
        <v>#DIV/0!</v>
      </c>
      <c r="G37" s="2319"/>
      <c r="H37" s="1724"/>
      <c r="I37" s="2838"/>
      <c r="J37" s="1766">
        <v>5002.72</v>
      </c>
      <c r="K37" s="2914"/>
      <c r="L37" s="2915" t="e">
        <f t="shared" si="102"/>
        <v>#DIV/0!</v>
      </c>
      <c r="M37" s="2319"/>
      <c r="N37" s="1724"/>
      <c r="O37" s="2838"/>
      <c r="P37" s="1766">
        <v>8192.34</v>
      </c>
      <c r="Q37" s="2914"/>
      <c r="R37" s="2915" t="e">
        <f t="shared" si="103"/>
        <v>#DIV/0!</v>
      </c>
      <c r="S37" s="2319"/>
      <c r="T37" s="1724"/>
      <c r="U37" s="2838"/>
      <c r="V37" s="1766"/>
      <c r="W37" s="2914"/>
      <c r="X37" s="2915" t="e">
        <f t="shared" si="104"/>
        <v>#DIV/0!</v>
      </c>
      <c r="Y37" s="2319"/>
      <c r="Z37" s="1724"/>
      <c r="AA37" s="2838"/>
      <c r="AB37" s="1766"/>
      <c r="AC37" s="2914"/>
      <c r="AD37" s="2915" t="e">
        <f t="shared" si="105"/>
        <v>#DIV/0!</v>
      </c>
      <c r="AE37" s="2319"/>
      <c r="AF37" s="1724"/>
      <c r="AG37" s="2838"/>
      <c r="AH37" s="1766"/>
      <c r="AI37" s="2914"/>
      <c r="AJ37" s="2915" t="e">
        <f t="shared" si="106"/>
        <v>#DIV/0!</v>
      </c>
      <c r="AK37" s="2319"/>
      <c r="AL37" s="1724"/>
      <c r="AM37" s="2838"/>
      <c r="AN37" s="1766"/>
      <c r="AO37" s="2914"/>
      <c r="AP37" s="2915" t="e">
        <f t="shared" si="107"/>
        <v>#DIV/0!</v>
      </c>
      <c r="AQ37" s="2319"/>
      <c r="AR37" s="1724"/>
      <c r="AS37" s="2838"/>
      <c r="AT37" s="1766"/>
      <c r="AU37" s="2914"/>
      <c r="AV37" s="2915" t="e">
        <f t="shared" si="108"/>
        <v>#DIV/0!</v>
      </c>
      <c r="AW37" s="2319"/>
      <c r="AX37" s="1724"/>
      <c r="AY37" s="2838"/>
      <c r="AZ37" s="1766"/>
      <c r="BA37" s="2914"/>
      <c r="BB37" s="2915" t="e">
        <f t="shared" si="109"/>
        <v>#DIV/0!</v>
      </c>
      <c r="BC37" s="2319"/>
      <c r="BD37" s="1724"/>
      <c r="BE37" s="2838"/>
      <c r="BF37" s="1766"/>
      <c r="BG37" s="2914"/>
      <c r="BH37" s="2915" t="e">
        <f t="shared" si="110"/>
        <v>#DIV/0!</v>
      </c>
      <c r="BI37" s="2319"/>
      <c r="BJ37" s="1724"/>
      <c r="BK37" s="2838"/>
      <c r="BL37" s="1766"/>
      <c r="BM37" s="2914"/>
      <c r="BN37" s="2915" t="e">
        <f t="shared" si="111"/>
        <v>#DIV/0!</v>
      </c>
      <c r="BO37" s="2319"/>
      <c r="BQ37" s="2838"/>
      <c r="BR37" s="1766"/>
      <c r="BS37" s="2914"/>
      <c r="BT37" s="2915" t="e">
        <f t="shared" si="112"/>
        <v>#DIV/0!</v>
      </c>
      <c r="BU37" s="2319"/>
      <c r="BW37" s="2813"/>
      <c r="BX37" s="2919"/>
    </row>
    <row r="38" spans="1:76" x14ac:dyDescent="0.25">
      <c r="A38" s="2246">
        <v>11136</v>
      </c>
      <c r="B38" s="2327" t="s">
        <v>3891</v>
      </c>
      <c r="C38" s="2838"/>
      <c r="D38" s="1766"/>
      <c r="E38" s="2914"/>
      <c r="F38" s="2915" t="e">
        <f t="shared" si="101"/>
        <v>#DIV/0!</v>
      </c>
      <c r="G38" s="2319"/>
      <c r="H38" s="1724"/>
      <c r="I38" s="2838"/>
      <c r="J38" s="1766">
        <v>0</v>
      </c>
      <c r="K38" s="2914"/>
      <c r="L38" s="2915" t="e">
        <f t="shared" si="102"/>
        <v>#DIV/0!</v>
      </c>
      <c r="M38" s="2319"/>
      <c r="N38" s="1724"/>
      <c r="O38" s="2838"/>
      <c r="P38" s="1766">
        <v>0</v>
      </c>
      <c r="Q38" s="2914"/>
      <c r="R38" s="2915" t="e">
        <f t="shared" si="103"/>
        <v>#DIV/0!</v>
      </c>
      <c r="S38" s="2319"/>
      <c r="T38" s="1724"/>
      <c r="U38" s="2838"/>
      <c r="V38" s="1766"/>
      <c r="W38" s="2914"/>
      <c r="X38" s="2915" t="e">
        <f t="shared" si="104"/>
        <v>#DIV/0!</v>
      </c>
      <c r="Y38" s="2319"/>
      <c r="Z38" s="1724"/>
      <c r="AA38" s="2838"/>
      <c r="AB38" s="1766"/>
      <c r="AC38" s="2914"/>
      <c r="AD38" s="2915" t="e">
        <f t="shared" si="105"/>
        <v>#DIV/0!</v>
      </c>
      <c r="AE38" s="2319"/>
      <c r="AF38" s="1724"/>
      <c r="AG38" s="2838"/>
      <c r="AH38" s="1766"/>
      <c r="AI38" s="2914"/>
      <c r="AJ38" s="2915" t="e">
        <f t="shared" si="106"/>
        <v>#DIV/0!</v>
      </c>
      <c r="AK38" s="2319"/>
      <c r="AL38" s="1724"/>
      <c r="AM38" s="2838"/>
      <c r="AN38" s="1766"/>
      <c r="AO38" s="2914"/>
      <c r="AP38" s="2915" t="e">
        <f t="shared" si="107"/>
        <v>#DIV/0!</v>
      </c>
      <c r="AQ38" s="2319"/>
      <c r="AR38" s="1724"/>
      <c r="AS38" s="2838"/>
      <c r="AT38" s="1766"/>
      <c r="AU38" s="2914"/>
      <c r="AV38" s="2915" t="e">
        <f t="shared" si="108"/>
        <v>#DIV/0!</v>
      </c>
      <c r="AW38" s="2319"/>
      <c r="AX38" s="1724"/>
      <c r="AY38" s="2838"/>
      <c r="AZ38" s="1766"/>
      <c r="BA38" s="2914"/>
      <c r="BB38" s="2915" t="e">
        <f t="shared" si="109"/>
        <v>#DIV/0!</v>
      </c>
      <c r="BC38" s="2319"/>
      <c r="BD38" s="1724"/>
      <c r="BE38" s="2838"/>
      <c r="BF38" s="1766"/>
      <c r="BG38" s="2914"/>
      <c r="BH38" s="2915" t="e">
        <f t="shared" si="110"/>
        <v>#DIV/0!</v>
      </c>
      <c r="BI38" s="2319"/>
      <c r="BJ38" s="1724"/>
      <c r="BK38" s="2838"/>
      <c r="BL38" s="1766"/>
      <c r="BM38" s="2914"/>
      <c r="BN38" s="2915" t="e">
        <f t="shared" si="111"/>
        <v>#DIV/0!</v>
      </c>
      <c r="BO38" s="2319"/>
      <c r="BQ38" s="2838"/>
      <c r="BR38" s="1766"/>
      <c r="BS38" s="2914"/>
      <c r="BT38" s="2915" t="e">
        <f t="shared" si="112"/>
        <v>#DIV/0!</v>
      </c>
      <c r="BU38" s="2319"/>
      <c r="BW38" s="2813"/>
      <c r="BX38" s="2919"/>
    </row>
    <row r="39" spans="1:76" ht="15.75" thickBot="1" x14ac:dyDescent="0.3">
      <c r="A39" s="2320">
        <v>11232</v>
      </c>
      <c r="B39" s="2329" t="s">
        <v>3892</v>
      </c>
      <c r="C39" s="2839"/>
      <c r="D39" s="1772"/>
      <c r="E39" s="2879"/>
      <c r="F39" s="2881" t="e">
        <f t="shared" si="101"/>
        <v>#DIV/0!</v>
      </c>
      <c r="G39" s="2254"/>
      <c r="H39" s="1724"/>
      <c r="I39" s="2839"/>
      <c r="J39" s="1772">
        <v>0</v>
      </c>
      <c r="K39" s="2879"/>
      <c r="L39" s="2881" t="e">
        <f t="shared" si="102"/>
        <v>#DIV/0!</v>
      </c>
      <c r="M39" s="2254"/>
      <c r="N39" s="1724"/>
      <c r="O39" s="2839"/>
      <c r="P39" s="1772">
        <v>0</v>
      </c>
      <c r="Q39" s="2879"/>
      <c r="R39" s="2881" t="e">
        <f t="shared" si="103"/>
        <v>#DIV/0!</v>
      </c>
      <c r="S39" s="2254"/>
      <c r="T39" s="1724"/>
      <c r="U39" s="2839"/>
      <c r="V39" s="1772"/>
      <c r="W39" s="2879"/>
      <c r="X39" s="2881" t="e">
        <f t="shared" si="104"/>
        <v>#DIV/0!</v>
      </c>
      <c r="Y39" s="2254"/>
      <c r="Z39" s="1724"/>
      <c r="AA39" s="2839"/>
      <c r="AB39" s="1772"/>
      <c r="AC39" s="2879"/>
      <c r="AD39" s="2881" t="e">
        <f t="shared" si="105"/>
        <v>#DIV/0!</v>
      </c>
      <c r="AE39" s="2254"/>
      <c r="AF39" s="1724"/>
      <c r="AG39" s="2839"/>
      <c r="AH39" s="1772"/>
      <c r="AI39" s="2879"/>
      <c r="AJ39" s="2881" t="e">
        <f t="shared" si="106"/>
        <v>#DIV/0!</v>
      </c>
      <c r="AK39" s="2254"/>
      <c r="AL39" s="1724"/>
      <c r="AM39" s="2839"/>
      <c r="AN39" s="1772"/>
      <c r="AO39" s="2879"/>
      <c r="AP39" s="2881" t="e">
        <f t="shared" si="107"/>
        <v>#DIV/0!</v>
      </c>
      <c r="AQ39" s="2254"/>
      <c r="AR39" s="1724"/>
      <c r="AS39" s="2839"/>
      <c r="AT39" s="1772"/>
      <c r="AU39" s="2879"/>
      <c r="AV39" s="2881" t="e">
        <f t="shared" si="108"/>
        <v>#DIV/0!</v>
      </c>
      <c r="AW39" s="2254"/>
      <c r="AX39" s="1724"/>
      <c r="AY39" s="2839"/>
      <c r="AZ39" s="1772"/>
      <c r="BA39" s="2879"/>
      <c r="BB39" s="2881" t="e">
        <f t="shared" si="109"/>
        <v>#DIV/0!</v>
      </c>
      <c r="BC39" s="2254"/>
      <c r="BD39" s="1724"/>
      <c r="BE39" s="2839"/>
      <c r="BF39" s="1772"/>
      <c r="BG39" s="2879"/>
      <c r="BH39" s="2881" t="e">
        <f t="shared" si="110"/>
        <v>#DIV/0!</v>
      </c>
      <c r="BI39" s="2254"/>
      <c r="BJ39" s="1724"/>
      <c r="BK39" s="2839"/>
      <c r="BL39" s="1772"/>
      <c r="BM39" s="2879"/>
      <c r="BN39" s="2881" t="e">
        <f t="shared" si="111"/>
        <v>#DIV/0!</v>
      </c>
      <c r="BO39" s="2254"/>
      <c r="BQ39" s="2839"/>
      <c r="BR39" s="1772"/>
      <c r="BS39" s="2879"/>
      <c r="BT39" s="2881" t="e">
        <f t="shared" si="112"/>
        <v>#DIV/0!</v>
      </c>
      <c r="BU39" s="2254"/>
      <c r="BW39" s="2810"/>
      <c r="BX39" s="2920"/>
    </row>
    <row r="40" spans="1:76" x14ac:dyDescent="0.25">
      <c r="A40" s="2138">
        <v>11983</v>
      </c>
      <c r="B40" s="2334" t="s">
        <v>218</v>
      </c>
      <c r="C40" s="2255">
        <v>2000</v>
      </c>
      <c r="D40" s="2256">
        <v>2111.36</v>
      </c>
      <c r="E40" s="2256">
        <f t="shared" si="0"/>
        <v>111.36000000000013</v>
      </c>
      <c r="F40" s="2257">
        <f t="shared" ref="F40:F41" si="113">((D40/C40)-1)*100</f>
        <v>5.5680000000000174</v>
      </c>
      <c r="G40" s="2257"/>
      <c r="H40" s="1724"/>
      <c r="I40" s="2255">
        <f t="shared" si="24"/>
        <v>2000</v>
      </c>
      <c r="J40" s="2256">
        <v>3616.36</v>
      </c>
      <c r="K40" s="2256">
        <f t="shared" ref="K40:K41" si="114">J40-I40</f>
        <v>1616.3600000000001</v>
      </c>
      <c r="L40" s="2257">
        <f t="shared" ref="L40:L41" si="115">((J40/I40)-1)*100</f>
        <v>80.818000000000012</v>
      </c>
      <c r="M40" s="2257"/>
      <c r="N40" s="1724"/>
      <c r="O40" s="2255">
        <f t="shared" ref="O40:O53" si="116">I40</f>
        <v>2000</v>
      </c>
      <c r="P40" s="2256">
        <v>2086.36</v>
      </c>
      <c r="Q40" s="2256">
        <f t="shared" ref="Q40:Q41" si="117">P40-O40</f>
        <v>86.360000000000127</v>
      </c>
      <c r="R40" s="2257">
        <f t="shared" ref="R40:R41" si="118">((P40/O40)-1)*100</f>
        <v>4.3179999999999996</v>
      </c>
      <c r="S40" s="2257"/>
      <c r="T40" s="1724"/>
      <c r="U40" s="2255">
        <f t="shared" si="26"/>
        <v>2000</v>
      </c>
      <c r="V40" s="2256"/>
      <c r="W40" s="2256">
        <f t="shared" ref="W40:W41" si="119">V40-U40</f>
        <v>-2000</v>
      </c>
      <c r="X40" s="2257">
        <f t="shared" ref="X40:X41" si="120">((V40/U40)-1)*100</f>
        <v>-100</v>
      </c>
      <c r="Y40" s="2257"/>
      <c r="Z40" s="1724"/>
      <c r="AA40" s="2255">
        <f t="shared" si="27"/>
        <v>2000</v>
      </c>
      <c r="AB40" s="2256"/>
      <c r="AC40" s="2256">
        <f t="shared" ref="AC40:AC41" si="121">AB40-AA40</f>
        <v>-2000</v>
      </c>
      <c r="AD40" s="2257">
        <f t="shared" ref="AD40:AD41" si="122">((AB40/AA40)-1)*100</f>
        <v>-100</v>
      </c>
      <c r="AE40" s="2257"/>
      <c r="AF40" s="1724"/>
      <c r="AG40" s="2255">
        <f t="shared" si="28"/>
        <v>2000</v>
      </c>
      <c r="AH40" s="2256"/>
      <c r="AI40" s="2256">
        <f t="shared" ref="AI40:AI41" si="123">AH40-AG40</f>
        <v>-2000</v>
      </c>
      <c r="AJ40" s="2257">
        <f t="shared" ref="AJ40:AJ41" si="124">((AH40/AG40)-1)*100</f>
        <v>-100</v>
      </c>
      <c r="AK40" s="2257"/>
      <c r="AL40" s="1724"/>
      <c r="AM40" s="2255">
        <f t="shared" si="29"/>
        <v>2000</v>
      </c>
      <c r="AN40" s="2256"/>
      <c r="AO40" s="2256">
        <f t="shared" ref="AO40:AO41" si="125">AN40-AM40</f>
        <v>-2000</v>
      </c>
      <c r="AP40" s="2257">
        <f t="shared" ref="AP40:AP41" si="126">((AN40/AM40)-1)*100</f>
        <v>-100</v>
      </c>
      <c r="AQ40" s="2257"/>
      <c r="AR40" s="1724"/>
      <c r="AS40" s="2255">
        <f t="shared" si="30"/>
        <v>2000</v>
      </c>
      <c r="AT40" s="2256"/>
      <c r="AU40" s="2256">
        <f t="shared" ref="AU40:AU41" si="127">AT40-AS40</f>
        <v>-2000</v>
      </c>
      <c r="AV40" s="2257">
        <f t="shared" ref="AV40:AV41" si="128">((AT40/AS40)-1)*100</f>
        <v>-100</v>
      </c>
      <c r="AW40" s="2257"/>
      <c r="AX40" s="1724"/>
      <c r="AY40" s="2255">
        <f t="shared" si="31"/>
        <v>2000</v>
      </c>
      <c r="AZ40" s="2256"/>
      <c r="BA40" s="2256">
        <f t="shared" ref="BA40:BA41" si="129">AZ40-AY40</f>
        <v>-2000</v>
      </c>
      <c r="BB40" s="2257">
        <f t="shared" ref="BB40:BB41" si="130">((AZ40/AY40)-1)*100</f>
        <v>-100</v>
      </c>
      <c r="BC40" s="2257"/>
      <c r="BD40" s="1724"/>
      <c r="BE40" s="2255">
        <f t="shared" si="32"/>
        <v>2000</v>
      </c>
      <c r="BF40" s="2256"/>
      <c r="BG40" s="2256">
        <f t="shared" ref="BG40:BG41" si="131">BF40-BE40</f>
        <v>-2000</v>
      </c>
      <c r="BH40" s="2257">
        <f t="shared" ref="BH40:BH41" si="132">((BF40/BE40)-1)*100</f>
        <v>-100</v>
      </c>
      <c r="BI40" s="2257"/>
      <c r="BJ40" s="1724"/>
      <c r="BK40" s="2255">
        <f t="shared" ref="BK40:BK42" si="133">BE40</f>
        <v>2000</v>
      </c>
      <c r="BL40" s="2256"/>
      <c r="BM40" s="2256">
        <f t="shared" ref="BM40:BM41" si="134">BL40-BK40</f>
        <v>-2000</v>
      </c>
      <c r="BN40" s="2257">
        <f t="shared" ref="BN40:BN41" si="135">((BL40/BK40)-1)*100</f>
        <v>-100</v>
      </c>
      <c r="BO40" s="2257"/>
      <c r="BQ40" s="2255">
        <f t="shared" ref="BQ40:BQ42" si="136">BK40</f>
        <v>2000</v>
      </c>
      <c r="BR40" s="2256"/>
      <c r="BS40" s="2256">
        <f t="shared" ref="BS40:BS41" si="137">BR40-BQ40</f>
        <v>-2000</v>
      </c>
      <c r="BT40" s="2257">
        <f t="shared" ref="BT40:BT41" si="138">((BR40/BQ40)-1)*100</f>
        <v>-100</v>
      </c>
      <c r="BU40" s="2257"/>
      <c r="BW40" s="1758">
        <f t="shared" ref="BW40:BX41" si="139">C40+I40+O40+U40+AA40+AG40+AM40+AS40+AY40+BE40+BK40+BQ40</f>
        <v>24000</v>
      </c>
      <c r="BX40" s="1761">
        <f t="shared" si="139"/>
        <v>7814.08</v>
      </c>
    </row>
    <row r="41" spans="1:76" ht="15.75" thickBot="1" x14ac:dyDescent="0.3">
      <c r="A41" s="2135">
        <v>11669</v>
      </c>
      <c r="B41" s="2328" t="s">
        <v>334</v>
      </c>
      <c r="C41" s="2247">
        <v>2200</v>
      </c>
      <c r="D41" s="2248">
        <v>2043.4</v>
      </c>
      <c r="E41" s="2248">
        <f t="shared" si="0"/>
        <v>-156.59999999999991</v>
      </c>
      <c r="F41" s="2251">
        <f t="shared" si="113"/>
        <v>-7.1181818181818119</v>
      </c>
      <c r="G41" s="2251"/>
      <c r="H41" s="1724"/>
      <c r="I41" s="2247">
        <f t="shared" si="24"/>
        <v>2200</v>
      </c>
      <c r="J41" s="2248">
        <v>2125.4</v>
      </c>
      <c r="K41" s="2248">
        <f t="shared" si="114"/>
        <v>-74.599999999999909</v>
      </c>
      <c r="L41" s="2251">
        <f t="shared" si="115"/>
        <v>-3.3909090909090889</v>
      </c>
      <c r="M41" s="2251"/>
      <c r="N41" s="1724"/>
      <c r="O41" s="2247">
        <f t="shared" si="116"/>
        <v>2200</v>
      </c>
      <c r="P41" s="2248">
        <v>2000</v>
      </c>
      <c r="Q41" s="2248">
        <f t="shared" si="117"/>
        <v>-200</v>
      </c>
      <c r="R41" s="2251">
        <f t="shared" si="118"/>
        <v>-9.0909090909090935</v>
      </c>
      <c r="S41" s="2251"/>
      <c r="T41" s="1724"/>
      <c r="U41" s="2247">
        <f t="shared" si="26"/>
        <v>2200</v>
      </c>
      <c r="V41" s="2248"/>
      <c r="W41" s="2248">
        <f t="shared" si="119"/>
        <v>-2200</v>
      </c>
      <c r="X41" s="2251">
        <f t="shared" si="120"/>
        <v>-100</v>
      </c>
      <c r="Y41" s="2251"/>
      <c r="Z41" s="1724"/>
      <c r="AA41" s="2247">
        <f t="shared" si="27"/>
        <v>2200</v>
      </c>
      <c r="AB41" s="2248"/>
      <c r="AC41" s="2248">
        <f t="shared" si="121"/>
        <v>-2200</v>
      </c>
      <c r="AD41" s="2251">
        <f t="shared" si="122"/>
        <v>-100</v>
      </c>
      <c r="AE41" s="2251"/>
      <c r="AF41" s="1724"/>
      <c r="AG41" s="2247">
        <f t="shared" si="28"/>
        <v>2200</v>
      </c>
      <c r="AH41" s="2248"/>
      <c r="AI41" s="2248">
        <f t="shared" si="123"/>
        <v>-2200</v>
      </c>
      <c r="AJ41" s="2251">
        <f t="shared" si="124"/>
        <v>-100</v>
      </c>
      <c r="AK41" s="2251"/>
      <c r="AL41" s="1724"/>
      <c r="AM41" s="2247">
        <f t="shared" si="29"/>
        <v>2200</v>
      </c>
      <c r="AN41" s="2248"/>
      <c r="AO41" s="2248">
        <f t="shared" si="125"/>
        <v>-2200</v>
      </c>
      <c r="AP41" s="2251">
        <f t="shared" si="126"/>
        <v>-100</v>
      </c>
      <c r="AQ41" s="2251"/>
      <c r="AR41" s="1724"/>
      <c r="AS41" s="2247">
        <f t="shared" si="30"/>
        <v>2200</v>
      </c>
      <c r="AT41" s="2248"/>
      <c r="AU41" s="2248">
        <f t="shared" si="127"/>
        <v>-2200</v>
      </c>
      <c r="AV41" s="2251">
        <f t="shared" si="128"/>
        <v>-100</v>
      </c>
      <c r="AW41" s="2251"/>
      <c r="AX41" s="1724"/>
      <c r="AY41" s="2247">
        <f t="shared" si="31"/>
        <v>2200</v>
      </c>
      <c r="AZ41" s="2248"/>
      <c r="BA41" s="2248">
        <f t="shared" si="129"/>
        <v>-2200</v>
      </c>
      <c r="BB41" s="2251">
        <f t="shared" si="130"/>
        <v>-100</v>
      </c>
      <c r="BC41" s="2251"/>
      <c r="BD41" s="1724"/>
      <c r="BE41" s="2247">
        <f t="shared" si="32"/>
        <v>2200</v>
      </c>
      <c r="BF41" s="2248"/>
      <c r="BG41" s="2248">
        <f t="shared" si="131"/>
        <v>-2200</v>
      </c>
      <c r="BH41" s="2251">
        <f t="shared" si="132"/>
        <v>-100</v>
      </c>
      <c r="BI41" s="2251"/>
      <c r="BJ41" s="1724"/>
      <c r="BK41" s="2247">
        <f t="shared" si="133"/>
        <v>2200</v>
      </c>
      <c r="BL41" s="2248"/>
      <c r="BM41" s="2248">
        <f t="shared" si="134"/>
        <v>-2200</v>
      </c>
      <c r="BN41" s="2251">
        <f t="shared" si="135"/>
        <v>-100</v>
      </c>
      <c r="BO41" s="2251"/>
      <c r="BQ41" s="2247">
        <f t="shared" si="136"/>
        <v>2200</v>
      </c>
      <c r="BR41" s="2248"/>
      <c r="BS41" s="2248">
        <f t="shared" si="137"/>
        <v>-2200</v>
      </c>
      <c r="BT41" s="2251">
        <f t="shared" si="138"/>
        <v>-100</v>
      </c>
      <c r="BU41" s="2251"/>
      <c r="BW41" s="1774">
        <f t="shared" si="139"/>
        <v>26400</v>
      </c>
      <c r="BX41" s="2322">
        <f t="shared" si="139"/>
        <v>6168.8</v>
      </c>
    </row>
    <row r="42" spans="1:76" x14ac:dyDescent="0.25">
      <c r="A42" s="2134">
        <v>51514</v>
      </c>
      <c r="B42" s="2326" t="s">
        <v>108</v>
      </c>
      <c r="C42" s="2837">
        <v>20000</v>
      </c>
      <c r="D42" s="1757">
        <v>9575.6200000000008</v>
      </c>
      <c r="E42" s="2878">
        <f>D42+D43+D44+D45-C42</f>
        <v>-4621.8499999999985</v>
      </c>
      <c r="F42" s="2880">
        <f>((SUM(D42:D45)/C42)-1)*100</f>
        <v>-23.109249999999992</v>
      </c>
      <c r="G42" s="2253"/>
      <c r="H42" s="1724"/>
      <c r="I42" s="2837">
        <f t="shared" si="24"/>
        <v>20000</v>
      </c>
      <c r="J42" s="1757">
        <v>6969.53</v>
      </c>
      <c r="K42" s="2878">
        <f>J42+J43+J44+J45-I42</f>
        <v>-7189.2400000000016</v>
      </c>
      <c r="L42" s="2880">
        <f>((SUM(J42:J45)/I42)-1)*100</f>
        <v>-35.946200000000005</v>
      </c>
      <c r="M42" s="2253"/>
      <c r="N42" s="1724"/>
      <c r="O42" s="2837">
        <f t="shared" si="116"/>
        <v>20000</v>
      </c>
      <c r="P42" s="1757">
        <v>8241.2099999999991</v>
      </c>
      <c r="Q42" s="2878">
        <f>P42+P43+P44+P45-O42</f>
        <v>-5877.27</v>
      </c>
      <c r="R42" s="2880">
        <f>((SUM(P42:P45)/O42)-1)*100</f>
        <v>-29.386350000000007</v>
      </c>
      <c r="S42" s="2253"/>
      <c r="T42" s="1724"/>
      <c r="U42" s="2837">
        <f t="shared" si="26"/>
        <v>20000</v>
      </c>
      <c r="V42" s="1757"/>
      <c r="W42" s="2878">
        <f>V42+V43+V44+V45-U42</f>
        <v>-20000</v>
      </c>
      <c r="X42" s="2880">
        <f>((SUM(V42:V45)/U42)-1)*100</f>
        <v>-100</v>
      </c>
      <c r="Y42" s="2253"/>
      <c r="Z42" s="1724"/>
      <c r="AA42" s="2837">
        <f t="shared" si="27"/>
        <v>20000</v>
      </c>
      <c r="AB42" s="1757"/>
      <c r="AC42" s="2878">
        <f>AB42+AB43+AB44+AB45-AA42</f>
        <v>-20000</v>
      </c>
      <c r="AD42" s="2880">
        <f>((SUM(AB42:AB45)/AA42)-1)*100</f>
        <v>-100</v>
      </c>
      <c r="AE42" s="2253"/>
      <c r="AF42" s="1724"/>
      <c r="AG42" s="2837">
        <f t="shared" si="28"/>
        <v>20000</v>
      </c>
      <c r="AH42" s="1757"/>
      <c r="AI42" s="2878">
        <f>AH42+AH43+AH44+AH45-AG42</f>
        <v>-20000</v>
      </c>
      <c r="AJ42" s="2880">
        <f>((SUM(AH42:AH45)/AG42)-1)*100</f>
        <v>-100</v>
      </c>
      <c r="AK42" s="2253"/>
      <c r="AL42" s="1724"/>
      <c r="AM42" s="2837">
        <f t="shared" si="29"/>
        <v>20000</v>
      </c>
      <c r="AN42" s="1757"/>
      <c r="AO42" s="2878">
        <f>AN42+AN43+AN44+AN45-AM42</f>
        <v>-20000</v>
      </c>
      <c r="AP42" s="2880">
        <f>((SUM(AN42:AN45)/AM42)-1)*100</f>
        <v>-100</v>
      </c>
      <c r="AQ42" s="2253"/>
      <c r="AR42" s="1724"/>
      <c r="AS42" s="2837">
        <f t="shared" si="30"/>
        <v>20000</v>
      </c>
      <c r="AT42" s="1757"/>
      <c r="AU42" s="2878">
        <f>AT42+AT43+AT44+AT45-AS42</f>
        <v>-20000</v>
      </c>
      <c r="AV42" s="2880">
        <f>((SUM(AT42:AT45)/AS42)-1)*100</f>
        <v>-100</v>
      </c>
      <c r="AW42" s="2253"/>
      <c r="AX42" s="1724"/>
      <c r="AY42" s="2837">
        <f t="shared" si="31"/>
        <v>20000</v>
      </c>
      <c r="AZ42" s="1757"/>
      <c r="BA42" s="2878">
        <f>AZ42+AZ43+AZ44+AZ45-AY42</f>
        <v>-20000</v>
      </c>
      <c r="BB42" s="2880">
        <f>((SUM(AZ42:AZ45)/AY42)-1)*100</f>
        <v>-100</v>
      </c>
      <c r="BC42" s="2253"/>
      <c r="BD42" s="1724"/>
      <c r="BE42" s="2837">
        <f t="shared" si="32"/>
        <v>20000</v>
      </c>
      <c r="BF42" s="1757"/>
      <c r="BG42" s="2878">
        <f>BF42+BF43+BF44+BF45-BE42</f>
        <v>-20000</v>
      </c>
      <c r="BH42" s="2880">
        <f>((SUM(BF42:BF45)/BE42)-1)*100</f>
        <v>-100</v>
      </c>
      <c r="BI42" s="2253"/>
      <c r="BJ42" s="1724"/>
      <c r="BK42" s="2837">
        <f t="shared" si="133"/>
        <v>20000</v>
      </c>
      <c r="BL42" s="1757"/>
      <c r="BM42" s="2878">
        <f>BL42+BL43+BL44+BL45-BK42</f>
        <v>-20000</v>
      </c>
      <c r="BN42" s="2880">
        <f>((SUM(BL42:BL45)/BK42)-1)*100</f>
        <v>-100</v>
      </c>
      <c r="BO42" s="2253"/>
      <c r="BQ42" s="2837">
        <f t="shared" si="136"/>
        <v>20000</v>
      </c>
      <c r="BR42" s="1757"/>
      <c r="BS42" s="2878">
        <f>BR42+BR43+BR44+BR45-BQ42</f>
        <v>-20000</v>
      </c>
      <c r="BT42" s="2880">
        <f>((SUM(BR42:BR45)/BQ42)-1)*100</f>
        <v>-100</v>
      </c>
      <c r="BU42" s="2253"/>
      <c r="BW42" s="2809">
        <f>C42+I42+O42+U42+AA42+AG42+AM42+AS42+AY42+BE42+BK42+BQ42</f>
        <v>240000</v>
      </c>
      <c r="BX42" s="2918">
        <f>SUM(D42:D45)+SUM(J42:J45)+SUM(P42:P45)+SUM(V42:V45)+SUM(AB42:AB45)+SUM(AH42:AH45)+SUM(AN42:AN45)+SUM(AT42:AT45)+SUM(AZ42:AZ45)+SUM(BF42:BF45)+SUM(BL42:BL45)+SUM(BR42:BR45)</f>
        <v>42311.64</v>
      </c>
    </row>
    <row r="43" spans="1:76" x14ac:dyDescent="0.25">
      <c r="A43" s="2135">
        <v>52148</v>
      </c>
      <c r="B43" s="2327" t="s">
        <v>3893</v>
      </c>
      <c r="C43" s="2838"/>
      <c r="D43" s="1766">
        <v>5802.53</v>
      </c>
      <c r="E43" s="2914"/>
      <c r="F43" s="2915"/>
      <c r="G43" s="2319"/>
      <c r="H43" s="1724"/>
      <c r="I43" s="2838"/>
      <c r="J43" s="1766">
        <v>5841.23</v>
      </c>
      <c r="K43" s="2914"/>
      <c r="L43" s="2915"/>
      <c r="M43" s="2319"/>
      <c r="N43" s="1724"/>
      <c r="O43" s="2838"/>
      <c r="P43" s="1766">
        <v>5881.52</v>
      </c>
      <c r="Q43" s="2914"/>
      <c r="R43" s="2915"/>
      <c r="S43" s="2319"/>
      <c r="T43" s="1724"/>
      <c r="U43" s="2838"/>
      <c r="V43" s="1766"/>
      <c r="W43" s="2914"/>
      <c r="X43" s="2915"/>
      <c r="Y43" s="2319"/>
      <c r="Z43" s="1724"/>
      <c r="AA43" s="2838"/>
      <c r="AB43" s="1766"/>
      <c r="AC43" s="2914"/>
      <c r="AD43" s="2915"/>
      <c r="AE43" s="2319"/>
      <c r="AF43" s="1724"/>
      <c r="AG43" s="2838"/>
      <c r="AH43" s="1766"/>
      <c r="AI43" s="2914"/>
      <c r="AJ43" s="2915"/>
      <c r="AK43" s="2319"/>
      <c r="AL43" s="1724"/>
      <c r="AM43" s="2838"/>
      <c r="AN43" s="1766"/>
      <c r="AO43" s="2914"/>
      <c r="AP43" s="2915"/>
      <c r="AQ43" s="2319"/>
      <c r="AR43" s="1724"/>
      <c r="AS43" s="2838"/>
      <c r="AT43" s="1766"/>
      <c r="AU43" s="2914"/>
      <c r="AV43" s="2915"/>
      <c r="AW43" s="2319"/>
      <c r="AX43" s="1724"/>
      <c r="AY43" s="2838"/>
      <c r="AZ43" s="1766"/>
      <c r="BA43" s="2914"/>
      <c r="BB43" s="2915"/>
      <c r="BC43" s="2319"/>
      <c r="BD43" s="1724"/>
      <c r="BE43" s="2838"/>
      <c r="BF43" s="1766"/>
      <c r="BG43" s="2914"/>
      <c r="BH43" s="2915"/>
      <c r="BI43" s="2319"/>
      <c r="BJ43" s="1724"/>
      <c r="BK43" s="2838"/>
      <c r="BL43" s="1766"/>
      <c r="BM43" s="2914"/>
      <c r="BN43" s="2915"/>
      <c r="BO43" s="2319"/>
      <c r="BQ43" s="2838"/>
      <c r="BR43" s="1766"/>
      <c r="BS43" s="2914"/>
      <c r="BT43" s="2915"/>
      <c r="BU43" s="2319"/>
      <c r="BW43" s="2813"/>
      <c r="BX43" s="2919"/>
    </row>
    <row r="44" spans="1:76" x14ac:dyDescent="0.25">
      <c r="A44" s="2302">
        <v>12232</v>
      </c>
      <c r="B44" s="2327"/>
      <c r="C44" s="2838"/>
      <c r="D44" s="1766"/>
      <c r="E44" s="2914"/>
      <c r="F44" s="2915"/>
      <c r="G44" s="2319"/>
      <c r="H44" s="1724"/>
      <c r="I44" s="2838"/>
      <c r="J44" s="1766"/>
      <c r="K44" s="2914"/>
      <c r="L44" s="2915"/>
      <c r="M44" s="2319"/>
      <c r="N44" s="1724"/>
      <c r="O44" s="2838"/>
      <c r="P44" s="1766"/>
      <c r="Q44" s="2914"/>
      <c r="R44" s="2915"/>
      <c r="S44" s="2319"/>
      <c r="T44" s="1724"/>
      <c r="U44" s="2838"/>
      <c r="V44" s="1766"/>
      <c r="W44" s="2914"/>
      <c r="X44" s="2915"/>
      <c r="Y44" s="2319"/>
      <c r="Z44" s="1724"/>
      <c r="AA44" s="2838"/>
      <c r="AB44" s="1766"/>
      <c r="AC44" s="2914"/>
      <c r="AD44" s="2915"/>
      <c r="AE44" s="2319"/>
      <c r="AF44" s="1724"/>
      <c r="AG44" s="2838"/>
      <c r="AH44" s="1766"/>
      <c r="AI44" s="2914"/>
      <c r="AJ44" s="2915"/>
      <c r="AK44" s="2319"/>
      <c r="AL44" s="1724"/>
      <c r="AM44" s="2838"/>
      <c r="AN44" s="1766"/>
      <c r="AO44" s="2914"/>
      <c r="AP44" s="2915"/>
      <c r="AQ44" s="2319"/>
      <c r="AR44" s="1724"/>
      <c r="AS44" s="2838"/>
      <c r="AT44" s="1766"/>
      <c r="AU44" s="2914"/>
      <c r="AV44" s="2915"/>
      <c r="AW44" s="2319"/>
      <c r="AX44" s="1724"/>
      <c r="AY44" s="2838"/>
      <c r="AZ44" s="1766"/>
      <c r="BA44" s="2914"/>
      <c r="BB44" s="2915"/>
      <c r="BC44" s="2319"/>
      <c r="BD44" s="1724"/>
      <c r="BE44" s="2838"/>
      <c r="BF44" s="1766"/>
      <c r="BG44" s="2914"/>
      <c r="BH44" s="2915"/>
      <c r="BI44" s="2319"/>
      <c r="BJ44" s="1724"/>
      <c r="BK44" s="2838"/>
      <c r="BL44" s="1766"/>
      <c r="BM44" s="2914"/>
      <c r="BN44" s="2915"/>
      <c r="BO44" s="2319"/>
      <c r="BQ44" s="2838"/>
      <c r="BR44" s="1766"/>
      <c r="BS44" s="2914"/>
      <c r="BT44" s="2915"/>
      <c r="BU44" s="2319"/>
      <c r="BW44" s="2813"/>
      <c r="BX44" s="2919"/>
    </row>
    <row r="45" spans="1:76" ht="15.75" thickBot="1" x14ac:dyDescent="0.3">
      <c r="A45" s="2320"/>
      <c r="B45" s="2329"/>
      <c r="C45" s="2839"/>
      <c r="D45" s="1772"/>
      <c r="E45" s="2879"/>
      <c r="F45" s="2881"/>
      <c r="G45" s="2254"/>
      <c r="H45" s="1724"/>
      <c r="I45" s="2839"/>
      <c r="J45" s="1772"/>
      <c r="K45" s="2879"/>
      <c r="L45" s="2881"/>
      <c r="M45" s="2254"/>
      <c r="N45" s="1724"/>
      <c r="O45" s="2839"/>
      <c r="P45" s="1772"/>
      <c r="Q45" s="2879"/>
      <c r="R45" s="2881"/>
      <c r="S45" s="2254"/>
      <c r="T45" s="1724"/>
      <c r="U45" s="2839"/>
      <c r="V45" s="1772"/>
      <c r="W45" s="2879"/>
      <c r="X45" s="2881"/>
      <c r="Y45" s="2254"/>
      <c r="Z45" s="1724"/>
      <c r="AA45" s="2839"/>
      <c r="AB45" s="1772"/>
      <c r="AC45" s="2879"/>
      <c r="AD45" s="2881"/>
      <c r="AE45" s="2254"/>
      <c r="AF45" s="1724"/>
      <c r="AG45" s="2839"/>
      <c r="AH45" s="1772"/>
      <c r="AI45" s="2879"/>
      <c r="AJ45" s="2881"/>
      <c r="AK45" s="2254"/>
      <c r="AL45" s="1724"/>
      <c r="AM45" s="2839"/>
      <c r="AN45" s="1772"/>
      <c r="AO45" s="2879"/>
      <c r="AP45" s="2881"/>
      <c r="AQ45" s="2254"/>
      <c r="AR45" s="1724"/>
      <c r="AS45" s="2839"/>
      <c r="AT45" s="1772"/>
      <c r="AU45" s="2879"/>
      <c r="AV45" s="2881"/>
      <c r="AW45" s="2254"/>
      <c r="AX45" s="1724"/>
      <c r="AY45" s="2839"/>
      <c r="AZ45" s="1772"/>
      <c r="BA45" s="2879"/>
      <c r="BB45" s="2881"/>
      <c r="BC45" s="2254"/>
      <c r="BD45" s="1724"/>
      <c r="BE45" s="2839"/>
      <c r="BF45" s="1772"/>
      <c r="BG45" s="2879"/>
      <c r="BH45" s="2881"/>
      <c r="BI45" s="2254"/>
      <c r="BJ45" s="1724"/>
      <c r="BK45" s="2839"/>
      <c r="BL45" s="1772"/>
      <c r="BM45" s="2879"/>
      <c r="BN45" s="2881"/>
      <c r="BO45" s="2254"/>
      <c r="BQ45" s="2839"/>
      <c r="BR45" s="1772"/>
      <c r="BS45" s="2879"/>
      <c r="BT45" s="2881"/>
      <c r="BU45" s="2254"/>
      <c r="BW45" s="2810"/>
      <c r="BX45" s="2920"/>
    </row>
    <row r="46" spans="1:76" ht="15.75" thickBot="1" x14ac:dyDescent="0.3">
      <c r="A46" s="2143">
        <v>33263</v>
      </c>
      <c r="B46" s="2328" t="s">
        <v>3761</v>
      </c>
      <c r="C46" s="2247">
        <v>200000</v>
      </c>
      <c r="D46" s="2248">
        <v>250000</v>
      </c>
      <c r="E46" s="2248">
        <f t="shared" si="0"/>
        <v>50000</v>
      </c>
      <c r="F46" s="2249">
        <f>((D46/C46)-1)*100</f>
        <v>25</v>
      </c>
      <c r="G46" s="2251"/>
      <c r="H46" s="1724"/>
      <c r="I46" s="2247">
        <f t="shared" si="24"/>
        <v>200000</v>
      </c>
      <c r="J46" s="2248">
        <v>0</v>
      </c>
      <c r="K46" s="2248">
        <f t="shared" ref="K46" si="140">J46-I46</f>
        <v>-200000</v>
      </c>
      <c r="L46" s="2249">
        <f>((J46/I46)-1)*100</f>
        <v>-100</v>
      </c>
      <c r="M46" s="2251"/>
      <c r="N46" s="1724"/>
      <c r="O46" s="2247">
        <f t="shared" si="116"/>
        <v>200000</v>
      </c>
      <c r="P46" s="2248">
        <v>250000</v>
      </c>
      <c r="Q46" s="2248">
        <f t="shared" ref="Q46" si="141">P46-O46</f>
        <v>50000</v>
      </c>
      <c r="R46" s="2249">
        <f>((P46/O46)-1)*100</f>
        <v>25</v>
      </c>
      <c r="S46" s="2251"/>
      <c r="T46" s="1724"/>
      <c r="U46" s="2247">
        <f t="shared" si="26"/>
        <v>200000</v>
      </c>
      <c r="V46" s="2248"/>
      <c r="W46" s="2248">
        <f t="shared" ref="W46" si="142">V46-U46</f>
        <v>-200000</v>
      </c>
      <c r="X46" s="2249">
        <f>((V46/U46)-1)*100</f>
        <v>-100</v>
      </c>
      <c r="Y46" s="2251"/>
      <c r="Z46" s="1724"/>
      <c r="AA46" s="2247">
        <f t="shared" si="27"/>
        <v>200000</v>
      </c>
      <c r="AB46" s="2248"/>
      <c r="AC46" s="2248">
        <f t="shared" ref="AC46" si="143">AB46-AA46</f>
        <v>-200000</v>
      </c>
      <c r="AD46" s="2249">
        <f>((AB46/AA46)-1)*100</f>
        <v>-100</v>
      </c>
      <c r="AE46" s="2251"/>
      <c r="AF46" s="1724"/>
      <c r="AG46" s="2247">
        <f t="shared" si="28"/>
        <v>200000</v>
      </c>
      <c r="AH46" s="2248"/>
      <c r="AI46" s="2248">
        <f t="shared" ref="AI46" si="144">AH46-AG46</f>
        <v>-200000</v>
      </c>
      <c r="AJ46" s="2249">
        <f>((AH46/AG46)-1)*100</f>
        <v>-100</v>
      </c>
      <c r="AK46" s="2251"/>
      <c r="AL46" s="1724"/>
      <c r="AM46" s="2247">
        <f t="shared" si="29"/>
        <v>200000</v>
      </c>
      <c r="AN46" s="2248"/>
      <c r="AO46" s="2248">
        <f t="shared" ref="AO46" si="145">AN46-AM46</f>
        <v>-200000</v>
      </c>
      <c r="AP46" s="2249">
        <f>((AN46/AM46)-1)*100</f>
        <v>-100</v>
      </c>
      <c r="AQ46" s="2251"/>
      <c r="AR46" s="1724"/>
      <c r="AS46" s="2247">
        <f t="shared" si="30"/>
        <v>200000</v>
      </c>
      <c r="AT46" s="2248"/>
      <c r="AU46" s="2248">
        <f t="shared" ref="AU46" si="146">AT46-AS46</f>
        <v>-200000</v>
      </c>
      <c r="AV46" s="2249">
        <f>((AT46/AS46)-1)*100</f>
        <v>-100</v>
      </c>
      <c r="AW46" s="2251"/>
      <c r="AX46" s="1724"/>
      <c r="AY46" s="2247">
        <f t="shared" si="31"/>
        <v>200000</v>
      </c>
      <c r="AZ46" s="2248"/>
      <c r="BA46" s="2248">
        <f t="shared" ref="BA46" si="147">AZ46-AY46</f>
        <v>-200000</v>
      </c>
      <c r="BB46" s="2249">
        <f>((AZ46/AY46)-1)*100</f>
        <v>-100</v>
      </c>
      <c r="BC46" s="2251"/>
      <c r="BD46" s="1724"/>
      <c r="BE46" s="2247">
        <f t="shared" si="32"/>
        <v>200000</v>
      </c>
      <c r="BF46" s="2248"/>
      <c r="BG46" s="2248">
        <f t="shared" ref="BG46" si="148">BF46-BE46</f>
        <v>-200000</v>
      </c>
      <c r="BH46" s="2249">
        <f>((BF46/BE46)-1)*100</f>
        <v>-100</v>
      </c>
      <c r="BI46" s="2251"/>
      <c r="BJ46" s="1724"/>
      <c r="BK46" s="2247">
        <f t="shared" ref="BK46:BK47" si="149">BE46</f>
        <v>200000</v>
      </c>
      <c r="BL46" s="2248"/>
      <c r="BM46" s="2248">
        <f t="shared" ref="BM46" si="150">BL46-BK46</f>
        <v>-200000</v>
      </c>
      <c r="BN46" s="2249">
        <f>((BL46/BK46)-1)*100</f>
        <v>-100</v>
      </c>
      <c r="BO46" s="2251"/>
      <c r="BQ46" s="2247">
        <f t="shared" ref="BQ46:BQ47" si="151">BK46</f>
        <v>200000</v>
      </c>
      <c r="BR46" s="2248"/>
      <c r="BS46" s="2248">
        <f t="shared" ref="BS46" si="152">BR46-BQ46</f>
        <v>-200000</v>
      </c>
      <c r="BT46" s="2249">
        <f>((BR46/BQ46)-1)*100</f>
        <v>-100</v>
      </c>
      <c r="BU46" s="2251"/>
      <c r="BW46" s="1723">
        <f>C46+I46+O46+U46+AA46+AG46+AM46+AS46+AY46+BE46+BK46+BQ46</f>
        <v>2400000</v>
      </c>
      <c r="BX46" s="2362">
        <f>D46+J46+P46+V46+AB46+AH46+AN46+AT46+AZ46+BF46+BL46+BR46</f>
        <v>500000</v>
      </c>
    </row>
    <row r="47" spans="1:76" x14ac:dyDescent="0.25">
      <c r="A47" s="2317">
        <v>12443</v>
      </c>
      <c r="B47" s="2326" t="s">
        <v>3894</v>
      </c>
      <c r="C47" s="2837">
        <v>1200</v>
      </c>
      <c r="D47" s="1757"/>
      <c r="E47" s="2878">
        <f>D47+D48-C47</f>
        <v>170</v>
      </c>
      <c r="F47" s="2880">
        <f>((SUM(D47:D48)/C47)-1)*100</f>
        <v>14.166666666666661</v>
      </c>
      <c r="G47" s="2253"/>
      <c r="H47" s="1724"/>
      <c r="I47" s="2837">
        <f t="shared" si="24"/>
        <v>1200</v>
      </c>
      <c r="J47" s="1757">
        <v>0</v>
      </c>
      <c r="K47" s="2878">
        <f>J47+J48-I47</f>
        <v>800</v>
      </c>
      <c r="L47" s="2880">
        <f>((SUM(J47:J48)/I47)-1)*100</f>
        <v>66.666666666666671</v>
      </c>
      <c r="M47" s="2253"/>
      <c r="N47" s="1724"/>
      <c r="O47" s="2837">
        <f t="shared" si="116"/>
        <v>1200</v>
      </c>
      <c r="P47" s="1757">
        <v>0</v>
      </c>
      <c r="Q47" s="2878">
        <f>P47+P48-O47</f>
        <v>-200</v>
      </c>
      <c r="R47" s="2880">
        <f>((SUM(P47:P48)/O47)-1)*100</f>
        <v>-16.666666666666664</v>
      </c>
      <c r="S47" s="2253"/>
      <c r="T47" s="1724"/>
      <c r="U47" s="2837">
        <f t="shared" si="26"/>
        <v>1200</v>
      </c>
      <c r="V47" s="1757"/>
      <c r="W47" s="2878">
        <f>V47+V48-U47</f>
        <v>-1200</v>
      </c>
      <c r="X47" s="2880">
        <f>((SUM(V47:V48)/U47)-1)*100</f>
        <v>-100</v>
      </c>
      <c r="Y47" s="2253"/>
      <c r="Z47" s="1724"/>
      <c r="AA47" s="2837">
        <f t="shared" si="27"/>
        <v>1200</v>
      </c>
      <c r="AB47" s="1757"/>
      <c r="AC47" s="2878">
        <f>AB47+AB48-AA47</f>
        <v>-1200</v>
      </c>
      <c r="AD47" s="2880">
        <f>((SUM(AB47:AB48)/AA47)-1)*100</f>
        <v>-100</v>
      </c>
      <c r="AE47" s="2253"/>
      <c r="AF47" s="1724"/>
      <c r="AG47" s="2837">
        <f t="shared" si="28"/>
        <v>1200</v>
      </c>
      <c r="AH47" s="1757"/>
      <c r="AI47" s="2878">
        <f>AH47+AH48-AG47</f>
        <v>-1200</v>
      </c>
      <c r="AJ47" s="2880">
        <f>((SUM(AH47:AH48)/AG47)-1)*100</f>
        <v>-100</v>
      </c>
      <c r="AK47" s="2253"/>
      <c r="AL47" s="1724"/>
      <c r="AM47" s="2837">
        <f t="shared" si="29"/>
        <v>1200</v>
      </c>
      <c r="AN47" s="1757"/>
      <c r="AO47" s="2878">
        <f>AN47+AN48-AM47</f>
        <v>-1200</v>
      </c>
      <c r="AP47" s="2880">
        <f>((SUM(AN47:AN48)/AM47)-1)*100</f>
        <v>-100</v>
      </c>
      <c r="AQ47" s="2253"/>
      <c r="AR47" s="1724"/>
      <c r="AS47" s="2837">
        <f t="shared" si="30"/>
        <v>1200</v>
      </c>
      <c r="AT47" s="1757"/>
      <c r="AU47" s="2878">
        <f>AT47+AT48-AS47</f>
        <v>-1200</v>
      </c>
      <c r="AV47" s="2880">
        <f>((SUM(AT47:AT48)/AS47)-1)*100</f>
        <v>-100</v>
      </c>
      <c r="AW47" s="2253"/>
      <c r="AX47" s="1724"/>
      <c r="AY47" s="2837">
        <f t="shared" si="31"/>
        <v>1200</v>
      </c>
      <c r="AZ47" s="1757"/>
      <c r="BA47" s="2878">
        <f>AZ47+AZ48-AY47</f>
        <v>-1200</v>
      </c>
      <c r="BB47" s="2880">
        <f>((SUM(AZ47:AZ48)/AY47)-1)*100</f>
        <v>-100</v>
      </c>
      <c r="BC47" s="2253"/>
      <c r="BD47" s="1724"/>
      <c r="BE47" s="2837">
        <f t="shared" si="32"/>
        <v>1200</v>
      </c>
      <c r="BF47" s="1757"/>
      <c r="BG47" s="2878">
        <f>BF47+BF48-BE47</f>
        <v>-1200</v>
      </c>
      <c r="BH47" s="2880">
        <f>((SUM(BF47:BF48)/BE47)-1)*100</f>
        <v>-100</v>
      </c>
      <c r="BI47" s="2253"/>
      <c r="BJ47" s="1724"/>
      <c r="BK47" s="2837">
        <f t="shared" si="149"/>
        <v>1200</v>
      </c>
      <c r="BL47" s="1757"/>
      <c r="BM47" s="2878">
        <f>BL47+BL48-BK47</f>
        <v>-1200</v>
      </c>
      <c r="BN47" s="2880">
        <f>((SUM(BL47:BL48)/BK47)-1)*100</f>
        <v>-100</v>
      </c>
      <c r="BO47" s="2253"/>
      <c r="BQ47" s="2837">
        <f t="shared" si="151"/>
        <v>1200</v>
      </c>
      <c r="BR47" s="1757"/>
      <c r="BS47" s="2878">
        <f>BR47+BR48-BQ47</f>
        <v>-1200</v>
      </c>
      <c r="BT47" s="2880">
        <f>((SUM(BR47:BR48)/BQ47)-1)*100</f>
        <v>-100</v>
      </c>
      <c r="BU47" s="2253"/>
      <c r="BW47" s="2876">
        <f>C47+I47+O47+U47+AA47+AG47+AM47+AS47+AY47+BE47+BK47+BQ47</f>
        <v>14400</v>
      </c>
      <c r="BX47" s="2923">
        <f>SUM(D47:D48)+SUM(J47:J48)+SUM(P47:P48)+SUM(V47:V48)+SUM(AB47:AB48)+SUM(AH47:AH48)+SUM(AN47:AN48)+SUM(AT47:AT48)+SUM(AZ47:AZ48)+SUM(BF47:BF48)+SUM(BL47:BL48)+SUM(BR47:BR48)</f>
        <v>4370</v>
      </c>
    </row>
    <row r="48" spans="1:76" ht="15.75" thickBot="1" x14ac:dyDescent="0.3">
      <c r="A48" s="2139">
        <v>33097</v>
      </c>
      <c r="B48" s="2329" t="s">
        <v>3895</v>
      </c>
      <c r="C48" s="2839"/>
      <c r="D48" s="1772">
        <v>1370</v>
      </c>
      <c r="E48" s="2879"/>
      <c r="F48" s="2881"/>
      <c r="G48" s="2254"/>
      <c r="H48" s="1724"/>
      <c r="I48" s="2839"/>
      <c r="J48" s="1772">
        <v>2000</v>
      </c>
      <c r="K48" s="2879"/>
      <c r="L48" s="2881"/>
      <c r="M48" s="2254"/>
      <c r="N48" s="1724"/>
      <c r="O48" s="2839"/>
      <c r="P48" s="1772">
        <v>1000</v>
      </c>
      <c r="Q48" s="2879"/>
      <c r="R48" s="2881"/>
      <c r="S48" s="2254"/>
      <c r="T48" s="1724"/>
      <c r="U48" s="2839"/>
      <c r="V48" s="1772"/>
      <c r="W48" s="2879"/>
      <c r="X48" s="2881"/>
      <c r="Y48" s="2254"/>
      <c r="Z48" s="1724"/>
      <c r="AA48" s="2839"/>
      <c r="AB48" s="1772"/>
      <c r="AC48" s="2879"/>
      <c r="AD48" s="2881"/>
      <c r="AE48" s="2254"/>
      <c r="AF48" s="1724"/>
      <c r="AG48" s="2839"/>
      <c r="AH48" s="1772"/>
      <c r="AI48" s="2879"/>
      <c r="AJ48" s="2881"/>
      <c r="AK48" s="2254"/>
      <c r="AL48" s="1724"/>
      <c r="AM48" s="2839"/>
      <c r="AN48" s="1772"/>
      <c r="AO48" s="2879"/>
      <c r="AP48" s="2881"/>
      <c r="AQ48" s="2254"/>
      <c r="AR48" s="1724"/>
      <c r="AS48" s="2839"/>
      <c r="AT48" s="1772"/>
      <c r="AU48" s="2879"/>
      <c r="AV48" s="2881"/>
      <c r="AW48" s="2254"/>
      <c r="AX48" s="1724"/>
      <c r="AY48" s="2839"/>
      <c r="AZ48" s="1772"/>
      <c r="BA48" s="2879"/>
      <c r="BB48" s="2881"/>
      <c r="BC48" s="2254"/>
      <c r="BD48" s="1724"/>
      <c r="BE48" s="2839"/>
      <c r="BF48" s="1772"/>
      <c r="BG48" s="2879"/>
      <c r="BH48" s="2881"/>
      <c r="BI48" s="2254"/>
      <c r="BJ48" s="1724"/>
      <c r="BK48" s="2839"/>
      <c r="BL48" s="1772"/>
      <c r="BM48" s="2879"/>
      <c r="BN48" s="2881"/>
      <c r="BO48" s="2254"/>
      <c r="BQ48" s="2839"/>
      <c r="BR48" s="1772"/>
      <c r="BS48" s="2879"/>
      <c r="BT48" s="2881"/>
      <c r="BU48" s="2254"/>
      <c r="BW48" s="2877"/>
      <c r="BX48" s="2924"/>
    </row>
    <row r="49" spans="1:76" x14ac:dyDescent="0.25">
      <c r="A49" s="2138">
        <v>37992</v>
      </c>
      <c r="B49" s="2335" t="s">
        <v>222</v>
      </c>
      <c r="C49" s="1932">
        <v>0</v>
      </c>
      <c r="D49" s="1933"/>
      <c r="E49" s="1933">
        <f t="shared" si="0"/>
        <v>0</v>
      </c>
      <c r="F49" s="1826">
        <v>0</v>
      </c>
      <c r="G49" s="1826"/>
      <c r="H49" s="1855"/>
      <c r="I49" s="1932">
        <f t="shared" si="24"/>
        <v>0</v>
      </c>
      <c r="J49" s="1933">
        <v>0</v>
      </c>
      <c r="K49" s="1933">
        <f t="shared" ref="K49:K50" si="153">J49-I49</f>
        <v>0</v>
      </c>
      <c r="L49" s="1826">
        <v>0</v>
      </c>
      <c r="M49" s="1826"/>
      <c r="N49" s="1855"/>
      <c r="O49" s="1932">
        <f t="shared" si="116"/>
        <v>0</v>
      </c>
      <c r="P49" s="1933">
        <v>499.8</v>
      </c>
      <c r="Q49" s="1933">
        <f t="shared" ref="Q49:Q50" si="154">P49-O49</f>
        <v>499.8</v>
      </c>
      <c r="R49" s="1826">
        <v>0</v>
      </c>
      <c r="S49" s="1826"/>
      <c r="T49" s="1855"/>
      <c r="U49" s="1932">
        <f t="shared" si="26"/>
        <v>0</v>
      </c>
      <c r="V49" s="1933"/>
      <c r="W49" s="1933">
        <f t="shared" ref="W49:W50" si="155">V49-U49</f>
        <v>0</v>
      </c>
      <c r="X49" s="1826">
        <v>0</v>
      </c>
      <c r="Y49" s="1826"/>
      <c r="Z49" s="1855"/>
      <c r="AA49" s="1932">
        <v>260</v>
      </c>
      <c r="AB49" s="1933"/>
      <c r="AC49" s="1933">
        <f t="shared" ref="AC49:AC50" si="156">AB49-AA49</f>
        <v>-260</v>
      </c>
      <c r="AD49" s="1826">
        <v>0</v>
      </c>
      <c r="AE49" s="1826"/>
      <c r="AF49" s="1855"/>
      <c r="AG49" s="1932">
        <v>0</v>
      </c>
      <c r="AH49" s="1933"/>
      <c r="AI49" s="1933">
        <f t="shared" ref="AI49:AI50" si="157">AH49-AG49</f>
        <v>0</v>
      </c>
      <c r="AJ49" s="1826">
        <v>0</v>
      </c>
      <c r="AK49" s="1826"/>
      <c r="AL49" s="1855"/>
      <c r="AM49" s="1932">
        <v>0</v>
      </c>
      <c r="AN49" s="1933"/>
      <c r="AO49" s="1933">
        <f t="shared" ref="AO49:AO50" si="158">AN49-AM49</f>
        <v>0</v>
      </c>
      <c r="AP49" s="1826">
        <v>0</v>
      </c>
      <c r="AQ49" s="1826"/>
      <c r="AR49" s="1855"/>
      <c r="AS49" s="1932">
        <v>0</v>
      </c>
      <c r="AT49" s="1933"/>
      <c r="AU49" s="1933">
        <f t="shared" ref="AU49:AU50" si="159">AT49-AS49</f>
        <v>0</v>
      </c>
      <c r="AV49" s="1826">
        <v>0</v>
      </c>
      <c r="AW49" s="1826"/>
      <c r="AX49" s="1855"/>
      <c r="AY49" s="1932">
        <v>0</v>
      </c>
      <c r="AZ49" s="1933"/>
      <c r="BA49" s="1933">
        <f t="shared" ref="BA49:BA50" si="160">AZ49-AY49</f>
        <v>0</v>
      </c>
      <c r="BB49" s="1826">
        <v>0</v>
      </c>
      <c r="BC49" s="1826"/>
      <c r="BD49" s="1855"/>
      <c r="BE49" s="1932">
        <v>0</v>
      </c>
      <c r="BF49" s="1933"/>
      <c r="BG49" s="1933">
        <f t="shared" ref="BG49:BG50" si="161">BF49-BE49</f>
        <v>0</v>
      </c>
      <c r="BH49" s="1826">
        <v>0</v>
      </c>
      <c r="BI49" s="1826"/>
      <c r="BJ49" s="1855"/>
      <c r="BK49" s="1932">
        <v>0</v>
      </c>
      <c r="BL49" s="1933"/>
      <c r="BM49" s="1933">
        <f t="shared" ref="BM49:BM50" si="162">BL49-BK49</f>
        <v>0</v>
      </c>
      <c r="BN49" s="1826">
        <v>0</v>
      </c>
      <c r="BO49" s="1826"/>
      <c r="BQ49" s="1932">
        <v>0</v>
      </c>
      <c r="BR49" s="1933"/>
      <c r="BS49" s="1933">
        <f t="shared" ref="BS49:BS50" si="163">BR49-BQ49</f>
        <v>0</v>
      </c>
      <c r="BT49" s="1826">
        <v>0</v>
      </c>
      <c r="BU49" s="1826"/>
      <c r="BW49" s="1737">
        <f>C49+I49+O49+U49+AA49+AG49+AM49+AS49+AY49+BE49+BK49+BQ49</f>
        <v>260</v>
      </c>
      <c r="BX49" s="2366">
        <f t="shared" ref="BX49:BX54" si="164">D49+J49+P49+V49+AB49+AH49+AN49+AT49+AZ49+BF49+BL49+BR49</f>
        <v>499.8</v>
      </c>
    </row>
    <row r="50" spans="1:76" x14ac:dyDescent="0.25">
      <c r="A50" s="2138">
        <v>12867</v>
      </c>
      <c r="B50" s="2327" t="s">
        <v>3711</v>
      </c>
      <c r="C50" s="1765">
        <v>20000</v>
      </c>
      <c r="D50" s="1766">
        <v>19033.009999999998</v>
      </c>
      <c r="E50" s="1766">
        <f t="shared" si="0"/>
        <v>-966.9900000000016</v>
      </c>
      <c r="F50" s="1770">
        <f t="shared" ref="F50:F53" si="165">((D50/C50)-1)*100</f>
        <v>-4.8349500000000045</v>
      </c>
      <c r="G50" s="1770"/>
      <c r="H50" s="1724"/>
      <c r="I50" s="1765">
        <f t="shared" si="24"/>
        <v>20000</v>
      </c>
      <c r="J50" s="1766">
        <v>19374.09</v>
      </c>
      <c r="K50" s="1766">
        <f t="shared" si="153"/>
        <v>-625.90999999999985</v>
      </c>
      <c r="L50" s="1770">
        <f t="shared" ref="L50" si="166">((J50/I50)-1)*100</f>
        <v>-3.1295500000000032</v>
      </c>
      <c r="M50" s="1770"/>
      <c r="N50" s="1724"/>
      <c r="O50" s="1765">
        <f t="shared" si="116"/>
        <v>20000</v>
      </c>
      <c r="P50" s="1766">
        <v>23984.86</v>
      </c>
      <c r="Q50" s="1766">
        <f t="shared" si="154"/>
        <v>3984.8600000000006</v>
      </c>
      <c r="R50" s="1770">
        <f t="shared" ref="R50" si="167">((P50/O50)-1)*100</f>
        <v>19.924300000000006</v>
      </c>
      <c r="S50" s="1770"/>
      <c r="T50" s="1724"/>
      <c r="U50" s="1765">
        <f t="shared" si="26"/>
        <v>20000</v>
      </c>
      <c r="V50" s="1766"/>
      <c r="W50" s="1766">
        <f t="shared" si="155"/>
        <v>-20000</v>
      </c>
      <c r="X50" s="1770">
        <f t="shared" ref="X50" si="168">((V50/U50)-1)*100</f>
        <v>-100</v>
      </c>
      <c r="Y50" s="1770"/>
      <c r="Z50" s="1724"/>
      <c r="AA50" s="1765">
        <f>U50</f>
        <v>20000</v>
      </c>
      <c r="AB50" s="1766"/>
      <c r="AC50" s="1766">
        <f t="shared" si="156"/>
        <v>-20000</v>
      </c>
      <c r="AD50" s="1770">
        <f t="shared" ref="AD50" si="169">((AB50/AA50)-1)*100</f>
        <v>-100</v>
      </c>
      <c r="AE50" s="1770"/>
      <c r="AF50" s="1724"/>
      <c r="AG50" s="1765">
        <f>AA50</f>
        <v>20000</v>
      </c>
      <c r="AH50" s="1766"/>
      <c r="AI50" s="1766">
        <f t="shared" si="157"/>
        <v>-20000</v>
      </c>
      <c r="AJ50" s="1770">
        <f t="shared" ref="AJ50" si="170">((AH50/AG50)-1)*100</f>
        <v>-100</v>
      </c>
      <c r="AK50" s="1770"/>
      <c r="AL50" s="1724"/>
      <c r="AM50" s="1765">
        <f>AG50</f>
        <v>20000</v>
      </c>
      <c r="AN50" s="1766"/>
      <c r="AO50" s="1766">
        <f t="shared" si="158"/>
        <v>-20000</v>
      </c>
      <c r="AP50" s="1770">
        <f t="shared" ref="AP50" si="171">((AN50/AM50)-1)*100</f>
        <v>-100</v>
      </c>
      <c r="AQ50" s="1770"/>
      <c r="AR50" s="1724"/>
      <c r="AS50" s="1765">
        <f>AM50</f>
        <v>20000</v>
      </c>
      <c r="AT50" s="1766"/>
      <c r="AU50" s="1766">
        <f t="shared" si="159"/>
        <v>-20000</v>
      </c>
      <c r="AV50" s="1770">
        <f t="shared" ref="AV50" si="172">((AT50/AS50)-1)*100</f>
        <v>-100</v>
      </c>
      <c r="AW50" s="1770"/>
      <c r="AX50" s="1724"/>
      <c r="AY50" s="1765">
        <f>AS50</f>
        <v>20000</v>
      </c>
      <c r="AZ50" s="1766"/>
      <c r="BA50" s="1766">
        <f t="shared" si="160"/>
        <v>-20000</v>
      </c>
      <c r="BB50" s="1770">
        <f t="shared" ref="BB50" si="173">((AZ50/AY50)-1)*100</f>
        <v>-100</v>
      </c>
      <c r="BC50" s="1770"/>
      <c r="BD50" s="1724"/>
      <c r="BE50" s="1765">
        <f>AY50</f>
        <v>20000</v>
      </c>
      <c r="BF50" s="1766"/>
      <c r="BG50" s="1766">
        <f t="shared" si="161"/>
        <v>-20000</v>
      </c>
      <c r="BH50" s="1770">
        <f t="shared" ref="BH50" si="174">((BF50/BE50)-1)*100</f>
        <v>-100</v>
      </c>
      <c r="BI50" s="1770"/>
      <c r="BJ50" s="1724"/>
      <c r="BK50" s="1765">
        <f>BE50</f>
        <v>20000</v>
      </c>
      <c r="BL50" s="1766"/>
      <c r="BM50" s="1766">
        <f t="shared" si="162"/>
        <v>-20000</v>
      </c>
      <c r="BN50" s="1770">
        <f t="shared" ref="BN50" si="175">((BL50/BK50)-1)*100</f>
        <v>-100</v>
      </c>
      <c r="BO50" s="1770"/>
      <c r="BQ50" s="1765">
        <f>BK50</f>
        <v>20000</v>
      </c>
      <c r="BR50" s="1766"/>
      <c r="BS50" s="1766">
        <f t="shared" si="163"/>
        <v>-20000</v>
      </c>
      <c r="BT50" s="1770">
        <f t="shared" ref="BT50" si="176">((BR50/BQ50)-1)*100</f>
        <v>-100</v>
      </c>
      <c r="BU50" s="1770"/>
      <c r="BW50" s="1767">
        <f t="shared" ref="BW50:BW57" si="177">C50+I50+O50+U50+AA50+AG50+AM50+AS50+AY50+BE50+BK50+BQ50</f>
        <v>240000</v>
      </c>
      <c r="BX50" s="1770">
        <f t="shared" si="164"/>
        <v>62391.96</v>
      </c>
    </row>
    <row r="51" spans="1:76" x14ac:dyDescent="0.25">
      <c r="A51" s="2138">
        <v>11259</v>
      </c>
      <c r="B51" s="2327" t="s">
        <v>3902</v>
      </c>
      <c r="C51" s="1765"/>
      <c r="D51" s="1766">
        <v>0</v>
      </c>
      <c r="E51" s="1766"/>
      <c r="F51" s="1770">
        <v>0</v>
      </c>
      <c r="G51" s="1770"/>
      <c r="H51" s="1724"/>
      <c r="I51" s="1765"/>
      <c r="J51" s="1766">
        <v>0.19</v>
      </c>
      <c r="K51" s="1766"/>
      <c r="L51" s="1770">
        <v>0</v>
      </c>
      <c r="M51" s="1770"/>
      <c r="N51" s="1724"/>
      <c r="O51" s="1765"/>
      <c r="P51" s="1766">
        <v>220.41</v>
      </c>
      <c r="Q51" s="1766"/>
      <c r="R51" s="1770">
        <v>0</v>
      </c>
      <c r="S51" s="1770"/>
      <c r="T51" s="1724"/>
      <c r="U51" s="1765"/>
      <c r="V51" s="1766"/>
      <c r="W51" s="1766"/>
      <c r="X51" s="1770">
        <v>0</v>
      </c>
      <c r="Y51" s="1770"/>
      <c r="Z51" s="1724"/>
      <c r="AA51" s="1765"/>
      <c r="AB51" s="1766"/>
      <c r="AC51" s="1766"/>
      <c r="AD51" s="1770">
        <v>0</v>
      </c>
      <c r="AE51" s="1770"/>
      <c r="AF51" s="1724"/>
      <c r="AG51" s="1765"/>
      <c r="AH51" s="1766"/>
      <c r="AI51" s="1766"/>
      <c r="AJ51" s="1770">
        <v>0</v>
      </c>
      <c r="AK51" s="1770"/>
      <c r="AL51" s="1724"/>
      <c r="AM51" s="1765"/>
      <c r="AN51" s="1766"/>
      <c r="AO51" s="1766"/>
      <c r="AP51" s="1770">
        <v>0</v>
      </c>
      <c r="AQ51" s="1770"/>
      <c r="AR51" s="1724"/>
      <c r="AS51" s="1765"/>
      <c r="AT51" s="1766"/>
      <c r="AU51" s="1766"/>
      <c r="AV51" s="1770">
        <v>0</v>
      </c>
      <c r="AW51" s="1770"/>
      <c r="AX51" s="1724"/>
      <c r="AY51" s="1765"/>
      <c r="AZ51" s="1766"/>
      <c r="BA51" s="1766"/>
      <c r="BB51" s="1770">
        <v>0</v>
      </c>
      <c r="BC51" s="1770"/>
      <c r="BD51" s="1724"/>
      <c r="BE51" s="1765"/>
      <c r="BF51" s="1766"/>
      <c r="BG51" s="1766"/>
      <c r="BH51" s="1770">
        <v>0</v>
      </c>
      <c r="BI51" s="1770"/>
      <c r="BJ51" s="1724"/>
      <c r="BK51" s="1765"/>
      <c r="BL51" s="1766"/>
      <c r="BM51" s="1766"/>
      <c r="BN51" s="1770">
        <v>0</v>
      </c>
      <c r="BO51" s="1770"/>
      <c r="BQ51" s="1765"/>
      <c r="BR51" s="1766"/>
      <c r="BS51" s="1766"/>
      <c r="BT51" s="1770">
        <v>0</v>
      </c>
      <c r="BU51" s="1770"/>
      <c r="BW51" s="1767">
        <f t="shared" si="177"/>
        <v>0</v>
      </c>
      <c r="BX51" s="1770">
        <f t="shared" si="164"/>
        <v>220.6</v>
      </c>
    </row>
    <row r="52" spans="1:76" x14ac:dyDescent="0.25">
      <c r="A52" s="2138">
        <v>11161</v>
      </c>
      <c r="B52" s="2336" t="s">
        <v>3766</v>
      </c>
      <c r="C52" s="1934">
        <v>2000</v>
      </c>
      <c r="D52" s="1813">
        <v>2438.0500000000002</v>
      </c>
      <c r="E52" s="1747">
        <f t="shared" si="0"/>
        <v>438.05000000000018</v>
      </c>
      <c r="F52" s="1814">
        <f t="shared" si="165"/>
        <v>21.902500000000003</v>
      </c>
      <c r="G52" s="1814"/>
      <c r="H52" s="2167"/>
      <c r="I52" s="1934">
        <f t="shared" si="24"/>
        <v>2000</v>
      </c>
      <c r="J52" s="1813">
        <v>1610.66</v>
      </c>
      <c r="K52" s="1747">
        <f t="shared" ref="K52:K53" si="178">J52-I52</f>
        <v>-389.33999999999992</v>
      </c>
      <c r="L52" s="1814">
        <f t="shared" ref="L52:L53" si="179">((J52/I52)-1)*100</f>
        <v>-19.467000000000002</v>
      </c>
      <c r="M52" s="1814"/>
      <c r="N52" s="2167"/>
      <c r="O52" s="1934">
        <f t="shared" si="116"/>
        <v>2000</v>
      </c>
      <c r="P52" s="1813">
        <v>2107.88</v>
      </c>
      <c r="Q52" s="1747">
        <f t="shared" ref="Q52:Q53" si="180">P52-O52</f>
        <v>107.88000000000011</v>
      </c>
      <c r="R52" s="1814">
        <f t="shared" ref="R52:R53" si="181">((P52/O52)-1)*100</f>
        <v>5.3940000000000099</v>
      </c>
      <c r="S52" s="1814"/>
      <c r="T52" s="2167"/>
      <c r="U52" s="1934">
        <f t="shared" si="26"/>
        <v>2000</v>
      </c>
      <c r="V52" s="1813"/>
      <c r="W52" s="1747">
        <f t="shared" ref="W52:W53" si="182">V52-U52</f>
        <v>-2000</v>
      </c>
      <c r="X52" s="1814">
        <f t="shared" ref="X52:X53" si="183">((V52/U52)-1)*100</f>
        <v>-100</v>
      </c>
      <c r="Y52" s="1814"/>
      <c r="Z52" s="2167"/>
      <c r="AA52" s="1934">
        <f>U52</f>
        <v>2000</v>
      </c>
      <c r="AB52" s="1813"/>
      <c r="AC52" s="1747">
        <f t="shared" ref="AC52:AC53" si="184">AB52-AA52</f>
        <v>-2000</v>
      </c>
      <c r="AD52" s="1814">
        <f t="shared" ref="AD52:AD53" si="185">((AB52/AA52)-1)*100</f>
        <v>-100</v>
      </c>
      <c r="AE52" s="1814"/>
      <c r="AF52" s="2167"/>
      <c r="AG52" s="1934">
        <f>AA52</f>
        <v>2000</v>
      </c>
      <c r="AH52" s="1813"/>
      <c r="AI52" s="1747">
        <f t="shared" ref="AI52:AI53" si="186">AH52-AG52</f>
        <v>-2000</v>
      </c>
      <c r="AJ52" s="1814">
        <f t="shared" ref="AJ52:AJ53" si="187">((AH52/AG52)-1)*100</f>
        <v>-100</v>
      </c>
      <c r="AK52" s="1814"/>
      <c r="AL52" s="2167"/>
      <c r="AM52" s="1934">
        <f>AG52</f>
        <v>2000</v>
      </c>
      <c r="AN52" s="1813"/>
      <c r="AO52" s="1747">
        <f t="shared" ref="AO52:AO53" si="188">AN52-AM52</f>
        <v>-2000</v>
      </c>
      <c r="AP52" s="1814">
        <f t="shared" ref="AP52:AP53" si="189">((AN52/AM52)-1)*100</f>
        <v>-100</v>
      </c>
      <c r="AQ52" s="1814"/>
      <c r="AR52" s="2167"/>
      <c r="AS52" s="1934">
        <f>AM52</f>
        <v>2000</v>
      </c>
      <c r="AT52" s="1813"/>
      <c r="AU52" s="1747">
        <f t="shared" ref="AU52:AU53" si="190">AT52-AS52</f>
        <v>-2000</v>
      </c>
      <c r="AV52" s="1814">
        <f t="shared" ref="AV52:AV53" si="191">((AT52/AS52)-1)*100</f>
        <v>-100</v>
      </c>
      <c r="AW52" s="1814"/>
      <c r="AX52" s="2167"/>
      <c r="AY52" s="1934">
        <f>AS52</f>
        <v>2000</v>
      </c>
      <c r="AZ52" s="1813"/>
      <c r="BA52" s="1747">
        <f t="shared" ref="BA52:BA53" si="192">AZ52-AY52</f>
        <v>-2000</v>
      </c>
      <c r="BB52" s="1814">
        <f t="shared" ref="BB52:BB53" si="193">((AZ52/AY52)-1)*100</f>
        <v>-100</v>
      </c>
      <c r="BC52" s="1814"/>
      <c r="BD52" s="2167"/>
      <c r="BE52" s="1934">
        <f>AY52</f>
        <v>2000</v>
      </c>
      <c r="BF52" s="1813"/>
      <c r="BG52" s="1747">
        <f t="shared" ref="BG52:BG53" si="194">BF52-BE52</f>
        <v>-2000</v>
      </c>
      <c r="BH52" s="1814">
        <f t="shared" ref="BH52:BH53" si="195">((BF52/BE52)-1)*100</f>
        <v>-100</v>
      </c>
      <c r="BI52" s="1814"/>
      <c r="BJ52" s="2167"/>
      <c r="BK52" s="1934">
        <f>BE52</f>
        <v>2000</v>
      </c>
      <c r="BL52" s="1813"/>
      <c r="BM52" s="1747">
        <f t="shared" ref="BM52:BM53" si="196">BL52-BK52</f>
        <v>-2000</v>
      </c>
      <c r="BN52" s="1814">
        <f t="shared" ref="BN52:BN53" si="197">((BL52/BK52)-1)*100</f>
        <v>-100</v>
      </c>
      <c r="BO52" s="1814"/>
      <c r="BQ52" s="1934">
        <f>BK52</f>
        <v>2000</v>
      </c>
      <c r="BR52" s="1813"/>
      <c r="BS52" s="1747">
        <f t="shared" ref="BS52:BS53" si="198">BR52-BQ52</f>
        <v>-2000</v>
      </c>
      <c r="BT52" s="1814">
        <f t="shared" ref="BT52:BT53" si="199">((BR52/BQ52)-1)*100</f>
        <v>-100</v>
      </c>
      <c r="BU52" s="1814"/>
      <c r="BW52" s="1898">
        <f t="shared" si="177"/>
        <v>24000</v>
      </c>
      <c r="BX52" s="1814">
        <f t="shared" si="164"/>
        <v>6156.59</v>
      </c>
    </row>
    <row r="53" spans="1:76" x14ac:dyDescent="0.25">
      <c r="A53" s="2141">
        <v>12314</v>
      </c>
      <c r="B53" s="2328" t="s">
        <v>325</v>
      </c>
      <c r="C53" s="2247">
        <v>3000</v>
      </c>
      <c r="D53" s="2248">
        <v>37908.36</v>
      </c>
      <c r="E53" s="2248">
        <f t="shared" si="0"/>
        <v>34908.36</v>
      </c>
      <c r="F53" s="2251">
        <f t="shared" si="165"/>
        <v>1163.6120000000001</v>
      </c>
      <c r="G53" s="2251"/>
      <c r="H53" s="1724"/>
      <c r="I53" s="2247">
        <f t="shared" si="24"/>
        <v>3000</v>
      </c>
      <c r="J53" s="2248">
        <v>8148.82</v>
      </c>
      <c r="K53" s="2248">
        <f t="shared" si="178"/>
        <v>5148.82</v>
      </c>
      <c r="L53" s="2251">
        <f t="shared" si="179"/>
        <v>171.6273333333333</v>
      </c>
      <c r="M53" s="2251"/>
      <c r="N53" s="1724"/>
      <c r="O53" s="2247">
        <f t="shared" si="116"/>
        <v>3000</v>
      </c>
      <c r="P53" s="2248">
        <v>2916.54</v>
      </c>
      <c r="Q53" s="2248">
        <f t="shared" si="180"/>
        <v>-83.460000000000036</v>
      </c>
      <c r="R53" s="2251">
        <f t="shared" si="181"/>
        <v>-2.7820000000000067</v>
      </c>
      <c r="S53" s="2251"/>
      <c r="T53" s="1724"/>
      <c r="U53" s="2247">
        <f t="shared" si="26"/>
        <v>3000</v>
      </c>
      <c r="V53" s="2248"/>
      <c r="W53" s="2248">
        <f t="shared" si="182"/>
        <v>-3000</v>
      </c>
      <c r="X53" s="2251">
        <f t="shared" si="183"/>
        <v>-100</v>
      </c>
      <c r="Y53" s="2251"/>
      <c r="Z53" s="1724"/>
      <c r="AA53" s="2247">
        <f>U53</f>
        <v>3000</v>
      </c>
      <c r="AB53" s="2248"/>
      <c r="AC53" s="2248">
        <f t="shared" si="184"/>
        <v>-3000</v>
      </c>
      <c r="AD53" s="2251">
        <f t="shared" si="185"/>
        <v>-100</v>
      </c>
      <c r="AE53" s="2251"/>
      <c r="AF53" s="1724"/>
      <c r="AG53" s="2247">
        <f>AA53</f>
        <v>3000</v>
      </c>
      <c r="AH53" s="2248"/>
      <c r="AI53" s="2248">
        <f t="shared" si="186"/>
        <v>-3000</v>
      </c>
      <c r="AJ53" s="2251">
        <f t="shared" si="187"/>
        <v>-100</v>
      </c>
      <c r="AK53" s="2251"/>
      <c r="AL53" s="1724"/>
      <c r="AM53" s="2247">
        <f>AG53</f>
        <v>3000</v>
      </c>
      <c r="AN53" s="2248"/>
      <c r="AO53" s="2248">
        <f t="shared" si="188"/>
        <v>-3000</v>
      </c>
      <c r="AP53" s="2251">
        <f t="shared" si="189"/>
        <v>-100</v>
      </c>
      <c r="AQ53" s="2251"/>
      <c r="AR53" s="1724"/>
      <c r="AS53" s="2247">
        <f>AM53</f>
        <v>3000</v>
      </c>
      <c r="AT53" s="2248"/>
      <c r="AU53" s="2248">
        <f t="shared" si="190"/>
        <v>-3000</v>
      </c>
      <c r="AV53" s="2251">
        <f t="shared" si="191"/>
        <v>-100</v>
      </c>
      <c r="AW53" s="2251"/>
      <c r="AX53" s="1724"/>
      <c r="AY53" s="2247">
        <f>AS53</f>
        <v>3000</v>
      </c>
      <c r="AZ53" s="2248"/>
      <c r="BA53" s="2248">
        <f t="shared" si="192"/>
        <v>-3000</v>
      </c>
      <c r="BB53" s="2251">
        <f t="shared" si="193"/>
        <v>-100</v>
      </c>
      <c r="BC53" s="2251"/>
      <c r="BD53" s="1724"/>
      <c r="BE53" s="2247">
        <f>AY53</f>
        <v>3000</v>
      </c>
      <c r="BF53" s="2248"/>
      <c r="BG53" s="2248">
        <f t="shared" si="194"/>
        <v>-3000</v>
      </c>
      <c r="BH53" s="2251">
        <f t="shared" si="195"/>
        <v>-100</v>
      </c>
      <c r="BI53" s="2251"/>
      <c r="BJ53" s="1724"/>
      <c r="BK53" s="2247">
        <f>BE53</f>
        <v>3000</v>
      </c>
      <c r="BL53" s="2248"/>
      <c r="BM53" s="2248">
        <f t="shared" si="196"/>
        <v>-3000</v>
      </c>
      <c r="BN53" s="2251">
        <f t="shared" si="197"/>
        <v>-100</v>
      </c>
      <c r="BO53" s="2251"/>
      <c r="BQ53" s="2247">
        <f>BK53</f>
        <v>3000</v>
      </c>
      <c r="BR53" s="2248"/>
      <c r="BS53" s="2248">
        <f t="shared" si="198"/>
        <v>-3000</v>
      </c>
      <c r="BT53" s="2251">
        <f t="shared" si="199"/>
        <v>-100</v>
      </c>
      <c r="BU53" s="2251"/>
      <c r="BW53" s="2250">
        <f t="shared" si="177"/>
        <v>36000</v>
      </c>
      <c r="BX53" s="2251">
        <f t="shared" si="164"/>
        <v>48973.72</v>
      </c>
    </row>
    <row r="54" spans="1:76" ht="15.75" thickBot="1" x14ac:dyDescent="0.3">
      <c r="A54" s="2144">
        <v>12291</v>
      </c>
      <c r="B54" s="2328" t="s">
        <v>3835</v>
      </c>
      <c r="C54" s="2247"/>
      <c r="D54" s="2248">
        <v>0</v>
      </c>
      <c r="E54" s="2248"/>
      <c r="F54" s="2251">
        <v>0</v>
      </c>
      <c r="G54" s="2251"/>
      <c r="H54" s="1724"/>
      <c r="I54" s="2247"/>
      <c r="J54" s="2248">
        <v>-95.48</v>
      </c>
      <c r="K54" s="2248"/>
      <c r="L54" s="2251">
        <v>0</v>
      </c>
      <c r="M54" s="2251"/>
      <c r="N54" s="1724"/>
      <c r="O54" s="2247"/>
      <c r="P54" s="2248">
        <v>95.48</v>
      </c>
      <c r="Q54" s="2248"/>
      <c r="R54" s="2251">
        <v>0</v>
      </c>
      <c r="S54" s="2251"/>
      <c r="T54" s="1724"/>
      <c r="U54" s="2247"/>
      <c r="V54" s="2248"/>
      <c r="W54" s="2248"/>
      <c r="X54" s="2251">
        <v>0</v>
      </c>
      <c r="Y54" s="2251"/>
      <c r="Z54" s="1724"/>
      <c r="AA54" s="2247"/>
      <c r="AB54" s="2248"/>
      <c r="AC54" s="2248"/>
      <c r="AD54" s="2251">
        <v>0</v>
      </c>
      <c r="AE54" s="2251"/>
      <c r="AF54" s="1724"/>
      <c r="AG54" s="2247"/>
      <c r="AH54" s="2248"/>
      <c r="AI54" s="2248"/>
      <c r="AJ54" s="2251">
        <v>0</v>
      </c>
      <c r="AK54" s="2251"/>
      <c r="AL54" s="1724"/>
      <c r="AM54" s="2247"/>
      <c r="AN54" s="2248"/>
      <c r="AO54" s="2248"/>
      <c r="AP54" s="2251">
        <v>0</v>
      </c>
      <c r="AQ54" s="2251"/>
      <c r="AR54" s="1724"/>
      <c r="AS54" s="2247"/>
      <c r="AT54" s="2248"/>
      <c r="AU54" s="2248"/>
      <c r="AV54" s="2251">
        <v>0</v>
      </c>
      <c r="AW54" s="2251"/>
      <c r="AX54" s="1724"/>
      <c r="AY54" s="2247"/>
      <c r="AZ54" s="2248"/>
      <c r="BA54" s="2248"/>
      <c r="BB54" s="2251">
        <v>0</v>
      </c>
      <c r="BC54" s="2251"/>
      <c r="BD54" s="1724"/>
      <c r="BE54" s="2247"/>
      <c r="BF54" s="2248"/>
      <c r="BG54" s="2248"/>
      <c r="BH54" s="2251">
        <v>0</v>
      </c>
      <c r="BI54" s="2251"/>
      <c r="BJ54" s="1724"/>
      <c r="BK54" s="2247"/>
      <c r="BL54" s="2248"/>
      <c r="BM54" s="2248"/>
      <c r="BN54" s="2251">
        <v>0</v>
      </c>
      <c r="BO54" s="2251"/>
      <c r="BQ54" s="2247"/>
      <c r="BR54" s="2248"/>
      <c r="BS54" s="2248"/>
      <c r="BT54" s="2251">
        <v>0</v>
      </c>
      <c r="BU54" s="2251"/>
      <c r="BW54" s="1774">
        <f t="shared" si="177"/>
        <v>0</v>
      </c>
      <c r="BX54" s="2322">
        <f t="shared" si="164"/>
        <v>0</v>
      </c>
    </row>
    <row r="55" spans="1:76" x14ac:dyDescent="0.25">
      <c r="A55" s="2145">
        <v>11698</v>
      </c>
      <c r="B55" s="2326" t="s">
        <v>3896</v>
      </c>
      <c r="C55" s="2903">
        <v>9000</v>
      </c>
      <c r="D55" s="1757">
        <v>81.11</v>
      </c>
      <c r="E55" s="2878">
        <f>D57+D55+D56-C55</f>
        <v>-5894.2999999999993</v>
      </c>
      <c r="F55" s="2880">
        <f>((SUM(D55:D57)/C55)-1)*100</f>
        <v>-65.492222222222225</v>
      </c>
      <c r="G55" s="2253"/>
      <c r="H55" s="1724"/>
      <c r="I55" s="2903">
        <v>9000</v>
      </c>
      <c r="J55" s="2260">
        <v>0</v>
      </c>
      <c r="K55" s="2878">
        <f>J57+J55+J56-I55</f>
        <v>-5399.93</v>
      </c>
      <c r="L55" s="2880">
        <f>((SUM(J55:J57)/I55)-1)*100</f>
        <v>-59.99922222222223</v>
      </c>
      <c r="M55" s="2253"/>
      <c r="N55" s="1724"/>
      <c r="O55" s="2903">
        <v>9000</v>
      </c>
      <c r="P55" s="1757">
        <v>0</v>
      </c>
      <c r="Q55" s="2878">
        <f>P57+P55+P56-O55</f>
        <v>7544.3099999999977</v>
      </c>
      <c r="R55" s="2880">
        <f>((SUM(P55:P57)/O55)-1)*100</f>
        <v>83.825666666666649</v>
      </c>
      <c r="S55" s="2253"/>
      <c r="T55" s="1724"/>
      <c r="U55" s="2903">
        <v>9000</v>
      </c>
      <c r="V55" s="2260"/>
      <c r="W55" s="2878">
        <f>V57+V55+V56-U55</f>
        <v>-9000</v>
      </c>
      <c r="X55" s="2880">
        <f>((SUM(V55:V57)/U55)-1)*100</f>
        <v>-100</v>
      </c>
      <c r="Y55" s="2253"/>
      <c r="Z55" s="1724"/>
      <c r="AA55" s="2903">
        <v>9000</v>
      </c>
      <c r="AB55" s="1757"/>
      <c r="AC55" s="2878">
        <f>AB57+AB55+AB56-AA55</f>
        <v>-9000</v>
      </c>
      <c r="AD55" s="2880">
        <f>((SUM(AB55:AB57)/AA55)-1)*100</f>
        <v>-100</v>
      </c>
      <c r="AE55" s="2253"/>
      <c r="AF55" s="1724"/>
      <c r="AG55" s="2903">
        <v>9000</v>
      </c>
      <c r="AH55" s="1757"/>
      <c r="AI55" s="2878">
        <f>AH57+AH55+AH56-AG55</f>
        <v>-9000</v>
      </c>
      <c r="AJ55" s="2880">
        <f>((SUM(AH55:AH57)/AG55)-1)*100</f>
        <v>-100</v>
      </c>
      <c r="AK55" s="2253"/>
      <c r="AL55" s="1724"/>
      <c r="AM55" s="2903">
        <v>9000</v>
      </c>
      <c r="AN55" s="2260"/>
      <c r="AO55" s="2878">
        <f>AN57+AN55+AN56-AM55</f>
        <v>-9000</v>
      </c>
      <c r="AP55" s="2880">
        <f>((SUM(AN55:AN57)/AM55)-1)*100</f>
        <v>-100</v>
      </c>
      <c r="AQ55" s="2253"/>
      <c r="AR55" s="1724"/>
      <c r="AS55" s="2903">
        <v>9000</v>
      </c>
      <c r="AT55" s="2260"/>
      <c r="AU55" s="2878">
        <f>AT57+AT55+AT56-AS55</f>
        <v>-9000</v>
      </c>
      <c r="AV55" s="2880">
        <f>((SUM(AT55:AT57)/AS55)-1)*100</f>
        <v>-100</v>
      </c>
      <c r="AW55" s="2253"/>
      <c r="AX55" s="1724"/>
      <c r="AY55" s="2903">
        <v>9000</v>
      </c>
      <c r="AZ55" s="1757"/>
      <c r="BA55" s="2878">
        <f>AZ57+AZ55+AZ56-AY55</f>
        <v>-9000</v>
      </c>
      <c r="BB55" s="2880">
        <f>((SUM(AZ55:AZ57)/AY55)-1)*100</f>
        <v>-100</v>
      </c>
      <c r="BC55" s="2253"/>
      <c r="BD55" s="1724"/>
      <c r="BE55" s="2903">
        <v>9000</v>
      </c>
      <c r="BF55" s="2260"/>
      <c r="BG55" s="2878">
        <f>BF57+BF55+BF56-BE55</f>
        <v>-9000</v>
      </c>
      <c r="BH55" s="2880">
        <f>((SUM(BF55:BF57)/BE55)-1)*100</f>
        <v>-100</v>
      </c>
      <c r="BI55" s="2253"/>
      <c r="BJ55" s="1724"/>
      <c r="BK55" s="2903">
        <v>9000</v>
      </c>
      <c r="BL55" s="2260"/>
      <c r="BM55" s="2878">
        <f>BL57+BL55+BL56-BK55</f>
        <v>-9000</v>
      </c>
      <c r="BN55" s="2880">
        <f>((SUM(BL55:BL57)/BK55)-1)*100</f>
        <v>-100</v>
      </c>
      <c r="BO55" s="2253"/>
      <c r="BQ55" s="2903">
        <v>9000</v>
      </c>
      <c r="BR55" s="2260"/>
      <c r="BS55" s="2878">
        <f>BR57+BR55+BR56-BQ55</f>
        <v>-9000</v>
      </c>
      <c r="BT55" s="2880">
        <f>((SUM(BR55:BR57)/BQ55)-1)*100</f>
        <v>-100</v>
      </c>
      <c r="BU55" s="2253"/>
      <c r="BW55" s="2809">
        <f t="shared" si="177"/>
        <v>108000</v>
      </c>
      <c r="BX55" s="2918">
        <f>SUM(D55:D57)+SUM(J55:J57)+SUM(P55:P57)+SUM(V55:V57)+SUM(AB55:AB57)+SUM(AH55:AH57)+SUM(AN55:AN57)+SUM(AT55:AT57)+SUM(AZ55:AZ57)+SUM(BF55:BF57)+SUM(BL55:BL57)+SUM(BR55:BR57)</f>
        <v>23250.079999999998</v>
      </c>
    </row>
    <row r="56" spans="1:76" x14ac:dyDescent="0.25">
      <c r="A56" s="2138">
        <v>11926</v>
      </c>
      <c r="B56" s="2330" t="s">
        <v>3906</v>
      </c>
      <c r="C56" s="2904"/>
      <c r="D56" s="2268"/>
      <c r="E56" s="2914"/>
      <c r="F56" s="2915"/>
      <c r="G56" s="2319"/>
      <c r="H56" s="1724"/>
      <c r="I56" s="2904"/>
      <c r="J56" s="1766">
        <v>0</v>
      </c>
      <c r="K56" s="2914"/>
      <c r="L56" s="2915"/>
      <c r="M56" s="2319"/>
      <c r="N56" s="1724"/>
      <c r="O56" s="2904"/>
      <c r="P56" s="2268">
        <v>12904.8</v>
      </c>
      <c r="Q56" s="2914"/>
      <c r="R56" s="2915"/>
      <c r="S56" s="2319"/>
      <c r="T56" s="1724"/>
      <c r="U56" s="2904"/>
      <c r="V56" s="1766"/>
      <c r="W56" s="2914"/>
      <c r="X56" s="2915"/>
      <c r="Y56" s="2319"/>
      <c r="Z56" s="1724"/>
      <c r="AA56" s="2904"/>
      <c r="AB56" s="2268"/>
      <c r="AC56" s="2914"/>
      <c r="AD56" s="2915"/>
      <c r="AE56" s="2319"/>
      <c r="AF56" s="1724"/>
      <c r="AG56" s="2904"/>
      <c r="AH56" s="2268"/>
      <c r="AI56" s="2914"/>
      <c r="AJ56" s="2915"/>
      <c r="AK56" s="2319"/>
      <c r="AL56" s="1724"/>
      <c r="AM56" s="2904"/>
      <c r="AN56" s="1766"/>
      <c r="AO56" s="2914"/>
      <c r="AP56" s="2915"/>
      <c r="AQ56" s="2319"/>
      <c r="AR56" s="1724"/>
      <c r="AS56" s="2904"/>
      <c r="AT56" s="1766"/>
      <c r="AU56" s="2914"/>
      <c r="AV56" s="2915"/>
      <c r="AW56" s="2319"/>
      <c r="AX56" s="1724"/>
      <c r="AY56" s="2904"/>
      <c r="AZ56" s="2268"/>
      <c r="BA56" s="2914"/>
      <c r="BB56" s="2915"/>
      <c r="BC56" s="2319"/>
      <c r="BD56" s="1724"/>
      <c r="BE56" s="2904"/>
      <c r="BF56" s="1766"/>
      <c r="BG56" s="2914"/>
      <c r="BH56" s="2915"/>
      <c r="BI56" s="2319"/>
      <c r="BJ56" s="1724"/>
      <c r="BK56" s="2904"/>
      <c r="BL56" s="1766"/>
      <c r="BM56" s="2914"/>
      <c r="BN56" s="2915"/>
      <c r="BO56" s="2319"/>
      <c r="BQ56" s="2904"/>
      <c r="BR56" s="1766"/>
      <c r="BS56" s="2914"/>
      <c r="BT56" s="2915"/>
      <c r="BU56" s="2319"/>
      <c r="BW56" s="2813">
        <f t="shared" si="177"/>
        <v>0</v>
      </c>
      <c r="BX56" s="2919">
        <f t="shared" ref="BX56:BX57" si="200">SUM(D56:D57)+SUM(J56:J57)+SUM(P56:P57)+SUM(V56:V57)+SUM(AB56:AB57)+SUM(AH56:AH57)+SUM(AN56:AN57)+SUM(AT56:AT57)+SUM(AZ56:AZ57)+SUM(BF56:BF57)+SUM(BL56:BL57)+SUM(BR56:BR57)</f>
        <v>23168.969999999998</v>
      </c>
    </row>
    <row r="57" spans="1:76" ht="15.75" thickBot="1" x14ac:dyDescent="0.3">
      <c r="A57" s="2146">
        <v>11692</v>
      </c>
      <c r="B57" s="2329" t="s">
        <v>217</v>
      </c>
      <c r="C57" s="2905"/>
      <c r="D57" s="1772">
        <v>3024.59</v>
      </c>
      <c r="E57" s="2879"/>
      <c r="F57" s="2881"/>
      <c r="G57" s="2254"/>
      <c r="H57" s="1724"/>
      <c r="I57" s="2905"/>
      <c r="J57" s="1772">
        <v>3600.07</v>
      </c>
      <c r="K57" s="2879"/>
      <c r="L57" s="2881"/>
      <c r="M57" s="2254"/>
      <c r="N57" s="1724"/>
      <c r="O57" s="2905"/>
      <c r="P57" s="1772">
        <v>3639.51</v>
      </c>
      <c r="Q57" s="2879"/>
      <c r="R57" s="2881"/>
      <c r="S57" s="2254"/>
      <c r="T57" s="1724"/>
      <c r="U57" s="2905"/>
      <c r="V57" s="1772"/>
      <c r="W57" s="2879"/>
      <c r="X57" s="2881"/>
      <c r="Y57" s="2254"/>
      <c r="Z57" s="1724"/>
      <c r="AA57" s="2905"/>
      <c r="AB57" s="1772"/>
      <c r="AC57" s="2879"/>
      <c r="AD57" s="2881"/>
      <c r="AE57" s="2254"/>
      <c r="AF57" s="1724"/>
      <c r="AG57" s="2905"/>
      <c r="AH57" s="1772"/>
      <c r="AI57" s="2879"/>
      <c r="AJ57" s="2881"/>
      <c r="AK57" s="2254"/>
      <c r="AL57" s="1724"/>
      <c r="AM57" s="2905"/>
      <c r="AN57" s="1772"/>
      <c r="AO57" s="2879"/>
      <c r="AP57" s="2881"/>
      <c r="AQ57" s="2254"/>
      <c r="AR57" s="1724"/>
      <c r="AS57" s="2905"/>
      <c r="AT57" s="1772"/>
      <c r="AU57" s="2879"/>
      <c r="AV57" s="2881"/>
      <c r="AW57" s="2254"/>
      <c r="AX57" s="1724"/>
      <c r="AY57" s="2905"/>
      <c r="AZ57" s="1772"/>
      <c r="BA57" s="2879"/>
      <c r="BB57" s="2881"/>
      <c r="BC57" s="2254"/>
      <c r="BD57" s="1724"/>
      <c r="BE57" s="2905"/>
      <c r="BF57" s="1772"/>
      <c r="BG57" s="2879"/>
      <c r="BH57" s="2881"/>
      <c r="BI57" s="2254"/>
      <c r="BJ57" s="1724"/>
      <c r="BK57" s="2905"/>
      <c r="BL57" s="1772"/>
      <c r="BM57" s="2879"/>
      <c r="BN57" s="2881"/>
      <c r="BO57" s="2254"/>
      <c r="BQ57" s="2905"/>
      <c r="BR57" s="1772"/>
      <c r="BS57" s="2879"/>
      <c r="BT57" s="2881"/>
      <c r="BU57" s="2254"/>
      <c r="BW57" s="2810">
        <f t="shared" si="177"/>
        <v>0</v>
      </c>
      <c r="BX57" s="2920">
        <f t="shared" si="200"/>
        <v>10264.17</v>
      </c>
    </row>
  </sheetData>
  <mergeCells count="292">
    <mergeCell ref="BT55:BT57"/>
    <mergeCell ref="BW55:BW57"/>
    <mergeCell ref="BX55:BX57"/>
    <mergeCell ref="BT34:BT39"/>
    <mergeCell ref="BW34:BW39"/>
    <mergeCell ref="BX34:BX39"/>
    <mergeCell ref="BQ42:BQ45"/>
    <mergeCell ref="BT42:BT45"/>
    <mergeCell ref="BW42:BW45"/>
    <mergeCell ref="BX42:BX45"/>
    <mergeCell ref="BQ47:BQ48"/>
    <mergeCell ref="BT47:BT48"/>
    <mergeCell ref="BW47:BW48"/>
    <mergeCell ref="BX47:BX48"/>
    <mergeCell ref="BT11:BT15"/>
    <mergeCell ref="BW11:BW15"/>
    <mergeCell ref="BX11:BX15"/>
    <mergeCell ref="BQ17:BQ18"/>
    <mergeCell ref="BT17:BT18"/>
    <mergeCell ref="BW17:BW18"/>
    <mergeCell ref="BX17:BX18"/>
    <mergeCell ref="BQ23:BQ27"/>
    <mergeCell ref="BT23:BT27"/>
    <mergeCell ref="BW23:BW27"/>
    <mergeCell ref="BX23:BX27"/>
    <mergeCell ref="O11:O15"/>
    <mergeCell ref="Q11:Q15"/>
    <mergeCell ref="R11:R15"/>
    <mergeCell ref="U11:U15"/>
    <mergeCell ref="W11:W15"/>
    <mergeCell ref="X11:X15"/>
    <mergeCell ref="C11:C15"/>
    <mergeCell ref="E11:E15"/>
    <mergeCell ref="F11:F15"/>
    <mergeCell ref="I11:I15"/>
    <mergeCell ref="K11:K15"/>
    <mergeCell ref="L11:L15"/>
    <mergeCell ref="AM11:AM15"/>
    <mergeCell ref="AO11:AO15"/>
    <mergeCell ref="AP11:AP15"/>
    <mergeCell ref="AS11:AS15"/>
    <mergeCell ref="AU11:AU15"/>
    <mergeCell ref="AV11:AV15"/>
    <mergeCell ref="AA11:AA15"/>
    <mergeCell ref="AC11:AC15"/>
    <mergeCell ref="AD11:AD15"/>
    <mergeCell ref="AG11:AG15"/>
    <mergeCell ref="AI11:AI15"/>
    <mergeCell ref="AJ11:AJ15"/>
    <mergeCell ref="BK11:BK15"/>
    <mergeCell ref="BM11:BM15"/>
    <mergeCell ref="BN11:BN15"/>
    <mergeCell ref="BS11:BS15"/>
    <mergeCell ref="AY11:AY15"/>
    <mergeCell ref="BA11:BA15"/>
    <mergeCell ref="BB11:BB15"/>
    <mergeCell ref="BE11:BE15"/>
    <mergeCell ref="BG11:BG15"/>
    <mergeCell ref="BH11:BH15"/>
    <mergeCell ref="BQ11:BQ15"/>
    <mergeCell ref="O17:O18"/>
    <mergeCell ref="Q17:Q18"/>
    <mergeCell ref="R17:R18"/>
    <mergeCell ref="U17:U18"/>
    <mergeCell ref="W17:W18"/>
    <mergeCell ref="X17:X18"/>
    <mergeCell ref="C17:C18"/>
    <mergeCell ref="E17:E18"/>
    <mergeCell ref="F17:F18"/>
    <mergeCell ref="I17:I18"/>
    <mergeCell ref="K17:K18"/>
    <mergeCell ref="L17:L18"/>
    <mergeCell ref="AM17:AM18"/>
    <mergeCell ref="AO17:AO18"/>
    <mergeCell ref="AP17:AP18"/>
    <mergeCell ref="AS17:AS18"/>
    <mergeCell ref="AU17:AU18"/>
    <mergeCell ref="AV17:AV18"/>
    <mergeCell ref="AA17:AA18"/>
    <mergeCell ref="AC17:AC18"/>
    <mergeCell ref="AD17:AD18"/>
    <mergeCell ref="AG17:AG18"/>
    <mergeCell ref="AI17:AI18"/>
    <mergeCell ref="AJ17:AJ18"/>
    <mergeCell ref="BK17:BK18"/>
    <mergeCell ref="BM17:BM18"/>
    <mergeCell ref="BN17:BN18"/>
    <mergeCell ref="BS17:BS18"/>
    <mergeCell ref="AY17:AY18"/>
    <mergeCell ref="BA17:BA18"/>
    <mergeCell ref="BB17:BB18"/>
    <mergeCell ref="BE17:BE18"/>
    <mergeCell ref="BG17:BG18"/>
    <mergeCell ref="BH17:BH18"/>
    <mergeCell ref="O23:O27"/>
    <mergeCell ref="Q23:Q27"/>
    <mergeCell ref="R23:R27"/>
    <mergeCell ref="U23:U27"/>
    <mergeCell ref="W23:W27"/>
    <mergeCell ref="X23:X27"/>
    <mergeCell ref="C23:C27"/>
    <mergeCell ref="E23:E27"/>
    <mergeCell ref="F23:F27"/>
    <mergeCell ref="I23:I27"/>
    <mergeCell ref="K23:K27"/>
    <mergeCell ref="L23:L27"/>
    <mergeCell ref="AM23:AM27"/>
    <mergeCell ref="AO23:AO27"/>
    <mergeCell ref="AP23:AP27"/>
    <mergeCell ref="AS23:AS27"/>
    <mergeCell ref="AU23:AU27"/>
    <mergeCell ref="AV23:AV27"/>
    <mergeCell ref="AA23:AA27"/>
    <mergeCell ref="AC23:AC27"/>
    <mergeCell ref="AD23:AD27"/>
    <mergeCell ref="AG23:AG27"/>
    <mergeCell ref="AI23:AI27"/>
    <mergeCell ref="AJ23:AJ27"/>
    <mergeCell ref="BK23:BK27"/>
    <mergeCell ref="BM23:BM27"/>
    <mergeCell ref="BN23:BN27"/>
    <mergeCell ref="BS23:BS27"/>
    <mergeCell ref="AY23:AY27"/>
    <mergeCell ref="BA23:BA27"/>
    <mergeCell ref="BB23:BB27"/>
    <mergeCell ref="BE23:BE27"/>
    <mergeCell ref="BG23:BG27"/>
    <mergeCell ref="BH23:BH27"/>
    <mergeCell ref="O34:O39"/>
    <mergeCell ref="Q34:Q39"/>
    <mergeCell ref="R34:R39"/>
    <mergeCell ref="U34:U39"/>
    <mergeCell ref="W34:W39"/>
    <mergeCell ref="X34:X39"/>
    <mergeCell ref="C34:C39"/>
    <mergeCell ref="E34:E39"/>
    <mergeCell ref="F34:F39"/>
    <mergeCell ref="I34:I39"/>
    <mergeCell ref="K34:K39"/>
    <mergeCell ref="L34:L39"/>
    <mergeCell ref="AM34:AM39"/>
    <mergeCell ref="AO34:AO39"/>
    <mergeCell ref="AP34:AP39"/>
    <mergeCell ref="AS34:AS39"/>
    <mergeCell ref="AU34:AU39"/>
    <mergeCell ref="AV34:AV39"/>
    <mergeCell ref="AA34:AA39"/>
    <mergeCell ref="AC34:AC39"/>
    <mergeCell ref="AD34:AD39"/>
    <mergeCell ref="AG34:AG39"/>
    <mergeCell ref="AI34:AI39"/>
    <mergeCell ref="AJ34:AJ39"/>
    <mergeCell ref="BK34:BK39"/>
    <mergeCell ref="BM34:BM39"/>
    <mergeCell ref="BN34:BN39"/>
    <mergeCell ref="BS34:BS39"/>
    <mergeCell ref="AY34:AY39"/>
    <mergeCell ref="BA34:BA39"/>
    <mergeCell ref="BB34:BB39"/>
    <mergeCell ref="BE34:BE39"/>
    <mergeCell ref="BG34:BG39"/>
    <mergeCell ref="BH34:BH39"/>
    <mergeCell ref="BQ34:BQ39"/>
    <mergeCell ref="O42:O45"/>
    <mergeCell ref="Q42:Q45"/>
    <mergeCell ref="R42:R45"/>
    <mergeCell ref="U42:U45"/>
    <mergeCell ref="W42:W45"/>
    <mergeCell ref="X42:X45"/>
    <mergeCell ref="C42:C45"/>
    <mergeCell ref="E42:E45"/>
    <mergeCell ref="F42:F45"/>
    <mergeCell ref="I42:I45"/>
    <mergeCell ref="K42:K45"/>
    <mergeCell ref="L42:L45"/>
    <mergeCell ref="AM42:AM45"/>
    <mergeCell ref="AO42:AO45"/>
    <mergeCell ref="AP42:AP45"/>
    <mergeCell ref="AS42:AS45"/>
    <mergeCell ref="AU42:AU45"/>
    <mergeCell ref="AV42:AV45"/>
    <mergeCell ref="AA42:AA45"/>
    <mergeCell ref="AC42:AC45"/>
    <mergeCell ref="AD42:AD45"/>
    <mergeCell ref="AG42:AG45"/>
    <mergeCell ref="AI42:AI45"/>
    <mergeCell ref="AJ42:AJ45"/>
    <mergeCell ref="BK42:BK45"/>
    <mergeCell ref="BM42:BM45"/>
    <mergeCell ref="BN42:BN45"/>
    <mergeCell ref="BS42:BS45"/>
    <mergeCell ref="AY42:AY45"/>
    <mergeCell ref="BA42:BA45"/>
    <mergeCell ref="BB42:BB45"/>
    <mergeCell ref="BE42:BE45"/>
    <mergeCell ref="BG42:BG45"/>
    <mergeCell ref="BH42:BH45"/>
    <mergeCell ref="O47:O48"/>
    <mergeCell ref="Q47:Q48"/>
    <mergeCell ref="R47:R48"/>
    <mergeCell ref="U47:U48"/>
    <mergeCell ref="W47:W48"/>
    <mergeCell ref="X47:X48"/>
    <mergeCell ref="C47:C48"/>
    <mergeCell ref="E47:E48"/>
    <mergeCell ref="F47:F48"/>
    <mergeCell ref="I47:I48"/>
    <mergeCell ref="K47:K48"/>
    <mergeCell ref="L47:L48"/>
    <mergeCell ref="AM47:AM48"/>
    <mergeCell ref="AO47:AO48"/>
    <mergeCell ref="AP47:AP48"/>
    <mergeCell ref="AS47:AS48"/>
    <mergeCell ref="AU47:AU48"/>
    <mergeCell ref="AV47:AV48"/>
    <mergeCell ref="AA47:AA48"/>
    <mergeCell ref="AC47:AC48"/>
    <mergeCell ref="AD47:AD48"/>
    <mergeCell ref="AG47:AG48"/>
    <mergeCell ref="AI47:AI48"/>
    <mergeCell ref="AJ47:AJ48"/>
    <mergeCell ref="BK47:BK48"/>
    <mergeCell ref="BM47:BM48"/>
    <mergeCell ref="BN47:BN48"/>
    <mergeCell ref="BS47:BS48"/>
    <mergeCell ref="AY47:AY48"/>
    <mergeCell ref="BA47:BA48"/>
    <mergeCell ref="BB47:BB48"/>
    <mergeCell ref="BE47:BE48"/>
    <mergeCell ref="BG47:BG48"/>
    <mergeCell ref="BH47:BH48"/>
    <mergeCell ref="U55:U57"/>
    <mergeCell ref="W55:W57"/>
    <mergeCell ref="X55:X57"/>
    <mergeCell ref="C55:C57"/>
    <mergeCell ref="E55:E57"/>
    <mergeCell ref="F55:F57"/>
    <mergeCell ref="I55:I57"/>
    <mergeCell ref="K55:K57"/>
    <mergeCell ref="L55:L57"/>
    <mergeCell ref="BM55:BM57"/>
    <mergeCell ref="BN55:BN57"/>
    <mergeCell ref="BS55:BS57"/>
    <mergeCell ref="AY55:AY57"/>
    <mergeCell ref="BA55:BA57"/>
    <mergeCell ref="BB55:BB57"/>
    <mergeCell ref="BE55:BE57"/>
    <mergeCell ref="BG55:BG57"/>
    <mergeCell ref="BH55:BH57"/>
    <mergeCell ref="BQ55:BQ57"/>
    <mergeCell ref="A5:A6"/>
    <mergeCell ref="B5:B6"/>
    <mergeCell ref="C5:F5"/>
    <mergeCell ref="I5:L5"/>
    <mergeCell ref="O5:R5"/>
    <mergeCell ref="U5:X5"/>
    <mergeCell ref="M5:M6"/>
    <mergeCell ref="G5:G6"/>
    <mergeCell ref="BK55:BK57"/>
    <mergeCell ref="AM55:AM57"/>
    <mergeCell ref="AO55:AO57"/>
    <mergeCell ref="AP55:AP57"/>
    <mergeCell ref="AS55:AS57"/>
    <mergeCell ref="AU55:AU57"/>
    <mergeCell ref="AV55:AV57"/>
    <mergeCell ref="AA55:AA57"/>
    <mergeCell ref="AC55:AC57"/>
    <mergeCell ref="AD55:AD57"/>
    <mergeCell ref="AG55:AG57"/>
    <mergeCell ref="AI55:AI57"/>
    <mergeCell ref="AJ55:AJ57"/>
    <mergeCell ref="O55:O57"/>
    <mergeCell ref="Q55:Q57"/>
    <mergeCell ref="R55:R57"/>
    <mergeCell ref="BI5:BI6"/>
    <mergeCell ref="BK5:BN5"/>
    <mergeCell ref="BQ5:BT5"/>
    <mergeCell ref="BW5:BW6"/>
    <mergeCell ref="BX5:BX6"/>
    <mergeCell ref="Y5:Y6"/>
    <mergeCell ref="S5:S6"/>
    <mergeCell ref="AE5:AE6"/>
    <mergeCell ref="AK5:AK6"/>
    <mergeCell ref="AQ5:AQ6"/>
    <mergeCell ref="AW5:AW6"/>
    <mergeCell ref="AA5:AD5"/>
    <mergeCell ref="AG5:AJ5"/>
    <mergeCell ref="AM5:AP5"/>
    <mergeCell ref="AS5:AV5"/>
    <mergeCell ref="AY5:BB5"/>
    <mergeCell ref="BE5:BH5"/>
    <mergeCell ref="BC5:BC6"/>
  </mergeCells>
  <conditionalFormatting sqref="A51">
    <cfRule type="duplicateValues" dxfId="9" priority="1"/>
  </conditionalFormatting>
  <hyperlinks>
    <hyperlink ref="A8" r:id="rId1" display="..\..\..\..\Rafaela Garcia\2022\3. Março\Orçamento\Nívia\33248.pdf"/>
    <hyperlink ref="A9" r:id="rId2" display="..\..\..\..\Rafaela Garcia\2022\3. Março\Orçamento\Nívia\11563.pdf"/>
    <hyperlink ref="A10" r:id="rId3" display="..\..\..\..\Rafaela Garcia\2022\3. Março\Orçamento\Nívia\11761.pdf"/>
    <hyperlink ref="A11" r:id="rId4" display="..\..\..\..\Rafaela Garcia\2022\3. Março\Orçamento\Nívia\11195.pdf"/>
    <hyperlink ref="A12" r:id="rId5" display="..\..\..\..\Rafaela Garcia\2022\3. Março\Orçamento\Nívia\11196.pdf"/>
    <hyperlink ref="A13" r:id="rId6" display="..\..\..\..\Rafaela Garcia\2022\3. Março\Orçamento\Nívia\32896.pdf"/>
    <hyperlink ref="A14" r:id="rId7" display="..\..\..\..\Rafaela Garcia\2022\3. Março\Orçamento\Nívia\32897.pdf"/>
    <hyperlink ref="A15" r:id="rId8" display="..\..\..\..\Rafaela Garcia\2022\3. Março\Orçamento\Nívia\11862.pdf"/>
    <hyperlink ref="A16" r:id="rId9" display="..\..\..\..\Rafaela Garcia\2022\3. Março\Orçamento\Nívia\51091.pdf"/>
    <hyperlink ref="A17" r:id="rId10" display="..\..\..\..\Rafaela Garcia\2022\3. Março\Orçamento\Nívia\11750.pdf"/>
    <hyperlink ref="A18" r:id="rId11" display="..\..\..\..\Rafaela Garcia\2022\3. Março\Orçamento\Nívia\51430.pdf"/>
    <hyperlink ref="A19" r:id="rId12" display="..\..\..\..\Rafaela Garcia\2022\3. Março\Orçamento\Nívia\33736.pdf"/>
    <hyperlink ref="A20" r:id="rId13" display="..\..\..\..\Rafaela Garcia\2022\3. Março\Orçamento\Nívia\11972.pdf"/>
    <hyperlink ref="A21" r:id="rId14" display="..\..\..\..\Rafaela Garcia\2022\3. Março\Orçamento\Nívia\11611.pdf"/>
    <hyperlink ref="A22" r:id="rId15" display="..\..\..\..\Rafaela Garcia\2022\3. Março\Orçamento\Nívia\11704.pdf"/>
    <hyperlink ref="A23" r:id="rId16" display="..\..\..\..\Rafaela Garcia\2022\3. Março\Orçamento\Nívia\12864.pdf"/>
    <hyperlink ref="A24" r:id="rId17" display="..\..\..\..\Rafaela Garcia\2022\3. Março\Orçamento\Nívia\11784.pdf"/>
    <hyperlink ref="A28" r:id="rId18" display="..\..\..\..\Rafaela Garcia\2022\3. Março\Orçamento\Nívia\11534.pdf"/>
    <hyperlink ref="A29" r:id="rId19" display="..\..\..\..\Rafaela Garcia\2022\3. Março\Orçamento\Nívia\11510.pdf"/>
    <hyperlink ref="A30" r:id="rId20" display="..\..\..\..\Rafaela Garcia\2022\3. Março\Orçamento\Nívia\11516.pdf"/>
    <hyperlink ref="A31" r:id="rId21" display="..\..\..\..\Rafaela Garcia\2022\3. Março\Orçamento\Nívia\11522.pdf"/>
    <hyperlink ref="A32" r:id="rId22" display="..\..\..\..\Rafaela Garcia\2022\3. Março\Orçamento\Nívia\11527.pdf"/>
    <hyperlink ref="A33" r:id="rId23" display="..\..\..\..\Rafaela Garcia\2022\3. Março\Orçamento\Nívia\11820.pdf"/>
    <hyperlink ref="A34" r:id="rId24" display="..\..\..\..\Rafaela Garcia\2022\3. Março\Orçamento\Nívia\11122.pdf"/>
    <hyperlink ref="A35" r:id="rId25" display="..\..\..\..\Rafaela Garcia\2022\3. Março\Orçamento\Nívia\11177.pdf"/>
    <hyperlink ref="A36" r:id="rId26" display="..\..\..\..\Rafaela Garcia\2022\3. Março\Orçamento\Nívia\11159.pdf"/>
    <hyperlink ref="A37" r:id="rId27" display="..\..\..\..\Rafaela Garcia\2022\3. Março\Orçamento\Nívia\11231.pdf"/>
    <hyperlink ref="A40" r:id="rId28" display="..\..\..\..\Rafaela Garcia\2022\3. Março\Orçamento\Nívia\11983.pdf"/>
    <hyperlink ref="A41" r:id="rId29" display="..\..\..\..\Rafaela Garcia\2022\3. Março\Orçamento\Nívia\11669.pdf"/>
    <hyperlink ref="A42" r:id="rId30" display="..\..\..\..\Rafaela Garcia\2022\3. Março\Orçamento\Nívia\51514.pdf"/>
    <hyperlink ref="A43" r:id="rId31" display="..\..\..\..\Rafaela Garcia\2022\3. Março\Orçamento\Nívia\52148.pdf"/>
    <hyperlink ref="A46" r:id="rId32" display="..\..\..\..\Rafaela Garcia\2022\3. Março\Orçamento\Nívia\33263.pdf"/>
    <hyperlink ref="A48" r:id="rId33" display="..\..\..\..\Rafaela Garcia\2022\3. Março\Orçamento\Nívia\33097.pdf"/>
    <hyperlink ref="A49" r:id="rId34" display="..\..\..\..\Rafaela Garcia\2022\3. Março\Orçamento\Nívia\37992.pdf"/>
    <hyperlink ref="A50" r:id="rId35" display="..\..\..\..\Rafaela Garcia\2022\3. Março\Orçamento\Nívia\12867.pdf"/>
    <hyperlink ref="A51" r:id="rId36" display="..\..\..\..\Rafaela Garcia\2022\3. Março\Orçamento\Nívia\11259.pdf"/>
    <hyperlink ref="A52" r:id="rId37" display="..\..\..\..\Rafaela Garcia\2022\3. Março\Orçamento\Nívia\11161.pdf"/>
    <hyperlink ref="A53" r:id="rId38" display="..\..\..\..\Rafaela Garcia\2022\3. Março\Orçamento\Nívia\12314.pdf"/>
    <hyperlink ref="A54" r:id="rId39" display="..\..\..\..\Rafaela Garcia\2022\3. Março\Orçamento\Nívia\12291.pdf"/>
    <hyperlink ref="A55" r:id="rId40" display="..\..\..\..\Rafaela Garcia\2022\3. Março\Orçamento\Nívia\11698.pdf"/>
    <hyperlink ref="A56" r:id="rId41" display="..\..\..\..\Rafaela Garcia\2022\3. Março\Orçamento\Nívia\11926.pdf"/>
    <hyperlink ref="A57" r:id="rId42" display="..\..\..\..\Rafaela Garcia\2022\3. Março\Orçamento\Nívia\11692.pdf"/>
  </hyperlinks>
  <pageMargins left="0.511811024" right="0.511811024" top="0.78740157499999996" bottom="0.78740157499999996" header="0.31496062000000002" footer="0.31496062000000002"/>
  <pageSetup paperSize="9" orientation="portrait" r:id="rId43"/>
  <drawing r:id="rId4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5:BX20"/>
  <sheetViews>
    <sheetView showGridLines="0" topLeftCell="A31" workbookViewId="0">
      <pane xSplit="2" topLeftCell="C1" activePane="topRight" state="frozen"/>
      <selection activeCell="B39" sqref="B39"/>
      <selection pane="topRight" activeCell="G15" sqref="G15"/>
    </sheetView>
  </sheetViews>
  <sheetFormatPr defaultRowHeight="15" x14ac:dyDescent="0.25"/>
  <cols>
    <col min="2" max="2" width="43.85546875" bestFit="1" customWidth="1"/>
    <col min="4" max="4" width="10.85546875" bestFit="1" customWidth="1"/>
    <col min="5" max="5" width="10.42578125" bestFit="1" customWidth="1"/>
    <col min="8" max="8" width="1.28515625" customWidth="1"/>
    <col min="10" max="10" width="10.85546875" bestFit="1" customWidth="1"/>
    <col min="11" max="11" width="10.42578125" bestFit="1" customWidth="1"/>
    <col min="12" max="12" width="5.85546875" customWidth="1"/>
    <col min="14" max="14" width="2" customWidth="1"/>
    <col min="16" max="16" width="10.85546875" bestFit="1" customWidth="1"/>
    <col min="17" max="17" width="9.7109375" bestFit="1" customWidth="1"/>
    <col min="20" max="20" width="2" customWidth="1"/>
    <col min="22" max="22" width="10.85546875" bestFit="1" customWidth="1"/>
    <col min="23" max="23" width="9.7109375" bestFit="1" customWidth="1"/>
    <col min="26" max="26" width="2.140625" customWidth="1"/>
    <col min="28" max="28" width="10.85546875" bestFit="1" customWidth="1"/>
    <col min="29" max="29" width="9.7109375" bestFit="1" customWidth="1"/>
    <col min="32" max="32" width="4.42578125" customWidth="1"/>
    <col min="34" max="34" width="10.85546875" bestFit="1" customWidth="1"/>
    <col min="35" max="35" width="9.7109375" bestFit="1" customWidth="1"/>
    <col min="38" max="38" width="3.85546875" customWidth="1"/>
    <col min="40" max="40" width="10.85546875" bestFit="1" customWidth="1"/>
    <col min="41" max="41" width="10.42578125" bestFit="1" customWidth="1"/>
    <col min="44" max="44" width="3.42578125" customWidth="1"/>
    <col min="46" max="46" width="10.85546875" bestFit="1" customWidth="1"/>
    <col min="47" max="47" width="10.42578125" bestFit="1" customWidth="1"/>
    <col min="50" max="50" width="5" customWidth="1"/>
    <col min="52" max="52" width="10.85546875" bestFit="1" customWidth="1"/>
    <col min="53" max="53" width="10.42578125" bestFit="1" customWidth="1"/>
    <col min="56" max="56" width="1.85546875" customWidth="1"/>
    <col min="58" max="58" width="10.85546875" bestFit="1" customWidth="1"/>
    <col min="59" max="59" width="10.42578125" bestFit="1" customWidth="1"/>
    <col min="62" max="62" width="2.7109375" customWidth="1"/>
    <col min="64" max="64" width="10.85546875" bestFit="1" customWidth="1"/>
    <col min="65" max="65" width="10.42578125" bestFit="1" customWidth="1"/>
    <col min="68" max="68" width="3" customWidth="1"/>
    <col min="70" max="70" width="10.85546875" bestFit="1" customWidth="1"/>
    <col min="71" max="71" width="10.42578125" bestFit="1" customWidth="1"/>
    <col min="74" max="74" width="2.85546875" customWidth="1"/>
    <col min="75" max="75" width="14.85546875" bestFit="1" customWidth="1"/>
    <col min="76" max="76" width="17" bestFit="1" customWidth="1"/>
  </cols>
  <sheetData>
    <row r="5" spans="1:76" ht="15.75" thickBot="1" x14ac:dyDescent="0.3"/>
    <row r="6" spans="1:76" ht="18" customHeight="1" thickBot="1" x14ac:dyDescent="0.3">
      <c r="A6" s="2864" t="s">
        <v>0</v>
      </c>
      <c r="B6" s="2866" t="s">
        <v>145</v>
      </c>
      <c r="C6" s="2861" t="s">
        <v>3716</v>
      </c>
      <c r="D6" s="2862"/>
      <c r="E6" s="2862"/>
      <c r="F6" s="2862"/>
      <c r="G6" s="2856" t="s">
        <v>3838</v>
      </c>
      <c r="I6" s="2861" t="s">
        <v>3717</v>
      </c>
      <c r="J6" s="2862"/>
      <c r="K6" s="2862"/>
      <c r="L6" s="2862"/>
      <c r="M6" s="2856" t="s">
        <v>3838</v>
      </c>
      <c r="O6" s="2861" t="s">
        <v>3718</v>
      </c>
      <c r="P6" s="2862"/>
      <c r="Q6" s="2862"/>
      <c r="R6" s="2862"/>
      <c r="S6" s="2856" t="s">
        <v>3838</v>
      </c>
      <c r="U6" s="2861" t="s">
        <v>3719</v>
      </c>
      <c r="V6" s="2862"/>
      <c r="W6" s="2862"/>
      <c r="X6" s="2862"/>
      <c r="Y6" s="2856" t="s">
        <v>3838</v>
      </c>
      <c r="AA6" s="2861" t="s">
        <v>3720</v>
      </c>
      <c r="AB6" s="2862"/>
      <c r="AC6" s="2862"/>
      <c r="AD6" s="2862"/>
      <c r="AE6" s="2856" t="s">
        <v>3838</v>
      </c>
      <c r="AG6" s="2861" t="s">
        <v>3721</v>
      </c>
      <c r="AH6" s="2862"/>
      <c r="AI6" s="2862"/>
      <c r="AJ6" s="2862"/>
      <c r="AK6" s="2856" t="s">
        <v>3838</v>
      </c>
      <c r="AM6" s="2861" t="s">
        <v>3722</v>
      </c>
      <c r="AN6" s="2862"/>
      <c r="AO6" s="2862"/>
      <c r="AP6" s="2862"/>
      <c r="AQ6" s="2856" t="s">
        <v>3838</v>
      </c>
      <c r="AS6" s="2861" t="s">
        <v>3723</v>
      </c>
      <c r="AT6" s="2862"/>
      <c r="AU6" s="2862"/>
      <c r="AV6" s="2862"/>
      <c r="AW6" s="2856" t="s">
        <v>3838</v>
      </c>
      <c r="AY6" s="2861" t="s">
        <v>3724</v>
      </c>
      <c r="AZ6" s="2862"/>
      <c r="BA6" s="2862"/>
      <c r="BB6" s="2862"/>
      <c r="BC6" s="2856" t="s">
        <v>3838</v>
      </c>
      <c r="BE6" s="2861" t="s">
        <v>3725</v>
      </c>
      <c r="BF6" s="2862"/>
      <c r="BG6" s="2862"/>
      <c r="BH6" s="2862"/>
      <c r="BI6" s="2856" t="s">
        <v>3838</v>
      </c>
      <c r="BK6" s="2861" t="s">
        <v>3726</v>
      </c>
      <c r="BL6" s="2862"/>
      <c r="BM6" s="2862"/>
      <c r="BN6" s="2862"/>
      <c r="BO6" s="1680" t="s">
        <v>3838</v>
      </c>
      <c r="BQ6" s="2861" t="s">
        <v>3727</v>
      </c>
      <c r="BR6" s="2862"/>
      <c r="BS6" s="2862"/>
      <c r="BT6" s="2862"/>
      <c r="BU6" s="1680" t="s">
        <v>3838</v>
      </c>
      <c r="BV6" s="1706"/>
      <c r="BW6" s="2856" t="s">
        <v>162</v>
      </c>
      <c r="BX6" s="2856" t="s">
        <v>163</v>
      </c>
    </row>
    <row r="7" spans="1:76" ht="18" customHeight="1" thickBot="1" x14ac:dyDescent="0.3">
      <c r="A7" s="2865"/>
      <c r="B7" s="2867"/>
      <c r="C7" s="1688" t="s">
        <v>3728</v>
      </c>
      <c r="D7" s="1682" t="s">
        <v>3796</v>
      </c>
      <c r="E7" s="1682" t="s">
        <v>3797</v>
      </c>
      <c r="F7" s="1681" t="s">
        <v>158</v>
      </c>
      <c r="G7" s="2858"/>
      <c r="I7" s="1683" t="s">
        <v>3728</v>
      </c>
      <c r="J7" s="1936" t="s">
        <v>3796</v>
      </c>
      <c r="K7" s="1682" t="s">
        <v>3797</v>
      </c>
      <c r="L7" s="1681" t="s">
        <v>158</v>
      </c>
      <c r="M7" s="2858"/>
      <c r="O7" s="1688" t="s">
        <v>3728</v>
      </c>
      <c r="P7" s="1682" t="s">
        <v>3796</v>
      </c>
      <c r="Q7" s="1682" t="s">
        <v>3797</v>
      </c>
      <c r="R7" s="1681" t="s">
        <v>158</v>
      </c>
      <c r="S7" s="2858"/>
      <c r="U7" s="1688" t="s">
        <v>3728</v>
      </c>
      <c r="V7" s="1682" t="s">
        <v>3796</v>
      </c>
      <c r="W7" s="1682" t="s">
        <v>3797</v>
      </c>
      <c r="X7" s="1681" t="s">
        <v>158</v>
      </c>
      <c r="Y7" s="2858"/>
      <c r="AA7" s="1688" t="s">
        <v>3728</v>
      </c>
      <c r="AB7" s="1682" t="s">
        <v>3796</v>
      </c>
      <c r="AC7" s="1682" t="s">
        <v>3797</v>
      </c>
      <c r="AD7" s="1681" t="s">
        <v>158</v>
      </c>
      <c r="AE7" s="2858"/>
      <c r="AG7" s="1688" t="s">
        <v>3728</v>
      </c>
      <c r="AH7" s="1682" t="s">
        <v>3796</v>
      </c>
      <c r="AI7" s="1682" t="s">
        <v>3797</v>
      </c>
      <c r="AJ7" s="1681" t="s">
        <v>158</v>
      </c>
      <c r="AK7" s="2858"/>
      <c r="AM7" s="1688" t="s">
        <v>3728</v>
      </c>
      <c r="AN7" s="1682" t="s">
        <v>3796</v>
      </c>
      <c r="AO7" s="1682" t="s">
        <v>3797</v>
      </c>
      <c r="AP7" s="1681" t="s">
        <v>158</v>
      </c>
      <c r="AQ7" s="2858"/>
      <c r="AS7" s="1688" t="s">
        <v>3728</v>
      </c>
      <c r="AT7" s="1682" t="s">
        <v>3796</v>
      </c>
      <c r="AU7" s="1682" t="s">
        <v>3797</v>
      </c>
      <c r="AV7" s="1681" t="s">
        <v>158</v>
      </c>
      <c r="AW7" s="2858"/>
      <c r="AY7" s="1688" t="s">
        <v>3728</v>
      </c>
      <c r="AZ7" s="1682" t="s">
        <v>3796</v>
      </c>
      <c r="BA7" s="1682" t="s">
        <v>3797</v>
      </c>
      <c r="BB7" s="1681" t="s">
        <v>158</v>
      </c>
      <c r="BC7" s="2858"/>
      <c r="BE7" s="1688" t="s">
        <v>3728</v>
      </c>
      <c r="BF7" s="1682" t="s">
        <v>3796</v>
      </c>
      <c r="BG7" s="1682" t="s">
        <v>3797</v>
      </c>
      <c r="BH7" s="1681" t="s">
        <v>158</v>
      </c>
      <c r="BI7" s="2858"/>
      <c r="BK7" s="1688" t="s">
        <v>3728</v>
      </c>
      <c r="BL7" s="1682" t="s">
        <v>3796</v>
      </c>
      <c r="BM7" s="1682" t="s">
        <v>3797</v>
      </c>
      <c r="BN7" s="1681" t="s">
        <v>158</v>
      </c>
      <c r="BO7" s="1683"/>
      <c r="BQ7" s="1688" t="s">
        <v>3728</v>
      </c>
      <c r="BR7" s="1682" t="s">
        <v>3796</v>
      </c>
      <c r="BS7" s="1682" t="s">
        <v>3797</v>
      </c>
      <c r="BT7" s="1681" t="s">
        <v>158</v>
      </c>
      <c r="BU7" s="1683"/>
      <c r="BV7" s="1709"/>
      <c r="BW7" s="2858"/>
      <c r="BX7" s="2858"/>
    </row>
    <row r="8" spans="1:76" ht="15.75" thickBot="1" x14ac:dyDescent="0.3">
      <c r="A8" s="1878"/>
      <c r="B8" s="1902" t="s">
        <v>169</v>
      </c>
      <c r="C8" s="1905">
        <f>SUM(C9:C20)</f>
        <v>195292.27</v>
      </c>
      <c r="D8" s="1684">
        <f>SUM(D9:D20)</f>
        <v>159232.37999999998</v>
      </c>
      <c r="E8" s="1904">
        <f>D8-C8</f>
        <v>-36059.890000000014</v>
      </c>
      <c r="F8" s="1906">
        <f>((D8/C8)-1)*100</f>
        <v>-18.46457619648746</v>
      </c>
      <c r="G8" s="1921"/>
      <c r="H8" s="2245"/>
      <c r="I8" s="1921">
        <f>SUM(I9:I20)</f>
        <v>194792.27</v>
      </c>
      <c r="J8" s="1937">
        <f>SUM(J9:J20)</f>
        <v>189645.93</v>
      </c>
      <c r="K8" s="1904">
        <f>J8-I8</f>
        <v>-5146.3399999999965</v>
      </c>
      <c r="L8" s="1906">
        <f>((J8/I8)-1)*100</f>
        <v>-2.6419631538766919</v>
      </c>
      <c r="M8" s="1921"/>
      <c r="N8" s="2245"/>
      <c r="O8" s="1921">
        <f>SUM(O9:O20)</f>
        <v>194292.27</v>
      </c>
      <c r="P8" s="1937">
        <f>SUM(P9:P20)</f>
        <v>179001.41</v>
      </c>
      <c r="Q8" s="1904">
        <f>P8-O8</f>
        <v>-15290.859999999986</v>
      </c>
      <c r="R8" s="1906">
        <f>((P8/O8)-1)*100</f>
        <v>-7.8700300325895594</v>
      </c>
      <c r="S8" s="1921"/>
      <c r="T8" s="2245"/>
      <c r="U8" s="1903">
        <f>SUM(U9:U20)</f>
        <v>193792.27</v>
      </c>
      <c r="V8" s="1684">
        <f>SUM(V9:V20)</f>
        <v>0</v>
      </c>
      <c r="W8" s="1904">
        <f>V8-U8</f>
        <v>-193792.27</v>
      </c>
      <c r="X8" s="1906">
        <f>((V8/U8)-1)*100</f>
        <v>-100</v>
      </c>
      <c r="Y8" s="1906"/>
      <c r="Z8" s="2245"/>
      <c r="AA8" s="1903">
        <f>SUM(AA9:AA20)</f>
        <v>193292.27</v>
      </c>
      <c r="AB8" s="1684">
        <f>SUM(AB9:AB20)</f>
        <v>0</v>
      </c>
      <c r="AC8" s="1904">
        <f>AB8-AA8</f>
        <v>-193292.27</v>
      </c>
      <c r="AD8" s="1906">
        <f>((AB8/AA8)-1)*100</f>
        <v>-100</v>
      </c>
      <c r="AE8" s="1906"/>
      <c r="AF8" s="2245"/>
      <c r="AG8" s="1903">
        <f>SUM(AG9:AG20)</f>
        <v>192792.27</v>
      </c>
      <c r="AH8" s="1684">
        <f>SUM(AH9:AH20)</f>
        <v>0</v>
      </c>
      <c r="AI8" s="1904">
        <f>AH8-AG8</f>
        <v>-192792.27</v>
      </c>
      <c r="AJ8" s="1906">
        <f>((AH8/AG8)-1)*100</f>
        <v>-100</v>
      </c>
      <c r="AK8" s="1906"/>
      <c r="AL8" s="2245"/>
      <c r="AM8" s="1903">
        <f>SUM(AM9:AM20)</f>
        <v>192292.27</v>
      </c>
      <c r="AN8" s="1684">
        <f>SUM(AN9:AN20)</f>
        <v>0</v>
      </c>
      <c r="AO8" s="1904">
        <f>AN8-AM8</f>
        <v>-192292.27</v>
      </c>
      <c r="AP8" s="1906">
        <f>((AN8/AM8)-1)*100</f>
        <v>-100</v>
      </c>
      <c r="AQ8" s="1906"/>
      <c r="AR8" s="2245"/>
      <c r="AS8" s="1903">
        <f>SUM(AS9:AS20)</f>
        <v>191792.27</v>
      </c>
      <c r="AT8" s="1684">
        <f>SUM(AT9:AT20)</f>
        <v>0</v>
      </c>
      <c r="AU8" s="1904">
        <f>AT8-AS8</f>
        <v>-191792.27</v>
      </c>
      <c r="AV8" s="1906">
        <f>((AT8/AS8)-1)*100</f>
        <v>-100</v>
      </c>
      <c r="AW8" s="1906"/>
      <c r="AX8" s="2245"/>
      <c r="AY8" s="1880">
        <f>SUM(AY9:AY20)</f>
        <v>191292.27</v>
      </c>
      <c r="AZ8" s="1684">
        <f>SUM(AZ9:AZ20)</f>
        <v>0</v>
      </c>
      <c r="BA8" s="1904">
        <f>AZ8-AY8</f>
        <v>-191292.27</v>
      </c>
      <c r="BB8" s="1906">
        <f>((AZ8/AY8)-1)*100</f>
        <v>-100</v>
      </c>
      <c r="BC8" s="1906"/>
      <c r="BD8" s="2245"/>
      <c r="BE8" s="1880">
        <f>SUM(BE9:BE20)</f>
        <v>190792.27</v>
      </c>
      <c r="BF8" s="1684">
        <f>SUM(BF9:BF20)</f>
        <v>0</v>
      </c>
      <c r="BG8" s="1904">
        <f>BF8-BE8</f>
        <v>-190792.27</v>
      </c>
      <c r="BH8" s="1906">
        <f>((BF8/BE8)-1)*100</f>
        <v>-100</v>
      </c>
      <c r="BI8" s="1906"/>
      <c r="BJ8" s="2245"/>
      <c r="BK8" s="1880">
        <f>SUM(BK9:BK20)</f>
        <v>190292.27</v>
      </c>
      <c r="BL8" s="1684">
        <f>SUM(BL9:BL20)</f>
        <v>0</v>
      </c>
      <c r="BM8" s="1904">
        <f>BL8-BK8</f>
        <v>-190292.27</v>
      </c>
      <c r="BN8" s="1906">
        <f>((BL8/BK8)-1)*100</f>
        <v>-100</v>
      </c>
      <c r="BO8" s="1906"/>
      <c r="BP8" s="2245"/>
      <c r="BQ8" s="1880">
        <f>SUM(BQ9:BQ20)</f>
        <v>189792.27</v>
      </c>
      <c r="BR8" s="1684">
        <f>SUM(BR9:BR20)</f>
        <v>0</v>
      </c>
      <c r="BS8" s="1904">
        <f>BR8-BQ8</f>
        <v>-189792.27</v>
      </c>
      <c r="BT8" s="1906">
        <f>((BR8/BQ8)-1)*100</f>
        <v>-100</v>
      </c>
      <c r="BU8" s="1906"/>
      <c r="BV8" s="2245"/>
      <c r="BW8" s="1926">
        <f t="shared" ref="BW8:BX12" si="0">C8+I8+O8+U8+AA8+AG8+AM8+AS8+AY8+BE8+BK8+BQ8</f>
        <v>2310507.2399999998</v>
      </c>
      <c r="BX8" s="1694">
        <f t="shared" si="0"/>
        <v>527879.72</v>
      </c>
    </row>
    <row r="9" spans="1:76" x14ac:dyDescent="0.25">
      <c r="A9" s="2138">
        <v>11634</v>
      </c>
      <c r="B9" s="2206" t="s">
        <v>40</v>
      </c>
      <c r="C9" s="1756">
        <v>10000</v>
      </c>
      <c r="D9" s="1757">
        <v>21101.7</v>
      </c>
      <c r="E9" s="1757">
        <f t="shared" ref="E9:E20" si="1">D9-C9</f>
        <v>11101.7</v>
      </c>
      <c r="F9" s="1761">
        <f t="shared" ref="F9:F20" si="2">((D9/C9)-1)*100</f>
        <v>111.01700000000001</v>
      </c>
      <c r="G9" s="1758"/>
      <c r="H9" s="1724"/>
      <c r="I9" s="1758">
        <v>10000</v>
      </c>
      <c r="J9" s="2318">
        <v>21328.14</v>
      </c>
      <c r="K9" s="1757">
        <f t="shared" ref="K9:K20" si="3">J9-I9</f>
        <v>11328.14</v>
      </c>
      <c r="L9" s="1761">
        <f t="shared" ref="L9:L12" si="4">((J9/I9)-1)*100</f>
        <v>113.28139999999998</v>
      </c>
      <c r="M9" s="1758"/>
      <c r="N9" s="1724"/>
      <c r="O9" s="1758">
        <v>10000</v>
      </c>
      <c r="P9" s="2318">
        <v>21044.76</v>
      </c>
      <c r="Q9" s="1757">
        <f t="shared" ref="Q9:Q12" si="5">P9-O9</f>
        <v>11044.759999999998</v>
      </c>
      <c r="R9" s="1761">
        <f t="shared" ref="R9:R12" si="6">((P9/O9)-1)*100</f>
        <v>110.44759999999999</v>
      </c>
      <c r="S9" s="1758"/>
      <c r="T9" s="1724"/>
      <c r="U9" s="1756">
        <v>10000</v>
      </c>
      <c r="V9" s="1757"/>
      <c r="W9" s="1757">
        <f t="shared" ref="W9:W12" si="7">V9-U9</f>
        <v>-10000</v>
      </c>
      <c r="X9" s="1761">
        <f t="shared" ref="X9:X12" si="8">((V9/U9)-1)*100</f>
        <v>-100</v>
      </c>
      <c r="Y9" s="1761"/>
      <c r="Z9" s="1724"/>
      <c r="AA9" s="1756">
        <v>10000</v>
      </c>
      <c r="AB9" s="1757"/>
      <c r="AC9" s="1757">
        <f t="shared" ref="AC9:AC12" si="9">AB9-AA9</f>
        <v>-10000</v>
      </c>
      <c r="AD9" s="1761">
        <f t="shared" ref="AD9:AD12" si="10">((AB9/AA9)-1)*100</f>
        <v>-100</v>
      </c>
      <c r="AE9" s="1761"/>
      <c r="AF9" s="1724"/>
      <c r="AG9" s="1756">
        <v>10000</v>
      </c>
      <c r="AH9" s="1757"/>
      <c r="AI9" s="1757">
        <f t="shared" ref="AI9:AI12" si="11">AH9-AG9</f>
        <v>-10000</v>
      </c>
      <c r="AJ9" s="1761">
        <f t="shared" ref="AJ9:AJ12" si="12">((AH9/AG9)-1)*100</f>
        <v>-100</v>
      </c>
      <c r="AK9" s="1761"/>
      <c r="AL9" s="1724"/>
      <c r="AM9" s="1756">
        <v>10000</v>
      </c>
      <c r="AN9" s="1757"/>
      <c r="AO9" s="1757">
        <f t="shared" ref="AO9:AO12" si="13">AN9-AM9</f>
        <v>-10000</v>
      </c>
      <c r="AP9" s="1761">
        <f t="shared" ref="AP9:AP12" si="14">((AN9/AM9)-1)*100</f>
        <v>-100</v>
      </c>
      <c r="AQ9" s="1761"/>
      <c r="AR9" s="1724"/>
      <c r="AS9" s="1756">
        <v>10000</v>
      </c>
      <c r="AT9" s="1757"/>
      <c r="AU9" s="1757">
        <f t="shared" ref="AU9:AU12" si="15">AT9-AS9</f>
        <v>-10000</v>
      </c>
      <c r="AV9" s="1761">
        <f t="shared" ref="AV9:AV12" si="16">((AT9/AS9)-1)*100</f>
        <v>-100</v>
      </c>
      <c r="AW9" s="1761"/>
      <c r="AX9" s="1724"/>
      <c r="AY9" s="1756">
        <v>10000</v>
      </c>
      <c r="AZ9" s="1757"/>
      <c r="BA9" s="1757">
        <f t="shared" ref="BA9:BA12" si="17">AZ9-AY9</f>
        <v>-10000</v>
      </c>
      <c r="BB9" s="1761">
        <f t="shared" ref="BB9:BB12" si="18">((AZ9/AY9)-1)*100</f>
        <v>-100</v>
      </c>
      <c r="BC9" s="1761"/>
      <c r="BD9" s="1724"/>
      <c r="BE9" s="1756">
        <v>10000</v>
      </c>
      <c r="BF9" s="1757"/>
      <c r="BG9" s="1757">
        <f t="shared" ref="BG9:BG12" si="19">BF9-BE9</f>
        <v>-10000</v>
      </c>
      <c r="BH9" s="1761">
        <f t="shared" ref="BH9:BH12" si="20">((BF9/BE9)-1)*100</f>
        <v>-100</v>
      </c>
      <c r="BI9" s="1761"/>
      <c r="BJ9" s="1724"/>
      <c r="BK9" s="1756">
        <v>10000</v>
      </c>
      <c r="BL9" s="1757"/>
      <c r="BM9" s="1757">
        <f t="shared" ref="BM9:BM12" si="21">BL9-BK9</f>
        <v>-10000</v>
      </c>
      <c r="BN9" s="1761">
        <f t="shared" ref="BN9:BN12" si="22">((BL9/BK9)-1)*100</f>
        <v>-100</v>
      </c>
      <c r="BO9" s="1761"/>
      <c r="BP9" s="1724"/>
      <c r="BQ9" s="1756">
        <v>10000</v>
      </c>
      <c r="BR9" s="1757"/>
      <c r="BS9" s="1757">
        <f t="shared" ref="BS9:BS12" si="23">BR9-BQ9</f>
        <v>-10000</v>
      </c>
      <c r="BT9" s="1761">
        <f t="shared" ref="BT9:BT12" si="24">((BR9/BQ9)-1)*100</f>
        <v>-100</v>
      </c>
      <c r="BU9" s="1761"/>
      <c r="BV9" s="1724"/>
      <c r="BW9" s="1758">
        <f t="shared" si="0"/>
        <v>120000</v>
      </c>
      <c r="BX9" s="1898">
        <f t="shared" si="0"/>
        <v>63474.599999999991</v>
      </c>
    </row>
    <row r="10" spans="1:76" x14ac:dyDescent="0.25">
      <c r="A10" s="2138">
        <v>12293</v>
      </c>
      <c r="B10" s="2225" t="s">
        <v>195</v>
      </c>
      <c r="C10" s="2255">
        <v>32000</v>
      </c>
      <c r="D10" s="2256">
        <v>31167</v>
      </c>
      <c r="E10" s="2256">
        <f t="shared" si="1"/>
        <v>-833</v>
      </c>
      <c r="F10" s="2257">
        <f t="shared" si="2"/>
        <v>-2.603124999999995</v>
      </c>
      <c r="G10" s="2224"/>
      <c r="H10" s="1724"/>
      <c r="I10" s="2224">
        <v>31500</v>
      </c>
      <c r="J10" s="2316">
        <v>33565.24</v>
      </c>
      <c r="K10" s="2256">
        <f t="shared" si="3"/>
        <v>2065.239999999998</v>
      </c>
      <c r="L10" s="2257">
        <f t="shared" si="4"/>
        <v>6.5563174603174623</v>
      </c>
      <c r="M10" s="2224"/>
      <c r="N10" s="1724"/>
      <c r="O10" s="2224">
        <v>31000</v>
      </c>
      <c r="P10" s="2316">
        <v>31545.66</v>
      </c>
      <c r="Q10" s="2256">
        <f t="shared" si="5"/>
        <v>545.65999999999985</v>
      </c>
      <c r="R10" s="2257">
        <f t="shared" si="6"/>
        <v>1.7601935483871012</v>
      </c>
      <c r="S10" s="2224"/>
      <c r="T10" s="1724"/>
      <c r="U10" s="2255">
        <v>30500</v>
      </c>
      <c r="V10" s="2256"/>
      <c r="W10" s="2256">
        <f t="shared" si="7"/>
        <v>-30500</v>
      </c>
      <c r="X10" s="2257">
        <f t="shared" si="8"/>
        <v>-100</v>
      </c>
      <c r="Y10" s="2257"/>
      <c r="Z10" s="1724"/>
      <c r="AA10" s="2255">
        <v>30000</v>
      </c>
      <c r="AB10" s="2256"/>
      <c r="AC10" s="2256">
        <f t="shared" si="9"/>
        <v>-30000</v>
      </c>
      <c r="AD10" s="2257">
        <f t="shared" si="10"/>
        <v>-100</v>
      </c>
      <c r="AE10" s="2257"/>
      <c r="AF10" s="1724"/>
      <c r="AG10" s="2255">
        <v>29500</v>
      </c>
      <c r="AH10" s="2256"/>
      <c r="AI10" s="2256">
        <f t="shared" si="11"/>
        <v>-29500</v>
      </c>
      <c r="AJ10" s="2257">
        <f t="shared" si="12"/>
        <v>-100</v>
      </c>
      <c r="AK10" s="2257"/>
      <c r="AL10" s="1724"/>
      <c r="AM10" s="2255">
        <v>29000</v>
      </c>
      <c r="AN10" s="2256"/>
      <c r="AO10" s="2256">
        <f t="shared" si="13"/>
        <v>-29000</v>
      </c>
      <c r="AP10" s="2257">
        <f t="shared" si="14"/>
        <v>-100</v>
      </c>
      <c r="AQ10" s="2257"/>
      <c r="AR10" s="1724"/>
      <c r="AS10" s="2255">
        <v>28500</v>
      </c>
      <c r="AT10" s="2256"/>
      <c r="AU10" s="2256">
        <f t="shared" si="15"/>
        <v>-28500</v>
      </c>
      <c r="AV10" s="2257">
        <f t="shared" si="16"/>
        <v>-100</v>
      </c>
      <c r="AW10" s="2257"/>
      <c r="AX10" s="1724"/>
      <c r="AY10" s="2255">
        <v>28000</v>
      </c>
      <c r="AZ10" s="2256"/>
      <c r="BA10" s="2256">
        <f t="shared" si="17"/>
        <v>-28000</v>
      </c>
      <c r="BB10" s="2257">
        <f t="shared" si="18"/>
        <v>-100</v>
      </c>
      <c r="BC10" s="2257"/>
      <c r="BD10" s="1724"/>
      <c r="BE10" s="2255">
        <v>27500</v>
      </c>
      <c r="BF10" s="2256"/>
      <c r="BG10" s="2256">
        <f t="shared" si="19"/>
        <v>-27500</v>
      </c>
      <c r="BH10" s="2257">
        <f t="shared" si="20"/>
        <v>-100</v>
      </c>
      <c r="BI10" s="2257"/>
      <c r="BJ10" s="1724"/>
      <c r="BK10" s="2255">
        <v>27000</v>
      </c>
      <c r="BL10" s="2256"/>
      <c r="BM10" s="2256">
        <f t="shared" si="21"/>
        <v>-27000</v>
      </c>
      <c r="BN10" s="2257">
        <f t="shared" si="22"/>
        <v>-100</v>
      </c>
      <c r="BO10" s="2257"/>
      <c r="BP10" s="1724"/>
      <c r="BQ10" s="2255">
        <v>26500</v>
      </c>
      <c r="BR10" s="2256"/>
      <c r="BS10" s="2256">
        <f t="shared" si="23"/>
        <v>-26500</v>
      </c>
      <c r="BT10" s="2257">
        <f t="shared" si="24"/>
        <v>-100</v>
      </c>
      <c r="BU10" s="2257"/>
      <c r="BV10" s="1724"/>
      <c r="BW10" s="2224">
        <f t="shared" si="0"/>
        <v>351000</v>
      </c>
      <c r="BX10" s="1898">
        <f t="shared" si="0"/>
        <v>96277.9</v>
      </c>
    </row>
    <row r="11" spans="1:76" x14ac:dyDescent="0.25">
      <c r="A11" s="2138">
        <v>11528</v>
      </c>
      <c r="B11" s="2225" t="s">
        <v>197</v>
      </c>
      <c r="C11" s="2255">
        <v>7500</v>
      </c>
      <c r="D11" s="2256">
        <v>6153</v>
      </c>
      <c r="E11" s="2256">
        <f t="shared" si="1"/>
        <v>-1347</v>
      </c>
      <c r="F11" s="2257">
        <f t="shared" si="2"/>
        <v>-17.959999999999997</v>
      </c>
      <c r="G11" s="2224"/>
      <c r="H11" s="1724"/>
      <c r="I11" s="2224">
        <v>7500</v>
      </c>
      <c r="J11" s="2316">
        <v>6153</v>
      </c>
      <c r="K11" s="2256">
        <f t="shared" si="3"/>
        <v>-1347</v>
      </c>
      <c r="L11" s="2257">
        <f t="shared" si="4"/>
        <v>-17.959999999999997</v>
      </c>
      <c r="M11" s="2224"/>
      <c r="N11" s="1724"/>
      <c r="O11" s="2224">
        <v>7500</v>
      </c>
      <c r="P11" s="2316">
        <v>6153</v>
      </c>
      <c r="Q11" s="2256">
        <f t="shared" si="5"/>
        <v>-1347</v>
      </c>
      <c r="R11" s="2257">
        <f t="shared" si="6"/>
        <v>-17.959999999999997</v>
      </c>
      <c r="S11" s="2224"/>
      <c r="T11" s="1724"/>
      <c r="U11" s="2255">
        <v>7500</v>
      </c>
      <c r="V11" s="2256"/>
      <c r="W11" s="2256">
        <f t="shared" si="7"/>
        <v>-7500</v>
      </c>
      <c r="X11" s="2257">
        <f t="shared" si="8"/>
        <v>-100</v>
      </c>
      <c r="Y11" s="2257"/>
      <c r="Z11" s="1724"/>
      <c r="AA11" s="2255">
        <v>7500</v>
      </c>
      <c r="AB11" s="2256"/>
      <c r="AC11" s="2256">
        <f t="shared" si="9"/>
        <v>-7500</v>
      </c>
      <c r="AD11" s="2257">
        <f t="shared" si="10"/>
        <v>-100</v>
      </c>
      <c r="AE11" s="2257"/>
      <c r="AF11" s="1724"/>
      <c r="AG11" s="2255">
        <v>7500</v>
      </c>
      <c r="AH11" s="2256"/>
      <c r="AI11" s="2256">
        <f t="shared" si="11"/>
        <v>-7500</v>
      </c>
      <c r="AJ11" s="2257">
        <f t="shared" si="12"/>
        <v>-100</v>
      </c>
      <c r="AK11" s="2257"/>
      <c r="AL11" s="1724"/>
      <c r="AM11" s="2255">
        <v>7500</v>
      </c>
      <c r="AN11" s="2256"/>
      <c r="AO11" s="2256">
        <f t="shared" si="13"/>
        <v>-7500</v>
      </c>
      <c r="AP11" s="2257">
        <f t="shared" si="14"/>
        <v>-100</v>
      </c>
      <c r="AQ11" s="2257"/>
      <c r="AR11" s="1724"/>
      <c r="AS11" s="2255">
        <v>7500</v>
      </c>
      <c r="AT11" s="2256"/>
      <c r="AU11" s="2256">
        <f t="shared" si="15"/>
        <v>-7500</v>
      </c>
      <c r="AV11" s="2257">
        <f t="shared" si="16"/>
        <v>-100</v>
      </c>
      <c r="AW11" s="2257"/>
      <c r="AX11" s="1724"/>
      <c r="AY11" s="2255">
        <v>7500</v>
      </c>
      <c r="AZ11" s="2256"/>
      <c r="BA11" s="2256">
        <f t="shared" si="17"/>
        <v>-7500</v>
      </c>
      <c r="BB11" s="2257">
        <f t="shared" si="18"/>
        <v>-100</v>
      </c>
      <c r="BC11" s="2257"/>
      <c r="BD11" s="1724"/>
      <c r="BE11" s="2255">
        <v>7500</v>
      </c>
      <c r="BF11" s="2256"/>
      <c r="BG11" s="2256">
        <f t="shared" si="19"/>
        <v>-7500</v>
      </c>
      <c r="BH11" s="2257">
        <f t="shared" si="20"/>
        <v>-100</v>
      </c>
      <c r="BI11" s="2257"/>
      <c r="BJ11" s="1724"/>
      <c r="BK11" s="2255">
        <v>7500</v>
      </c>
      <c r="BL11" s="2256"/>
      <c r="BM11" s="2256">
        <f t="shared" si="21"/>
        <v>-7500</v>
      </c>
      <c r="BN11" s="2257">
        <f t="shared" si="22"/>
        <v>-100</v>
      </c>
      <c r="BO11" s="2257"/>
      <c r="BP11" s="1724"/>
      <c r="BQ11" s="2255">
        <v>7500</v>
      </c>
      <c r="BR11" s="2256"/>
      <c r="BS11" s="2256">
        <f t="shared" si="23"/>
        <v>-7500</v>
      </c>
      <c r="BT11" s="2257">
        <f t="shared" si="24"/>
        <v>-100</v>
      </c>
      <c r="BU11" s="2257"/>
      <c r="BV11" s="1724"/>
      <c r="BW11" s="2224">
        <f t="shared" si="0"/>
        <v>90000</v>
      </c>
      <c r="BX11" s="1898">
        <f t="shared" si="0"/>
        <v>18459</v>
      </c>
    </row>
    <row r="12" spans="1:76" ht="15.75" thickBot="1" x14ac:dyDescent="0.3">
      <c r="A12" s="2135">
        <v>12303</v>
      </c>
      <c r="B12" s="2214" t="s">
        <v>196</v>
      </c>
      <c r="C12" s="2267">
        <v>12000</v>
      </c>
      <c r="D12" s="2268">
        <v>4724</v>
      </c>
      <c r="E12" s="2268">
        <f t="shared" si="1"/>
        <v>-7276</v>
      </c>
      <c r="F12" s="2319">
        <f t="shared" si="2"/>
        <v>-60.63333333333334</v>
      </c>
      <c r="G12" s="2210"/>
      <c r="H12" s="1724"/>
      <c r="I12" s="2210">
        <v>12000</v>
      </c>
      <c r="J12" s="2337">
        <v>12017.71</v>
      </c>
      <c r="K12" s="2268">
        <f t="shared" si="3"/>
        <v>17.709999999999127</v>
      </c>
      <c r="L12" s="2319">
        <f t="shared" si="4"/>
        <v>0.14758333333333429</v>
      </c>
      <c r="M12" s="2210"/>
      <c r="N12" s="1724"/>
      <c r="O12" s="2210">
        <v>12000</v>
      </c>
      <c r="P12" s="2337">
        <v>5046.1000000000004</v>
      </c>
      <c r="Q12" s="2268">
        <f t="shared" si="5"/>
        <v>-6953.9</v>
      </c>
      <c r="R12" s="2319">
        <f t="shared" si="6"/>
        <v>-57.949166666666663</v>
      </c>
      <c r="S12" s="2210"/>
      <c r="T12" s="1724"/>
      <c r="U12" s="2267">
        <v>12000</v>
      </c>
      <c r="V12" s="2268"/>
      <c r="W12" s="2268">
        <f t="shared" si="7"/>
        <v>-12000</v>
      </c>
      <c r="X12" s="2319">
        <f t="shared" si="8"/>
        <v>-100</v>
      </c>
      <c r="Y12" s="2319"/>
      <c r="Z12" s="1724"/>
      <c r="AA12" s="2267">
        <v>12000</v>
      </c>
      <c r="AB12" s="2268"/>
      <c r="AC12" s="2268">
        <f t="shared" si="9"/>
        <v>-12000</v>
      </c>
      <c r="AD12" s="2319">
        <f t="shared" si="10"/>
        <v>-100</v>
      </c>
      <c r="AE12" s="2319"/>
      <c r="AF12" s="1724"/>
      <c r="AG12" s="2267">
        <v>12000</v>
      </c>
      <c r="AH12" s="2268"/>
      <c r="AI12" s="2268">
        <f t="shared" si="11"/>
        <v>-12000</v>
      </c>
      <c r="AJ12" s="2319">
        <f t="shared" si="12"/>
        <v>-100</v>
      </c>
      <c r="AK12" s="2319"/>
      <c r="AL12" s="1724"/>
      <c r="AM12" s="2267">
        <v>12000</v>
      </c>
      <c r="AN12" s="2268"/>
      <c r="AO12" s="2268">
        <f t="shared" si="13"/>
        <v>-12000</v>
      </c>
      <c r="AP12" s="2319">
        <f t="shared" si="14"/>
        <v>-100</v>
      </c>
      <c r="AQ12" s="2319"/>
      <c r="AR12" s="1724"/>
      <c r="AS12" s="2267">
        <v>12000</v>
      </c>
      <c r="AT12" s="2268"/>
      <c r="AU12" s="2268">
        <f t="shared" si="15"/>
        <v>-12000</v>
      </c>
      <c r="AV12" s="2319">
        <f t="shared" si="16"/>
        <v>-100</v>
      </c>
      <c r="AW12" s="2319"/>
      <c r="AX12" s="1724"/>
      <c r="AY12" s="2267">
        <v>12000</v>
      </c>
      <c r="AZ12" s="2268"/>
      <c r="BA12" s="2268">
        <f t="shared" si="17"/>
        <v>-12000</v>
      </c>
      <c r="BB12" s="2319">
        <f t="shared" si="18"/>
        <v>-100</v>
      </c>
      <c r="BC12" s="2319"/>
      <c r="BD12" s="1724"/>
      <c r="BE12" s="2267">
        <v>12000</v>
      </c>
      <c r="BF12" s="2268"/>
      <c r="BG12" s="2268">
        <f t="shared" si="19"/>
        <v>-12000</v>
      </c>
      <c r="BH12" s="2319">
        <f t="shared" si="20"/>
        <v>-100</v>
      </c>
      <c r="BI12" s="2319"/>
      <c r="BJ12" s="1724"/>
      <c r="BK12" s="2267">
        <v>12000</v>
      </c>
      <c r="BL12" s="2268"/>
      <c r="BM12" s="2268">
        <f t="shared" si="21"/>
        <v>-12000</v>
      </c>
      <c r="BN12" s="2319">
        <f t="shared" si="22"/>
        <v>-100</v>
      </c>
      <c r="BO12" s="2319"/>
      <c r="BP12" s="1724"/>
      <c r="BQ12" s="2267">
        <v>12000</v>
      </c>
      <c r="BR12" s="2268"/>
      <c r="BS12" s="2268">
        <f t="shared" si="23"/>
        <v>-12000</v>
      </c>
      <c r="BT12" s="2319">
        <f t="shared" si="24"/>
        <v>-100</v>
      </c>
      <c r="BU12" s="2319"/>
      <c r="BV12" s="1724"/>
      <c r="BW12" s="2210">
        <f t="shared" si="0"/>
        <v>144000</v>
      </c>
      <c r="BX12" s="1889">
        <f t="shared" si="0"/>
        <v>21787.809999999998</v>
      </c>
    </row>
    <row r="13" spans="1:76" x14ac:dyDescent="0.25">
      <c r="A13" s="2134">
        <v>51127</v>
      </c>
      <c r="B13" s="2206" t="s">
        <v>3841</v>
      </c>
      <c r="C13" s="2652">
        <v>105000</v>
      </c>
      <c r="D13" s="1757">
        <v>26087.26</v>
      </c>
      <c r="E13" s="2878">
        <f>D13+D14-C13</f>
        <v>-34150.540000000008</v>
      </c>
      <c r="F13" s="2880">
        <f t="shared" si="2"/>
        <v>-75.154990476190477</v>
      </c>
      <c r="G13" s="2252"/>
      <c r="H13" s="1724"/>
      <c r="I13" s="2809">
        <f>C13</f>
        <v>105000</v>
      </c>
      <c r="J13" s="2318">
        <v>39296.75</v>
      </c>
      <c r="K13" s="2878">
        <f>J13+J14-I13</f>
        <v>-14560.190000000002</v>
      </c>
      <c r="L13" s="2880">
        <f>((SUM(J13:J14)/I13)-1)*100</f>
        <v>-13.866847619047618</v>
      </c>
      <c r="M13" s="2252"/>
      <c r="N13" s="1724"/>
      <c r="O13" s="2809">
        <f>I13</f>
        <v>105000</v>
      </c>
      <c r="P13" s="2318">
        <v>40041.919999999998</v>
      </c>
      <c r="Q13" s="2878">
        <f>P13+P14-O13</f>
        <v>-15766.700000000012</v>
      </c>
      <c r="R13" s="2880">
        <f>((SUM(P13:P14)/O13)-1)*100</f>
        <v>-15.015904761904775</v>
      </c>
      <c r="S13" s="2252"/>
      <c r="T13" s="1724"/>
      <c r="U13" s="2837">
        <f>O13</f>
        <v>105000</v>
      </c>
      <c r="V13" s="1757"/>
      <c r="W13" s="2878">
        <f>V13+V14-U13</f>
        <v>-105000</v>
      </c>
      <c r="X13" s="2880">
        <f>((SUM(V13:V14)/U13)-1)*100</f>
        <v>-100</v>
      </c>
      <c r="Y13" s="2253"/>
      <c r="Z13" s="1724"/>
      <c r="AA13" s="2837">
        <f>U13</f>
        <v>105000</v>
      </c>
      <c r="AB13" s="1757"/>
      <c r="AC13" s="2878">
        <f>AB13+AB14-AA13</f>
        <v>-105000</v>
      </c>
      <c r="AD13" s="2880">
        <f>((SUM(AB13:AB14)/AA13)-1)*100</f>
        <v>-100</v>
      </c>
      <c r="AE13" s="2253"/>
      <c r="AF13" s="1724"/>
      <c r="AG13" s="2837">
        <f>AA13</f>
        <v>105000</v>
      </c>
      <c r="AH13" s="1757"/>
      <c r="AI13" s="2878">
        <f>AH13+AH14-AG13</f>
        <v>-105000</v>
      </c>
      <c r="AJ13" s="2880">
        <f>((SUM(AH13:AH14)/AG13)-1)*100</f>
        <v>-100</v>
      </c>
      <c r="AK13" s="2253"/>
      <c r="AL13" s="1724"/>
      <c r="AM13" s="2837">
        <f>AG13</f>
        <v>105000</v>
      </c>
      <c r="AN13" s="1757"/>
      <c r="AO13" s="2878">
        <f>AN13+AN14-AM13</f>
        <v>-105000</v>
      </c>
      <c r="AP13" s="2880">
        <f>((SUM(AN13:AN14)/AM13)-1)*100</f>
        <v>-100</v>
      </c>
      <c r="AQ13" s="2253"/>
      <c r="AR13" s="1724"/>
      <c r="AS13" s="2837">
        <f>AM13</f>
        <v>105000</v>
      </c>
      <c r="AT13" s="1757"/>
      <c r="AU13" s="2878">
        <f>AT13+AT14-AS13</f>
        <v>-105000</v>
      </c>
      <c r="AV13" s="2880">
        <f>((SUM(AT13:AT14)/AS13)-1)*100</f>
        <v>-100</v>
      </c>
      <c r="AW13" s="2253"/>
      <c r="AX13" s="1724"/>
      <c r="AY13" s="2837">
        <f>AS13</f>
        <v>105000</v>
      </c>
      <c r="AZ13" s="1757"/>
      <c r="BA13" s="2878">
        <f>AZ13+AZ14-AY13</f>
        <v>-105000</v>
      </c>
      <c r="BB13" s="2880">
        <f>((SUM(AZ13:AZ14)/AY13)-1)*100</f>
        <v>-100</v>
      </c>
      <c r="BC13" s="2253"/>
      <c r="BD13" s="1724"/>
      <c r="BE13" s="2837">
        <f>AY13</f>
        <v>105000</v>
      </c>
      <c r="BF13" s="1757"/>
      <c r="BG13" s="2878">
        <f>BF13+BF14-BE13</f>
        <v>-105000</v>
      </c>
      <c r="BH13" s="2880">
        <f>((SUM(BF13:BF14)/BE13)-1)*100</f>
        <v>-100</v>
      </c>
      <c r="BI13" s="2253"/>
      <c r="BJ13" s="1724"/>
      <c r="BK13" s="2837">
        <f>BE13</f>
        <v>105000</v>
      </c>
      <c r="BL13" s="1757"/>
      <c r="BM13" s="2878">
        <f>BL13+BL14-BK13</f>
        <v>-105000</v>
      </c>
      <c r="BN13" s="2880">
        <f>((SUM(BL13:BL14)/BK13)-1)*100</f>
        <v>-100</v>
      </c>
      <c r="BO13" s="2253"/>
      <c r="BP13" s="1724"/>
      <c r="BQ13" s="2837">
        <f>BK13</f>
        <v>105000</v>
      </c>
      <c r="BR13" s="1757"/>
      <c r="BS13" s="2878">
        <f>BR13+BR14-BQ13</f>
        <v>-105000</v>
      </c>
      <c r="BT13" s="2880" t="b">
        <f>A9+A9=((SUM(BR13:BR14)/BQ13)-1)*100</f>
        <v>0</v>
      </c>
      <c r="BU13" s="2253"/>
      <c r="BV13" s="1724"/>
      <c r="BW13" s="2876">
        <f>C13+I13+O13+U13+AA13+AG13+AM13+AS13+AY13+BE13+BK13+BQ13</f>
        <v>1260000</v>
      </c>
      <c r="BX13" s="2895">
        <f>D13+J13+P13+V13+AB13+AH13+AN13+AT13+AZ13+BF13+BL13+BR13+D14+J14+P14+V14+AB14+AH14+AN14+AT14+AZ14+BF14+BL14+BR14</f>
        <v>250522.57</v>
      </c>
    </row>
    <row r="14" spans="1:76" ht="15.75" thickBot="1" x14ac:dyDescent="0.3">
      <c r="A14" s="2139">
        <v>53792</v>
      </c>
      <c r="B14" s="2262" t="s">
        <v>3842</v>
      </c>
      <c r="C14" s="2653"/>
      <c r="D14" s="2263">
        <v>44762.2</v>
      </c>
      <c r="E14" s="2879"/>
      <c r="F14" s="2881"/>
      <c r="G14" s="2229"/>
      <c r="H14" s="1724"/>
      <c r="I14" s="2810"/>
      <c r="J14" s="2321">
        <v>51143.06</v>
      </c>
      <c r="K14" s="2879"/>
      <c r="L14" s="2881"/>
      <c r="M14" s="2229"/>
      <c r="N14" s="1724"/>
      <c r="O14" s="2810"/>
      <c r="P14" s="2321">
        <v>49191.38</v>
      </c>
      <c r="Q14" s="2879"/>
      <c r="R14" s="2881"/>
      <c r="S14" s="2229"/>
      <c r="T14" s="1724"/>
      <c r="U14" s="2839"/>
      <c r="V14" s="2263"/>
      <c r="W14" s="2879"/>
      <c r="X14" s="2881"/>
      <c r="Y14" s="2254"/>
      <c r="Z14" s="1724"/>
      <c r="AA14" s="2839"/>
      <c r="AB14" s="2263"/>
      <c r="AC14" s="2879"/>
      <c r="AD14" s="2881"/>
      <c r="AE14" s="2254"/>
      <c r="AF14" s="1724"/>
      <c r="AG14" s="2839"/>
      <c r="AH14" s="2263"/>
      <c r="AI14" s="2879"/>
      <c r="AJ14" s="2881"/>
      <c r="AK14" s="2254"/>
      <c r="AL14" s="1724"/>
      <c r="AM14" s="2839"/>
      <c r="AN14" s="2263"/>
      <c r="AO14" s="2879"/>
      <c r="AP14" s="2881"/>
      <c r="AQ14" s="2254"/>
      <c r="AR14" s="1724"/>
      <c r="AS14" s="2839"/>
      <c r="AT14" s="2263"/>
      <c r="AU14" s="2879"/>
      <c r="AV14" s="2881"/>
      <c r="AW14" s="2254"/>
      <c r="AX14" s="1724"/>
      <c r="AY14" s="2839"/>
      <c r="AZ14" s="2263"/>
      <c r="BA14" s="2879"/>
      <c r="BB14" s="2881"/>
      <c r="BC14" s="2254"/>
      <c r="BD14" s="1724"/>
      <c r="BE14" s="2839"/>
      <c r="BF14" s="2263"/>
      <c r="BG14" s="2879"/>
      <c r="BH14" s="2881"/>
      <c r="BI14" s="2254"/>
      <c r="BJ14" s="1724"/>
      <c r="BK14" s="2839"/>
      <c r="BL14" s="2263"/>
      <c r="BM14" s="2879"/>
      <c r="BN14" s="2881"/>
      <c r="BO14" s="2254"/>
      <c r="BP14" s="1724"/>
      <c r="BQ14" s="2839"/>
      <c r="BR14" s="2263"/>
      <c r="BS14" s="2879"/>
      <c r="BT14" s="2881"/>
      <c r="BU14" s="2254"/>
      <c r="BV14" s="1724"/>
      <c r="BW14" s="2877"/>
      <c r="BX14" s="2897"/>
    </row>
    <row r="15" spans="1:76" ht="15.75" thickBot="1" x14ac:dyDescent="0.3">
      <c r="A15" s="2135">
        <v>51673</v>
      </c>
      <c r="B15" s="2214" t="s">
        <v>198</v>
      </c>
      <c r="C15" s="2267">
        <v>4000</v>
      </c>
      <c r="D15" s="2268">
        <v>3251.4</v>
      </c>
      <c r="E15" s="2268">
        <f t="shared" si="1"/>
        <v>-748.59999999999991</v>
      </c>
      <c r="F15" s="2319">
        <f t="shared" si="2"/>
        <v>-18.714999999999993</v>
      </c>
      <c r="G15" s="2210"/>
      <c r="H15" s="1724"/>
      <c r="I15" s="2210">
        <v>4000</v>
      </c>
      <c r="J15" s="2337">
        <v>3251.4</v>
      </c>
      <c r="K15" s="2268">
        <f t="shared" si="3"/>
        <v>-748.59999999999991</v>
      </c>
      <c r="L15" s="2319">
        <f>((J15/I15)-1)*100</f>
        <v>-18.714999999999993</v>
      </c>
      <c r="M15" s="2210"/>
      <c r="N15" s="1724"/>
      <c r="O15" s="2210">
        <v>4000</v>
      </c>
      <c r="P15" s="2337">
        <v>3723.07</v>
      </c>
      <c r="Q15" s="2268">
        <f t="shared" ref="Q15" si="25">P15-O15</f>
        <v>-276.92999999999984</v>
      </c>
      <c r="R15" s="2319">
        <f>((P15/O15)-1)*100</f>
        <v>-6.9232499999999924</v>
      </c>
      <c r="S15" s="2210"/>
      <c r="T15" s="1724"/>
      <c r="U15" s="2267">
        <v>4000</v>
      </c>
      <c r="V15" s="2268"/>
      <c r="W15" s="2268">
        <f t="shared" ref="W15" si="26">V15-U15</f>
        <v>-4000</v>
      </c>
      <c r="X15" s="2319">
        <f>((V15/U15)-1)*100</f>
        <v>-100</v>
      </c>
      <c r="Y15" s="2319"/>
      <c r="Z15" s="1724"/>
      <c r="AA15" s="2267">
        <v>4000</v>
      </c>
      <c r="AB15" s="2268"/>
      <c r="AC15" s="2268">
        <f t="shared" ref="AC15" si="27">AB15-AA15</f>
        <v>-4000</v>
      </c>
      <c r="AD15" s="2319">
        <f>((AB15/AA15)-1)*100</f>
        <v>-100</v>
      </c>
      <c r="AE15" s="2319"/>
      <c r="AF15" s="1724"/>
      <c r="AG15" s="2267">
        <v>4000</v>
      </c>
      <c r="AH15" s="2268"/>
      <c r="AI15" s="2268">
        <f t="shared" ref="AI15" si="28">AH15-AG15</f>
        <v>-4000</v>
      </c>
      <c r="AJ15" s="2319">
        <f>((AH15/AG15)-1)*100</f>
        <v>-100</v>
      </c>
      <c r="AK15" s="2319"/>
      <c r="AL15" s="1724"/>
      <c r="AM15" s="2267">
        <v>4000</v>
      </c>
      <c r="AN15" s="2268"/>
      <c r="AO15" s="2268">
        <f t="shared" ref="AO15" si="29">AN15-AM15</f>
        <v>-4000</v>
      </c>
      <c r="AP15" s="2319">
        <f>((AN15/AM15)-1)*100</f>
        <v>-100</v>
      </c>
      <c r="AQ15" s="2319"/>
      <c r="AR15" s="1724"/>
      <c r="AS15" s="2267">
        <v>4000</v>
      </c>
      <c r="AT15" s="2268"/>
      <c r="AU15" s="2268">
        <f t="shared" ref="AU15" si="30">AT15-AS15</f>
        <v>-4000</v>
      </c>
      <c r="AV15" s="2319">
        <f>((AT15/AS15)-1)*100</f>
        <v>-100</v>
      </c>
      <c r="AW15" s="2319"/>
      <c r="AX15" s="1724"/>
      <c r="AY15" s="2267">
        <v>4000</v>
      </c>
      <c r="AZ15" s="2268"/>
      <c r="BA15" s="2268">
        <f t="shared" ref="BA15" si="31">AZ15-AY15</f>
        <v>-4000</v>
      </c>
      <c r="BB15" s="2319">
        <f>((AZ15/AY15)-1)*100</f>
        <v>-100</v>
      </c>
      <c r="BC15" s="2319"/>
      <c r="BD15" s="1724"/>
      <c r="BE15" s="2267">
        <v>4000</v>
      </c>
      <c r="BF15" s="2268"/>
      <c r="BG15" s="2268">
        <f t="shared" ref="BG15" si="32">BF15-BE15</f>
        <v>-4000</v>
      </c>
      <c r="BH15" s="2319">
        <f>((BF15/BE15)-1)*100</f>
        <v>-100</v>
      </c>
      <c r="BI15" s="2319"/>
      <c r="BJ15" s="1724"/>
      <c r="BK15" s="2267">
        <v>4000</v>
      </c>
      <c r="BL15" s="2268"/>
      <c r="BM15" s="2268">
        <f t="shared" ref="BM15" si="33">BL15-BK15</f>
        <v>-4000</v>
      </c>
      <c r="BN15" s="2319">
        <f>((BL15/BK15)-1)*100</f>
        <v>-100</v>
      </c>
      <c r="BO15" s="2319"/>
      <c r="BP15" s="1724"/>
      <c r="BQ15" s="2267">
        <v>4000</v>
      </c>
      <c r="BR15" s="2268"/>
      <c r="BS15" s="2268">
        <f t="shared" ref="BS15" si="34">BR15-BQ15</f>
        <v>-4000</v>
      </c>
      <c r="BT15" s="2319">
        <f>((BR15/BQ15)-1)*100</f>
        <v>-100</v>
      </c>
      <c r="BU15" s="2319"/>
      <c r="BV15" s="1724"/>
      <c r="BW15" s="2210">
        <f>C15+I15+O15+U15+AA15+AG15+AM15+AS15+AY15+BE15+BK15+BQ15</f>
        <v>48000</v>
      </c>
      <c r="BX15" s="1935">
        <f>D15+J15+P15+V15+AB15+AH15+AN15+AT15+AZ15+BF15+BL15+BR15</f>
        <v>10225.870000000001</v>
      </c>
    </row>
    <row r="16" spans="1:76" x14ac:dyDescent="0.25">
      <c r="A16" s="2317">
        <v>12274</v>
      </c>
      <c r="B16" s="2206" t="s">
        <v>3843</v>
      </c>
      <c r="C16" s="2652">
        <v>14000</v>
      </c>
      <c r="D16" s="1757">
        <v>0</v>
      </c>
      <c r="E16" s="2878">
        <f>D16+D17-C16</f>
        <v>-2930.9400000000005</v>
      </c>
      <c r="F16" s="2880">
        <f t="shared" si="2"/>
        <v>-100</v>
      </c>
      <c r="G16" s="2252"/>
      <c r="H16" s="1724"/>
      <c r="I16" s="2809">
        <v>14000</v>
      </c>
      <c r="J16" s="2318">
        <v>0</v>
      </c>
      <c r="K16" s="2878">
        <f>J16+J17-I16</f>
        <v>-1334.6200000000008</v>
      </c>
      <c r="L16" s="2880">
        <f>((SUM(J16:J17)/I16)-1)*100</f>
        <v>-9.533000000000003</v>
      </c>
      <c r="M16" s="2252"/>
      <c r="N16" s="1724"/>
      <c r="O16" s="2809">
        <v>14000</v>
      </c>
      <c r="P16" s="2318">
        <v>0</v>
      </c>
      <c r="Q16" s="2878">
        <f>P16+P17-O16</f>
        <v>-2930.67</v>
      </c>
      <c r="R16" s="2880">
        <f>((SUM(P16:P17)/O16)-1)*100</f>
        <v>-20.933357142857144</v>
      </c>
      <c r="S16" s="2252"/>
      <c r="T16" s="1724"/>
      <c r="U16" s="2837">
        <v>14000</v>
      </c>
      <c r="V16" s="1757"/>
      <c r="W16" s="2878">
        <f>V16+V17-U16</f>
        <v>-14000</v>
      </c>
      <c r="X16" s="2880">
        <f>((SUM(V16:V17)/U16)-1)*100</f>
        <v>-100</v>
      </c>
      <c r="Y16" s="2253"/>
      <c r="Z16" s="1724"/>
      <c r="AA16" s="2837">
        <v>14000</v>
      </c>
      <c r="AB16" s="1757"/>
      <c r="AC16" s="2878">
        <f>AB16+AB17-AA16</f>
        <v>-14000</v>
      </c>
      <c r="AD16" s="2880">
        <f>((SUM(AB16:AB17)/AA16)-1)*100</f>
        <v>-100</v>
      </c>
      <c r="AE16" s="2253"/>
      <c r="AF16" s="1724"/>
      <c r="AG16" s="2837">
        <v>14000</v>
      </c>
      <c r="AH16" s="1757"/>
      <c r="AI16" s="2878">
        <f>AH16+AH17-AG16</f>
        <v>-14000</v>
      </c>
      <c r="AJ16" s="2880">
        <f>((SUM(AH16:AH17)/AG16)-1)*100</f>
        <v>-100</v>
      </c>
      <c r="AK16" s="2253"/>
      <c r="AL16" s="1724"/>
      <c r="AM16" s="2837">
        <v>14000</v>
      </c>
      <c r="AN16" s="1757"/>
      <c r="AO16" s="2878">
        <f>AN16+AN17-AM16</f>
        <v>-14000</v>
      </c>
      <c r="AP16" s="2880">
        <f>((SUM(AN16:AN17)/AM16)-1)*100</f>
        <v>-100</v>
      </c>
      <c r="AQ16" s="2253"/>
      <c r="AR16" s="1724"/>
      <c r="AS16" s="2837">
        <v>14000</v>
      </c>
      <c r="AT16" s="1757"/>
      <c r="AU16" s="2878">
        <f>AT16+AT17-AS16</f>
        <v>-14000</v>
      </c>
      <c r="AV16" s="2880">
        <f>((SUM(AT16:AT17)/AS16)-1)*100</f>
        <v>-100</v>
      </c>
      <c r="AW16" s="2253"/>
      <c r="AX16" s="1724"/>
      <c r="AY16" s="2837">
        <v>14000</v>
      </c>
      <c r="AZ16" s="1757"/>
      <c r="BA16" s="2878">
        <f>AZ16+AZ17-AY16</f>
        <v>-14000</v>
      </c>
      <c r="BB16" s="2880">
        <f>((SUM(AZ16:AZ17)/AY16)-1)*100</f>
        <v>-100</v>
      </c>
      <c r="BC16" s="2253"/>
      <c r="BD16" s="1724"/>
      <c r="BE16" s="2837">
        <v>14000</v>
      </c>
      <c r="BF16" s="1757"/>
      <c r="BG16" s="2878">
        <f>BF16+BF17-BE16</f>
        <v>-14000</v>
      </c>
      <c r="BH16" s="2880">
        <f>((SUM(BF16:BF17)/BE16)-1)*100</f>
        <v>-100</v>
      </c>
      <c r="BI16" s="2253"/>
      <c r="BJ16" s="1724"/>
      <c r="BK16" s="2837">
        <v>14000</v>
      </c>
      <c r="BL16" s="1757"/>
      <c r="BM16" s="2878">
        <f>BL16+BL17-BK16</f>
        <v>-14000</v>
      </c>
      <c r="BN16" s="2880">
        <f>((SUM(BL16:BL17)/BK16)-1)*100</f>
        <v>-100</v>
      </c>
      <c r="BO16" s="2253"/>
      <c r="BP16" s="1724"/>
      <c r="BQ16" s="2837">
        <v>14000</v>
      </c>
      <c r="BR16" s="1757"/>
      <c r="BS16" s="2878">
        <f>BR16+BR17-BQ16</f>
        <v>-14000</v>
      </c>
      <c r="BT16" s="2880">
        <f>((SUM(BR16:BR17)/BQ16)-1)*100</f>
        <v>-100</v>
      </c>
      <c r="BU16" s="2253"/>
      <c r="BV16" s="1724"/>
      <c r="BW16" s="2876">
        <f>C16+I16+O16+U16+AA16+AG16+AM16+AS16+AY16+BE16+BK16+BQ16</f>
        <v>168000</v>
      </c>
      <c r="BX16" s="2895">
        <f>D16+J16+P16+V16+AB16+AH16+AN16+AT16+AZ16+BF16+BL16+BR16+D17+J17+P17+V17+AB17+AH17+AN17+AT17+AZ17+BF17+BL17+BR17</f>
        <v>34803.769999999997</v>
      </c>
    </row>
    <row r="17" spans="1:76" ht="15.75" thickBot="1" x14ac:dyDescent="0.3">
      <c r="A17" s="2139">
        <v>12272</v>
      </c>
      <c r="B17" s="2262" t="s">
        <v>3844</v>
      </c>
      <c r="C17" s="2653"/>
      <c r="D17" s="2263">
        <v>11069.06</v>
      </c>
      <c r="E17" s="2879"/>
      <c r="F17" s="2881"/>
      <c r="G17" s="2229"/>
      <c r="H17" s="1724"/>
      <c r="I17" s="2810"/>
      <c r="J17" s="2321">
        <v>12665.38</v>
      </c>
      <c r="K17" s="2879"/>
      <c r="L17" s="2881" t="e">
        <f t="shared" ref="L17" si="35">((SUM(J17:J18)/I17)-1)*100</f>
        <v>#DIV/0!</v>
      </c>
      <c r="M17" s="2229"/>
      <c r="N17" s="1724"/>
      <c r="O17" s="2810"/>
      <c r="P17" s="2321">
        <v>11069.33</v>
      </c>
      <c r="Q17" s="2879"/>
      <c r="R17" s="2881" t="e">
        <f t="shared" ref="R17" si="36">((SUM(P17:P18)/O17)-1)*100</f>
        <v>#DIV/0!</v>
      </c>
      <c r="S17" s="2229"/>
      <c r="T17" s="1724"/>
      <c r="U17" s="2839"/>
      <c r="V17" s="2263"/>
      <c r="W17" s="2879"/>
      <c r="X17" s="2881" t="e">
        <f t="shared" ref="X17" si="37">((SUM(V17:V18)/U17)-1)*100</f>
        <v>#DIV/0!</v>
      </c>
      <c r="Y17" s="2254"/>
      <c r="Z17" s="1724"/>
      <c r="AA17" s="2839"/>
      <c r="AB17" s="2263"/>
      <c r="AC17" s="2879"/>
      <c r="AD17" s="2881" t="e">
        <f t="shared" ref="AD17" si="38">((SUM(AB17:AB18)/AA17)-1)*100</f>
        <v>#DIV/0!</v>
      </c>
      <c r="AE17" s="2254"/>
      <c r="AF17" s="1724"/>
      <c r="AG17" s="2839"/>
      <c r="AH17" s="2263"/>
      <c r="AI17" s="2879"/>
      <c r="AJ17" s="2881" t="e">
        <f t="shared" ref="AJ17" si="39">((SUM(AH17:AH18)/AG17)-1)*100</f>
        <v>#DIV/0!</v>
      </c>
      <c r="AK17" s="2254"/>
      <c r="AL17" s="1724"/>
      <c r="AM17" s="2839"/>
      <c r="AN17" s="2263"/>
      <c r="AO17" s="2879"/>
      <c r="AP17" s="2881" t="e">
        <f t="shared" ref="AP17" si="40">((SUM(AN17:AN18)/AM17)-1)*100</f>
        <v>#DIV/0!</v>
      </c>
      <c r="AQ17" s="2254"/>
      <c r="AR17" s="1724"/>
      <c r="AS17" s="2839"/>
      <c r="AT17" s="2263"/>
      <c r="AU17" s="2879"/>
      <c r="AV17" s="2881" t="e">
        <f t="shared" ref="AV17" si="41">((SUM(AT17:AT18)/AS17)-1)*100</f>
        <v>#DIV/0!</v>
      </c>
      <c r="AW17" s="2254"/>
      <c r="AX17" s="1724"/>
      <c r="AY17" s="2839"/>
      <c r="AZ17" s="2263"/>
      <c r="BA17" s="2879"/>
      <c r="BB17" s="2881" t="e">
        <f t="shared" ref="BB17" si="42">((SUM(AZ17:AZ18)/AY17)-1)*100</f>
        <v>#DIV/0!</v>
      </c>
      <c r="BC17" s="2254"/>
      <c r="BD17" s="1724"/>
      <c r="BE17" s="2839"/>
      <c r="BF17" s="2263"/>
      <c r="BG17" s="2879"/>
      <c r="BH17" s="2881" t="e">
        <f t="shared" ref="BH17" si="43">((SUM(BF17:BF18)/BE17)-1)*100</f>
        <v>#DIV/0!</v>
      </c>
      <c r="BI17" s="2254"/>
      <c r="BJ17" s="1724"/>
      <c r="BK17" s="2839"/>
      <c r="BL17" s="2263"/>
      <c r="BM17" s="2879"/>
      <c r="BN17" s="2881" t="e">
        <f t="shared" ref="BN17" si="44">((SUM(BL17:BL18)/BK17)-1)*100</f>
        <v>#DIV/0!</v>
      </c>
      <c r="BO17" s="2254"/>
      <c r="BP17" s="1724"/>
      <c r="BQ17" s="2839"/>
      <c r="BR17" s="2263"/>
      <c r="BS17" s="2879"/>
      <c r="BT17" s="2881" t="e">
        <f t="shared" ref="BT17" si="45">((SUM(BR17:BR18)/BQ17)-1)*100</f>
        <v>#DIV/0!</v>
      </c>
      <c r="BU17" s="2254"/>
      <c r="BV17" s="1724"/>
      <c r="BW17" s="2877"/>
      <c r="BX17" s="2897"/>
    </row>
    <row r="18" spans="1:76" x14ac:dyDescent="0.25">
      <c r="A18" s="2138">
        <v>33004</v>
      </c>
      <c r="B18" s="2225" t="s">
        <v>66</v>
      </c>
      <c r="C18" s="2255">
        <v>3846.43</v>
      </c>
      <c r="D18" s="2256">
        <v>1798</v>
      </c>
      <c r="E18" s="2256">
        <f t="shared" si="1"/>
        <v>-2048.4299999999998</v>
      </c>
      <c r="F18" s="2257">
        <f t="shared" si="2"/>
        <v>-53.25535626542014</v>
      </c>
      <c r="G18" s="2224"/>
      <c r="H18" s="1724"/>
      <c r="I18" s="2224">
        <v>3846.43</v>
      </c>
      <c r="J18" s="2316">
        <v>1798</v>
      </c>
      <c r="K18" s="2256">
        <f t="shared" si="3"/>
        <v>-2048.4299999999998</v>
      </c>
      <c r="L18" s="2257">
        <f t="shared" ref="L18:L20" si="46">((J18/I18)-1)*100</f>
        <v>-53.25535626542014</v>
      </c>
      <c r="M18" s="2224"/>
      <c r="N18" s="1724"/>
      <c r="O18" s="2224">
        <v>3846.43</v>
      </c>
      <c r="P18" s="2316">
        <v>1834.58</v>
      </c>
      <c r="Q18" s="2256">
        <f t="shared" ref="Q18:Q20" si="47">P18-O18</f>
        <v>-2011.85</v>
      </c>
      <c r="R18" s="2257">
        <f t="shared" ref="R18:R20" si="48">((P18/O18)-1)*100</f>
        <v>-52.304344548061451</v>
      </c>
      <c r="S18" s="2224"/>
      <c r="T18" s="1724"/>
      <c r="U18" s="2255">
        <v>3846.43</v>
      </c>
      <c r="V18" s="2256"/>
      <c r="W18" s="2256">
        <f t="shared" ref="W18:W20" si="49">V18-U18</f>
        <v>-3846.43</v>
      </c>
      <c r="X18" s="2257">
        <f t="shared" ref="X18:X20" si="50">((V18/U18)-1)*100</f>
        <v>-100</v>
      </c>
      <c r="Y18" s="2257"/>
      <c r="Z18" s="1724"/>
      <c r="AA18" s="2255">
        <v>3846.43</v>
      </c>
      <c r="AB18" s="2256"/>
      <c r="AC18" s="2256">
        <f t="shared" ref="AC18:AC20" si="51">AB18-AA18</f>
        <v>-3846.43</v>
      </c>
      <c r="AD18" s="2257">
        <f t="shared" ref="AD18:AD20" si="52">((AB18/AA18)-1)*100</f>
        <v>-100</v>
      </c>
      <c r="AE18" s="2257"/>
      <c r="AF18" s="1724"/>
      <c r="AG18" s="2255">
        <v>3846.43</v>
      </c>
      <c r="AH18" s="2256"/>
      <c r="AI18" s="2256">
        <f t="shared" ref="AI18:AI20" si="53">AH18-AG18</f>
        <v>-3846.43</v>
      </c>
      <c r="AJ18" s="2257">
        <f t="shared" ref="AJ18:AJ20" si="54">((AH18/AG18)-1)*100</f>
        <v>-100</v>
      </c>
      <c r="AK18" s="2257"/>
      <c r="AL18" s="1724"/>
      <c r="AM18" s="2255">
        <v>3846.43</v>
      </c>
      <c r="AN18" s="2256"/>
      <c r="AO18" s="2256">
        <f t="shared" ref="AO18:AO20" si="55">AN18-AM18</f>
        <v>-3846.43</v>
      </c>
      <c r="AP18" s="2257">
        <f t="shared" ref="AP18:AP20" si="56">((AN18/AM18)-1)*100</f>
        <v>-100</v>
      </c>
      <c r="AQ18" s="2257"/>
      <c r="AR18" s="1724"/>
      <c r="AS18" s="2255">
        <v>3846.43</v>
      </c>
      <c r="AT18" s="2256"/>
      <c r="AU18" s="2256">
        <f t="shared" ref="AU18:AU20" si="57">AT18-AS18</f>
        <v>-3846.43</v>
      </c>
      <c r="AV18" s="2257">
        <f t="shared" ref="AV18:AV20" si="58">((AT18/AS18)-1)*100</f>
        <v>-100</v>
      </c>
      <c r="AW18" s="2257"/>
      <c r="AX18" s="1724"/>
      <c r="AY18" s="2255">
        <v>3846.43</v>
      </c>
      <c r="AZ18" s="2256"/>
      <c r="BA18" s="2256">
        <f t="shared" ref="BA18:BA20" si="59">AZ18-AY18</f>
        <v>-3846.43</v>
      </c>
      <c r="BB18" s="2257">
        <f t="shared" ref="BB18:BB20" si="60">((AZ18/AY18)-1)*100</f>
        <v>-100</v>
      </c>
      <c r="BC18" s="2257"/>
      <c r="BD18" s="1724"/>
      <c r="BE18" s="2255">
        <v>3846.43</v>
      </c>
      <c r="BF18" s="2256"/>
      <c r="BG18" s="2256">
        <f t="shared" ref="BG18:BG20" si="61">BF18-BE18</f>
        <v>-3846.43</v>
      </c>
      <c r="BH18" s="2257">
        <f t="shared" ref="BH18:BH20" si="62">((BF18/BE18)-1)*100</f>
        <v>-100</v>
      </c>
      <c r="BI18" s="2257"/>
      <c r="BJ18" s="1724"/>
      <c r="BK18" s="2255">
        <v>3846.43</v>
      </c>
      <c r="BL18" s="2256"/>
      <c r="BM18" s="2256">
        <f t="shared" ref="BM18:BM20" si="63">BL18-BK18</f>
        <v>-3846.43</v>
      </c>
      <c r="BN18" s="2257">
        <f t="shared" ref="BN18:BN20" si="64">((BL18/BK18)-1)*100</f>
        <v>-100</v>
      </c>
      <c r="BO18" s="2257"/>
      <c r="BP18" s="1724"/>
      <c r="BQ18" s="2255">
        <v>3846.43</v>
      </c>
      <c r="BR18" s="2256"/>
      <c r="BS18" s="2256">
        <f t="shared" ref="BS18:BS20" si="65">BR18-BQ18</f>
        <v>-3846.43</v>
      </c>
      <c r="BT18" s="2257">
        <f t="shared" ref="BT18:BT20" si="66">((BR18/BQ18)-1)*100</f>
        <v>-100</v>
      </c>
      <c r="BU18" s="2257"/>
      <c r="BV18" s="1724"/>
      <c r="BW18" s="2224">
        <f t="shared" ref="BW18:BX20" si="67">C18+I18+O18+U18+AA18+AG18+AM18+AS18+AY18+BE18+BK18+BQ18</f>
        <v>46157.159999999996</v>
      </c>
      <c r="BX18" s="1895">
        <f t="shared" si="67"/>
        <v>5430.58</v>
      </c>
    </row>
    <row r="19" spans="1:76" x14ac:dyDescent="0.25">
      <c r="A19" s="2138">
        <v>12305</v>
      </c>
      <c r="B19" s="2225" t="s">
        <v>67</v>
      </c>
      <c r="C19" s="2255">
        <v>4000</v>
      </c>
      <c r="D19" s="2256">
        <v>6274.76</v>
      </c>
      <c r="E19" s="2256">
        <f t="shared" si="1"/>
        <v>2274.7600000000002</v>
      </c>
      <c r="F19" s="2257">
        <f t="shared" si="2"/>
        <v>56.869000000000014</v>
      </c>
      <c r="G19" s="2224"/>
      <c r="H19" s="1724"/>
      <c r="I19" s="2224">
        <v>4000</v>
      </c>
      <c r="J19" s="2316">
        <v>5923.37</v>
      </c>
      <c r="K19" s="2256">
        <f t="shared" si="3"/>
        <v>1923.37</v>
      </c>
      <c r="L19" s="2257">
        <f t="shared" si="46"/>
        <v>48.084250000000004</v>
      </c>
      <c r="M19" s="2224"/>
      <c r="N19" s="1724"/>
      <c r="O19" s="2224">
        <v>4000</v>
      </c>
      <c r="P19" s="2316">
        <v>6256.07</v>
      </c>
      <c r="Q19" s="2256">
        <f t="shared" si="47"/>
        <v>2256.0699999999997</v>
      </c>
      <c r="R19" s="2257">
        <f t="shared" si="48"/>
        <v>56.401749999999986</v>
      </c>
      <c r="S19" s="2224"/>
      <c r="T19" s="1724"/>
      <c r="U19" s="2255">
        <v>4000</v>
      </c>
      <c r="V19" s="2256"/>
      <c r="W19" s="2256">
        <f t="shared" si="49"/>
        <v>-4000</v>
      </c>
      <c r="X19" s="2257">
        <f t="shared" si="50"/>
        <v>-100</v>
      </c>
      <c r="Y19" s="2257"/>
      <c r="Z19" s="1724"/>
      <c r="AA19" s="2255">
        <v>4000</v>
      </c>
      <c r="AB19" s="2256"/>
      <c r="AC19" s="2256">
        <f t="shared" si="51"/>
        <v>-4000</v>
      </c>
      <c r="AD19" s="2257">
        <f t="shared" si="52"/>
        <v>-100</v>
      </c>
      <c r="AE19" s="2257"/>
      <c r="AF19" s="1724"/>
      <c r="AG19" s="2255">
        <v>4000</v>
      </c>
      <c r="AH19" s="2256"/>
      <c r="AI19" s="2256">
        <f t="shared" si="53"/>
        <v>-4000</v>
      </c>
      <c r="AJ19" s="2257">
        <f t="shared" si="54"/>
        <v>-100</v>
      </c>
      <c r="AK19" s="2257"/>
      <c r="AL19" s="1724"/>
      <c r="AM19" s="2255">
        <v>4000</v>
      </c>
      <c r="AN19" s="2256"/>
      <c r="AO19" s="2256">
        <f t="shared" si="55"/>
        <v>-4000</v>
      </c>
      <c r="AP19" s="2257">
        <f t="shared" si="56"/>
        <v>-100</v>
      </c>
      <c r="AQ19" s="2257"/>
      <c r="AR19" s="1724"/>
      <c r="AS19" s="2255">
        <v>4000</v>
      </c>
      <c r="AT19" s="2256"/>
      <c r="AU19" s="2256">
        <f t="shared" si="57"/>
        <v>-4000</v>
      </c>
      <c r="AV19" s="2257">
        <f t="shared" si="58"/>
        <v>-100</v>
      </c>
      <c r="AW19" s="2257"/>
      <c r="AX19" s="1724"/>
      <c r="AY19" s="2255">
        <v>4000</v>
      </c>
      <c r="AZ19" s="2256"/>
      <c r="BA19" s="2256">
        <f t="shared" si="59"/>
        <v>-4000</v>
      </c>
      <c r="BB19" s="2257">
        <f t="shared" si="60"/>
        <v>-100</v>
      </c>
      <c r="BC19" s="2257"/>
      <c r="BD19" s="1724"/>
      <c r="BE19" s="2255">
        <v>4000</v>
      </c>
      <c r="BF19" s="2256"/>
      <c r="BG19" s="2256">
        <f t="shared" si="61"/>
        <v>-4000</v>
      </c>
      <c r="BH19" s="2257">
        <f t="shared" si="62"/>
        <v>-100</v>
      </c>
      <c r="BI19" s="2257"/>
      <c r="BJ19" s="1724"/>
      <c r="BK19" s="2255">
        <v>4000</v>
      </c>
      <c r="BL19" s="2256"/>
      <c r="BM19" s="2256">
        <f t="shared" si="63"/>
        <v>-4000</v>
      </c>
      <c r="BN19" s="2257">
        <f t="shared" si="64"/>
        <v>-100</v>
      </c>
      <c r="BO19" s="2257"/>
      <c r="BP19" s="1724"/>
      <c r="BQ19" s="2255">
        <v>4000</v>
      </c>
      <c r="BR19" s="2256"/>
      <c r="BS19" s="2256">
        <f t="shared" si="65"/>
        <v>-4000</v>
      </c>
      <c r="BT19" s="2257">
        <f t="shared" si="66"/>
        <v>-100</v>
      </c>
      <c r="BU19" s="2257"/>
      <c r="BV19" s="1724"/>
      <c r="BW19" s="2224">
        <f t="shared" si="67"/>
        <v>48000</v>
      </c>
      <c r="BX19" s="1898">
        <f t="shared" si="67"/>
        <v>18454.2</v>
      </c>
    </row>
    <row r="20" spans="1:76" ht="15.75" thickBot="1" x14ac:dyDescent="0.3">
      <c r="A20" s="2139">
        <v>11675</v>
      </c>
      <c r="B20" s="2262" t="s">
        <v>68</v>
      </c>
      <c r="C20" s="2338">
        <v>2945.84</v>
      </c>
      <c r="D20" s="2263">
        <v>2844</v>
      </c>
      <c r="E20" s="2263">
        <f t="shared" si="1"/>
        <v>-101.84000000000015</v>
      </c>
      <c r="F20" s="2254">
        <f t="shared" si="2"/>
        <v>-3.4570784563995427</v>
      </c>
      <c r="G20" s="2229"/>
      <c r="H20" s="1724"/>
      <c r="I20" s="2229">
        <v>2945.84</v>
      </c>
      <c r="J20" s="2321">
        <v>2503.88</v>
      </c>
      <c r="K20" s="2263">
        <f t="shared" si="3"/>
        <v>-441.96000000000004</v>
      </c>
      <c r="L20" s="2254">
        <f t="shared" si="46"/>
        <v>-15.002851478695378</v>
      </c>
      <c r="M20" s="2229"/>
      <c r="N20" s="1724"/>
      <c r="O20" s="2229">
        <v>2945.84</v>
      </c>
      <c r="P20" s="2321">
        <v>3095.54</v>
      </c>
      <c r="Q20" s="2263">
        <f t="shared" si="47"/>
        <v>149.69999999999982</v>
      </c>
      <c r="R20" s="2254">
        <f t="shared" si="48"/>
        <v>5.0817423892675739</v>
      </c>
      <c r="S20" s="2229"/>
      <c r="T20" s="1724"/>
      <c r="U20" s="2338">
        <v>2945.84</v>
      </c>
      <c r="V20" s="2263"/>
      <c r="W20" s="2263">
        <f t="shared" si="49"/>
        <v>-2945.84</v>
      </c>
      <c r="X20" s="2254">
        <f t="shared" si="50"/>
        <v>-100</v>
      </c>
      <c r="Y20" s="2254"/>
      <c r="Z20" s="1724"/>
      <c r="AA20" s="2338">
        <v>2945.84</v>
      </c>
      <c r="AB20" s="2263"/>
      <c r="AC20" s="2263">
        <f t="shared" si="51"/>
        <v>-2945.84</v>
      </c>
      <c r="AD20" s="2254">
        <f t="shared" si="52"/>
        <v>-100</v>
      </c>
      <c r="AE20" s="2254"/>
      <c r="AF20" s="1724"/>
      <c r="AG20" s="2338">
        <v>2945.84</v>
      </c>
      <c r="AH20" s="2263"/>
      <c r="AI20" s="2263">
        <f t="shared" si="53"/>
        <v>-2945.84</v>
      </c>
      <c r="AJ20" s="2254">
        <f t="shared" si="54"/>
        <v>-100</v>
      </c>
      <c r="AK20" s="2254"/>
      <c r="AL20" s="1724"/>
      <c r="AM20" s="2338">
        <v>2945.84</v>
      </c>
      <c r="AN20" s="2263"/>
      <c r="AO20" s="2263">
        <f t="shared" si="55"/>
        <v>-2945.84</v>
      </c>
      <c r="AP20" s="2254">
        <f t="shared" si="56"/>
        <v>-100</v>
      </c>
      <c r="AQ20" s="2254"/>
      <c r="AR20" s="1724"/>
      <c r="AS20" s="2338">
        <v>2945.84</v>
      </c>
      <c r="AT20" s="2263"/>
      <c r="AU20" s="2263">
        <f t="shared" si="57"/>
        <v>-2945.84</v>
      </c>
      <c r="AV20" s="2254">
        <f t="shared" si="58"/>
        <v>-100</v>
      </c>
      <c r="AW20" s="2254"/>
      <c r="AX20" s="1724"/>
      <c r="AY20" s="2338">
        <v>2945.84</v>
      </c>
      <c r="AZ20" s="2263"/>
      <c r="BA20" s="2263">
        <f t="shared" si="59"/>
        <v>-2945.84</v>
      </c>
      <c r="BB20" s="2254">
        <f t="shared" si="60"/>
        <v>-100</v>
      </c>
      <c r="BC20" s="2254"/>
      <c r="BD20" s="1724"/>
      <c r="BE20" s="2338">
        <v>2945.84</v>
      </c>
      <c r="BF20" s="2263"/>
      <c r="BG20" s="2263">
        <f t="shared" si="61"/>
        <v>-2945.84</v>
      </c>
      <c r="BH20" s="2254">
        <f t="shared" si="62"/>
        <v>-100</v>
      </c>
      <c r="BI20" s="2254"/>
      <c r="BJ20" s="1724"/>
      <c r="BK20" s="2338">
        <v>2945.84</v>
      </c>
      <c r="BL20" s="2263"/>
      <c r="BM20" s="2263">
        <f t="shared" si="63"/>
        <v>-2945.84</v>
      </c>
      <c r="BN20" s="2254">
        <f t="shared" si="64"/>
        <v>-100</v>
      </c>
      <c r="BO20" s="2254"/>
      <c r="BP20" s="1724"/>
      <c r="BQ20" s="2338">
        <v>2945.84</v>
      </c>
      <c r="BR20" s="2263"/>
      <c r="BS20" s="2263">
        <f t="shared" si="65"/>
        <v>-2945.84</v>
      </c>
      <c r="BT20" s="2254">
        <f t="shared" si="66"/>
        <v>-100</v>
      </c>
      <c r="BU20" s="2254"/>
      <c r="BV20" s="1724"/>
      <c r="BW20" s="2339">
        <f t="shared" si="67"/>
        <v>35350.080000000002</v>
      </c>
      <c r="BX20" s="1741">
        <f t="shared" si="67"/>
        <v>8443.42</v>
      </c>
    </row>
  </sheetData>
  <mergeCells count="100">
    <mergeCell ref="BT13:BT14"/>
    <mergeCell ref="AY13:AY14"/>
    <mergeCell ref="BK13:BK14"/>
    <mergeCell ref="BM13:BM14"/>
    <mergeCell ref="BN13:BN14"/>
    <mergeCell ref="BQ13:BQ14"/>
    <mergeCell ref="BS13:BS14"/>
    <mergeCell ref="BQ16:BQ17"/>
    <mergeCell ref="BS16:BS17"/>
    <mergeCell ref="BT16:BT17"/>
    <mergeCell ref="BG16:BG17"/>
    <mergeCell ref="BH16:BH17"/>
    <mergeCell ref="BC6:BC7"/>
    <mergeCell ref="BE6:BH6"/>
    <mergeCell ref="BI6:BI7"/>
    <mergeCell ref="BK6:BN6"/>
    <mergeCell ref="BQ6:BT6"/>
    <mergeCell ref="BW13:BW14"/>
    <mergeCell ref="BX13:BX14"/>
    <mergeCell ref="BW16:BW17"/>
    <mergeCell ref="BX16:BX17"/>
    <mergeCell ref="BW6:BW7"/>
    <mergeCell ref="BX6:BX7"/>
    <mergeCell ref="BA16:BA17"/>
    <mergeCell ref="BB16:BB17"/>
    <mergeCell ref="BE16:BE17"/>
    <mergeCell ref="AW6:AW7"/>
    <mergeCell ref="O6:R6"/>
    <mergeCell ref="S6:S7"/>
    <mergeCell ref="U6:X6"/>
    <mergeCell ref="Y6:Y7"/>
    <mergeCell ref="AA6:AD6"/>
    <mergeCell ref="AE6:AE7"/>
    <mergeCell ref="AG6:AJ6"/>
    <mergeCell ref="AK6:AK7"/>
    <mergeCell ref="AM6:AP6"/>
    <mergeCell ref="AQ6:AQ7"/>
    <mergeCell ref="AS6:AV6"/>
    <mergeCell ref="AY6:BB6"/>
    <mergeCell ref="M6:M7"/>
    <mergeCell ref="BK16:BK17"/>
    <mergeCell ref="BM16:BM17"/>
    <mergeCell ref="BN16:BN17"/>
    <mergeCell ref="AM16:AM17"/>
    <mergeCell ref="AO16:AO17"/>
    <mergeCell ref="AP16:AP17"/>
    <mergeCell ref="AS16:AS17"/>
    <mergeCell ref="AU16:AU17"/>
    <mergeCell ref="AV16:AV17"/>
    <mergeCell ref="AA16:AA17"/>
    <mergeCell ref="AC16:AC17"/>
    <mergeCell ref="AD16:AD17"/>
    <mergeCell ref="AG16:AG17"/>
    <mergeCell ref="AI16:AI17"/>
    <mergeCell ref="AY16:AY17"/>
    <mergeCell ref="A6:A7"/>
    <mergeCell ref="B6:B7"/>
    <mergeCell ref="C6:F6"/>
    <mergeCell ref="G6:G7"/>
    <mergeCell ref="I6:L6"/>
    <mergeCell ref="E16:E17"/>
    <mergeCell ref="F16:F17"/>
    <mergeCell ref="I16:I17"/>
    <mergeCell ref="K16:K17"/>
    <mergeCell ref="L16:L17"/>
    <mergeCell ref="AJ16:AJ17"/>
    <mergeCell ref="O16:O17"/>
    <mergeCell ref="Q16:Q17"/>
    <mergeCell ref="R16:R17"/>
    <mergeCell ref="U16:U17"/>
    <mergeCell ref="W16:W17"/>
    <mergeCell ref="X16:X17"/>
    <mergeCell ref="AV13:AV14"/>
    <mergeCell ref="AA13:AA14"/>
    <mergeCell ref="AC13:AC14"/>
    <mergeCell ref="AD13:AD14"/>
    <mergeCell ref="AG13:AG14"/>
    <mergeCell ref="AI13:AI14"/>
    <mergeCell ref="AM13:AM14"/>
    <mergeCell ref="AO13:AO14"/>
    <mergeCell ref="AP13:AP14"/>
    <mergeCell ref="AS13:AS14"/>
    <mergeCell ref="AU13:AU14"/>
    <mergeCell ref="AJ13:AJ14"/>
    <mergeCell ref="O13:O14"/>
    <mergeCell ref="Q13:Q14"/>
    <mergeCell ref="R13:R14"/>
    <mergeCell ref="U13:U14"/>
    <mergeCell ref="W13:W14"/>
    <mergeCell ref="X13:X14"/>
    <mergeCell ref="BA13:BA14"/>
    <mergeCell ref="BB13:BB14"/>
    <mergeCell ref="BE13:BE14"/>
    <mergeCell ref="BG13:BG14"/>
    <mergeCell ref="BH13:BH14"/>
    <mergeCell ref="L13:L14"/>
    <mergeCell ref="E13:E14"/>
    <mergeCell ref="F13:F14"/>
    <mergeCell ref="I13:I14"/>
    <mergeCell ref="K13:K14"/>
  </mergeCells>
  <hyperlinks>
    <hyperlink ref="A9" r:id="rId1" display="..\..\..\..\Rafaela Garcia\2022\3. Março\Orçamento\Segato\11634.pdf"/>
    <hyperlink ref="A10" r:id="rId2" display="..\..\..\..\Rafaela Garcia\2022\3. Março\Orçamento\Segato\12293.pdf"/>
    <hyperlink ref="A11" r:id="rId3" display="..\..\..\..\Rafaela Garcia\2022\3. Março\Orçamento\Segato\11528.pdf"/>
    <hyperlink ref="A12" r:id="rId4" display="..\..\..\..\Rafaela Garcia\2022\3. Março\Orçamento\Segato\12303.pdf"/>
    <hyperlink ref="A13" r:id="rId5" display="..\..\..\..\Rafaela Garcia\2022\3. Março\Orçamento\Segato\51127.pdf"/>
    <hyperlink ref="A14" r:id="rId6" display="..\..\..\..\Rafaela Garcia\2022\3. Março\Orçamento\Segato\53792.pdf"/>
    <hyperlink ref="A15" r:id="rId7" display="..\..\..\..\Rafaela Garcia\2022\3. Março\Orçamento\Segato\51673.pdf"/>
    <hyperlink ref="A17" r:id="rId8" display="..\..\..\..\Rafaela Garcia\2022\3. Março\Orçamento\Segato\12272.pdf"/>
    <hyperlink ref="A18" r:id="rId9" display="..\..\..\..\Rafaela Garcia\2022\3. Março\Orçamento\Segato\33004.pdf"/>
    <hyperlink ref="A19" r:id="rId10" display="..\..\..\..\Rafaela Garcia\2022\3. Março\Orçamento\Segato\12305.pdf"/>
    <hyperlink ref="A20" r:id="rId11" display="..\..\..\..\Rafaela Garcia\2022\3. Março\Orçamento\Segato\11675.pdf"/>
  </hyperlinks>
  <pageMargins left="0.511811024" right="0.511811024" top="0.78740157499999996" bottom="0.78740157499999996" header="0.31496062000000002" footer="0.31496062000000002"/>
  <pageSetup paperSize="9" orientation="portrait" r:id="rId12"/>
  <drawing r:id="rId13"/>
  <legacyDrawing r:id="rId1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
  <sheetViews>
    <sheetView workbookViewId="0">
      <selection activeCell="K12" sqref="K12"/>
    </sheetView>
  </sheetViews>
  <sheetFormatPr defaultRowHeight="15" x14ac:dyDescent="0.25"/>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6:O67"/>
  <sheetViews>
    <sheetView showGridLines="0" workbookViewId="0">
      <selection activeCell="B20" sqref="B20"/>
    </sheetView>
  </sheetViews>
  <sheetFormatPr defaultRowHeight="15.75" x14ac:dyDescent="0.25"/>
  <cols>
    <col min="1" max="1" width="22.140625" style="1466" bestFit="1" customWidth="1"/>
    <col min="2" max="2" width="11.85546875" style="1466" bestFit="1" customWidth="1"/>
    <col min="3" max="3" width="12.7109375" style="1466" bestFit="1" customWidth="1"/>
    <col min="4" max="13" width="11.85546875" style="1466" bestFit="1" customWidth="1"/>
    <col min="14" max="14" width="18.42578125" style="1467" bestFit="1" customWidth="1"/>
    <col min="15" max="15" width="9.140625" style="1468"/>
    <col min="16" max="16384" width="9.140625" style="1466"/>
  </cols>
  <sheetData>
    <row r="16" spans="2:14" x14ac:dyDescent="0.25">
      <c r="B16" s="1482" t="s">
        <v>3803</v>
      </c>
      <c r="C16" s="1483" t="s">
        <v>3804</v>
      </c>
      <c r="D16" s="1482" t="s">
        <v>3805</v>
      </c>
      <c r="E16" s="1483" t="s">
        <v>3806</v>
      </c>
      <c r="F16" s="1482" t="s">
        <v>3807</v>
      </c>
      <c r="G16" s="1483" t="s">
        <v>3808</v>
      </c>
      <c r="H16" s="1482" t="s">
        <v>3809</v>
      </c>
      <c r="I16" s="1483" t="s">
        <v>3810</v>
      </c>
      <c r="J16" s="1482" t="s">
        <v>3811</v>
      </c>
      <c r="K16" s="1483" t="s">
        <v>3812</v>
      </c>
      <c r="L16" s="1482" t="s">
        <v>3813</v>
      </c>
      <c r="M16" s="1483" t="s">
        <v>3814</v>
      </c>
      <c r="N16" s="1484" t="s">
        <v>3823</v>
      </c>
    </row>
    <row r="17" spans="1:14" x14ac:dyDescent="0.25">
      <c r="A17" s="1469" t="s">
        <v>3815</v>
      </c>
      <c r="B17" s="1470">
        <f>'Orçamento 2022 - Sintético'!C7</f>
        <v>20957848.276193332</v>
      </c>
      <c r="C17" s="1470">
        <f>'Orçamento 2022 - Sintético'!G7</f>
        <v>20957848.276193332</v>
      </c>
      <c r="D17" s="1470">
        <f>'Orçamento 2022 - Sintético'!K7</f>
        <v>20957848.276193332</v>
      </c>
      <c r="E17" s="1470">
        <f>'Orçamento 2022 - Sintético'!O7</f>
        <v>20961435.879143331</v>
      </c>
      <c r="F17" s="1470">
        <f>'Orçamento 2022 - Sintético'!S7</f>
        <v>21698657.746683333</v>
      </c>
      <c r="G17" s="1470">
        <f>'Orçamento 2022 - Sintético'!W7</f>
        <v>22003879.087863334</v>
      </c>
      <c r="H17" s="1470">
        <f>'Orçamento 2022 - Sintético'!AA7</f>
        <v>22038954.845723331</v>
      </c>
      <c r="I17" s="1470">
        <f>'Orçamento 2022 - Sintético'!AE7</f>
        <v>22133965.53754333</v>
      </c>
      <c r="J17" s="1470">
        <f>'Orçamento 2022 - Sintético'!AI7</f>
        <v>22194970.131253332</v>
      </c>
      <c r="K17" s="1470">
        <f>'Orçamento 2022 - Sintético'!AM7</f>
        <v>21696416.377253331</v>
      </c>
      <c r="L17" s="1470">
        <f>'Orçamento 2022 - Sintético'!AQ7</f>
        <v>21929386.14511333</v>
      </c>
      <c r="M17" s="1470">
        <f>'Orçamento 2022 - Sintético'!AU7</f>
        <v>21758426.14514333</v>
      </c>
      <c r="N17" s="1480">
        <f>SUM(B17:M17)</f>
        <v>259289636.72429994</v>
      </c>
    </row>
    <row r="18" spans="1:14" x14ac:dyDescent="0.25">
      <c r="A18" s="1469" t="s">
        <v>3816</v>
      </c>
      <c r="B18" s="1470">
        <v>23024404</v>
      </c>
      <c r="C18" s="1470">
        <v>21677806.41</v>
      </c>
      <c r="D18" s="1470">
        <v>23899743.07</v>
      </c>
      <c r="E18" s="1470">
        <f>'Orçamento 2022 - Sintético'!P7</f>
        <v>0</v>
      </c>
      <c r="F18" s="1470">
        <f>'Orçamento 2022 - Sintético'!T7</f>
        <v>0</v>
      </c>
      <c r="G18" s="1470">
        <f>'Orçamento 2022 - Sintético'!X7</f>
        <v>0</v>
      </c>
      <c r="H18" s="1470">
        <f>'Orçamento 2022 - Sintético'!AB7</f>
        <v>0</v>
      </c>
      <c r="I18" s="1470">
        <f>'Orçamento 2022 - Sintético'!AF7</f>
        <v>0</v>
      </c>
      <c r="J18" s="1470">
        <f>'Orçamento 2022 - Sintético'!AJ7</f>
        <v>0</v>
      </c>
      <c r="K18" s="1470">
        <f>'Orçamento 2022 - Sintético'!AN7</f>
        <v>0</v>
      </c>
      <c r="L18" s="1470">
        <f>'Orçamento 2022 - Sintético'!AR7</f>
        <v>0</v>
      </c>
      <c r="M18" s="1470">
        <f>'Orçamento 2022 - Sintético'!AV7</f>
        <v>0</v>
      </c>
      <c r="N18" s="1480">
        <f>SUM(B18:M18)</f>
        <v>68601953.479999989</v>
      </c>
    </row>
    <row r="19" spans="1:14" x14ac:dyDescent="0.25">
      <c r="A19" s="1469" t="s">
        <v>3817</v>
      </c>
      <c r="B19" s="1471">
        <v>1.2999999999999999E-2</v>
      </c>
      <c r="C19" s="1471">
        <f t="shared" ref="C19:M19" si="0">(C18-C17)/C17</f>
        <v>3.4352674201983367E-2</v>
      </c>
      <c r="D19" s="1472">
        <f t="shared" si="0"/>
        <v>0.14037198642899126</v>
      </c>
      <c r="E19" s="1471">
        <f t="shared" si="0"/>
        <v>-1</v>
      </c>
      <c r="F19" s="1471">
        <f t="shared" si="0"/>
        <v>-1</v>
      </c>
      <c r="G19" s="1471">
        <f t="shared" si="0"/>
        <v>-1</v>
      </c>
      <c r="H19" s="1471">
        <f t="shared" si="0"/>
        <v>-1</v>
      </c>
      <c r="I19" s="1471">
        <f t="shared" si="0"/>
        <v>-1</v>
      </c>
      <c r="J19" s="1472">
        <f t="shared" si="0"/>
        <v>-1</v>
      </c>
      <c r="K19" s="1473">
        <f t="shared" si="0"/>
        <v>-1</v>
      </c>
      <c r="L19" s="1473">
        <f t="shared" si="0"/>
        <v>-1</v>
      </c>
      <c r="M19" s="1473">
        <f t="shared" si="0"/>
        <v>-1</v>
      </c>
      <c r="N19" s="1481"/>
    </row>
    <row r="20" spans="1:14" x14ac:dyDescent="0.25">
      <c r="A20" s="1474" t="s">
        <v>3818</v>
      </c>
      <c r="B20" s="1475">
        <f>(B18-B17)/(B17)</f>
        <v>9.860533851436136E-2</v>
      </c>
      <c r="C20" s="1475">
        <f>((B18+C18)-(B17+C17))/(B17+C17)</f>
        <v>6.6479006358172277E-2</v>
      </c>
      <c r="D20" s="1475">
        <f>((B18+C18+D18)-(B17+C17+D17))/(B17+C17+D17)</f>
        <v>9.1109999715111883E-2</v>
      </c>
      <c r="E20" s="1475">
        <f>((B18+C18+D18+E18)-(B17+C17+D17+E17))/(B17+C17+D17+E17)</f>
        <v>-0.18170251962997092</v>
      </c>
      <c r="F20" s="1475">
        <f>((B18+C18+D18+E18+F18)-(B17+C17+D17+E17+F17))/(B17+C17+D17+E17+F17)</f>
        <v>-0.34995178329194188</v>
      </c>
      <c r="G20" s="1475">
        <f>((B18+C18+D18+E18+F18+G18)-(B17+C17+D17+E17+F17+G17))/(B17+C17+D17+E17+F17+G17)</f>
        <v>-0.46210374169104296</v>
      </c>
      <c r="H20" s="1473">
        <f>((B18+C18+D18+E18+F18+G18+H18)-(B17+C17+D17+E17+F17+G17+H17))/(B17+C17+D17+E17+F17+G17+H17)</f>
        <v>-0.5413586616613727</v>
      </c>
      <c r="I20" s="1473">
        <f>((B18+C18+D18+E18+F18+G18+H18+I18)-(B17+C17+D17+E17+F17+G17+H17+I17))/(B17+C17+D17+E17+F17+G17+H17+I17)</f>
        <v>-0.60047883920865852</v>
      </c>
      <c r="J20" s="1473">
        <f>((C18+D18+E18+F18+G18+H18+I18+J18)-(C17+D17+E17+F17+G17+H17+I17+J17))/(C17+D17+E17+F17+G17+H17+I17+J17)</f>
        <v>-0.73646607365943628</v>
      </c>
      <c r="K20" s="1473">
        <f>((D18+E18+F18+G18+H18+I18+J18+K18)-(D17+E17+F17+G17+H17+I17+J17+K17))/(D17+E17+F17+G17+H17+I17+J17+K17)</f>
        <v>-0.8623969377319276</v>
      </c>
      <c r="L20" s="1473">
        <f>((E18+F18+G18+H18+I18+J18+K18+L18)-(E17+F17+G17+H17+I17+J17+K17+L17))/(E17+F17+G17+H17+I17+J17+K17+L17)</f>
        <v>-1</v>
      </c>
      <c r="M20" s="1473">
        <f>((F18+G18+H18+I18+J18+K18+L18+M18)-(F17+G17+H17+I17+J17+K17+L17+M17))/(F17+G17+H17+I17+J17+K17+L17+M17)</f>
        <v>-1</v>
      </c>
      <c r="N20" s="1481"/>
    </row>
    <row r="40" spans="1:14" x14ac:dyDescent="0.25">
      <c r="B40" s="1482" t="s">
        <v>3803</v>
      </c>
      <c r="C40" s="1483" t="s">
        <v>3804</v>
      </c>
      <c r="D40" s="1482" t="s">
        <v>3805</v>
      </c>
      <c r="E40" s="1483" t="s">
        <v>3806</v>
      </c>
      <c r="F40" s="1482" t="s">
        <v>3807</v>
      </c>
      <c r="G40" s="1483" t="s">
        <v>3808</v>
      </c>
      <c r="H40" s="1482" t="s">
        <v>3809</v>
      </c>
      <c r="I40" s="1483" t="s">
        <v>3810</v>
      </c>
      <c r="J40" s="1482" t="s">
        <v>3811</v>
      </c>
      <c r="K40" s="1483" t="s">
        <v>3812</v>
      </c>
      <c r="L40" s="1482" t="s">
        <v>3813</v>
      </c>
      <c r="M40" s="1483" t="s">
        <v>3814</v>
      </c>
      <c r="N40" s="1484" t="s">
        <v>3823</v>
      </c>
    </row>
    <row r="41" spans="1:14" x14ac:dyDescent="0.25">
      <c r="A41" s="1469" t="s">
        <v>3819</v>
      </c>
      <c r="B41" s="1476">
        <f>'Orçamento 2022 - Sintético'!C39</f>
        <v>20206923.562399998</v>
      </c>
      <c r="C41" s="1476">
        <f>'Orçamento 2022 - Sintético'!G39</f>
        <v>20207723.562399998</v>
      </c>
      <c r="D41" s="1476">
        <f>'Orçamento 2022 - Sintético'!K39</f>
        <v>20357923.562399998</v>
      </c>
      <c r="E41" s="1476">
        <f>'Orçamento 2022 - Sintético'!O39</f>
        <v>20357423.562399998</v>
      </c>
      <c r="F41" s="1476">
        <f>'Orçamento 2022 - Sintético'!S39</f>
        <v>20663858.562399998</v>
      </c>
      <c r="G41" s="1476">
        <f>'Orçamento 2022 - Sintético'!W39</f>
        <v>21213982.623199999</v>
      </c>
      <c r="H41" s="1476">
        <f>'Orçamento 2022 - Sintético'!AA39</f>
        <v>21213582.623199999</v>
      </c>
      <c r="I41" s="1476">
        <f>'Orçamento 2022 - Sintético'!AE39</f>
        <v>21215082.623199999</v>
      </c>
      <c r="J41" s="1476">
        <f>'Orçamento 2022 - Sintético'!AI39</f>
        <v>21245582.623199999</v>
      </c>
      <c r="K41" s="1476">
        <f>'Orçamento 2022 - Sintético'!AM39</f>
        <v>21245082.623199999</v>
      </c>
      <c r="L41" s="1476">
        <f>'Orçamento 2022 - Sintético'!AQ39</f>
        <v>21365582.623199999</v>
      </c>
      <c r="M41" s="1476">
        <f>'Orçamento 2022 - Sintético'!AU39</f>
        <v>21365082.623199999</v>
      </c>
      <c r="N41" s="1480">
        <f>SUM(B41:M41)</f>
        <v>250657831.17439997</v>
      </c>
    </row>
    <row r="42" spans="1:14" x14ac:dyDescent="0.25">
      <c r="A42" s="1469" t="s">
        <v>3820</v>
      </c>
      <c r="B42" s="1476">
        <v>20696206</v>
      </c>
      <c r="C42" s="1476">
        <v>22610767.879999999</v>
      </c>
      <c r="D42" s="1476">
        <v>22109536.440000001</v>
      </c>
      <c r="E42" s="1476">
        <f>'Orçamento 2022 - Sintético'!P39</f>
        <v>0</v>
      </c>
      <c r="F42" s="1476">
        <f>'Orçamento 2022 - Sintético'!T39</f>
        <v>0</v>
      </c>
      <c r="G42" s="1476">
        <f>'Orçamento 2022 - Sintético'!X39</f>
        <v>0</v>
      </c>
      <c r="H42" s="1476">
        <f>'Orçamento 2022 - Sintético'!AB39</f>
        <v>0</v>
      </c>
      <c r="I42" s="1476">
        <f>'Orçamento 2022 - Sintético'!AF39</f>
        <v>0</v>
      </c>
      <c r="J42" s="1476">
        <f>'Orçamento 2022 - Sintético'!AJ39</f>
        <v>0</v>
      </c>
      <c r="K42" s="1476">
        <f>'Orçamento 2022 - Sintético'!AN39</f>
        <v>0</v>
      </c>
      <c r="L42" s="1476">
        <f>'Orçamento 2022 - Sintético'!AR39</f>
        <v>0</v>
      </c>
      <c r="M42" s="1476">
        <f>'Orçamento 2022 - Sintético'!AV39</f>
        <v>0</v>
      </c>
      <c r="N42" s="1480">
        <f>SUM(B42:M42)</f>
        <v>65416510.319999993</v>
      </c>
    </row>
    <row r="43" spans="1:14" x14ac:dyDescent="0.25">
      <c r="A43" s="1469" t="s">
        <v>3817</v>
      </c>
      <c r="B43" s="1471">
        <f>(B42-B41)/B41</f>
        <v>2.421360362397932E-2</v>
      </c>
      <c r="C43" s="1471">
        <f t="shared" ref="C43:M43" si="1">(C42-C41)/C41</f>
        <v>0.11891712147484462</v>
      </c>
      <c r="D43" s="1472">
        <f t="shared" si="1"/>
        <v>8.6040841652197719E-2</v>
      </c>
      <c r="E43" s="1471">
        <f t="shared" si="1"/>
        <v>-1</v>
      </c>
      <c r="F43" s="1471">
        <f t="shared" si="1"/>
        <v>-1</v>
      </c>
      <c r="G43" s="1471">
        <f t="shared" si="1"/>
        <v>-1</v>
      </c>
      <c r="H43" s="1471">
        <f t="shared" si="1"/>
        <v>-1</v>
      </c>
      <c r="I43" s="1471">
        <f t="shared" si="1"/>
        <v>-1</v>
      </c>
      <c r="J43" s="1472">
        <f t="shared" si="1"/>
        <v>-1</v>
      </c>
      <c r="K43" s="1473">
        <f t="shared" si="1"/>
        <v>-1</v>
      </c>
      <c r="L43" s="1473">
        <f t="shared" si="1"/>
        <v>-1</v>
      </c>
      <c r="M43" s="1473">
        <f t="shared" si="1"/>
        <v>-1</v>
      </c>
    </row>
    <row r="44" spans="1:14" x14ac:dyDescent="0.25">
      <c r="A44" s="1474" t="s">
        <v>3818</v>
      </c>
      <c r="B44" s="1475">
        <f>(B42-B41)/(B41)</f>
        <v>2.421360362397932E-2</v>
      </c>
      <c r="C44" s="1477">
        <f>((B42+C42)-(B41+C41))/(B41+C41)</f>
        <v>7.1566299868177113E-2</v>
      </c>
      <c r="D44" s="1477">
        <f>((B42+C42+D42)-(B41+C41+D41))/(B41+C41+D41)</f>
        <v>7.6415059956943879E-2</v>
      </c>
      <c r="E44" s="1477">
        <f>((B42+C42+D42+E42)-(B41+C41+D41+E41))/(B41+C41+D41+E41)</f>
        <v>-0.19368279358256549</v>
      </c>
      <c r="F44" s="1477">
        <f>((B42+C42+D42+E42+F42)-(B41+C41+D41+E41+F41))/(B41+C41+D41+E41+F41)</f>
        <v>-0.35736286118557886</v>
      </c>
      <c r="G44" s="1477">
        <f>((B42+C42+D42+E42+F42+G42)-(B41+C41+D41+E41+F41+G41))/(B41+C41+D41+E41+F41+G41)</f>
        <v>-0.46819233028077195</v>
      </c>
      <c r="H44" s="1477">
        <f>((B42+C42+D42+E42+F42+G42+H42)-(B41+C41+D41+E41+F41+G41+H41))/(B41+C41+D41+E41+F41+G41+H41)</f>
        <v>-0.54641612043011045</v>
      </c>
      <c r="I44" s="1477">
        <f>((B42+C42+D42+E42+F42+G42+H42+I42)-(B41+C41+D41+E41+F41+G41+H41+I41))/(B41+C41+D41+E41+F41+G41+H41+I41)</f>
        <v>-0.60458236211184746</v>
      </c>
      <c r="J44" s="1477">
        <f>((C42+D42+E42+F42+G42+H42+I42+J42)-(C41+D41+E41+F41+G41+H41+I41+J41))/(C41+D41+E41+F41+G41+H41+I41+J41)</f>
        <v>-0.7313695064825334</v>
      </c>
      <c r="K44" s="1477">
        <f>((D42+E42+F42+G42+H42+I42+J42+K42)-(D41+E41+F41+G41+H41+I41+J41+K41))/(D41+E41+F41+G41+H41+I41+J41+K41)</f>
        <v>-0.86801263214258562</v>
      </c>
      <c r="L44" s="1477">
        <f>((E42+F42+G42+H42+I42+J42+K42+L42)-(E41+F41+G41+H41+I41+J41+K41+L41))/(E41+F41+G41+H41+I41+J41+K41+L41)</f>
        <v>-1</v>
      </c>
      <c r="M44" s="1477">
        <f>((F42+G42+H42+I42+J42+K42+L42+M42)-(F41+G41+H41+I41+J41+K41+L41+M41))/(F41+G41+H41+I41+J41+K41+L41+M41)</f>
        <v>-1</v>
      </c>
    </row>
    <row r="63" spans="1:14" x14ac:dyDescent="0.25">
      <c r="B63" s="1482" t="s">
        <v>3803</v>
      </c>
      <c r="C63" s="1483" t="s">
        <v>3804</v>
      </c>
      <c r="D63" s="1482" t="s">
        <v>3805</v>
      </c>
      <c r="E63" s="1483" t="s">
        <v>3806</v>
      </c>
      <c r="F63" s="1482" t="s">
        <v>3807</v>
      </c>
      <c r="G63" s="1483" t="s">
        <v>3808</v>
      </c>
      <c r="H63" s="1482" t="s">
        <v>3809</v>
      </c>
      <c r="I63" s="1483" t="s">
        <v>3810</v>
      </c>
      <c r="J63" s="1482" t="s">
        <v>3811</v>
      </c>
      <c r="K63" s="1483" t="s">
        <v>3812</v>
      </c>
      <c r="L63" s="1482" t="s">
        <v>3813</v>
      </c>
      <c r="M63" s="1483" t="s">
        <v>3814</v>
      </c>
      <c r="N63" s="1484" t="s">
        <v>3823</v>
      </c>
    </row>
    <row r="64" spans="1:14" x14ac:dyDescent="0.25">
      <c r="A64" s="1469" t="s">
        <v>3821</v>
      </c>
      <c r="B64" s="1476">
        <f>'Orçamento 2022 - Sintético'!C198</f>
        <v>874391.85</v>
      </c>
      <c r="C64" s="1476">
        <f>'Orçamento 2022 - Sintético'!G198</f>
        <v>874391.66</v>
      </c>
      <c r="D64" s="1476">
        <f>'Orçamento 2022 - Sintético'!K198</f>
        <v>851797.62</v>
      </c>
      <c r="E64" s="1476">
        <f>'Orçamento 2022 - Sintético'!O198</f>
        <v>851797.62</v>
      </c>
      <c r="F64" s="1476">
        <f>'Orçamento 2022 - Sintético'!S198</f>
        <v>851797.62</v>
      </c>
      <c r="G64" s="1476">
        <f>'Orçamento 2022 - Sintético'!W198</f>
        <v>851797.62</v>
      </c>
      <c r="H64" s="1476">
        <f>'Orçamento 2022 - Sintético'!AA198</f>
        <v>826474.64</v>
      </c>
      <c r="I64" s="1476">
        <f>'Orçamento 2022 - Sintético'!AE198</f>
        <v>805289.64</v>
      </c>
      <c r="J64" s="1476">
        <f>'Orçamento 2022 - Sintético'!AI198</f>
        <v>805289.64</v>
      </c>
      <c r="K64" s="1476">
        <f>'Orçamento 2022 - Sintético'!AM198</f>
        <v>805289.64</v>
      </c>
      <c r="L64" s="1476">
        <f>'Orçamento 2022 - Sintético'!AQ198</f>
        <v>805289.64</v>
      </c>
      <c r="M64" s="1476">
        <f>'Orçamento 2022 - Sintético'!AU198</f>
        <v>805289.64</v>
      </c>
      <c r="N64" s="1480">
        <f>SUM(B64:M64)</f>
        <v>10008896.83</v>
      </c>
    </row>
    <row r="65" spans="1:14" x14ac:dyDescent="0.25">
      <c r="A65" s="1469" t="s">
        <v>3822</v>
      </c>
      <c r="B65" s="1476">
        <v>2328198</v>
      </c>
      <c r="C65" s="1476">
        <v>-932961.47</v>
      </c>
      <c r="D65" s="1476">
        <v>1790206.63</v>
      </c>
      <c r="E65" s="1476">
        <f>'Orçamento 2022 - Sintético'!P196</f>
        <v>0</v>
      </c>
      <c r="F65" s="1476">
        <f>'Orçamento 2022 - Sintético'!T196</f>
        <v>0</v>
      </c>
      <c r="G65" s="1476">
        <f>'Orçamento 2022 - Sintético'!X196</f>
        <v>0</v>
      </c>
      <c r="H65" s="1476">
        <f>'Orçamento 2022 - Sintético'!AB196</f>
        <v>0</v>
      </c>
      <c r="I65" s="1476">
        <f>'Orçamento 2022 - Sintético'!AF196</f>
        <v>0</v>
      </c>
      <c r="J65" s="1476">
        <f>'Orçamento 2022 - Sintético'!AJ193</f>
        <v>0</v>
      </c>
      <c r="K65" s="1476">
        <f>'Orçamento 2022 - Sintético'!AN193</f>
        <v>0</v>
      </c>
      <c r="L65" s="1476">
        <f>'Orçamento 2022 - Sintético'!AR193</f>
        <v>0</v>
      </c>
      <c r="M65" s="1476">
        <f>'Orçamento 2022 - Sintético'!AV193</f>
        <v>0</v>
      </c>
      <c r="N65" s="1480">
        <f>SUM(B65:M65)</f>
        <v>3185443.16</v>
      </c>
    </row>
    <row r="66" spans="1:14" x14ac:dyDescent="0.25">
      <c r="A66" s="1469" t="s">
        <v>3817</v>
      </c>
      <c r="B66" s="1471">
        <f>(B65-B64)/B64</f>
        <v>1.662648330951392</v>
      </c>
      <c r="C66" s="1471">
        <f t="shared" ref="C66:M66" si="2">(C65-C64)/C64</f>
        <v>-2.0669834957026008</v>
      </c>
      <c r="D66" s="1472">
        <f t="shared" si="2"/>
        <v>1.1016807137826938</v>
      </c>
      <c r="E66" s="1471">
        <f t="shared" si="2"/>
        <v>-1</v>
      </c>
      <c r="F66" s="1471">
        <f t="shared" si="2"/>
        <v>-1</v>
      </c>
      <c r="G66" s="1471">
        <f t="shared" si="2"/>
        <v>-1</v>
      </c>
      <c r="H66" s="1471">
        <f t="shared" si="2"/>
        <v>-1</v>
      </c>
      <c r="I66" s="1471">
        <f t="shared" si="2"/>
        <v>-1</v>
      </c>
      <c r="J66" s="1472">
        <f t="shared" si="2"/>
        <v>-1</v>
      </c>
      <c r="K66" s="1473">
        <f t="shared" si="2"/>
        <v>-1</v>
      </c>
      <c r="L66" s="1473">
        <f t="shared" si="2"/>
        <v>-1</v>
      </c>
      <c r="M66" s="1473">
        <f t="shared" si="2"/>
        <v>-1</v>
      </c>
    </row>
    <row r="67" spans="1:14" x14ac:dyDescent="0.25">
      <c r="A67" s="1474" t="s">
        <v>3818</v>
      </c>
      <c r="B67" s="1475">
        <f>(B65-B64)/B64</f>
        <v>1.662648330951392</v>
      </c>
      <c r="C67" s="1478">
        <f>((B65+C65)-(B64+C64))/(B64+C64)</f>
        <v>-0.20216737976903726</v>
      </c>
      <c r="D67" s="1478">
        <f>((B65+C65+D65)-(B64+C64+D64))/(B64+C64+D64)</f>
        <v>0.22489666761521118</v>
      </c>
      <c r="E67" s="1478">
        <f>((B65+C65+D65+E65)-(B64+C64+D64+E64))/(B64+C64+D64+E64)</f>
        <v>-7.7319323669223672E-2</v>
      </c>
      <c r="F67" s="1478">
        <f>((B65+C65+D65+E65+F65)-(B64+C64+D64+E64+F64))/(B64+C64+D64+E64+F64)</f>
        <v>-0.2599180688313662</v>
      </c>
      <c r="G67" s="1478">
        <f>((B65+C65+D65+E65+F65+G65)-(B64+C64+D64+E64+F64+G64))/(B64+C64+D64+E64+F64+G64)</f>
        <v>-0.38218401291818777</v>
      </c>
      <c r="H67" s="1479">
        <f>((B65+C65+D65+E65+F65+G65+H65)-(B64+C64+D64+E64+F64+G64+H64))/(B64+C64+D64+E64+F64+G64+H64)</f>
        <v>-0.4675352256221546</v>
      </c>
      <c r="I67" s="1479">
        <f>((B65+C65+D65+E65+F65+G65+H65+I65)-(B64+C64+D64+E64+F64+G64+H64+I64))/(B64+C64+D64+E64+F64+G64+H64+I64)</f>
        <v>-0.53070624804748101</v>
      </c>
      <c r="J67" s="1479">
        <f>((C65+D65+E65+F65+G65+H65+I65+J65)-(C64+D64+E64+F64+G64+H64+I64+J64))/(C64+D64+E64+F64+G64+H64+I64+J64)</f>
        <v>-0.87240785892486628</v>
      </c>
      <c r="K67" s="1479">
        <f>((D65+E65+F65+G65+H65+I65+J65+K65)-(D64+E64+F64+G64+H64+I64+J64+K64))/(D64+E64+F64+G64+H64+I64+J64+K64)</f>
        <v>-0.73077713126497501</v>
      </c>
      <c r="L67" s="1479">
        <f>((E65+F65+G65+H65+I65+J65+K65+L65)-(E64+F64+G64+H64+I64+J64+K64+L64))/(E64+F64+G64+H64+I64+J64+K64+L64)</f>
        <v>-1</v>
      </c>
      <c r="M67" s="1479">
        <f>((F65+G65+H65+I65+J65+K65+L65+M65)-(F64+G64+H64+I64+J64+K64+L64+M64))/(F64+G64+H64+I64+J64+K64+L64+M64)</f>
        <v>-1</v>
      </c>
    </row>
  </sheetData>
  <conditionalFormatting sqref="B19:M19">
    <cfRule type="cellIs" dxfId="8" priority="7" operator="equal">
      <formula>0.015</formula>
    </cfRule>
    <cfRule type="cellIs" dxfId="7" priority="8" operator="greaterThan">
      <formula>0.015</formula>
    </cfRule>
    <cfRule type="cellIs" dxfId="6" priority="9" operator="lessThan">
      <formula>0.015</formula>
    </cfRule>
  </conditionalFormatting>
  <conditionalFormatting sqref="B43:M43">
    <cfRule type="cellIs" dxfId="5" priority="4" operator="equal">
      <formula>0.015</formula>
    </cfRule>
    <cfRule type="cellIs" dxfId="4" priority="5" operator="lessThan">
      <formula>0.015</formula>
    </cfRule>
    <cfRule type="cellIs" dxfId="3" priority="6" operator="greaterThan">
      <formula>0.015</formula>
    </cfRule>
  </conditionalFormatting>
  <conditionalFormatting sqref="B66:M66">
    <cfRule type="cellIs" dxfId="2" priority="1" operator="equal">
      <formula>0.015</formula>
    </cfRule>
    <cfRule type="cellIs" dxfId="1" priority="2" operator="greaterThan">
      <formula>0.015</formula>
    </cfRule>
    <cfRule type="cellIs" dxfId="0" priority="3" operator="lessThan">
      <formula>0.015</formula>
    </cfRule>
  </conditionalFormatting>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O16"/>
  <sheetViews>
    <sheetView showGridLines="0" tabSelected="1" workbookViewId="0"/>
  </sheetViews>
  <sheetFormatPr defaultRowHeight="15" x14ac:dyDescent="0.25"/>
  <cols>
    <col min="2" max="2" width="30.7109375" bestFit="1" customWidth="1"/>
    <col min="3" max="6" width="16.28515625" bestFit="1" customWidth="1"/>
    <col min="7" max="14" width="17.42578125" bestFit="1" customWidth="1"/>
  </cols>
  <sheetData>
    <row r="2" spans="2:15" x14ac:dyDescent="0.25">
      <c r="B2" s="1485" t="s">
        <v>3824</v>
      </c>
      <c r="C2" s="1486"/>
      <c r="D2" s="1486"/>
      <c r="E2" s="1486"/>
      <c r="F2" s="1486"/>
      <c r="G2" s="1486"/>
      <c r="H2" s="1486"/>
      <c r="I2" s="1486"/>
      <c r="J2" s="1486"/>
      <c r="K2" s="1486"/>
      <c r="L2" s="1486"/>
      <c r="M2" s="1486"/>
      <c r="N2" s="1486"/>
      <c r="O2" s="1486"/>
    </row>
    <row r="3" spans="2:15" x14ac:dyDescent="0.25">
      <c r="B3" s="1487"/>
      <c r="C3" s="1486"/>
      <c r="D3" s="1486"/>
      <c r="E3" s="1486"/>
      <c r="F3" s="1486"/>
      <c r="G3" s="1486"/>
      <c r="H3" s="1486"/>
      <c r="I3" s="1486"/>
      <c r="J3" s="1486"/>
      <c r="K3" s="1486"/>
      <c r="L3" s="1486"/>
      <c r="M3" s="1486"/>
      <c r="N3" s="1486"/>
      <c r="O3" s="1486"/>
    </row>
    <row r="4" spans="2:15" x14ac:dyDescent="0.25">
      <c r="B4" s="1488" t="s">
        <v>3825</v>
      </c>
      <c r="C4" s="1489" t="s">
        <v>3826</v>
      </c>
      <c r="D4" s="1489" t="s">
        <v>293</v>
      </c>
      <c r="E4" s="1489" t="s">
        <v>260</v>
      </c>
      <c r="F4" s="1489" t="s">
        <v>3769</v>
      </c>
      <c r="G4" s="1489" t="s">
        <v>253</v>
      </c>
      <c r="H4" s="1489" t="s">
        <v>243</v>
      </c>
      <c r="I4" s="1489" t="s">
        <v>239</v>
      </c>
      <c r="J4" s="1489" t="s">
        <v>263</v>
      </c>
      <c r="K4" s="1489" t="s">
        <v>275</v>
      </c>
      <c r="L4" s="1489" t="s">
        <v>3768</v>
      </c>
      <c r="M4" s="1489" t="s">
        <v>287</v>
      </c>
      <c r="N4" s="1489" t="s">
        <v>235</v>
      </c>
      <c r="O4" s="1486"/>
    </row>
    <row r="5" spans="2:15" x14ac:dyDescent="0.25">
      <c r="B5" s="1490" t="s">
        <v>3827</v>
      </c>
      <c r="C5" s="1491">
        <f>'Orçamento 2022 - Sintético'!C7</f>
        <v>20957848.276193332</v>
      </c>
      <c r="D5" s="1491">
        <f>C5+'Orçamento 2022 - Sintético'!G7</f>
        <v>41915696.552386664</v>
      </c>
      <c r="E5" s="1491">
        <f>D5+'Orçamento 2022 - Sintético'!K7</f>
        <v>62873544.828579992</v>
      </c>
      <c r="F5" s="1491">
        <f>E5+'Orçamento 2022 - Sintético'!O7</f>
        <v>83834980.70772332</v>
      </c>
      <c r="G5" s="1491">
        <f>F5+'Orçamento 2022 - Sintético'!S7</f>
        <v>105533638.45440665</v>
      </c>
      <c r="H5" s="1491">
        <f>G5+'Orçamento 2022 - Sintético'!W7</f>
        <v>127537517.54226997</v>
      </c>
      <c r="I5" s="1491">
        <f>H5+'Orçamento 2022 - Sintético'!AA7</f>
        <v>149576472.38799331</v>
      </c>
      <c r="J5" s="1491">
        <f>I5+'Orçamento 2022 - Sintético'!AE7</f>
        <v>171710437.92553663</v>
      </c>
      <c r="K5" s="1491">
        <f>J5+'Orçamento 2022 - Sintético'!AI7</f>
        <v>193905408.05678996</v>
      </c>
      <c r="L5" s="1491">
        <f>K5+'Orçamento 2022 - Sintético'!AM7</f>
        <v>215601824.43404329</v>
      </c>
      <c r="M5" s="1491">
        <f>L5+'Orçamento 2022 - Sintético'!AQ7</f>
        <v>237531210.57915661</v>
      </c>
      <c r="N5" s="1491">
        <f>M5+'Orçamento 2022 - Sintético'!AU7</f>
        <v>259289636.72429994</v>
      </c>
      <c r="O5" s="1486"/>
    </row>
    <row r="6" spans="2:15" x14ac:dyDescent="0.25">
      <c r="B6" s="1492" t="s">
        <v>3828</v>
      </c>
      <c r="C6" s="1493">
        <f>'Orçamento 2022 - Analítico'!D8</f>
        <v>21428831.690000005</v>
      </c>
      <c r="D6" s="1493">
        <f>'Orçamento 2022 - Analítico'!H9</f>
        <v>20115797.170000006</v>
      </c>
      <c r="E6" s="1493">
        <f>'Orçamento 2022 - Analítico'!L9</f>
        <v>22050351.109999999</v>
      </c>
      <c r="F6" s="1493"/>
      <c r="G6" s="1493"/>
      <c r="H6" s="1493"/>
      <c r="I6" s="1493"/>
      <c r="J6" s="1493"/>
      <c r="K6" s="1493"/>
      <c r="L6" s="1493"/>
      <c r="M6" s="1493"/>
      <c r="N6" s="1493"/>
      <c r="O6" s="1486"/>
    </row>
    <row r="7" spans="2:15" x14ac:dyDescent="0.25">
      <c r="B7" s="1487"/>
      <c r="C7" s="1494"/>
      <c r="D7" s="1494"/>
      <c r="E7" s="1494"/>
      <c r="F7" s="1494"/>
      <c r="G7" s="1494"/>
      <c r="H7" s="1494"/>
      <c r="I7" s="1494"/>
      <c r="J7" s="1494"/>
      <c r="K7" s="1494"/>
      <c r="L7" s="1494"/>
      <c r="M7" s="1494"/>
      <c r="N7" s="1494"/>
      <c r="O7" s="1486"/>
    </row>
    <row r="8" spans="2:15" x14ac:dyDescent="0.25">
      <c r="B8" s="1488" t="s">
        <v>340</v>
      </c>
      <c r="C8" s="1489" t="s">
        <v>3826</v>
      </c>
      <c r="D8" s="1489" t="s">
        <v>293</v>
      </c>
      <c r="E8" s="1489" t="s">
        <v>260</v>
      </c>
      <c r="F8" s="1489" t="s">
        <v>3769</v>
      </c>
      <c r="G8" s="1489" t="s">
        <v>253</v>
      </c>
      <c r="H8" s="1489" t="s">
        <v>243</v>
      </c>
      <c r="I8" s="1489" t="s">
        <v>239</v>
      </c>
      <c r="J8" s="1489" t="s">
        <v>263</v>
      </c>
      <c r="K8" s="1489" t="s">
        <v>275</v>
      </c>
      <c r="L8" s="1489" t="s">
        <v>3768</v>
      </c>
      <c r="M8" s="1489" t="s">
        <v>287</v>
      </c>
      <c r="N8" s="1489" t="s">
        <v>235</v>
      </c>
      <c r="O8" s="1486"/>
    </row>
    <row r="9" spans="2:15" x14ac:dyDescent="0.25">
      <c r="B9" s="1490" t="s">
        <v>3827</v>
      </c>
      <c r="C9" s="1491">
        <f>'Orçamento 2022 - Sintético'!C39</f>
        <v>20206923.562399998</v>
      </c>
      <c r="D9" s="1491">
        <f>C9+'Orçamento 2022 - Sintético'!G39</f>
        <v>40414647.124799997</v>
      </c>
      <c r="E9" s="1491">
        <f>D9+'Orçamento 2022 - Sintético'!K39</f>
        <v>60772570.687199995</v>
      </c>
      <c r="F9" s="1491">
        <f>E9+'Orçamento 2022 - Sintético'!O39</f>
        <v>81129994.249599993</v>
      </c>
      <c r="G9" s="1491">
        <f>F9+'Orçamento 2022 - Sintético'!S39</f>
        <v>101793852.81199999</v>
      </c>
      <c r="H9" s="1491">
        <f>G9+'Orçamento 2022 - Sintético'!W39</f>
        <v>123007835.43519999</v>
      </c>
      <c r="I9" s="1491">
        <f>H9+'Orçamento 2022 - Sintético'!AA39</f>
        <v>144221418.05839998</v>
      </c>
      <c r="J9" s="1491">
        <f>I9+'Orçamento 2022 - Sintético'!AE39</f>
        <v>165436500.68159997</v>
      </c>
      <c r="K9" s="1491">
        <f>J9+'Orçamento 2022 - Sintético'!AI39</f>
        <v>186682083.30479997</v>
      </c>
      <c r="L9" s="1491">
        <f>K9+'Orçamento 2022 - Sintético'!AM39</f>
        <v>207927165.92799997</v>
      </c>
      <c r="M9" s="1491">
        <f>L9+'Orçamento 2022 - Sintético'!AQ39</f>
        <v>229292748.55119997</v>
      </c>
      <c r="N9" s="1491">
        <f>'Orçamento 2022 - Sintético'!AU39</f>
        <v>21365082.623199999</v>
      </c>
      <c r="O9" s="1486"/>
    </row>
    <row r="10" spans="2:15" x14ac:dyDescent="0.25">
      <c r="B10" s="1495" t="s">
        <v>3828</v>
      </c>
      <c r="C10" s="1496">
        <f>'Orçamento 2022 - Analítico'!D65</f>
        <v>20645675.420000002</v>
      </c>
      <c r="D10" s="1496">
        <f>'Orçamento 2022 - Analítico'!H65</f>
        <v>22468569.259999998</v>
      </c>
      <c r="E10" s="1496">
        <f>'Orçamento 2022 - Analítico'!L65</f>
        <v>22036083.020000003</v>
      </c>
      <c r="F10" s="1496"/>
      <c r="G10" s="1496"/>
      <c r="H10" s="1496"/>
      <c r="I10" s="1496"/>
      <c r="J10" s="1496"/>
      <c r="K10" s="1496"/>
      <c r="L10" s="1496"/>
      <c r="M10" s="1496"/>
      <c r="N10" s="1496"/>
      <c r="O10" s="1486"/>
    </row>
    <row r="11" spans="2:15" x14ac:dyDescent="0.25">
      <c r="B11" s="1487"/>
      <c r="C11" s="1494"/>
      <c r="D11" s="1494"/>
      <c r="E11" s="1494"/>
      <c r="F11" s="1494"/>
      <c r="G11" s="1494"/>
      <c r="H11" s="1494"/>
      <c r="I11" s="1494"/>
      <c r="J11" s="1494"/>
      <c r="K11" s="1494"/>
      <c r="L11" s="1494"/>
      <c r="M11" s="1494"/>
      <c r="N11" s="1494"/>
      <c r="O11" s="1486"/>
    </row>
    <row r="12" spans="2:15" x14ac:dyDescent="0.25">
      <c r="B12" s="1488" t="s">
        <v>3829</v>
      </c>
      <c r="C12" s="1489" t="s">
        <v>3826</v>
      </c>
      <c r="D12" s="1489" t="s">
        <v>293</v>
      </c>
      <c r="E12" s="1489" t="s">
        <v>260</v>
      </c>
      <c r="F12" s="1489" t="s">
        <v>3769</v>
      </c>
      <c r="G12" s="1489" t="s">
        <v>253</v>
      </c>
      <c r="H12" s="1489" t="s">
        <v>243</v>
      </c>
      <c r="I12" s="1489" t="s">
        <v>239</v>
      </c>
      <c r="J12" s="1489" t="s">
        <v>263</v>
      </c>
      <c r="K12" s="1489" t="s">
        <v>275</v>
      </c>
      <c r="L12" s="1489" t="s">
        <v>3768</v>
      </c>
      <c r="M12" s="1489" t="s">
        <v>287</v>
      </c>
      <c r="N12" s="1489" t="s">
        <v>235</v>
      </c>
      <c r="O12" s="1486"/>
    </row>
    <row r="13" spans="2:15" x14ac:dyDescent="0.25">
      <c r="B13" s="1490" t="s">
        <v>3827</v>
      </c>
      <c r="C13" s="1491">
        <f>Desvios_2022!B64</f>
        <v>874391.85</v>
      </c>
      <c r="D13" s="1491">
        <f>Desvios_2022!C64+C13</f>
        <v>1748783.51</v>
      </c>
      <c r="E13" s="1491">
        <f>Desvios_2022!D64+D13</f>
        <v>2600581.13</v>
      </c>
      <c r="F13" s="1491">
        <f>Desvios_2022!E64+E13</f>
        <v>3452378.75</v>
      </c>
      <c r="G13" s="1491">
        <f>Desvios_2022!F64+F13</f>
        <v>4304176.37</v>
      </c>
      <c r="H13" s="1491">
        <f>Desvios_2022!G64+G13</f>
        <v>5155973.99</v>
      </c>
      <c r="I13" s="1491">
        <f>Desvios_2022!H64+H13</f>
        <v>5982448.6299999999</v>
      </c>
      <c r="J13" s="1491">
        <f>Desvios_2022!I64+I13</f>
        <v>6787738.2699999996</v>
      </c>
      <c r="K13" s="1491">
        <f>Desvios_2022!J64+J13</f>
        <v>7593027.9099999992</v>
      </c>
      <c r="L13" s="1491">
        <f>Desvios_2022!K64+K13</f>
        <v>8398317.5499999989</v>
      </c>
      <c r="M13" s="1491">
        <f>Desvios_2022!L64+L13</f>
        <v>9203607.1899999995</v>
      </c>
      <c r="N13" s="1491">
        <f>Desvios_2022!M64+M13</f>
        <v>10008896.83</v>
      </c>
      <c r="O13" s="1486"/>
    </row>
    <row r="14" spans="2:15" x14ac:dyDescent="0.25">
      <c r="B14" s="1495" t="s">
        <v>3828</v>
      </c>
      <c r="C14" s="1493">
        <f>'Orçamento 2022 - Analítico'!D289</f>
        <v>783156.27000000328</v>
      </c>
      <c r="D14" s="2117">
        <f>'Orçamento 2022 - Analítico'!H289</f>
        <v>-1321854.6999999918</v>
      </c>
      <c r="E14" s="1493">
        <f>'Orçamento 2022 - Analítico'!L289</f>
        <v>1042716.5299999975</v>
      </c>
      <c r="F14" s="1493"/>
      <c r="G14" s="1493"/>
      <c r="H14" s="1493"/>
      <c r="I14" s="1493"/>
      <c r="J14" s="1493"/>
      <c r="K14" s="1493"/>
      <c r="L14" s="1493"/>
      <c r="M14" s="1493"/>
      <c r="N14" s="1493"/>
      <c r="O14" s="1486"/>
    </row>
    <row r="16" spans="2:15" x14ac:dyDescent="0.25">
      <c r="C16" s="265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Base Receitas</vt:lpstr>
      <vt:lpstr>Orçamento 2020 </vt:lpstr>
      <vt:lpstr>Orçamento 2019</vt:lpstr>
      <vt:lpstr>Orçamento 2021</vt:lpstr>
      <vt:lpstr>Orçamento 2021 Médias</vt:lpstr>
      <vt:lpstr>Base Receitas 2021</vt:lpstr>
      <vt:lpstr>Orçamento 2022 - Metas</vt:lpstr>
      <vt:lpstr>19-01-Balancete</vt:lpstr>
      <vt:lpstr>Orçamento 2022 - Sintético</vt:lpstr>
      <vt:lpstr>Orçamento 2022 - Analítico</vt:lpstr>
      <vt:lpstr>Gerência Lucimara</vt:lpstr>
      <vt:lpstr>Diretor Dr. Newton</vt:lpstr>
      <vt:lpstr>Gerência Og. Pinotti</vt:lpstr>
      <vt:lpstr>Gerência Anderson</vt:lpstr>
      <vt:lpstr>Gerência Márcia</vt:lpstr>
      <vt:lpstr>Gerência Fernando</vt:lpstr>
      <vt:lpstr>Gerência Nívia</vt:lpstr>
      <vt:lpstr>Gerência Segato</vt:lpstr>
      <vt:lpstr>IEP</vt:lpstr>
      <vt:lpstr>Desvios_2022</vt:lpstr>
      <vt:lpstr>Acumulado_2022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Nivia</dc:creator>
  <cp:lastModifiedBy>Heitor Scalabrini Sampaio</cp:lastModifiedBy>
  <cp:lastPrinted>2019-01-30T17:20:29Z</cp:lastPrinted>
  <dcterms:created xsi:type="dcterms:W3CDTF">2018-02-08T13:40:20Z</dcterms:created>
  <dcterms:modified xsi:type="dcterms:W3CDTF">2022-05-17T19:44:55Z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21895fee-fb9d-4a98-8102-ac741ae20335</vt:lpwstr>
  </property>
</Properties>
</file>